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9.xml" ContentType="application/vnd.openxmlformats-officedocument.spreadsheetml.work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tol\My Drive\JEP\"/>
    </mc:Choice>
  </mc:AlternateContent>
  <xr:revisionPtr revIDLastSave="0" documentId="13_ncr:1_{7091AEB0-E208-4996-A788-8445B8A33B00}" xr6:coauthVersionLast="47" xr6:coauthVersionMax="47" xr10:uidLastSave="{00000000-0000-0000-0000-000000000000}"/>
  <bookViews>
    <workbookView xWindow="610" yWindow="0" windowWidth="18590" windowHeight="10720" firstSheet="39" activeTab="44" xr2:uid="{00000000-000D-0000-FFFF-FFFF00000000}"/>
  </bookViews>
  <sheets>
    <sheet name="readme" sheetId="8" r:id="rId1"/>
    <sheet name="Table1" sheetId="1" r:id="rId2"/>
    <sheet name="scc" sheetId="98" r:id="rId3"/>
    <sheet name="FigTotalTemp" sheetId="38" r:id="rId4"/>
    <sheet name="FigTotalTempData" sheetId="114" r:id="rId5"/>
    <sheet name="FigTotalTempAll" sheetId="91" r:id="rId6"/>
    <sheet name="FigTotalTempDep" sheetId="111" r:id="rId7"/>
    <sheet name="FigTotalTempBase" sheetId="121" r:id="rId8"/>
    <sheet name="FigTotalTempSens" sheetId="118" r:id="rId9"/>
    <sheet name="graph" sheetId="2" r:id="rId10"/>
    <sheet name="graphdep" sheetId="110" r:id="rId11"/>
    <sheet name="graphbase" sheetId="117" r:id="rId12"/>
    <sheet name="graphbasenl" sheetId="123" r:id="rId13"/>
    <sheet name="graphsens" sheetId="120" r:id="rId14"/>
    <sheet name="TotalTime" sheetId="100" r:id="rId15"/>
    <sheet name="TotalTime (2)" sheetId="107" r:id="rId16"/>
    <sheet name="Chart4" sheetId="104" r:id="rId17"/>
    <sheet name="graphtime" sheetId="99" r:id="rId18"/>
    <sheet name="histogram" sheetId="102" r:id="rId19"/>
    <sheet name="pubyear" sheetId="112" r:id="rId20"/>
    <sheet name="totalimpact" sheetId="113" r:id="rId21"/>
    <sheet name="regressions" sheetId="3" r:id="rId22"/>
    <sheet name="regressionssens" sheetId="119" r:id="rId23"/>
    <sheet name="regressionsbase" sheetId="115" r:id="rId24"/>
    <sheet name="regressionsbasenl" sheetId="122" r:id="rId25"/>
    <sheet name="regressionsdep" sheetId="109" r:id="rId26"/>
    <sheet name="methods" sheetId="96" r:id="rId27"/>
    <sheet name="regressionsenum" sheetId="92" r:id="rId28"/>
    <sheet name="regressionselic" sheetId="93" r:id="rId29"/>
    <sheet name="regressionsectric" sheetId="94" r:id="rId30"/>
    <sheet name="regressionscge" sheetId="95" r:id="rId31"/>
    <sheet name="sectors" sheetId="49" r:id="rId32"/>
    <sheet name="growthfig" sheetId="83" r:id="rId33"/>
    <sheet name="levelfig" sheetId="84" r:id="rId34"/>
    <sheet name="comparison" sheetId="85" r:id="rId35"/>
    <sheet name="comparison (2)" sheetId="97" r:id="rId36"/>
    <sheet name="Chart3" sheetId="103" r:id="rId37"/>
    <sheet name="growth" sheetId="71" r:id="rId38"/>
    <sheet name="seasons" sheetId="60" r:id="rId39"/>
    <sheet name="Chart5" sheetId="105" r:id="rId40"/>
    <sheet name="Chart6" sheetId="106" r:id="rId41"/>
    <sheet name="country" sheetId="31" r:id="rId42"/>
    <sheet name="regions" sheetId="23" r:id="rId43"/>
    <sheet name="CountryInc" sheetId="65" r:id="rId44"/>
    <sheet name="CountryTemp" sheetId="66" r:id="rId45"/>
    <sheet name="toStata" sheetId="74" r:id="rId46"/>
    <sheet name="NewellPrestSexton" sheetId="108" r:id="rId47"/>
    <sheet name="Mendelsohn" sheetId="26" r:id="rId48"/>
    <sheet name="Roson" sheetId="25" r:id="rId49"/>
    <sheet name="Bosello" sheetId="24" r:id="rId50"/>
    <sheet name="Eboli" sheetId="88" r:id="rId51"/>
    <sheet name="Rossi" sheetId="80" r:id="rId52"/>
    <sheet name="NordhausBoyer" sheetId="19" r:id="rId53"/>
    <sheet name="Tol1995" sheetId="20" r:id="rId54"/>
    <sheet name="Tol2002" sheetId="21" r:id="rId55"/>
    <sheet name="NordhausYang" sheetId="10" r:id="rId56"/>
    <sheet name="PlambeckHope" sheetId="11" r:id="rId57"/>
    <sheet name="Hope" sheetId="15" r:id="rId58"/>
    <sheet name="Fankhauser" sheetId="17" r:id="rId59"/>
    <sheet name="Berz" sheetId="18" r:id="rId60"/>
    <sheet name="Maddison" sheetId="12" r:id="rId61"/>
    <sheet name="MaddisonRehdanz" sheetId="14" r:id="rId62"/>
    <sheet name="RehdanzMaddison" sheetId="13" r:id="rId63"/>
    <sheet name="SartoriRoson" sheetId="72" r:id="rId64"/>
    <sheet name="Kompas" sheetId="73" r:id="rId65"/>
    <sheet name="Dellink" sheetId="77" r:id="rId66"/>
    <sheet name="Takakura" sheetId="78" r:id="rId67"/>
    <sheet name="dArge" sheetId="39" r:id="rId68"/>
  </sheets>
  <externalReferences>
    <externalReference r:id="rId69"/>
    <externalReference r:id="rId70"/>
    <externalReference r:id="rId71"/>
  </externalReferences>
  <definedNames>
    <definedName name="POWER_USER_EXCEL_MAP_730487FC_3BC4_46F6_A083_6AFE88B8BDF5">#REF!</definedName>
    <definedName name="POWER_USER_EXCEL_MAP_CAB021F2_704C_4D15_9A63_668A70EDC0A0">#REF!</definedName>
    <definedName name="POWER_USER_EXCEL_MAP_E9B5C184_2463_498F_9B3B_2DFDE6E02142">#REF!</definedName>
    <definedName name="solver_adj" localSheetId="9" hidden="1">graph!#REF!</definedName>
    <definedName name="solver_adj" localSheetId="11" hidden="1">graphbase!#REF!</definedName>
    <definedName name="solver_adj" localSheetId="12" hidden="1">graphbasenl!#REF!</definedName>
    <definedName name="solver_adj" localSheetId="10" hidden="1">graphdep!#REF!</definedName>
    <definedName name="solver_adj" localSheetId="13" hidden="1">graphsens!#REF!</definedName>
    <definedName name="solver_adj" localSheetId="37" hidden="1">growth!$Q$2:$Q$3</definedName>
    <definedName name="solver_adj" localSheetId="21" hidden="1">regressions!$AR$1</definedName>
    <definedName name="solver_adj" localSheetId="23" hidden="1">regressionsbase!$AR$1</definedName>
    <definedName name="solver_adj" localSheetId="24" hidden="1">regressionsbasenl!$J$1:$J$2</definedName>
    <definedName name="solver_adj" localSheetId="30" hidden="1">regressionscge!$U$1</definedName>
    <definedName name="solver_adj" localSheetId="25" hidden="1">regressionsdep!$AO$1</definedName>
    <definedName name="solver_adj" localSheetId="29" hidden="1">regressionsectric!$U$1</definedName>
    <definedName name="solver_adj" localSheetId="28" hidden="1">regressionselic!$G$1:$G$2</definedName>
    <definedName name="solver_adj" localSheetId="27" hidden="1">regressionsenum!$G$1:$G$2</definedName>
    <definedName name="solver_adj" localSheetId="22" hidden="1">regressionssens!$AR$1</definedName>
    <definedName name="solver_cvg" localSheetId="9" hidden="1">0.0001</definedName>
    <definedName name="solver_cvg" localSheetId="11" hidden="1">0.0001</definedName>
    <definedName name="solver_cvg" localSheetId="12" hidden="1">0.0001</definedName>
    <definedName name="solver_cvg" localSheetId="10" hidden="1">0.0001</definedName>
    <definedName name="solver_cvg" localSheetId="13" hidden="1">0.0001</definedName>
    <definedName name="solver_cvg" localSheetId="37" hidden="1">0.0001</definedName>
    <definedName name="solver_cvg" localSheetId="21" hidden="1">0.0001</definedName>
    <definedName name="solver_cvg" localSheetId="23" hidden="1">0.0001</definedName>
    <definedName name="solver_cvg" localSheetId="24" hidden="1">0.0001</definedName>
    <definedName name="solver_cvg" localSheetId="30" hidden="1">0.0001</definedName>
    <definedName name="solver_cvg" localSheetId="25" hidden="1">0.0001</definedName>
    <definedName name="solver_cvg" localSheetId="29" hidden="1">0.0001</definedName>
    <definedName name="solver_cvg" localSheetId="28" hidden="1">0.0001</definedName>
    <definedName name="solver_cvg" localSheetId="27" hidden="1">0.0001</definedName>
    <definedName name="solver_cvg" localSheetId="22" hidden="1">0.0001</definedName>
    <definedName name="solver_drv" localSheetId="9" hidden="1">1</definedName>
    <definedName name="solver_drv" localSheetId="11" hidden="1">1</definedName>
    <definedName name="solver_drv" localSheetId="12" hidden="1">1</definedName>
    <definedName name="solver_drv" localSheetId="10" hidden="1">1</definedName>
    <definedName name="solver_drv" localSheetId="13" hidden="1">1</definedName>
    <definedName name="solver_drv" localSheetId="37" hidden="1">1</definedName>
    <definedName name="solver_drv" localSheetId="21" hidden="1">1</definedName>
    <definedName name="solver_drv" localSheetId="23" hidden="1">1</definedName>
    <definedName name="solver_drv" localSheetId="24" hidden="1">1</definedName>
    <definedName name="solver_drv" localSheetId="30" hidden="1">1</definedName>
    <definedName name="solver_drv" localSheetId="25" hidden="1">1</definedName>
    <definedName name="solver_drv" localSheetId="29" hidden="1">1</definedName>
    <definedName name="solver_drv" localSheetId="28" hidden="1">1</definedName>
    <definedName name="solver_drv" localSheetId="27" hidden="1">1</definedName>
    <definedName name="solver_drv" localSheetId="22" hidden="1">1</definedName>
    <definedName name="solver_eng" localSheetId="9" hidden="1">1</definedName>
    <definedName name="solver_eng" localSheetId="11" hidden="1">1</definedName>
    <definedName name="solver_eng" localSheetId="12" hidden="1">1</definedName>
    <definedName name="solver_eng" localSheetId="10" hidden="1">1</definedName>
    <definedName name="solver_eng" localSheetId="13" hidden="1">1</definedName>
    <definedName name="solver_eng" localSheetId="37" hidden="1">1</definedName>
    <definedName name="solver_eng" localSheetId="21" hidden="1">1</definedName>
    <definedName name="solver_eng" localSheetId="23" hidden="1">1</definedName>
    <definedName name="solver_eng" localSheetId="24" hidden="1">1</definedName>
    <definedName name="solver_eng" localSheetId="30" hidden="1">1</definedName>
    <definedName name="solver_eng" localSheetId="25" hidden="1">1</definedName>
    <definedName name="solver_eng" localSheetId="29" hidden="1">1</definedName>
    <definedName name="solver_eng" localSheetId="28" hidden="1">1</definedName>
    <definedName name="solver_eng" localSheetId="27" hidden="1">1</definedName>
    <definedName name="solver_eng" localSheetId="22" hidden="1">1</definedName>
    <definedName name="solver_eng" localSheetId="48" hidden="1">1</definedName>
    <definedName name="solver_est" localSheetId="9" hidden="1">1</definedName>
    <definedName name="solver_est" localSheetId="11" hidden="1">1</definedName>
    <definedName name="solver_est" localSheetId="12" hidden="1">1</definedName>
    <definedName name="solver_est" localSheetId="10" hidden="1">1</definedName>
    <definedName name="solver_est" localSheetId="13" hidden="1">1</definedName>
    <definedName name="solver_est" localSheetId="37" hidden="1">1</definedName>
    <definedName name="solver_est" localSheetId="21" hidden="1">1</definedName>
    <definedName name="solver_est" localSheetId="23" hidden="1">1</definedName>
    <definedName name="solver_est" localSheetId="24" hidden="1">1</definedName>
    <definedName name="solver_est" localSheetId="30" hidden="1">1</definedName>
    <definedName name="solver_est" localSheetId="25" hidden="1">1</definedName>
    <definedName name="solver_est" localSheetId="29" hidden="1">1</definedName>
    <definedName name="solver_est" localSheetId="28" hidden="1">1</definedName>
    <definedName name="solver_est" localSheetId="27" hidden="1">1</definedName>
    <definedName name="solver_est" localSheetId="22" hidden="1">1</definedName>
    <definedName name="solver_itr" localSheetId="9" hidden="1">2147483647</definedName>
    <definedName name="solver_itr" localSheetId="11" hidden="1">2147483647</definedName>
    <definedName name="solver_itr" localSheetId="12" hidden="1">2147483647</definedName>
    <definedName name="solver_itr" localSheetId="10" hidden="1">2147483647</definedName>
    <definedName name="solver_itr" localSheetId="13" hidden="1">2147483647</definedName>
    <definedName name="solver_itr" localSheetId="37" hidden="1">2147483647</definedName>
    <definedName name="solver_itr" localSheetId="21" hidden="1">2147483647</definedName>
    <definedName name="solver_itr" localSheetId="23" hidden="1">2147483647</definedName>
    <definedName name="solver_itr" localSheetId="24" hidden="1">2147483647</definedName>
    <definedName name="solver_itr" localSheetId="30" hidden="1">2147483647</definedName>
    <definedName name="solver_itr" localSheetId="25" hidden="1">2147483647</definedName>
    <definedName name="solver_itr" localSheetId="29" hidden="1">2147483647</definedName>
    <definedName name="solver_itr" localSheetId="28" hidden="1">2147483647</definedName>
    <definedName name="solver_itr" localSheetId="27" hidden="1">2147483647</definedName>
    <definedName name="solver_itr" localSheetId="22" hidden="1">2147483647</definedName>
    <definedName name="solver_mip" localSheetId="9" hidden="1">2147483647</definedName>
    <definedName name="solver_mip" localSheetId="11" hidden="1">2147483647</definedName>
    <definedName name="solver_mip" localSheetId="12" hidden="1">2147483647</definedName>
    <definedName name="solver_mip" localSheetId="10" hidden="1">2147483647</definedName>
    <definedName name="solver_mip" localSheetId="13" hidden="1">2147483647</definedName>
    <definedName name="solver_mip" localSheetId="37" hidden="1">2147483647</definedName>
    <definedName name="solver_mip" localSheetId="21" hidden="1">2147483647</definedName>
    <definedName name="solver_mip" localSheetId="23" hidden="1">2147483647</definedName>
    <definedName name="solver_mip" localSheetId="24" hidden="1">2147483647</definedName>
    <definedName name="solver_mip" localSheetId="30" hidden="1">2147483647</definedName>
    <definedName name="solver_mip" localSheetId="25" hidden="1">2147483647</definedName>
    <definedName name="solver_mip" localSheetId="29" hidden="1">2147483647</definedName>
    <definedName name="solver_mip" localSheetId="28" hidden="1">2147483647</definedName>
    <definedName name="solver_mip" localSheetId="27" hidden="1">2147483647</definedName>
    <definedName name="solver_mip" localSheetId="22" hidden="1">2147483647</definedName>
    <definedName name="solver_mni" localSheetId="9" hidden="1">30</definedName>
    <definedName name="solver_mni" localSheetId="11" hidden="1">30</definedName>
    <definedName name="solver_mni" localSheetId="12" hidden="1">30</definedName>
    <definedName name="solver_mni" localSheetId="10" hidden="1">30</definedName>
    <definedName name="solver_mni" localSheetId="13" hidden="1">30</definedName>
    <definedName name="solver_mni" localSheetId="37" hidden="1">30</definedName>
    <definedName name="solver_mni" localSheetId="21" hidden="1">30</definedName>
    <definedName name="solver_mni" localSheetId="23" hidden="1">30</definedName>
    <definedName name="solver_mni" localSheetId="24" hidden="1">30</definedName>
    <definedName name="solver_mni" localSheetId="30" hidden="1">30</definedName>
    <definedName name="solver_mni" localSheetId="25" hidden="1">30</definedName>
    <definedName name="solver_mni" localSheetId="29" hidden="1">30</definedName>
    <definedName name="solver_mni" localSheetId="28" hidden="1">30</definedName>
    <definedName name="solver_mni" localSheetId="27" hidden="1">30</definedName>
    <definedName name="solver_mni" localSheetId="22" hidden="1">30</definedName>
    <definedName name="solver_mrt" localSheetId="9" hidden="1">0.075</definedName>
    <definedName name="solver_mrt" localSheetId="11" hidden="1">0.075</definedName>
    <definedName name="solver_mrt" localSheetId="12" hidden="1">0.075</definedName>
    <definedName name="solver_mrt" localSheetId="10" hidden="1">0.075</definedName>
    <definedName name="solver_mrt" localSheetId="13" hidden="1">0.075</definedName>
    <definedName name="solver_mrt" localSheetId="37" hidden="1">0.075</definedName>
    <definedName name="solver_mrt" localSheetId="21" hidden="1">0.075</definedName>
    <definedName name="solver_mrt" localSheetId="23" hidden="1">0.075</definedName>
    <definedName name="solver_mrt" localSheetId="24" hidden="1">0.075</definedName>
    <definedName name="solver_mrt" localSheetId="30" hidden="1">0.075</definedName>
    <definedName name="solver_mrt" localSheetId="25" hidden="1">0.075</definedName>
    <definedName name="solver_mrt" localSheetId="29" hidden="1">0.075</definedName>
    <definedName name="solver_mrt" localSheetId="28" hidden="1">0.075</definedName>
    <definedName name="solver_mrt" localSheetId="27" hidden="1">0.075</definedName>
    <definedName name="solver_mrt" localSheetId="22" hidden="1">0.075</definedName>
    <definedName name="solver_msl" localSheetId="9" hidden="1">2</definedName>
    <definedName name="solver_msl" localSheetId="11" hidden="1">2</definedName>
    <definedName name="solver_msl" localSheetId="12" hidden="1">2</definedName>
    <definedName name="solver_msl" localSheetId="10" hidden="1">2</definedName>
    <definedName name="solver_msl" localSheetId="13" hidden="1">2</definedName>
    <definedName name="solver_msl" localSheetId="37" hidden="1">2</definedName>
    <definedName name="solver_msl" localSheetId="21" hidden="1">2</definedName>
    <definedName name="solver_msl" localSheetId="23" hidden="1">2</definedName>
    <definedName name="solver_msl" localSheetId="24" hidden="1">2</definedName>
    <definedName name="solver_msl" localSheetId="30" hidden="1">2</definedName>
    <definedName name="solver_msl" localSheetId="25" hidden="1">2</definedName>
    <definedName name="solver_msl" localSheetId="29" hidden="1">2</definedName>
    <definedName name="solver_msl" localSheetId="28" hidden="1">2</definedName>
    <definedName name="solver_msl" localSheetId="27" hidden="1">2</definedName>
    <definedName name="solver_msl" localSheetId="22" hidden="1">2</definedName>
    <definedName name="solver_neg" localSheetId="9" hidden="1">2</definedName>
    <definedName name="solver_neg" localSheetId="11" hidden="1">2</definedName>
    <definedName name="solver_neg" localSheetId="12" hidden="1">2</definedName>
    <definedName name="solver_neg" localSheetId="10" hidden="1">2</definedName>
    <definedName name="solver_neg" localSheetId="13" hidden="1">2</definedName>
    <definedName name="solver_neg" localSheetId="37" hidden="1">2</definedName>
    <definedName name="solver_neg" localSheetId="21" hidden="1">2</definedName>
    <definedName name="solver_neg" localSheetId="23" hidden="1">2</definedName>
    <definedName name="solver_neg" localSheetId="24" hidden="1">2</definedName>
    <definedName name="solver_neg" localSheetId="30" hidden="1">2</definedName>
    <definedName name="solver_neg" localSheetId="25" hidden="1">2</definedName>
    <definedName name="solver_neg" localSheetId="29" hidden="1">2</definedName>
    <definedName name="solver_neg" localSheetId="28" hidden="1">2</definedName>
    <definedName name="solver_neg" localSheetId="27" hidden="1">2</definedName>
    <definedName name="solver_neg" localSheetId="22" hidden="1">2</definedName>
    <definedName name="solver_neg" localSheetId="48" hidden="1">1</definedName>
    <definedName name="solver_nod" localSheetId="9" hidden="1">2147483647</definedName>
    <definedName name="solver_nod" localSheetId="11" hidden="1">2147483647</definedName>
    <definedName name="solver_nod" localSheetId="12" hidden="1">2147483647</definedName>
    <definedName name="solver_nod" localSheetId="10" hidden="1">2147483647</definedName>
    <definedName name="solver_nod" localSheetId="13" hidden="1">2147483647</definedName>
    <definedName name="solver_nod" localSheetId="37" hidden="1">2147483647</definedName>
    <definedName name="solver_nod" localSheetId="21" hidden="1">2147483647</definedName>
    <definedName name="solver_nod" localSheetId="23" hidden="1">2147483647</definedName>
    <definedName name="solver_nod" localSheetId="24" hidden="1">2147483647</definedName>
    <definedName name="solver_nod" localSheetId="30" hidden="1">2147483647</definedName>
    <definedName name="solver_nod" localSheetId="25" hidden="1">2147483647</definedName>
    <definedName name="solver_nod" localSheetId="29" hidden="1">2147483647</definedName>
    <definedName name="solver_nod" localSheetId="28" hidden="1">2147483647</definedName>
    <definedName name="solver_nod" localSheetId="27" hidden="1">2147483647</definedName>
    <definedName name="solver_nod" localSheetId="22" hidden="1">2147483647</definedName>
    <definedName name="solver_num" localSheetId="9" hidden="1">0</definedName>
    <definedName name="solver_num" localSheetId="11" hidden="1">0</definedName>
    <definedName name="solver_num" localSheetId="12" hidden="1">0</definedName>
    <definedName name="solver_num" localSheetId="10" hidden="1">0</definedName>
    <definedName name="solver_num" localSheetId="13" hidden="1">0</definedName>
    <definedName name="solver_num" localSheetId="37" hidden="1">0</definedName>
    <definedName name="solver_num" localSheetId="21" hidden="1">0</definedName>
    <definedName name="solver_num" localSheetId="23" hidden="1">0</definedName>
    <definedName name="solver_num" localSheetId="24" hidden="1">0</definedName>
    <definedName name="solver_num" localSheetId="30" hidden="1">0</definedName>
    <definedName name="solver_num" localSheetId="25" hidden="1">0</definedName>
    <definedName name="solver_num" localSheetId="29" hidden="1">0</definedName>
    <definedName name="solver_num" localSheetId="28" hidden="1">0</definedName>
    <definedName name="solver_num" localSheetId="27" hidden="1">0</definedName>
    <definedName name="solver_num" localSheetId="22" hidden="1">0</definedName>
    <definedName name="solver_num" localSheetId="48" hidden="1">0</definedName>
    <definedName name="solver_nwt" localSheetId="9" hidden="1">1</definedName>
    <definedName name="solver_nwt" localSheetId="11" hidden="1">1</definedName>
    <definedName name="solver_nwt" localSheetId="12" hidden="1">1</definedName>
    <definedName name="solver_nwt" localSheetId="10" hidden="1">1</definedName>
    <definedName name="solver_nwt" localSheetId="13" hidden="1">1</definedName>
    <definedName name="solver_nwt" localSheetId="37" hidden="1">1</definedName>
    <definedName name="solver_nwt" localSheetId="21" hidden="1">1</definedName>
    <definedName name="solver_nwt" localSheetId="23" hidden="1">1</definedName>
    <definedName name="solver_nwt" localSheetId="24" hidden="1">1</definedName>
    <definedName name="solver_nwt" localSheetId="30" hidden="1">1</definedName>
    <definedName name="solver_nwt" localSheetId="25" hidden="1">1</definedName>
    <definedName name="solver_nwt" localSheetId="29" hidden="1">1</definedName>
    <definedName name="solver_nwt" localSheetId="28" hidden="1">1</definedName>
    <definedName name="solver_nwt" localSheetId="27" hidden="1">1</definedName>
    <definedName name="solver_nwt" localSheetId="22" hidden="1">1</definedName>
    <definedName name="solver_opt" localSheetId="9" hidden="1">graph!#REF!</definedName>
    <definedName name="solver_opt" localSheetId="11" hidden="1">graphbase!#REF!</definedName>
    <definedName name="solver_opt" localSheetId="12" hidden="1">graphbasenl!#REF!</definedName>
    <definedName name="solver_opt" localSheetId="10" hidden="1">graphdep!#REF!</definedName>
    <definedName name="solver_opt" localSheetId="13" hidden="1">graphsens!#REF!</definedName>
    <definedName name="solver_opt" localSheetId="37" hidden="1">growth!$Q$7</definedName>
    <definedName name="solver_opt" localSheetId="21" hidden="1">regressions!$AS$1</definedName>
    <definedName name="solver_opt" localSheetId="23" hidden="1">regressionsbase!$AS$1</definedName>
    <definedName name="solver_opt" localSheetId="24" hidden="1">regressionsbasenl!$K$9</definedName>
    <definedName name="solver_opt" localSheetId="30" hidden="1">regressionscge!$V$9</definedName>
    <definedName name="solver_opt" localSheetId="25" hidden="1">regressionsdep!$AP$1</definedName>
    <definedName name="solver_opt" localSheetId="29" hidden="1">regressionsectric!$V$9</definedName>
    <definedName name="solver_opt" localSheetId="28" hidden="1">regressionselic!$H$9</definedName>
    <definedName name="solver_opt" localSheetId="27" hidden="1">regressionsenum!$H$9</definedName>
    <definedName name="solver_opt" localSheetId="22" hidden="1">regressionssens!$AS$1</definedName>
    <definedName name="solver_opt" localSheetId="48" hidden="1">Roson!$X$1</definedName>
    <definedName name="solver_pre" localSheetId="9" hidden="1">0.000001</definedName>
    <definedName name="solver_pre" localSheetId="11" hidden="1">0.000001</definedName>
    <definedName name="solver_pre" localSheetId="12" hidden="1">0.000001</definedName>
    <definedName name="solver_pre" localSheetId="10" hidden="1">0.000001</definedName>
    <definedName name="solver_pre" localSheetId="13" hidden="1">0.000001</definedName>
    <definedName name="solver_pre" localSheetId="37" hidden="1">0.000001</definedName>
    <definedName name="solver_pre" localSheetId="21" hidden="1">0.000001</definedName>
    <definedName name="solver_pre" localSheetId="23" hidden="1">0.000001</definedName>
    <definedName name="solver_pre" localSheetId="24" hidden="1">0.000001</definedName>
    <definedName name="solver_pre" localSheetId="30" hidden="1">0.000001</definedName>
    <definedName name="solver_pre" localSheetId="25" hidden="1">0.000001</definedName>
    <definedName name="solver_pre" localSheetId="29" hidden="1">0.000001</definedName>
    <definedName name="solver_pre" localSheetId="28" hidden="1">0.000001</definedName>
    <definedName name="solver_pre" localSheetId="27" hidden="1">0.000001</definedName>
    <definedName name="solver_pre" localSheetId="22" hidden="1">0.000001</definedName>
    <definedName name="solver_rbv" localSheetId="9" hidden="1">1</definedName>
    <definedName name="solver_rbv" localSheetId="11" hidden="1">1</definedName>
    <definedName name="solver_rbv" localSheetId="12" hidden="1">1</definedName>
    <definedName name="solver_rbv" localSheetId="10" hidden="1">1</definedName>
    <definedName name="solver_rbv" localSheetId="13" hidden="1">1</definedName>
    <definedName name="solver_rbv" localSheetId="37" hidden="1">1</definedName>
    <definedName name="solver_rbv" localSheetId="21" hidden="1">1</definedName>
    <definedName name="solver_rbv" localSheetId="23" hidden="1">1</definedName>
    <definedName name="solver_rbv" localSheetId="24" hidden="1">1</definedName>
    <definedName name="solver_rbv" localSheetId="30" hidden="1">1</definedName>
    <definedName name="solver_rbv" localSheetId="25" hidden="1">1</definedName>
    <definedName name="solver_rbv" localSheetId="29" hidden="1">1</definedName>
    <definedName name="solver_rbv" localSheetId="28" hidden="1">1</definedName>
    <definedName name="solver_rbv" localSheetId="27" hidden="1">1</definedName>
    <definedName name="solver_rbv" localSheetId="22" hidden="1">1</definedName>
    <definedName name="solver_rlx" localSheetId="9" hidden="1">2</definedName>
    <definedName name="solver_rlx" localSheetId="11" hidden="1">2</definedName>
    <definedName name="solver_rlx" localSheetId="12" hidden="1">2</definedName>
    <definedName name="solver_rlx" localSheetId="10" hidden="1">2</definedName>
    <definedName name="solver_rlx" localSheetId="13" hidden="1">2</definedName>
    <definedName name="solver_rlx" localSheetId="37" hidden="1">2</definedName>
    <definedName name="solver_rlx" localSheetId="21" hidden="1">2</definedName>
    <definedName name="solver_rlx" localSheetId="23" hidden="1">2</definedName>
    <definedName name="solver_rlx" localSheetId="24" hidden="1">2</definedName>
    <definedName name="solver_rlx" localSheetId="30" hidden="1">2</definedName>
    <definedName name="solver_rlx" localSheetId="25" hidden="1">2</definedName>
    <definedName name="solver_rlx" localSheetId="29" hidden="1">2</definedName>
    <definedName name="solver_rlx" localSheetId="28" hidden="1">2</definedName>
    <definedName name="solver_rlx" localSheetId="27" hidden="1">2</definedName>
    <definedName name="solver_rlx" localSheetId="22" hidden="1">2</definedName>
    <definedName name="solver_rsd" localSheetId="9" hidden="1">0</definedName>
    <definedName name="solver_rsd" localSheetId="11" hidden="1">0</definedName>
    <definedName name="solver_rsd" localSheetId="12" hidden="1">0</definedName>
    <definedName name="solver_rsd" localSheetId="10" hidden="1">0</definedName>
    <definedName name="solver_rsd" localSheetId="13" hidden="1">0</definedName>
    <definedName name="solver_rsd" localSheetId="37" hidden="1">0</definedName>
    <definedName name="solver_rsd" localSheetId="21" hidden="1">0</definedName>
    <definedName name="solver_rsd" localSheetId="23" hidden="1">0</definedName>
    <definedName name="solver_rsd" localSheetId="24" hidden="1">0</definedName>
    <definedName name="solver_rsd" localSheetId="30" hidden="1">0</definedName>
    <definedName name="solver_rsd" localSheetId="25" hidden="1">0</definedName>
    <definedName name="solver_rsd" localSheetId="29" hidden="1">0</definedName>
    <definedName name="solver_rsd" localSheetId="28" hidden="1">0</definedName>
    <definedName name="solver_rsd" localSheetId="27" hidden="1">0</definedName>
    <definedName name="solver_rsd" localSheetId="22" hidden="1">0</definedName>
    <definedName name="solver_scl" localSheetId="9" hidden="1">1</definedName>
    <definedName name="solver_scl" localSheetId="11" hidden="1">1</definedName>
    <definedName name="solver_scl" localSheetId="12" hidden="1">1</definedName>
    <definedName name="solver_scl" localSheetId="10" hidden="1">1</definedName>
    <definedName name="solver_scl" localSheetId="13" hidden="1">1</definedName>
    <definedName name="solver_scl" localSheetId="37" hidden="1">1</definedName>
    <definedName name="solver_scl" localSheetId="21" hidden="1">1</definedName>
    <definedName name="solver_scl" localSheetId="23" hidden="1">1</definedName>
    <definedName name="solver_scl" localSheetId="24" hidden="1">1</definedName>
    <definedName name="solver_scl" localSheetId="30" hidden="1">1</definedName>
    <definedName name="solver_scl" localSheetId="25" hidden="1">1</definedName>
    <definedName name="solver_scl" localSheetId="29" hidden="1">1</definedName>
    <definedName name="solver_scl" localSheetId="28" hidden="1">1</definedName>
    <definedName name="solver_scl" localSheetId="27" hidden="1">1</definedName>
    <definedName name="solver_scl" localSheetId="22" hidden="1">1</definedName>
    <definedName name="solver_sho" localSheetId="9" hidden="1">2</definedName>
    <definedName name="solver_sho" localSheetId="11" hidden="1">2</definedName>
    <definedName name="solver_sho" localSheetId="12" hidden="1">2</definedName>
    <definedName name="solver_sho" localSheetId="10" hidden="1">2</definedName>
    <definedName name="solver_sho" localSheetId="13" hidden="1">2</definedName>
    <definedName name="solver_sho" localSheetId="37" hidden="1">2</definedName>
    <definedName name="solver_sho" localSheetId="21" hidden="1">2</definedName>
    <definedName name="solver_sho" localSheetId="23" hidden="1">2</definedName>
    <definedName name="solver_sho" localSheetId="24" hidden="1">2</definedName>
    <definedName name="solver_sho" localSheetId="30" hidden="1">2</definedName>
    <definedName name="solver_sho" localSheetId="25" hidden="1">2</definedName>
    <definedName name="solver_sho" localSheetId="29" hidden="1">2</definedName>
    <definedName name="solver_sho" localSheetId="28" hidden="1">2</definedName>
    <definedName name="solver_sho" localSheetId="27" hidden="1">2</definedName>
    <definedName name="solver_sho" localSheetId="22" hidden="1">2</definedName>
    <definedName name="solver_ssz" localSheetId="9" hidden="1">100</definedName>
    <definedName name="solver_ssz" localSheetId="11" hidden="1">100</definedName>
    <definedName name="solver_ssz" localSheetId="12" hidden="1">100</definedName>
    <definedName name="solver_ssz" localSheetId="10" hidden="1">100</definedName>
    <definedName name="solver_ssz" localSheetId="13" hidden="1">100</definedName>
    <definedName name="solver_ssz" localSheetId="37" hidden="1">100</definedName>
    <definedName name="solver_ssz" localSheetId="21" hidden="1">100</definedName>
    <definedName name="solver_ssz" localSheetId="23" hidden="1">100</definedName>
    <definedName name="solver_ssz" localSheetId="24" hidden="1">100</definedName>
    <definedName name="solver_ssz" localSheetId="30" hidden="1">100</definedName>
    <definedName name="solver_ssz" localSheetId="25" hidden="1">100</definedName>
    <definedName name="solver_ssz" localSheetId="29" hidden="1">100</definedName>
    <definedName name="solver_ssz" localSheetId="28" hidden="1">100</definedName>
    <definedName name="solver_ssz" localSheetId="27" hidden="1">100</definedName>
    <definedName name="solver_ssz" localSheetId="22" hidden="1">100</definedName>
    <definedName name="solver_tim" localSheetId="9" hidden="1">2147483647</definedName>
    <definedName name="solver_tim" localSheetId="11" hidden="1">2147483647</definedName>
    <definedName name="solver_tim" localSheetId="12" hidden="1">2147483647</definedName>
    <definedName name="solver_tim" localSheetId="10" hidden="1">2147483647</definedName>
    <definedName name="solver_tim" localSheetId="13" hidden="1">2147483647</definedName>
    <definedName name="solver_tim" localSheetId="37" hidden="1">2147483647</definedName>
    <definedName name="solver_tim" localSheetId="21" hidden="1">2147483647</definedName>
    <definedName name="solver_tim" localSheetId="23" hidden="1">2147483647</definedName>
    <definedName name="solver_tim" localSheetId="24" hidden="1">2147483647</definedName>
    <definedName name="solver_tim" localSheetId="30" hidden="1">2147483647</definedName>
    <definedName name="solver_tim" localSheetId="25" hidden="1">2147483647</definedName>
    <definedName name="solver_tim" localSheetId="29" hidden="1">2147483647</definedName>
    <definedName name="solver_tim" localSheetId="28" hidden="1">2147483647</definedName>
    <definedName name="solver_tim" localSheetId="27" hidden="1">2147483647</definedName>
    <definedName name="solver_tim" localSheetId="22" hidden="1">2147483647</definedName>
    <definedName name="solver_tol" localSheetId="9" hidden="1">0.01</definedName>
    <definedName name="solver_tol" localSheetId="11" hidden="1">0.01</definedName>
    <definedName name="solver_tol" localSheetId="12" hidden="1">0.01</definedName>
    <definedName name="solver_tol" localSheetId="10" hidden="1">0.01</definedName>
    <definedName name="solver_tol" localSheetId="13" hidden="1">0.01</definedName>
    <definedName name="solver_tol" localSheetId="37" hidden="1">0.01</definedName>
    <definedName name="solver_tol" localSheetId="21" hidden="1">0.01</definedName>
    <definedName name="solver_tol" localSheetId="23" hidden="1">0.01</definedName>
    <definedName name="solver_tol" localSheetId="24" hidden="1">0.01</definedName>
    <definedName name="solver_tol" localSheetId="30" hidden="1">0.01</definedName>
    <definedName name="solver_tol" localSheetId="25" hidden="1">0.01</definedName>
    <definedName name="solver_tol" localSheetId="29" hidden="1">0.01</definedName>
    <definedName name="solver_tol" localSheetId="28" hidden="1">0.01</definedName>
    <definedName name="solver_tol" localSheetId="27" hidden="1">0.01</definedName>
    <definedName name="solver_tol" localSheetId="22" hidden="1">0.01</definedName>
    <definedName name="solver_typ" localSheetId="9" hidden="1">2</definedName>
    <definedName name="solver_typ" localSheetId="11" hidden="1">2</definedName>
    <definedName name="solver_typ" localSheetId="12" hidden="1">2</definedName>
    <definedName name="solver_typ" localSheetId="10" hidden="1">2</definedName>
    <definedName name="solver_typ" localSheetId="13" hidden="1">2</definedName>
    <definedName name="solver_typ" localSheetId="37" hidden="1">2</definedName>
    <definedName name="solver_typ" localSheetId="21" hidden="1">2</definedName>
    <definedName name="solver_typ" localSheetId="23" hidden="1">2</definedName>
    <definedName name="solver_typ" localSheetId="24" hidden="1">2</definedName>
    <definedName name="solver_typ" localSheetId="30" hidden="1">2</definedName>
    <definedName name="solver_typ" localSheetId="25" hidden="1">2</definedName>
    <definedName name="solver_typ" localSheetId="29" hidden="1">2</definedName>
    <definedName name="solver_typ" localSheetId="28" hidden="1">2</definedName>
    <definedName name="solver_typ" localSheetId="27" hidden="1">2</definedName>
    <definedName name="solver_typ" localSheetId="22" hidden="1">2</definedName>
    <definedName name="solver_typ" localSheetId="48" hidden="1">1</definedName>
    <definedName name="solver_val" localSheetId="9" hidden="1">6</definedName>
    <definedName name="solver_val" localSheetId="11" hidden="1">6</definedName>
    <definedName name="solver_val" localSheetId="12" hidden="1">6</definedName>
    <definedName name="solver_val" localSheetId="10" hidden="1">6</definedName>
    <definedName name="solver_val" localSheetId="13" hidden="1">6</definedName>
    <definedName name="solver_val" localSheetId="37" hidden="1">0</definedName>
    <definedName name="solver_val" localSheetId="21" hidden="1">0</definedName>
    <definedName name="solver_val" localSheetId="23" hidden="1">0</definedName>
    <definedName name="solver_val" localSheetId="24" hidden="1">0</definedName>
    <definedName name="solver_val" localSheetId="30" hidden="1">0</definedName>
    <definedName name="solver_val" localSheetId="25" hidden="1">0</definedName>
    <definedName name="solver_val" localSheetId="29" hidden="1">0</definedName>
    <definedName name="solver_val" localSheetId="28" hidden="1">0</definedName>
    <definedName name="solver_val" localSheetId="27" hidden="1">0</definedName>
    <definedName name="solver_val" localSheetId="22" hidden="1">0</definedName>
    <definedName name="solver_val" localSheetId="48" hidden="1">0</definedName>
    <definedName name="solver_ver" localSheetId="9" hidden="1">3</definedName>
    <definedName name="solver_ver" localSheetId="11" hidden="1">3</definedName>
    <definedName name="solver_ver" localSheetId="12" hidden="1">3</definedName>
    <definedName name="solver_ver" localSheetId="10" hidden="1">3</definedName>
    <definedName name="solver_ver" localSheetId="13" hidden="1">3</definedName>
    <definedName name="solver_ver" localSheetId="37" hidden="1">3</definedName>
    <definedName name="solver_ver" localSheetId="21" hidden="1">3</definedName>
    <definedName name="solver_ver" localSheetId="23" hidden="1">3</definedName>
    <definedName name="solver_ver" localSheetId="24" hidden="1">3</definedName>
    <definedName name="solver_ver" localSheetId="30" hidden="1">3</definedName>
    <definedName name="solver_ver" localSheetId="25" hidden="1">3</definedName>
    <definedName name="solver_ver" localSheetId="29" hidden="1">3</definedName>
    <definedName name="solver_ver" localSheetId="28" hidden="1">3</definedName>
    <definedName name="solver_ver" localSheetId="27" hidden="1">3</definedName>
    <definedName name="solver_ver" localSheetId="22" hidden="1">3</definedName>
    <definedName name="solver_ver" localSheetId="4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T1" i="71" l="1"/>
  <c r="P2" i="120"/>
  <c r="O2" i="120"/>
  <c r="N2" i="120"/>
  <c r="M2" i="120"/>
  <c r="L2" i="120"/>
  <c r="K2" i="120"/>
  <c r="J2" i="120"/>
  <c r="I2" i="120"/>
  <c r="P2" i="123"/>
  <c r="O2" i="123"/>
  <c r="N2" i="123"/>
  <c r="M2" i="123"/>
  <c r="L2" i="123"/>
  <c r="K2" i="123"/>
  <c r="J2" i="123"/>
  <c r="I2" i="123"/>
  <c r="P203" i="123"/>
  <c r="O203" i="123"/>
  <c r="N203" i="123"/>
  <c r="M203" i="123"/>
  <c r="L203" i="123"/>
  <c r="K203" i="123"/>
  <c r="J203" i="123"/>
  <c r="I203" i="123"/>
  <c r="P202" i="123"/>
  <c r="O202" i="123"/>
  <c r="N202" i="123"/>
  <c r="M202" i="123"/>
  <c r="L202" i="123"/>
  <c r="K202" i="123"/>
  <c r="J202" i="123"/>
  <c r="I202" i="123"/>
  <c r="P201" i="123"/>
  <c r="O201" i="123"/>
  <c r="N201" i="123"/>
  <c r="M201" i="123"/>
  <c r="L201" i="123"/>
  <c r="K201" i="123"/>
  <c r="J201" i="123"/>
  <c r="I201" i="123"/>
  <c r="P200" i="123"/>
  <c r="O200" i="123"/>
  <c r="N200" i="123"/>
  <c r="M200" i="123"/>
  <c r="L200" i="123"/>
  <c r="K200" i="123"/>
  <c r="J200" i="123"/>
  <c r="I200" i="123"/>
  <c r="P199" i="123"/>
  <c r="O199" i="123"/>
  <c r="N199" i="123"/>
  <c r="M199" i="123"/>
  <c r="L199" i="123"/>
  <c r="K199" i="123"/>
  <c r="J199" i="123"/>
  <c r="I199" i="123"/>
  <c r="P198" i="123"/>
  <c r="O198" i="123"/>
  <c r="N198" i="123"/>
  <c r="M198" i="123"/>
  <c r="L198" i="123"/>
  <c r="K198" i="123"/>
  <c r="J198" i="123"/>
  <c r="I198" i="123"/>
  <c r="P197" i="123"/>
  <c r="O197" i="123"/>
  <c r="N197" i="123"/>
  <c r="M197" i="123"/>
  <c r="L197" i="123"/>
  <c r="K197" i="123"/>
  <c r="J197" i="123"/>
  <c r="I197" i="123"/>
  <c r="P196" i="123"/>
  <c r="O196" i="123"/>
  <c r="N196" i="123"/>
  <c r="M196" i="123"/>
  <c r="L196" i="123"/>
  <c r="K196" i="123"/>
  <c r="J196" i="123"/>
  <c r="I196" i="123"/>
  <c r="P195" i="123"/>
  <c r="O195" i="123"/>
  <c r="N195" i="123"/>
  <c r="M195" i="123"/>
  <c r="L195" i="123"/>
  <c r="K195" i="123"/>
  <c r="J195" i="123"/>
  <c r="I195" i="123"/>
  <c r="P194" i="123"/>
  <c r="O194" i="123"/>
  <c r="N194" i="123"/>
  <c r="M194" i="123"/>
  <c r="L194" i="123"/>
  <c r="K194" i="123"/>
  <c r="J194" i="123"/>
  <c r="I194" i="123"/>
  <c r="P193" i="123"/>
  <c r="O193" i="123"/>
  <c r="N193" i="123"/>
  <c r="M193" i="123"/>
  <c r="L193" i="123"/>
  <c r="K193" i="123"/>
  <c r="J193" i="123"/>
  <c r="I193" i="123"/>
  <c r="P192" i="123"/>
  <c r="O192" i="123"/>
  <c r="N192" i="123"/>
  <c r="M192" i="123"/>
  <c r="L192" i="123"/>
  <c r="K192" i="123"/>
  <c r="J192" i="123"/>
  <c r="I192" i="123"/>
  <c r="P191" i="123"/>
  <c r="O191" i="123"/>
  <c r="N191" i="123"/>
  <c r="M191" i="123"/>
  <c r="L191" i="123"/>
  <c r="K191" i="123"/>
  <c r="J191" i="123"/>
  <c r="I191" i="123"/>
  <c r="P190" i="123"/>
  <c r="O190" i="123"/>
  <c r="N190" i="123"/>
  <c r="M190" i="123"/>
  <c r="L190" i="123"/>
  <c r="K190" i="123"/>
  <c r="J190" i="123"/>
  <c r="I190" i="123"/>
  <c r="P189" i="123"/>
  <c r="O189" i="123"/>
  <c r="N189" i="123"/>
  <c r="M189" i="123"/>
  <c r="L189" i="123"/>
  <c r="K189" i="123"/>
  <c r="J189" i="123"/>
  <c r="I189" i="123"/>
  <c r="P188" i="123"/>
  <c r="O188" i="123"/>
  <c r="N188" i="123"/>
  <c r="M188" i="123"/>
  <c r="L188" i="123"/>
  <c r="K188" i="123"/>
  <c r="J188" i="123"/>
  <c r="I188" i="123"/>
  <c r="P187" i="123"/>
  <c r="O187" i="123"/>
  <c r="N187" i="123"/>
  <c r="M187" i="123"/>
  <c r="L187" i="123"/>
  <c r="K187" i="123"/>
  <c r="J187" i="123"/>
  <c r="I187" i="123"/>
  <c r="P186" i="123"/>
  <c r="O186" i="123"/>
  <c r="N186" i="123"/>
  <c r="M186" i="123"/>
  <c r="L186" i="123"/>
  <c r="K186" i="123"/>
  <c r="J186" i="123"/>
  <c r="I186" i="123"/>
  <c r="P185" i="123"/>
  <c r="O185" i="123"/>
  <c r="N185" i="123"/>
  <c r="M185" i="123"/>
  <c r="L185" i="123"/>
  <c r="K185" i="123"/>
  <c r="J185" i="123"/>
  <c r="I185" i="123"/>
  <c r="P184" i="123"/>
  <c r="O184" i="123"/>
  <c r="N184" i="123"/>
  <c r="M184" i="123"/>
  <c r="L184" i="123"/>
  <c r="K184" i="123"/>
  <c r="J184" i="123"/>
  <c r="I184" i="123"/>
  <c r="P183" i="123"/>
  <c r="O183" i="123"/>
  <c r="N183" i="123"/>
  <c r="M183" i="123"/>
  <c r="L183" i="123"/>
  <c r="K183" i="123"/>
  <c r="J183" i="123"/>
  <c r="I183" i="123"/>
  <c r="P182" i="123"/>
  <c r="O182" i="123"/>
  <c r="N182" i="123"/>
  <c r="M182" i="123"/>
  <c r="L182" i="123"/>
  <c r="K182" i="123"/>
  <c r="J182" i="123"/>
  <c r="I182" i="123"/>
  <c r="P181" i="123"/>
  <c r="O181" i="123"/>
  <c r="N181" i="123"/>
  <c r="M181" i="123"/>
  <c r="L181" i="123"/>
  <c r="K181" i="123"/>
  <c r="J181" i="123"/>
  <c r="I181" i="123"/>
  <c r="P180" i="123"/>
  <c r="O180" i="123"/>
  <c r="N180" i="123"/>
  <c r="M180" i="123"/>
  <c r="L180" i="123"/>
  <c r="K180" i="123"/>
  <c r="J180" i="123"/>
  <c r="I180" i="123"/>
  <c r="P179" i="123"/>
  <c r="O179" i="123"/>
  <c r="N179" i="123"/>
  <c r="M179" i="123"/>
  <c r="L179" i="123"/>
  <c r="K179" i="123"/>
  <c r="J179" i="123"/>
  <c r="I179" i="123"/>
  <c r="P178" i="123"/>
  <c r="O178" i="123"/>
  <c r="N178" i="123"/>
  <c r="M178" i="123"/>
  <c r="L178" i="123"/>
  <c r="K178" i="123"/>
  <c r="J178" i="123"/>
  <c r="I178" i="123"/>
  <c r="P177" i="123"/>
  <c r="O177" i="123"/>
  <c r="N177" i="123"/>
  <c r="M177" i="123"/>
  <c r="L177" i="123"/>
  <c r="K177" i="123"/>
  <c r="J177" i="123"/>
  <c r="I177" i="123"/>
  <c r="P176" i="123"/>
  <c r="O176" i="123"/>
  <c r="N176" i="123"/>
  <c r="M176" i="123"/>
  <c r="L176" i="123"/>
  <c r="K176" i="123"/>
  <c r="J176" i="123"/>
  <c r="I176" i="123"/>
  <c r="P175" i="123"/>
  <c r="O175" i="123"/>
  <c r="N175" i="123"/>
  <c r="M175" i="123"/>
  <c r="L175" i="123"/>
  <c r="K175" i="123"/>
  <c r="J175" i="123"/>
  <c r="I175" i="123"/>
  <c r="P174" i="123"/>
  <c r="O174" i="123"/>
  <c r="N174" i="123"/>
  <c r="M174" i="123"/>
  <c r="L174" i="123"/>
  <c r="K174" i="123"/>
  <c r="J174" i="123"/>
  <c r="I174" i="123"/>
  <c r="P173" i="123"/>
  <c r="O173" i="123"/>
  <c r="N173" i="123"/>
  <c r="M173" i="123"/>
  <c r="L173" i="123"/>
  <c r="K173" i="123"/>
  <c r="J173" i="123"/>
  <c r="I173" i="123"/>
  <c r="P172" i="123"/>
  <c r="O172" i="123"/>
  <c r="N172" i="123"/>
  <c r="M172" i="123"/>
  <c r="L172" i="123"/>
  <c r="K172" i="123"/>
  <c r="J172" i="123"/>
  <c r="I172" i="123"/>
  <c r="P171" i="123"/>
  <c r="O171" i="123"/>
  <c r="N171" i="123"/>
  <c r="M171" i="123"/>
  <c r="L171" i="123"/>
  <c r="K171" i="123"/>
  <c r="J171" i="123"/>
  <c r="I171" i="123"/>
  <c r="P170" i="123"/>
  <c r="O170" i="123"/>
  <c r="N170" i="123"/>
  <c r="M170" i="123"/>
  <c r="L170" i="123"/>
  <c r="K170" i="123"/>
  <c r="J170" i="123"/>
  <c r="I170" i="123"/>
  <c r="P169" i="123"/>
  <c r="O169" i="123"/>
  <c r="N169" i="123"/>
  <c r="M169" i="123"/>
  <c r="L169" i="123"/>
  <c r="K169" i="123"/>
  <c r="J169" i="123"/>
  <c r="I169" i="123"/>
  <c r="P168" i="123"/>
  <c r="O168" i="123"/>
  <c r="N168" i="123"/>
  <c r="M168" i="123"/>
  <c r="L168" i="123"/>
  <c r="K168" i="123"/>
  <c r="J168" i="123"/>
  <c r="I168" i="123"/>
  <c r="P167" i="123"/>
  <c r="O167" i="123"/>
  <c r="N167" i="123"/>
  <c r="M167" i="123"/>
  <c r="L167" i="123"/>
  <c r="K167" i="123"/>
  <c r="J167" i="123"/>
  <c r="I167" i="123"/>
  <c r="P166" i="123"/>
  <c r="O166" i="123"/>
  <c r="N166" i="123"/>
  <c r="M166" i="123"/>
  <c r="L166" i="123"/>
  <c r="K166" i="123"/>
  <c r="J166" i="123"/>
  <c r="I166" i="123"/>
  <c r="P165" i="123"/>
  <c r="O165" i="123"/>
  <c r="N165" i="123"/>
  <c r="M165" i="123"/>
  <c r="L165" i="123"/>
  <c r="K165" i="123"/>
  <c r="J165" i="123"/>
  <c r="I165" i="123"/>
  <c r="P164" i="123"/>
  <c r="O164" i="123"/>
  <c r="N164" i="123"/>
  <c r="M164" i="123"/>
  <c r="L164" i="123"/>
  <c r="K164" i="123"/>
  <c r="J164" i="123"/>
  <c r="I164" i="123"/>
  <c r="P163" i="123"/>
  <c r="O163" i="123"/>
  <c r="N163" i="123"/>
  <c r="M163" i="123"/>
  <c r="L163" i="123"/>
  <c r="K163" i="123"/>
  <c r="J163" i="123"/>
  <c r="I163" i="123"/>
  <c r="P162" i="123"/>
  <c r="O162" i="123"/>
  <c r="N162" i="123"/>
  <c r="M162" i="123"/>
  <c r="L162" i="123"/>
  <c r="K162" i="123"/>
  <c r="J162" i="123"/>
  <c r="I162" i="123"/>
  <c r="P161" i="123"/>
  <c r="O161" i="123"/>
  <c r="N161" i="123"/>
  <c r="M161" i="123"/>
  <c r="L161" i="123"/>
  <c r="K161" i="123"/>
  <c r="J161" i="123"/>
  <c r="I161" i="123"/>
  <c r="P160" i="123"/>
  <c r="O160" i="123"/>
  <c r="N160" i="123"/>
  <c r="M160" i="123"/>
  <c r="L160" i="123"/>
  <c r="K160" i="123"/>
  <c r="J160" i="123"/>
  <c r="I160" i="123"/>
  <c r="P159" i="123"/>
  <c r="O159" i="123"/>
  <c r="N159" i="123"/>
  <c r="M159" i="123"/>
  <c r="L159" i="123"/>
  <c r="K159" i="123"/>
  <c r="J159" i="123"/>
  <c r="I159" i="123"/>
  <c r="P158" i="123"/>
  <c r="O158" i="123"/>
  <c r="N158" i="123"/>
  <c r="M158" i="123"/>
  <c r="L158" i="123"/>
  <c r="K158" i="123"/>
  <c r="J158" i="123"/>
  <c r="I158" i="123"/>
  <c r="P157" i="123"/>
  <c r="O157" i="123"/>
  <c r="N157" i="123"/>
  <c r="M157" i="123"/>
  <c r="L157" i="123"/>
  <c r="K157" i="123"/>
  <c r="J157" i="123"/>
  <c r="I157" i="123"/>
  <c r="P156" i="123"/>
  <c r="O156" i="123"/>
  <c r="N156" i="123"/>
  <c r="M156" i="123"/>
  <c r="L156" i="123"/>
  <c r="K156" i="123"/>
  <c r="J156" i="123"/>
  <c r="I156" i="123"/>
  <c r="P155" i="123"/>
  <c r="O155" i="123"/>
  <c r="N155" i="123"/>
  <c r="M155" i="123"/>
  <c r="L155" i="123"/>
  <c r="K155" i="123"/>
  <c r="J155" i="123"/>
  <c r="I155" i="123"/>
  <c r="P154" i="123"/>
  <c r="O154" i="123"/>
  <c r="N154" i="123"/>
  <c r="M154" i="123"/>
  <c r="L154" i="123"/>
  <c r="K154" i="123"/>
  <c r="J154" i="123"/>
  <c r="I154" i="123"/>
  <c r="P153" i="123"/>
  <c r="O153" i="123"/>
  <c r="N153" i="123"/>
  <c r="M153" i="123"/>
  <c r="L153" i="123"/>
  <c r="K153" i="123"/>
  <c r="J153" i="123"/>
  <c r="I153" i="123"/>
  <c r="P152" i="123"/>
  <c r="O152" i="123"/>
  <c r="N152" i="123"/>
  <c r="M152" i="123"/>
  <c r="L152" i="123"/>
  <c r="K152" i="123"/>
  <c r="J152" i="123"/>
  <c r="I152" i="123"/>
  <c r="P151" i="123"/>
  <c r="O151" i="123"/>
  <c r="N151" i="123"/>
  <c r="M151" i="123"/>
  <c r="L151" i="123"/>
  <c r="K151" i="123"/>
  <c r="J151" i="123"/>
  <c r="I151" i="123"/>
  <c r="P150" i="123"/>
  <c r="O150" i="123"/>
  <c r="N150" i="123"/>
  <c r="M150" i="123"/>
  <c r="L150" i="123"/>
  <c r="K150" i="123"/>
  <c r="J150" i="123"/>
  <c r="I150" i="123"/>
  <c r="P149" i="123"/>
  <c r="O149" i="123"/>
  <c r="N149" i="123"/>
  <c r="M149" i="123"/>
  <c r="L149" i="123"/>
  <c r="K149" i="123"/>
  <c r="J149" i="123"/>
  <c r="I149" i="123"/>
  <c r="P148" i="123"/>
  <c r="O148" i="123"/>
  <c r="N148" i="123"/>
  <c r="M148" i="123"/>
  <c r="L148" i="123"/>
  <c r="K148" i="123"/>
  <c r="J148" i="123"/>
  <c r="I148" i="123"/>
  <c r="P147" i="123"/>
  <c r="O147" i="123"/>
  <c r="N147" i="123"/>
  <c r="M147" i="123"/>
  <c r="L147" i="123"/>
  <c r="K147" i="123"/>
  <c r="J147" i="123"/>
  <c r="I147" i="123"/>
  <c r="P146" i="123"/>
  <c r="O146" i="123"/>
  <c r="N146" i="123"/>
  <c r="M146" i="123"/>
  <c r="L146" i="123"/>
  <c r="K146" i="123"/>
  <c r="J146" i="123"/>
  <c r="I146" i="123"/>
  <c r="P145" i="123"/>
  <c r="O145" i="123"/>
  <c r="N145" i="123"/>
  <c r="M145" i="123"/>
  <c r="L145" i="123"/>
  <c r="K145" i="123"/>
  <c r="J145" i="123"/>
  <c r="I145" i="123"/>
  <c r="P144" i="123"/>
  <c r="O144" i="123"/>
  <c r="N144" i="123"/>
  <c r="M144" i="123"/>
  <c r="L144" i="123"/>
  <c r="K144" i="123"/>
  <c r="J144" i="123"/>
  <c r="I144" i="123"/>
  <c r="P143" i="123"/>
  <c r="O143" i="123"/>
  <c r="N143" i="123"/>
  <c r="M143" i="123"/>
  <c r="L143" i="123"/>
  <c r="K143" i="123"/>
  <c r="J143" i="123"/>
  <c r="I143" i="123"/>
  <c r="P142" i="123"/>
  <c r="O142" i="123"/>
  <c r="N142" i="123"/>
  <c r="M142" i="123"/>
  <c r="L142" i="123"/>
  <c r="K142" i="123"/>
  <c r="J142" i="123"/>
  <c r="I142" i="123"/>
  <c r="P141" i="123"/>
  <c r="O141" i="123"/>
  <c r="N141" i="123"/>
  <c r="M141" i="123"/>
  <c r="L141" i="123"/>
  <c r="K141" i="123"/>
  <c r="J141" i="123"/>
  <c r="I141" i="123"/>
  <c r="P140" i="123"/>
  <c r="O140" i="123"/>
  <c r="N140" i="123"/>
  <c r="M140" i="123"/>
  <c r="L140" i="123"/>
  <c r="K140" i="123"/>
  <c r="J140" i="123"/>
  <c r="I140" i="123"/>
  <c r="P139" i="123"/>
  <c r="O139" i="123"/>
  <c r="N139" i="123"/>
  <c r="M139" i="123"/>
  <c r="L139" i="123"/>
  <c r="K139" i="123"/>
  <c r="J139" i="123"/>
  <c r="I139" i="123"/>
  <c r="P138" i="123"/>
  <c r="O138" i="123"/>
  <c r="N138" i="123"/>
  <c r="M138" i="123"/>
  <c r="L138" i="123"/>
  <c r="K138" i="123"/>
  <c r="J138" i="123"/>
  <c r="I138" i="123"/>
  <c r="P137" i="123"/>
  <c r="O137" i="123"/>
  <c r="N137" i="123"/>
  <c r="M137" i="123"/>
  <c r="L137" i="123"/>
  <c r="K137" i="123"/>
  <c r="J137" i="123"/>
  <c r="I137" i="123"/>
  <c r="P136" i="123"/>
  <c r="O136" i="123"/>
  <c r="N136" i="123"/>
  <c r="M136" i="123"/>
  <c r="L136" i="123"/>
  <c r="K136" i="123"/>
  <c r="J136" i="123"/>
  <c r="I136" i="123"/>
  <c r="P135" i="123"/>
  <c r="O135" i="123"/>
  <c r="N135" i="123"/>
  <c r="M135" i="123"/>
  <c r="L135" i="123"/>
  <c r="K135" i="123"/>
  <c r="J135" i="123"/>
  <c r="I135" i="123"/>
  <c r="P134" i="123"/>
  <c r="O134" i="123"/>
  <c r="N134" i="123"/>
  <c r="M134" i="123"/>
  <c r="L134" i="123"/>
  <c r="K134" i="123"/>
  <c r="J134" i="123"/>
  <c r="I134" i="123"/>
  <c r="P133" i="123"/>
  <c r="O133" i="123"/>
  <c r="N133" i="123"/>
  <c r="M133" i="123"/>
  <c r="L133" i="123"/>
  <c r="K133" i="123"/>
  <c r="J133" i="123"/>
  <c r="I133" i="123"/>
  <c r="P132" i="123"/>
  <c r="O132" i="123"/>
  <c r="N132" i="123"/>
  <c r="M132" i="123"/>
  <c r="L132" i="123"/>
  <c r="K132" i="123"/>
  <c r="J132" i="123"/>
  <c r="I132" i="123"/>
  <c r="P131" i="123"/>
  <c r="O131" i="123"/>
  <c r="N131" i="123"/>
  <c r="M131" i="123"/>
  <c r="L131" i="123"/>
  <c r="K131" i="123"/>
  <c r="J131" i="123"/>
  <c r="I131" i="123"/>
  <c r="P130" i="123"/>
  <c r="O130" i="123"/>
  <c r="N130" i="123"/>
  <c r="M130" i="123"/>
  <c r="L130" i="123"/>
  <c r="K130" i="123"/>
  <c r="J130" i="123"/>
  <c r="I130" i="123"/>
  <c r="P129" i="123"/>
  <c r="O129" i="123"/>
  <c r="N129" i="123"/>
  <c r="M129" i="123"/>
  <c r="L129" i="123"/>
  <c r="K129" i="123"/>
  <c r="J129" i="123"/>
  <c r="I129" i="123"/>
  <c r="P128" i="123"/>
  <c r="O128" i="123"/>
  <c r="N128" i="123"/>
  <c r="M128" i="123"/>
  <c r="L128" i="123"/>
  <c r="K128" i="123"/>
  <c r="J128" i="123"/>
  <c r="I128" i="123"/>
  <c r="P127" i="123"/>
  <c r="O127" i="123"/>
  <c r="N127" i="123"/>
  <c r="M127" i="123"/>
  <c r="L127" i="123"/>
  <c r="K127" i="123"/>
  <c r="J127" i="123"/>
  <c r="I127" i="123"/>
  <c r="P126" i="123"/>
  <c r="O126" i="123"/>
  <c r="N126" i="123"/>
  <c r="M126" i="123"/>
  <c r="L126" i="123"/>
  <c r="K126" i="123"/>
  <c r="J126" i="123"/>
  <c r="I126" i="123"/>
  <c r="P125" i="123"/>
  <c r="O125" i="123"/>
  <c r="N125" i="123"/>
  <c r="M125" i="123"/>
  <c r="L125" i="123"/>
  <c r="K125" i="123"/>
  <c r="J125" i="123"/>
  <c r="I125" i="123"/>
  <c r="P124" i="123"/>
  <c r="O124" i="123"/>
  <c r="N124" i="123"/>
  <c r="M124" i="123"/>
  <c r="L124" i="123"/>
  <c r="K124" i="123"/>
  <c r="J124" i="123"/>
  <c r="I124" i="123"/>
  <c r="P123" i="123"/>
  <c r="O123" i="123"/>
  <c r="N123" i="123"/>
  <c r="M123" i="123"/>
  <c r="L123" i="123"/>
  <c r="K123" i="123"/>
  <c r="J123" i="123"/>
  <c r="I123" i="123"/>
  <c r="P122" i="123"/>
  <c r="O122" i="123"/>
  <c r="N122" i="123"/>
  <c r="M122" i="123"/>
  <c r="L122" i="123"/>
  <c r="K122" i="123"/>
  <c r="J122" i="123"/>
  <c r="I122" i="123"/>
  <c r="P121" i="123"/>
  <c r="O121" i="123"/>
  <c r="N121" i="123"/>
  <c r="M121" i="123"/>
  <c r="L121" i="123"/>
  <c r="K121" i="123"/>
  <c r="J121" i="123"/>
  <c r="I121" i="123"/>
  <c r="P120" i="123"/>
  <c r="O120" i="123"/>
  <c r="N120" i="123"/>
  <c r="M120" i="123"/>
  <c r="L120" i="123"/>
  <c r="K120" i="123"/>
  <c r="J120" i="123"/>
  <c r="I120" i="123"/>
  <c r="P119" i="123"/>
  <c r="O119" i="123"/>
  <c r="N119" i="123"/>
  <c r="M119" i="123"/>
  <c r="L119" i="123"/>
  <c r="K119" i="123"/>
  <c r="J119" i="123"/>
  <c r="I119" i="123"/>
  <c r="P118" i="123"/>
  <c r="O118" i="123"/>
  <c r="N118" i="123"/>
  <c r="M118" i="123"/>
  <c r="L118" i="123"/>
  <c r="K118" i="123"/>
  <c r="J118" i="123"/>
  <c r="I118" i="123"/>
  <c r="P117" i="123"/>
  <c r="O117" i="123"/>
  <c r="N117" i="123"/>
  <c r="M117" i="123"/>
  <c r="L117" i="123"/>
  <c r="K117" i="123"/>
  <c r="J117" i="123"/>
  <c r="I117" i="123"/>
  <c r="P116" i="123"/>
  <c r="O116" i="123"/>
  <c r="N116" i="123"/>
  <c r="M116" i="123"/>
  <c r="L116" i="123"/>
  <c r="K116" i="123"/>
  <c r="J116" i="123"/>
  <c r="I116" i="123"/>
  <c r="P115" i="123"/>
  <c r="O115" i="123"/>
  <c r="N115" i="123"/>
  <c r="M115" i="123"/>
  <c r="L115" i="123"/>
  <c r="K115" i="123"/>
  <c r="J115" i="123"/>
  <c r="I115" i="123"/>
  <c r="P114" i="123"/>
  <c r="O114" i="123"/>
  <c r="N114" i="123"/>
  <c r="M114" i="123"/>
  <c r="L114" i="123"/>
  <c r="K114" i="123"/>
  <c r="J114" i="123"/>
  <c r="I114" i="123"/>
  <c r="P113" i="123"/>
  <c r="O113" i="123"/>
  <c r="N113" i="123"/>
  <c r="M113" i="123"/>
  <c r="L113" i="123"/>
  <c r="K113" i="123"/>
  <c r="J113" i="123"/>
  <c r="I113" i="123"/>
  <c r="P112" i="123"/>
  <c r="O112" i="123"/>
  <c r="N112" i="123"/>
  <c r="M112" i="123"/>
  <c r="L112" i="123"/>
  <c r="K112" i="123"/>
  <c r="J112" i="123"/>
  <c r="I112" i="123"/>
  <c r="P111" i="123"/>
  <c r="O111" i="123"/>
  <c r="N111" i="123"/>
  <c r="M111" i="123"/>
  <c r="L111" i="123"/>
  <c r="K111" i="123"/>
  <c r="J111" i="123"/>
  <c r="I111" i="123"/>
  <c r="P110" i="123"/>
  <c r="O110" i="123"/>
  <c r="N110" i="123"/>
  <c r="M110" i="123"/>
  <c r="L110" i="123"/>
  <c r="K110" i="123"/>
  <c r="J110" i="123"/>
  <c r="I110" i="123"/>
  <c r="P109" i="123"/>
  <c r="O109" i="123"/>
  <c r="N109" i="123"/>
  <c r="M109" i="123"/>
  <c r="L109" i="123"/>
  <c r="K109" i="123"/>
  <c r="J109" i="123"/>
  <c r="I109" i="123"/>
  <c r="P108" i="123"/>
  <c r="O108" i="123"/>
  <c r="N108" i="123"/>
  <c r="M108" i="123"/>
  <c r="L108" i="123"/>
  <c r="K108" i="123"/>
  <c r="J108" i="123"/>
  <c r="I108" i="123"/>
  <c r="P107" i="123"/>
  <c r="O107" i="123"/>
  <c r="N107" i="123"/>
  <c r="M107" i="123"/>
  <c r="L107" i="123"/>
  <c r="K107" i="123"/>
  <c r="J107" i="123"/>
  <c r="I107" i="123"/>
  <c r="P106" i="123"/>
  <c r="O106" i="123"/>
  <c r="N106" i="123"/>
  <c r="M106" i="123"/>
  <c r="L106" i="123"/>
  <c r="K106" i="123"/>
  <c r="J106" i="123"/>
  <c r="I106" i="123"/>
  <c r="P105" i="123"/>
  <c r="O105" i="123"/>
  <c r="N105" i="123"/>
  <c r="M105" i="123"/>
  <c r="L105" i="123"/>
  <c r="K105" i="123"/>
  <c r="J105" i="123"/>
  <c r="I105" i="123"/>
  <c r="P104" i="123"/>
  <c r="O104" i="123"/>
  <c r="N104" i="123"/>
  <c r="M104" i="123"/>
  <c r="L104" i="123"/>
  <c r="K104" i="123"/>
  <c r="J104" i="123"/>
  <c r="I104" i="123"/>
  <c r="P103" i="123"/>
  <c r="O103" i="123"/>
  <c r="N103" i="123"/>
  <c r="M103" i="123"/>
  <c r="L103" i="123"/>
  <c r="K103" i="123"/>
  <c r="J103" i="123"/>
  <c r="I103" i="123"/>
  <c r="P102" i="123"/>
  <c r="O102" i="123"/>
  <c r="N102" i="123"/>
  <c r="M102" i="123"/>
  <c r="L102" i="123"/>
  <c r="K102" i="123"/>
  <c r="J102" i="123"/>
  <c r="I102" i="123"/>
  <c r="P101" i="123"/>
  <c r="O101" i="123"/>
  <c r="N101" i="123"/>
  <c r="M101" i="123"/>
  <c r="L101" i="123"/>
  <c r="K101" i="123"/>
  <c r="J101" i="123"/>
  <c r="I101" i="123"/>
  <c r="P100" i="123"/>
  <c r="O100" i="123"/>
  <c r="N100" i="123"/>
  <c r="M100" i="123"/>
  <c r="L100" i="123"/>
  <c r="K100" i="123"/>
  <c r="J100" i="123"/>
  <c r="I100" i="123"/>
  <c r="P99" i="123"/>
  <c r="O99" i="123"/>
  <c r="N99" i="123"/>
  <c r="M99" i="123"/>
  <c r="L99" i="123"/>
  <c r="K99" i="123"/>
  <c r="J99" i="123"/>
  <c r="I99" i="123"/>
  <c r="P98" i="123"/>
  <c r="O98" i="123"/>
  <c r="N98" i="123"/>
  <c r="M98" i="123"/>
  <c r="L98" i="123"/>
  <c r="K98" i="123"/>
  <c r="J98" i="123"/>
  <c r="I98" i="123"/>
  <c r="P97" i="123"/>
  <c r="O97" i="123"/>
  <c r="N97" i="123"/>
  <c r="M97" i="123"/>
  <c r="L97" i="123"/>
  <c r="K97" i="123"/>
  <c r="J97" i="123"/>
  <c r="I97" i="123"/>
  <c r="P96" i="123"/>
  <c r="O96" i="123"/>
  <c r="N96" i="123"/>
  <c r="M96" i="123"/>
  <c r="L96" i="123"/>
  <c r="K96" i="123"/>
  <c r="J96" i="123"/>
  <c r="I96" i="123"/>
  <c r="P95" i="123"/>
  <c r="O95" i="123"/>
  <c r="N95" i="123"/>
  <c r="M95" i="123"/>
  <c r="L95" i="123"/>
  <c r="K95" i="123"/>
  <c r="J95" i="123"/>
  <c r="I95" i="123"/>
  <c r="P94" i="123"/>
  <c r="O94" i="123"/>
  <c r="N94" i="123"/>
  <c r="M94" i="123"/>
  <c r="L94" i="123"/>
  <c r="K94" i="123"/>
  <c r="J94" i="123"/>
  <c r="I94" i="123"/>
  <c r="P93" i="123"/>
  <c r="O93" i="123"/>
  <c r="N93" i="123"/>
  <c r="M93" i="123"/>
  <c r="L93" i="123"/>
  <c r="K93" i="123"/>
  <c r="J93" i="123"/>
  <c r="I93" i="123"/>
  <c r="P92" i="123"/>
  <c r="O92" i="123"/>
  <c r="N92" i="123"/>
  <c r="M92" i="123"/>
  <c r="L92" i="123"/>
  <c r="K92" i="123"/>
  <c r="J92" i="123"/>
  <c r="I92" i="123"/>
  <c r="P91" i="123"/>
  <c r="O91" i="123"/>
  <c r="N91" i="123"/>
  <c r="M91" i="123"/>
  <c r="L91" i="123"/>
  <c r="K91" i="123"/>
  <c r="J91" i="123"/>
  <c r="I91" i="123"/>
  <c r="P90" i="123"/>
  <c r="O90" i="123"/>
  <c r="N90" i="123"/>
  <c r="M90" i="123"/>
  <c r="L90" i="123"/>
  <c r="K90" i="123"/>
  <c r="J90" i="123"/>
  <c r="I90" i="123"/>
  <c r="P89" i="123"/>
  <c r="O89" i="123"/>
  <c r="N89" i="123"/>
  <c r="M89" i="123"/>
  <c r="L89" i="123"/>
  <c r="K89" i="123"/>
  <c r="J89" i="123"/>
  <c r="I89" i="123"/>
  <c r="P88" i="123"/>
  <c r="O88" i="123"/>
  <c r="N88" i="123"/>
  <c r="M88" i="123"/>
  <c r="L88" i="123"/>
  <c r="K88" i="123"/>
  <c r="J88" i="123"/>
  <c r="I88" i="123"/>
  <c r="P87" i="123"/>
  <c r="O87" i="123"/>
  <c r="N87" i="123"/>
  <c r="M87" i="123"/>
  <c r="L87" i="123"/>
  <c r="K87" i="123"/>
  <c r="J87" i="123"/>
  <c r="I87" i="123"/>
  <c r="P86" i="123"/>
  <c r="O86" i="123"/>
  <c r="N86" i="123"/>
  <c r="M86" i="123"/>
  <c r="L86" i="123"/>
  <c r="K86" i="123"/>
  <c r="J86" i="123"/>
  <c r="I86" i="123"/>
  <c r="P85" i="123"/>
  <c r="O85" i="123"/>
  <c r="N85" i="123"/>
  <c r="M85" i="123"/>
  <c r="L85" i="123"/>
  <c r="K85" i="123"/>
  <c r="J85" i="123"/>
  <c r="I85" i="123"/>
  <c r="P84" i="123"/>
  <c r="O84" i="123"/>
  <c r="N84" i="123"/>
  <c r="M84" i="123"/>
  <c r="L84" i="123"/>
  <c r="K84" i="123"/>
  <c r="J84" i="123"/>
  <c r="I84" i="123"/>
  <c r="P83" i="123"/>
  <c r="O83" i="123"/>
  <c r="N83" i="123"/>
  <c r="M83" i="123"/>
  <c r="L83" i="123"/>
  <c r="K83" i="123"/>
  <c r="J83" i="123"/>
  <c r="I83" i="123"/>
  <c r="P82" i="123"/>
  <c r="O82" i="123"/>
  <c r="N82" i="123"/>
  <c r="M82" i="123"/>
  <c r="L82" i="123"/>
  <c r="K82" i="123"/>
  <c r="J82" i="123"/>
  <c r="I82" i="123"/>
  <c r="P81" i="123"/>
  <c r="O81" i="123"/>
  <c r="N81" i="123"/>
  <c r="M81" i="123"/>
  <c r="L81" i="123"/>
  <c r="K81" i="123"/>
  <c r="J81" i="123"/>
  <c r="I81" i="123"/>
  <c r="P80" i="123"/>
  <c r="O80" i="123"/>
  <c r="N80" i="123"/>
  <c r="M80" i="123"/>
  <c r="L80" i="123"/>
  <c r="K80" i="123"/>
  <c r="J80" i="123"/>
  <c r="I80" i="123"/>
  <c r="P79" i="123"/>
  <c r="O79" i="123"/>
  <c r="N79" i="123"/>
  <c r="M79" i="123"/>
  <c r="L79" i="123"/>
  <c r="K79" i="123"/>
  <c r="J79" i="123"/>
  <c r="I79" i="123"/>
  <c r="P78" i="123"/>
  <c r="O78" i="123"/>
  <c r="N78" i="123"/>
  <c r="M78" i="123"/>
  <c r="L78" i="123"/>
  <c r="K78" i="123"/>
  <c r="J78" i="123"/>
  <c r="I78" i="123"/>
  <c r="P77" i="123"/>
  <c r="O77" i="123"/>
  <c r="N77" i="123"/>
  <c r="M77" i="123"/>
  <c r="L77" i="123"/>
  <c r="K77" i="123"/>
  <c r="J77" i="123"/>
  <c r="I77" i="123"/>
  <c r="P76" i="123"/>
  <c r="O76" i="123"/>
  <c r="N76" i="123"/>
  <c r="M76" i="123"/>
  <c r="L76" i="123"/>
  <c r="K76" i="123"/>
  <c r="J76" i="123"/>
  <c r="I76" i="123"/>
  <c r="P75" i="123"/>
  <c r="O75" i="123"/>
  <c r="N75" i="123"/>
  <c r="M75" i="123"/>
  <c r="L75" i="123"/>
  <c r="K75" i="123"/>
  <c r="J75" i="123"/>
  <c r="I75" i="123"/>
  <c r="P74" i="123"/>
  <c r="O74" i="123"/>
  <c r="N74" i="123"/>
  <c r="M74" i="123"/>
  <c r="L74" i="123"/>
  <c r="K74" i="123"/>
  <c r="J74" i="123"/>
  <c r="I74" i="123"/>
  <c r="P73" i="123"/>
  <c r="O73" i="123"/>
  <c r="N73" i="123"/>
  <c r="M73" i="123"/>
  <c r="L73" i="123"/>
  <c r="K73" i="123"/>
  <c r="J73" i="123"/>
  <c r="I73" i="123"/>
  <c r="P72" i="123"/>
  <c r="O72" i="123"/>
  <c r="N72" i="123"/>
  <c r="M72" i="123"/>
  <c r="L72" i="123"/>
  <c r="K72" i="123"/>
  <c r="J72" i="123"/>
  <c r="I72" i="123"/>
  <c r="P71" i="123"/>
  <c r="O71" i="123"/>
  <c r="N71" i="123"/>
  <c r="M71" i="123"/>
  <c r="L71" i="123"/>
  <c r="K71" i="123"/>
  <c r="J71" i="123"/>
  <c r="I71" i="123"/>
  <c r="P70" i="123"/>
  <c r="O70" i="123"/>
  <c r="N70" i="123"/>
  <c r="M70" i="123"/>
  <c r="L70" i="123"/>
  <c r="K70" i="123"/>
  <c r="J70" i="123"/>
  <c r="I70" i="123"/>
  <c r="P69" i="123"/>
  <c r="O69" i="123"/>
  <c r="N69" i="123"/>
  <c r="M69" i="123"/>
  <c r="L69" i="123"/>
  <c r="K69" i="123"/>
  <c r="J69" i="123"/>
  <c r="I69" i="123"/>
  <c r="P68" i="123"/>
  <c r="O68" i="123"/>
  <c r="N68" i="123"/>
  <c r="M68" i="123"/>
  <c r="L68" i="123"/>
  <c r="K68" i="123"/>
  <c r="J68" i="123"/>
  <c r="I68" i="123"/>
  <c r="P67" i="123"/>
  <c r="O67" i="123"/>
  <c r="N67" i="123"/>
  <c r="M67" i="123"/>
  <c r="L67" i="123"/>
  <c r="K67" i="123"/>
  <c r="J67" i="123"/>
  <c r="I67" i="123"/>
  <c r="P66" i="123"/>
  <c r="O66" i="123"/>
  <c r="N66" i="123"/>
  <c r="M66" i="123"/>
  <c r="L66" i="123"/>
  <c r="K66" i="123"/>
  <c r="J66" i="123"/>
  <c r="I66" i="123"/>
  <c r="P65" i="123"/>
  <c r="O65" i="123"/>
  <c r="N65" i="123"/>
  <c r="M65" i="123"/>
  <c r="L65" i="123"/>
  <c r="K65" i="123"/>
  <c r="J65" i="123"/>
  <c r="I65" i="123"/>
  <c r="P64" i="123"/>
  <c r="O64" i="123"/>
  <c r="N64" i="123"/>
  <c r="M64" i="123"/>
  <c r="L64" i="123"/>
  <c r="K64" i="123"/>
  <c r="J64" i="123"/>
  <c r="I64" i="123"/>
  <c r="P63" i="123"/>
  <c r="O63" i="123"/>
  <c r="N63" i="123"/>
  <c r="M63" i="123"/>
  <c r="L63" i="123"/>
  <c r="K63" i="123"/>
  <c r="J63" i="123"/>
  <c r="I63" i="123"/>
  <c r="P62" i="123"/>
  <c r="O62" i="123"/>
  <c r="N62" i="123"/>
  <c r="M62" i="123"/>
  <c r="L62" i="123"/>
  <c r="K62" i="123"/>
  <c r="J62" i="123"/>
  <c r="I62" i="123"/>
  <c r="P61" i="123"/>
  <c r="O61" i="123"/>
  <c r="N61" i="123"/>
  <c r="M61" i="123"/>
  <c r="L61" i="123"/>
  <c r="K61" i="123"/>
  <c r="J61" i="123"/>
  <c r="I61" i="123"/>
  <c r="P60" i="123"/>
  <c r="O60" i="123"/>
  <c r="N60" i="123"/>
  <c r="M60" i="123"/>
  <c r="L60" i="123"/>
  <c r="K60" i="123"/>
  <c r="J60" i="123"/>
  <c r="I60" i="123"/>
  <c r="P59" i="123"/>
  <c r="O59" i="123"/>
  <c r="N59" i="123"/>
  <c r="M59" i="123"/>
  <c r="L59" i="123"/>
  <c r="K59" i="123"/>
  <c r="J59" i="123"/>
  <c r="I59" i="123"/>
  <c r="P58" i="123"/>
  <c r="O58" i="123"/>
  <c r="N58" i="123"/>
  <c r="M58" i="123"/>
  <c r="L58" i="123"/>
  <c r="K58" i="123"/>
  <c r="J58" i="123"/>
  <c r="I58" i="123"/>
  <c r="P57" i="123"/>
  <c r="O57" i="123"/>
  <c r="N57" i="123"/>
  <c r="M57" i="123"/>
  <c r="L57" i="123"/>
  <c r="K57" i="123"/>
  <c r="J57" i="123"/>
  <c r="I57" i="123"/>
  <c r="P56" i="123"/>
  <c r="O56" i="123"/>
  <c r="N56" i="123"/>
  <c r="M56" i="123"/>
  <c r="L56" i="123"/>
  <c r="K56" i="123"/>
  <c r="J56" i="123"/>
  <c r="I56" i="123"/>
  <c r="P55" i="123"/>
  <c r="O55" i="123"/>
  <c r="N55" i="123"/>
  <c r="M55" i="123"/>
  <c r="L55" i="123"/>
  <c r="K55" i="123"/>
  <c r="J55" i="123"/>
  <c r="I55" i="123"/>
  <c r="P54" i="123"/>
  <c r="O54" i="123"/>
  <c r="N54" i="123"/>
  <c r="M54" i="123"/>
  <c r="L54" i="123"/>
  <c r="K54" i="123"/>
  <c r="J54" i="123"/>
  <c r="I54" i="123"/>
  <c r="P53" i="123"/>
  <c r="O53" i="123"/>
  <c r="N53" i="123"/>
  <c r="M53" i="123"/>
  <c r="L53" i="123"/>
  <c r="K53" i="123"/>
  <c r="J53" i="123"/>
  <c r="I53" i="123"/>
  <c r="P52" i="123"/>
  <c r="O52" i="123"/>
  <c r="N52" i="123"/>
  <c r="M52" i="123"/>
  <c r="L52" i="123"/>
  <c r="K52" i="123"/>
  <c r="J52" i="123"/>
  <c r="I52" i="123"/>
  <c r="P51" i="123"/>
  <c r="O51" i="123"/>
  <c r="N51" i="123"/>
  <c r="M51" i="123"/>
  <c r="L51" i="123"/>
  <c r="K51" i="123"/>
  <c r="J51" i="123"/>
  <c r="I51" i="123"/>
  <c r="P50" i="123"/>
  <c r="O50" i="123"/>
  <c r="N50" i="123"/>
  <c r="M50" i="123"/>
  <c r="L50" i="123"/>
  <c r="K50" i="123"/>
  <c r="J50" i="123"/>
  <c r="I50" i="123"/>
  <c r="P49" i="123"/>
  <c r="O49" i="123"/>
  <c r="N49" i="123"/>
  <c r="M49" i="123"/>
  <c r="L49" i="123"/>
  <c r="K49" i="123"/>
  <c r="J49" i="123"/>
  <c r="I49" i="123"/>
  <c r="P48" i="123"/>
  <c r="O48" i="123"/>
  <c r="N48" i="123"/>
  <c r="M48" i="123"/>
  <c r="L48" i="123"/>
  <c r="K48" i="123"/>
  <c r="J48" i="123"/>
  <c r="I48" i="123"/>
  <c r="P47" i="123"/>
  <c r="O47" i="123"/>
  <c r="N47" i="123"/>
  <c r="M47" i="123"/>
  <c r="L47" i="123"/>
  <c r="K47" i="123"/>
  <c r="J47" i="123"/>
  <c r="I47" i="123"/>
  <c r="P46" i="123"/>
  <c r="O46" i="123"/>
  <c r="N46" i="123"/>
  <c r="M46" i="123"/>
  <c r="L46" i="123"/>
  <c r="K46" i="123"/>
  <c r="J46" i="123"/>
  <c r="I46" i="123"/>
  <c r="P45" i="123"/>
  <c r="O45" i="123"/>
  <c r="N45" i="123"/>
  <c r="M45" i="123"/>
  <c r="L45" i="123"/>
  <c r="K45" i="123"/>
  <c r="J45" i="123"/>
  <c r="I45" i="123"/>
  <c r="P44" i="123"/>
  <c r="O44" i="123"/>
  <c r="N44" i="123"/>
  <c r="M44" i="123"/>
  <c r="L44" i="123"/>
  <c r="K44" i="123"/>
  <c r="J44" i="123"/>
  <c r="I44" i="123"/>
  <c r="P43" i="123"/>
  <c r="O43" i="123"/>
  <c r="N43" i="123"/>
  <c r="M43" i="123"/>
  <c r="L43" i="123"/>
  <c r="K43" i="123"/>
  <c r="J43" i="123"/>
  <c r="I43" i="123"/>
  <c r="P42" i="123"/>
  <c r="O42" i="123"/>
  <c r="N42" i="123"/>
  <c r="M42" i="123"/>
  <c r="L42" i="123"/>
  <c r="K42" i="123"/>
  <c r="J42" i="123"/>
  <c r="I42" i="123"/>
  <c r="P41" i="123"/>
  <c r="O41" i="123"/>
  <c r="N41" i="123"/>
  <c r="M41" i="123"/>
  <c r="L41" i="123"/>
  <c r="K41" i="123"/>
  <c r="J41" i="123"/>
  <c r="I41" i="123"/>
  <c r="P40" i="123"/>
  <c r="O40" i="123"/>
  <c r="N40" i="123"/>
  <c r="M40" i="123"/>
  <c r="L40" i="123"/>
  <c r="K40" i="123"/>
  <c r="J40" i="123"/>
  <c r="I40" i="123"/>
  <c r="P39" i="123"/>
  <c r="O39" i="123"/>
  <c r="N39" i="123"/>
  <c r="M39" i="123"/>
  <c r="L39" i="123"/>
  <c r="K39" i="123"/>
  <c r="J39" i="123"/>
  <c r="I39" i="123"/>
  <c r="P38" i="123"/>
  <c r="O38" i="123"/>
  <c r="N38" i="123"/>
  <c r="M38" i="123"/>
  <c r="L38" i="123"/>
  <c r="K38" i="123"/>
  <c r="J38" i="123"/>
  <c r="I38" i="123"/>
  <c r="P37" i="123"/>
  <c r="O37" i="123"/>
  <c r="N37" i="123"/>
  <c r="M37" i="123"/>
  <c r="L37" i="123"/>
  <c r="K37" i="123"/>
  <c r="J37" i="123"/>
  <c r="I37" i="123"/>
  <c r="P36" i="123"/>
  <c r="O36" i="123"/>
  <c r="N36" i="123"/>
  <c r="M36" i="123"/>
  <c r="L36" i="123"/>
  <c r="K36" i="123"/>
  <c r="J36" i="123"/>
  <c r="I36" i="123"/>
  <c r="P35" i="123"/>
  <c r="O35" i="123"/>
  <c r="N35" i="123"/>
  <c r="M35" i="123"/>
  <c r="L35" i="123"/>
  <c r="K35" i="123"/>
  <c r="J35" i="123"/>
  <c r="I35" i="123"/>
  <c r="P34" i="123"/>
  <c r="O34" i="123"/>
  <c r="N34" i="123"/>
  <c r="M34" i="123"/>
  <c r="L34" i="123"/>
  <c r="K34" i="123"/>
  <c r="J34" i="123"/>
  <c r="I34" i="123"/>
  <c r="P33" i="123"/>
  <c r="O33" i="123"/>
  <c r="N33" i="123"/>
  <c r="M33" i="123"/>
  <c r="L33" i="123"/>
  <c r="K33" i="123"/>
  <c r="J33" i="123"/>
  <c r="I33" i="123"/>
  <c r="P32" i="123"/>
  <c r="O32" i="123"/>
  <c r="N32" i="123"/>
  <c r="M32" i="123"/>
  <c r="L32" i="123"/>
  <c r="K32" i="123"/>
  <c r="J32" i="123"/>
  <c r="I32" i="123"/>
  <c r="P31" i="123"/>
  <c r="O31" i="123"/>
  <c r="N31" i="123"/>
  <c r="M31" i="123"/>
  <c r="L31" i="123"/>
  <c r="K31" i="123"/>
  <c r="J31" i="123"/>
  <c r="I31" i="123"/>
  <c r="P30" i="123"/>
  <c r="O30" i="123"/>
  <c r="N30" i="123"/>
  <c r="M30" i="123"/>
  <c r="L30" i="123"/>
  <c r="K30" i="123"/>
  <c r="J30" i="123"/>
  <c r="I30" i="123"/>
  <c r="P29" i="123"/>
  <c r="O29" i="123"/>
  <c r="N29" i="123"/>
  <c r="M29" i="123"/>
  <c r="L29" i="123"/>
  <c r="K29" i="123"/>
  <c r="J29" i="123"/>
  <c r="I29" i="123"/>
  <c r="P28" i="123"/>
  <c r="O28" i="123"/>
  <c r="N28" i="123"/>
  <c r="M28" i="123"/>
  <c r="L28" i="123"/>
  <c r="K28" i="123"/>
  <c r="J28" i="123"/>
  <c r="I28" i="123"/>
  <c r="P27" i="123"/>
  <c r="O27" i="123"/>
  <c r="N27" i="123"/>
  <c r="M27" i="123"/>
  <c r="L27" i="123"/>
  <c r="K27" i="123"/>
  <c r="J27" i="123"/>
  <c r="I27" i="123"/>
  <c r="P26" i="123"/>
  <c r="O26" i="123"/>
  <c r="N26" i="123"/>
  <c r="M26" i="123"/>
  <c r="L26" i="123"/>
  <c r="K26" i="123"/>
  <c r="J26" i="123"/>
  <c r="I26" i="123"/>
  <c r="P25" i="123"/>
  <c r="O25" i="123"/>
  <c r="N25" i="123"/>
  <c r="M25" i="123"/>
  <c r="L25" i="123"/>
  <c r="K25" i="123"/>
  <c r="J25" i="123"/>
  <c r="I25" i="123"/>
  <c r="P24" i="123"/>
  <c r="O24" i="123"/>
  <c r="N24" i="123"/>
  <c r="M24" i="123"/>
  <c r="L24" i="123"/>
  <c r="K24" i="123"/>
  <c r="J24" i="123"/>
  <c r="I24" i="123"/>
  <c r="P23" i="123"/>
  <c r="O23" i="123"/>
  <c r="N23" i="123"/>
  <c r="M23" i="123"/>
  <c r="L23" i="123"/>
  <c r="K23" i="123"/>
  <c r="J23" i="123"/>
  <c r="I23" i="123"/>
  <c r="P22" i="123"/>
  <c r="O22" i="123"/>
  <c r="N22" i="123"/>
  <c r="M22" i="123"/>
  <c r="L22" i="123"/>
  <c r="K22" i="123"/>
  <c r="J22" i="123"/>
  <c r="I22" i="123"/>
  <c r="P21" i="123"/>
  <c r="O21" i="123"/>
  <c r="N21" i="123"/>
  <c r="M21" i="123"/>
  <c r="L21" i="123"/>
  <c r="K21" i="123"/>
  <c r="J21" i="123"/>
  <c r="I21" i="123"/>
  <c r="P20" i="123"/>
  <c r="O20" i="123"/>
  <c r="N20" i="123"/>
  <c r="M20" i="123"/>
  <c r="L20" i="123"/>
  <c r="K20" i="123"/>
  <c r="J20" i="123"/>
  <c r="I20" i="123"/>
  <c r="P19" i="123"/>
  <c r="O19" i="123"/>
  <c r="N19" i="123"/>
  <c r="M19" i="123"/>
  <c r="L19" i="123"/>
  <c r="K19" i="123"/>
  <c r="J19" i="123"/>
  <c r="I19" i="123"/>
  <c r="P18" i="123"/>
  <c r="O18" i="123"/>
  <c r="N18" i="123"/>
  <c r="M18" i="123"/>
  <c r="L18" i="123"/>
  <c r="K18" i="123"/>
  <c r="J18" i="123"/>
  <c r="I18" i="123"/>
  <c r="P17" i="123"/>
  <c r="O17" i="123"/>
  <c r="N17" i="123"/>
  <c r="M17" i="123"/>
  <c r="L17" i="123"/>
  <c r="K17" i="123"/>
  <c r="J17" i="123"/>
  <c r="I17" i="123"/>
  <c r="P16" i="123"/>
  <c r="O16" i="123"/>
  <c r="N16" i="123"/>
  <c r="M16" i="123"/>
  <c r="L16" i="123"/>
  <c r="K16" i="123"/>
  <c r="J16" i="123"/>
  <c r="I16" i="123"/>
  <c r="P15" i="123"/>
  <c r="O15" i="123"/>
  <c r="N15" i="123"/>
  <c r="M15" i="123"/>
  <c r="L15" i="123"/>
  <c r="K15" i="123"/>
  <c r="J15" i="123"/>
  <c r="I15" i="123"/>
  <c r="P14" i="123"/>
  <c r="O14" i="123"/>
  <c r="N14" i="123"/>
  <c r="M14" i="123"/>
  <c r="L14" i="123"/>
  <c r="K14" i="123"/>
  <c r="J14" i="123"/>
  <c r="I14" i="123"/>
  <c r="P13" i="123"/>
  <c r="O13" i="123"/>
  <c r="N13" i="123"/>
  <c r="M13" i="123"/>
  <c r="L13" i="123"/>
  <c r="K13" i="123"/>
  <c r="J13" i="123"/>
  <c r="I13" i="123"/>
  <c r="P12" i="123"/>
  <c r="O12" i="123"/>
  <c r="N12" i="123"/>
  <c r="M12" i="123"/>
  <c r="L12" i="123"/>
  <c r="K12" i="123"/>
  <c r="J12" i="123"/>
  <c r="I12" i="123"/>
  <c r="P11" i="123"/>
  <c r="O11" i="123"/>
  <c r="N11" i="123"/>
  <c r="M11" i="123"/>
  <c r="L11" i="123"/>
  <c r="K11" i="123"/>
  <c r="J11" i="123"/>
  <c r="I11" i="123"/>
  <c r="P10" i="123"/>
  <c r="O10" i="123"/>
  <c r="N10" i="123"/>
  <c r="M10" i="123"/>
  <c r="L10" i="123"/>
  <c r="K10" i="123"/>
  <c r="J10" i="123"/>
  <c r="I10" i="123"/>
  <c r="P9" i="123"/>
  <c r="O9" i="123"/>
  <c r="N9" i="123"/>
  <c r="M9" i="123"/>
  <c r="L9" i="123"/>
  <c r="K9" i="123"/>
  <c r="J9" i="123"/>
  <c r="I9" i="123"/>
  <c r="P8" i="123"/>
  <c r="O8" i="123"/>
  <c r="N8" i="123"/>
  <c r="M8" i="123"/>
  <c r="L8" i="123"/>
  <c r="K8" i="123"/>
  <c r="J8" i="123"/>
  <c r="I8" i="123"/>
  <c r="P7" i="123"/>
  <c r="O7" i="123"/>
  <c r="N7" i="123"/>
  <c r="M7" i="123"/>
  <c r="L7" i="123"/>
  <c r="K7" i="123"/>
  <c r="J7" i="123"/>
  <c r="I7" i="123"/>
  <c r="P6" i="123"/>
  <c r="O6" i="123"/>
  <c r="N6" i="123"/>
  <c r="M6" i="123"/>
  <c r="L6" i="123"/>
  <c r="K6" i="123"/>
  <c r="J6" i="123"/>
  <c r="I6" i="123"/>
  <c r="P5" i="123"/>
  <c r="O5" i="123"/>
  <c r="N5" i="123"/>
  <c r="M5" i="123"/>
  <c r="L5" i="123"/>
  <c r="K5" i="123"/>
  <c r="J5" i="123"/>
  <c r="I5" i="123"/>
  <c r="P4" i="123"/>
  <c r="O4" i="123"/>
  <c r="N4" i="123"/>
  <c r="M4" i="123"/>
  <c r="L4" i="123"/>
  <c r="K4" i="123"/>
  <c r="J4" i="123"/>
  <c r="I4" i="123"/>
  <c r="P3" i="123"/>
  <c r="O3" i="123"/>
  <c r="N3" i="123"/>
  <c r="M3" i="123"/>
  <c r="L3" i="123"/>
  <c r="K3" i="123"/>
  <c r="J3" i="123"/>
  <c r="I3" i="123"/>
  <c r="D203" i="123"/>
  <c r="C203" i="123"/>
  <c r="D202" i="123"/>
  <c r="C202" i="123"/>
  <c r="D201" i="123"/>
  <c r="C201" i="123"/>
  <c r="D200" i="123"/>
  <c r="C200" i="123"/>
  <c r="D199" i="123"/>
  <c r="C199" i="123"/>
  <c r="D198" i="123"/>
  <c r="C198" i="123"/>
  <c r="D197" i="123"/>
  <c r="C197" i="123"/>
  <c r="D196" i="123"/>
  <c r="C196" i="123"/>
  <c r="D195" i="123"/>
  <c r="C195" i="123"/>
  <c r="D194" i="123"/>
  <c r="C194" i="123"/>
  <c r="D193" i="123"/>
  <c r="C193" i="123"/>
  <c r="D192" i="123"/>
  <c r="C192" i="123"/>
  <c r="D191" i="123"/>
  <c r="C191" i="123"/>
  <c r="D190" i="123"/>
  <c r="C190" i="123"/>
  <c r="D189" i="123"/>
  <c r="C189" i="123"/>
  <c r="D188" i="123"/>
  <c r="C188" i="123"/>
  <c r="D187" i="123"/>
  <c r="C187" i="123"/>
  <c r="D186" i="123"/>
  <c r="C186" i="123"/>
  <c r="D185" i="123"/>
  <c r="C185" i="123"/>
  <c r="D184" i="123"/>
  <c r="C184" i="123"/>
  <c r="D183" i="123"/>
  <c r="C183" i="123"/>
  <c r="D182" i="123"/>
  <c r="C182" i="123"/>
  <c r="D181" i="123"/>
  <c r="C181" i="123"/>
  <c r="D180" i="123"/>
  <c r="C180" i="123"/>
  <c r="D179" i="123"/>
  <c r="C179" i="123"/>
  <c r="D178" i="123"/>
  <c r="C178" i="123"/>
  <c r="D177" i="123"/>
  <c r="C177" i="123"/>
  <c r="D176" i="123"/>
  <c r="C176" i="123"/>
  <c r="D175" i="123"/>
  <c r="C175" i="123"/>
  <c r="D174" i="123"/>
  <c r="C174" i="123"/>
  <c r="D173" i="123"/>
  <c r="C173" i="123"/>
  <c r="D172" i="123"/>
  <c r="C172" i="123"/>
  <c r="D171" i="123"/>
  <c r="C171" i="123"/>
  <c r="D170" i="123"/>
  <c r="C170" i="123"/>
  <c r="D169" i="123"/>
  <c r="C169" i="123"/>
  <c r="D168" i="123"/>
  <c r="C168" i="123"/>
  <c r="D167" i="123"/>
  <c r="C167" i="123"/>
  <c r="D166" i="123"/>
  <c r="C166" i="123"/>
  <c r="D165" i="123"/>
  <c r="C165" i="123"/>
  <c r="D164" i="123"/>
  <c r="C164" i="123"/>
  <c r="D163" i="123"/>
  <c r="C163" i="123"/>
  <c r="D162" i="123"/>
  <c r="C162" i="123"/>
  <c r="D161" i="123"/>
  <c r="C161" i="123"/>
  <c r="D160" i="123"/>
  <c r="C160" i="123"/>
  <c r="D159" i="123"/>
  <c r="C159" i="123"/>
  <c r="D158" i="123"/>
  <c r="C158" i="123"/>
  <c r="D157" i="123"/>
  <c r="C157" i="123"/>
  <c r="D156" i="123"/>
  <c r="C156" i="123"/>
  <c r="D155" i="123"/>
  <c r="C155" i="123"/>
  <c r="D154" i="123"/>
  <c r="C154" i="123"/>
  <c r="D153" i="123"/>
  <c r="C153" i="123"/>
  <c r="D152" i="123"/>
  <c r="C152" i="123"/>
  <c r="D151" i="123"/>
  <c r="C151" i="123"/>
  <c r="D150" i="123"/>
  <c r="C150" i="123"/>
  <c r="D149" i="123"/>
  <c r="C149" i="123"/>
  <c r="D148" i="123"/>
  <c r="C148" i="123"/>
  <c r="D147" i="123"/>
  <c r="C147" i="123"/>
  <c r="D146" i="123"/>
  <c r="C146" i="123"/>
  <c r="D145" i="123"/>
  <c r="C145" i="123"/>
  <c r="D144" i="123"/>
  <c r="C144" i="123"/>
  <c r="D143" i="123"/>
  <c r="C143" i="123"/>
  <c r="D142" i="123"/>
  <c r="C142" i="123"/>
  <c r="D141" i="123"/>
  <c r="C141" i="123"/>
  <c r="D140" i="123"/>
  <c r="C140" i="123"/>
  <c r="D139" i="123"/>
  <c r="C139" i="123"/>
  <c r="D138" i="123"/>
  <c r="C138" i="123"/>
  <c r="D137" i="123"/>
  <c r="C137" i="123"/>
  <c r="D136" i="123"/>
  <c r="C136" i="123"/>
  <c r="D135" i="123"/>
  <c r="C135" i="123"/>
  <c r="D134" i="123"/>
  <c r="C134" i="123"/>
  <c r="D133" i="123"/>
  <c r="C133" i="123"/>
  <c r="D132" i="123"/>
  <c r="C132" i="123"/>
  <c r="D131" i="123"/>
  <c r="C131" i="123"/>
  <c r="D130" i="123"/>
  <c r="C130" i="123"/>
  <c r="D129" i="123"/>
  <c r="C129" i="123"/>
  <c r="D128" i="123"/>
  <c r="C128" i="123"/>
  <c r="D127" i="123"/>
  <c r="C127" i="123"/>
  <c r="D126" i="123"/>
  <c r="C126" i="123"/>
  <c r="D125" i="123"/>
  <c r="C125" i="123"/>
  <c r="D124" i="123"/>
  <c r="C124" i="123"/>
  <c r="D123" i="123"/>
  <c r="C123" i="123"/>
  <c r="D122" i="123"/>
  <c r="C122" i="123"/>
  <c r="D121" i="123"/>
  <c r="C121" i="123"/>
  <c r="D120" i="123"/>
  <c r="C120" i="123"/>
  <c r="D119" i="123"/>
  <c r="C119" i="123"/>
  <c r="D118" i="123"/>
  <c r="C118" i="123"/>
  <c r="D117" i="123"/>
  <c r="C117" i="123"/>
  <c r="D116" i="123"/>
  <c r="C116" i="123"/>
  <c r="D115" i="123"/>
  <c r="C115" i="123"/>
  <c r="D114" i="123"/>
  <c r="C114" i="123"/>
  <c r="D113" i="123"/>
  <c r="C113" i="123"/>
  <c r="D112" i="123"/>
  <c r="C112" i="123"/>
  <c r="D111" i="123"/>
  <c r="C111" i="123"/>
  <c r="D110" i="123"/>
  <c r="C110" i="123"/>
  <c r="D109" i="123"/>
  <c r="C109" i="123"/>
  <c r="D108" i="123"/>
  <c r="C108" i="123"/>
  <c r="D107" i="123"/>
  <c r="C107" i="123"/>
  <c r="D106" i="123"/>
  <c r="C106" i="123"/>
  <c r="D105" i="123"/>
  <c r="C105" i="123"/>
  <c r="D104" i="123"/>
  <c r="C104" i="123"/>
  <c r="D103" i="123"/>
  <c r="C103" i="123"/>
  <c r="D102" i="123"/>
  <c r="C102" i="123"/>
  <c r="D101" i="123"/>
  <c r="C101" i="123"/>
  <c r="D100" i="123"/>
  <c r="C100" i="123"/>
  <c r="D99" i="123"/>
  <c r="C99" i="123"/>
  <c r="D98" i="123"/>
  <c r="C98" i="123"/>
  <c r="D97" i="123"/>
  <c r="C97" i="123"/>
  <c r="D96" i="123"/>
  <c r="C96" i="123"/>
  <c r="D95" i="123"/>
  <c r="C95" i="123"/>
  <c r="D94" i="123"/>
  <c r="C94" i="123"/>
  <c r="D93" i="123"/>
  <c r="C93" i="123"/>
  <c r="D92" i="123"/>
  <c r="C92" i="123"/>
  <c r="D91" i="123"/>
  <c r="C91" i="123"/>
  <c r="D90" i="123"/>
  <c r="C90" i="123"/>
  <c r="D89" i="123"/>
  <c r="C89" i="123"/>
  <c r="D88" i="123"/>
  <c r="C88" i="123"/>
  <c r="D87" i="123"/>
  <c r="C87" i="123"/>
  <c r="D86" i="123"/>
  <c r="C86" i="123"/>
  <c r="D85" i="123"/>
  <c r="C85" i="123"/>
  <c r="D84" i="123"/>
  <c r="C84" i="123"/>
  <c r="D83" i="123"/>
  <c r="C83" i="123"/>
  <c r="D82" i="123"/>
  <c r="C82" i="123"/>
  <c r="D81" i="123"/>
  <c r="C81" i="123"/>
  <c r="D80" i="123"/>
  <c r="C80" i="123"/>
  <c r="D79" i="123"/>
  <c r="C79" i="123"/>
  <c r="D78" i="123"/>
  <c r="C78" i="123"/>
  <c r="D77" i="123"/>
  <c r="C77" i="123"/>
  <c r="D76" i="123"/>
  <c r="C76" i="123"/>
  <c r="D75" i="123"/>
  <c r="C75" i="123"/>
  <c r="D74" i="123"/>
  <c r="C74" i="123"/>
  <c r="D73" i="123"/>
  <c r="C73" i="123"/>
  <c r="D72" i="123"/>
  <c r="C72" i="123"/>
  <c r="D71" i="123"/>
  <c r="C71" i="123"/>
  <c r="D70" i="123"/>
  <c r="C70" i="123"/>
  <c r="D69" i="123"/>
  <c r="C69" i="123"/>
  <c r="D68" i="123"/>
  <c r="C68" i="123"/>
  <c r="D67" i="123"/>
  <c r="C67" i="123"/>
  <c r="D66" i="123"/>
  <c r="C66" i="123"/>
  <c r="D65" i="123"/>
  <c r="C65" i="123"/>
  <c r="D64" i="123"/>
  <c r="C64" i="123"/>
  <c r="D63" i="123"/>
  <c r="C63" i="123"/>
  <c r="D62" i="123"/>
  <c r="C62" i="123"/>
  <c r="D61" i="123"/>
  <c r="C61" i="123"/>
  <c r="D60" i="123"/>
  <c r="C60" i="123"/>
  <c r="D59" i="123"/>
  <c r="C59" i="123"/>
  <c r="D58" i="123"/>
  <c r="C58" i="123"/>
  <c r="D57" i="123"/>
  <c r="C57" i="123"/>
  <c r="D56" i="123"/>
  <c r="C56" i="123"/>
  <c r="D55" i="123"/>
  <c r="C55" i="123"/>
  <c r="D54" i="123"/>
  <c r="C54" i="123"/>
  <c r="D53" i="123"/>
  <c r="C53" i="123"/>
  <c r="D52" i="123"/>
  <c r="C52" i="123"/>
  <c r="D51" i="123"/>
  <c r="C51" i="123"/>
  <c r="D50" i="123"/>
  <c r="C50" i="123"/>
  <c r="D49" i="123"/>
  <c r="C49" i="123"/>
  <c r="D48" i="123"/>
  <c r="C48" i="123"/>
  <c r="D47" i="123"/>
  <c r="C47" i="123"/>
  <c r="D46" i="123"/>
  <c r="C46" i="123"/>
  <c r="D45" i="123"/>
  <c r="C45" i="123"/>
  <c r="D44" i="123"/>
  <c r="C44" i="123"/>
  <c r="D43" i="123"/>
  <c r="C43" i="123"/>
  <c r="D42" i="123"/>
  <c r="C42" i="123"/>
  <c r="D41" i="123"/>
  <c r="C41" i="123"/>
  <c r="D40" i="123"/>
  <c r="C40" i="123"/>
  <c r="D39" i="123"/>
  <c r="C39" i="123"/>
  <c r="D38" i="123"/>
  <c r="C38" i="123"/>
  <c r="D37" i="123"/>
  <c r="C37" i="123"/>
  <c r="D36" i="123"/>
  <c r="C36" i="123"/>
  <c r="D35" i="123"/>
  <c r="C35" i="123"/>
  <c r="D34" i="123"/>
  <c r="C34" i="123"/>
  <c r="D33" i="123"/>
  <c r="C33" i="123"/>
  <c r="D32" i="123"/>
  <c r="C32" i="123"/>
  <c r="D31" i="123"/>
  <c r="C31" i="123"/>
  <c r="D30" i="123"/>
  <c r="C30" i="123"/>
  <c r="D29" i="123"/>
  <c r="C29" i="123"/>
  <c r="D28" i="123"/>
  <c r="C28" i="123"/>
  <c r="D27" i="123"/>
  <c r="C27" i="123"/>
  <c r="D26" i="123"/>
  <c r="C26" i="123"/>
  <c r="D25" i="123"/>
  <c r="C25" i="123"/>
  <c r="D24" i="123"/>
  <c r="C24" i="123"/>
  <c r="D23" i="123"/>
  <c r="C23" i="123"/>
  <c r="D22" i="123"/>
  <c r="C22" i="123"/>
  <c r="D21" i="123"/>
  <c r="C21" i="123"/>
  <c r="D20" i="123"/>
  <c r="C20" i="123"/>
  <c r="D19" i="123"/>
  <c r="C19" i="123"/>
  <c r="D18" i="123"/>
  <c r="C18" i="123"/>
  <c r="D17" i="123"/>
  <c r="C17" i="123"/>
  <c r="D16" i="123"/>
  <c r="C16" i="123"/>
  <c r="D15" i="123"/>
  <c r="C15" i="123"/>
  <c r="D14" i="123"/>
  <c r="C14" i="123"/>
  <c r="D13" i="123"/>
  <c r="C13" i="123"/>
  <c r="D12" i="123"/>
  <c r="C12" i="123"/>
  <c r="D11" i="123"/>
  <c r="C11" i="123"/>
  <c r="D10" i="123"/>
  <c r="C10" i="123"/>
  <c r="D9" i="123"/>
  <c r="C9" i="123"/>
  <c r="D8" i="123"/>
  <c r="C8" i="123"/>
  <c r="D7" i="123"/>
  <c r="C7" i="123"/>
  <c r="D6" i="123"/>
  <c r="C6" i="123"/>
  <c r="D5" i="123"/>
  <c r="C5" i="123"/>
  <c r="D4" i="123"/>
  <c r="C4" i="123"/>
  <c r="D3" i="123"/>
  <c r="C3" i="123"/>
  <c r="A25" i="123"/>
  <c r="A24" i="123"/>
  <c r="A4" i="123"/>
  <c r="B3" i="123"/>
  <c r="G78" i="115"/>
  <c r="G77" i="115"/>
  <c r="G76" i="115"/>
  <c r="G75" i="115"/>
  <c r="G74" i="115"/>
  <c r="G73" i="115"/>
  <c r="G72" i="115"/>
  <c r="G71" i="115"/>
  <c r="G70" i="115"/>
  <c r="G69" i="115"/>
  <c r="G68" i="115"/>
  <c r="G67" i="115"/>
  <c r="G66" i="115"/>
  <c r="G65" i="115"/>
  <c r="G64" i="115"/>
  <c r="G63" i="115"/>
  <c r="G62" i="115"/>
  <c r="G61" i="115"/>
  <c r="G60" i="115"/>
  <c r="G59" i="115"/>
  <c r="G58" i="115"/>
  <c r="G57" i="115"/>
  <c r="G56" i="115"/>
  <c r="G55" i="115"/>
  <c r="G54" i="115"/>
  <c r="G53" i="115"/>
  <c r="G52" i="115"/>
  <c r="G51" i="115"/>
  <c r="G50" i="115"/>
  <c r="G49" i="115"/>
  <c r="G48" i="115"/>
  <c r="G47" i="115"/>
  <c r="G46" i="115"/>
  <c r="G45" i="115"/>
  <c r="G44" i="115"/>
  <c r="G43" i="115"/>
  <c r="G42" i="115"/>
  <c r="G41" i="115"/>
  <c r="G40" i="115"/>
  <c r="G39" i="115"/>
  <c r="G38" i="115"/>
  <c r="G37" i="115"/>
  <c r="G36" i="115"/>
  <c r="G35" i="115"/>
  <c r="G34" i="115"/>
  <c r="G33" i="115"/>
  <c r="G32" i="115"/>
  <c r="G31" i="115"/>
  <c r="G30" i="115"/>
  <c r="G29" i="115"/>
  <c r="G28" i="115"/>
  <c r="G27" i="115"/>
  <c r="G26" i="115"/>
  <c r="G25" i="115"/>
  <c r="G24" i="115"/>
  <c r="G23" i="115"/>
  <c r="G22" i="115"/>
  <c r="G21" i="115"/>
  <c r="G20" i="115"/>
  <c r="G19" i="115"/>
  <c r="G18" i="115"/>
  <c r="G17" i="115"/>
  <c r="G16" i="115"/>
  <c r="G15" i="115"/>
  <c r="G14" i="115"/>
  <c r="G13" i="115"/>
  <c r="G12" i="115"/>
  <c r="G11" i="115"/>
  <c r="XFD1048575" i="122" a="1"/>
  <c r="XFD1048575" i="122" s="1"/>
  <c r="XFD1048574" i="122" a="1"/>
  <c r="XFD1048574" i="122" s="1"/>
  <c r="XFD1048573" i="122" a="1"/>
  <c r="XFD1048573" i="122" s="1"/>
  <c r="XFD1048572" i="122" a="1"/>
  <c r="XFD1048572" i="122" s="1"/>
  <c r="XFD1048571" i="122" a="1"/>
  <c r="XFD1048571" i="122" s="1"/>
  <c r="XFD1048570" i="122" a="1"/>
  <c r="XFD1048570" i="122" s="1"/>
  <c r="XFD1048569" i="122" a="1"/>
  <c r="XFD1048569" i="122" s="1"/>
  <c r="XFD1048568" i="122" a="1"/>
  <c r="XFD1048568" i="122" s="1"/>
  <c r="XFD1048567" i="122" a="1"/>
  <c r="XFD1048567" i="122" s="1"/>
  <c r="XFD1048566" i="122" a="1"/>
  <c r="XFD1048566" i="122" s="1"/>
  <c r="XFD1048565" i="122" a="1"/>
  <c r="XFD1048565" i="122" s="1"/>
  <c r="XFD1048564" i="122"/>
  <c r="XFD1048564" i="122" a="1"/>
  <c r="XFD1048563" i="122" a="1"/>
  <c r="XFD1048563" i="122" s="1"/>
  <c r="XFD1048562" i="122" a="1"/>
  <c r="XFD1048562" i="122" s="1"/>
  <c r="XFD1048561" i="122"/>
  <c r="XFD1048560" i="122"/>
  <c r="XFD1048559" i="122"/>
  <c r="XFD1048558" i="122"/>
  <c r="XFD1048557" i="122"/>
  <c r="XFD1048556" i="122"/>
  <c r="XFD1048555" i="122" a="1"/>
  <c r="XFD1048555" i="122" s="1"/>
  <c r="XFD1048554" i="122"/>
  <c r="XFD1048553" i="122"/>
  <c r="XFD1048552" i="122"/>
  <c r="XFD1048551" i="122"/>
  <c r="XFD1048550" i="122"/>
  <c r="V78" i="122"/>
  <c r="J78" i="122"/>
  <c r="H78" i="122"/>
  <c r="F78" i="122"/>
  <c r="R78" i="122" s="1"/>
  <c r="C78" i="122"/>
  <c r="B78" i="122"/>
  <c r="A78" i="122"/>
  <c r="V77" i="122"/>
  <c r="J77" i="122"/>
  <c r="H77" i="122"/>
  <c r="F77" i="122"/>
  <c r="R77" i="122" s="1"/>
  <c r="C77" i="122"/>
  <c r="B77" i="122"/>
  <c r="A77" i="122"/>
  <c r="C76" i="122"/>
  <c r="B76" i="122"/>
  <c r="F76" i="122" s="1"/>
  <c r="A76" i="122"/>
  <c r="C75" i="122"/>
  <c r="B75" i="122"/>
  <c r="A75" i="122"/>
  <c r="C74" i="122"/>
  <c r="B74" i="122"/>
  <c r="A74" i="122"/>
  <c r="BC73" i="122"/>
  <c r="F73" i="122"/>
  <c r="C73" i="122"/>
  <c r="G73" i="122" s="1"/>
  <c r="B73" i="122"/>
  <c r="A73" i="122"/>
  <c r="BC72" i="122"/>
  <c r="C72" i="122"/>
  <c r="B72" i="122"/>
  <c r="A72" i="122"/>
  <c r="BC71" i="122"/>
  <c r="C71" i="122"/>
  <c r="G71" i="122" s="1"/>
  <c r="AI22" i="122" s="1"/>
  <c r="AJ22" i="122" s="1"/>
  <c r="B71" i="122"/>
  <c r="A71" i="122"/>
  <c r="BC70" i="122"/>
  <c r="G70" i="122"/>
  <c r="F70" i="122"/>
  <c r="D70" i="122"/>
  <c r="C70" i="122"/>
  <c r="B70" i="122"/>
  <c r="A70" i="122"/>
  <c r="BC69" i="122"/>
  <c r="J69" i="122"/>
  <c r="F69" i="122"/>
  <c r="D69" i="122"/>
  <c r="C69" i="122"/>
  <c r="B69" i="122"/>
  <c r="A69" i="122"/>
  <c r="BC68" i="122"/>
  <c r="J68" i="122"/>
  <c r="D68" i="122"/>
  <c r="C68" i="122"/>
  <c r="B68" i="122"/>
  <c r="F68" i="122" s="1"/>
  <c r="A68" i="122"/>
  <c r="BC67" i="122"/>
  <c r="X67" i="122"/>
  <c r="V67" i="122"/>
  <c r="L67" i="122"/>
  <c r="J67" i="122"/>
  <c r="F67" i="122"/>
  <c r="R67" i="122" s="1"/>
  <c r="D67" i="122"/>
  <c r="C67" i="122"/>
  <c r="G67" i="122" s="1"/>
  <c r="W67" i="122" s="1"/>
  <c r="B67" i="122"/>
  <c r="A67" i="122"/>
  <c r="BC66" i="122"/>
  <c r="X66" i="122"/>
  <c r="L66" i="122"/>
  <c r="F66" i="122"/>
  <c r="V66" i="122" s="1"/>
  <c r="D66" i="122"/>
  <c r="C66" i="122"/>
  <c r="B66" i="122"/>
  <c r="A66" i="122"/>
  <c r="BC65" i="122"/>
  <c r="X65" i="122"/>
  <c r="N65" i="122"/>
  <c r="L65" i="122"/>
  <c r="M65" i="122" s="1"/>
  <c r="G65" i="122"/>
  <c r="Y65" i="122" s="1"/>
  <c r="F65" i="122"/>
  <c r="V65" i="122" s="1"/>
  <c r="D65" i="122"/>
  <c r="C65" i="122"/>
  <c r="B65" i="122"/>
  <c r="A65" i="122"/>
  <c r="BC64" i="122"/>
  <c r="V64" i="122"/>
  <c r="W64" i="122" s="1"/>
  <c r="N64" i="122"/>
  <c r="O64" i="122" s="1"/>
  <c r="J64" i="122"/>
  <c r="G64" i="122"/>
  <c r="F64" i="122"/>
  <c r="X64" i="122" s="1"/>
  <c r="D64" i="122"/>
  <c r="C64" i="122"/>
  <c r="B64" i="122"/>
  <c r="A64" i="122"/>
  <c r="BC63" i="122"/>
  <c r="F75" i="122" s="1"/>
  <c r="V63" i="122"/>
  <c r="P63" i="122"/>
  <c r="N63" i="122"/>
  <c r="L63" i="122"/>
  <c r="J63" i="122"/>
  <c r="G63" i="122"/>
  <c r="F63" i="122"/>
  <c r="X63" i="122" s="1"/>
  <c r="D63" i="122"/>
  <c r="C63" i="122"/>
  <c r="B63" i="122"/>
  <c r="A63" i="122"/>
  <c r="BC62" i="122"/>
  <c r="P62" i="122"/>
  <c r="Q62" i="122" s="1"/>
  <c r="L62" i="122"/>
  <c r="M62" i="122" s="1"/>
  <c r="J62" i="122"/>
  <c r="K62" i="122" s="1"/>
  <c r="G62" i="122"/>
  <c r="D62" i="122"/>
  <c r="C62" i="122"/>
  <c r="B62" i="122"/>
  <c r="F62" i="122" s="1"/>
  <c r="A62" i="122"/>
  <c r="BC61" i="122"/>
  <c r="F72" i="122" s="1"/>
  <c r="X61" i="122"/>
  <c r="V61" i="122"/>
  <c r="L61" i="122"/>
  <c r="C61" i="122"/>
  <c r="B61" i="122"/>
  <c r="F61" i="122" s="1"/>
  <c r="A61" i="122"/>
  <c r="BC60" i="122"/>
  <c r="V60" i="122"/>
  <c r="W60" i="122" s="1"/>
  <c r="R60" i="122"/>
  <c r="S60" i="122" s="1"/>
  <c r="P60" i="122"/>
  <c r="Q60" i="122" s="1"/>
  <c r="N60" i="122"/>
  <c r="O60" i="122" s="1"/>
  <c r="L60" i="122"/>
  <c r="M60" i="122" s="1"/>
  <c r="J60" i="122"/>
  <c r="K60" i="122" s="1"/>
  <c r="C60" i="122"/>
  <c r="B60" i="122"/>
  <c r="F60" i="122" s="1"/>
  <c r="G60" i="122" s="1"/>
  <c r="A60" i="122"/>
  <c r="BC59" i="122"/>
  <c r="J59" i="122"/>
  <c r="C59" i="122"/>
  <c r="B59" i="122"/>
  <c r="F59" i="122" s="1"/>
  <c r="X59" i="122" s="1"/>
  <c r="A59" i="122"/>
  <c r="BC58" i="122"/>
  <c r="J58" i="122"/>
  <c r="C58" i="122"/>
  <c r="B58" i="122"/>
  <c r="F58" i="122" s="1"/>
  <c r="X58" i="122" s="1"/>
  <c r="A58" i="122"/>
  <c r="BC57" i="122"/>
  <c r="N57" i="122"/>
  <c r="C57" i="122"/>
  <c r="B57" i="122"/>
  <c r="F57" i="122" s="1"/>
  <c r="X57" i="122" s="1"/>
  <c r="A57" i="122"/>
  <c r="BC56" i="122"/>
  <c r="AC56" i="122"/>
  <c r="N56" i="122"/>
  <c r="F56" i="122"/>
  <c r="X56" i="122" s="1"/>
  <c r="C56" i="122"/>
  <c r="B56" i="122"/>
  <c r="A56" i="122"/>
  <c r="BC55" i="122"/>
  <c r="P55" i="122"/>
  <c r="N55" i="122"/>
  <c r="F55" i="122"/>
  <c r="C55" i="122"/>
  <c r="B55" i="122"/>
  <c r="A55" i="122"/>
  <c r="BC54" i="122"/>
  <c r="AC54" i="122"/>
  <c r="V54" i="122"/>
  <c r="N54" i="122"/>
  <c r="J54" i="122"/>
  <c r="F54" i="122"/>
  <c r="C54" i="122"/>
  <c r="B54" i="122"/>
  <c r="A54" i="122"/>
  <c r="BC53" i="122"/>
  <c r="T53" i="122"/>
  <c r="R53" i="122"/>
  <c r="P53" i="122"/>
  <c r="N53" i="122"/>
  <c r="J53" i="122"/>
  <c r="F53" i="122"/>
  <c r="V53" i="122" s="1"/>
  <c r="C53" i="122"/>
  <c r="B53" i="122"/>
  <c r="A53" i="122"/>
  <c r="BC52" i="122"/>
  <c r="F23" i="122" s="1"/>
  <c r="R23" i="122" s="1"/>
  <c r="AC52" i="122"/>
  <c r="H52" i="122"/>
  <c r="C52" i="122"/>
  <c r="B52" i="122"/>
  <c r="F52" i="122" s="1"/>
  <c r="A52" i="122"/>
  <c r="BC51" i="122"/>
  <c r="R51" i="122"/>
  <c r="P51" i="122"/>
  <c r="L51" i="122"/>
  <c r="J51" i="122"/>
  <c r="F51" i="122"/>
  <c r="N51" i="122" s="1"/>
  <c r="C51" i="122"/>
  <c r="B51" i="122"/>
  <c r="A51" i="122"/>
  <c r="BC50" i="122"/>
  <c r="F50" i="122"/>
  <c r="C50" i="122"/>
  <c r="G50" i="122" s="1"/>
  <c r="AI16" i="122" s="1"/>
  <c r="B50" i="122"/>
  <c r="A50" i="122"/>
  <c r="BC49" i="122"/>
  <c r="F49" i="122"/>
  <c r="D49" i="122"/>
  <c r="C49" i="122"/>
  <c r="B49" i="122"/>
  <c r="A49" i="122"/>
  <c r="BC48" i="122"/>
  <c r="T48" i="122"/>
  <c r="R48" i="122"/>
  <c r="H48" i="122"/>
  <c r="F48" i="122"/>
  <c r="X48" i="122" s="1"/>
  <c r="D48" i="122"/>
  <c r="C48" i="122"/>
  <c r="B48" i="122"/>
  <c r="A48" i="122"/>
  <c r="BC47" i="122"/>
  <c r="F71" i="122" s="1"/>
  <c r="D47" i="122"/>
  <c r="C47" i="122"/>
  <c r="B47" i="122"/>
  <c r="A47" i="122"/>
  <c r="BC46" i="122"/>
  <c r="X46" i="122"/>
  <c r="N46" i="122"/>
  <c r="C46" i="122"/>
  <c r="B46" i="122"/>
  <c r="F46" i="122" s="1"/>
  <c r="A46" i="122"/>
  <c r="BC45" i="122"/>
  <c r="V45" i="122"/>
  <c r="R45" i="122"/>
  <c r="P45" i="122"/>
  <c r="N45" i="122"/>
  <c r="L45" i="122"/>
  <c r="C45" i="122"/>
  <c r="B45" i="122"/>
  <c r="F45" i="122" s="1"/>
  <c r="J45" i="122" s="1"/>
  <c r="A45" i="122"/>
  <c r="BC44" i="122"/>
  <c r="X44" i="122"/>
  <c r="V44" i="122"/>
  <c r="L44" i="122"/>
  <c r="C44" i="122"/>
  <c r="B44" i="122"/>
  <c r="F44" i="122" s="1"/>
  <c r="A44" i="122"/>
  <c r="BC43" i="122"/>
  <c r="F12" i="122" s="1"/>
  <c r="R43" i="122"/>
  <c r="P43" i="122"/>
  <c r="N43" i="122"/>
  <c r="L43" i="122"/>
  <c r="J43" i="122"/>
  <c r="C43" i="122"/>
  <c r="B43" i="122"/>
  <c r="F43" i="122" s="1"/>
  <c r="X43" i="122" s="1"/>
  <c r="A43" i="122"/>
  <c r="BC42" i="122"/>
  <c r="F42" i="122"/>
  <c r="C42" i="122"/>
  <c r="B42" i="122"/>
  <c r="A42" i="122"/>
  <c r="BC41" i="122"/>
  <c r="L41" i="122"/>
  <c r="F41" i="122"/>
  <c r="R41" i="122" s="1"/>
  <c r="C41" i="122"/>
  <c r="B41" i="122"/>
  <c r="A41" i="122"/>
  <c r="BC40" i="122"/>
  <c r="R40" i="122"/>
  <c r="F40" i="122"/>
  <c r="X40" i="122" s="1"/>
  <c r="C40" i="122"/>
  <c r="B40" i="122"/>
  <c r="A40" i="122"/>
  <c r="BC39" i="122"/>
  <c r="R39" i="122"/>
  <c r="P39" i="122"/>
  <c r="N39" i="122"/>
  <c r="L39" i="122"/>
  <c r="F39" i="122"/>
  <c r="X39" i="122" s="1"/>
  <c r="C39" i="122"/>
  <c r="B39" i="122"/>
  <c r="A39" i="122"/>
  <c r="BC38" i="122"/>
  <c r="C38" i="122"/>
  <c r="B38" i="122"/>
  <c r="F38" i="122" s="1"/>
  <c r="A38" i="122"/>
  <c r="BC37" i="122"/>
  <c r="C37" i="122"/>
  <c r="B37" i="122"/>
  <c r="F37" i="122" s="1"/>
  <c r="J37" i="122" s="1"/>
  <c r="A37" i="122"/>
  <c r="BC36" i="122"/>
  <c r="F36" i="122"/>
  <c r="C36" i="122"/>
  <c r="G36" i="122" s="1"/>
  <c r="B36" i="122"/>
  <c r="A36" i="122"/>
  <c r="BC35" i="122"/>
  <c r="C35" i="122"/>
  <c r="B35" i="122"/>
  <c r="A35" i="122"/>
  <c r="BC34" i="122"/>
  <c r="F11" i="122" s="1"/>
  <c r="C34" i="122"/>
  <c r="B34" i="122"/>
  <c r="F34" i="122" s="1"/>
  <c r="A34" i="122"/>
  <c r="BC33" i="122"/>
  <c r="P33" i="122"/>
  <c r="F33" i="122"/>
  <c r="R33" i="122" s="1"/>
  <c r="C33" i="122"/>
  <c r="B33" i="122"/>
  <c r="A33" i="122"/>
  <c r="BC32" i="122"/>
  <c r="C32" i="122"/>
  <c r="B32" i="122"/>
  <c r="F32" i="122" s="1"/>
  <c r="A32" i="122"/>
  <c r="BC31" i="122"/>
  <c r="F10" i="122" s="1"/>
  <c r="F31" i="122"/>
  <c r="C31" i="122"/>
  <c r="H31" i="122" s="1"/>
  <c r="H30" i="122" s="1"/>
  <c r="B31" i="122"/>
  <c r="A31" i="122"/>
  <c r="P30" i="122"/>
  <c r="N30" i="122"/>
  <c r="F30" i="122"/>
  <c r="R30" i="122" s="1"/>
  <c r="C30" i="122"/>
  <c r="B30" i="122"/>
  <c r="A30" i="122"/>
  <c r="C29" i="122"/>
  <c r="B29" i="122"/>
  <c r="F29" i="122" s="1"/>
  <c r="A29" i="122"/>
  <c r="C28" i="122"/>
  <c r="B28" i="122"/>
  <c r="F28" i="122" s="1"/>
  <c r="A28" i="122"/>
  <c r="C27" i="122"/>
  <c r="B27" i="122"/>
  <c r="A27" i="122"/>
  <c r="D26" i="122"/>
  <c r="C26" i="122"/>
  <c r="H25" i="122" s="1"/>
  <c r="B26" i="122"/>
  <c r="A26" i="122"/>
  <c r="D25" i="122"/>
  <c r="C25" i="122"/>
  <c r="H22" i="122" s="1"/>
  <c r="H21" i="122" s="1"/>
  <c r="B25" i="122"/>
  <c r="A25" i="122"/>
  <c r="D24" i="122"/>
  <c r="C24" i="122"/>
  <c r="B24" i="122"/>
  <c r="A24" i="122"/>
  <c r="X23" i="122"/>
  <c r="D23" i="122"/>
  <c r="C23" i="122"/>
  <c r="B23" i="122"/>
  <c r="A23" i="122"/>
  <c r="D22" i="122"/>
  <c r="C22" i="122"/>
  <c r="H24" i="122" s="1"/>
  <c r="B22" i="122"/>
  <c r="A22" i="122"/>
  <c r="AH21" i="122"/>
  <c r="AR21" i="122" s="1"/>
  <c r="D21" i="122"/>
  <c r="C21" i="122"/>
  <c r="B21" i="122"/>
  <c r="A21" i="122"/>
  <c r="AH20" i="122"/>
  <c r="AR20" i="122" s="1"/>
  <c r="N20" i="122"/>
  <c r="F20" i="122"/>
  <c r="R20" i="122" s="1"/>
  <c r="C20" i="122"/>
  <c r="B20" i="122"/>
  <c r="A20" i="122"/>
  <c r="AH19" i="122"/>
  <c r="Y19" i="122"/>
  <c r="X19" i="122"/>
  <c r="N19" i="122"/>
  <c r="O19" i="122" s="1"/>
  <c r="L19" i="122"/>
  <c r="M19" i="122" s="1"/>
  <c r="J19" i="122"/>
  <c r="G19" i="122"/>
  <c r="C19" i="122"/>
  <c r="B19" i="122"/>
  <c r="F19" i="122" s="1"/>
  <c r="R19" i="122" s="1"/>
  <c r="A19" i="122"/>
  <c r="R18" i="122"/>
  <c r="L18" i="122"/>
  <c r="J18" i="122"/>
  <c r="F18" i="122"/>
  <c r="V18" i="122" s="1"/>
  <c r="C18" i="122"/>
  <c r="G18" i="122" s="1"/>
  <c r="B18" i="122"/>
  <c r="A18" i="122"/>
  <c r="AH17" i="122"/>
  <c r="AR17" i="122" s="1"/>
  <c r="P17" i="122"/>
  <c r="C17" i="122"/>
  <c r="B17" i="122"/>
  <c r="F17" i="122" s="1"/>
  <c r="A17" i="122"/>
  <c r="R16" i="122"/>
  <c r="S16" i="122" s="1"/>
  <c r="P16" i="122"/>
  <c r="Q16" i="122" s="1"/>
  <c r="N16" i="122"/>
  <c r="O16" i="122" s="1"/>
  <c r="C16" i="122"/>
  <c r="G16" i="122" s="1"/>
  <c r="B16" i="122"/>
  <c r="F16" i="122" s="1"/>
  <c r="A16" i="122"/>
  <c r="AG15" i="122"/>
  <c r="T15" i="122"/>
  <c r="C15" i="122"/>
  <c r="B15" i="122"/>
  <c r="F15" i="122" s="1"/>
  <c r="R15" i="122" s="1"/>
  <c r="A15" i="122"/>
  <c r="AG14" i="122"/>
  <c r="X14" i="122"/>
  <c r="J14" i="122"/>
  <c r="H14" i="122"/>
  <c r="F14" i="122"/>
  <c r="P14" i="122" s="1"/>
  <c r="C14" i="122"/>
  <c r="H15" i="122" s="1"/>
  <c r="B14" i="122"/>
  <c r="A14" i="122"/>
  <c r="AG13" i="122"/>
  <c r="X13" i="122"/>
  <c r="P13" i="122"/>
  <c r="Q13" i="122" s="1"/>
  <c r="N13" i="122"/>
  <c r="L13" i="122"/>
  <c r="J13" i="122"/>
  <c r="F13" i="122"/>
  <c r="V13" i="122" s="1"/>
  <c r="W13" i="122" s="1"/>
  <c r="C13" i="122"/>
  <c r="G13" i="122" s="1"/>
  <c r="B13" i="122"/>
  <c r="A13" i="122"/>
  <c r="C12" i="122"/>
  <c r="B12" i="122"/>
  <c r="A12" i="122"/>
  <c r="C11" i="122"/>
  <c r="B11" i="122"/>
  <c r="A11" i="122"/>
  <c r="C10" i="122"/>
  <c r="B10" i="122"/>
  <c r="A10" i="122"/>
  <c r="AH9" i="122"/>
  <c r="AR9" i="122" s="1"/>
  <c r="AJ8" i="122"/>
  <c r="AJ6" i="122"/>
  <c r="AA6" i="122"/>
  <c r="AJ5" i="122"/>
  <c r="AH5" i="122"/>
  <c r="AR5" i="122" s="1"/>
  <c r="AJ4" i="122"/>
  <c r="AG2" i="122"/>
  <c r="T2" i="122"/>
  <c r="AI12" i="115"/>
  <c r="AJ12" i="115" s="1"/>
  <c r="AI13" i="115"/>
  <c r="AJ13" i="115" s="1"/>
  <c r="AI20" i="115"/>
  <c r="AJ20" i="115" s="1"/>
  <c r="AN20" i="115" s="1"/>
  <c r="C75" i="119"/>
  <c r="B75" i="119"/>
  <c r="C74" i="119"/>
  <c r="B74" i="119"/>
  <c r="C72" i="119"/>
  <c r="B72" i="119"/>
  <c r="V72" i="119" s="1"/>
  <c r="C61" i="119"/>
  <c r="B61" i="119"/>
  <c r="AL23" i="119"/>
  <c r="AK23" i="119"/>
  <c r="AI23" i="119"/>
  <c r="AH23" i="119"/>
  <c r="AO23" i="119" s="1"/>
  <c r="AJ21" i="119"/>
  <c r="AI21" i="119"/>
  <c r="AH21" i="119"/>
  <c r="P203" i="120"/>
  <c r="N203" i="120"/>
  <c r="M203" i="120"/>
  <c r="L203" i="120"/>
  <c r="K203" i="120"/>
  <c r="J203" i="120"/>
  <c r="I203" i="120"/>
  <c r="P202" i="120"/>
  <c r="N202" i="120"/>
  <c r="M202" i="120"/>
  <c r="L202" i="120"/>
  <c r="K202" i="120"/>
  <c r="J202" i="120"/>
  <c r="I202" i="120"/>
  <c r="P201" i="120"/>
  <c r="N201" i="120"/>
  <c r="M201" i="120"/>
  <c r="L201" i="120"/>
  <c r="K201" i="120"/>
  <c r="J201" i="120"/>
  <c r="I201" i="120"/>
  <c r="P200" i="120"/>
  <c r="N200" i="120"/>
  <c r="M200" i="120"/>
  <c r="L200" i="120"/>
  <c r="K200" i="120"/>
  <c r="J200" i="120"/>
  <c r="I200" i="120"/>
  <c r="P199" i="120"/>
  <c r="N199" i="120"/>
  <c r="M199" i="120"/>
  <c r="L199" i="120"/>
  <c r="K199" i="120"/>
  <c r="J199" i="120"/>
  <c r="I199" i="120"/>
  <c r="P198" i="120"/>
  <c r="N198" i="120"/>
  <c r="M198" i="120"/>
  <c r="L198" i="120"/>
  <c r="K198" i="120"/>
  <c r="J198" i="120"/>
  <c r="I198" i="120"/>
  <c r="P197" i="120"/>
  <c r="N197" i="120"/>
  <c r="M197" i="120"/>
  <c r="L197" i="120"/>
  <c r="K197" i="120"/>
  <c r="J197" i="120"/>
  <c r="I197" i="120"/>
  <c r="P196" i="120"/>
  <c r="N196" i="120"/>
  <c r="M196" i="120"/>
  <c r="L196" i="120"/>
  <c r="K196" i="120"/>
  <c r="J196" i="120"/>
  <c r="I196" i="120"/>
  <c r="P195" i="120"/>
  <c r="N195" i="120"/>
  <c r="M195" i="120"/>
  <c r="L195" i="120"/>
  <c r="K195" i="120"/>
  <c r="J195" i="120"/>
  <c r="I195" i="120"/>
  <c r="P194" i="120"/>
  <c r="N194" i="120"/>
  <c r="M194" i="120"/>
  <c r="L194" i="120"/>
  <c r="K194" i="120"/>
  <c r="J194" i="120"/>
  <c r="I194" i="120"/>
  <c r="P193" i="120"/>
  <c r="N193" i="120"/>
  <c r="M193" i="120"/>
  <c r="L193" i="120"/>
  <c r="K193" i="120"/>
  <c r="J193" i="120"/>
  <c r="I193" i="120"/>
  <c r="P192" i="120"/>
  <c r="N192" i="120"/>
  <c r="M192" i="120"/>
  <c r="L192" i="120"/>
  <c r="K192" i="120"/>
  <c r="J192" i="120"/>
  <c r="I192" i="120"/>
  <c r="P191" i="120"/>
  <c r="N191" i="120"/>
  <c r="M191" i="120"/>
  <c r="L191" i="120"/>
  <c r="K191" i="120"/>
  <c r="J191" i="120"/>
  <c r="I191" i="120"/>
  <c r="P190" i="120"/>
  <c r="N190" i="120"/>
  <c r="M190" i="120"/>
  <c r="L190" i="120"/>
  <c r="K190" i="120"/>
  <c r="J190" i="120"/>
  <c r="I190" i="120"/>
  <c r="P189" i="120"/>
  <c r="N189" i="120"/>
  <c r="M189" i="120"/>
  <c r="L189" i="120"/>
  <c r="K189" i="120"/>
  <c r="J189" i="120"/>
  <c r="I189" i="120"/>
  <c r="P188" i="120"/>
  <c r="N188" i="120"/>
  <c r="M188" i="120"/>
  <c r="L188" i="120"/>
  <c r="K188" i="120"/>
  <c r="J188" i="120"/>
  <c r="I188" i="120"/>
  <c r="P187" i="120"/>
  <c r="N187" i="120"/>
  <c r="M187" i="120"/>
  <c r="L187" i="120"/>
  <c r="K187" i="120"/>
  <c r="J187" i="120"/>
  <c r="I187" i="120"/>
  <c r="P186" i="120"/>
  <c r="N186" i="120"/>
  <c r="M186" i="120"/>
  <c r="L186" i="120"/>
  <c r="K186" i="120"/>
  <c r="J186" i="120"/>
  <c r="I186" i="120"/>
  <c r="P185" i="120"/>
  <c r="N185" i="120"/>
  <c r="M185" i="120"/>
  <c r="L185" i="120"/>
  <c r="K185" i="120"/>
  <c r="J185" i="120"/>
  <c r="I185" i="120"/>
  <c r="P184" i="120"/>
  <c r="N184" i="120"/>
  <c r="M184" i="120"/>
  <c r="L184" i="120"/>
  <c r="K184" i="120"/>
  <c r="J184" i="120"/>
  <c r="I184" i="120"/>
  <c r="P183" i="120"/>
  <c r="N183" i="120"/>
  <c r="M183" i="120"/>
  <c r="L183" i="120"/>
  <c r="K183" i="120"/>
  <c r="J183" i="120"/>
  <c r="I183" i="120"/>
  <c r="P182" i="120"/>
  <c r="N182" i="120"/>
  <c r="M182" i="120"/>
  <c r="L182" i="120"/>
  <c r="K182" i="120"/>
  <c r="J182" i="120"/>
  <c r="I182" i="120"/>
  <c r="P181" i="120"/>
  <c r="N181" i="120"/>
  <c r="M181" i="120"/>
  <c r="L181" i="120"/>
  <c r="K181" i="120"/>
  <c r="J181" i="120"/>
  <c r="I181" i="120"/>
  <c r="P180" i="120"/>
  <c r="N180" i="120"/>
  <c r="M180" i="120"/>
  <c r="L180" i="120"/>
  <c r="K180" i="120"/>
  <c r="J180" i="120"/>
  <c r="I180" i="120"/>
  <c r="P179" i="120"/>
  <c r="N179" i="120"/>
  <c r="M179" i="120"/>
  <c r="L179" i="120"/>
  <c r="K179" i="120"/>
  <c r="J179" i="120"/>
  <c r="I179" i="120"/>
  <c r="P178" i="120"/>
  <c r="N178" i="120"/>
  <c r="M178" i="120"/>
  <c r="L178" i="120"/>
  <c r="K178" i="120"/>
  <c r="J178" i="120"/>
  <c r="I178" i="120"/>
  <c r="P177" i="120"/>
  <c r="N177" i="120"/>
  <c r="M177" i="120"/>
  <c r="L177" i="120"/>
  <c r="K177" i="120"/>
  <c r="J177" i="120"/>
  <c r="I177" i="120"/>
  <c r="P176" i="120"/>
  <c r="N176" i="120"/>
  <c r="M176" i="120"/>
  <c r="L176" i="120"/>
  <c r="K176" i="120"/>
  <c r="J176" i="120"/>
  <c r="I176" i="120"/>
  <c r="P175" i="120"/>
  <c r="N175" i="120"/>
  <c r="M175" i="120"/>
  <c r="L175" i="120"/>
  <c r="K175" i="120"/>
  <c r="J175" i="120"/>
  <c r="I175" i="120"/>
  <c r="P174" i="120"/>
  <c r="N174" i="120"/>
  <c r="M174" i="120"/>
  <c r="L174" i="120"/>
  <c r="K174" i="120"/>
  <c r="J174" i="120"/>
  <c r="I174" i="120"/>
  <c r="P173" i="120"/>
  <c r="N173" i="120"/>
  <c r="M173" i="120"/>
  <c r="L173" i="120"/>
  <c r="K173" i="120"/>
  <c r="J173" i="120"/>
  <c r="I173" i="120"/>
  <c r="P172" i="120"/>
  <c r="N172" i="120"/>
  <c r="M172" i="120"/>
  <c r="L172" i="120"/>
  <c r="K172" i="120"/>
  <c r="J172" i="120"/>
  <c r="I172" i="120"/>
  <c r="P171" i="120"/>
  <c r="N171" i="120"/>
  <c r="M171" i="120"/>
  <c r="L171" i="120"/>
  <c r="K171" i="120"/>
  <c r="J171" i="120"/>
  <c r="I171" i="120"/>
  <c r="P170" i="120"/>
  <c r="N170" i="120"/>
  <c r="M170" i="120"/>
  <c r="L170" i="120"/>
  <c r="K170" i="120"/>
  <c r="J170" i="120"/>
  <c r="I170" i="120"/>
  <c r="P169" i="120"/>
  <c r="N169" i="120"/>
  <c r="M169" i="120"/>
  <c r="L169" i="120"/>
  <c r="K169" i="120"/>
  <c r="J169" i="120"/>
  <c r="I169" i="120"/>
  <c r="P168" i="120"/>
  <c r="N168" i="120"/>
  <c r="M168" i="120"/>
  <c r="L168" i="120"/>
  <c r="K168" i="120"/>
  <c r="J168" i="120"/>
  <c r="I168" i="120"/>
  <c r="P167" i="120"/>
  <c r="N167" i="120"/>
  <c r="M167" i="120"/>
  <c r="L167" i="120"/>
  <c r="K167" i="120"/>
  <c r="J167" i="120"/>
  <c r="I167" i="120"/>
  <c r="P166" i="120"/>
  <c r="N166" i="120"/>
  <c r="M166" i="120"/>
  <c r="L166" i="120"/>
  <c r="K166" i="120"/>
  <c r="J166" i="120"/>
  <c r="I166" i="120"/>
  <c r="P165" i="120"/>
  <c r="N165" i="120"/>
  <c r="M165" i="120"/>
  <c r="L165" i="120"/>
  <c r="K165" i="120"/>
  <c r="J165" i="120"/>
  <c r="I165" i="120"/>
  <c r="P164" i="120"/>
  <c r="N164" i="120"/>
  <c r="M164" i="120"/>
  <c r="L164" i="120"/>
  <c r="K164" i="120"/>
  <c r="J164" i="120"/>
  <c r="I164" i="120"/>
  <c r="P163" i="120"/>
  <c r="N163" i="120"/>
  <c r="M163" i="120"/>
  <c r="L163" i="120"/>
  <c r="K163" i="120"/>
  <c r="J163" i="120"/>
  <c r="I163" i="120"/>
  <c r="P162" i="120"/>
  <c r="N162" i="120"/>
  <c r="M162" i="120"/>
  <c r="L162" i="120"/>
  <c r="K162" i="120"/>
  <c r="J162" i="120"/>
  <c r="I162" i="120"/>
  <c r="P161" i="120"/>
  <c r="N161" i="120"/>
  <c r="M161" i="120"/>
  <c r="L161" i="120"/>
  <c r="K161" i="120"/>
  <c r="J161" i="120"/>
  <c r="I161" i="120"/>
  <c r="P160" i="120"/>
  <c r="N160" i="120"/>
  <c r="M160" i="120"/>
  <c r="L160" i="120"/>
  <c r="K160" i="120"/>
  <c r="J160" i="120"/>
  <c r="I160" i="120"/>
  <c r="P159" i="120"/>
  <c r="N159" i="120"/>
  <c r="M159" i="120"/>
  <c r="L159" i="120"/>
  <c r="K159" i="120"/>
  <c r="J159" i="120"/>
  <c r="I159" i="120"/>
  <c r="P158" i="120"/>
  <c r="N158" i="120"/>
  <c r="M158" i="120"/>
  <c r="L158" i="120"/>
  <c r="K158" i="120"/>
  <c r="J158" i="120"/>
  <c r="I158" i="120"/>
  <c r="P157" i="120"/>
  <c r="N157" i="120"/>
  <c r="M157" i="120"/>
  <c r="L157" i="120"/>
  <c r="K157" i="120"/>
  <c r="J157" i="120"/>
  <c r="I157" i="120"/>
  <c r="P156" i="120"/>
  <c r="N156" i="120"/>
  <c r="M156" i="120"/>
  <c r="L156" i="120"/>
  <c r="K156" i="120"/>
  <c r="J156" i="120"/>
  <c r="I156" i="120"/>
  <c r="P155" i="120"/>
  <c r="N155" i="120"/>
  <c r="M155" i="120"/>
  <c r="L155" i="120"/>
  <c r="K155" i="120"/>
  <c r="J155" i="120"/>
  <c r="I155" i="120"/>
  <c r="P154" i="120"/>
  <c r="N154" i="120"/>
  <c r="M154" i="120"/>
  <c r="L154" i="120"/>
  <c r="K154" i="120"/>
  <c r="J154" i="120"/>
  <c r="I154" i="120"/>
  <c r="P153" i="120"/>
  <c r="N153" i="120"/>
  <c r="M153" i="120"/>
  <c r="L153" i="120"/>
  <c r="K153" i="120"/>
  <c r="J153" i="120"/>
  <c r="I153" i="120"/>
  <c r="P152" i="120"/>
  <c r="N152" i="120"/>
  <c r="M152" i="120"/>
  <c r="L152" i="120"/>
  <c r="K152" i="120"/>
  <c r="J152" i="120"/>
  <c r="I152" i="120"/>
  <c r="P151" i="120"/>
  <c r="N151" i="120"/>
  <c r="M151" i="120"/>
  <c r="L151" i="120"/>
  <c r="K151" i="120"/>
  <c r="J151" i="120"/>
  <c r="I151" i="120"/>
  <c r="P150" i="120"/>
  <c r="N150" i="120"/>
  <c r="M150" i="120"/>
  <c r="L150" i="120"/>
  <c r="K150" i="120"/>
  <c r="J150" i="120"/>
  <c r="I150" i="120"/>
  <c r="P149" i="120"/>
  <c r="N149" i="120"/>
  <c r="M149" i="120"/>
  <c r="L149" i="120"/>
  <c r="K149" i="120"/>
  <c r="J149" i="120"/>
  <c r="I149" i="120"/>
  <c r="P148" i="120"/>
  <c r="N148" i="120"/>
  <c r="M148" i="120"/>
  <c r="L148" i="120"/>
  <c r="K148" i="120"/>
  <c r="J148" i="120"/>
  <c r="I148" i="120"/>
  <c r="P147" i="120"/>
  <c r="N147" i="120"/>
  <c r="M147" i="120"/>
  <c r="L147" i="120"/>
  <c r="K147" i="120"/>
  <c r="J147" i="120"/>
  <c r="I147" i="120"/>
  <c r="P146" i="120"/>
  <c r="N146" i="120"/>
  <c r="M146" i="120"/>
  <c r="L146" i="120"/>
  <c r="K146" i="120"/>
  <c r="J146" i="120"/>
  <c r="I146" i="120"/>
  <c r="P145" i="120"/>
  <c r="N145" i="120"/>
  <c r="M145" i="120"/>
  <c r="L145" i="120"/>
  <c r="K145" i="120"/>
  <c r="J145" i="120"/>
  <c r="I145" i="120"/>
  <c r="P144" i="120"/>
  <c r="N144" i="120"/>
  <c r="M144" i="120"/>
  <c r="L144" i="120"/>
  <c r="K144" i="120"/>
  <c r="J144" i="120"/>
  <c r="I144" i="120"/>
  <c r="P143" i="120"/>
  <c r="N143" i="120"/>
  <c r="M143" i="120"/>
  <c r="L143" i="120"/>
  <c r="K143" i="120"/>
  <c r="J143" i="120"/>
  <c r="I143" i="120"/>
  <c r="P142" i="120"/>
  <c r="N142" i="120"/>
  <c r="M142" i="120"/>
  <c r="L142" i="120"/>
  <c r="K142" i="120"/>
  <c r="J142" i="120"/>
  <c r="I142" i="120"/>
  <c r="P141" i="120"/>
  <c r="N141" i="120"/>
  <c r="M141" i="120"/>
  <c r="L141" i="120"/>
  <c r="K141" i="120"/>
  <c r="J141" i="120"/>
  <c r="I141" i="120"/>
  <c r="P140" i="120"/>
  <c r="N140" i="120"/>
  <c r="M140" i="120"/>
  <c r="L140" i="120"/>
  <c r="K140" i="120"/>
  <c r="J140" i="120"/>
  <c r="I140" i="120"/>
  <c r="P139" i="120"/>
  <c r="N139" i="120"/>
  <c r="M139" i="120"/>
  <c r="L139" i="120"/>
  <c r="K139" i="120"/>
  <c r="J139" i="120"/>
  <c r="I139" i="120"/>
  <c r="P138" i="120"/>
  <c r="N138" i="120"/>
  <c r="M138" i="120"/>
  <c r="L138" i="120"/>
  <c r="K138" i="120"/>
  <c r="J138" i="120"/>
  <c r="I138" i="120"/>
  <c r="P137" i="120"/>
  <c r="N137" i="120"/>
  <c r="M137" i="120"/>
  <c r="L137" i="120"/>
  <c r="K137" i="120"/>
  <c r="J137" i="120"/>
  <c r="I137" i="120"/>
  <c r="P136" i="120"/>
  <c r="N136" i="120"/>
  <c r="M136" i="120"/>
  <c r="L136" i="120"/>
  <c r="K136" i="120"/>
  <c r="J136" i="120"/>
  <c r="I136" i="120"/>
  <c r="P135" i="120"/>
  <c r="N135" i="120"/>
  <c r="M135" i="120"/>
  <c r="L135" i="120"/>
  <c r="K135" i="120"/>
  <c r="J135" i="120"/>
  <c r="I135" i="120"/>
  <c r="P134" i="120"/>
  <c r="N134" i="120"/>
  <c r="M134" i="120"/>
  <c r="L134" i="120"/>
  <c r="K134" i="120"/>
  <c r="J134" i="120"/>
  <c r="I134" i="120"/>
  <c r="P133" i="120"/>
  <c r="N133" i="120"/>
  <c r="M133" i="120"/>
  <c r="L133" i="120"/>
  <c r="K133" i="120"/>
  <c r="J133" i="120"/>
  <c r="I133" i="120"/>
  <c r="P132" i="120"/>
  <c r="N132" i="120"/>
  <c r="M132" i="120"/>
  <c r="L132" i="120"/>
  <c r="K132" i="120"/>
  <c r="J132" i="120"/>
  <c r="I132" i="120"/>
  <c r="P131" i="120"/>
  <c r="N131" i="120"/>
  <c r="M131" i="120"/>
  <c r="L131" i="120"/>
  <c r="K131" i="120"/>
  <c r="J131" i="120"/>
  <c r="I131" i="120"/>
  <c r="P130" i="120"/>
  <c r="N130" i="120"/>
  <c r="M130" i="120"/>
  <c r="L130" i="120"/>
  <c r="K130" i="120"/>
  <c r="J130" i="120"/>
  <c r="I130" i="120"/>
  <c r="P129" i="120"/>
  <c r="N129" i="120"/>
  <c r="M129" i="120"/>
  <c r="L129" i="120"/>
  <c r="K129" i="120"/>
  <c r="J129" i="120"/>
  <c r="I129" i="120"/>
  <c r="P128" i="120"/>
  <c r="N128" i="120"/>
  <c r="M128" i="120"/>
  <c r="L128" i="120"/>
  <c r="K128" i="120"/>
  <c r="J128" i="120"/>
  <c r="I128" i="120"/>
  <c r="P127" i="120"/>
  <c r="N127" i="120"/>
  <c r="M127" i="120"/>
  <c r="L127" i="120"/>
  <c r="K127" i="120"/>
  <c r="J127" i="120"/>
  <c r="I127" i="120"/>
  <c r="P126" i="120"/>
  <c r="N126" i="120"/>
  <c r="M126" i="120"/>
  <c r="L126" i="120"/>
  <c r="K126" i="120"/>
  <c r="J126" i="120"/>
  <c r="I126" i="120"/>
  <c r="P125" i="120"/>
  <c r="N125" i="120"/>
  <c r="M125" i="120"/>
  <c r="L125" i="120"/>
  <c r="K125" i="120"/>
  <c r="J125" i="120"/>
  <c r="I125" i="120"/>
  <c r="P124" i="120"/>
  <c r="N124" i="120"/>
  <c r="M124" i="120"/>
  <c r="L124" i="120"/>
  <c r="K124" i="120"/>
  <c r="J124" i="120"/>
  <c r="I124" i="120"/>
  <c r="P123" i="120"/>
  <c r="N123" i="120"/>
  <c r="M123" i="120"/>
  <c r="L123" i="120"/>
  <c r="K123" i="120"/>
  <c r="J123" i="120"/>
  <c r="I123" i="120"/>
  <c r="P122" i="120"/>
  <c r="N122" i="120"/>
  <c r="M122" i="120"/>
  <c r="L122" i="120"/>
  <c r="K122" i="120"/>
  <c r="J122" i="120"/>
  <c r="I122" i="120"/>
  <c r="P121" i="120"/>
  <c r="N121" i="120"/>
  <c r="M121" i="120"/>
  <c r="L121" i="120"/>
  <c r="K121" i="120"/>
  <c r="J121" i="120"/>
  <c r="I121" i="120"/>
  <c r="P120" i="120"/>
  <c r="N120" i="120"/>
  <c r="M120" i="120"/>
  <c r="L120" i="120"/>
  <c r="K120" i="120"/>
  <c r="J120" i="120"/>
  <c r="I120" i="120"/>
  <c r="P119" i="120"/>
  <c r="N119" i="120"/>
  <c r="M119" i="120"/>
  <c r="L119" i="120"/>
  <c r="K119" i="120"/>
  <c r="J119" i="120"/>
  <c r="I119" i="120"/>
  <c r="P118" i="120"/>
  <c r="N118" i="120"/>
  <c r="M118" i="120"/>
  <c r="L118" i="120"/>
  <c r="K118" i="120"/>
  <c r="J118" i="120"/>
  <c r="I118" i="120"/>
  <c r="P117" i="120"/>
  <c r="N117" i="120"/>
  <c r="M117" i="120"/>
  <c r="L117" i="120"/>
  <c r="K117" i="120"/>
  <c r="J117" i="120"/>
  <c r="I117" i="120"/>
  <c r="P116" i="120"/>
  <c r="N116" i="120"/>
  <c r="M116" i="120"/>
  <c r="L116" i="120"/>
  <c r="K116" i="120"/>
  <c r="J116" i="120"/>
  <c r="I116" i="120"/>
  <c r="P115" i="120"/>
  <c r="N115" i="120"/>
  <c r="M115" i="120"/>
  <c r="L115" i="120"/>
  <c r="K115" i="120"/>
  <c r="J115" i="120"/>
  <c r="I115" i="120"/>
  <c r="P114" i="120"/>
  <c r="N114" i="120"/>
  <c r="M114" i="120"/>
  <c r="L114" i="120"/>
  <c r="K114" i="120"/>
  <c r="J114" i="120"/>
  <c r="I114" i="120"/>
  <c r="P113" i="120"/>
  <c r="N113" i="120"/>
  <c r="M113" i="120"/>
  <c r="L113" i="120"/>
  <c r="K113" i="120"/>
  <c r="J113" i="120"/>
  <c r="I113" i="120"/>
  <c r="P112" i="120"/>
  <c r="N112" i="120"/>
  <c r="M112" i="120"/>
  <c r="L112" i="120"/>
  <c r="K112" i="120"/>
  <c r="J112" i="120"/>
  <c r="I112" i="120"/>
  <c r="P111" i="120"/>
  <c r="N111" i="120"/>
  <c r="M111" i="120"/>
  <c r="L111" i="120"/>
  <c r="K111" i="120"/>
  <c r="J111" i="120"/>
  <c r="I111" i="120"/>
  <c r="P110" i="120"/>
  <c r="N110" i="120"/>
  <c r="M110" i="120"/>
  <c r="L110" i="120"/>
  <c r="K110" i="120"/>
  <c r="J110" i="120"/>
  <c r="I110" i="120"/>
  <c r="P109" i="120"/>
  <c r="N109" i="120"/>
  <c r="M109" i="120"/>
  <c r="L109" i="120"/>
  <c r="K109" i="120"/>
  <c r="J109" i="120"/>
  <c r="I109" i="120"/>
  <c r="P108" i="120"/>
  <c r="N108" i="120"/>
  <c r="M108" i="120"/>
  <c r="L108" i="120"/>
  <c r="K108" i="120"/>
  <c r="J108" i="120"/>
  <c r="I108" i="120"/>
  <c r="P107" i="120"/>
  <c r="N107" i="120"/>
  <c r="M107" i="120"/>
  <c r="L107" i="120"/>
  <c r="K107" i="120"/>
  <c r="J107" i="120"/>
  <c r="I107" i="120"/>
  <c r="P106" i="120"/>
  <c r="N106" i="120"/>
  <c r="M106" i="120"/>
  <c r="L106" i="120"/>
  <c r="K106" i="120"/>
  <c r="J106" i="120"/>
  <c r="I106" i="120"/>
  <c r="P105" i="120"/>
  <c r="N105" i="120"/>
  <c r="M105" i="120"/>
  <c r="L105" i="120"/>
  <c r="K105" i="120"/>
  <c r="J105" i="120"/>
  <c r="I105" i="120"/>
  <c r="P104" i="120"/>
  <c r="N104" i="120"/>
  <c r="M104" i="120"/>
  <c r="L104" i="120"/>
  <c r="K104" i="120"/>
  <c r="J104" i="120"/>
  <c r="I104" i="120"/>
  <c r="P103" i="120"/>
  <c r="N103" i="120"/>
  <c r="M103" i="120"/>
  <c r="L103" i="120"/>
  <c r="K103" i="120"/>
  <c r="J103" i="120"/>
  <c r="I103" i="120"/>
  <c r="P102" i="120"/>
  <c r="N102" i="120"/>
  <c r="M102" i="120"/>
  <c r="L102" i="120"/>
  <c r="K102" i="120"/>
  <c r="J102" i="120"/>
  <c r="I102" i="120"/>
  <c r="P101" i="120"/>
  <c r="N101" i="120"/>
  <c r="M101" i="120"/>
  <c r="L101" i="120"/>
  <c r="K101" i="120"/>
  <c r="J101" i="120"/>
  <c r="I101" i="120"/>
  <c r="P100" i="120"/>
  <c r="N100" i="120"/>
  <c r="M100" i="120"/>
  <c r="L100" i="120"/>
  <c r="K100" i="120"/>
  <c r="J100" i="120"/>
  <c r="I100" i="120"/>
  <c r="P99" i="120"/>
  <c r="N99" i="120"/>
  <c r="M99" i="120"/>
  <c r="L99" i="120"/>
  <c r="K99" i="120"/>
  <c r="J99" i="120"/>
  <c r="I99" i="120"/>
  <c r="P98" i="120"/>
  <c r="N98" i="120"/>
  <c r="M98" i="120"/>
  <c r="L98" i="120"/>
  <c r="K98" i="120"/>
  <c r="J98" i="120"/>
  <c r="I98" i="120"/>
  <c r="P97" i="120"/>
  <c r="N97" i="120"/>
  <c r="M97" i="120"/>
  <c r="L97" i="120"/>
  <c r="K97" i="120"/>
  <c r="J97" i="120"/>
  <c r="I97" i="120"/>
  <c r="P96" i="120"/>
  <c r="N96" i="120"/>
  <c r="M96" i="120"/>
  <c r="L96" i="120"/>
  <c r="K96" i="120"/>
  <c r="J96" i="120"/>
  <c r="I96" i="120"/>
  <c r="P95" i="120"/>
  <c r="N95" i="120"/>
  <c r="M95" i="120"/>
  <c r="L95" i="120"/>
  <c r="K95" i="120"/>
  <c r="J95" i="120"/>
  <c r="I95" i="120"/>
  <c r="P94" i="120"/>
  <c r="N94" i="120"/>
  <c r="M94" i="120"/>
  <c r="L94" i="120"/>
  <c r="K94" i="120"/>
  <c r="J94" i="120"/>
  <c r="I94" i="120"/>
  <c r="P93" i="120"/>
  <c r="N93" i="120"/>
  <c r="M93" i="120"/>
  <c r="L93" i="120"/>
  <c r="K93" i="120"/>
  <c r="J93" i="120"/>
  <c r="I93" i="120"/>
  <c r="P92" i="120"/>
  <c r="N92" i="120"/>
  <c r="M92" i="120"/>
  <c r="L92" i="120"/>
  <c r="K92" i="120"/>
  <c r="J92" i="120"/>
  <c r="I92" i="120"/>
  <c r="P91" i="120"/>
  <c r="N91" i="120"/>
  <c r="M91" i="120"/>
  <c r="L91" i="120"/>
  <c r="K91" i="120"/>
  <c r="J91" i="120"/>
  <c r="I91" i="120"/>
  <c r="P90" i="120"/>
  <c r="N90" i="120"/>
  <c r="M90" i="120"/>
  <c r="L90" i="120"/>
  <c r="K90" i="120"/>
  <c r="J90" i="120"/>
  <c r="I90" i="120"/>
  <c r="P89" i="120"/>
  <c r="N89" i="120"/>
  <c r="M89" i="120"/>
  <c r="L89" i="120"/>
  <c r="K89" i="120"/>
  <c r="J89" i="120"/>
  <c r="I89" i="120"/>
  <c r="P88" i="120"/>
  <c r="N88" i="120"/>
  <c r="M88" i="120"/>
  <c r="L88" i="120"/>
  <c r="K88" i="120"/>
  <c r="J88" i="120"/>
  <c r="I88" i="120"/>
  <c r="P87" i="120"/>
  <c r="N87" i="120"/>
  <c r="M87" i="120"/>
  <c r="L87" i="120"/>
  <c r="K87" i="120"/>
  <c r="J87" i="120"/>
  <c r="I87" i="120"/>
  <c r="P86" i="120"/>
  <c r="N86" i="120"/>
  <c r="M86" i="120"/>
  <c r="L86" i="120"/>
  <c r="K86" i="120"/>
  <c r="J86" i="120"/>
  <c r="I86" i="120"/>
  <c r="P85" i="120"/>
  <c r="N85" i="120"/>
  <c r="M85" i="120"/>
  <c r="L85" i="120"/>
  <c r="K85" i="120"/>
  <c r="J85" i="120"/>
  <c r="I85" i="120"/>
  <c r="P84" i="120"/>
  <c r="N84" i="120"/>
  <c r="M84" i="120"/>
  <c r="L84" i="120"/>
  <c r="K84" i="120"/>
  <c r="J84" i="120"/>
  <c r="I84" i="120"/>
  <c r="P83" i="120"/>
  <c r="N83" i="120"/>
  <c r="M83" i="120"/>
  <c r="L83" i="120"/>
  <c r="K83" i="120"/>
  <c r="J83" i="120"/>
  <c r="I83" i="120"/>
  <c r="P82" i="120"/>
  <c r="N82" i="120"/>
  <c r="M82" i="120"/>
  <c r="L82" i="120"/>
  <c r="K82" i="120"/>
  <c r="J82" i="120"/>
  <c r="I82" i="120"/>
  <c r="P81" i="120"/>
  <c r="N81" i="120"/>
  <c r="M81" i="120"/>
  <c r="L81" i="120"/>
  <c r="K81" i="120"/>
  <c r="J81" i="120"/>
  <c r="I81" i="120"/>
  <c r="P80" i="120"/>
  <c r="N80" i="120"/>
  <c r="M80" i="120"/>
  <c r="L80" i="120"/>
  <c r="K80" i="120"/>
  <c r="J80" i="120"/>
  <c r="I80" i="120"/>
  <c r="P79" i="120"/>
  <c r="N79" i="120"/>
  <c r="M79" i="120"/>
  <c r="L79" i="120"/>
  <c r="K79" i="120"/>
  <c r="J79" i="120"/>
  <c r="I79" i="120"/>
  <c r="P78" i="120"/>
  <c r="N78" i="120"/>
  <c r="M78" i="120"/>
  <c r="L78" i="120"/>
  <c r="K78" i="120"/>
  <c r="J78" i="120"/>
  <c r="I78" i="120"/>
  <c r="P77" i="120"/>
  <c r="N77" i="120"/>
  <c r="M77" i="120"/>
  <c r="L77" i="120"/>
  <c r="K77" i="120"/>
  <c r="J77" i="120"/>
  <c r="I77" i="120"/>
  <c r="P76" i="120"/>
  <c r="N76" i="120"/>
  <c r="M76" i="120"/>
  <c r="L76" i="120"/>
  <c r="K76" i="120"/>
  <c r="J76" i="120"/>
  <c r="I76" i="120"/>
  <c r="P75" i="120"/>
  <c r="N75" i="120"/>
  <c r="M75" i="120"/>
  <c r="L75" i="120"/>
  <c r="K75" i="120"/>
  <c r="J75" i="120"/>
  <c r="I75" i="120"/>
  <c r="P74" i="120"/>
  <c r="N74" i="120"/>
  <c r="M74" i="120"/>
  <c r="L74" i="120"/>
  <c r="K74" i="120"/>
  <c r="J74" i="120"/>
  <c r="I74" i="120"/>
  <c r="P73" i="120"/>
  <c r="N73" i="120"/>
  <c r="M73" i="120"/>
  <c r="L73" i="120"/>
  <c r="K73" i="120"/>
  <c r="J73" i="120"/>
  <c r="I73" i="120"/>
  <c r="P72" i="120"/>
  <c r="N72" i="120"/>
  <c r="M72" i="120"/>
  <c r="L72" i="120"/>
  <c r="K72" i="120"/>
  <c r="J72" i="120"/>
  <c r="I72" i="120"/>
  <c r="P71" i="120"/>
  <c r="N71" i="120"/>
  <c r="M71" i="120"/>
  <c r="L71" i="120"/>
  <c r="K71" i="120"/>
  <c r="J71" i="120"/>
  <c r="I71" i="120"/>
  <c r="P70" i="120"/>
  <c r="N70" i="120"/>
  <c r="M70" i="120"/>
  <c r="L70" i="120"/>
  <c r="K70" i="120"/>
  <c r="J70" i="120"/>
  <c r="I70" i="120"/>
  <c r="P69" i="120"/>
  <c r="N69" i="120"/>
  <c r="M69" i="120"/>
  <c r="L69" i="120"/>
  <c r="K69" i="120"/>
  <c r="J69" i="120"/>
  <c r="I69" i="120"/>
  <c r="P68" i="120"/>
  <c r="N68" i="120"/>
  <c r="M68" i="120"/>
  <c r="L68" i="120"/>
  <c r="K68" i="120"/>
  <c r="J68" i="120"/>
  <c r="I68" i="120"/>
  <c r="P67" i="120"/>
  <c r="N67" i="120"/>
  <c r="M67" i="120"/>
  <c r="L67" i="120"/>
  <c r="K67" i="120"/>
  <c r="J67" i="120"/>
  <c r="I67" i="120"/>
  <c r="P66" i="120"/>
  <c r="N66" i="120"/>
  <c r="M66" i="120"/>
  <c r="L66" i="120"/>
  <c r="K66" i="120"/>
  <c r="J66" i="120"/>
  <c r="I66" i="120"/>
  <c r="P65" i="120"/>
  <c r="N65" i="120"/>
  <c r="M65" i="120"/>
  <c r="L65" i="120"/>
  <c r="K65" i="120"/>
  <c r="J65" i="120"/>
  <c r="I65" i="120"/>
  <c r="P64" i="120"/>
  <c r="N64" i="120"/>
  <c r="M64" i="120"/>
  <c r="L64" i="120"/>
  <c r="K64" i="120"/>
  <c r="J64" i="120"/>
  <c r="I64" i="120"/>
  <c r="P63" i="120"/>
  <c r="N63" i="120"/>
  <c r="M63" i="120"/>
  <c r="L63" i="120"/>
  <c r="K63" i="120"/>
  <c r="J63" i="120"/>
  <c r="I63" i="120"/>
  <c r="P62" i="120"/>
  <c r="N62" i="120"/>
  <c r="M62" i="120"/>
  <c r="L62" i="120"/>
  <c r="K62" i="120"/>
  <c r="J62" i="120"/>
  <c r="I62" i="120"/>
  <c r="P61" i="120"/>
  <c r="N61" i="120"/>
  <c r="M61" i="120"/>
  <c r="L61" i="120"/>
  <c r="K61" i="120"/>
  <c r="J61" i="120"/>
  <c r="I61" i="120"/>
  <c r="P60" i="120"/>
  <c r="N60" i="120"/>
  <c r="M60" i="120"/>
  <c r="L60" i="120"/>
  <c r="K60" i="120"/>
  <c r="J60" i="120"/>
  <c r="I60" i="120"/>
  <c r="P59" i="120"/>
  <c r="N59" i="120"/>
  <c r="M59" i="120"/>
  <c r="L59" i="120"/>
  <c r="K59" i="120"/>
  <c r="J59" i="120"/>
  <c r="I59" i="120"/>
  <c r="P58" i="120"/>
  <c r="N58" i="120"/>
  <c r="M58" i="120"/>
  <c r="L58" i="120"/>
  <c r="K58" i="120"/>
  <c r="J58" i="120"/>
  <c r="I58" i="120"/>
  <c r="P57" i="120"/>
  <c r="N57" i="120"/>
  <c r="M57" i="120"/>
  <c r="L57" i="120"/>
  <c r="K57" i="120"/>
  <c r="J57" i="120"/>
  <c r="I57" i="120"/>
  <c r="P56" i="120"/>
  <c r="N56" i="120"/>
  <c r="M56" i="120"/>
  <c r="L56" i="120"/>
  <c r="K56" i="120"/>
  <c r="J56" i="120"/>
  <c r="I56" i="120"/>
  <c r="P55" i="120"/>
  <c r="N55" i="120"/>
  <c r="M55" i="120"/>
  <c r="L55" i="120"/>
  <c r="K55" i="120"/>
  <c r="J55" i="120"/>
  <c r="I55" i="120"/>
  <c r="P54" i="120"/>
  <c r="N54" i="120"/>
  <c r="M54" i="120"/>
  <c r="L54" i="120"/>
  <c r="K54" i="120"/>
  <c r="J54" i="120"/>
  <c r="I54" i="120"/>
  <c r="P53" i="120"/>
  <c r="N53" i="120"/>
  <c r="M53" i="120"/>
  <c r="L53" i="120"/>
  <c r="K53" i="120"/>
  <c r="J53" i="120"/>
  <c r="I53" i="120"/>
  <c r="P52" i="120"/>
  <c r="N52" i="120"/>
  <c r="M52" i="120"/>
  <c r="L52" i="120"/>
  <c r="K52" i="120"/>
  <c r="J52" i="120"/>
  <c r="I52" i="120"/>
  <c r="P51" i="120"/>
  <c r="N51" i="120"/>
  <c r="M51" i="120"/>
  <c r="L51" i="120"/>
  <c r="K51" i="120"/>
  <c r="J51" i="120"/>
  <c r="I51" i="120"/>
  <c r="P50" i="120"/>
  <c r="N50" i="120"/>
  <c r="M50" i="120"/>
  <c r="L50" i="120"/>
  <c r="K50" i="120"/>
  <c r="J50" i="120"/>
  <c r="I50" i="120"/>
  <c r="P49" i="120"/>
  <c r="N49" i="120"/>
  <c r="M49" i="120"/>
  <c r="L49" i="120"/>
  <c r="K49" i="120"/>
  <c r="J49" i="120"/>
  <c r="I49" i="120"/>
  <c r="P48" i="120"/>
  <c r="N48" i="120"/>
  <c r="M48" i="120"/>
  <c r="L48" i="120"/>
  <c r="K48" i="120"/>
  <c r="J48" i="120"/>
  <c r="I48" i="120"/>
  <c r="P47" i="120"/>
  <c r="N47" i="120"/>
  <c r="M47" i="120"/>
  <c r="L47" i="120"/>
  <c r="K47" i="120"/>
  <c r="J47" i="120"/>
  <c r="I47" i="120"/>
  <c r="P46" i="120"/>
  <c r="N46" i="120"/>
  <c r="M46" i="120"/>
  <c r="L46" i="120"/>
  <c r="K46" i="120"/>
  <c r="J46" i="120"/>
  <c r="I46" i="120"/>
  <c r="P45" i="120"/>
  <c r="N45" i="120"/>
  <c r="M45" i="120"/>
  <c r="L45" i="120"/>
  <c r="K45" i="120"/>
  <c r="J45" i="120"/>
  <c r="I45" i="120"/>
  <c r="P44" i="120"/>
  <c r="N44" i="120"/>
  <c r="M44" i="120"/>
  <c r="L44" i="120"/>
  <c r="K44" i="120"/>
  <c r="J44" i="120"/>
  <c r="I44" i="120"/>
  <c r="P43" i="120"/>
  <c r="N43" i="120"/>
  <c r="M43" i="120"/>
  <c r="L43" i="120"/>
  <c r="K43" i="120"/>
  <c r="J43" i="120"/>
  <c r="I43" i="120"/>
  <c r="P42" i="120"/>
  <c r="N42" i="120"/>
  <c r="M42" i="120"/>
  <c r="L42" i="120"/>
  <c r="K42" i="120"/>
  <c r="J42" i="120"/>
  <c r="I42" i="120"/>
  <c r="P41" i="120"/>
  <c r="N41" i="120"/>
  <c r="M41" i="120"/>
  <c r="L41" i="120"/>
  <c r="K41" i="120"/>
  <c r="J41" i="120"/>
  <c r="I41" i="120"/>
  <c r="P40" i="120"/>
  <c r="N40" i="120"/>
  <c r="M40" i="120"/>
  <c r="L40" i="120"/>
  <c r="K40" i="120"/>
  <c r="J40" i="120"/>
  <c r="I40" i="120"/>
  <c r="P39" i="120"/>
  <c r="N39" i="120"/>
  <c r="M39" i="120"/>
  <c r="L39" i="120"/>
  <c r="K39" i="120"/>
  <c r="J39" i="120"/>
  <c r="I39" i="120"/>
  <c r="P38" i="120"/>
  <c r="N38" i="120"/>
  <c r="M38" i="120"/>
  <c r="L38" i="120"/>
  <c r="K38" i="120"/>
  <c r="J38" i="120"/>
  <c r="I38" i="120"/>
  <c r="P37" i="120"/>
  <c r="N37" i="120"/>
  <c r="M37" i="120"/>
  <c r="L37" i="120"/>
  <c r="K37" i="120"/>
  <c r="J37" i="120"/>
  <c r="I37" i="120"/>
  <c r="P36" i="120"/>
  <c r="N36" i="120"/>
  <c r="M36" i="120"/>
  <c r="L36" i="120"/>
  <c r="K36" i="120"/>
  <c r="J36" i="120"/>
  <c r="I36" i="120"/>
  <c r="P35" i="120"/>
  <c r="N35" i="120"/>
  <c r="M35" i="120"/>
  <c r="L35" i="120"/>
  <c r="K35" i="120"/>
  <c r="J35" i="120"/>
  <c r="I35" i="120"/>
  <c r="P34" i="120"/>
  <c r="N34" i="120"/>
  <c r="M34" i="120"/>
  <c r="L34" i="120"/>
  <c r="K34" i="120"/>
  <c r="J34" i="120"/>
  <c r="I34" i="120"/>
  <c r="P33" i="120"/>
  <c r="N33" i="120"/>
  <c r="M33" i="120"/>
  <c r="L33" i="120"/>
  <c r="K33" i="120"/>
  <c r="J33" i="120"/>
  <c r="I33" i="120"/>
  <c r="P32" i="120"/>
  <c r="N32" i="120"/>
  <c r="M32" i="120"/>
  <c r="L32" i="120"/>
  <c r="K32" i="120"/>
  <c r="J32" i="120"/>
  <c r="I32" i="120"/>
  <c r="P31" i="120"/>
  <c r="N31" i="120"/>
  <c r="M31" i="120"/>
  <c r="L31" i="120"/>
  <c r="K31" i="120"/>
  <c r="J31" i="120"/>
  <c r="I31" i="120"/>
  <c r="P30" i="120"/>
  <c r="N30" i="120"/>
  <c r="M30" i="120"/>
  <c r="L30" i="120"/>
  <c r="K30" i="120"/>
  <c r="J30" i="120"/>
  <c r="I30" i="120"/>
  <c r="P29" i="120"/>
  <c r="N29" i="120"/>
  <c r="M29" i="120"/>
  <c r="L29" i="120"/>
  <c r="K29" i="120"/>
  <c r="J29" i="120"/>
  <c r="I29" i="120"/>
  <c r="P28" i="120"/>
  <c r="N28" i="120"/>
  <c r="M28" i="120"/>
  <c r="L28" i="120"/>
  <c r="K28" i="120"/>
  <c r="J28" i="120"/>
  <c r="I28" i="120"/>
  <c r="P27" i="120"/>
  <c r="N27" i="120"/>
  <c r="M27" i="120"/>
  <c r="L27" i="120"/>
  <c r="K27" i="120"/>
  <c r="J27" i="120"/>
  <c r="I27" i="120"/>
  <c r="P26" i="120"/>
  <c r="N26" i="120"/>
  <c r="M26" i="120"/>
  <c r="L26" i="120"/>
  <c r="K26" i="120"/>
  <c r="J26" i="120"/>
  <c r="I26" i="120"/>
  <c r="P25" i="120"/>
  <c r="N25" i="120"/>
  <c r="M25" i="120"/>
  <c r="L25" i="120"/>
  <c r="K25" i="120"/>
  <c r="J25" i="120"/>
  <c r="I25" i="120"/>
  <c r="P24" i="120"/>
  <c r="N24" i="120"/>
  <c r="M24" i="120"/>
  <c r="L24" i="120"/>
  <c r="K24" i="120"/>
  <c r="J24" i="120"/>
  <c r="I24" i="120"/>
  <c r="P23" i="120"/>
  <c r="N23" i="120"/>
  <c r="M23" i="120"/>
  <c r="L23" i="120"/>
  <c r="K23" i="120"/>
  <c r="J23" i="120"/>
  <c r="I23" i="120"/>
  <c r="P22" i="120"/>
  <c r="N22" i="120"/>
  <c r="M22" i="120"/>
  <c r="L22" i="120"/>
  <c r="K22" i="120"/>
  <c r="J22" i="120"/>
  <c r="I22" i="120"/>
  <c r="P21" i="120"/>
  <c r="N21" i="120"/>
  <c r="M21" i="120"/>
  <c r="L21" i="120"/>
  <c r="K21" i="120"/>
  <c r="J21" i="120"/>
  <c r="I21" i="120"/>
  <c r="P20" i="120"/>
  <c r="N20" i="120"/>
  <c r="M20" i="120"/>
  <c r="L20" i="120"/>
  <c r="K20" i="120"/>
  <c r="J20" i="120"/>
  <c r="I20" i="120"/>
  <c r="P19" i="120"/>
  <c r="N19" i="120"/>
  <c r="M19" i="120"/>
  <c r="L19" i="120"/>
  <c r="K19" i="120"/>
  <c r="J19" i="120"/>
  <c r="I19" i="120"/>
  <c r="P18" i="120"/>
  <c r="N18" i="120"/>
  <c r="M18" i="120"/>
  <c r="L18" i="120"/>
  <c r="K18" i="120"/>
  <c r="J18" i="120"/>
  <c r="I18" i="120"/>
  <c r="P17" i="120"/>
  <c r="N17" i="120"/>
  <c r="M17" i="120"/>
  <c r="L17" i="120"/>
  <c r="K17" i="120"/>
  <c r="J17" i="120"/>
  <c r="I17" i="120"/>
  <c r="P16" i="120"/>
  <c r="N16" i="120"/>
  <c r="M16" i="120"/>
  <c r="L16" i="120"/>
  <c r="K16" i="120"/>
  <c r="J16" i="120"/>
  <c r="I16" i="120"/>
  <c r="P15" i="120"/>
  <c r="N15" i="120"/>
  <c r="M15" i="120"/>
  <c r="L15" i="120"/>
  <c r="K15" i="120"/>
  <c r="J15" i="120"/>
  <c r="I15" i="120"/>
  <c r="P14" i="120"/>
  <c r="N14" i="120"/>
  <c r="M14" i="120"/>
  <c r="L14" i="120"/>
  <c r="K14" i="120"/>
  <c r="J14" i="120"/>
  <c r="I14" i="120"/>
  <c r="P13" i="120"/>
  <c r="N13" i="120"/>
  <c r="M13" i="120"/>
  <c r="L13" i="120"/>
  <c r="K13" i="120"/>
  <c r="J13" i="120"/>
  <c r="I13" i="120"/>
  <c r="P12" i="120"/>
  <c r="N12" i="120"/>
  <c r="M12" i="120"/>
  <c r="L12" i="120"/>
  <c r="K12" i="120"/>
  <c r="J12" i="120"/>
  <c r="I12" i="120"/>
  <c r="P11" i="120"/>
  <c r="N11" i="120"/>
  <c r="M11" i="120"/>
  <c r="L11" i="120"/>
  <c r="K11" i="120"/>
  <c r="J11" i="120"/>
  <c r="I11" i="120"/>
  <c r="P10" i="120"/>
  <c r="N10" i="120"/>
  <c r="M10" i="120"/>
  <c r="L10" i="120"/>
  <c r="K10" i="120"/>
  <c r="J10" i="120"/>
  <c r="I10" i="120"/>
  <c r="P9" i="120"/>
  <c r="N9" i="120"/>
  <c r="M9" i="120"/>
  <c r="L9" i="120"/>
  <c r="K9" i="120"/>
  <c r="J9" i="120"/>
  <c r="I9" i="120"/>
  <c r="P8" i="120"/>
  <c r="N8" i="120"/>
  <c r="M8" i="120"/>
  <c r="L8" i="120"/>
  <c r="K8" i="120"/>
  <c r="J8" i="120"/>
  <c r="I8" i="120"/>
  <c r="P7" i="120"/>
  <c r="N7" i="120"/>
  <c r="M7" i="120"/>
  <c r="L7" i="120"/>
  <c r="K7" i="120"/>
  <c r="J7" i="120"/>
  <c r="I7" i="120"/>
  <c r="P6" i="120"/>
  <c r="N6" i="120"/>
  <c r="M6" i="120"/>
  <c r="L6" i="120"/>
  <c r="K6" i="120"/>
  <c r="J6" i="120"/>
  <c r="I6" i="120"/>
  <c r="P5" i="120"/>
  <c r="N5" i="120"/>
  <c r="M5" i="120"/>
  <c r="L5" i="120"/>
  <c r="K5" i="120"/>
  <c r="J5" i="120"/>
  <c r="I5" i="120"/>
  <c r="P4" i="120"/>
  <c r="N4" i="120"/>
  <c r="M4" i="120"/>
  <c r="L4" i="120"/>
  <c r="K4" i="120"/>
  <c r="J4" i="120"/>
  <c r="I4" i="120"/>
  <c r="P3" i="120"/>
  <c r="N3" i="120"/>
  <c r="M3" i="120"/>
  <c r="L3" i="120"/>
  <c r="K3" i="120"/>
  <c r="J3" i="120"/>
  <c r="I3" i="120"/>
  <c r="D203" i="120"/>
  <c r="C203" i="120"/>
  <c r="D202" i="120"/>
  <c r="C202" i="120"/>
  <c r="D201" i="120"/>
  <c r="C201" i="120"/>
  <c r="D200" i="120"/>
  <c r="C200" i="120"/>
  <c r="D199" i="120"/>
  <c r="C199" i="120"/>
  <c r="D198" i="120"/>
  <c r="C198" i="120"/>
  <c r="D197" i="120"/>
  <c r="C197" i="120"/>
  <c r="D196" i="120"/>
  <c r="C196" i="120"/>
  <c r="D195" i="120"/>
  <c r="C195" i="120"/>
  <c r="D194" i="120"/>
  <c r="C194" i="120"/>
  <c r="D193" i="120"/>
  <c r="C193" i="120"/>
  <c r="D192" i="120"/>
  <c r="C192" i="120"/>
  <c r="D191" i="120"/>
  <c r="C191" i="120"/>
  <c r="D190" i="120"/>
  <c r="C190" i="120"/>
  <c r="D189" i="120"/>
  <c r="C189" i="120"/>
  <c r="D188" i="120"/>
  <c r="C188" i="120"/>
  <c r="D187" i="120"/>
  <c r="C187" i="120"/>
  <c r="D186" i="120"/>
  <c r="C186" i="120"/>
  <c r="D185" i="120"/>
  <c r="C185" i="120"/>
  <c r="D184" i="120"/>
  <c r="C184" i="120"/>
  <c r="D183" i="120"/>
  <c r="C183" i="120"/>
  <c r="D182" i="120"/>
  <c r="C182" i="120"/>
  <c r="D181" i="120"/>
  <c r="C181" i="120"/>
  <c r="D180" i="120"/>
  <c r="C180" i="120"/>
  <c r="D179" i="120"/>
  <c r="C179" i="120"/>
  <c r="D178" i="120"/>
  <c r="C178" i="120"/>
  <c r="D177" i="120"/>
  <c r="C177" i="120"/>
  <c r="D176" i="120"/>
  <c r="C176" i="120"/>
  <c r="D175" i="120"/>
  <c r="C175" i="120"/>
  <c r="D174" i="120"/>
  <c r="C174" i="120"/>
  <c r="D173" i="120"/>
  <c r="C173" i="120"/>
  <c r="D172" i="120"/>
  <c r="C172" i="120"/>
  <c r="D171" i="120"/>
  <c r="C171" i="120"/>
  <c r="D170" i="120"/>
  <c r="C170" i="120"/>
  <c r="D169" i="120"/>
  <c r="C169" i="120"/>
  <c r="D168" i="120"/>
  <c r="C168" i="120"/>
  <c r="D167" i="120"/>
  <c r="C167" i="120"/>
  <c r="D166" i="120"/>
  <c r="C166" i="120"/>
  <c r="D165" i="120"/>
  <c r="C165" i="120"/>
  <c r="D164" i="120"/>
  <c r="C164" i="120"/>
  <c r="D163" i="120"/>
  <c r="C163" i="120"/>
  <c r="D162" i="120"/>
  <c r="C162" i="120"/>
  <c r="D161" i="120"/>
  <c r="C161" i="120"/>
  <c r="D160" i="120"/>
  <c r="C160" i="120"/>
  <c r="D159" i="120"/>
  <c r="C159" i="120"/>
  <c r="D158" i="120"/>
  <c r="C158" i="120"/>
  <c r="D157" i="120"/>
  <c r="C157" i="120"/>
  <c r="D156" i="120"/>
  <c r="C156" i="120"/>
  <c r="D155" i="120"/>
  <c r="C155" i="120"/>
  <c r="D154" i="120"/>
  <c r="C154" i="120"/>
  <c r="D153" i="120"/>
  <c r="C153" i="120"/>
  <c r="D152" i="120"/>
  <c r="C152" i="120"/>
  <c r="D151" i="120"/>
  <c r="C151" i="120"/>
  <c r="D150" i="120"/>
  <c r="C150" i="120"/>
  <c r="D149" i="120"/>
  <c r="C149" i="120"/>
  <c r="D148" i="120"/>
  <c r="C148" i="120"/>
  <c r="D147" i="120"/>
  <c r="C147" i="120"/>
  <c r="D146" i="120"/>
  <c r="C146" i="120"/>
  <c r="D145" i="120"/>
  <c r="C145" i="120"/>
  <c r="D144" i="120"/>
  <c r="C144" i="120"/>
  <c r="D143" i="120"/>
  <c r="C143" i="120"/>
  <c r="D142" i="120"/>
  <c r="C142" i="120"/>
  <c r="D141" i="120"/>
  <c r="C141" i="120"/>
  <c r="D140" i="120"/>
  <c r="C140" i="120"/>
  <c r="D139" i="120"/>
  <c r="C139" i="120"/>
  <c r="D138" i="120"/>
  <c r="C138" i="120"/>
  <c r="D137" i="120"/>
  <c r="C137" i="120"/>
  <c r="D136" i="120"/>
  <c r="C136" i="120"/>
  <c r="D135" i="120"/>
  <c r="C135" i="120"/>
  <c r="D134" i="120"/>
  <c r="C134" i="120"/>
  <c r="D133" i="120"/>
  <c r="C133" i="120"/>
  <c r="D132" i="120"/>
  <c r="C132" i="120"/>
  <c r="D131" i="120"/>
  <c r="C131" i="120"/>
  <c r="D130" i="120"/>
  <c r="C130" i="120"/>
  <c r="D129" i="120"/>
  <c r="C129" i="120"/>
  <c r="D128" i="120"/>
  <c r="C128" i="120"/>
  <c r="D127" i="120"/>
  <c r="C127" i="120"/>
  <c r="D126" i="120"/>
  <c r="C126" i="120"/>
  <c r="D125" i="120"/>
  <c r="C125" i="120"/>
  <c r="D124" i="120"/>
  <c r="C124" i="120"/>
  <c r="D123" i="120"/>
  <c r="C123" i="120"/>
  <c r="D122" i="120"/>
  <c r="C122" i="120"/>
  <c r="D121" i="120"/>
  <c r="C121" i="120"/>
  <c r="D120" i="120"/>
  <c r="C120" i="120"/>
  <c r="D119" i="120"/>
  <c r="C119" i="120"/>
  <c r="D118" i="120"/>
  <c r="C118" i="120"/>
  <c r="D117" i="120"/>
  <c r="C117" i="120"/>
  <c r="D116" i="120"/>
  <c r="C116" i="120"/>
  <c r="D115" i="120"/>
  <c r="C115" i="120"/>
  <c r="D114" i="120"/>
  <c r="C114" i="120"/>
  <c r="D113" i="120"/>
  <c r="C113" i="120"/>
  <c r="D112" i="120"/>
  <c r="C112" i="120"/>
  <c r="D111" i="120"/>
  <c r="C111" i="120"/>
  <c r="D110" i="120"/>
  <c r="C110" i="120"/>
  <c r="D109" i="120"/>
  <c r="C109" i="120"/>
  <c r="D108" i="120"/>
  <c r="C108" i="120"/>
  <c r="D107" i="120"/>
  <c r="C107" i="120"/>
  <c r="D106" i="120"/>
  <c r="C106" i="120"/>
  <c r="D105" i="120"/>
  <c r="C105" i="120"/>
  <c r="D104" i="120"/>
  <c r="C104" i="120"/>
  <c r="D103" i="120"/>
  <c r="C103" i="120"/>
  <c r="D102" i="120"/>
  <c r="C102" i="120"/>
  <c r="D101" i="120"/>
  <c r="C101" i="120"/>
  <c r="D100" i="120"/>
  <c r="C100" i="120"/>
  <c r="D99" i="120"/>
  <c r="C99" i="120"/>
  <c r="D98" i="120"/>
  <c r="C98" i="120"/>
  <c r="D97" i="120"/>
  <c r="C97" i="120"/>
  <c r="D96" i="120"/>
  <c r="C96" i="120"/>
  <c r="D95" i="120"/>
  <c r="C95" i="120"/>
  <c r="D94" i="120"/>
  <c r="C94" i="120"/>
  <c r="D93" i="120"/>
  <c r="C93" i="120"/>
  <c r="D92" i="120"/>
  <c r="C92" i="120"/>
  <c r="D91" i="120"/>
  <c r="C91" i="120"/>
  <c r="D90" i="120"/>
  <c r="C90" i="120"/>
  <c r="D89" i="120"/>
  <c r="C89" i="120"/>
  <c r="D88" i="120"/>
  <c r="C88" i="120"/>
  <c r="D87" i="120"/>
  <c r="C87" i="120"/>
  <c r="D86" i="120"/>
  <c r="C86" i="120"/>
  <c r="D85" i="120"/>
  <c r="C85" i="120"/>
  <c r="D84" i="120"/>
  <c r="C84" i="120"/>
  <c r="D83" i="120"/>
  <c r="C83" i="120"/>
  <c r="D82" i="120"/>
  <c r="C82" i="120"/>
  <c r="D81" i="120"/>
  <c r="C81" i="120"/>
  <c r="D80" i="120"/>
  <c r="C80" i="120"/>
  <c r="D79" i="120"/>
  <c r="C79" i="120"/>
  <c r="D78" i="120"/>
  <c r="C78" i="120"/>
  <c r="D77" i="120"/>
  <c r="C77" i="120"/>
  <c r="D76" i="120"/>
  <c r="C76" i="120"/>
  <c r="D75" i="120"/>
  <c r="C75" i="120"/>
  <c r="D74" i="120"/>
  <c r="C74" i="120"/>
  <c r="D73" i="120"/>
  <c r="C73" i="120"/>
  <c r="D72" i="120"/>
  <c r="C72" i="120"/>
  <c r="D71" i="120"/>
  <c r="C71" i="120"/>
  <c r="D70" i="120"/>
  <c r="C70" i="120"/>
  <c r="D69" i="120"/>
  <c r="C69" i="120"/>
  <c r="D68" i="120"/>
  <c r="C68" i="120"/>
  <c r="D67" i="120"/>
  <c r="C67" i="120"/>
  <c r="D66" i="120"/>
  <c r="C66" i="120"/>
  <c r="D65" i="120"/>
  <c r="C65" i="120"/>
  <c r="D64" i="120"/>
  <c r="C64" i="120"/>
  <c r="D63" i="120"/>
  <c r="C63" i="120"/>
  <c r="D62" i="120"/>
  <c r="C62" i="120"/>
  <c r="D61" i="120"/>
  <c r="C61" i="120"/>
  <c r="D60" i="120"/>
  <c r="C60" i="120"/>
  <c r="D59" i="120"/>
  <c r="C59" i="120"/>
  <c r="D58" i="120"/>
  <c r="C58" i="120"/>
  <c r="D57" i="120"/>
  <c r="C57" i="120"/>
  <c r="D56" i="120"/>
  <c r="C56" i="120"/>
  <c r="D55" i="120"/>
  <c r="C55" i="120"/>
  <c r="D54" i="120"/>
  <c r="C54" i="120"/>
  <c r="D53" i="120"/>
  <c r="C53" i="120"/>
  <c r="D52" i="120"/>
  <c r="C52" i="120"/>
  <c r="D51" i="120"/>
  <c r="C51" i="120"/>
  <c r="D50" i="120"/>
  <c r="C50" i="120"/>
  <c r="D49" i="120"/>
  <c r="C49" i="120"/>
  <c r="D48" i="120"/>
  <c r="C48" i="120"/>
  <c r="D47" i="120"/>
  <c r="C47" i="120"/>
  <c r="D46" i="120"/>
  <c r="C46" i="120"/>
  <c r="D45" i="120"/>
  <c r="C45" i="120"/>
  <c r="D44" i="120"/>
  <c r="C44" i="120"/>
  <c r="D43" i="120"/>
  <c r="C43" i="120"/>
  <c r="D42" i="120"/>
  <c r="C42" i="120"/>
  <c r="D41" i="120"/>
  <c r="C41" i="120"/>
  <c r="D40" i="120"/>
  <c r="C40" i="120"/>
  <c r="D39" i="120"/>
  <c r="C39" i="120"/>
  <c r="D38" i="120"/>
  <c r="C38" i="120"/>
  <c r="D37" i="120"/>
  <c r="C37" i="120"/>
  <c r="D36" i="120"/>
  <c r="C36" i="120"/>
  <c r="D35" i="120"/>
  <c r="C35" i="120"/>
  <c r="D34" i="120"/>
  <c r="C34" i="120"/>
  <c r="D33" i="120"/>
  <c r="C33" i="120"/>
  <c r="D32" i="120"/>
  <c r="C32" i="120"/>
  <c r="D31" i="120"/>
  <c r="C31" i="120"/>
  <c r="D30" i="120"/>
  <c r="C30" i="120"/>
  <c r="D29" i="120"/>
  <c r="C29" i="120"/>
  <c r="D28" i="120"/>
  <c r="C28" i="120"/>
  <c r="D27" i="120"/>
  <c r="C27" i="120"/>
  <c r="D26" i="120"/>
  <c r="C26" i="120"/>
  <c r="D25" i="120"/>
  <c r="C25" i="120"/>
  <c r="D24" i="120"/>
  <c r="C24" i="120"/>
  <c r="D23" i="120"/>
  <c r="C23" i="120"/>
  <c r="D22" i="120"/>
  <c r="C22" i="120"/>
  <c r="D21" i="120"/>
  <c r="C21" i="120"/>
  <c r="D20" i="120"/>
  <c r="C20" i="120"/>
  <c r="D19" i="120"/>
  <c r="C19" i="120"/>
  <c r="D18" i="120"/>
  <c r="C18" i="120"/>
  <c r="D17" i="120"/>
  <c r="C17" i="120"/>
  <c r="D16" i="120"/>
  <c r="C16" i="120"/>
  <c r="D15" i="120"/>
  <c r="C15" i="120"/>
  <c r="D14" i="120"/>
  <c r="C14" i="120"/>
  <c r="D13" i="120"/>
  <c r="C13" i="120"/>
  <c r="D12" i="120"/>
  <c r="C12" i="120"/>
  <c r="D11" i="120"/>
  <c r="C11" i="120"/>
  <c r="D10" i="120"/>
  <c r="C10" i="120"/>
  <c r="D9" i="120"/>
  <c r="C9" i="120"/>
  <c r="D8" i="120"/>
  <c r="C8" i="120"/>
  <c r="D7" i="120"/>
  <c r="C7" i="120"/>
  <c r="D6" i="120"/>
  <c r="C6" i="120"/>
  <c r="D5" i="120"/>
  <c r="C5" i="120"/>
  <c r="D4" i="120"/>
  <c r="C4" i="120"/>
  <c r="D3" i="120"/>
  <c r="C3" i="120"/>
  <c r="A25" i="120"/>
  <c r="A24" i="120"/>
  <c r="A5" i="120"/>
  <c r="A6" i="120" s="1"/>
  <c r="A4" i="120"/>
  <c r="V75" i="119"/>
  <c r="W75" i="119" s="1"/>
  <c r="XFD1048575" i="119" a="1"/>
  <c r="XFD1048575" i="119" s="1"/>
  <c r="XFD1048574" i="119" a="1"/>
  <c r="XFD1048574" i="119" s="1"/>
  <c r="XFD1048573" i="119" a="1"/>
  <c r="XFD1048573" i="119" s="1"/>
  <c r="XFD1048572" i="119" a="1"/>
  <c r="XFD1048572" i="119" s="1"/>
  <c r="XFD1048571" i="119" a="1"/>
  <c r="XFD1048571" i="119" s="1"/>
  <c r="XFD1048570" i="119" a="1"/>
  <c r="XFD1048570" i="119" s="1"/>
  <c r="XFD1048569" i="119" a="1"/>
  <c r="XFD1048569" i="119" s="1"/>
  <c r="XFD1048568" i="119" a="1"/>
  <c r="XFD1048568" i="119" s="1"/>
  <c r="XFD1048567" i="119" a="1"/>
  <c r="XFD1048567" i="119" s="1"/>
  <c r="XFD1048566" i="119" a="1"/>
  <c r="XFD1048566" i="119" s="1"/>
  <c r="XFD1048565" i="119" a="1"/>
  <c r="XFD1048565" i="119" s="1"/>
  <c r="XFD1048564" i="119" a="1"/>
  <c r="XFD1048564" i="119" s="1"/>
  <c r="XFD1048563" i="119" a="1"/>
  <c r="XFD1048563" i="119" s="1"/>
  <c r="XFD1048562" i="119" a="1"/>
  <c r="XFD1048562" i="119" s="1"/>
  <c r="XFD1048561" i="119"/>
  <c r="XFD1048560" i="119"/>
  <c r="XFD1048559" i="119"/>
  <c r="XFD1048558" i="119"/>
  <c r="XFD1048557" i="119"/>
  <c r="XFD1048556" i="119"/>
  <c r="XFD1048555" i="119" a="1"/>
  <c r="XFD1048555" i="119" s="1"/>
  <c r="XFD1048554" i="119"/>
  <c r="XFD1048553" i="119"/>
  <c r="XFD1048552" i="119"/>
  <c r="XFD1048551" i="119"/>
  <c r="XFD1048550" i="119"/>
  <c r="V78" i="119"/>
  <c r="W78" i="119" s="1"/>
  <c r="P78" i="119"/>
  <c r="Q78" i="119" s="1"/>
  <c r="N78" i="119"/>
  <c r="O78" i="119" s="1"/>
  <c r="C78" i="119"/>
  <c r="B78" i="119"/>
  <c r="A78" i="119"/>
  <c r="C77" i="119"/>
  <c r="B77" i="119"/>
  <c r="A77" i="119"/>
  <c r="V76" i="119"/>
  <c r="W76" i="119" s="1"/>
  <c r="P76" i="119"/>
  <c r="Q76" i="119" s="1"/>
  <c r="N76" i="119"/>
  <c r="O76" i="119" s="1"/>
  <c r="J76" i="119"/>
  <c r="C76" i="119"/>
  <c r="B76" i="119"/>
  <c r="A76" i="119"/>
  <c r="A75" i="119"/>
  <c r="A74" i="119"/>
  <c r="V73" i="119"/>
  <c r="W73" i="119" s="1"/>
  <c r="P73" i="119"/>
  <c r="Q73" i="119" s="1"/>
  <c r="N73" i="119"/>
  <c r="O73" i="119" s="1"/>
  <c r="J73" i="119"/>
  <c r="C73" i="119"/>
  <c r="B73" i="119"/>
  <c r="A73" i="119"/>
  <c r="A72" i="119"/>
  <c r="N71" i="119"/>
  <c r="O71" i="119" s="1"/>
  <c r="J71" i="119"/>
  <c r="C71" i="119"/>
  <c r="B71" i="119"/>
  <c r="A71" i="119"/>
  <c r="J70" i="119"/>
  <c r="D70" i="119"/>
  <c r="C70" i="119"/>
  <c r="B70" i="119"/>
  <c r="A70" i="119"/>
  <c r="X69" i="119"/>
  <c r="D69" i="119"/>
  <c r="C69" i="119"/>
  <c r="B69" i="119"/>
  <c r="A69" i="119"/>
  <c r="D68" i="119"/>
  <c r="C68" i="119"/>
  <c r="B68" i="119"/>
  <c r="A68" i="119"/>
  <c r="R67" i="119"/>
  <c r="S67" i="119" s="1"/>
  <c r="N67" i="119"/>
  <c r="D67" i="119"/>
  <c r="C67" i="119"/>
  <c r="B67" i="119"/>
  <c r="V67" i="119" s="1"/>
  <c r="A67" i="119"/>
  <c r="X66" i="119"/>
  <c r="V66" i="119"/>
  <c r="R66" i="119"/>
  <c r="N66" i="119"/>
  <c r="L66" i="119"/>
  <c r="J66" i="119"/>
  <c r="D66" i="119"/>
  <c r="C66" i="119"/>
  <c r="B66" i="119"/>
  <c r="P66" i="119" s="1"/>
  <c r="A66" i="119"/>
  <c r="V65" i="119"/>
  <c r="W65" i="119" s="1"/>
  <c r="D65" i="119"/>
  <c r="C65" i="119"/>
  <c r="B65" i="119"/>
  <c r="A65" i="119"/>
  <c r="X64" i="119"/>
  <c r="V64" i="119"/>
  <c r="W64" i="119" s="1"/>
  <c r="P64" i="119"/>
  <c r="Q64" i="119" s="1"/>
  <c r="N64" i="119"/>
  <c r="L64" i="119"/>
  <c r="J64" i="119"/>
  <c r="D64" i="119"/>
  <c r="C64" i="119"/>
  <c r="B64" i="119"/>
  <c r="R64" i="119" s="1"/>
  <c r="A64" i="119"/>
  <c r="X63" i="119"/>
  <c r="V63" i="119"/>
  <c r="R63" i="119"/>
  <c r="L63" i="119"/>
  <c r="J63" i="119"/>
  <c r="D63" i="119"/>
  <c r="C63" i="119"/>
  <c r="B63" i="119"/>
  <c r="N63" i="119" s="1"/>
  <c r="A63" i="119"/>
  <c r="V62" i="119"/>
  <c r="R62" i="119"/>
  <c r="S62" i="119" s="1"/>
  <c r="N62" i="119"/>
  <c r="L62" i="119"/>
  <c r="D62" i="119"/>
  <c r="C62" i="119"/>
  <c r="B62" i="119"/>
  <c r="A62" i="119"/>
  <c r="A61" i="119"/>
  <c r="X60" i="119"/>
  <c r="Y60" i="119" s="1"/>
  <c r="N60" i="119"/>
  <c r="O60" i="119" s="1"/>
  <c r="L60" i="119"/>
  <c r="M60" i="119" s="1"/>
  <c r="C60" i="119"/>
  <c r="B60" i="119"/>
  <c r="A60" i="119"/>
  <c r="X59" i="119"/>
  <c r="Y59" i="119" s="1"/>
  <c r="C59" i="119"/>
  <c r="B59" i="119"/>
  <c r="A59" i="119"/>
  <c r="N58" i="119"/>
  <c r="O58" i="119" s="1"/>
  <c r="C58" i="119"/>
  <c r="B58" i="119"/>
  <c r="X58" i="119" s="1"/>
  <c r="Y58" i="119" s="1"/>
  <c r="A58" i="119"/>
  <c r="X57" i="119"/>
  <c r="Y57" i="119" s="1"/>
  <c r="N57" i="119"/>
  <c r="O57" i="119" s="1"/>
  <c r="L57" i="119"/>
  <c r="M57" i="119" s="1"/>
  <c r="C57" i="119"/>
  <c r="B57" i="119"/>
  <c r="A57" i="119"/>
  <c r="AC56" i="119"/>
  <c r="X56" i="119"/>
  <c r="Y56" i="119" s="1"/>
  <c r="V56" i="119"/>
  <c r="W56" i="119" s="1"/>
  <c r="R56" i="119"/>
  <c r="S56" i="119" s="1"/>
  <c r="P56" i="119"/>
  <c r="N56" i="119"/>
  <c r="L56" i="119"/>
  <c r="M56" i="119" s="1"/>
  <c r="J56" i="119"/>
  <c r="C56" i="119"/>
  <c r="B56" i="119"/>
  <c r="A56" i="119"/>
  <c r="X55" i="119"/>
  <c r="V55" i="119"/>
  <c r="R55" i="119"/>
  <c r="P55" i="119"/>
  <c r="N55" i="119"/>
  <c r="L55" i="119"/>
  <c r="J55" i="119"/>
  <c r="C55" i="119"/>
  <c r="B55" i="119"/>
  <c r="A55" i="119"/>
  <c r="AC54" i="119"/>
  <c r="V54" i="119"/>
  <c r="W54" i="119" s="1"/>
  <c r="P54" i="119"/>
  <c r="Q54" i="119" s="1"/>
  <c r="N54" i="119"/>
  <c r="O54" i="119" s="1"/>
  <c r="J54" i="119"/>
  <c r="K54" i="119" s="1"/>
  <c r="C54" i="119"/>
  <c r="B54" i="119"/>
  <c r="A54" i="119"/>
  <c r="V53" i="119"/>
  <c r="W53" i="119" s="1"/>
  <c r="J53" i="119"/>
  <c r="C53" i="119"/>
  <c r="B53" i="119"/>
  <c r="A53" i="119"/>
  <c r="AC52" i="119"/>
  <c r="V52" i="119"/>
  <c r="W52" i="119" s="1"/>
  <c r="R52" i="119"/>
  <c r="S52" i="119" s="1"/>
  <c r="N52" i="119"/>
  <c r="O52" i="119" s="1"/>
  <c r="C52" i="119"/>
  <c r="B52" i="119"/>
  <c r="P52" i="119" s="1"/>
  <c r="Q52" i="119" s="1"/>
  <c r="A52" i="119"/>
  <c r="X51" i="119"/>
  <c r="Y51" i="119" s="1"/>
  <c r="P51" i="119"/>
  <c r="Q51" i="119" s="1"/>
  <c r="N51" i="119"/>
  <c r="O51" i="119" s="1"/>
  <c r="C51" i="119"/>
  <c r="B51" i="119"/>
  <c r="A51" i="119"/>
  <c r="X50" i="119"/>
  <c r="Y50" i="119" s="1"/>
  <c r="V50" i="119"/>
  <c r="W50" i="119" s="1"/>
  <c r="J50" i="119"/>
  <c r="C50" i="119"/>
  <c r="B50" i="119"/>
  <c r="N50" i="119" s="1"/>
  <c r="O50" i="119" s="1"/>
  <c r="A50" i="119"/>
  <c r="P49" i="119"/>
  <c r="Q49" i="119" s="1"/>
  <c r="N49" i="119"/>
  <c r="O49" i="119" s="1"/>
  <c r="J49" i="119"/>
  <c r="D49" i="119"/>
  <c r="C49" i="119"/>
  <c r="B49" i="119"/>
  <c r="L49" i="119" s="1"/>
  <c r="A49" i="119"/>
  <c r="X48" i="119"/>
  <c r="L48" i="119"/>
  <c r="M48" i="119" s="1"/>
  <c r="D48" i="119"/>
  <c r="C48" i="119"/>
  <c r="B48" i="119"/>
  <c r="P48" i="119" s="1"/>
  <c r="A48" i="119"/>
  <c r="X47" i="119"/>
  <c r="R47" i="119"/>
  <c r="P47" i="119"/>
  <c r="N47" i="119"/>
  <c r="L47" i="119"/>
  <c r="D47" i="119"/>
  <c r="C47" i="119"/>
  <c r="B47" i="119"/>
  <c r="J47" i="119" s="1"/>
  <c r="A47" i="119"/>
  <c r="R46" i="119"/>
  <c r="S46" i="119" s="1"/>
  <c r="N46" i="119"/>
  <c r="O46" i="119" s="1"/>
  <c r="C46" i="119"/>
  <c r="B46" i="119"/>
  <c r="A46" i="119"/>
  <c r="R45" i="119"/>
  <c r="C45" i="119"/>
  <c r="B45" i="119"/>
  <c r="A45" i="119"/>
  <c r="R44" i="119"/>
  <c r="P44" i="119"/>
  <c r="N44" i="119"/>
  <c r="C44" i="119"/>
  <c r="B44" i="119"/>
  <c r="A44" i="119"/>
  <c r="P43" i="119"/>
  <c r="Q43" i="119" s="1"/>
  <c r="C43" i="119"/>
  <c r="B43" i="119"/>
  <c r="N43" i="119" s="1"/>
  <c r="O43" i="119" s="1"/>
  <c r="A43" i="119"/>
  <c r="R42" i="119"/>
  <c r="C42" i="119"/>
  <c r="B42" i="119"/>
  <c r="A42" i="119"/>
  <c r="C41" i="119"/>
  <c r="B41" i="119"/>
  <c r="A41" i="119"/>
  <c r="N40" i="119"/>
  <c r="O40" i="119" s="1"/>
  <c r="C40" i="119"/>
  <c r="B40" i="119"/>
  <c r="A40" i="119"/>
  <c r="R39" i="119"/>
  <c r="S39" i="119" s="1"/>
  <c r="C39" i="119"/>
  <c r="B39" i="119"/>
  <c r="A39" i="119"/>
  <c r="C38" i="119"/>
  <c r="B38" i="119"/>
  <c r="P38" i="119" s="1"/>
  <c r="Q38" i="119" s="1"/>
  <c r="A38" i="119"/>
  <c r="C37" i="119"/>
  <c r="B37" i="119"/>
  <c r="A37" i="119"/>
  <c r="C36" i="119"/>
  <c r="B36" i="119"/>
  <c r="A36" i="119"/>
  <c r="R35" i="119"/>
  <c r="P35" i="119"/>
  <c r="Q35" i="119" s="1"/>
  <c r="C35" i="119"/>
  <c r="B35" i="119"/>
  <c r="N35" i="119" s="1"/>
  <c r="O35" i="119" s="1"/>
  <c r="A35" i="119"/>
  <c r="V34" i="119"/>
  <c r="P34" i="119"/>
  <c r="Q34" i="119" s="1"/>
  <c r="N34" i="119"/>
  <c r="C34" i="119"/>
  <c r="B34" i="119"/>
  <c r="J34" i="119" s="1"/>
  <c r="A34" i="119"/>
  <c r="X33" i="119"/>
  <c r="Y33" i="119" s="1"/>
  <c r="P33" i="119"/>
  <c r="Q33" i="119" s="1"/>
  <c r="L33" i="119"/>
  <c r="M33" i="119" s="1"/>
  <c r="J33" i="119"/>
  <c r="C33" i="119"/>
  <c r="B33" i="119"/>
  <c r="R33" i="119" s="1"/>
  <c r="S33" i="119" s="1"/>
  <c r="A33" i="119"/>
  <c r="R32" i="119"/>
  <c r="S32" i="119" s="1"/>
  <c r="C32" i="119"/>
  <c r="B32" i="119"/>
  <c r="P32" i="119" s="1"/>
  <c r="Q32" i="119" s="1"/>
  <c r="A32" i="119"/>
  <c r="V31" i="119"/>
  <c r="W31" i="119" s="1"/>
  <c r="N31" i="119"/>
  <c r="O31" i="119" s="1"/>
  <c r="L31" i="119"/>
  <c r="M31" i="119" s="1"/>
  <c r="C31" i="119"/>
  <c r="B31" i="119"/>
  <c r="A31" i="119"/>
  <c r="P30" i="119"/>
  <c r="Q30" i="119" s="1"/>
  <c r="J30" i="119"/>
  <c r="C30" i="119"/>
  <c r="B30" i="119"/>
  <c r="A30" i="119"/>
  <c r="X29" i="119"/>
  <c r="Y29" i="119" s="1"/>
  <c r="V29" i="119"/>
  <c r="W29" i="119" s="1"/>
  <c r="P29" i="119"/>
  <c r="Q29" i="119" s="1"/>
  <c r="N29" i="119"/>
  <c r="O29" i="119" s="1"/>
  <c r="L29" i="119"/>
  <c r="M29" i="119" s="1"/>
  <c r="J29" i="119"/>
  <c r="C29" i="119"/>
  <c r="B29" i="119"/>
  <c r="R29" i="119" s="1"/>
  <c r="S29" i="119" s="1"/>
  <c r="A29" i="119"/>
  <c r="V28" i="119"/>
  <c r="R28" i="119"/>
  <c r="S28" i="119" s="1"/>
  <c r="P28" i="119"/>
  <c r="Q28" i="119" s="1"/>
  <c r="N28" i="119"/>
  <c r="J28" i="119"/>
  <c r="K28" i="119" s="1"/>
  <c r="C28" i="119"/>
  <c r="B28" i="119"/>
  <c r="A28" i="119"/>
  <c r="C27" i="119"/>
  <c r="B27" i="119"/>
  <c r="A27" i="119"/>
  <c r="N26" i="119"/>
  <c r="O26" i="119" s="1"/>
  <c r="D26" i="119"/>
  <c r="C26" i="119"/>
  <c r="B26" i="119"/>
  <c r="A26" i="119"/>
  <c r="X25" i="119"/>
  <c r="P25" i="119"/>
  <c r="Q25" i="119" s="1"/>
  <c r="N25" i="119"/>
  <c r="O25" i="119" s="1"/>
  <c r="D25" i="119"/>
  <c r="C25" i="119"/>
  <c r="B25" i="119"/>
  <c r="L25" i="119" s="1"/>
  <c r="A25" i="119"/>
  <c r="AO24" i="119"/>
  <c r="AL24" i="119"/>
  <c r="AK24" i="119"/>
  <c r="AI24" i="119"/>
  <c r="AM24" i="119" s="1"/>
  <c r="AH24" i="119"/>
  <c r="AR24" i="119" s="1"/>
  <c r="X24" i="119"/>
  <c r="V24" i="119"/>
  <c r="N24" i="119"/>
  <c r="L24" i="119"/>
  <c r="J24" i="119"/>
  <c r="D24" i="119"/>
  <c r="C24" i="119"/>
  <c r="B24" i="119"/>
  <c r="R24" i="119" s="1"/>
  <c r="A24" i="119"/>
  <c r="AM23" i="119"/>
  <c r="N23" i="119"/>
  <c r="O23" i="119" s="1"/>
  <c r="D23" i="119"/>
  <c r="C23" i="119"/>
  <c r="B23" i="119"/>
  <c r="A23" i="119"/>
  <c r="AN22" i="119"/>
  <c r="AM22" i="119"/>
  <c r="AJ22" i="119"/>
  <c r="AI22" i="119"/>
  <c r="AH22" i="119"/>
  <c r="D22" i="119"/>
  <c r="C22" i="119"/>
  <c r="B22" i="119"/>
  <c r="A22" i="119"/>
  <c r="AN21" i="119"/>
  <c r="AM21" i="119"/>
  <c r="D21" i="119"/>
  <c r="C21" i="119"/>
  <c r="B21" i="119"/>
  <c r="P21" i="119" s="1"/>
  <c r="A21" i="119"/>
  <c r="AN20" i="119"/>
  <c r="AM20" i="119"/>
  <c r="AJ20" i="119"/>
  <c r="AI20" i="119"/>
  <c r="AH20" i="119"/>
  <c r="P20" i="119"/>
  <c r="Q20" i="119" s="1"/>
  <c r="N20" i="119"/>
  <c r="O20" i="119" s="1"/>
  <c r="C20" i="119"/>
  <c r="B20" i="119"/>
  <c r="R20" i="119" s="1"/>
  <c r="S20" i="119" s="1"/>
  <c r="A20" i="119"/>
  <c r="AM19" i="119"/>
  <c r="AJ19" i="119"/>
  <c r="AN19" i="119" s="1"/>
  <c r="AI19" i="119"/>
  <c r="AH19" i="119"/>
  <c r="AO19" i="119" s="1"/>
  <c r="AP19" i="119" s="1"/>
  <c r="R19" i="119"/>
  <c r="S19" i="119" s="1"/>
  <c r="P19" i="119"/>
  <c r="Q19" i="119" s="1"/>
  <c r="N19" i="119"/>
  <c r="O19" i="119" s="1"/>
  <c r="L19" i="119"/>
  <c r="M19" i="119" s="1"/>
  <c r="C19" i="119"/>
  <c r="B19" i="119"/>
  <c r="X19" i="119" s="1"/>
  <c r="Y19" i="119" s="1"/>
  <c r="A19" i="119"/>
  <c r="AR18" i="119"/>
  <c r="AJ18" i="119"/>
  <c r="AI18" i="119"/>
  <c r="AH18" i="119"/>
  <c r="AO18" i="119" s="1"/>
  <c r="X18" i="119"/>
  <c r="Y18" i="119" s="1"/>
  <c r="N18" i="119"/>
  <c r="O18" i="119" s="1"/>
  <c r="L18" i="119"/>
  <c r="M18" i="119" s="1"/>
  <c r="J18" i="119"/>
  <c r="K18" i="119" s="1"/>
  <c r="C18" i="119"/>
  <c r="B18" i="119"/>
  <c r="A18" i="119"/>
  <c r="AR17" i="119"/>
  <c r="AO17" i="119"/>
  <c r="AJ17" i="119"/>
  <c r="AM17" i="119" s="1"/>
  <c r="AI17" i="119"/>
  <c r="AH17" i="119"/>
  <c r="X17" i="119"/>
  <c r="R17" i="119"/>
  <c r="N17" i="119"/>
  <c r="L17" i="119"/>
  <c r="C17" i="119"/>
  <c r="B17" i="119"/>
  <c r="A17" i="119"/>
  <c r="AO16" i="119"/>
  <c r="AN16" i="119"/>
  <c r="AM16" i="119"/>
  <c r="AL16" i="119"/>
  <c r="AK16" i="119"/>
  <c r="AJ16" i="119"/>
  <c r="AI16" i="119"/>
  <c r="AH16" i="119"/>
  <c r="AR16" i="119" s="1"/>
  <c r="X16" i="119"/>
  <c r="Y16" i="119" s="1"/>
  <c r="V16" i="119"/>
  <c r="R16" i="119"/>
  <c r="P16" i="119"/>
  <c r="L16" i="119"/>
  <c r="M16" i="119" s="1"/>
  <c r="J16" i="119"/>
  <c r="C16" i="119"/>
  <c r="B16" i="119"/>
  <c r="N16" i="119" s="1"/>
  <c r="O16" i="119" s="1"/>
  <c r="A16" i="119"/>
  <c r="AR15" i="119"/>
  <c r="AO15" i="119"/>
  <c r="AP15" i="119" s="1"/>
  <c r="AM15" i="119"/>
  <c r="AJ15" i="119"/>
  <c r="AN15" i="119" s="1"/>
  <c r="AI15" i="119"/>
  <c r="AH15" i="119"/>
  <c r="AG15" i="119"/>
  <c r="X15" i="119"/>
  <c r="Y15" i="119" s="1"/>
  <c r="V15" i="119"/>
  <c r="R15" i="119"/>
  <c r="S15" i="119" s="1"/>
  <c r="P15" i="119"/>
  <c r="L15" i="119"/>
  <c r="M15" i="119" s="1"/>
  <c r="J15" i="119"/>
  <c r="C15" i="119"/>
  <c r="B15" i="119"/>
  <c r="N15" i="119" s="1"/>
  <c r="O15" i="119" s="1"/>
  <c r="A15" i="119"/>
  <c r="AR14" i="119"/>
  <c r="AO14" i="119"/>
  <c r="AN14" i="119"/>
  <c r="AM14" i="119"/>
  <c r="AJ14" i="119"/>
  <c r="AI14" i="119"/>
  <c r="AH14" i="119"/>
  <c r="AG14" i="119"/>
  <c r="X14" i="119"/>
  <c r="Y14" i="119" s="1"/>
  <c r="V14" i="119"/>
  <c r="R14" i="119"/>
  <c r="S14" i="119" s="1"/>
  <c r="P14" i="119"/>
  <c r="L14" i="119"/>
  <c r="M14" i="119" s="1"/>
  <c r="J14" i="119"/>
  <c r="C14" i="119"/>
  <c r="B14" i="119"/>
  <c r="N14" i="119" s="1"/>
  <c r="O14" i="119" s="1"/>
  <c r="A14" i="119"/>
  <c r="AR13" i="119"/>
  <c r="AO13" i="119"/>
  <c r="AN13" i="119"/>
  <c r="AM13" i="119"/>
  <c r="AJ13" i="119"/>
  <c r="AI13" i="119"/>
  <c r="AH13" i="119"/>
  <c r="AG13" i="119"/>
  <c r="AG2" i="119" s="1"/>
  <c r="X13" i="119"/>
  <c r="Y13" i="119" s="1"/>
  <c r="V13" i="119"/>
  <c r="W13" i="119" s="1"/>
  <c r="R13" i="119"/>
  <c r="S13" i="119" s="1"/>
  <c r="P13" i="119"/>
  <c r="L13" i="119"/>
  <c r="M13" i="119" s="1"/>
  <c r="J13" i="119"/>
  <c r="C13" i="119"/>
  <c r="B13" i="119"/>
  <c r="N13" i="119" s="1"/>
  <c r="O13" i="119" s="1"/>
  <c r="A13" i="119"/>
  <c r="AR12" i="119"/>
  <c r="AO12" i="119"/>
  <c r="AN12" i="119"/>
  <c r="AJ12" i="119"/>
  <c r="AM12" i="119" s="1"/>
  <c r="AI12" i="119"/>
  <c r="AH12" i="119"/>
  <c r="C12" i="119"/>
  <c r="B12" i="119"/>
  <c r="A12" i="119"/>
  <c r="AJ11" i="119"/>
  <c r="AN11" i="119" s="1"/>
  <c r="AI11" i="119"/>
  <c r="AH11" i="119"/>
  <c r="C11" i="119"/>
  <c r="B11" i="119"/>
  <c r="V11" i="119" s="1"/>
  <c r="W11" i="119" s="1"/>
  <c r="A11" i="119"/>
  <c r="AR10" i="119"/>
  <c r="AS10" i="119" s="1"/>
  <c r="AO10" i="119"/>
  <c r="AJ10" i="119"/>
  <c r="AN10" i="119" s="1"/>
  <c r="AI10" i="119"/>
  <c r="AH10" i="119"/>
  <c r="C10" i="119"/>
  <c r="B10" i="119"/>
  <c r="A10" i="119"/>
  <c r="AO9" i="119"/>
  <c r="AJ9" i="119"/>
  <c r="AN9" i="119" s="1"/>
  <c r="AI9" i="119"/>
  <c r="AH9" i="119"/>
  <c r="AR9" i="119" s="1"/>
  <c r="AR8" i="119"/>
  <c r="AL8" i="119"/>
  <c r="AK8" i="119"/>
  <c r="AJ8" i="119"/>
  <c r="AI8" i="119"/>
  <c r="AM8" i="119" s="1"/>
  <c r="AH8" i="119"/>
  <c r="AO8" i="119" s="1"/>
  <c r="AN7" i="119"/>
  <c r="AJ7" i="119"/>
  <c r="AM7" i="119" s="1"/>
  <c r="AI7" i="119"/>
  <c r="AH7" i="119"/>
  <c r="H7" i="119"/>
  <c r="AR6" i="119"/>
  <c r="AL6" i="119"/>
  <c r="AK6" i="119"/>
  <c r="AJ6" i="119"/>
  <c r="AI6" i="119"/>
  <c r="AM6" i="119" s="1"/>
  <c r="AH6" i="119"/>
  <c r="AO6" i="119" s="1"/>
  <c r="AP6" i="119" s="1"/>
  <c r="AA6" i="119"/>
  <c r="AN5" i="119"/>
  <c r="AL5" i="119"/>
  <c r="AK5" i="119"/>
  <c r="AM5" i="119" s="1"/>
  <c r="AJ5" i="119"/>
  <c r="AI5" i="119"/>
  <c r="AH5" i="119"/>
  <c r="AR5" i="119" s="1"/>
  <c r="AO4" i="119"/>
  <c r="AN4" i="119"/>
  <c r="AL4" i="119"/>
  <c r="AK4" i="119"/>
  <c r="AM4" i="119" s="1"/>
  <c r="AJ4" i="119"/>
  <c r="AI4" i="119"/>
  <c r="AH4" i="119"/>
  <c r="AR4" i="119" s="1"/>
  <c r="AS4" i="119" s="1"/>
  <c r="T2" i="119"/>
  <c r="T52" i="119" s="1"/>
  <c r="U52" i="119" s="1"/>
  <c r="G6" i="3"/>
  <c r="D203" i="117"/>
  <c r="C203" i="117"/>
  <c r="D202" i="117"/>
  <c r="C202" i="117"/>
  <c r="D201" i="117"/>
  <c r="C201" i="117"/>
  <c r="D200" i="117"/>
  <c r="C200" i="117"/>
  <c r="D199" i="117"/>
  <c r="C199" i="117"/>
  <c r="D198" i="117"/>
  <c r="C198" i="117"/>
  <c r="D197" i="117"/>
  <c r="C197" i="117"/>
  <c r="D196" i="117"/>
  <c r="C196" i="117"/>
  <c r="D195" i="117"/>
  <c r="C195" i="117"/>
  <c r="D194" i="117"/>
  <c r="C194" i="117"/>
  <c r="D193" i="117"/>
  <c r="C193" i="117"/>
  <c r="D192" i="117"/>
  <c r="C192" i="117"/>
  <c r="D191" i="117"/>
  <c r="C191" i="117"/>
  <c r="D190" i="117"/>
  <c r="C190" i="117"/>
  <c r="D189" i="117"/>
  <c r="C189" i="117"/>
  <c r="D188" i="117"/>
  <c r="C188" i="117"/>
  <c r="D187" i="117"/>
  <c r="C187" i="117"/>
  <c r="D186" i="117"/>
  <c r="C186" i="117"/>
  <c r="D185" i="117"/>
  <c r="C185" i="117"/>
  <c r="D184" i="117"/>
  <c r="C184" i="117"/>
  <c r="D183" i="117"/>
  <c r="C183" i="117"/>
  <c r="D182" i="117"/>
  <c r="C182" i="117"/>
  <c r="D181" i="117"/>
  <c r="C181" i="117"/>
  <c r="D180" i="117"/>
  <c r="C180" i="117"/>
  <c r="D179" i="117"/>
  <c r="C179" i="117"/>
  <c r="D178" i="117"/>
  <c r="C178" i="117"/>
  <c r="D177" i="117"/>
  <c r="C177" i="117"/>
  <c r="D176" i="117"/>
  <c r="C176" i="117"/>
  <c r="D175" i="117"/>
  <c r="C175" i="117"/>
  <c r="D174" i="117"/>
  <c r="C174" i="117"/>
  <c r="D173" i="117"/>
  <c r="C173" i="117"/>
  <c r="D172" i="117"/>
  <c r="C172" i="117"/>
  <c r="D171" i="117"/>
  <c r="C171" i="117"/>
  <c r="D170" i="117"/>
  <c r="C170" i="117"/>
  <c r="D169" i="117"/>
  <c r="C169" i="117"/>
  <c r="D168" i="117"/>
  <c r="C168" i="117"/>
  <c r="D167" i="117"/>
  <c r="C167" i="117"/>
  <c r="D166" i="117"/>
  <c r="C166" i="117"/>
  <c r="D165" i="117"/>
  <c r="C165" i="117"/>
  <c r="D164" i="117"/>
  <c r="C164" i="117"/>
  <c r="D163" i="117"/>
  <c r="C163" i="117"/>
  <c r="D162" i="117"/>
  <c r="C162" i="117"/>
  <c r="D161" i="117"/>
  <c r="C161" i="117"/>
  <c r="D160" i="117"/>
  <c r="C160" i="117"/>
  <c r="D159" i="117"/>
  <c r="C159" i="117"/>
  <c r="D158" i="117"/>
  <c r="C158" i="117"/>
  <c r="D157" i="117"/>
  <c r="C157" i="117"/>
  <c r="D156" i="117"/>
  <c r="C156" i="117"/>
  <c r="D155" i="117"/>
  <c r="C155" i="117"/>
  <c r="D154" i="117"/>
  <c r="C154" i="117"/>
  <c r="D153" i="117"/>
  <c r="C153" i="117"/>
  <c r="D152" i="117"/>
  <c r="C152" i="117"/>
  <c r="D151" i="117"/>
  <c r="C151" i="117"/>
  <c r="D150" i="117"/>
  <c r="C150" i="117"/>
  <c r="D149" i="117"/>
  <c r="C149" i="117"/>
  <c r="D148" i="117"/>
  <c r="C148" i="117"/>
  <c r="D147" i="117"/>
  <c r="C147" i="117"/>
  <c r="D146" i="117"/>
  <c r="C146" i="117"/>
  <c r="D145" i="117"/>
  <c r="C145" i="117"/>
  <c r="D144" i="117"/>
  <c r="C144" i="117"/>
  <c r="D143" i="117"/>
  <c r="C143" i="117"/>
  <c r="D142" i="117"/>
  <c r="C142" i="117"/>
  <c r="D141" i="117"/>
  <c r="C141" i="117"/>
  <c r="D140" i="117"/>
  <c r="C140" i="117"/>
  <c r="D139" i="117"/>
  <c r="C139" i="117"/>
  <c r="D138" i="117"/>
  <c r="C138" i="117"/>
  <c r="D137" i="117"/>
  <c r="C137" i="117"/>
  <c r="D136" i="117"/>
  <c r="C136" i="117"/>
  <c r="D135" i="117"/>
  <c r="C135" i="117"/>
  <c r="D134" i="117"/>
  <c r="C134" i="117"/>
  <c r="D133" i="117"/>
  <c r="C133" i="117"/>
  <c r="D132" i="117"/>
  <c r="C132" i="117"/>
  <c r="D131" i="117"/>
  <c r="C131" i="117"/>
  <c r="D130" i="117"/>
  <c r="C130" i="117"/>
  <c r="D129" i="117"/>
  <c r="C129" i="117"/>
  <c r="D128" i="117"/>
  <c r="C128" i="117"/>
  <c r="D127" i="117"/>
  <c r="C127" i="117"/>
  <c r="D126" i="117"/>
  <c r="C126" i="117"/>
  <c r="D125" i="117"/>
  <c r="C125" i="117"/>
  <c r="D124" i="117"/>
  <c r="C124" i="117"/>
  <c r="D123" i="117"/>
  <c r="C123" i="117"/>
  <c r="D122" i="117"/>
  <c r="C122" i="117"/>
  <c r="D121" i="117"/>
  <c r="C121" i="117"/>
  <c r="D120" i="117"/>
  <c r="C120" i="117"/>
  <c r="D119" i="117"/>
  <c r="C119" i="117"/>
  <c r="D118" i="117"/>
  <c r="C118" i="117"/>
  <c r="D117" i="117"/>
  <c r="C117" i="117"/>
  <c r="D116" i="117"/>
  <c r="C116" i="117"/>
  <c r="D115" i="117"/>
  <c r="C115" i="117"/>
  <c r="D114" i="117"/>
  <c r="C114" i="117"/>
  <c r="D113" i="117"/>
  <c r="C113" i="117"/>
  <c r="D112" i="117"/>
  <c r="C112" i="117"/>
  <c r="D111" i="117"/>
  <c r="C111" i="117"/>
  <c r="D110" i="117"/>
  <c r="C110" i="117"/>
  <c r="D109" i="117"/>
  <c r="C109" i="117"/>
  <c r="D108" i="117"/>
  <c r="C108" i="117"/>
  <c r="D107" i="117"/>
  <c r="C107" i="117"/>
  <c r="D106" i="117"/>
  <c r="C106" i="117"/>
  <c r="D105" i="117"/>
  <c r="C105" i="117"/>
  <c r="D104" i="117"/>
  <c r="C104" i="117"/>
  <c r="D103" i="117"/>
  <c r="C103" i="117"/>
  <c r="D102" i="117"/>
  <c r="C102" i="117"/>
  <c r="D101" i="117"/>
  <c r="C101" i="117"/>
  <c r="D100" i="117"/>
  <c r="C100" i="117"/>
  <c r="D99" i="117"/>
  <c r="C99" i="117"/>
  <c r="D98" i="117"/>
  <c r="C98" i="117"/>
  <c r="D97" i="117"/>
  <c r="C97" i="117"/>
  <c r="D96" i="117"/>
  <c r="C96" i="117"/>
  <c r="D95" i="117"/>
  <c r="C95" i="117"/>
  <c r="D94" i="117"/>
  <c r="C94" i="117"/>
  <c r="D93" i="117"/>
  <c r="C93" i="117"/>
  <c r="D92" i="117"/>
  <c r="C92" i="117"/>
  <c r="D91" i="117"/>
  <c r="C91" i="117"/>
  <c r="D90" i="117"/>
  <c r="C90" i="117"/>
  <c r="D89" i="117"/>
  <c r="C89" i="117"/>
  <c r="D88" i="117"/>
  <c r="C88" i="117"/>
  <c r="D87" i="117"/>
  <c r="C87" i="117"/>
  <c r="D86" i="117"/>
  <c r="C86" i="117"/>
  <c r="D85" i="117"/>
  <c r="C85" i="117"/>
  <c r="D84" i="117"/>
  <c r="C84" i="117"/>
  <c r="D83" i="117"/>
  <c r="C83" i="117"/>
  <c r="D82" i="117"/>
  <c r="C82" i="117"/>
  <c r="D81" i="117"/>
  <c r="C81" i="117"/>
  <c r="D80" i="117"/>
  <c r="C80" i="117"/>
  <c r="D79" i="117"/>
  <c r="C79" i="117"/>
  <c r="D78" i="117"/>
  <c r="C78" i="117"/>
  <c r="D77" i="117"/>
  <c r="C77" i="117"/>
  <c r="D76" i="117"/>
  <c r="C76" i="117"/>
  <c r="D75" i="117"/>
  <c r="C75" i="117"/>
  <c r="D74" i="117"/>
  <c r="C74" i="117"/>
  <c r="D73" i="117"/>
  <c r="C73" i="117"/>
  <c r="D72" i="117"/>
  <c r="C72" i="117"/>
  <c r="D71" i="117"/>
  <c r="C71" i="117"/>
  <c r="D70" i="117"/>
  <c r="C70" i="117"/>
  <c r="D69" i="117"/>
  <c r="C69" i="117"/>
  <c r="D68" i="117"/>
  <c r="C68" i="117"/>
  <c r="D67" i="117"/>
  <c r="C67" i="117"/>
  <c r="D66" i="117"/>
  <c r="C66" i="117"/>
  <c r="D65" i="117"/>
  <c r="C65" i="117"/>
  <c r="D64" i="117"/>
  <c r="C64" i="117"/>
  <c r="D63" i="117"/>
  <c r="C63" i="117"/>
  <c r="D62" i="117"/>
  <c r="C62" i="117"/>
  <c r="D61" i="117"/>
  <c r="C61" i="117"/>
  <c r="D60" i="117"/>
  <c r="C60" i="117"/>
  <c r="D59" i="117"/>
  <c r="C59" i="117"/>
  <c r="D58" i="117"/>
  <c r="C58" i="117"/>
  <c r="D57" i="117"/>
  <c r="C57" i="117"/>
  <c r="D56" i="117"/>
  <c r="C56" i="117"/>
  <c r="D55" i="117"/>
  <c r="C55" i="117"/>
  <c r="D54" i="117"/>
  <c r="C54" i="117"/>
  <c r="D53" i="117"/>
  <c r="C53" i="117"/>
  <c r="D52" i="117"/>
  <c r="C52" i="117"/>
  <c r="D51" i="117"/>
  <c r="C51" i="117"/>
  <c r="D50" i="117"/>
  <c r="C50" i="117"/>
  <c r="D49" i="117"/>
  <c r="C49" i="117"/>
  <c r="D48" i="117"/>
  <c r="C48" i="117"/>
  <c r="D47" i="117"/>
  <c r="C47" i="117"/>
  <c r="D46" i="117"/>
  <c r="C46" i="117"/>
  <c r="D45" i="117"/>
  <c r="C45" i="117"/>
  <c r="D44" i="117"/>
  <c r="C44" i="117"/>
  <c r="D43" i="117"/>
  <c r="C43" i="117"/>
  <c r="D42" i="117"/>
  <c r="C42" i="117"/>
  <c r="D41" i="117"/>
  <c r="C41" i="117"/>
  <c r="D40" i="117"/>
  <c r="C40" i="117"/>
  <c r="D39" i="117"/>
  <c r="C39" i="117"/>
  <c r="D38" i="117"/>
  <c r="C38" i="117"/>
  <c r="D37" i="117"/>
  <c r="C37" i="117"/>
  <c r="D36" i="117"/>
  <c r="C36" i="117"/>
  <c r="D35" i="117"/>
  <c r="C35" i="117"/>
  <c r="D34" i="117"/>
  <c r="C34" i="117"/>
  <c r="D33" i="117"/>
  <c r="C33" i="117"/>
  <c r="D32" i="117"/>
  <c r="C32" i="117"/>
  <c r="D31" i="117"/>
  <c r="C31" i="117"/>
  <c r="D30" i="117"/>
  <c r="C30" i="117"/>
  <c r="D29" i="117"/>
  <c r="C29" i="117"/>
  <c r="D28" i="117"/>
  <c r="C28" i="117"/>
  <c r="D27" i="117"/>
  <c r="C27" i="117"/>
  <c r="D26" i="117"/>
  <c r="C26" i="117"/>
  <c r="D25" i="117"/>
  <c r="C25" i="117"/>
  <c r="D24" i="117"/>
  <c r="C24" i="117"/>
  <c r="D23" i="117"/>
  <c r="C23" i="117"/>
  <c r="D22" i="117"/>
  <c r="C22" i="117"/>
  <c r="D21" i="117"/>
  <c r="C21" i="117"/>
  <c r="D20" i="117"/>
  <c r="C20" i="117"/>
  <c r="D19" i="117"/>
  <c r="C19" i="117"/>
  <c r="D18" i="117"/>
  <c r="C18" i="117"/>
  <c r="D17" i="117"/>
  <c r="C17" i="117"/>
  <c r="D16" i="117"/>
  <c r="C16" i="117"/>
  <c r="D15" i="117"/>
  <c r="C15" i="117"/>
  <c r="D14" i="117"/>
  <c r="C14" i="117"/>
  <c r="D13" i="117"/>
  <c r="C13" i="117"/>
  <c r="D12" i="117"/>
  <c r="C12" i="117"/>
  <c r="D11" i="117"/>
  <c r="C11" i="117"/>
  <c r="D10" i="117"/>
  <c r="C10" i="117"/>
  <c r="D9" i="117"/>
  <c r="C9" i="117"/>
  <c r="D8" i="117"/>
  <c r="C8" i="117"/>
  <c r="D7" i="117"/>
  <c r="C7" i="117"/>
  <c r="D6" i="117"/>
  <c r="C6" i="117"/>
  <c r="D5" i="117"/>
  <c r="C5" i="117"/>
  <c r="D4" i="117"/>
  <c r="C4" i="117"/>
  <c r="D3" i="117"/>
  <c r="C3" i="117"/>
  <c r="AK16" i="115"/>
  <c r="AM16" i="115" s="1"/>
  <c r="AI24" i="115"/>
  <c r="AL24" i="115" s="1"/>
  <c r="AH24" i="115"/>
  <c r="AI23" i="115"/>
  <c r="AL23" i="115" s="1"/>
  <c r="AN23" i="115" s="1"/>
  <c r="AH23" i="115"/>
  <c r="AR23" i="115" s="1"/>
  <c r="AI22" i="115"/>
  <c r="AJ22" i="115" s="1"/>
  <c r="AH22" i="115"/>
  <c r="AI21" i="115"/>
  <c r="AJ21" i="115" s="1"/>
  <c r="AH21" i="115"/>
  <c r="AH20" i="115"/>
  <c r="AR20" i="115" s="1"/>
  <c r="AH19" i="115"/>
  <c r="AR19" i="115" s="1"/>
  <c r="AH18" i="115"/>
  <c r="AO18" i="115" s="1"/>
  <c r="AH17" i="115"/>
  <c r="AO17" i="115" s="1"/>
  <c r="AI16" i="115"/>
  <c r="AJ16" i="115" s="1"/>
  <c r="AH16" i="115"/>
  <c r="AI15" i="115"/>
  <c r="AJ15" i="115" s="1"/>
  <c r="AH15" i="115"/>
  <c r="AO15" i="115" s="1"/>
  <c r="AI14" i="115"/>
  <c r="AJ14" i="115" s="1"/>
  <c r="AH14" i="115"/>
  <c r="AR14" i="115" s="1"/>
  <c r="AH13" i="115"/>
  <c r="AH12" i="115"/>
  <c r="AI11" i="115"/>
  <c r="AJ11" i="115" s="1"/>
  <c r="AM11" i="115" s="1"/>
  <c r="AH11" i="115"/>
  <c r="AI10" i="115"/>
  <c r="AJ10" i="115" s="1"/>
  <c r="AN10" i="115" s="1"/>
  <c r="AH10" i="115"/>
  <c r="AI9" i="115"/>
  <c r="AJ9" i="115" s="1"/>
  <c r="AN9" i="115" s="1"/>
  <c r="AH9" i="115"/>
  <c r="AR9" i="115" s="1"/>
  <c r="AI8" i="115"/>
  <c r="AL8" i="115" s="1"/>
  <c r="AN8" i="115" s="1"/>
  <c r="AH8" i="115"/>
  <c r="AI7" i="115"/>
  <c r="AJ7" i="115" s="1"/>
  <c r="AM7" i="115" s="1"/>
  <c r="AH7" i="115"/>
  <c r="AI6" i="115"/>
  <c r="AL6" i="115" s="1"/>
  <c r="AN6" i="115" s="1"/>
  <c r="AH6" i="115"/>
  <c r="AI5" i="115"/>
  <c r="AK5" i="115" s="1"/>
  <c r="AM5" i="115" s="1"/>
  <c r="AH5" i="115"/>
  <c r="AI4" i="115"/>
  <c r="AL4" i="115" s="1"/>
  <c r="AN4" i="115" s="1"/>
  <c r="AH4" i="115"/>
  <c r="P203" i="117"/>
  <c r="N203" i="117"/>
  <c r="M203" i="117"/>
  <c r="L203" i="117"/>
  <c r="K203" i="117"/>
  <c r="J203" i="117"/>
  <c r="I203" i="117"/>
  <c r="P202" i="117"/>
  <c r="N202" i="117"/>
  <c r="M202" i="117"/>
  <c r="L202" i="117"/>
  <c r="K202" i="117"/>
  <c r="J202" i="117"/>
  <c r="I202" i="117"/>
  <c r="P201" i="117"/>
  <c r="N201" i="117"/>
  <c r="M201" i="117"/>
  <c r="L201" i="117"/>
  <c r="K201" i="117"/>
  <c r="J201" i="117"/>
  <c r="I201" i="117"/>
  <c r="P200" i="117"/>
  <c r="N200" i="117"/>
  <c r="M200" i="117"/>
  <c r="L200" i="117"/>
  <c r="K200" i="117"/>
  <c r="J200" i="117"/>
  <c r="I200" i="117"/>
  <c r="P199" i="117"/>
  <c r="N199" i="117"/>
  <c r="M199" i="117"/>
  <c r="L199" i="117"/>
  <c r="K199" i="117"/>
  <c r="J199" i="117"/>
  <c r="I199" i="117"/>
  <c r="P198" i="117"/>
  <c r="N198" i="117"/>
  <c r="M198" i="117"/>
  <c r="L198" i="117"/>
  <c r="K198" i="117"/>
  <c r="J198" i="117"/>
  <c r="I198" i="117"/>
  <c r="P197" i="117"/>
  <c r="N197" i="117"/>
  <c r="M197" i="117"/>
  <c r="L197" i="117"/>
  <c r="K197" i="117"/>
  <c r="J197" i="117"/>
  <c r="I197" i="117"/>
  <c r="P196" i="117"/>
  <c r="N196" i="117"/>
  <c r="M196" i="117"/>
  <c r="L196" i="117"/>
  <c r="K196" i="117"/>
  <c r="J196" i="117"/>
  <c r="I196" i="117"/>
  <c r="P195" i="117"/>
  <c r="N195" i="117"/>
  <c r="M195" i="117"/>
  <c r="L195" i="117"/>
  <c r="K195" i="117"/>
  <c r="J195" i="117"/>
  <c r="I195" i="117"/>
  <c r="P194" i="117"/>
  <c r="N194" i="117"/>
  <c r="M194" i="117"/>
  <c r="L194" i="117"/>
  <c r="K194" i="117"/>
  <c r="J194" i="117"/>
  <c r="I194" i="117"/>
  <c r="P193" i="117"/>
  <c r="N193" i="117"/>
  <c r="M193" i="117"/>
  <c r="L193" i="117"/>
  <c r="K193" i="117"/>
  <c r="J193" i="117"/>
  <c r="I193" i="117"/>
  <c r="P192" i="117"/>
  <c r="N192" i="117"/>
  <c r="M192" i="117"/>
  <c r="L192" i="117"/>
  <c r="K192" i="117"/>
  <c r="J192" i="117"/>
  <c r="I192" i="117"/>
  <c r="P191" i="117"/>
  <c r="N191" i="117"/>
  <c r="M191" i="117"/>
  <c r="L191" i="117"/>
  <c r="K191" i="117"/>
  <c r="J191" i="117"/>
  <c r="I191" i="117"/>
  <c r="P190" i="117"/>
  <c r="N190" i="117"/>
  <c r="M190" i="117"/>
  <c r="L190" i="117"/>
  <c r="K190" i="117"/>
  <c r="J190" i="117"/>
  <c r="I190" i="117"/>
  <c r="P189" i="117"/>
  <c r="N189" i="117"/>
  <c r="M189" i="117"/>
  <c r="L189" i="117"/>
  <c r="K189" i="117"/>
  <c r="J189" i="117"/>
  <c r="I189" i="117"/>
  <c r="P188" i="117"/>
  <c r="N188" i="117"/>
  <c r="M188" i="117"/>
  <c r="L188" i="117"/>
  <c r="K188" i="117"/>
  <c r="J188" i="117"/>
  <c r="I188" i="117"/>
  <c r="P187" i="117"/>
  <c r="N187" i="117"/>
  <c r="M187" i="117"/>
  <c r="L187" i="117"/>
  <c r="K187" i="117"/>
  <c r="J187" i="117"/>
  <c r="I187" i="117"/>
  <c r="P186" i="117"/>
  <c r="N186" i="117"/>
  <c r="M186" i="117"/>
  <c r="L186" i="117"/>
  <c r="K186" i="117"/>
  <c r="J186" i="117"/>
  <c r="I186" i="117"/>
  <c r="P185" i="117"/>
  <c r="N185" i="117"/>
  <c r="M185" i="117"/>
  <c r="L185" i="117"/>
  <c r="K185" i="117"/>
  <c r="J185" i="117"/>
  <c r="I185" i="117"/>
  <c r="P184" i="117"/>
  <c r="N184" i="117"/>
  <c r="M184" i="117"/>
  <c r="L184" i="117"/>
  <c r="K184" i="117"/>
  <c r="J184" i="117"/>
  <c r="I184" i="117"/>
  <c r="P183" i="117"/>
  <c r="N183" i="117"/>
  <c r="M183" i="117"/>
  <c r="L183" i="117"/>
  <c r="K183" i="117"/>
  <c r="J183" i="117"/>
  <c r="I183" i="117"/>
  <c r="P182" i="117"/>
  <c r="N182" i="117"/>
  <c r="M182" i="117"/>
  <c r="L182" i="117"/>
  <c r="K182" i="117"/>
  <c r="J182" i="117"/>
  <c r="I182" i="117"/>
  <c r="P181" i="117"/>
  <c r="N181" i="117"/>
  <c r="M181" i="117"/>
  <c r="L181" i="117"/>
  <c r="K181" i="117"/>
  <c r="J181" i="117"/>
  <c r="I181" i="117"/>
  <c r="P180" i="117"/>
  <c r="N180" i="117"/>
  <c r="M180" i="117"/>
  <c r="L180" i="117"/>
  <c r="K180" i="117"/>
  <c r="J180" i="117"/>
  <c r="I180" i="117"/>
  <c r="P179" i="117"/>
  <c r="N179" i="117"/>
  <c r="M179" i="117"/>
  <c r="L179" i="117"/>
  <c r="K179" i="117"/>
  <c r="J179" i="117"/>
  <c r="I179" i="117"/>
  <c r="P178" i="117"/>
  <c r="N178" i="117"/>
  <c r="M178" i="117"/>
  <c r="L178" i="117"/>
  <c r="K178" i="117"/>
  <c r="J178" i="117"/>
  <c r="I178" i="117"/>
  <c r="P177" i="117"/>
  <c r="N177" i="117"/>
  <c r="M177" i="117"/>
  <c r="L177" i="117"/>
  <c r="K177" i="117"/>
  <c r="J177" i="117"/>
  <c r="I177" i="117"/>
  <c r="P176" i="117"/>
  <c r="N176" i="117"/>
  <c r="M176" i="117"/>
  <c r="L176" i="117"/>
  <c r="K176" i="117"/>
  <c r="J176" i="117"/>
  <c r="I176" i="117"/>
  <c r="P175" i="117"/>
  <c r="N175" i="117"/>
  <c r="M175" i="117"/>
  <c r="L175" i="117"/>
  <c r="K175" i="117"/>
  <c r="J175" i="117"/>
  <c r="I175" i="117"/>
  <c r="P174" i="117"/>
  <c r="N174" i="117"/>
  <c r="M174" i="117"/>
  <c r="L174" i="117"/>
  <c r="K174" i="117"/>
  <c r="J174" i="117"/>
  <c r="I174" i="117"/>
  <c r="P173" i="117"/>
  <c r="N173" i="117"/>
  <c r="M173" i="117"/>
  <c r="L173" i="117"/>
  <c r="K173" i="117"/>
  <c r="J173" i="117"/>
  <c r="I173" i="117"/>
  <c r="P172" i="117"/>
  <c r="N172" i="117"/>
  <c r="M172" i="117"/>
  <c r="L172" i="117"/>
  <c r="K172" i="117"/>
  <c r="J172" i="117"/>
  <c r="I172" i="117"/>
  <c r="P171" i="117"/>
  <c r="N171" i="117"/>
  <c r="M171" i="117"/>
  <c r="L171" i="117"/>
  <c r="K171" i="117"/>
  <c r="J171" i="117"/>
  <c r="I171" i="117"/>
  <c r="P170" i="117"/>
  <c r="N170" i="117"/>
  <c r="M170" i="117"/>
  <c r="L170" i="117"/>
  <c r="K170" i="117"/>
  <c r="J170" i="117"/>
  <c r="I170" i="117"/>
  <c r="P169" i="117"/>
  <c r="N169" i="117"/>
  <c r="M169" i="117"/>
  <c r="L169" i="117"/>
  <c r="K169" i="117"/>
  <c r="J169" i="117"/>
  <c r="I169" i="117"/>
  <c r="P168" i="117"/>
  <c r="N168" i="117"/>
  <c r="M168" i="117"/>
  <c r="L168" i="117"/>
  <c r="K168" i="117"/>
  <c r="J168" i="117"/>
  <c r="I168" i="117"/>
  <c r="P167" i="117"/>
  <c r="N167" i="117"/>
  <c r="M167" i="117"/>
  <c r="L167" i="117"/>
  <c r="K167" i="117"/>
  <c r="J167" i="117"/>
  <c r="I167" i="117"/>
  <c r="P166" i="117"/>
  <c r="N166" i="117"/>
  <c r="M166" i="117"/>
  <c r="L166" i="117"/>
  <c r="K166" i="117"/>
  <c r="J166" i="117"/>
  <c r="I166" i="117"/>
  <c r="P165" i="117"/>
  <c r="N165" i="117"/>
  <c r="M165" i="117"/>
  <c r="L165" i="117"/>
  <c r="K165" i="117"/>
  <c r="J165" i="117"/>
  <c r="I165" i="117"/>
  <c r="P164" i="117"/>
  <c r="N164" i="117"/>
  <c r="M164" i="117"/>
  <c r="L164" i="117"/>
  <c r="K164" i="117"/>
  <c r="J164" i="117"/>
  <c r="I164" i="117"/>
  <c r="P163" i="117"/>
  <c r="N163" i="117"/>
  <c r="M163" i="117"/>
  <c r="L163" i="117"/>
  <c r="K163" i="117"/>
  <c r="J163" i="117"/>
  <c r="I163" i="117"/>
  <c r="P162" i="117"/>
  <c r="N162" i="117"/>
  <c r="M162" i="117"/>
  <c r="L162" i="117"/>
  <c r="K162" i="117"/>
  <c r="J162" i="117"/>
  <c r="I162" i="117"/>
  <c r="P161" i="117"/>
  <c r="N161" i="117"/>
  <c r="M161" i="117"/>
  <c r="L161" i="117"/>
  <c r="K161" i="117"/>
  <c r="J161" i="117"/>
  <c r="I161" i="117"/>
  <c r="P160" i="117"/>
  <c r="N160" i="117"/>
  <c r="M160" i="117"/>
  <c r="L160" i="117"/>
  <c r="K160" i="117"/>
  <c r="J160" i="117"/>
  <c r="I160" i="117"/>
  <c r="P159" i="117"/>
  <c r="N159" i="117"/>
  <c r="M159" i="117"/>
  <c r="L159" i="117"/>
  <c r="K159" i="117"/>
  <c r="J159" i="117"/>
  <c r="I159" i="117"/>
  <c r="P158" i="117"/>
  <c r="N158" i="117"/>
  <c r="M158" i="117"/>
  <c r="L158" i="117"/>
  <c r="K158" i="117"/>
  <c r="J158" i="117"/>
  <c r="I158" i="117"/>
  <c r="P157" i="117"/>
  <c r="N157" i="117"/>
  <c r="M157" i="117"/>
  <c r="L157" i="117"/>
  <c r="K157" i="117"/>
  <c r="J157" i="117"/>
  <c r="I157" i="117"/>
  <c r="P156" i="117"/>
  <c r="N156" i="117"/>
  <c r="M156" i="117"/>
  <c r="L156" i="117"/>
  <c r="K156" i="117"/>
  <c r="J156" i="117"/>
  <c r="I156" i="117"/>
  <c r="P155" i="117"/>
  <c r="N155" i="117"/>
  <c r="M155" i="117"/>
  <c r="L155" i="117"/>
  <c r="K155" i="117"/>
  <c r="J155" i="117"/>
  <c r="I155" i="117"/>
  <c r="P154" i="117"/>
  <c r="N154" i="117"/>
  <c r="M154" i="117"/>
  <c r="L154" i="117"/>
  <c r="K154" i="117"/>
  <c r="J154" i="117"/>
  <c r="I154" i="117"/>
  <c r="P153" i="117"/>
  <c r="N153" i="117"/>
  <c r="M153" i="117"/>
  <c r="L153" i="117"/>
  <c r="K153" i="117"/>
  <c r="J153" i="117"/>
  <c r="I153" i="117"/>
  <c r="P152" i="117"/>
  <c r="N152" i="117"/>
  <c r="M152" i="117"/>
  <c r="L152" i="117"/>
  <c r="K152" i="117"/>
  <c r="J152" i="117"/>
  <c r="I152" i="117"/>
  <c r="P151" i="117"/>
  <c r="N151" i="117"/>
  <c r="M151" i="117"/>
  <c r="L151" i="117"/>
  <c r="K151" i="117"/>
  <c r="J151" i="117"/>
  <c r="I151" i="117"/>
  <c r="P150" i="117"/>
  <c r="N150" i="117"/>
  <c r="M150" i="117"/>
  <c r="L150" i="117"/>
  <c r="K150" i="117"/>
  <c r="J150" i="117"/>
  <c r="I150" i="117"/>
  <c r="P149" i="117"/>
  <c r="N149" i="117"/>
  <c r="M149" i="117"/>
  <c r="L149" i="117"/>
  <c r="K149" i="117"/>
  <c r="J149" i="117"/>
  <c r="I149" i="117"/>
  <c r="P148" i="117"/>
  <c r="N148" i="117"/>
  <c r="M148" i="117"/>
  <c r="L148" i="117"/>
  <c r="K148" i="117"/>
  <c r="J148" i="117"/>
  <c r="I148" i="117"/>
  <c r="P147" i="117"/>
  <c r="N147" i="117"/>
  <c r="M147" i="117"/>
  <c r="L147" i="117"/>
  <c r="K147" i="117"/>
  <c r="J147" i="117"/>
  <c r="I147" i="117"/>
  <c r="P146" i="117"/>
  <c r="N146" i="117"/>
  <c r="M146" i="117"/>
  <c r="L146" i="117"/>
  <c r="K146" i="117"/>
  <c r="J146" i="117"/>
  <c r="I146" i="117"/>
  <c r="P145" i="117"/>
  <c r="N145" i="117"/>
  <c r="M145" i="117"/>
  <c r="L145" i="117"/>
  <c r="K145" i="117"/>
  <c r="J145" i="117"/>
  <c r="I145" i="117"/>
  <c r="P144" i="117"/>
  <c r="N144" i="117"/>
  <c r="M144" i="117"/>
  <c r="L144" i="117"/>
  <c r="K144" i="117"/>
  <c r="J144" i="117"/>
  <c r="I144" i="117"/>
  <c r="P143" i="117"/>
  <c r="N143" i="117"/>
  <c r="M143" i="117"/>
  <c r="L143" i="117"/>
  <c r="K143" i="117"/>
  <c r="J143" i="117"/>
  <c r="I143" i="117"/>
  <c r="P142" i="117"/>
  <c r="N142" i="117"/>
  <c r="M142" i="117"/>
  <c r="L142" i="117"/>
  <c r="K142" i="117"/>
  <c r="J142" i="117"/>
  <c r="I142" i="117"/>
  <c r="P141" i="117"/>
  <c r="N141" i="117"/>
  <c r="M141" i="117"/>
  <c r="L141" i="117"/>
  <c r="K141" i="117"/>
  <c r="J141" i="117"/>
  <c r="I141" i="117"/>
  <c r="P140" i="117"/>
  <c r="N140" i="117"/>
  <c r="M140" i="117"/>
  <c r="L140" i="117"/>
  <c r="K140" i="117"/>
  <c r="J140" i="117"/>
  <c r="I140" i="117"/>
  <c r="P139" i="117"/>
  <c r="N139" i="117"/>
  <c r="M139" i="117"/>
  <c r="L139" i="117"/>
  <c r="K139" i="117"/>
  <c r="J139" i="117"/>
  <c r="I139" i="117"/>
  <c r="P138" i="117"/>
  <c r="N138" i="117"/>
  <c r="M138" i="117"/>
  <c r="L138" i="117"/>
  <c r="K138" i="117"/>
  <c r="J138" i="117"/>
  <c r="I138" i="117"/>
  <c r="P137" i="117"/>
  <c r="N137" i="117"/>
  <c r="M137" i="117"/>
  <c r="L137" i="117"/>
  <c r="K137" i="117"/>
  <c r="J137" i="117"/>
  <c r="I137" i="117"/>
  <c r="P136" i="117"/>
  <c r="N136" i="117"/>
  <c r="M136" i="117"/>
  <c r="L136" i="117"/>
  <c r="K136" i="117"/>
  <c r="J136" i="117"/>
  <c r="I136" i="117"/>
  <c r="P135" i="117"/>
  <c r="N135" i="117"/>
  <c r="M135" i="117"/>
  <c r="L135" i="117"/>
  <c r="K135" i="117"/>
  <c r="J135" i="117"/>
  <c r="I135" i="117"/>
  <c r="P134" i="117"/>
  <c r="N134" i="117"/>
  <c r="M134" i="117"/>
  <c r="L134" i="117"/>
  <c r="K134" i="117"/>
  <c r="J134" i="117"/>
  <c r="I134" i="117"/>
  <c r="P133" i="117"/>
  <c r="N133" i="117"/>
  <c r="M133" i="117"/>
  <c r="L133" i="117"/>
  <c r="K133" i="117"/>
  <c r="J133" i="117"/>
  <c r="I133" i="117"/>
  <c r="P132" i="117"/>
  <c r="N132" i="117"/>
  <c r="M132" i="117"/>
  <c r="L132" i="117"/>
  <c r="K132" i="117"/>
  <c r="J132" i="117"/>
  <c r="I132" i="117"/>
  <c r="P131" i="117"/>
  <c r="N131" i="117"/>
  <c r="M131" i="117"/>
  <c r="L131" i="117"/>
  <c r="K131" i="117"/>
  <c r="J131" i="117"/>
  <c r="I131" i="117"/>
  <c r="P130" i="117"/>
  <c r="N130" i="117"/>
  <c r="M130" i="117"/>
  <c r="L130" i="117"/>
  <c r="K130" i="117"/>
  <c r="J130" i="117"/>
  <c r="I130" i="117"/>
  <c r="P129" i="117"/>
  <c r="N129" i="117"/>
  <c r="M129" i="117"/>
  <c r="L129" i="117"/>
  <c r="K129" i="117"/>
  <c r="J129" i="117"/>
  <c r="I129" i="117"/>
  <c r="P128" i="117"/>
  <c r="N128" i="117"/>
  <c r="M128" i="117"/>
  <c r="L128" i="117"/>
  <c r="K128" i="117"/>
  <c r="J128" i="117"/>
  <c r="I128" i="117"/>
  <c r="P127" i="117"/>
  <c r="N127" i="117"/>
  <c r="M127" i="117"/>
  <c r="L127" i="117"/>
  <c r="K127" i="117"/>
  <c r="J127" i="117"/>
  <c r="I127" i="117"/>
  <c r="P126" i="117"/>
  <c r="N126" i="117"/>
  <c r="M126" i="117"/>
  <c r="L126" i="117"/>
  <c r="K126" i="117"/>
  <c r="J126" i="117"/>
  <c r="I126" i="117"/>
  <c r="P125" i="117"/>
  <c r="N125" i="117"/>
  <c r="M125" i="117"/>
  <c r="L125" i="117"/>
  <c r="K125" i="117"/>
  <c r="J125" i="117"/>
  <c r="I125" i="117"/>
  <c r="P124" i="117"/>
  <c r="N124" i="117"/>
  <c r="M124" i="117"/>
  <c r="L124" i="117"/>
  <c r="K124" i="117"/>
  <c r="J124" i="117"/>
  <c r="I124" i="117"/>
  <c r="P123" i="117"/>
  <c r="N123" i="117"/>
  <c r="M123" i="117"/>
  <c r="L123" i="117"/>
  <c r="K123" i="117"/>
  <c r="J123" i="117"/>
  <c r="I123" i="117"/>
  <c r="P122" i="117"/>
  <c r="N122" i="117"/>
  <c r="M122" i="117"/>
  <c r="L122" i="117"/>
  <c r="K122" i="117"/>
  <c r="J122" i="117"/>
  <c r="I122" i="117"/>
  <c r="P121" i="117"/>
  <c r="N121" i="117"/>
  <c r="M121" i="117"/>
  <c r="L121" i="117"/>
  <c r="K121" i="117"/>
  <c r="J121" i="117"/>
  <c r="I121" i="117"/>
  <c r="P120" i="117"/>
  <c r="N120" i="117"/>
  <c r="M120" i="117"/>
  <c r="L120" i="117"/>
  <c r="K120" i="117"/>
  <c r="J120" i="117"/>
  <c r="I120" i="117"/>
  <c r="P119" i="117"/>
  <c r="N119" i="117"/>
  <c r="M119" i="117"/>
  <c r="L119" i="117"/>
  <c r="K119" i="117"/>
  <c r="J119" i="117"/>
  <c r="I119" i="117"/>
  <c r="P118" i="117"/>
  <c r="N118" i="117"/>
  <c r="M118" i="117"/>
  <c r="L118" i="117"/>
  <c r="K118" i="117"/>
  <c r="J118" i="117"/>
  <c r="I118" i="117"/>
  <c r="P117" i="117"/>
  <c r="N117" i="117"/>
  <c r="M117" i="117"/>
  <c r="L117" i="117"/>
  <c r="K117" i="117"/>
  <c r="J117" i="117"/>
  <c r="I117" i="117"/>
  <c r="P116" i="117"/>
  <c r="N116" i="117"/>
  <c r="M116" i="117"/>
  <c r="L116" i="117"/>
  <c r="K116" i="117"/>
  <c r="J116" i="117"/>
  <c r="I116" i="117"/>
  <c r="P115" i="117"/>
  <c r="N115" i="117"/>
  <c r="M115" i="117"/>
  <c r="L115" i="117"/>
  <c r="K115" i="117"/>
  <c r="J115" i="117"/>
  <c r="I115" i="117"/>
  <c r="P114" i="117"/>
  <c r="N114" i="117"/>
  <c r="M114" i="117"/>
  <c r="L114" i="117"/>
  <c r="K114" i="117"/>
  <c r="J114" i="117"/>
  <c r="I114" i="117"/>
  <c r="P113" i="117"/>
  <c r="N113" i="117"/>
  <c r="M113" i="117"/>
  <c r="L113" i="117"/>
  <c r="K113" i="117"/>
  <c r="J113" i="117"/>
  <c r="I113" i="117"/>
  <c r="P112" i="117"/>
  <c r="N112" i="117"/>
  <c r="M112" i="117"/>
  <c r="L112" i="117"/>
  <c r="K112" i="117"/>
  <c r="J112" i="117"/>
  <c r="I112" i="117"/>
  <c r="P111" i="117"/>
  <c r="N111" i="117"/>
  <c r="M111" i="117"/>
  <c r="L111" i="117"/>
  <c r="K111" i="117"/>
  <c r="J111" i="117"/>
  <c r="I111" i="117"/>
  <c r="P110" i="117"/>
  <c r="N110" i="117"/>
  <c r="M110" i="117"/>
  <c r="L110" i="117"/>
  <c r="K110" i="117"/>
  <c r="J110" i="117"/>
  <c r="I110" i="117"/>
  <c r="P109" i="117"/>
  <c r="N109" i="117"/>
  <c r="M109" i="117"/>
  <c r="L109" i="117"/>
  <c r="K109" i="117"/>
  <c r="J109" i="117"/>
  <c r="I109" i="117"/>
  <c r="P108" i="117"/>
  <c r="N108" i="117"/>
  <c r="M108" i="117"/>
  <c r="L108" i="117"/>
  <c r="K108" i="117"/>
  <c r="J108" i="117"/>
  <c r="I108" i="117"/>
  <c r="P107" i="117"/>
  <c r="N107" i="117"/>
  <c r="M107" i="117"/>
  <c r="L107" i="117"/>
  <c r="K107" i="117"/>
  <c r="J107" i="117"/>
  <c r="I107" i="117"/>
  <c r="P106" i="117"/>
  <c r="N106" i="117"/>
  <c r="M106" i="117"/>
  <c r="L106" i="117"/>
  <c r="K106" i="117"/>
  <c r="J106" i="117"/>
  <c r="I106" i="117"/>
  <c r="P105" i="117"/>
  <c r="N105" i="117"/>
  <c r="M105" i="117"/>
  <c r="L105" i="117"/>
  <c r="K105" i="117"/>
  <c r="J105" i="117"/>
  <c r="I105" i="117"/>
  <c r="P104" i="117"/>
  <c r="N104" i="117"/>
  <c r="M104" i="117"/>
  <c r="L104" i="117"/>
  <c r="K104" i="117"/>
  <c r="J104" i="117"/>
  <c r="I104" i="117"/>
  <c r="P103" i="117"/>
  <c r="N103" i="117"/>
  <c r="M103" i="117"/>
  <c r="L103" i="117"/>
  <c r="K103" i="117"/>
  <c r="J103" i="117"/>
  <c r="I103" i="117"/>
  <c r="P102" i="117"/>
  <c r="N102" i="117"/>
  <c r="M102" i="117"/>
  <c r="L102" i="117"/>
  <c r="K102" i="117"/>
  <c r="J102" i="117"/>
  <c r="I102" i="117"/>
  <c r="P101" i="117"/>
  <c r="N101" i="117"/>
  <c r="M101" i="117"/>
  <c r="L101" i="117"/>
  <c r="K101" i="117"/>
  <c r="J101" i="117"/>
  <c r="I101" i="117"/>
  <c r="P100" i="117"/>
  <c r="N100" i="117"/>
  <c r="M100" i="117"/>
  <c r="L100" i="117"/>
  <c r="K100" i="117"/>
  <c r="J100" i="117"/>
  <c r="I100" i="117"/>
  <c r="P99" i="117"/>
  <c r="N99" i="117"/>
  <c r="M99" i="117"/>
  <c r="L99" i="117"/>
  <c r="K99" i="117"/>
  <c r="J99" i="117"/>
  <c r="I99" i="117"/>
  <c r="P98" i="117"/>
  <c r="N98" i="117"/>
  <c r="M98" i="117"/>
  <c r="L98" i="117"/>
  <c r="K98" i="117"/>
  <c r="J98" i="117"/>
  <c r="I98" i="117"/>
  <c r="P97" i="117"/>
  <c r="N97" i="117"/>
  <c r="M97" i="117"/>
  <c r="L97" i="117"/>
  <c r="K97" i="117"/>
  <c r="J97" i="117"/>
  <c r="I97" i="117"/>
  <c r="P96" i="117"/>
  <c r="N96" i="117"/>
  <c r="M96" i="117"/>
  <c r="L96" i="117"/>
  <c r="K96" i="117"/>
  <c r="J96" i="117"/>
  <c r="I96" i="117"/>
  <c r="P95" i="117"/>
  <c r="N95" i="117"/>
  <c r="M95" i="117"/>
  <c r="L95" i="117"/>
  <c r="K95" i="117"/>
  <c r="J95" i="117"/>
  <c r="I95" i="117"/>
  <c r="P94" i="117"/>
  <c r="N94" i="117"/>
  <c r="M94" i="117"/>
  <c r="L94" i="117"/>
  <c r="K94" i="117"/>
  <c r="J94" i="117"/>
  <c r="I94" i="117"/>
  <c r="P93" i="117"/>
  <c r="N93" i="117"/>
  <c r="M93" i="117"/>
  <c r="L93" i="117"/>
  <c r="K93" i="117"/>
  <c r="J93" i="117"/>
  <c r="I93" i="117"/>
  <c r="P92" i="117"/>
  <c r="N92" i="117"/>
  <c r="M92" i="117"/>
  <c r="L92" i="117"/>
  <c r="K92" i="117"/>
  <c r="J92" i="117"/>
  <c r="I92" i="117"/>
  <c r="P91" i="117"/>
  <c r="N91" i="117"/>
  <c r="M91" i="117"/>
  <c r="L91" i="117"/>
  <c r="K91" i="117"/>
  <c r="J91" i="117"/>
  <c r="I91" i="117"/>
  <c r="P90" i="117"/>
  <c r="N90" i="117"/>
  <c r="M90" i="117"/>
  <c r="L90" i="117"/>
  <c r="K90" i="117"/>
  <c r="J90" i="117"/>
  <c r="I90" i="117"/>
  <c r="P89" i="117"/>
  <c r="N89" i="117"/>
  <c r="M89" i="117"/>
  <c r="L89" i="117"/>
  <c r="K89" i="117"/>
  <c r="J89" i="117"/>
  <c r="I89" i="117"/>
  <c r="P88" i="117"/>
  <c r="N88" i="117"/>
  <c r="M88" i="117"/>
  <c r="L88" i="117"/>
  <c r="K88" i="117"/>
  <c r="J88" i="117"/>
  <c r="I88" i="117"/>
  <c r="P87" i="117"/>
  <c r="N87" i="117"/>
  <c r="M87" i="117"/>
  <c r="L87" i="117"/>
  <c r="K87" i="117"/>
  <c r="J87" i="117"/>
  <c r="I87" i="117"/>
  <c r="P86" i="117"/>
  <c r="N86" i="117"/>
  <c r="M86" i="117"/>
  <c r="L86" i="117"/>
  <c r="K86" i="117"/>
  <c r="J86" i="117"/>
  <c r="I86" i="117"/>
  <c r="P85" i="117"/>
  <c r="N85" i="117"/>
  <c r="M85" i="117"/>
  <c r="L85" i="117"/>
  <c r="K85" i="117"/>
  <c r="J85" i="117"/>
  <c r="I85" i="117"/>
  <c r="P84" i="117"/>
  <c r="N84" i="117"/>
  <c r="M84" i="117"/>
  <c r="L84" i="117"/>
  <c r="K84" i="117"/>
  <c r="J84" i="117"/>
  <c r="I84" i="117"/>
  <c r="P83" i="117"/>
  <c r="N83" i="117"/>
  <c r="M83" i="117"/>
  <c r="L83" i="117"/>
  <c r="K83" i="117"/>
  <c r="J83" i="117"/>
  <c r="I83" i="117"/>
  <c r="P82" i="117"/>
  <c r="N82" i="117"/>
  <c r="M82" i="117"/>
  <c r="L82" i="117"/>
  <c r="K82" i="117"/>
  <c r="J82" i="117"/>
  <c r="I82" i="117"/>
  <c r="P81" i="117"/>
  <c r="N81" i="117"/>
  <c r="M81" i="117"/>
  <c r="L81" i="117"/>
  <c r="K81" i="117"/>
  <c r="J81" i="117"/>
  <c r="I81" i="117"/>
  <c r="P80" i="117"/>
  <c r="N80" i="117"/>
  <c r="M80" i="117"/>
  <c r="L80" i="117"/>
  <c r="K80" i="117"/>
  <c r="J80" i="117"/>
  <c r="I80" i="117"/>
  <c r="P79" i="117"/>
  <c r="N79" i="117"/>
  <c r="M79" i="117"/>
  <c r="L79" i="117"/>
  <c r="K79" i="117"/>
  <c r="J79" i="117"/>
  <c r="I79" i="117"/>
  <c r="P78" i="117"/>
  <c r="N78" i="117"/>
  <c r="M78" i="117"/>
  <c r="L78" i="117"/>
  <c r="K78" i="117"/>
  <c r="J78" i="117"/>
  <c r="I78" i="117"/>
  <c r="P77" i="117"/>
  <c r="N77" i="117"/>
  <c r="M77" i="117"/>
  <c r="L77" i="117"/>
  <c r="K77" i="117"/>
  <c r="J77" i="117"/>
  <c r="I77" i="117"/>
  <c r="P76" i="117"/>
  <c r="N76" i="117"/>
  <c r="M76" i="117"/>
  <c r="L76" i="117"/>
  <c r="K76" i="117"/>
  <c r="J76" i="117"/>
  <c r="I76" i="117"/>
  <c r="P75" i="117"/>
  <c r="N75" i="117"/>
  <c r="M75" i="117"/>
  <c r="L75" i="117"/>
  <c r="K75" i="117"/>
  <c r="J75" i="117"/>
  <c r="I75" i="117"/>
  <c r="P74" i="117"/>
  <c r="N74" i="117"/>
  <c r="M74" i="117"/>
  <c r="L74" i="117"/>
  <c r="K74" i="117"/>
  <c r="J74" i="117"/>
  <c r="I74" i="117"/>
  <c r="P73" i="117"/>
  <c r="N73" i="117"/>
  <c r="M73" i="117"/>
  <c r="L73" i="117"/>
  <c r="K73" i="117"/>
  <c r="J73" i="117"/>
  <c r="I73" i="117"/>
  <c r="P72" i="117"/>
  <c r="N72" i="117"/>
  <c r="M72" i="117"/>
  <c r="L72" i="117"/>
  <c r="K72" i="117"/>
  <c r="J72" i="117"/>
  <c r="I72" i="117"/>
  <c r="P71" i="117"/>
  <c r="N71" i="117"/>
  <c r="M71" i="117"/>
  <c r="L71" i="117"/>
  <c r="K71" i="117"/>
  <c r="J71" i="117"/>
  <c r="I71" i="117"/>
  <c r="P70" i="117"/>
  <c r="N70" i="117"/>
  <c r="M70" i="117"/>
  <c r="L70" i="117"/>
  <c r="K70" i="117"/>
  <c r="J70" i="117"/>
  <c r="I70" i="117"/>
  <c r="P69" i="117"/>
  <c r="N69" i="117"/>
  <c r="M69" i="117"/>
  <c r="L69" i="117"/>
  <c r="K69" i="117"/>
  <c r="J69" i="117"/>
  <c r="I69" i="117"/>
  <c r="P68" i="117"/>
  <c r="N68" i="117"/>
  <c r="M68" i="117"/>
  <c r="L68" i="117"/>
  <c r="K68" i="117"/>
  <c r="J68" i="117"/>
  <c r="I68" i="117"/>
  <c r="P67" i="117"/>
  <c r="N67" i="117"/>
  <c r="M67" i="117"/>
  <c r="L67" i="117"/>
  <c r="K67" i="117"/>
  <c r="J67" i="117"/>
  <c r="I67" i="117"/>
  <c r="P66" i="117"/>
  <c r="N66" i="117"/>
  <c r="M66" i="117"/>
  <c r="L66" i="117"/>
  <c r="K66" i="117"/>
  <c r="J66" i="117"/>
  <c r="I66" i="117"/>
  <c r="P65" i="117"/>
  <c r="N65" i="117"/>
  <c r="M65" i="117"/>
  <c r="L65" i="117"/>
  <c r="K65" i="117"/>
  <c r="J65" i="117"/>
  <c r="I65" i="117"/>
  <c r="P64" i="117"/>
  <c r="N64" i="117"/>
  <c r="M64" i="117"/>
  <c r="L64" i="117"/>
  <c r="K64" i="117"/>
  <c r="J64" i="117"/>
  <c r="I64" i="117"/>
  <c r="P63" i="117"/>
  <c r="N63" i="117"/>
  <c r="M63" i="117"/>
  <c r="L63" i="117"/>
  <c r="K63" i="117"/>
  <c r="J63" i="117"/>
  <c r="I63" i="117"/>
  <c r="P62" i="117"/>
  <c r="N62" i="117"/>
  <c r="M62" i="117"/>
  <c r="L62" i="117"/>
  <c r="K62" i="117"/>
  <c r="J62" i="117"/>
  <c r="I62" i="117"/>
  <c r="P61" i="117"/>
  <c r="N61" i="117"/>
  <c r="M61" i="117"/>
  <c r="L61" i="117"/>
  <c r="K61" i="117"/>
  <c r="J61" i="117"/>
  <c r="I61" i="117"/>
  <c r="P60" i="117"/>
  <c r="N60" i="117"/>
  <c r="M60" i="117"/>
  <c r="L60" i="117"/>
  <c r="K60" i="117"/>
  <c r="J60" i="117"/>
  <c r="I60" i="117"/>
  <c r="P59" i="117"/>
  <c r="N59" i="117"/>
  <c r="M59" i="117"/>
  <c r="L59" i="117"/>
  <c r="K59" i="117"/>
  <c r="J59" i="117"/>
  <c r="I59" i="117"/>
  <c r="P58" i="117"/>
  <c r="N58" i="117"/>
  <c r="M58" i="117"/>
  <c r="L58" i="117"/>
  <c r="K58" i="117"/>
  <c r="J58" i="117"/>
  <c r="I58" i="117"/>
  <c r="P57" i="117"/>
  <c r="N57" i="117"/>
  <c r="M57" i="117"/>
  <c r="L57" i="117"/>
  <c r="K57" i="117"/>
  <c r="J57" i="117"/>
  <c r="I57" i="117"/>
  <c r="P56" i="117"/>
  <c r="N56" i="117"/>
  <c r="M56" i="117"/>
  <c r="L56" i="117"/>
  <c r="K56" i="117"/>
  <c r="J56" i="117"/>
  <c r="I56" i="117"/>
  <c r="P55" i="117"/>
  <c r="N55" i="117"/>
  <c r="M55" i="117"/>
  <c r="L55" i="117"/>
  <c r="K55" i="117"/>
  <c r="J55" i="117"/>
  <c r="I55" i="117"/>
  <c r="P54" i="117"/>
  <c r="N54" i="117"/>
  <c r="M54" i="117"/>
  <c r="L54" i="117"/>
  <c r="K54" i="117"/>
  <c r="J54" i="117"/>
  <c r="I54" i="117"/>
  <c r="P53" i="117"/>
  <c r="N53" i="117"/>
  <c r="M53" i="117"/>
  <c r="L53" i="117"/>
  <c r="K53" i="117"/>
  <c r="J53" i="117"/>
  <c r="I53" i="117"/>
  <c r="P52" i="117"/>
  <c r="N52" i="117"/>
  <c r="M52" i="117"/>
  <c r="L52" i="117"/>
  <c r="K52" i="117"/>
  <c r="J52" i="117"/>
  <c r="I52" i="117"/>
  <c r="P51" i="117"/>
  <c r="N51" i="117"/>
  <c r="M51" i="117"/>
  <c r="L51" i="117"/>
  <c r="K51" i="117"/>
  <c r="J51" i="117"/>
  <c r="I51" i="117"/>
  <c r="P50" i="117"/>
  <c r="N50" i="117"/>
  <c r="M50" i="117"/>
  <c r="L50" i="117"/>
  <c r="K50" i="117"/>
  <c r="J50" i="117"/>
  <c r="I50" i="117"/>
  <c r="P49" i="117"/>
  <c r="N49" i="117"/>
  <c r="M49" i="117"/>
  <c r="L49" i="117"/>
  <c r="K49" i="117"/>
  <c r="J49" i="117"/>
  <c r="I49" i="117"/>
  <c r="P48" i="117"/>
  <c r="N48" i="117"/>
  <c r="M48" i="117"/>
  <c r="L48" i="117"/>
  <c r="K48" i="117"/>
  <c r="J48" i="117"/>
  <c r="I48" i="117"/>
  <c r="P47" i="117"/>
  <c r="N47" i="117"/>
  <c r="M47" i="117"/>
  <c r="L47" i="117"/>
  <c r="K47" i="117"/>
  <c r="J47" i="117"/>
  <c r="I47" i="117"/>
  <c r="P46" i="117"/>
  <c r="N46" i="117"/>
  <c r="M46" i="117"/>
  <c r="L46" i="117"/>
  <c r="K46" i="117"/>
  <c r="J46" i="117"/>
  <c r="I46" i="117"/>
  <c r="P45" i="117"/>
  <c r="N45" i="117"/>
  <c r="M45" i="117"/>
  <c r="L45" i="117"/>
  <c r="K45" i="117"/>
  <c r="J45" i="117"/>
  <c r="I45" i="117"/>
  <c r="P44" i="117"/>
  <c r="N44" i="117"/>
  <c r="M44" i="117"/>
  <c r="L44" i="117"/>
  <c r="K44" i="117"/>
  <c r="J44" i="117"/>
  <c r="I44" i="117"/>
  <c r="P43" i="117"/>
  <c r="N43" i="117"/>
  <c r="M43" i="117"/>
  <c r="L43" i="117"/>
  <c r="K43" i="117"/>
  <c r="J43" i="117"/>
  <c r="I43" i="117"/>
  <c r="P42" i="117"/>
  <c r="N42" i="117"/>
  <c r="M42" i="117"/>
  <c r="L42" i="117"/>
  <c r="K42" i="117"/>
  <c r="J42" i="117"/>
  <c r="I42" i="117"/>
  <c r="P41" i="117"/>
  <c r="N41" i="117"/>
  <c r="M41" i="117"/>
  <c r="L41" i="117"/>
  <c r="K41" i="117"/>
  <c r="J41" i="117"/>
  <c r="I41" i="117"/>
  <c r="P40" i="117"/>
  <c r="N40" i="117"/>
  <c r="M40" i="117"/>
  <c r="L40" i="117"/>
  <c r="K40" i="117"/>
  <c r="J40" i="117"/>
  <c r="I40" i="117"/>
  <c r="P39" i="117"/>
  <c r="N39" i="117"/>
  <c r="M39" i="117"/>
  <c r="L39" i="117"/>
  <c r="K39" i="117"/>
  <c r="J39" i="117"/>
  <c r="I39" i="117"/>
  <c r="P38" i="117"/>
  <c r="N38" i="117"/>
  <c r="M38" i="117"/>
  <c r="L38" i="117"/>
  <c r="K38" i="117"/>
  <c r="J38" i="117"/>
  <c r="I38" i="117"/>
  <c r="P37" i="117"/>
  <c r="N37" i="117"/>
  <c r="M37" i="117"/>
  <c r="L37" i="117"/>
  <c r="K37" i="117"/>
  <c r="J37" i="117"/>
  <c r="I37" i="117"/>
  <c r="P36" i="117"/>
  <c r="N36" i="117"/>
  <c r="M36" i="117"/>
  <c r="L36" i="117"/>
  <c r="K36" i="117"/>
  <c r="J36" i="117"/>
  <c r="I36" i="117"/>
  <c r="P35" i="117"/>
  <c r="N35" i="117"/>
  <c r="M35" i="117"/>
  <c r="L35" i="117"/>
  <c r="K35" i="117"/>
  <c r="J35" i="117"/>
  <c r="I35" i="117"/>
  <c r="P34" i="117"/>
  <c r="N34" i="117"/>
  <c r="M34" i="117"/>
  <c r="L34" i="117"/>
  <c r="K34" i="117"/>
  <c r="J34" i="117"/>
  <c r="I34" i="117"/>
  <c r="P33" i="117"/>
  <c r="N33" i="117"/>
  <c r="M33" i="117"/>
  <c r="L33" i="117"/>
  <c r="K33" i="117"/>
  <c r="J33" i="117"/>
  <c r="I33" i="117"/>
  <c r="P32" i="117"/>
  <c r="N32" i="117"/>
  <c r="M32" i="117"/>
  <c r="L32" i="117"/>
  <c r="K32" i="117"/>
  <c r="J32" i="117"/>
  <c r="I32" i="117"/>
  <c r="P31" i="117"/>
  <c r="N31" i="117"/>
  <c r="M31" i="117"/>
  <c r="L31" i="117"/>
  <c r="K31" i="117"/>
  <c r="J31" i="117"/>
  <c r="I31" i="117"/>
  <c r="P30" i="117"/>
  <c r="N30" i="117"/>
  <c r="M30" i="117"/>
  <c r="L30" i="117"/>
  <c r="K30" i="117"/>
  <c r="J30" i="117"/>
  <c r="I30" i="117"/>
  <c r="P29" i="117"/>
  <c r="N29" i="117"/>
  <c r="M29" i="117"/>
  <c r="L29" i="117"/>
  <c r="K29" i="117"/>
  <c r="J29" i="117"/>
  <c r="I29" i="117"/>
  <c r="P28" i="117"/>
  <c r="N28" i="117"/>
  <c r="M28" i="117"/>
  <c r="L28" i="117"/>
  <c r="K28" i="117"/>
  <c r="J28" i="117"/>
  <c r="I28" i="117"/>
  <c r="P27" i="117"/>
  <c r="N27" i="117"/>
  <c r="M27" i="117"/>
  <c r="L27" i="117"/>
  <c r="K27" i="117"/>
  <c r="J27" i="117"/>
  <c r="I27" i="117"/>
  <c r="P26" i="117"/>
  <c r="N26" i="117"/>
  <c r="M26" i="117"/>
  <c r="L26" i="117"/>
  <c r="K26" i="117"/>
  <c r="J26" i="117"/>
  <c r="I26" i="117"/>
  <c r="P25" i="117"/>
  <c r="N25" i="117"/>
  <c r="M25" i="117"/>
  <c r="L25" i="117"/>
  <c r="K25" i="117"/>
  <c r="J25" i="117"/>
  <c r="I25" i="117"/>
  <c r="P24" i="117"/>
  <c r="N24" i="117"/>
  <c r="M24" i="117"/>
  <c r="L24" i="117"/>
  <c r="K24" i="117"/>
  <c r="J24" i="117"/>
  <c r="I24" i="117"/>
  <c r="P23" i="117"/>
  <c r="N23" i="117"/>
  <c r="M23" i="117"/>
  <c r="L23" i="117"/>
  <c r="K23" i="117"/>
  <c r="J23" i="117"/>
  <c r="I23" i="117"/>
  <c r="P22" i="117"/>
  <c r="N22" i="117"/>
  <c r="M22" i="117"/>
  <c r="L22" i="117"/>
  <c r="K22" i="117"/>
  <c r="J22" i="117"/>
  <c r="I22" i="117"/>
  <c r="P21" i="117"/>
  <c r="N21" i="117"/>
  <c r="M21" i="117"/>
  <c r="L21" i="117"/>
  <c r="K21" i="117"/>
  <c r="J21" i="117"/>
  <c r="I21" i="117"/>
  <c r="P20" i="117"/>
  <c r="N20" i="117"/>
  <c r="M20" i="117"/>
  <c r="L20" i="117"/>
  <c r="K20" i="117"/>
  <c r="J20" i="117"/>
  <c r="I20" i="117"/>
  <c r="P19" i="117"/>
  <c r="N19" i="117"/>
  <c r="M19" i="117"/>
  <c r="L19" i="117"/>
  <c r="K19" i="117"/>
  <c r="J19" i="117"/>
  <c r="I19" i="117"/>
  <c r="P18" i="117"/>
  <c r="N18" i="117"/>
  <c r="M18" i="117"/>
  <c r="L18" i="117"/>
  <c r="K18" i="117"/>
  <c r="J18" i="117"/>
  <c r="I18" i="117"/>
  <c r="P17" i="117"/>
  <c r="N17" i="117"/>
  <c r="M17" i="117"/>
  <c r="L17" i="117"/>
  <c r="K17" i="117"/>
  <c r="J17" i="117"/>
  <c r="I17" i="117"/>
  <c r="P16" i="117"/>
  <c r="N16" i="117"/>
  <c r="M16" i="117"/>
  <c r="L16" i="117"/>
  <c r="K16" i="117"/>
  <c r="J16" i="117"/>
  <c r="I16" i="117"/>
  <c r="P15" i="117"/>
  <c r="N15" i="117"/>
  <c r="M15" i="117"/>
  <c r="L15" i="117"/>
  <c r="K15" i="117"/>
  <c r="J15" i="117"/>
  <c r="I15" i="117"/>
  <c r="P14" i="117"/>
  <c r="N14" i="117"/>
  <c r="M14" i="117"/>
  <c r="L14" i="117"/>
  <c r="K14" i="117"/>
  <c r="J14" i="117"/>
  <c r="I14" i="117"/>
  <c r="P13" i="117"/>
  <c r="N13" i="117"/>
  <c r="M13" i="117"/>
  <c r="L13" i="117"/>
  <c r="K13" i="117"/>
  <c r="J13" i="117"/>
  <c r="I13" i="117"/>
  <c r="P12" i="117"/>
  <c r="N12" i="117"/>
  <c r="M12" i="117"/>
  <c r="L12" i="117"/>
  <c r="K12" i="117"/>
  <c r="J12" i="117"/>
  <c r="I12" i="117"/>
  <c r="P11" i="117"/>
  <c r="N11" i="117"/>
  <c r="M11" i="117"/>
  <c r="L11" i="117"/>
  <c r="K11" i="117"/>
  <c r="J11" i="117"/>
  <c r="I11" i="117"/>
  <c r="P10" i="117"/>
  <c r="N10" i="117"/>
  <c r="M10" i="117"/>
  <c r="L10" i="117"/>
  <c r="K10" i="117"/>
  <c r="J10" i="117"/>
  <c r="I10" i="117"/>
  <c r="P9" i="117"/>
  <c r="N9" i="117"/>
  <c r="M9" i="117"/>
  <c r="L9" i="117"/>
  <c r="K9" i="117"/>
  <c r="J9" i="117"/>
  <c r="I9" i="117"/>
  <c r="P8" i="117"/>
  <c r="N8" i="117"/>
  <c r="M8" i="117"/>
  <c r="L8" i="117"/>
  <c r="K8" i="117"/>
  <c r="J8" i="117"/>
  <c r="I8" i="117"/>
  <c r="P7" i="117"/>
  <c r="N7" i="117"/>
  <c r="M7" i="117"/>
  <c r="L7" i="117"/>
  <c r="K7" i="117"/>
  <c r="J7" i="117"/>
  <c r="I7" i="117"/>
  <c r="P6" i="117"/>
  <c r="N6" i="117"/>
  <c r="M6" i="117"/>
  <c r="L6" i="117"/>
  <c r="K6" i="117"/>
  <c r="J6" i="117"/>
  <c r="I6" i="117"/>
  <c r="P5" i="117"/>
  <c r="N5" i="117"/>
  <c r="M5" i="117"/>
  <c r="L5" i="117"/>
  <c r="K5" i="117"/>
  <c r="J5" i="117"/>
  <c r="I5" i="117"/>
  <c r="P4" i="117"/>
  <c r="N4" i="117"/>
  <c r="M4" i="117"/>
  <c r="L4" i="117"/>
  <c r="K4" i="117"/>
  <c r="J4" i="117"/>
  <c r="I4" i="117"/>
  <c r="P3" i="117"/>
  <c r="N3" i="117"/>
  <c r="M3" i="117"/>
  <c r="L3" i="117"/>
  <c r="K3" i="117"/>
  <c r="J3" i="117"/>
  <c r="I3" i="117"/>
  <c r="A25" i="117"/>
  <c r="A24" i="117"/>
  <c r="A5" i="117"/>
  <c r="A4" i="117"/>
  <c r="X78" i="115"/>
  <c r="X77" i="115"/>
  <c r="X76" i="115"/>
  <c r="X75" i="115"/>
  <c r="X74" i="115"/>
  <c r="X73" i="115"/>
  <c r="X72" i="115"/>
  <c r="X71" i="115"/>
  <c r="X70" i="115"/>
  <c r="X69" i="115"/>
  <c r="X68" i="115"/>
  <c r="X67" i="115"/>
  <c r="X66" i="115"/>
  <c r="X65" i="115"/>
  <c r="X64" i="115"/>
  <c r="X63" i="115"/>
  <c r="X62" i="115"/>
  <c r="X61" i="115"/>
  <c r="X60" i="115"/>
  <c r="X59" i="115"/>
  <c r="X58" i="115"/>
  <c r="X57" i="115"/>
  <c r="X56" i="115"/>
  <c r="X55" i="115"/>
  <c r="X54" i="115"/>
  <c r="X53" i="115"/>
  <c r="X52" i="115"/>
  <c r="X51" i="115"/>
  <c r="X50" i="115"/>
  <c r="X49" i="115"/>
  <c r="X48" i="115"/>
  <c r="X47" i="115"/>
  <c r="X46" i="115"/>
  <c r="X45" i="115"/>
  <c r="X44" i="115"/>
  <c r="X43" i="115"/>
  <c r="X42" i="115"/>
  <c r="X41" i="115"/>
  <c r="X40" i="115"/>
  <c r="X39" i="115"/>
  <c r="X38" i="115"/>
  <c r="X37" i="115"/>
  <c r="X36" i="115"/>
  <c r="X35" i="115"/>
  <c r="X34" i="115"/>
  <c r="X33" i="115"/>
  <c r="X32" i="115"/>
  <c r="X31" i="115"/>
  <c r="X30" i="115"/>
  <c r="X29" i="115"/>
  <c r="X28" i="115"/>
  <c r="X27" i="115"/>
  <c r="X26" i="115"/>
  <c r="X25" i="115"/>
  <c r="X24" i="115"/>
  <c r="X23" i="115"/>
  <c r="X22" i="115"/>
  <c r="X21" i="115"/>
  <c r="X20" i="115"/>
  <c r="X19" i="115"/>
  <c r="X18" i="115"/>
  <c r="X17" i="115"/>
  <c r="X16" i="115"/>
  <c r="X15" i="115"/>
  <c r="X14" i="115"/>
  <c r="X13" i="115"/>
  <c r="X12" i="115"/>
  <c r="X11" i="115"/>
  <c r="X10" i="115"/>
  <c r="V78" i="115"/>
  <c r="V77" i="115"/>
  <c r="V76" i="115"/>
  <c r="V75" i="115"/>
  <c r="V74" i="115"/>
  <c r="V73" i="115"/>
  <c r="V72" i="115"/>
  <c r="V71" i="115"/>
  <c r="V70" i="115"/>
  <c r="V69" i="115"/>
  <c r="V68" i="115"/>
  <c r="V67" i="115"/>
  <c r="V66" i="115"/>
  <c r="V65" i="115"/>
  <c r="V64" i="115"/>
  <c r="V63" i="115"/>
  <c r="V62" i="115"/>
  <c r="V61" i="115"/>
  <c r="V60" i="115"/>
  <c r="V59" i="115"/>
  <c r="V58" i="115"/>
  <c r="V57" i="115"/>
  <c r="V56" i="115"/>
  <c r="V55" i="115"/>
  <c r="V54" i="115"/>
  <c r="V53" i="115"/>
  <c r="V52" i="115"/>
  <c r="V51" i="115"/>
  <c r="V50" i="115"/>
  <c r="V49" i="115"/>
  <c r="V48" i="115"/>
  <c r="V47" i="115"/>
  <c r="V46" i="115"/>
  <c r="V45" i="115"/>
  <c r="V44" i="115"/>
  <c r="V43" i="115"/>
  <c r="V42" i="115"/>
  <c r="V41" i="115"/>
  <c r="V40" i="115"/>
  <c r="V39" i="115"/>
  <c r="V38" i="115"/>
  <c r="V37" i="115"/>
  <c r="V36" i="115"/>
  <c r="V35" i="115"/>
  <c r="V34" i="115"/>
  <c r="V33" i="115"/>
  <c r="V32" i="115"/>
  <c r="V31" i="115"/>
  <c r="V30" i="115"/>
  <c r="V29" i="115"/>
  <c r="V28" i="115"/>
  <c r="V27" i="115"/>
  <c r="V26" i="115"/>
  <c r="V25" i="115"/>
  <c r="V24" i="115"/>
  <c r="V23" i="115"/>
  <c r="V22" i="115"/>
  <c r="V21" i="115"/>
  <c r="V20" i="115"/>
  <c r="V19" i="115"/>
  <c r="V18" i="115"/>
  <c r="V17" i="115"/>
  <c r="V16" i="115"/>
  <c r="V15" i="115"/>
  <c r="V14" i="115"/>
  <c r="V13" i="115"/>
  <c r="V12" i="115"/>
  <c r="V11" i="115"/>
  <c r="V10" i="115"/>
  <c r="R78" i="115"/>
  <c r="R77" i="115"/>
  <c r="R76" i="115"/>
  <c r="R75" i="115"/>
  <c r="R74" i="115"/>
  <c r="R73" i="115"/>
  <c r="R72" i="115"/>
  <c r="R71" i="115"/>
  <c r="R70" i="115"/>
  <c r="R69" i="115"/>
  <c r="R68" i="115"/>
  <c r="R67" i="115"/>
  <c r="R66" i="115"/>
  <c r="R65" i="115"/>
  <c r="R64" i="115"/>
  <c r="R63" i="115"/>
  <c r="R62" i="115"/>
  <c r="R61" i="115"/>
  <c r="R60" i="115"/>
  <c r="R59" i="115"/>
  <c r="R58" i="115"/>
  <c r="R57" i="115"/>
  <c r="R56" i="115"/>
  <c r="R55" i="115"/>
  <c r="R54" i="115"/>
  <c r="R53" i="115"/>
  <c r="R52" i="115"/>
  <c r="R51" i="115"/>
  <c r="R50" i="115"/>
  <c r="R49" i="115"/>
  <c r="R48" i="115"/>
  <c r="R47" i="115"/>
  <c r="R46" i="115"/>
  <c r="R45" i="115"/>
  <c r="R44" i="115"/>
  <c r="R43" i="115"/>
  <c r="R42" i="115"/>
  <c r="R41" i="115"/>
  <c r="R40" i="115"/>
  <c r="R39" i="115"/>
  <c r="R38" i="115"/>
  <c r="R37" i="115"/>
  <c r="R36" i="115"/>
  <c r="R35" i="115"/>
  <c r="R34" i="115"/>
  <c r="R33" i="115"/>
  <c r="R32" i="115"/>
  <c r="R31" i="115"/>
  <c r="R30" i="115"/>
  <c r="R29" i="115"/>
  <c r="R28" i="115"/>
  <c r="R27" i="115"/>
  <c r="R26" i="115"/>
  <c r="R25" i="115"/>
  <c r="R24" i="115"/>
  <c r="R23" i="115"/>
  <c r="R22" i="115"/>
  <c r="R21" i="115"/>
  <c r="R20" i="115"/>
  <c r="R19" i="115"/>
  <c r="R18" i="115"/>
  <c r="R17" i="115"/>
  <c r="R16" i="115"/>
  <c r="R15" i="115"/>
  <c r="R14" i="115"/>
  <c r="R13" i="115"/>
  <c r="R12" i="115"/>
  <c r="R11" i="115"/>
  <c r="R10" i="115"/>
  <c r="P78" i="115"/>
  <c r="P77" i="115"/>
  <c r="P76" i="115"/>
  <c r="P75" i="115"/>
  <c r="P74" i="115"/>
  <c r="P73" i="115"/>
  <c r="P72" i="115"/>
  <c r="P71" i="115"/>
  <c r="P70" i="115"/>
  <c r="P69" i="115"/>
  <c r="P68" i="115"/>
  <c r="P67" i="115"/>
  <c r="P66" i="115"/>
  <c r="P65" i="115"/>
  <c r="P64" i="115"/>
  <c r="P63" i="115"/>
  <c r="P62" i="115"/>
  <c r="P61" i="115"/>
  <c r="P60" i="115"/>
  <c r="P59" i="115"/>
  <c r="P58" i="115"/>
  <c r="P57" i="115"/>
  <c r="P56" i="115"/>
  <c r="P55" i="115"/>
  <c r="P54" i="115"/>
  <c r="P53" i="115"/>
  <c r="P52" i="115"/>
  <c r="P51" i="115"/>
  <c r="P50" i="115"/>
  <c r="P49" i="115"/>
  <c r="P48" i="115"/>
  <c r="P47" i="115"/>
  <c r="P46" i="115"/>
  <c r="P45" i="115"/>
  <c r="P44" i="115"/>
  <c r="P43" i="115"/>
  <c r="P42" i="115"/>
  <c r="P41" i="115"/>
  <c r="P40" i="115"/>
  <c r="P39" i="115"/>
  <c r="P38" i="115"/>
  <c r="P37" i="115"/>
  <c r="P36" i="115"/>
  <c r="P35" i="115"/>
  <c r="P34" i="115"/>
  <c r="P33" i="115"/>
  <c r="P32" i="115"/>
  <c r="P31" i="115"/>
  <c r="P30" i="115"/>
  <c r="P29" i="115"/>
  <c r="P28" i="115"/>
  <c r="P27" i="115"/>
  <c r="P26" i="115"/>
  <c r="P25" i="115"/>
  <c r="P24" i="115"/>
  <c r="P23" i="115"/>
  <c r="P22" i="115"/>
  <c r="P21" i="115"/>
  <c r="P20" i="115"/>
  <c r="P19" i="115"/>
  <c r="P18" i="115"/>
  <c r="P17" i="115"/>
  <c r="P16" i="115"/>
  <c r="P15" i="115"/>
  <c r="P14" i="115"/>
  <c r="P13" i="115"/>
  <c r="P12" i="115"/>
  <c r="P11" i="115"/>
  <c r="P10" i="115"/>
  <c r="N78" i="115"/>
  <c r="N77" i="115"/>
  <c r="N76" i="115"/>
  <c r="N75" i="115"/>
  <c r="N74" i="115"/>
  <c r="N73" i="115"/>
  <c r="N72" i="115"/>
  <c r="N71" i="115"/>
  <c r="N70" i="115"/>
  <c r="N69" i="115"/>
  <c r="N68" i="115"/>
  <c r="N67" i="115"/>
  <c r="N66" i="115"/>
  <c r="N65" i="115"/>
  <c r="N64" i="115"/>
  <c r="N63" i="115"/>
  <c r="N62" i="115"/>
  <c r="N61" i="115"/>
  <c r="N60" i="115"/>
  <c r="N59" i="115"/>
  <c r="N58" i="115"/>
  <c r="N57" i="115"/>
  <c r="N56" i="115"/>
  <c r="N55" i="115"/>
  <c r="N54" i="115"/>
  <c r="N53" i="115"/>
  <c r="N52" i="115"/>
  <c r="N51" i="115"/>
  <c r="N50" i="115"/>
  <c r="N49" i="115"/>
  <c r="N48" i="115"/>
  <c r="N47" i="115"/>
  <c r="N46" i="115"/>
  <c r="N45" i="115"/>
  <c r="N44" i="115"/>
  <c r="N43" i="115"/>
  <c r="N42" i="115"/>
  <c r="N41" i="115"/>
  <c r="N40" i="115"/>
  <c r="N39" i="115"/>
  <c r="N38" i="115"/>
  <c r="N37" i="115"/>
  <c r="N36" i="115"/>
  <c r="N35" i="115"/>
  <c r="N34" i="115"/>
  <c r="N33" i="115"/>
  <c r="N32" i="115"/>
  <c r="N31" i="115"/>
  <c r="N30" i="115"/>
  <c r="N29" i="115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L78" i="115"/>
  <c r="L77" i="115"/>
  <c r="L76" i="115"/>
  <c r="L75" i="115"/>
  <c r="L74" i="115"/>
  <c r="L73" i="115"/>
  <c r="L72" i="115"/>
  <c r="L71" i="115"/>
  <c r="L70" i="115"/>
  <c r="L69" i="115"/>
  <c r="L68" i="115"/>
  <c r="L67" i="115"/>
  <c r="L66" i="115"/>
  <c r="L65" i="115"/>
  <c r="L64" i="115"/>
  <c r="L63" i="115"/>
  <c r="L62" i="115"/>
  <c r="L61" i="115"/>
  <c r="L60" i="115"/>
  <c r="L59" i="115"/>
  <c r="L58" i="115"/>
  <c r="L57" i="115"/>
  <c r="L56" i="115"/>
  <c r="L55" i="115"/>
  <c r="L54" i="115"/>
  <c r="L53" i="115"/>
  <c r="L52" i="115"/>
  <c r="L51" i="115"/>
  <c r="L50" i="115"/>
  <c r="L49" i="115"/>
  <c r="L48" i="115"/>
  <c r="L47" i="115"/>
  <c r="L46" i="115"/>
  <c r="L45" i="115"/>
  <c r="L44" i="115"/>
  <c r="L43" i="115"/>
  <c r="L42" i="115"/>
  <c r="L41" i="115"/>
  <c r="L40" i="115"/>
  <c r="L39" i="115"/>
  <c r="L38" i="115"/>
  <c r="L37" i="115"/>
  <c r="L36" i="115"/>
  <c r="L35" i="115"/>
  <c r="L34" i="115"/>
  <c r="L33" i="115"/>
  <c r="L32" i="115"/>
  <c r="L31" i="115"/>
  <c r="L30" i="115"/>
  <c r="L29" i="115"/>
  <c r="L28" i="115"/>
  <c r="L27" i="115"/>
  <c r="L26" i="115"/>
  <c r="L25" i="115"/>
  <c r="L24" i="115"/>
  <c r="L23" i="115"/>
  <c r="L22" i="115"/>
  <c r="L21" i="115"/>
  <c r="L20" i="115"/>
  <c r="L19" i="115"/>
  <c r="L18" i="115"/>
  <c r="L17" i="115"/>
  <c r="L16" i="115"/>
  <c r="L15" i="115"/>
  <c r="L14" i="115"/>
  <c r="L13" i="115"/>
  <c r="L12" i="115"/>
  <c r="L11" i="115"/>
  <c r="L10" i="115"/>
  <c r="J78" i="115"/>
  <c r="J77" i="115"/>
  <c r="J76" i="115"/>
  <c r="J75" i="115"/>
  <c r="J74" i="115"/>
  <c r="J73" i="115"/>
  <c r="J72" i="115"/>
  <c r="J71" i="115"/>
  <c r="J70" i="115"/>
  <c r="J69" i="115"/>
  <c r="J68" i="115"/>
  <c r="J67" i="115"/>
  <c r="J66" i="115"/>
  <c r="J65" i="115"/>
  <c r="J64" i="115"/>
  <c r="J63" i="115"/>
  <c r="J62" i="115"/>
  <c r="J61" i="115"/>
  <c r="J60" i="115"/>
  <c r="J59" i="115"/>
  <c r="J58" i="115"/>
  <c r="J57" i="115"/>
  <c r="J56" i="115"/>
  <c r="J55" i="115"/>
  <c r="J54" i="115"/>
  <c r="J53" i="115"/>
  <c r="J52" i="115"/>
  <c r="J51" i="115"/>
  <c r="J50" i="115"/>
  <c r="J49" i="115"/>
  <c r="J48" i="115"/>
  <c r="J47" i="115"/>
  <c r="J46" i="115"/>
  <c r="J45" i="115"/>
  <c r="J44" i="115"/>
  <c r="J43" i="115"/>
  <c r="J42" i="115"/>
  <c r="J41" i="115"/>
  <c r="J40" i="115"/>
  <c r="J39" i="115"/>
  <c r="J38" i="115"/>
  <c r="J37" i="115"/>
  <c r="J36" i="115"/>
  <c r="J35" i="115"/>
  <c r="J34" i="115"/>
  <c r="J33" i="115"/>
  <c r="J32" i="115"/>
  <c r="J31" i="115"/>
  <c r="J30" i="115"/>
  <c r="J29" i="115"/>
  <c r="J28" i="115"/>
  <c r="J27" i="115"/>
  <c r="J26" i="115"/>
  <c r="J25" i="115"/>
  <c r="J24" i="115"/>
  <c r="J23" i="115"/>
  <c r="J22" i="115"/>
  <c r="J21" i="115"/>
  <c r="J20" i="115"/>
  <c r="J19" i="115"/>
  <c r="J18" i="115"/>
  <c r="J17" i="115"/>
  <c r="J16" i="115"/>
  <c r="J15" i="115"/>
  <c r="J14" i="115"/>
  <c r="J13" i="115"/>
  <c r="J12" i="115"/>
  <c r="J11" i="115"/>
  <c r="J10" i="115"/>
  <c r="B78" i="115"/>
  <c r="B77" i="115"/>
  <c r="B76" i="115"/>
  <c r="B75" i="115"/>
  <c r="F75" i="115" s="1"/>
  <c r="B74" i="115"/>
  <c r="B73" i="115"/>
  <c r="B72" i="115"/>
  <c r="B71" i="115"/>
  <c r="B70" i="115"/>
  <c r="B69" i="115"/>
  <c r="B68" i="115"/>
  <c r="B67" i="115"/>
  <c r="B66" i="115"/>
  <c r="B65" i="115"/>
  <c r="F65" i="115" s="1"/>
  <c r="B64" i="115"/>
  <c r="B63" i="115"/>
  <c r="F63" i="115" s="1"/>
  <c r="B62" i="115"/>
  <c r="B61" i="115"/>
  <c r="B60" i="115"/>
  <c r="B59" i="115"/>
  <c r="B58" i="115"/>
  <c r="F58" i="115" s="1"/>
  <c r="B57" i="115"/>
  <c r="B56" i="115"/>
  <c r="B55" i="115"/>
  <c r="B54" i="115"/>
  <c r="B53" i="115"/>
  <c r="F53" i="115" s="1"/>
  <c r="B52" i="115"/>
  <c r="B51" i="115"/>
  <c r="F51" i="115" s="1"/>
  <c r="B50" i="115"/>
  <c r="B49" i="115"/>
  <c r="B48" i="115"/>
  <c r="B47" i="115"/>
  <c r="B46" i="115"/>
  <c r="B45" i="115"/>
  <c r="B44" i="115"/>
  <c r="B43" i="115"/>
  <c r="B42" i="115"/>
  <c r="B41" i="115"/>
  <c r="F41" i="115" s="1"/>
  <c r="B40" i="115"/>
  <c r="B39" i="115"/>
  <c r="F39" i="115" s="1"/>
  <c r="B38" i="115"/>
  <c r="B37" i="115"/>
  <c r="B36" i="115"/>
  <c r="B35" i="115"/>
  <c r="B34" i="115"/>
  <c r="F34" i="115" s="1"/>
  <c r="B33" i="115"/>
  <c r="B32" i="115"/>
  <c r="B31" i="115"/>
  <c r="B30" i="115"/>
  <c r="B29" i="115"/>
  <c r="F29" i="115" s="1"/>
  <c r="B28" i="115"/>
  <c r="B27" i="115"/>
  <c r="F27" i="115" s="1"/>
  <c r="B26" i="115"/>
  <c r="B25" i="115"/>
  <c r="B24" i="115"/>
  <c r="B23" i="115"/>
  <c r="B22" i="115"/>
  <c r="F22" i="115" s="1"/>
  <c r="B21" i="115"/>
  <c r="F21" i="115" s="1"/>
  <c r="B20" i="115"/>
  <c r="B19" i="115"/>
  <c r="B18" i="115"/>
  <c r="B17" i="115"/>
  <c r="F17" i="115" s="1"/>
  <c r="B16" i="115"/>
  <c r="B15" i="115"/>
  <c r="F15" i="115" s="1"/>
  <c r="B14" i="115"/>
  <c r="B13" i="115"/>
  <c r="B12" i="115"/>
  <c r="B11" i="115"/>
  <c r="B10" i="115"/>
  <c r="F78" i="115"/>
  <c r="F76" i="115"/>
  <c r="F74" i="115"/>
  <c r="F73" i="115"/>
  <c r="F72" i="115"/>
  <c r="F71" i="115"/>
  <c r="F68" i="115"/>
  <c r="F67" i="115"/>
  <c r="F66" i="115"/>
  <c r="F64" i="115"/>
  <c r="F62" i="115"/>
  <c r="F61" i="115"/>
  <c r="F60" i="115"/>
  <c r="F59" i="115"/>
  <c r="F56" i="115"/>
  <c r="F55" i="115"/>
  <c r="F54" i="115"/>
  <c r="F52" i="115"/>
  <c r="F50" i="115"/>
  <c r="F49" i="115"/>
  <c r="F48" i="115"/>
  <c r="F47" i="115"/>
  <c r="F44" i="115"/>
  <c r="F43" i="115"/>
  <c r="F42" i="115"/>
  <c r="F40" i="115"/>
  <c r="F38" i="115"/>
  <c r="F37" i="115"/>
  <c r="F36" i="115"/>
  <c r="F35" i="115"/>
  <c r="F32" i="115"/>
  <c r="F31" i="115"/>
  <c r="F30" i="115"/>
  <c r="F28" i="115"/>
  <c r="F26" i="115"/>
  <c r="F25" i="115"/>
  <c r="F24" i="115"/>
  <c r="F23" i="115"/>
  <c r="F20" i="115"/>
  <c r="F19" i="115"/>
  <c r="F18" i="115"/>
  <c r="F16" i="115"/>
  <c r="F14" i="115"/>
  <c r="F13" i="115"/>
  <c r="F12" i="115"/>
  <c r="F11" i="115"/>
  <c r="F10" i="115"/>
  <c r="BC72" i="115"/>
  <c r="BC71" i="115"/>
  <c r="BC70" i="115"/>
  <c r="BC69" i="115"/>
  <c r="BC68" i="115"/>
  <c r="BC67" i="115"/>
  <c r="BC66" i="115"/>
  <c r="BC65" i="115"/>
  <c r="BC64" i="115"/>
  <c r="BC63" i="115"/>
  <c r="BC62" i="115"/>
  <c r="BC61" i="115"/>
  <c r="BC60" i="115"/>
  <c r="BC59" i="115"/>
  <c r="BC58" i="115"/>
  <c r="BC57" i="115"/>
  <c r="BC56" i="115"/>
  <c r="BC55" i="115"/>
  <c r="BC54" i="115"/>
  <c r="BC53" i="115"/>
  <c r="BC52" i="115"/>
  <c r="BC51" i="115"/>
  <c r="BC50" i="115"/>
  <c r="BC49" i="115"/>
  <c r="BC48" i="115"/>
  <c r="BC47" i="115"/>
  <c r="BC46" i="115"/>
  <c r="BC45" i="115"/>
  <c r="BC44" i="115"/>
  <c r="BC43" i="115"/>
  <c r="BC42" i="115"/>
  <c r="BC41" i="115"/>
  <c r="BC40" i="115"/>
  <c r="BC39" i="115"/>
  <c r="BC38" i="115"/>
  <c r="BC37" i="115"/>
  <c r="BC36" i="115"/>
  <c r="BC35" i="115"/>
  <c r="BC34" i="115"/>
  <c r="BC33" i="115"/>
  <c r="BC32" i="115"/>
  <c r="BC31" i="115"/>
  <c r="BC73" i="115"/>
  <c r="XFD1048575" i="115" a="1"/>
  <c r="XFD1048575" i="115" s="1"/>
  <c r="XFD1048574" i="115" a="1"/>
  <c r="XFD1048574" i="115" s="1"/>
  <c r="XFD1048573" i="115" a="1"/>
  <c r="XFD1048573" i="115" s="1"/>
  <c r="XFD1048572" i="115" a="1"/>
  <c r="XFD1048572" i="115" s="1"/>
  <c r="XFD1048571" i="115" a="1"/>
  <c r="XFD1048571" i="115" s="1"/>
  <c r="XFD1048570" i="115" a="1"/>
  <c r="XFD1048570" i="115" s="1"/>
  <c r="XFD1048569" i="115" a="1"/>
  <c r="XFD1048569" i="115" s="1"/>
  <c r="XFD1048568" i="115" a="1"/>
  <c r="XFD1048568" i="115" s="1"/>
  <c r="XFD1048567" i="115" a="1"/>
  <c r="XFD1048567" i="115" s="1"/>
  <c r="XFD1048566" i="115" a="1"/>
  <c r="XFD1048566" i="115" s="1"/>
  <c r="XFD1048565" i="115" a="1"/>
  <c r="XFD1048565" i="115" s="1"/>
  <c r="XFD1048564" i="115" a="1"/>
  <c r="XFD1048564" i="115" s="1"/>
  <c r="XFD1048563" i="115" a="1"/>
  <c r="XFD1048563" i="115" s="1"/>
  <c r="XFD1048562" i="115" a="1"/>
  <c r="XFD1048562" i="115" s="1"/>
  <c r="XFD1048561" i="115"/>
  <c r="XFD1048560" i="115"/>
  <c r="XFD1048559" i="115"/>
  <c r="XFD1048558" i="115"/>
  <c r="XFD1048557" i="115"/>
  <c r="XFD1048556" i="115"/>
  <c r="XFD1048555" i="115" a="1"/>
  <c r="XFD1048555" i="115" s="1"/>
  <c r="XFD1048554" i="115"/>
  <c r="XFD1048553" i="115"/>
  <c r="XFD1048552" i="115"/>
  <c r="XFD1048551" i="115"/>
  <c r="XFD1048550" i="115"/>
  <c r="C78" i="115"/>
  <c r="A78" i="115"/>
  <c r="C77" i="115"/>
  <c r="A77" i="115"/>
  <c r="C76" i="115"/>
  <c r="A76" i="115"/>
  <c r="C75" i="115"/>
  <c r="A75" i="115"/>
  <c r="C74" i="115"/>
  <c r="A74" i="115"/>
  <c r="C73" i="115"/>
  <c r="A73" i="115"/>
  <c r="C72" i="115"/>
  <c r="A72" i="115"/>
  <c r="C71" i="115"/>
  <c r="A71" i="115"/>
  <c r="D70" i="115"/>
  <c r="C70" i="115"/>
  <c r="A70" i="115"/>
  <c r="D69" i="115"/>
  <c r="C69" i="115"/>
  <c r="A69" i="115"/>
  <c r="D68" i="115"/>
  <c r="C68" i="115"/>
  <c r="A68" i="115"/>
  <c r="D67" i="115"/>
  <c r="C67" i="115"/>
  <c r="A67" i="115"/>
  <c r="D66" i="115"/>
  <c r="C66" i="115"/>
  <c r="A66" i="115"/>
  <c r="D65" i="115"/>
  <c r="C65" i="115"/>
  <c r="A65" i="115"/>
  <c r="D64" i="115"/>
  <c r="C64" i="115"/>
  <c r="A64" i="115"/>
  <c r="D63" i="115"/>
  <c r="C63" i="115"/>
  <c r="A63" i="115"/>
  <c r="D62" i="115"/>
  <c r="C62" i="115"/>
  <c r="A62" i="115"/>
  <c r="C61" i="115"/>
  <c r="A61" i="115"/>
  <c r="C60" i="115"/>
  <c r="A60" i="115"/>
  <c r="C59" i="115"/>
  <c r="A59" i="115"/>
  <c r="C58" i="115"/>
  <c r="A58" i="115"/>
  <c r="C57" i="115"/>
  <c r="A57" i="115"/>
  <c r="AC56" i="115"/>
  <c r="C56" i="115"/>
  <c r="A56" i="115"/>
  <c r="C55" i="115"/>
  <c r="A55" i="115"/>
  <c r="AC54" i="115"/>
  <c r="C54" i="115"/>
  <c r="A54" i="115"/>
  <c r="C53" i="115"/>
  <c r="A53" i="115"/>
  <c r="AC52" i="115"/>
  <c r="C52" i="115"/>
  <c r="A52" i="115"/>
  <c r="C51" i="115"/>
  <c r="A51" i="115"/>
  <c r="C50" i="115"/>
  <c r="A50" i="115"/>
  <c r="D49" i="115"/>
  <c r="C49" i="115"/>
  <c r="A49" i="115"/>
  <c r="D48" i="115"/>
  <c r="C48" i="115"/>
  <c r="A48" i="115"/>
  <c r="D47" i="115"/>
  <c r="C47" i="115"/>
  <c r="A47" i="115"/>
  <c r="C46" i="115"/>
  <c r="A46" i="115"/>
  <c r="C45" i="115"/>
  <c r="A45" i="115"/>
  <c r="C44" i="115"/>
  <c r="A44" i="115"/>
  <c r="C43" i="115"/>
  <c r="A43" i="115"/>
  <c r="C42" i="115"/>
  <c r="A42" i="115"/>
  <c r="C41" i="115"/>
  <c r="A41" i="115"/>
  <c r="C40" i="115"/>
  <c r="A40" i="115"/>
  <c r="C39" i="115"/>
  <c r="A39" i="115"/>
  <c r="C38" i="115"/>
  <c r="A38" i="115"/>
  <c r="C37" i="115"/>
  <c r="A37" i="115"/>
  <c r="C36" i="115"/>
  <c r="A36" i="115"/>
  <c r="C35" i="115"/>
  <c r="A35" i="115"/>
  <c r="C34" i="115"/>
  <c r="A34" i="115"/>
  <c r="C33" i="115"/>
  <c r="A33" i="115"/>
  <c r="C32" i="115"/>
  <c r="A32" i="115"/>
  <c r="C31" i="115"/>
  <c r="A31" i="115"/>
  <c r="C30" i="115"/>
  <c r="A30" i="115"/>
  <c r="C29" i="115"/>
  <c r="A29" i="115"/>
  <c r="C28" i="115"/>
  <c r="A28" i="115"/>
  <c r="C27" i="115"/>
  <c r="A27" i="115"/>
  <c r="D26" i="115"/>
  <c r="C26" i="115"/>
  <c r="A26" i="115"/>
  <c r="D25" i="115"/>
  <c r="C25" i="115"/>
  <c r="A25" i="115"/>
  <c r="AR24" i="115"/>
  <c r="AO24" i="115"/>
  <c r="D24" i="115"/>
  <c r="C24" i="115"/>
  <c r="A24" i="115"/>
  <c r="D23" i="115"/>
  <c r="C23" i="115"/>
  <c r="A23" i="115"/>
  <c r="AR22" i="115"/>
  <c r="AO22" i="115"/>
  <c r="D22" i="115"/>
  <c r="C22" i="115"/>
  <c r="A22" i="115"/>
  <c r="AO21" i="115"/>
  <c r="AR21" i="115"/>
  <c r="D21" i="115"/>
  <c r="C21" i="115"/>
  <c r="A21" i="115"/>
  <c r="AO20" i="115"/>
  <c r="C20" i="115"/>
  <c r="A20" i="115"/>
  <c r="C19" i="115"/>
  <c r="A19" i="115"/>
  <c r="C18" i="115"/>
  <c r="A18" i="115"/>
  <c r="AR17" i="115"/>
  <c r="C17" i="115"/>
  <c r="A17" i="115"/>
  <c r="C16" i="115"/>
  <c r="A16" i="115"/>
  <c r="AR15" i="115"/>
  <c r="AG15" i="115"/>
  <c r="C15" i="115"/>
  <c r="A15" i="115"/>
  <c r="AG14" i="115"/>
  <c r="C14" i="115"/>
  <c r="A14" i="115"/>
  <c r="AR13" i="115"/>
  <c r="AO13" i="115"/>
  <c r="AG13" i="115"/>
  <c r="C13" i="115"/>
  <c r="A13" i="115"/>
  <c r="AR12" i="115"/>
  <c r="AO12" i="115"/>
  <c r="C12" i="115"/>
  <c r="A12" i="115"/>
  <c r="AR11" i="115"/>
  <c r="AO11" i="115"/>
  <c r="C11" i="115"/>
  <c r="A11" i="115"/>
  <c r="AO10" i="115"/>
  <c r="C10" i="115"/>
  <c r="A10" i="115"/>
  <c r="AJ8" i="115"/>
  <c r="AO8" i="115"/>
  <c r="AO7" i="115"/>
  <c r="AR7" i="115"/>
  <c r="AR6" i="115"/>
  <c r="AO6" i="115"/>
  <c r="AJ6" i="115"/>
  <c r="AA6" i="115"/>
  <c r="AR5" i="115"/>
  <c r="AO5" i="115"/>
  <c r="AJ5" i="115"/>
  <c r="AR4" i="115"/>
  <c r="AO4" i="115"/>
  <c r="AJ4" i="115"/>
  <c r="AG2" i="115"/>
  <c r="T2" i="115"/>
  <c r="T71" i="115" s="1"/>
  <c r="H3" i="123" l="1"/>
  <c r="G3" i="123"/>
  <c r="F3" i="123"/>
  <c r="E3" i="123"/>
  <c r="B4" i="123"/>
  <c r="B24" i="123"/>
  <c r="A26" i="123"/>
  <c r="A5" i="123"/>
  <c r="B23" i="123"/>
  <c r="B25" i="123"/>
  <c r="AM22" i="115"/>
  <c r="AN22" i="115"/>
  <c r="AS22" i="115" s="1"/>
  <c r="AL16" i="115"/>
  <c r="AN16" i="115" s="1"/>
  <c r="AK23" i="115"/>
  <c r="AM23" i="115" s="1"/>
  <c r="AK24" i="115"/>
  <c r="AM24" i="115" s="1"/>
  <c r="AS9" i="115"/>
  <c r="AP7" i="115"/>
  <c r="AN24" i="115"/>
  <c r="AK6" i="115"/>
  <c r="AM6" i="115" s="1"/>
  <c r="AK8" i="115"/>
  <c r="K63" i="122"/>
  <c r="K13" i="122"/>
  <c r="Y23" i="122"/>
  <c r="X38" i="122"/>
  <c r="L38" i="122"/>
  <c r="V38" i="122"/>
  <c r="J38" i="122"/>
  <c r="P38" i="122"/>
  <c r="N38" i="122"/>
  <c r="R38" i="122"/>
  <c r="V49" i="122"/>
  <c r="J49" i="122"/>
  <c r="P49" i="122"/>
  <c r="N49" i="122"/>
  <c r="AH15" i="122"/>
  <c r="X49" i="122"/>
  <c r="R49" i="122"/>
  <c r="L49" i="122"/>
  <c r="X29" i="122"/>
  <c r="L29" i="122"/>
  <c r="V29" i="122"/>
  <c r="J29" i="122"/>
  <c r="R29" i="122"/>
  <c r="S29" i="122" s="1"/>
  <c r="P29" i="122"/>
  <c r="N29" i="122"/>
  <c r="G29" i="122"/>
  <c r="T29" i="122"/>
  <c r="U29" i="122" s="1"/>
  <c r="G30" i="122"/>
  <c r="O30" i="122" s="1"/>
  <c r="G31" i="122"/>
  <c r="V10" i="122"/>
  <c r="W10" i="122" s="1"/>
  <c r="J10" i="122"/>
  <c r="G10" i="122"/>
  <c r="T10" i="122"/>
  <c r="U10" i="122" s="1"/>
  <c r="R10" i="122"/>
  <c r="S10" i="122" s="1"/>
  <c r="P10" i="122"/>
  <c r="Q10" i="122" s="1"/>
  <c r="X10" i="122"/>
  <c r="Y10" i="122" s="1"/>
  <c r="N10" i="122"/>
  <c r="L10" i="122"/>
  <c r="AL16" i="122"/>
  <c r="AN16" i="122" s="1"/>
  <c r="AK16" i="122"/>
  <c r="AM16" i="122" s="1"/>
  <c r="AJ16" i="122"/>
  <c r="X31" i="122"/>
  <c r="Y31" i="122" s="1"/>
  <c r="L31" i="122"/>
  <c r="M31" i="122" s="1"/>
  <c r="V31" i="122"/>
  <c r="J31" i="122"/>
  <c r="R31" i="122"/>
  <c r="P31" i="122"/>
  <c r="N31" i="122"/>
  <c r="R12" i="122"/>
  <c r="S12" i="122" s="1"/>
  <c r="P12" i="122"/>
  <c r="N12" i="122"/>
  <c r="L12" i="122"/>
  <c r="X12" i="122"/>
  <c r="Y12" i="122" s="1"/>
  <c r="V12" i="122"/>
  <c r="J12" i="122"/>
  <c r="T12" i="122"/>
  <c r="G14" i="122"/>
  <c r="AI5" i="122" s="1"/>
  <c r="G15" i="122"/>
  <c r="S15" i="122" s="1"/>
  <c r="H43" i="122"/>
  <c r="H42" i="122"/>
  <c r="U67" i="122"/>
  <c r="R76" i="122"/>
  <c r="S76" i="122" s="1"/>
  <c r="P76" i="122"/>
  <c r="Q76" i="122" s="1"/>
  <c r="N76" i="122"/>
  <c r="O76" i="122" s="1"/>
  <c r="X76" i="122"/>
  <c r="Y76" i="122" s="1"/>
  <c r="L76" i="122"/>
  <c r="M76" i="122" s="1"/>
  <c r="V76" i="122"/>
  <c r="W76" i="122" s="1"/>
  <c r="J76" i="122"/>
  <c r="G76" i="122"/>
  <c r="AI24" i="122" s="1"/>
  <c r="AH24" i="122"/>
  <c r="Y14" i="122"/>
  <c r="N52" i="122"/>
  <c r="X52" i="122"/>
  <c r="L52" i="122"/>
  <c r="R52" i="122"/>
  <c r="AH18" i="122"/>
  <c r="P52" i="122"/>
  <c r="V52" i="122"/>
  <c r="J52" i="122"/>
  <c r="M18" i="122"/>
  <c r="K18" i="122"/>
  <c r="X32" i="122"/>
  <c r="L32" i="122"/>
  <c r="V32" i="122"/>
  <c r="J32" i="122"/>
  <c r="R32" i="122"/>
  <c r="AH8" i="122"/>
  <c r="P32" i="122"/>
  <c r="N32" i="122"/>
  <c r="G32" i="122"/>
  <c r="AI8" i="122" s="1"/>
  <c r="T32" i="122"/>
  <c r="U32" i="122" s="1"/>
  <c r="X34" i="122"/>
  <c r="L34" i="122"/>
  <c r="R34" i="122"/>
  <c r="P34" i="122"/>
  <c r="V34" i="122"/>
  <c r="AH10" i="122"/>
  <c r="J34" i="122"/>
  <c r="N34" i="122"/>
  <c r="R75" i="122"/>
  <c r="P75" i="122"/>
  <c r="N75" i="122"/>
  <c r="X75" i="122"/>
  <c r="Y75" i="122" s="1"/>
  <c r="L75" i="122"/>
  <c r="V75" i="122"/>
  <c r="W75" i="122" s="1"/>
  <c r="J75" i="122"/>
  <c r="G75" i="122"/>
  <c r="W18" i="122"/>
  <c r="S30" i="122"/>
  <c r="G12" i="122"/>
  <c r="G23" i="122"/>
  <c r="G34" i="122"/>
  <c r="AI10" i="122" s="1"/>
  <c r="AJ10" i="122" s="1"/>
  <c r="AN22" i="122"/>
  <c r="AM22" i="122"/>
  <c r="X28" i="122"/>
  <c r="Y28" i="122" s="1"/>
  <c r="L28" i="122"/>
  <c r="V28" i="122"/>
  <c r="J28" i="122"/>
  <c r="R28" i="122"/>
  <c r="P28" i="122"/>
  <c r="N28" i="122"/>
  <c r="O28" i="122" s="1"/>
  <c r="AH7" i="122"/>
  <c r="N11" i="122"/>
  <c r="O11" i="122" s="1"/>
  <c r="X11" i="122"/>
  <c r="Y11" i="122" s="1"/>
  <c r="L11" i="122"/>
  <c r="M11" i="122" s="1"/>
  <c r="V11" i="122"/>
  <c r="W11" i="122" s="1"/>
  <c r="J11" i="122"/>
  <c r="G11" i="122"/>
  <c r="AI4" i="122" s="1"/>
  <c r="AH4" i="122"/>
  <c r="R11" i="122"/>
  <c r="S11" i="122" s="1"/>
  <c r="P11" i="122"/>
  <c r="Q11" i="122" s="1"/>
  <c r="U15" i="122"/>
  <c r="X17" i="122"/>
  <c r="Y17" i="122" s="1"/>
  <c r="L17" i="122"/>
  <c r="V17" i="122"/>
  <c r="J17" i="122"/>
  <c r="N17" i="122"/>
  <c r="G17" i="122"/>
  <c r="Q17" i="122" s="1"/>
  <c r="R17" i="122"/>
  <c r="S18" i="122"/>
  <c r="AR19" i="122"/>
  <c r="AO19" i="122"/>
  <c r="S23" i="122"/>
  <c r="X36" i="122"/>
  <c r="Y36" i="122" s="1"/>
  <c r="L36" i="122"/>
  <c r="M36" i="122" s="1"/>
  <c r="R36" i="122"/>
  <c r="S36" i="122" s="1"/>
  <c r="P36" i="122"/>
  <c r="Q36" i="122" s="1"/>
  <c r="H7" i="122"/>
  <c r="AO9" i="122"/>
  <c r="R13" i="122"/>
  <c r="S13" i="122" s="1"/>
  <c r="K14" i="122"/>
  <c r="V15" i="122"/>
  <c r="AO17" i="122"/>
  <c r="P20" i="122"/>
  <c r="J23" i="122"/>
  <c r="T40" i="122"/>
  <c r="N41" i="122"/>
  <c r="P44" i="122"/>
  <c r="N44" i="122"/>
  <c r="T55" i="122"/>
  <c r="P57" i="122"/>
  <c r="L58" i="122"/>
  <c r="P59" i="122"/>
  <c r="G61" i="122"/>
  <c r="M61" i="122" s="1"/>
  <c r="P61" i="122"/>
  <c r="N61" i="122"/>
  <c r="O63" i="122"/>
  <c r="Y64" i="122"/>
  <c r="W65" i="122"/>
  <c r="S66" i="122"/>
  <c r="K67" i="122"/>
  <c r="R70" i="122"/>
  <c r="S70" i="122" s="1"/>
  <c r="P70" i="122"/>
  <c r="Q70" i="122" s="1"/>
  <c r="N70" i="122"/>
  <c r="O70" i="122" s="1"/>
  <c r="X70" i="122"/>
  <c r="L70" i="122"/>
  <c r="M70" i="122" s="1"/>
  <c r="V70" i="122"/>
  <c r="J70" i="122"/>
  <c r="K70" i="122" s="1"/>
  <c r="G74" i="122"/>
  <c r="P42" i="122"/>
  <c r="V42" i="122"/>
  <c r="J42" i="122"/>
  <c r="N42" i="122"/>
  <c r="L42" i="122"/>
  <c r="V50" i="122"/>
  <c r="W50" i="122" s="1"/>
  <c r="J50" i="122"/>
  <c r="P50" i="122"/>
  <c r="Q50" i="122" s="1"/>
  <c r="N50" i="122"/>
  <c r="O50" i="122" s="1"/>
  <c r="L50" i="122"/>
  <c r="M50" i="122" s="1"/>
  <c r="AH6" i="122"/>
  <c r="L14" i="122"/>
  <c r="M14" i="122" s="1"/>
  <c r="T18" i="122"/>
  <c r="U18" i="122" s="1"/>
  <c r="P19" i="122"/>
  <c r="Q19" i="122" s="1"/>
  <c r="J36" i="122"/>
  <c r="V46" i="122"/>
  <c r="R46" i="122"/>
  <c r="P46" i="122"/>
  <c r="R71" i="122"/>
  <c r="S71" i="122" s="1"/>
  <c r="P71" i="122"/>
  <c r="Q71" i="122" s="1"/>
  <c r="N71" i="122"/>
  <c r="O71" i="122" s="1"/>
  <c r="X71" i="122"/>
  <c r="Y71" i="122" s="1"/>
  <c r="L71" i="122"/>
  <c r="M71" i="122" s="1"/>
  <c r="V71" i="122"/>
  <c r="W71" i="122" s="1"/>
  <c r="J71" i="122"/>
  <c r="AH22" i="122"/>
  <c r="V48" i="122"/>
  <c r="R50" i="122"/>
  <c r="S50" i="122" s="1"/>
  <c r="F74" i="122"/>
  <c r="G28" i="122"/>
  <c r="AI7" i="122" s="1"/>
  <c r="AJ7" i="122" s="1"/>
  <c r="X37" i="122"/>
  <c r="Y37" i="122" s="1"/>
  <c r="L37" i="122"/>
  <c r="M37" i="122" s="1"/>
  <c r="G37" i="122"/>
  <c r="K37" i="122" s="1"/>
  <c r="V37" i="122"/>
  <c r="W37" i="122" s="1"/>
  <c r="R72" i="122"/>
  <c r="P72" i="122"/>
  <c r="N72" i="122"/>
  <c r="X72" i="122"/>
  <c r="L72" i="122"/>
  <c r="V72" i="122"/>
  <c r="J72" i="122"/>
  <c r="T13" i="122"/>
  <c r="U13" i="122" s="1"/>
  <c r="X15" i="122"/>
  <c r="V16" i="122"/>
  <c r="W16" i="122" s="1"/>
  <c r="J16" i="122"/>
  <c r="X16" i="122"/>
  <c r="Y16" i="122" s="1"/>
  <c r="T17" i="122"/>
  <c r="AO20" i="122"/>
  <c r="AO21" i="122"/>
  <c r="L23" i="122"/>
  <c r="M23" i="122" s="1"/>
  <c r="AH23" i="122"/>
  <c r="F26" i="122"/>
  <c r="T34" i="122"/>
  <c r="N36" i="122"/>
  <c r="O36" i="122" s="1"/>
  <c r="N37" i="122"/>
  <c r="O37" i="122" s="1"/>
  <c r="P41" i="122"/>
  <c r="R42" i="122"/>
  <c r="J44" i="122"/>
  <c r="G46" i="122"/>
  <c r="Y46" i="122" s="1"/>
  <c r="F47" i="122"/>
  <c r="H47" i="122"/>
  <c r="R57" i="122"/>
  <c r="N58" i="122"/>
  <c r="R59" i="122"/>
  <c r="J61" i="122"/>
  <c r="K64" i="122"/>
  <c r="G72" i="122"/>
  <c r="AI23" i="122" s="1"/>
  <c r="T11" i="122"/>
  <c r="U11" i="122" s="1"/>
  <c r="N14" i="122"/>
  <c r="O14" i="122" s="1"/>
  <c r="J15" i="122"/>
  <c r="T30" i="122"/>
  <c r="U30" i="122" s="1"/>
  <c r="T33" i="122"/>
  <c r="J46" i="122"/>
  <c r="T50" i="122"/>
  <c r="U50" i="122" s="1"/>
  <c r="V57" i="122"/>
  <c r="P58" i="122"/>
  <c r="V59" i="122"/>
  <c r="T70" i="122"/>
  <c r="T74" i="122"/>
  <c r="R14" i="122"/>
  <c r="S14" i="122" s="1"/>
  <c r="P18" i="122"/>
  <c r="Q18" i="122" s="1"/>
  <c r="N18" i="122"/>
  <c r="O18" i="122" s="1"/>
  <c r="S19" i="122"/>
  <c r="V19" i="122"/>
  <c r="W19" i="122" s="1"/>
  <c r="T20" i="122"/>
  <c r="N23" i="122"/>
  <c r="O23" i="122" s="1"/>
  <c r="T36" i="122"/>
  <c r="U36" i="122" s="1"/>
  <c r="P37" i="122"/>
  <c r="Q37" i="122" s="1"/>
  <c r="X54" i="122"/>
  <c r="L54" i="122"/>
  <c r="R54" i="122"/>
  <c r="P54" i="122"/>
  <c r="W63" i="122"/>
  <c r="R69" i="122"/>
  <c r="S69" i="122" s="1"/>
  <c r="P69" i="122"/>
  <c r="Q69" i="122" s="1"/>
  <c r="N69" i="122"/>
  <c r="O69" i="122" s="1"/>
  <c r="X69" i="122"/>
  <c r="L69" i="122"/>
  <c r="M69" i="122" s="1"/>
  <c r="V69" i="122"/>
  <c r="W69" i="122" s="1"/>
  <c r="S77" i="122"/>
  <c r="W78" i="122"/>
  <c r="L15" i="122"/>
  <c r="M15" i="122" s="1"/>
  <c r="L16" i="122"/>
  <c r="M16" i="122" s="1"/>
  <c r="X18" i="122"/>
  <c r="Y18" i="122" s="1"/>
  <c r="X42" i="122"/>
  <c r="R44" i="122"/>
  <c r="L46" i="122"/>
  <c r="M46" i="122" s="1"/>
  <c r="R61" i="122"/>
  <c r="G69" i="122"/>
  <c r="G78" i="122"/>
  <c r="K78" i="122" s="1"/>
  <c r="G77" i="122"/>
  <c r="Y70" i="122"/>
  <c r="W70" i="122"/>
  <c r="U70" i="122"/>
  <c r="T78" i="122"/>
  <c r="T77" i="122"/>
  <c r="T76" i="122"/>
  <c r="U76" i="122" s="1"/>
  <c r="T68" i="122"/>
  <c r="T52" i="122"/>
  <c r="T67" i="122"/>
  <c r="T66" i="122"/>
  <c r="U66" i="122" s="1"/>
  <c r="T65" i="122"/>
  <c r="U65" i="122" s="1"/>
  <c r="T64" i="122"/>
  <c r="U64" i="122" s="1"/>
  <c r="T63" i="122"/>
  <c r="U63" i="122" s="1"/>
  <c r="T62" i="122"/>
  <c r="U62" i="122" s="1"/>
  <c r="T61" i="122"/>
  <c r="T60" i="122"/>
  <c r="U60" i="122" s="1"/>
  <c r="T59" i="122"/>
  <c r="T58" i="122"/>
  <c r="T57" i="122"/>
  <c r="T46" i="122"/>
  <c r="U46" i="122" s="1"/>
  <c r="T45" i="122"/>
  <c r="T44" i="122"/>
  <c r="T43" i="122"/>
  <c r="T42" i="122"/>
  <c r="T75" i="122"/>
  <c r="U75" i="122" s="1"/>
  <c r="T72" i="122"/>
  <c r="U72" i="122" s="1"/>
  <c r="T56" i="122"/>
  <c r="T54" i="122"/>
  <c r="T23" i="122"/>
  <c r="U23" i="122" s="1"/>
  <c r="T73" i="122"/>
  <c r="U73" i="122" s="1"/>
  <c r="T19" i="122"/>
  <c r="U19" i="122" s="1"/>
  <c r="T49" i="122"/>
  <c r="T41" i="122"/>
  <c r="T39" i="122"/>
  <c r="T26" i="122"/>
  <c r="U26" i="122" s="1"/>
  <c r="T25" i="122"/>
  <c r="T69" i="122"/>
  <c r="U69" i="122" s="1"/>
  <c r="T51" i="122"/>
  <c r="T16" i="122"/>
  <c r="U16" i="122" s="1"/>
  <c r="AO5" i="122"/>
  <c r="Y13" i="122"/>
  <c r="T14" i="122"/>
  <c r="U14" i="122" s="1"/>
  <c r="AH16" i="122"/>
  <c r="P23" i="122"/>
  <c r="Q23" i="122" s="1"/>
  <c r="X30" i="122"/>
  <c r="Y30" i="122" s="1"/>
  <c r="L30" i="122"/>
  <c r="V30" i="122"/>
  <c r="W30" i="122" s="1"/>
  <c r="J30" i="122"/>
  <c r="V36" i="122"/>
  <c r="W36" i="122" s="1"/>
  <c r="R37" i="122"/>
  <c r="S37" i="122" s="1"/>
  <c r="G40" i="122"/>
  <c r="S40" i="122" s="1"/>
  <c r="P48" i="122"/>
  <c r="N48" i="122"/>
  <c r="AH14" i="122"/>
  <c r="L48" i="122"/>
  <c r="J48" i="122"/>
  <c r="X50" i="122"/>
  <c r="Y50" i="122" s="1"/>
  <c r="H57" i="122"/>
  <c r="H56" i="122"/>
  <c r="Y63" i="122"/>
  <c r="R68" i="122"/>
  <c r="S68" i="122" s="1"/>
  <c r="P68" i="122"/>
  <c r="Q68" i="122" s="1"/>
  <c r="N68" i="122"/>
  <c r="O68" i="122" s="1"/>
  <c r="X68" i="122"/>
  <c r="L68" i="122"/>
  <c r="M68" i="122" s="1"/>
  <c r="V68" i="122"/>
  <c r="N15" i="122"/>
  <c r="X20" i="122"/>
  <c r="L20" i="122"/>
  <c r="V20" i="122"/>
  <c r="J20" i="122"/>
  <c r="F21" i="122"/>
  <c r="T21" i="122" s="1"/>
  <c r="G26" i="122"/>
  <c r="F27" i="122"/>
  <c r="T31" i="122"/>
  <c r="X33" i="122"/>
  <c r="Y33" i="122" s="1"/>
  <c r="L33" i="122"/>
  <c r="V33" i="122"/>
  <c r="W33" i="122" s="1"/>
  <c r="J33" i="122"/>
  <c r="T38" i="122"/>
  <c r="V40" i="122"/>
  <c r="J40" i="122"/>
  <c r="P40" i="122"/>
  <c r="Q40" i="122" s="1"/>
  <c r="N40" i="122"/>
  <c r="V56" i="122"/>
  <c r="J56" i="122"/>
  <c r="R56" i="122"/>
  <c r="P56" i="122"/>
  <c r="M13" i="122"/>
  <c r="Q14" i="122"/>
  <c r="V14" i="122"/>
  <c r="W14" i="122" s="1"/>
  <c r="K19" i="122"/>
  <c r="G20" i="122"/>
  <c r="AI6" i="122" s="1"/>
  <c r="V23" i="122"/>
  <c r="W23" i="122" s="1"/>
  <c r="G27" i="122"/>
  <c r="T28" i="122"/>
  <c r="G33" i="122"/>
  <c r="AI9" i="122" s="1"/>
  <c r="AJ9" i="122" s="1"/>
  <c r="T37" i="122"/>
  <c r="U37" i="122" s="1"/>
  <c r="L40" i="122"/>
  <c r="L57" i="122"/>
  <c r="J57" i="122"/>
  <c r="V58" i="122"/>
  <c r="R58" i="122"/>
  <c r="R73" i="122"/>
  <c r="S73" i="122" s="1"/>
  <c r="P73" i="122"/>
  <c r="Q73" i="122" s="1"/>
  <c r="N73" i="122"/>
  <c r="O73" i="122" s="1"/>
  <c r="X73" i="122"/>
  <c r="Y73" i="122" s="1"/>
  <c r="L73" i="122"/>
  <c r="M73" i="122" s="1"/>
  <c r="V73" i="122"/>
  <c r="W73" i="122" s="1"/>
  <c r="J73" i="122"/>
  <c r="O13" i="122"/>
  <c r="P15" i="122"/>
  <c r="F22" i="122"/>
  <c r="F24" i="122"/>
  <c r="F25" i="122"/>
  <c r="N33" i="122"/>
  <c r="F35" i="122"/>
  <c r="T35" i="122" s="1"/>
  <c r="V41" i="122"/>
  <c r="J41" i="122"/>
  <c r="X41" i="122"/>
  <c r="Y41" i="122" s="1"/>
  <c r="L56" i="122"/>
  <c r="N59" i="122"/>
  <c r="L59" i="122"/>
  <c r="G68" i="122"/>
  <c r="K68" i="122" s="1"/>
  <c r="T71" i="122"/>
  <c r="U71" i="122" s="1"/>
  <c r="V43" i="122"/>
  <c r="X45" i="122"/>
  <c r="N62" i="122"/>
  <c r="O62" i="122" s="1"/>
  <c r="R62" i="122"/>
  <c r="V62" i="122"/>
  <c r="W62" i="122" s="1"/>
  <c r="V51" i="122"/>
  <c r="R55" i="122"/>
  <c r="X55" i="122"/>
  <c r="Y55" i="122" s="1"/>
  <c r="L55" i="122"/>
  <c r="M55" i="122" s="1"/>
  <c r="V55" i="122"/>
  <c r="W55" i="122" s="1"/>
  <c r="J55" i="122"/>
  <c r="H39" i="122"/>
  <c r="H38" i="122" s="1"/>
  <c r="H51" i="122"/>
  <c r="X53" i="122"/>
  <c r="L53" i="122"/>
  <c r="G55" i="122"/>
  <c r="Q55" i="122" s="1"/>
  <c r="X60" i="122"/>
  <c r="Y60" i="122" s="1"/>
  <c r="S62" i="122"/>
  <c r="X62" i="122"/>
  <c r="Y62" i="122" s="1"/>
  <c r="V39" i="122"/>
  <c r="J39" i="122"/>
  <c r="G41" i="122"/>
  <c r="S41" i="122" s="1"/>
  <c r="X51" i="122"/>
  <c r="Q63" i="122"/>
  <c r="P64" i="122"/>
  <c r="Q64" i="122" s="1"/>
  <c r="O65" i="122"/>
  <c r="N66" i="122"/>
  <c r="O66" i="122" s="1"/>
  <c r="M67" i="122"/>
  <c r="Y67" i="122"/>
  <c r="K69" i="122"/>
  <c r="L77" i="122"/>
  <c r="X77" i="122"/>
  <c r="Y77" i="122" s="1"/>
  <c r="L78" i="122"/>
  <c r="M78" i="122" s="1"/>
  <c r="X78" i="122"/>
  <c r="R63" i="122"/>
  <c r="S63" i="122" s="1"/>
  <c r="P65" i="122"/>
  <c r="Q65" i="122" s="1"/>
  <c r="N67" i="122"/>
  <c r="O67" i="122" s="1"/>
  <c r="R64" i="122"/>
  <c r="S64" i="122" s="1"/>
  <c r="P66" i="122"/>
  <c r="Q66" i="122" s="1"/>
  <c r="Y69" i="122"/>
  <c r="N77" i="122"/>
  <c r="O77" i="122" s="1"/>
  <c r="N78" i="122"/>
  <c r="O78" i="122" s="1"/>
  <c r="R65" i="122"/>
  <c r="P67" i="122"/>
  <c r="Q67" i="122" s="1"/>
  <c r="S65" i="122"/>
  <c r="R66" i="122"/>
  <c r="P77" i="122"/>
  <c r="Q77" i="122" s="1"/>
  <c r="P78" i="122"/>
  <c r="Q78" i="122" s="1"/>
  <c r="S67" i="122"/>
  <c r="J65" i="122"/>
  <c r="K65" i="122" s="1"/>
  <c r="G66" i="122"/>
  <c r="W66" i="122" s="1"/>
  <c r="M63" i="122"/>
  <c r="L64" i="122"/>
  <c r="M64" i="122" s="1"/>
  <c r="J66" i="122"/>
  <c r="O18" i="117"/>
  <c r="O4" i="117"/>
  <c r="O7" i="117"/>
  <c r="O10" i="117"/>
  <c r="O13" i="117"/>
  <c r="O16" i="117"/>
  <c r="O19" i="117"/>
  <c r="O22" i="117"/>
  <c r="O25" i="117"/>
  <c r="O28" i="117"/>
  <c r="O31" i="117"/>
  <c r="O34" i="117"/>
  <c r="O37" i="117"/>
  <c r="O40" i="117"/>
  <c r="O43" i="117"/>
  <c r="O46" i="117"/>
  <c r="O49" i="117"/>
  <c r="O52" i="117"/>
  <c r="O55" i="117"/>
  <c r="O58" i="117"/>
  <c r="O61" i="117"/>
  <c r="O64" i="117"/>
  <c r="O67" i="117"/>
  <c r="O70" i="117"/>
  <c r="O73" i="117"/>
  <c r="O76" i="117"/>
  <c r="O79" i="117"/>
  <c r="O82" i="117"/>
  <c r="O85" i="117"/>
  <c r="O88" i="117"/>
  <c r="O91" i="117"/>
  <c r="O94" i="117"/>
  <c r="O97" i="117"/>
  <c r="O100" i="117"/>
  <c r="O103" i="117"/>
  <c r="O106" i="117"/>
  <c r="O109" i="117"/>
  <c r="O112" i="117"/>
  <c r="O115" i="117"/>
  <c r="O118" i="117"/>
  <c r="O121" i="117"/>
  <c r="O124" i="117"/>
  <c r="O127" i="117"/>
  <c r="O130" i="117"/>
  <c r="O133" i="117"/>
  <c r="O136" i="117"/>
  <c r="O139" i="117"/>
  <c r="O142" i="117"/>
  <c r="O145" i="117"/>
  <c r="O148" i="117"/>
  <c r="O151" i="117"/>
  <c r="O154" i="117"/>
  <c r="O157" i="117"/>
  <c r="O160" i="117"/>
  <c r="O163" i="117"/>
  <c r="O166" i="117"/>
  <c r="O169" i="117"/>
  <c r="O172" i="117"/>
  <c r="O175" i="117"/>
  <c r="O178" i="117"/>
  <c r="O181" i="117"/>
  <c r="O184" i="117"/>
  <c r="O187" i="117"/>
  <c r="O190" i="117"/>
  <c r="O193" i="117"/>
  <c r="O196" i="117"/>
  <c r="O199" i="117"/>
  <c r="O202" i="117"/>
  <c r="O3" i="117"/>
  <c r="O6" i="117"/>
  <c r="O9" i="117"/>
  <c r="O12" i="117"/>
  <c r="O15" i="117"/>
  <c r="O21" i="117"/>
  <c r="O24" i="117"/>
  <c r="O27" i="117"/>
  <c r="O30" i="117"/>
  <c r="O33" i="117"/>
  <c r="O36" i="117"/>
  <c r="O42" i="117"/>
  <c r="O45" i="117"/>
  <c r="O48" i="117"/>
  <c r="O51" i="117"/>
  <c r="O54" i="117"/>
  <c r="O57" i="117"/>
  <c r="O60" i="117"/>
  <c r="O63" i="117"/>
  <c r="O66" i="117"/>
  <c r="O69" i="117"/>
  <c r="O72" i="117"/>
  <c r="O75" i="117"/>
  <c r="O78" i="117"/>
  <c r="O81" i="117"/>
  <c r="O84" i="117"/>
  <c r="O87" i="117"/>
  <c r="O90" i="117"/>
  <c r="O93" i="117"/>
  <c r="O96" i="117"/>
  <c r="O99" i="117"/>
  <c r="O102" i="117"/>
  <c r="O105" i="117"/>
  <c r="O108" i="117"/>
  <c r="O111" i="117"/>
  <c r="O114" i="117"/>
  <c r="O117" i="117"/>
  <c r="O120" i="117"/>
  <c r="O123" i="117"/>
  <c r="O126" i="117"/>
  <c r="O129" i="117"/>
  <c r="O132" i="117"/>
  <c r="O135" i="117"/>
  <c r="O138" i="117"/>
  <c r="O141" i="117"/>
  <c r="O144" i="117"/>
  <c r="O147" i="117"/>
  <c r="O150" i="117"/>
  <c r="O153" i="117"/>
  <c r="O156" i="117"/>
  <c r="O159" i="117"/>
  <c r="O162" i="117"/>
  <c r="O165" i="117"/>
  <c r="O168" i="117"/>
  <c r="O171" i="117"/>
  <c r="O174" i="117"/>
  <c r="O177" i="117"/>
  <c r="O180" i="117"/>
  <c r="O183" i="117"/>
  <c r="O186" i="117"/>
  <c r="O189" i="117"/>
  <c r="O192" i="117"/>
  <c r="O195" i="117"/>
  <c r="O198" i="117"/>
  <c r="O201" i="117"/>
  <c r="O39" i="117"/>
  <c r="O5" i="117"/>
  <c r="O8" i="117"/>
  <c r="O11" i="117"/>
  <c r="O14" i="117"/>
  <c r="O17" i="117"/>
  <c r="O20" i="117"/>
  <c r="O23" i="117"/>
  <c r="O26" i="117"/>
  <c r="O29" i="117"/>
  <c r="O32" i="117"/>
  <c r="O35" i="117"/>
  <c r="O38" i="117"/>
  <c r="O41" i="117"/>
  <c r="O44" i="117"/>
  <c r="O47" i="117"/>
  <c r="O50" i="117"/>
  <c r="O53" i="117"/>
  <c r="O56" i="117"/>
  <c r="O59" i="117"/>
  <c r="O62" i="117"/>
  <c r="O65" i="117"/>
  <c r="O68" i="117"/>
  <c r="O71" i="117"/>
  <c r="O74" i="117"/>
  <c r="O77" i="117"/>
  <c r="O80" i="117"/>
  <c r="O83" i="117"/>
  <c r="O86" i="117"/>
  <c r="O89" i="117"/>
  <c r="O92" i="117"/>
  <c r="O95" i="117"/>
  <c r="O98" i="117"/>
  <c r="O101" i="117"/>
  <c r="O104" i="117"/>
  <c r="O107" i="117"/>
  <c r="O110" i="117"/>
  <c r="O113" i="117"/>
  <c r="O116" i="117"/>
  <c r="O119" i="117"/>
  <c r="O122" i="117"/>
  <c r="O125" i="117"/>
  <c r="O128" i="117"/>
  <c r="O131" i="117"/>
  <c r="O134" i="117"/>
  <c r="O137" i="117"/>
  <c r="O140" i="117"/>
  <c r="O143" i="117"/>
  <c r="O146" i="117"/>
  <c r="O149" i="117"/>
  <c r="O152" i="117"/>
  <c r="O155" i="117"/>
  <c r="O158" i="117"/>
  <c r="O161" i="117"/>
  <c r="O164" i="117"/>
  <c r="O167" i="117"/>
  <c r="O170" i="117"/>
  <c r="O173" i="117"/>
  <c r="O176" i="117"/>
  <c r="O179" i="117"/>
  <c r="O182" i="117"/>
  <c r="O185" i="117"/>
  <c r="O188" i="117"/>
  <c r="O191" i="117"/>
  <c r="O194" i="117"/>
  <c r="O197" i="117"/>
  <c r="O200" i="117"/>
  <c r="O203" i="117"/>
  <c r="AM12" i="115"/>
  <c r="AP12" i="115" s="1"/>
  <c r="AN12" i="115"/>
  <c r="AS12" i="115" s="1"/>
  <c r="AM15" i="115"/>
  <c r="AP15" i="115" s="1"/>
  <c r="AN15" i="115"/>
  <c r="AS15" i="115" s="1"/>
  <c r="AN14" i="115"/>
  <c r="AS14" i="115" s="1"/>
  <c r="AM14" i="115"/>
  <c r="AM13" i="115"/>
  <c r="AN13" i="115"/>
  <c r="AI17" i="115"/>
  <c r="AJ17" i="115" s="1"/>
  <c r="AI18" i="115"/>
  <c r="AJ18" i="115" s="1"/>
  <c r="AI19" i="115"/>
  <c r="AJ19" i="115" s="1"/>
  <c r="AM19" i="115" s="1"/>
  <c r="AM21" i="115"/>
  <c r="AP21" i="115" s="1"/>
  <c r="AN21" i="115"/>
  <c r="AL5" i="115"/>
  <c r="AN5" i="115" s="1"/>
  <c r="AS5" i="115" s="1"/>
  <c r="AK4" i="115"/>
  <c r="AM4" i="115" s="1"/>
  <c r="AP4" i="115" s="1"/>
  <c r="O122" i="120"/>
  <c r="O32" i="120"/>
  <c r="O158" i="120"/>
  <c r="O68" i="120"/>
  <c r="O194" i="120"/>
  <c r="O104" i="120"/>
  <c r="O14" i="120"/>
  <c r="O140" i="120"/>
  <c r="O50" i="120"/>
  <c r="O176" i="120"/>
  <c r="O86" i="120"/>
  <c r="O11" i="120"/>
  <c r="O29" i="120"/>
  <c r="O47" i="120"/>
  <c r="O65" i="120"/>
  <c r="O83" i="120"/>
  <c r="O101" i="120"/>
  <c r="O119" i="120"/>
  <c r="O137" i="120"/>
  <c r="O155" i="120"/>
  <c r="O173" i="120"/>
  <c r="O191" i="120"/>
  <c r="O8" i="120"/>
  <c r="O26" i="120"/>
  <c r="O44" i="120"/>
  <c r="O62" i="120"/>
  <c r="O80" i="120"/>
  <c r="O98" i="120"/>
  <c r="O116" i="120"/>
  <c r="O134" i="120"/>
  <c r="O152" i="120"/>
  <c r="O170" i="120"/>
  <c r="O188" i="120"/>
  <c r="O5" i="120"/>
  <c r="O23" i="120"/>
  <c r="O41" i="120"/>
  <c r="O59" i="120"/>
  <c r="O77" i="120"/>
  <c r="O95" i="120"/>
  <c r="O113" i="120"/>
  <c r="O131" i="120"/>
  <c r="O149" i="120"/>
  <c r="O167" i="120"/>
  <c r="O185" i="120"/>
  <c r="O203" i="120"/>
  <c r="O20" i="120"/>
  <c r="O38" i="120"/>
  <c r="O56" i="120"/>
  <c r="O74" i="120"/>
  <c r="O92" i="120"/>
  <c r="O110" i="120"/>
  <c r="O128" i="120"/>
  <c r="O146" i="120"/>
  <c r="O164" i="120"/>
  <c r="O182" i="120"/>
  <c r="O200" i="120"/>
  <c r="O17" i="120"/>
  <c r="O35" i="120"/>
  <c r="O53" i="120"/>
  <c r="O71" i="120"/>
  <c r="O89" i="120"/>
  <c r="O107" i="120"/>
  <c r="O125" i="120"/>
  <c r="O143" i="120"/>
  <c r="O161" i="120"/>
  <c r="O179" i="120"/>
  <c r="O197" i="120"/>
  <c r="O3" i="120"/>
  <c r="O6" i="120"/>
  <c r="O9" i="120"/>
  <c r="O12" i="120"/>
  <c r="O15" i="120"/>
  <c r="O18" i="120"/>
  <c r="O21" i="120"/>
  <c r="O24" i="120"/>
  <c r="O27" i="120"/>
  <c r="O30" i="120"/>
  <c r="O33" i="120"/>
  <c r="O36" i="120"/>
  <c r="O39" i="120"/>
  <c r="O42" i="120"/>
  <c r="O45" i="120"/>
  <c r="O48" i="120"/>
  <c r="O51" i="120"/>
  <c r="O54" i="120"/>
  <c r="O57" i="120"/>
  <c r="O60" i="120"/>
  <c r="O63" i="120"/>
  <c r="O66" i="120"/>
  <c r="O69" i="120"/>
  <c r="O72" i="120"/>
  <c r="O75" i="120"/>
  <c r="O78" i="120"/>
  <c r="O81" i="120"/>
  <c r="O84" i="120"/>
  <c r="O87" i="120"/>
  <c r="O90" i="120"/>
  <c r="O93" i="120"/>
  <c r="O96" i="120"/>
  <c r="O99" i="120"/>
  <c r="O102" i="120"/>
  <c r="O105" i="120"/>
  <c r="O108" i="120"/>
  <c r="O111" i="120"/>
  <c r="O114" i="120"/>
  <c r="O117" i="120"/>
  <c r="O120" i="120"/>
  <c r="O123" i="120"/>
  <c r="O126" i="120"/>
  <c r="O129" i="120"/>
  <c r="O132" i="120"/>
  <c r="O135" i="120"/>
  <c r="O138" i="120"/>
  <c r="O141" i="120"/>
  <c r="O144" i="120"/>
  <c r="O147" i="120"/>
  <c r="O150" i="120"/>
  <c r="O153" i="120"/>
  <c r="O156" i="120"/>
  <c r="O159" i="120"/>
  <c r="O162" i="120"/>
  <c r="O165" i="120"/>
  <c r="O168" i="120"/>
  <c r="O171" i="120"/>
  <c r="O174" i="120"/>
  <c r="O177" i="120"/>
  <c r="O180" i="120"/>
  <c r="O183" i="120"/>
  <c r="O186" i="120"/>
  <c r="O189" i="120"/>
  <c r="O192" i="120"/>
  <c r="O195" i="120"/>
  <c r="O198" i="120"/>
  <c r="O201" i="120"/>
  <c r="O4" i="120"/>
  <c r="O7" i="120"/>
  <c r="O10" i="120"/>
  <c r="O13" i="120"/>
  <c r="O16" i="120"/>
  <c r="O19" i="120"/>
  <c r="O22" i="120"/>
  <c r="O25" i="120"/>
  <c r="O28" i="120"/>
  <c r="O31" i="120"/>
  <c r="O34" i="120"/>
  <c r="O37" i="120"/>
  <c r="O40" i="120"/>
  <c r="O43" i="120"/>
  <c r="O46" i="120"/>
  <c r="O49" i="120"/>
  <c r="O52" i="120"/>
  <c r="O55" i="120"/>
  <c r="O58" i="120"/>
  <c r="O61" i="120"/>
  <c r="O64" i="120"/>
  <c r="O67" i="120"/>
  <c r="O70" i="120"/>
  <c r="O73" i="120"/>
  <c r="O76" i="120"/>
  <c r="O79" i="120"/>
  <c r="O82" i="120"/>
  <c r="O85" i="120"/>
  <c r="O88" i="120"/>
  <c r="O91" i="120"/>
  <c r="O94" i="120"/>
  <c r="O97" i="120"/>
  <c r="O100" i="120"/>
  <c r="O103" i="120"/>
  <c r="O106" i="120"/>
  <c r="O109" i="120"/>
  <c r="O112" i="120"/>
  <c r="O115" i="120"/>
  <c r="O118" i="120"/>
  <c r="O121" i="120"/>
  <c r="O124" i="120"/>
  <c r="O127" i="120"/>
  <c r="O130" i="120"/>
  <c r="O133" i="120"/>
  <c r="O136" i="120"/>
  <c r="O139" i="120"/>
  <c r="O142" i="120"/>
  <c r="O145" i="120"/>
  <c r="O148" i="120"/>
  <c r="O151" i="120"/>
  <c r="O154" i="120"/>
  <c r="O157" i="120"/>
  <c r="O160" i="120"/>
  <c r="O163" i="120"/>
  <c r="O166" i="120"/>
  <c r="O169" i="120"/>
  <c r="O172" i="120"/>
  <c r="O175" i="120"/>
  <c r="O178" i="120"/>
  <c r="O181" i="120"/>
  <c r="O184" i="120"/>
  <c r="O187" i="120"/>
  <c r="O190" i="120"/>
  <c r="O193" i="120"/>
  <c r="O196" i="120"/>
  <c r="O199" i="120"/>
  <c r="O202" i="120"/>
  <c r="W72" i="119"/>
  <c r="N72" i="119"/>
  <c r="O72" i="119" s="1"/>
  <c r="P72" i="119"/>
  <c r="Q72" i="119" s="1"/>
  <c r="A26" i="120"/>
  <c r="A7" i="120"/>
  <c r="Y48" i="119"/>
  <c r="Y24" i="119"/>
  <c r="Y55" i="119"/>
  <c r="W34" i="119"/>
  <c r="W28" i="119"/>
  <c r="T45" i="119"/>
  <c r="U45" i="119" s="1"/>
  <c r="T61" i="119"/>
  <c r="U61" i="119" s="1"/>
  <c r="T70" i="119"/>
  <c r="U70" i="119" s="1"/>
  <c r="T34" i="119"/>
  <c r="U34" i="119" s="1"/>
  <c r="T67" i="119"/>
  <c r="U67" i="119" s="1"/>
  <c r="T72" i="119"/>
  <c r="U72" i="119" s="1"/>
  <c r="T47" i="119"/>
  <c r="U47" i="119" s="1"/>
  <c r="T14" i="119"/>
  <c r="U14" i="119" s="1"/>
  <c r="T16" i="119"/>
  <c r="U16" i="119" s="1"/>
  <c r="T41" i="119"/>
  <c r="U41" i="119" s="1"/>
  <c r="T78" i="119"/>
  <c r="U78" i="119" s="1"/>
  <c r="T21" i="119"/>
  <c r="U21" i="119" s="1"/>
  <c r="T23" i="119"/>
  <c r="U23" i="119" s="1"/>
  <c r="T38" i="119"/>
  <c r="U38" i="119" s="1"/>
  <c r="T31" i="119"/>
  <c r="U31" i="119" s="1"/>
  <c r="T17" i="119"/>
  <c r="U17" i="119" s="1"/>
  <c r="T22" i="119"/>
  <c r="U22" i="119" s="1"/>
  <c r="T13" i="119"/>
  <c r="U13" i="119" s="1"/>
  <c r="T15" i="119"/>
  <c r="U15" i="119" s="1"/>
  <c r="T30" i="119"/>
  <c r="U30" i="119" s="1"/>
  <c r="T42" i="119"/>
  <c r="U42" i="119" s="1"/>
  <c r="T56" i="119"/>
  <c r="U56" i="119" s="1"/>
  <c r="T71" i="119"/>
  <c r="U71" i="119" s="1"/>
  <c r="S47" i="119"/>
  <c r="S16" i="119"/>
  <c r="S44" i="119"/>
  <c r="S63" i="119"/>
  <c r="M25" i="119"/>
  <c r="AP16" i="119"/>
  <c r="AR23" i="119"/>
  <c r="AS5" i="119"/>
  <c r="Y17" i="119"/>
  <c r="V12" i="119"/>
  <c r="W12" i="119" s="1"/>
  <c r="J12" i="119"/>
  <c r="P12" i="119"/>
  <c r="Q12" i="119" s="1"/>
  <c r="R12" i="119"/>
  <c r="S12" i="119" s="1"/>
  <c r="N12" i="119"/>
  <c r="O12" i="119" s="1"/>
  <c r="L12" i="119"/>
  <c r="M12" i="119" s="1"/>
  <c r="X12" i="119"/>
  <c r="Y12" i="119" s="1"/>
  <c r="T12" i="119"/>
  <c r="U12" i="119" s="1"/>
  <c r="AP8" i="119"/>
  <c r="T10" i="119"/>
  <c r="U10" i="119" s="1"/>
  <c r="N10" i="119"/>
  <c r="O10" i="119" s="1"/>
  <c r="P10" i="119"/>
  <c r="Q10" i="119" s="1"/>
  <c r="L10" i="119"/>
  <c r="M10" i="119" s="1"/>
  <c r="J10" i="119"/>
  <c r="X10" i="119"/>
  <c r="Y10" i="119" s="1"/>
  <c r="V10" i="119"/>
  <c r="W10" i="119" s="1"/>
  <c r="R10" i="119"/>
  <c r="S10" i="119" s="1"/>
  <c r="N11" i="119"/>
  <c r="O11" i="119" s="1"/>
  <c r="X11" i="119"/>
  <c r="Y11" i="119" s="1"/>
  <c r="L11" i="119"/>
  <c r="M11" i="119" s="1"/>
  <c r="R11" i="119"/>
  <c r="S11" i="119" s="1"/>
  <c r="P11" i="119"/>
  <c r="Q11" i="119" s="1"/>
  <c r="J11" i="119"/>
  <c r="T11" i="119"/>
  <c r="U11" i="119" s="1"/>
  <c r="K14" i="119"/>
  <c r="AP4" i="119"/>
  <c r="K16" i="119"/>
  <c r="Q21" i="119"/>
  <c r="R26" i="119"/>
  <c r="S26" i="119" s="1"/>
  <c r="J26" i="119"/>
  <c r="X26" i="119"/>
  <c r="Y26" i="119" s="1"/>
  <c r="P26" i="119"/>
  <c r="Q26" i="119" s="1"/>
  <c r="V37" i="119"/>
  <c r="W37" i="119" s="1"/>
  <c r="J37" i="119"/>
  <c r="X37" i="119"/>
  <c r="Y37" i="119" s="1"/>
  <c r="L37" i="119"/>
  <c r="M37" i="119" s="1"/>
  <c r="R37" i="119"/>
  <c r="S37" i="119" s="1"/>
  <c r="P37" i="119"/>
  <c r="Q37" i="119" s="1"/>
  <c r="N37" i="119"/>
  <c r="O37" i="119" s="1"/>
  <c r="K50" i="119"/>
  <c r="W63" i="119"/>
  <c r="AS12" i="119"/>
  <c r="Q13" i="119"/>
  <c r="J17" i="119"/>
  <c r="P17" i="119"/>
  <c r="Q17" i="119" s="1"/>
  <c r="V17" i="119"/>
  <c r="W17" i="119" s="1"/>
  <c r="P22" i="119"/>
  <c r="Q22" i="119" s="1"/>
  <c r="P23" i="119"/>
  <c r="Q23" i="119" s="1"/>
  <c r="O28" i="119"/>
  <c r="K30" i="119"/>
  <c r="R31" i="119"/>
  <c r="S31" i="119" s="1"/>
  <c r="J31" i="119"/>
  <c r="X31" i="119"/>
  <c r="Y31" i="119" s="1"/>
  <c r="P31" i="119"/>
  <c r="Q31" i="119" s="1"/>
  <c r="O34" i="119"/>
  <c r="N41" i="119"/>
  <c r="O41" i="119" s="1"/>
  <c r="V45" i="119"/>
  <c r="W45" i="119" s="1"/>
  <c r="J45" i="119"/>
  <c r="P45" i="119"/>
  <c r="Q45" i="119" s="1"/>
  <c r="X45" i="119"/>
  <c r="Y45" i="119" s="1"/>
  <c r="L45" i="119"/>
  <c r="M45" i="119" s="1"/>
  <c r="N45" i="119"/>
  <c r="O45" i="119" s="1"/>
  <c r="Y63" i="119"/>
  <c r="R27" i="119"/>
  <c r="S27" i="119" s="1"/>
  <c r="N27" i="119"/>
  <c r="O27" i="119" s="1"/>
  <c r="L27" i="119"/>
  <c r="M27" i="119" s="1"/>
  <c r="V27" i="119"/>
  <c r="W27" i="119" s="1"/>
  <c r="V36" i="119"/>
  <c r="W36" i="119" s="1"/>
  <c r="J36" i="119"/>
  <c r="X36" i="119"/>
  <c r="Y36" i="119" s="1"/>
  <c r="L36" i="119"/>
  <c r="M36" i="119" s="1"/>
  <c r="P36" i="119"/>
  <c r="Q36" i="119" s="1"/>
  <c r="N36" i="119"/>
  <c r="O36" i="119" s="1"/>
  <c r="R36" i="119"/>
  <c r="S36" i="119" s="1"/>
  <c r="K49" i="119"/>
  <c r="R74" i="119"/>
  <c r="S74" i="119" s="1"/>
  <c r="X74" i="119"/>
  <c r="Y74" i="119" s="1"/>
  <c r="L74" i="119"/>
  <c r="M74" i="119" s="1"/>
  <c r="V74" i="119"/>
  <c r="W74" i="119" s="1"/>
  <c r="P74" i="119"/>
  <c r="Q74" i="119" s="1"/>
  <c r="N74" i="119"/>
  <c r="O74" i="119" s="1"/>
  <c r="J74" i="119"/>
  <c r="R77" i="119"/>
  <c r="S77" i="119" s="1"/>
  <c r="X77" i="119"/>
  <c r="Y77" i="119" s="1"/>
  <c r="L77" i="119"/>
  <c r="M77" i="119" s="1"/>
  <c r="N77" i="119"/>
  <c r="O77" i="119" s="1"/>
  <c r="V77" i="119"/>
  <c r="W77" i="119" s="1"/>
  <c r="P77" i="119"/>
  <c r="Q77" i="119" s="1"/>
  <c r="J77" i="119"/>
  <c r="AO5" i="119"/>
  <c r="AP5" i="119" s="1"/>
  <c r="AN6" i="119"/>
  <c r="AN8" i="119"/>
  <c r="AS14" i="119"/>
  <c r="AR20" i="119"/>
  <c r="AS20" i="119" s="1"/>
  <c r="AO20" i="119"/>
  <c r="AP20" i="119" s="1"/>
  <c r="R22" i="119"/>
  <c r="S22" i="119" s="1"/>
  <c r="W24" i="119"/>
  <c r="K24" i="119"/>
  <c r="M24" i="119"/>
  <c r="S24" i="119"/>
  <c r="W66" i="119"/>
  <c r="K66" i="119"/>
  <c r="Q66" i="119"/>
  <c r="Y66" i="119"/>
  <c r="M66" i="119"/>
  <c r="S66" i="119"/>
  <c r="O66" i="119"/>
  <c r="N68" i="119"/>
  <c r="O68" i="119" s="1"/>
  <c r="X68" i="119"/>
  <c r="Y68" i="119" s="1"/>
  <c r="R68" i="119"/>
  <c r="S68" i="119" s="1"/>
  <c r="V68" i="119"/>
  <c r="W68" i="119" s="1"/>
  <c r="P68" i="119"/>
  <c r="Q68" i="119" s="1"/>
  <c r="K70" i="119"/>
  <c r="AP13" i="119"/>
  <c r="W15" i="119"/>
  <c r="Q16" i="119"/>
  <c r="R18" i="119"/>
  <c r="S18" i="119" s="1"/>
  <c r="P18" i="119"/>
  <c r="Q18" i="119" s="1"/>
  <c r="V18" i="119"/>
  <c r="W18" i="119" s="1"/>
  <c r="N21" i="119"/>
  <c r="O21" i="119" s="1"/>
  <c r="N38" i="119"/>
  <c r="O38" i="119" s="1"/>
  <c r="Q47" i="119"/>
  <c r="O62" i="119"/>
  <c r="M62" i="119"/>
  <c r="W62" i="119"/>
  <c r="X65" i="119"/>
  <c r="Y65" i="119" s="1"/>
  <c r="L65" i="119"/>
  <c r="M65" i="119" s="1"/>
  <c r="R65" i="119"/>
  <c r="S65" i="119" s="1"/>
  <c r="N65" i="119"/>
  <c r="O65" i="119" s="1"/>
  <c r="P65" i="119"/>
  <c r="Q65" i="119" s="1"/>
  <c r="J65" i="119"/>
  <c r="T65" i="119"/>
  <c r="U65" i="119" s="1"/>
  <c r="AS9" i="119"/>
  <c r="AO11" i="119"/>
  <c r="AR11" i="119"/>
  <c r="AS11" i="119" s="1"/>
  <c r="X23" i="119"/>
  <c r="Y23" i="119" s="1"/>
  <c r="L23" i="119"/>
  <c r="M23" i="119" s="1"/>
  <c r="V23" i="119"/>
  <c r="W23" i="119" s="1"/>
  <c r="J23" i="119"/>
  <c r="R23" i="119"/>
  <c r="S23" i="119" s="1"/>
  <c r="S45" i="119"/>
  <c r="V51" i="119"/>
  <c r="W51" i="119" s="1"/>
  <c r="R51" i="119"/>
  <c r="S51" i="119" s="1"/>
  <c r="L51" i="119"/>
  <c r="M51" i="119" s="1"/>
  <c r="J51" i="119"/>
  <c r="P61" i="119"/>
  <c r="Q61" i="119" s="1"/>
  <c r="V61" i="119"/>
  <c r="W61" i="119" s="1"/>
  <c r="J61" i="119"/>
  <c r="R61" i="119"/>
  <c r="S61" i="119" s="1"/>
  <c r="L61" i="119"/>
  <c r="M61" i="119" s="1"/>
  <c r="N61" i="119"/>
  <c r="O61" i="119" s="1"/>
  <c r="X61" i="119"/>
  <c r="Y61" i="119" s="1"/>
  <c r="Y64" i="119"/>
  <c r="AR7" i="119"/>
  <c r="AS7" i="119" s="1"/>
  <c r="AO7" i="119"/>
  <c r="AP7" i="119" s="1"/>
  <c r="Q14" i="119"/>
  <c r="J19" i="119"/>
  <c r="V19" i="119"/>
  <c r="W19" i="119" s="1"/>
  <c r="AP23" i="119"/>
  <c r="AP24" i="119"/>
  <c r="L26" i="119"/>
  <c r="M26" i="119" s="1"/>
  <c r="J27" i="119"/>
  <c r="K33" i="119"/>
  <c r="T77" i="119"/>
  <c r="U77" i="119" s="1"/>
  <c r="K15" i="119"/>
  <c r="M17" i="119"/>
  <c r="X22" i="119"/>
  <c r="Y22" i="119" s="1"/>
  <c r="L22" i="119"/>
  <c r="M22" i="119" s="1"/>
  <c r="V22" i="119"/>
  <c r="W22" i="119" s="1"/>
  <c r="J22" i="119"/>
  <c r="K22" i="119" s="1"/>
  <c r="N22" i="119"/>
  <c r="O22" i="119" s="1"/>
  <c r="V41" i="119"/>
  <c r="W41" i="119" s="1"/>
  <c r="J41" i="119"/>
  <c r="X41" i="119"/>
  <c r="Y41" i="119" s="1"/>
  <c r="L41" i="119"/>
  <c r="M41" i="119" s="1"/>
  <c r="R41" i="119"/>
  <c r="S41" i="119" s="1"/>
  <c r="P41" i="119"/>
  <c r="Q41" i="119" s="1"/>
  <c r="O44" i="119"/>
  <c r="K63" i="119"/>
  <c r="AM9" i="119"/>
  <c r="AM11" i="119"/>
  <c r="AS15" i="119"/>
  <c r="O17" i="119"/>
  <c r="AN17" i="119"/>
  <c r="AR22" i="119"/>
  <c r="AS22" i="119" s="1"/>
  <c r="AO22" i="119"/>
  <c r="AP22" i="119" s="1"/>
  <c r="X30" i="119"/>
  <c r="Y30" i="119" s="1"/>
  <c r="L30" i="119"/>
  <c r="M30" i="119" s="1"/>
  <c r="V30" i="119"/>
  <c r="W30" i="119" s="1"/>
  <c r="R30" i="119"/>
  <c r="S30" i="119" s="1"/>
  <c r="N30" i="119"/>
  <c r="O30" i="119" s="1"/>
  <c r="K34" i="119"/>
  <c r="V40" i="119"/>
  <c r="W40" i="119" s="1"/>
  <c r="J40" i="119"/>
  <c r="X40" i="119"/>
  <c r="Y40" i="119" s="1"/>
  <c r="L40" i="119"/>
  <c r="M40" i="119" s="1"/>
  <c r="R40" i="119"/>
  <c r="S40" i="119" s="1"/>
  <c r="P40" i="119"/>
  <c r="Q40" i="119" s="1"/>
  <c r="Q44" i="119"/>
  <c r="L50" i="119"/>
  <c r="M50" i="119" s="1"/>
  <c r="T50" i="119"/>
  <c r="U50" i="119" s="1"/>
  <c r="R50" i="119"/>
  <c r="S50" i="119" s="1"/>
  <c r="P50" i="119"/>
  <c r="Q50" i="119" s="1"/>
  <c r="K53" i="119"/>
  <c r="M55" i="119"/>
  <c r="M63" i="119"/>
  <c r="J68" i="119"/>
  <c r="AM10" i="119"/>
  <c r="K13" i="119"/>
  <c r="AP14" i="119"/>
  <c r="W16" i="119"/>
  <c r="O24" i="119"/>
  <c r="T26" i="119"/>
  <c r="U26" i="119" s="1"/>
  <c r="P27" i="119"/>
  <c r="Q27" i="119" s="1"/>
  <c r="T36" i="119"/>
  <c r="U36" i="119" s="1"/>
  <c r="O55" i="119"/>
  <c r="K64" i="119"/>
  <c r="L68" i="119"/>
  <c r="M68" i="119" s="1"/>
  <c r="R75" i="119"/>
  <c r="S75" i="119" s="1"/>
  <c r="X75" i="119"/>
  <c r="Y75" i="119" s="1"/>
  <c r="L75" i="119"/>
  <c r="M75" i="119" s="1"/>
  <c r="J75" i="119"/>
  <c r="T75" i="119"/>
  <c r="U75" i="119" s="1"/>
  <c r="P75" i="119"/>
  <c r="Q75" i="119" s="1"/>
  <c r="N75" i="119"/>
  <c r="O75" i="119" s="1"/>
  <c r="S17" i="119"/>
  <c r="AP17" i="119"/>
  <c r="X21" i="119"/>
  <c r="Y21" i="119" s="1"/>
  <c r="L21" i="119"/>
  <c r="M21" i="119" s="1"/>
  <c r="V21" i="119"/>
  <c r="W21" i="119" s="1"/>
  <c r="J21" i="119"/>
  <c r="R21" i="119"/>
  <c r="S21" i="119" s="1"/>
  <c r="V26" i="119"/>
  <c r="W26" i="119" s="1"/>
  <c r="T27" i="119"/>
  <c r="U27" i="119" s="1"/>
  <c r="S35" i="119"/>
  <c r="S42" i="119"/>
  <c r="P58" i="119"/>
  <c r="Q58" i="119" s="1"/>
  <c r="V58" i="119"/>
  <c r="W58" i="119" s="1"/>
  <c r="J58" i="119"/>
  <c r="R58" i="119"/>
  <c r="S58" i="119" s="1"/>
  <c r="L58" i="119"/>
  <c r="M58" i="119" s="1"/>
  <c r="R70" i="119"/>
  <c r="S70" i="119" s="1"/>
  <c r="X70" i="119"/>
  <c r="Y70" i="119" s="1"/>
  <c r="L70" i="119"/>
  <c r="M70" i="119" s="1"/>
  <c r="P70" i="119"/>
  <c r="Q70" i="119" s="1"/>
  <c r="N70" i="119"/>
  <c r="O70" i="119" s="1"/>
  <c r="V70" i="119"/>
  <c r="W70" i="119" s="1"/>
  <c r="AP12" i="119"/>
  <c r="W14" i="119"/>
  <c r="Q15" i="119"/>
  <c r="AS16" i="119"/>
  <c r="AN18" i="119"/>
  <c r="AS18" i="119" s="1"/>
  <c r="AM18" i="119"/>
  <c r="AR19" i="119"/>
  <c r="AS19" i="119" s="1"/>
  <c r="AR21" i="119"/>
  <c r="AS21" i="119" s="1"/>
  <c r="AO21" i="119"/>
  <c r="AP21" i="119" s="1"/>
  <c r="X27" i="119"/>
  <c r="Y27" i="119" s="1"/>
  <c r="V38" i="119"/>
  <c r="W38" i="119" s="1"/>
  <c r="J38" i="119"/>
  <c r="X38" i="119"/>
  <c r="Y38" i="119" s="1"/>
  <c r="L38" i="119"/>
  <c r="M38" i="119" s="1"/>
  <c r="R38" i="119"/>
  <c r="S38" i="119" s="1"/>
  <c r="Q48" i="119"/>
  <c r="S55" i="119"/>
  <c r="T69" i="119"/>
  <c r="U69" i="119" s="1"/>
  <c r="T48" i="119"/>
  <c r="U48" i="119" s="1"/>
  <c r="T68" i="119"/>
  <c r="U68" i="119" s="1"/>
  <c r="T63" i="119"/>
  <c r="U63" i="119" s="1"/>
  <c r="T54" i="119"/>
  <c r="U54" i="119" s="1"/>
  <c r="T53" i="119"/>
  <c r="U53" i="119" s="1"/>
  <c r="T76" i="119"/>
  <c r="U76" i="119" s="1"/>
  <c r="T60" i="119"/>
  <c r="U60" i="119" s="1"/>
  <c r="T57" i="119"/>
  <c r="U57" i="119" s="1"/>
  <c r="T43" i="119"/>
  <c r="U43" i="119" s="1"/>
  <c r="T40" i="119"/>
  <c r="U40" i="119" s="1"/>
  <c r="T37" i="119"/>
  <c r="U37" i="119" s="1"/>
  <c r="T46" i="119"/>
  <c r="U46" i="119" s="1"/>
  <c r="T25" i="119"/>
  <c r="U25" i="119" s="1"/>
  <c r="T18" i="119"/>
  <c r="U18" i="119" s="1"/>
  <c r="T64" i="119"/>
  <c r="U64" i="119" s="1"/>
  <c r="T49" i="119"/>
  <c r="U49" i="119" s="1"/>
  <c r="T24" i="119"/>
  <c r="U24" i="119" s="1"/>
  <c r="T19" i="119"/>
  <c r="U19" i="119" s="1"/>
  <c r="AS13" i="119"/>
  <c r="P24" i="119"/>
  <c r="Q24" i="119" s="1"/>
  <c r="AN24" i="119"/>
  <c r="AS24" i="119" s="1"/>
  <c r="Y25" i="119"/>
  <c r="J32" i="119"/>
  <c r="X34" i="119"/>
  <c r="Y34" i="119" s="1"/>
  <c r="T39" i="119"/>
  <c r="U39" i="119" s="1"/>
  <c r="V44" i="119"/>
  <c r="W44" i="119" s="1"/>
  <c r="J44" i="119"/>
  <c r="X44" i="119"/>
  <c r="Y44" i="119" s="1"/>
  <c r="L44" i="119"/>
  <c r="M44" i="119" s="1"/>
  <c r="T44" i="119"/>
  <c r="U44" i="119" s="1"/>
  <c r="V47" i="119"/>
  <c r="W47" i="119" s="1"/>
  <c r="R53" i="119"/>
  <c r="S53" i="119" s="1"/>
  <c r="X53" i="119"/>
  <c r="Y53" i="119" s="1"/>
  <c r="L53" i="119"/>
  <c r="M53" i="119" s="1"/>
  <c r="P53" i="119"/>
  <c r="Q53" i="119" s="1"/>
  <c r="N53" i="119"/>
  <c r="O53" i="119" s="1"/>
  <c r="T55" i="119"/>
  <c r="U55" i="119" s="1"/>
  <c r="K56" i="119"/>
  <c r="T62" i="119"/>
  <c r="U62" i="119" s="1"/>
  <c r="N69" i="119"/>
  <c r="O69" i="119" s="1"/>
  <c r="V69" i="119"/>
  <c r="W69" i="119" s="1"/>
  <c r="J69" i="119"/>
  <c r="R69" i="119"/>
  <c r="S69" i="119" s="1"/>
  <c r="P69" i="119"/>
  <c r="Q69" i="119" s="1"/>
  <c r="L69" i="119"/>
  <c r="M69" i="119" s="1"/>
  <c r="T73" i="119"/>
  <c r="U73" i="119" s="1"/>
  <c r="T74" i="119"/>
  <c r="U74" i="119" s="1"/>
  <c r="X20" i="119"/>
  <c r="Y20" i="119" s="1"/>
  <c r="L20" i="119"/>
  <c r="M20" i="119" s="1"/>
  <c r="V20" i="119"/>
  <c r="W20" i="119" s="1"/>
  <c r="J20" i="119"/>
  <c r="T20" i="119"/>
  <c r="U20" i="119" s="1"/>
  <c r="N32" i="119"/>
  <c r="O32" i="119" s="1"/>
  <c r="V39" i="119"/>
  <c r="W39" i="119" s="1"/>
  <c r="J39" i="119"/>
  <c r="X39" i="119"/>
  <c r="Y39" i="119" s="1"/>
  <c r="L39" i="119"/>
  <c r="M39" i="119" s="1"/>
  <c r="P39" i="119"/>
  <c r="Q39" i="119" s="1"/>
  <c r="N39" i="119"/>
  <c r="O39" i="119" s="1"/>
  <c r="O47" i="119"/>
  <c r="K47" i="119"/>
  <c r="M47" i="119"/>
  <c r="Y47" i="119"/>
  <c r="T51" i="119"/>
  <c r="U51" i="119" s="1"/>
  <c r="O56" i="119"/>
  <c r="T66" i="119"/>
  <c r="U66" i="119" s="1"/>
  <c r="Y69" i="119"/>
  <c r="X28" i="119"/>
  <c r="Y28" i="119" s="1"/>
  <c r="L28" i="119"/>
  <c r="M28" i="119" s="1"/>
  <c r="T28" i="119"/>
  <c r="U28" i="119" s="1"/>
  <c r="T29" i="119"/>
  <c r="U29" i="119" s="1"/>
  <c r="N33" i="119"/>
  <c r="O33" i="119" s="1"/>
  <c r="V42" i="119"/>
  <c r="W42" i="119" s="1"/>
  <c r="J42" i="119"/>
  <c r="X42" i="119"/>
  <c r="Y42" i="119" s="1"/>
  <c r="L42" i="119"/>
  <c r="M42" i="119" s="1"/>
  <c r="P42" i="119"/>
  <c r="Q42" i="119" s="1"/>
  <c r="N42" i="119"/>
  <c r="O42" i="119" s="1"/>
  <c r="Q56" i="119"/>
  <c r="T58" i="119"/>
  <c r="U58" i="119" s="1"/>
  <c r="T59" i="119"/>
  <c r="U59" i="119" s="1"/>
  <c r="P62" i="119"/>
  <c r="Q62" i="119" s="1"/>
  <c r="J62" i="119"/>
  <c r="X62" i="119"/>
  <c r="Y62" i="119" s="1"/>
  <c r="R71" i="119"/>
  <c r="S71" i="119" s="1"/>
  <c r="X71" i="119"/>
  <c r="Y71" i="119" s="1"/>
  <c r="L71" i="119"/>
  <c r="M71" i="119" s="1"/>
  <c r="V71" i="119"/>
  <c r="W71" i="119" s="1"/>
  <c r="P71" i="119"/>
  <c r="Q71" i="119" s="1"/>
  <c r="R72" i="119"/>
  <c r="S72" i="119" s="1"/>
  <c r="X72" i="119"/>
  <c r="Y72" i="119" s="1"/>
  <c r="L72" i="119"/>
  <c r="M72" i="119" s="1"/>
  <c r="J72" i="119"/>
  <c r="R78" i="119"/>
  <c r="S78" i="119" s="1"/>
  <c r="X78" i="119"/>
  <c r="Y78" i="119" s="1"/>
  <c r="L78" i="119"/>
  <c r="M78" i="119" s="1"/>
  <c r="J78" i="119"/>
  <c r="AN23" i="119"/>
  <c r="V25" i="119"/>
  <c r="W25" i="119" s="1"/>
  <c r="J25" i="119"/>
  <c r="X32" i="119"/>
  <c r="Y32" i="119" s="1"/>
  <c r="L32" i="119"/>
  <c r="M32" i="119" s="1"/>
  <c r="T32" i="119"/>
  <c r="U32" i="119" s="1"/>
  <c r="T33" i="119"/>
  <c r="U33" i="119" s="1"/>
  <c r="V43" i="119"/>
  <c r="W43" i="119" s="1"/>
  <c r="J43" i="119"/>
  <c r="X43" i="119"/>
  <c r="Y43" i="119" s="1"/>
  <c r="L43" i="119"/>
  <c r="M43" i="119" s="1"/>
  <c r="R43" i="119"/>
  <c r="S43" i="119" s="1"/>
  <c r="P59" i="119"/>
  <c r="Q59" i="119" s="1"/>
  <c r="V59" i="119"/>
  <c r="W59" i="119" s="1"/>
  <c r="J59" i="119"/>
  <c r="R59" i="119"/>
  <c r="S59" i="119" s="1"/>
  <c r="N59" i="119"/>
  <c r="O59" i="119" s="1"/>
  <c r="L59" i="119"/>
  <c r="M59" i="119" s="1"/>
  <c r="K73" i="119"/>
  <c r="R25" i="119"/>
  <c r="S25" i="119" s="1"/>
  <c r="K29" i="119"/>
  <c r="V33" i="119"/>
  <c r="W33" i="119" s="1"/>
  <c r="X49" i="119"/>
  <c r="Y49" i="119" s="1"/>
  <c r="V49" i="119"/>
  <c r="W49" i="119" s="1"/>
  <c r="R49" i="119"/>
  <c r="S49" i="119" s="1"/>
  <c r="L52" i="119"/>
  <c r="M52" i="119" s="1"/>
  <c r="J52" i="119"/>
  <c r="X52" i="119"/>
  <c r="Y52" i="119" s="1"/>
  <c r="W67" i="119"/>
  <c r="K71" i="119"/>
  <c r="K76" i="119"/>
  <c r="V32" i="119"/>
  <c r="W32" i="119" s="1"/>
  <c r="R34" i="119"/>
  <c r="S34" i="119" s="1"/>
  <c r="L34" i="119"/>
  <c r="M34" i="119" s="1"/>
  <c r="V35" i="119"/>
  <c r="W35" i="119" s="1"/>
  <c r="J35" i="119"/>
  <c r="X35" i="119"/>
  <c r="Y35" i="119" s="1"/>
  <c r="L35" i="119"/>
  <c r="M35" i="119" s="1"/>
  <c r="T35" i="119"/>
  <c r="U35" i="119" s="1"/>
  <c r="Q55" i="119"/>
  <c r="O67" i="119"/>
  <c r="W55" i="119"/>
  <c r="R73" i="119"/>
  <c r="S73" i="119" s="1"/>
  <c r="X73" i="119"/>
  <c r="Y73" i="119" s="1"/>
  <c r="L73" i="119"/>
  <c r="M73" i="119" s="1"/>
  <c r="R76" i="119"/>
  <c r="S76" i="119" s="1"/>
  <c r="X76" i="119"/>
  <c r="Y76" i="119" s="1"/>
  <c r="L76" i="119"/>
  <c r="M76" i="119" s="1"/>
  <c r="V46" i="119"/>
  <c r="W46" i="119" s="1"/>
  <c r="J46" i="119"/>
  <c r="P46" i="119"/>
  <c r="Q46" i="119" s="1"/>
  <c r="X46" i="119"/>
  <c r="Y46" i="119" s="1"/>
  <c r="L46" i="119"/>
  <c r="M46" i="119" s="1"/>
  <c r="M49" i="119"/>
  <c r="R54" i="119"/>
  <c r="S54" i="119" s="1"/>
  <c r="X54" i="119"/>
  <c r="Y54" i="119" s="1"/>
  <c r="L54" i="119"/>
  <c r="M54" i="119" s="1"/>
  <c r="O63" i="119"/>
  <c r="N48" i="119"/>
  <c r="O48" i="119" s="1"/>
  <c r="V48" i="119"/>
  <c r="W48" i="119" s="1"/>
  <c r="J48" i="119"/>
  <c r="K48" i="119" s="1"/>
  <c r="R48" i="119"/>
  <c r="S48" i="119" s="1"/>
  <c r="K55" i="119"/>
  <c r="P57" i="119"/>
  <c r="Q57" i="119" s="1"/>
  <c r="V57" i="119"/>
  <c r="W57" i="119" s="1"/>
  <c r="J57" i="119"/>
  <c r="R57" i="119"/>
  <c r="S57" i="119" s="1"/>
  <c r="P60" i="119"/>
  <c r="Q60" i="119" s="1"/>
  <c r="V60" i="119"/>
  <c r="W60" i="119" s="1"/>
  <c r="J60" i="119"/>
  <c r="R60" i="119"/>
  <c r="S60" i="119" s="1"/>
  <c r="P63" i="119"/>
  <c r="Q63" i="119" s="1"/>
  <c r="O64" i="119"/>
  <c r="L67" i="119"/>
  <c r="M67" i="119" s="1"/>
  <c r="X67" i="119"/>
  <c r="Y67" i="119" s="1"/>
  <c r="S64" i="119"/>
  <c r="P67" i="119"/>
  <c r="Q67" i="119" s="1"/>
  <c r="M64" i="119"/>
  <c r="J67" i="119"/>
  <c r="AP24" i="115"/>
  <c r="AP22" i="115"/>
  <c r="AS20" i="115"/>
  <c r="AM10" i="115"/>
  <c r="AS23" i="115"/>
  <c r="AS24" i="115"/>
  <c r="AO19" i="115"/>
  <c r="AO14" i="115"/>
  <c r="AS6" i="115"/>
  <c r="AP6" i="115"/>
  <c r="A26" i="117"/>
  <c r="A6" i="117"/>
  <c r="T16" i="115"/>
  <c r="T32" i="115"/>
  <c r="T52" i="115"/>
  <c r="T68" i="115"/>
  <c r="T17" i="115"/>
  <c r="T36" i="115"/>
  <c r="T53" i="115"/>
  <c r="T72" i="115"/>
  <c r="T18" i="115"/>
  <c r="T37" i="115"/>
  <c r="T54" i="115"/>
  <c r="T74" i="115"/>
  <c r="T19" i="115"/>
  <c r="T38" i="115"/>
  <c r="T55" i="115"/>
  <c r="T76" i="115"/>
  <c r="T20" i="115"/>
  <c r="T40" i="115"/>
  <c r="T56" i="115"/>
  <c r="T77" i="115"/>
  <c r="T24" i="115"/>
  <c r="T41" i="115"/>
  <c r="T60" i="115"/>
  <c r="T78" i="115"/>
  <c r="T25" i="115"/>
  <c r="T42" i="115"/>
  <c r="T61" i="115"/>
  <c r="T26" i="115"/>
  <c r="T43" i="115"/>
  <c r="T62" i="115"/>
  <c r="T28" i="115"/>
  <c r="T44" i="115"/>
  <c r="T64" i="115"/>
  <c r="T12" i="115"/>
  <c r="T29" i="115"/>
  <c r="T48" i="115"/>
  <c r="T65" i="115"/>
  <c r="T13" i="115"/>
  <c r="T30" i="115"/>
  <c r="T49" i="115"/>
  <c r="T66" i="115"/>
  <c r="T14" i="115"/>
  <c r="T31" i="115"/>
  <c r="T50" i="115"/>
  <c r="T67" i="115"/>
  <c r="T73" i="115"/>
  <c r="T15" i="115"/>
  <c r="T27" i="115"/>
  <c r="T39" i="115"/>
  <c r="T51" i="115"/>
  <c r="T63" i="115"/>
  <c r="T75" i="115"/>
  <c r="T33" i="115"/>
  <c r="T10" i="115"/>
  <c r="T22" i="115"/>
  <c r="T34" i="115"/>
  <c r="T46" i="115"/>
  <c r="T58" i="115"/>
  <c r="T70" i="115"/>
  <c r="T21" i="115"/>
  <c r="T45" i="115"/>
  <c r="T57" i="115"/>
  <c r="T69" i="115"/>
  <c r="T11" i="115"/>
  <c r="T23" i="115"/>
  <c r="T35" i="115"/>
  <c r="T47" i="115"/>
  <c r="T59" i="115"/>
  <c r="F77" i="115"/>
  <c r="F33" i="115"/>
  <c r="F45" i="115"/>
  <c r="F57" i="115"/>
  <c r="F69" i="115"/>
  <c r="F46" i="115"/>
  <c r="F70" i="115"/>
  <c r="AM8" i="115"/>
  <c r="AM9" i="115"/>
  <c r="AN11" i="115"/>
  <c r="AP10" i="115"/>
  <c r="AS4" i="115"/>
  <c r="AR8" i="115"/>
  <c r="AS8" i="115" s="1"/>
  <c r="AO9" i="115"/>
  <c r="AP11" i="115"/>
  <c r="AS13" i="115"/>
  <c r="AP13" i="115"/>
  <c r="AP5" i="115"/>
  <c r="AR10" i="115"/>
  <c r="AS10" i="115" s="1"/>
  <c r="AR16" i="115"/>
  <c r="AO16" i="115"/>
  <c r="AP16" i="115" s="1"/>
  <c r="H7" i="115"/>
  <c r="AR18" i="115"/>
  <c r="AM20" i="115"/>
  <c r="AO23" i="115"/>
  <c r="AP23" i="115" s="1"/>
  <c r="AS21" i="115"/>
  <c r="AN7" i="115"/>
  <c r="H25" i="123" l="1"/>
  <c r="G25" i="123"/>
  <c r="F25" i="123"/>
  <c r="E25" i="123"/>
  <c r="H4" i="123"/>
  <c r="G4" i="123"/>
  <c r="F4" i="123"/>
  <c r="E4" i="123"/>
  <c r="H24" i="123"/>
  <c r="E24" i="123"/>
  <c r="G24" i="123"/>
  <c r="F24" i="123"/>
  <c r="A27" i="123"/>
  <c r="B26" i="123"/>
  <c r="G23" i="123"/>
  <c r="F23" i="123"/>
  <c r="E23" i="123"/>
  <c r="H23" i="123"/>
  <c r="A6" i="123"/>
  <c r="AP19" i="115"/>
  <c r="AP14" i="115"/>
  <c r="AN19" i="115"/>
  <c r="AS16" i="115"/>
  <c r="G39" i="122"/>
  <c r="G38" i="122"/>
  <c r="U25" i="122"/>
  <c r="V25" i="122"/>
  <c r="W25" i="122" s="1"/>
  <c r="J25" i="122"/>
  <c r="X25" i="122"/>
  <c r="Y25" i="122" s="1"/>
  <c r="R25" i="122"/>
  <c r="S25" i="122" s="1"/>
  <c r="P25" i="122"/>
  <c r="Q25" i="122" s="1"/>
  <c r="N25" i="122"/>
  <c r="L25" i="122"/>
  <c r="S59" i="122"/>
  <c r="AR8" i="122"/>
  <c r="AO8" i="122"/>
  <c r="AO18" i="122"/>
  <c r="AR18" i="122"/>
  <c r="K76" i="122"/>
  <c r="Y78" i="122"/>
  <c r="R24" i="122"/>
  <c r="S24" i="122" s="1"/>
  <c r="V24" i="122"/>
  <c r="P24" i="122"/>
  <c r="N24" i="122"/>
  <c r="L24" i="122"/>
  <c r="M24" i="122" s="1"/>
  <c r="J24" i="122"/>
  <c r="X24" i="122"/>
  <c r="Y24" i="122" s="1"/>
  <c r="Q56" i="122"/>
  <c r="M33" i="122"/>
  <c r="O15" i="122"/>
  <c r="M30" i="122"/>
  <c r="T24" i="122"/>
  <c r="U57" i="122"/>
  <c r="U68" i="122"/>
  <c r="K77" i="122"/>
  <c r="W77" i="122"/>
  <c r="U33" i="122"/>
  <c r="O58" i="122"/>
  <c r="U34" i="122"/>
  <c r="Y15" i="122"/>
  <c r="AO6" i="122"/>
  <c r="AR6" i="122"/>
  <c r="S78" i="122"/>
  <c r="M41" i="122"/>
  <c r="Q28" i="122"/>
  <c r="M75" i="122"/>
  <c r="K34" i="122"/>
  <c r="S32" i="122"/>
  <c r="S52" i="122"/>
  <c r="AL5" i="122"/>
  <c r="AN5" i="122" s="1"/>
  <c r="AS5" i="122" s="1"/>
  <c r="AK5" i="122"/>
  <c r="AM5" i="122" s="1"/>
  <c r="AP5" i="122" s="1"/>
  <c r="O31" i="122"/>
  <c r="O20" i="122"/>
  <c r="K29" i="122"/>
  <c r="U52" i="122"/>
  <c r="K46" i="122"/>
  <c r="O34" i="122"/>
  <c r="P22" i="122"/>
  <c r="Q22" i="122" s="1"/>
  <c r="N22" i="122"/>
  <c r="O22" i="122" s="1"/>
  <c r="V22" i="122"/>
  <c r="W22" i="122" s="1"/>
  <c r="AH12" i="122"/>
  <c r="R22" i="122"/>
  <c r="L22" i="122"/>
  <c r="M22" i="122" s="1"/>
  <c r="J22" i="122"/>
  <c r="X22" i="122"/>
  <c r="G22" i="122"/>
  <c r="AI12" i="122" s="1"/>
  <c r="AJ12" i="122" s="1"/>
  <c r="AN7" i="122"/>
  <c r="AM7" i="122"/>
  <c r="O41" i="122"/>
  <c r="S28" i="122"/>
  <c r="AO10" i="122"/>
  <c r="AP10" i="122" s="1"/>
  <c r="AR10" i="122"/>
  <c r="G52" i="122"/>
  <c r="AI18" i="122" s="1"/>
  <c r="AJ18" i="122" s="1"/>
  <c r="G53" i="122"/>
  <c r="M53" i="122" s="1"/>
  <c r="G54" i="122"/>
  <c r="G51" i="122"/>
  <c r="K56" i="122"/>
  <c r="U31" i="122"/>
  <c r="W68" i="122"/>
  <c r="U59" i="122"/>
  <c r="U77" i="122"/>
  <c r="U74" i="122"/>
  <c r="K72" i="122"/>
  <c r="R74" i="122"/>
  <c r="S74" i="122" s="1"/>
  <c r="P74" i="122"/>
  <c r="Q74" i="122" s="1"/>
  <c r="N74" i="122"/>
  <c r="O74" i="122" s="1"/>
  <c r="X74" i="122"/>
  <c r="Y74" i="122" s="1"/>
  <c r="L74" i="122"/>
  <c r="M74" i="122" s="1"/>
  <c r="V74" i="122"/>
  <c r="W74" i="122" s="1"/>
  <c r="J74" i="122"/>
  <c r="Q46" i="122"/>
  <c r="U40" i="122"/>
  <c r="K28" i="122"/>
  <c r="G25" i="122"/>
  <c r="O75" i="122"/>
  <c r="W34" i="122"/>
  <c r="W32" i="122"/>
  <c r="Y52" i="122"/>
  <c r="S31" i="122"/>
  <c r="Y40" i="122"/>
  <c r="M29" i="122"/>
  <c r="S38" i="122"/>
  <c r="K66" i="122"/>
  <c r="AN10" i="122"/>
  <c r="AM10" i="122"/>
  <c r="S58" i="122"/>
  <c r="U58" i="122"/>
  <c r="S44" i="122"/>
  <c r="V26" i="122"/>
  <c r="W26" i="122" s="1"/>
  <c r="J26" i="122"/>
  <c r="N26" i="122"/>
  <c r="O26" i="122" s="1"/>
  <c r="L26" i="122"/>
  <c r="M26" i="122" s="1"/>
  <c r="X26" i="122"/>
  <c r="Y26" i="122" s="1"/>
  <c r="R26" i="122"/>
  <c r="S26" i="122" s="1"/>
  <c r="P26" i="122"/>
  <c r="Q26" i="122" s="1"/>
  <c r="G21" i="122"/>
  <c r="AI11" i="122" s="1"/>
  <c r="AJ11" i="122" s="1"/>
  <c r="K32" i="122"/>
  <c r="M52" i="122"/>
  <c r="M77" i="122"/>
  <c r="Y51" i="122"/>
  <c r="Y45" i="122"/>
  <c r="Q15" i="122"/>
  <c r="V27" i="122"/>
  <c r="W27" i="122" s="1"/>
  <c r="J27" i="122"/>
  <c r="L27" i="122"/>
  <c r="M27" i="122" s="1"/>
  <c r="X27" i="122"/>
  <c r="Y27" i="122" s="1"/>
  <c r="R27" i="122"/>
  <c r="S27" i="122" s="1"/>
  <c r="P27" i="122"/>
  <c r="Q27" i="122" s="1"/>
  <c r="N27" i="122"/>
  <c r="O27" i="122" s="1"/>
  <c r="AR14" i="122"/>
  <c r="AO14" i="122"/>
  <c r="T27" i="122"/>
  <c r="U27" i="122" s="1"/>
  <c r="U54" i="122"/>
  <c r="U78" i="122"/>
  <c r="K15" i="122"/>
  <c r="AR23" i="122"/>
  <c r="AO23" i="122"/>
  <c r="W72" i="122"/>
  <c r="S46" i="122"/>
  <c r="O61" i="122"/>
  <c r="AO4" i="122"/>
  <c r="AR4" i="122"/>
  <c r="AS4" i="122" s="1"/>
  <c r="W28" i="122"/>
  <c r="Q75" i="122"/>
  <c r="Q34" i="122"/>
  <c r="M32" i="122"/>
  <c r="O52" i="122"/>
  <c r="K31" i="122"/>
  <c r="M10" i="122"/>
  <c r="Y29" i="122"/>
  <c r="O38" i="122"/>
  <c r="S56" i="122"/>
  <c r="Q31" i="122"/>
  <c r="W29" i="122"/>
  <c r="M66" i="122"/>
  <c r="Y66" i="122"/>
  <c r="Y68" i="122"/>
  <c r="K55" i="122"/>
  <c r="O46" i="122"/>
  <c r="G24" i="122"/>
  <c r="T22" i="122"/>
  <c r="U22" i="122" s="1"/>
  <c r="U51" i="122"/>
  <c r="U56" i="122"/>
  <c r="U61" i="122"/>
  <c r="S61" i="122"/>
  <c r="G47" i="122"/>
  <c r="AI13" i="122" s="1"/>
  <c r="AJ13" i="122" s="1"/>
  <c r="G48" i="122"/>
  <c r="Q48" i="122" s="1"/>
  <c r="G49" i="122"/>
  <c r="W49" i="122" s="1"/>
  <c r="M72" i="122"/>
  <c r="W46" i="122"/>
  <c r="Q61" i="122"/>
  <c r="Q30" i="122"/>
  <c r="AL4" i="122"/>
  <c r="AN4" i="122" s="1"/>
  <c r="AK4" i="122"/>
  <c r="AM4" i="122" s="1"/>
  <c r="M28" i="122"/>
  <c r="S75" i="122"/>
  <c r="S34" i="122"/>
  <c r="Y32" i="122"/>
  <c r="U12" i="122"/>
  <c r="W31" i="122"/>
  <c r="O10" i="122"/>
  <c r="S33" i="122"/>
  <c r="Q38" i="122"/>
  <c r="K73" i="122"/>
  <c r="AL6" i="122"/>
  <c r="AN6" i="122" s="1"/>
  <c r="AK6" i="122"/>
  <c r="AM6" i="122" s="1"/>
  <c r="O40" i="122"/>
  <c r="Q54" i="122"/>
  <c r="R47" i="122"/>
  <c r="J47" i="122"/>
  <c r="X47" i="122"/>
  <c r="P47" i="122"/>
  <c r="AH13" i="122"/>
  <c r="N47" i="122"/>
  <c r="L47" i="122"/>
  <c r="V47" i="122"/>
  <c r="T47" i="122"/>
  <c r="U47" i="122" s="1"/>
  <c r="Y72" i="122"/>
  <c r="K50" i="122"/>
  <c r="W61" i="122"/>
  <c r="AI21" i="122"/>
  <c r="AJ21" i="122" s="1"/>
  <c r="S17" i="122"/>
  <c r="K11" i="122"/>
  <c r="Y61" i="122"/>
  <c r="M34" i="122"/>
  <c r="K12" i="122"/>
  <c r="K38" i="122"/>
  <c r="K39" i="122"/>
  <c r="N21" i="122"/>
  <c r="O21" i="122" s="1"/>
  <c r="X21" i="122"/>
  <c r="Y21" i="122" s="1"/>
  <c r="L21" i="122"/>
  <c r="M21" i="122" s="1"/>
  <c r="V21" i="122"/>
  <c r="W21" i="122" s="1"/>
  <c r="R21" i="122"/>
  <c r="S21" i="122" s="1"/>
  <c r="P21" i="122"/>
  <c r="Q21" i="122" s="1"/>
  <c r="AH11" i="122"/>
  <c r="J21" i="122"/>
  <c r="O72" i="122"/>
  <c r="AR22" i="122"/>
  <c r="AS22" i="122" s="1"/>
  <c r="AO22" i="122"/>
  <c r="AP22" i="122" s="1"/>
  <c r="Q59" i="122"/>
  <c r="K23" i="122"/>
  <c r="Y34" i="122"/>
  <c r="W12" i="122"/>
  <c r="W38" i="122"/>
  <c r="W39" i="122"/>
  <c r="K41" i="122"/>
  <c r="M40" i="122"/>
  <c r="K40" i="122"/>
  <c r="U42" i="122"/>
  <c r="M54" i="122"/>
  <c r="U20" i="122"/>
  <c r="W57" i="122"/>
  <c r="AM23" i="122"/>
  <c r="AL23" i="122"/>
  <c r="AN23" i="122" s="1"/>
  <c r="AK23" i="122"/>
  <c r="Q72" i="122"/>
  <c r="K71" i="122"/>
  <c r="K36" i="122"/>
  <c r="M42" i="122"/>
  <c r="M58" i="122"/>
  <c r="O17" i="122"/>
  <c r="G45" i="122"/>
  <c r="G44" i="122"/>
  <c r="Q44" i="122" s="1"/>
  <c r="G43" i="122"/>
  <c r="G42" i="122"/>
  <c r="O42" i="122" s="1"/>
  <c r="M38" i="122"/>
  <c r="W20" i="122"/>
  <c r="U43" i="122"/>
  <c r="Y54" i="122"/>
  <c r="Q57" i="122"/>
  <c r="K17" i="122"/>
  <c r="AL8" i="122"/>
  <c r="AN8" i="122" s="1"/>
  <c r="AK8" i="122"/>
  <c r="AM8" i="122" s="1"/>
  <c r="K52" i="122"/>
  <c r="M12" i="122"/>
  <c r="Y38" i="122"/>
  <c r="K20" i="122"/>
  <c r="S55" i="122"/>
  <c r="W40" i="122"/>
  <c r="U39" i="122"/>
  <c r="U17" i="122"/>
  <c r="W51" i="122"/>
  <c r="AN9" i="122"/>
  <c r="AS9" i="122" s="1"/>
  <c r="AM9" i="122"/>
  <c r="AP9" i="122" s="1"/>
  <c r="M20" i="122"/>
  <c r="U44" i="122"/>
  <c r="Q41" i="122"/>
  <c r="K42" i="122"/>
  <c r="W17" i="122"/>
  <c r="O32" i="122"/>
  <c r="W52" i="122"/>
  <c r="AR24" i="122"/>
  <c r="AO24" i="122"/>
  <c r="Q33" i="122"/>
  <c r="O12" i="122"/>
  <c r="O29" i="122"/>
  <c r="AO15" i="122"/>
  <c r="AR15" i="122"/>
  <c r="W41" i="122"/>
  <c r="S42" i="122"/>
  <c r="S72" i="122"/>
  <c r="Q20" i="122"/>
  <c r="M59" i="122"/>
  <c r="X35" i="122"/>
  <c r="L35" i="122"/>
  <c r="G35" i="122"/>
  <c r="U35" i="122" s="1"/>
  <c r="V35" i="122"/>
  <c r="W35" i="122" s="1"/>
  <c r="R35" i="122"/>
  <c r="S35" i="122" s="1"/>
  <c r="P35" i="122"/>
  <c r="Q35" i="122" s="1"/>
  <c r="N35" i="122"/>
  <c r="O35" i="122" s="1"/>
  <c r="J35" i="122"/>
  <c r="U38" i="122"/>
  <c r="G59" i="122"/>
  <c r="G58" i="122"/>
  <c r="W58" i="122" s="1"/>
  <c r="G57" i="122"/>
  <c r="S57" i="122" s="1"/>
  <c r="G56" i="122"/>
  <c r="U41" i="122"/>
  <c r="U55" i="122"/>
  <c r="O59" i="122"/>
  <c r="O33" i="122"/>
  <c r="U28" i="122"/>
  <c r="K33" i="122"/>
  <c r="Y20" i="122"/>
  <c r="K30" i="122"/>
  <c r="AR16" i="122"/>
  <c r="AS16" i="122" s="1"/>
  <c r="AO16" i="122"/>
  <c r="AP16" i="122" s="1"/>
  <c r="U45" i="122"/>
  <c r="K61" i="122"/>
  <c r="K16" i="122"/>
  <c r="W42" i="122"/>
  <c r="K49" i="122"/>
  <c r="W15" i="122"/>
  <c r="M17" i="122"/>
  <c r="O55" i="122"/>
  <c r="AR7" i="122"/>
  <c r="AO7" i="122"/>
  <c r="K75" i="122"/>
  <c r="Q32" i="122"/>
  <c r="Q52" i="122"/>
  <c r="AL24" i="122"/>
  <c r="AN24" i="122" s="1"/>
  <c r="AK24" i="122"/>
  <c r="AM24" i="122" s="1"/>
  <c r="S20" i="122"/>
  <c r="Q12" i="122"/>
  <c r="K10" i="122"/>
  <c r="Q29" i="122"/>
  <c r="AM18" i="115"/>
  <c r="AP18" i="115" s="1"/>
  <c r="AN18" i="115"/>
  <c r="AS18" i="115" s="1"/>
  <c r="AN17" i="115"/>
  <c r="AS17" i="115" s="1"/>
  <c r="AM17" i="115"/>
  <c r="AP17" i="115" s="1"/>
  <c r="A8" i="120"/>
  <c r="A27" i="120"/>
  <c r="K17" i="119"/>
  <c r="K51" i="119"/>
  <c r="AP11" i="119"/>
  <c r="AS6" i="119"/>
  <c r="M9" i="119"/>
  <c r="AP18" i="119"/>
  <c r="K67" i="119"/>
  <c r="K69" i="119"/>
  <c r="K20" i="119"/>
  <c r="K75" i="119"/>
  <c r="K41" i="119"/>
  <c r="K37" i="119"/>
  <c r="Q9" i="119"/>
  <c r="K19" i="119"/>
  <c r="K42" i="119"/>
  <c r="K27" i="119"/>
  <c r="K26" i="119"/>
  <c r="AS23" i="119"/>
  <c r="K60" i="119"/>
  <c r="K46" i="119"/>
  <c r="K58" i="119"/>
  <c r="K31" i="119"/>
  <c r="K57" i="119"/>
  <c r="K78" i="119"/>
  <c r="K43" i="119"/>
  <c r="K39" i="119"/>
  <c r="K61" i="119"/>
  <c r="S9" i="119"/>
  <c r="K59" i="119"/>
  <c r="K44" i="119"/>
  <c r="K77" i="119"/>
  <c r="O9" i="119"/>
  <c r="K65" i="119"/>
  <c r="U9" i="119"/>
  <c r="K32" i="119"/>
  <c r="K23" i="119"/>
  <c r="K35" i="119"/>
  <c r="K38" i="119"/>
  <c r="AP9" i="119"/>
  <c r="K68" i="119"/>
  <c r="K74" i="119"/>
  <c r="W9" i="119"/>
  <c r="K12" i="119"/>
  <c r="K11" i="119"/>
  <c r="Y9" i="119"/>
  <c r="K25" i="119"/>
  <c r="K21" i="119"/>
  <c r="K52" i="119"/>
  <c r="K72" i="119"/>
  <c r="K40" i="119"/>
  <c r="AS17" i="119"/>
  <c r="K62" i="119"/>
  <c r="AS8" i="119"/>
  <c r="K36" i="119"/>
  <c r="K45" i="119"/>
  <c r="K10" i="119"/>
  <c r="AP10" i="119"/>
  <c r="AP9" i="115"/>
  <c r="A27" i="117"/>
  <c r="A7" i="117"/>
  <c r="AP8" i="115"/>
  <c r="AP20" i="115"/>
  <c r="AS19" i="115"/>
  <c r="AS7" i="115"/>
  <c r="AS11" i="115"/>
  <c r="G26" i="123" l="1"/>
  <c r="F26" i="123"/>
  <c r="E26" i="123"/>
  <c r="H26" i="123"/>
  <c r="A7" i="123"/>
  <c r="B5" i="123"/>
  <c r="B27" i="123"/>
  <c r="A28" i="123"/>
  <c r="AP23" i="122"/>
  <c r="M35" i="122"/>
  <c r="AR13" i="122"/>
  <c r="AO13" i="122"/>
  <c r="K27" i="122"/>
  <c r="AN11" i="122"/>
  <c r="AM11" i="122"/>
  <c r="AM12" i="122"/>
  <c r="AN12" i="122"/>
  <c r="O24" i="122"/>
  <c r="AS8" i="122"/>
  <c r="U21" i="122"/>
  <c r="U9" i="122" s="1"/>
  <c r="W47" i="122"/>
  <c r="AP7" i="122"/>
  <c r="O56" i="122"/>
  <c r="Y56" i="122"/>
  <c r="Y35" i="122"/>
  <c r="AP24" i="122"/>
  <c r="Q47" i="122"/>
  <c r="Y42" i="122"/>
  <c r="AI17" i="122"/>
  <c r="AJ17" i="122" s="1"/>
  <c r="Q51" i="122"/>
  <c r="K51" i="122"/>
  <c r="O51" i="122"/>
  <c r="S51" i="122"/>
  <c r="M51" i="122"/>
  <c r="Y22" i="122"/>
  <c r="Q24" i="122"/>
  <c r="O44" i="122"/>
  <c r="M49" i="122"/>
  <c r="K25" i="122"/>
  <c r="K48" i="122"/>
  <c r="AS23" i="122"/>
  <c r="AP18" i="122"/>
  <c r="AP8" i="122"/>
  <c r="AS7" i="122"/>
  <c r="O57" i="122"/>
  <c r="Y57" i="122"/>
  <c r="AS24" i="122"/>
  <c r="AN21" i="122"/>
  <c r="AS21" i="122" s="1"/>
  <c r="AM21" i="122"/>
  <c r="AP21" i="122" s="1"/>
  <c r="Y47" i="122"/>
  <c r="W56" i="122"/>
  <c r="M56" i="122"/>
  <c r="AI20" i="122"/>
  <c r="AJ20" i="122" s="1"/>
  <c r="W54" i="122"/>
  <c r="K54" i="122"/>
  <c r="O54" i="122"/>
  <c r="K22" i="122"/>
  <c r="W24" i="122"/>
  <c r="Q42" i="122"/>
  <c r="AR11" i="122"/>
  <c r="AS11" i="122" s="1"/>
  <c r="AO11" i="122"/>
  <c r="AP11" i="122" s="1"/>
  <c r="M47" i="122"/>
  <c r="K24" i="122"/>
  <c r="K44" i="122"/>
  <c r="S47" i="122"/>
  <c r="M57" i="122"/>
  <c r="Y53" i="122"/>
  <c r="AP4" i="122"/>
  <c r="K57" i="122"/>
  <c r="AM18" i="122"/>
  <c r="AN18" i="122"/>
  <c r="AS18" i="122" s="1"/>
  <c r="S22" i="122"/>
  <c r="S9" i="122" s="1"/>
  <c r="U24" i="122"/>
  <c r="M25" i="122"/>
  <c r="K35" i="122"/>
  <c r="O47" i="122"/>
  <c r="Y58" i="122"/>
  <c r="K58" i="122"/>
  <c r="Q43" i="122"/>
  <c r="M43" i="122"/>
  <c r="S43" i="122"/>
  <c r="Y43" i="122"/>
  <c r="O43" i="122"/>
  <c r="K43" i="122"/>
  <c r="K47" i="122"/>
  <c r="O53" i="122"/>
  <c r="AI19" i="122"/>
  <c r="AJ19" i="122" s="1"/>
  <c r="K53" i="122"/>
  <c r="Q53" i="122"/>
  <c r="U53" i="122"/>
  <c r="W53" i="122"/>
  <c r="S53" i="122"/>
  <c r="Y59" i="122"/>
  <c r="K59" i="122"/>
  <c r="W44" i="122"/>
  <c r="Y44" i="122"/>
  <c r="M44" i="122"/>
  <c r="Q58" i="122"/>
  <c r="Q45" i="122"/>
  <c r="M45" i="122"/>
  <c r="W45" i="122"/>
  <c r="K45" i="122"/>
  <c r="S45" i="122"/>
  <c r="O45" i="122"/>
  <c r="S54" i="122"/>
  <c r="W59" i="122"/>
  <c r="W9" i="122" s="1"/>
  <c r="W43" i="122"/>
  <c r="AS10" i="122"/>
  <c r="AR12" i="122"/>
  <c r="AO12" i="122"/>
  <c r="O25" i="122"/>
  <c r="M39" i="122"/>
  <c r="Q39" i="122"/>
  <c r="S39" i="122"/>
  <c r="Y39" i="122"/>
  <c r="O39" i="122"/>
  <c r="K21" i="122"/>
  <c r="AI15" i="122"/>
  <c r="AJ15" i="122" s="1"/>
  <c r="O49" i="122"/>
  <c r="S49" i="122"/>
  <c r="U49" i="122"/>
  <c r="Y49" i="122"/>
  <c r="AS6" i="122"/>
  <c r="Q49" i="122"/>
  <c r="AI14" i="122"/>
  <c r="AJ14" i="122" s="1"/>
  <c r="S48" i="122"/>
  <c r="U48" i="122"/>
  <c r="O48" i="122"/>
  <c r="M48" i="122"/>
  <c r="Y48" i="122"/>
  <c r="K26" i="122"/>
  <c r="AP6" i="122"/>
  <c r="W48" i="122"/>
  <c r="AN13" i="122"/>
  <c r="AM13" i="122"/>
  <c r="K74" i="122"/>
  <c r="A28" i="120"/>
  <c r="A9" i="120"/>
  <c r="AP1" i="119"/>
  <c r="S7" i="119"/>
  <c r="S8" i="119" s="1"/>
  <c r="O7" i="119"/>
  <c r="O8" i="119" s="1"/>
  <c r="Q7" i="119"/>
  <c r="Q8" i="119" s="1"/>
  <c r="Y7" i="119"/>
  <c r="Y8" i="119" s="1"/>
  <c r="U7" i="119"/>
  <c r="U8" i="119" s="1"/>
  <c r="M7" i="119"/>
  <c r="M8" i="119" s="1"/>
  <c r="AS1" i="119"/>
  <c r="W7" i="119"/>
  <c r="W8" i="119" s="1"/>
  <c r="K9" i="119"/>
  <c r="AP1" i="115"/>
  <c r="AS1" i="115"/>
  <c r="A8" i="117"/>
  <c r="A28" i="117"/>
  <c r="B6" i="123" l="1"/>
  <c r="A29" i="123"/>
  <c r="H27" i="123"/>
  <c r="E27" i="123"/>
  <c r="G27" i="123"/>
  <c r="F27" i="123"/>
  <c r="A8" i="123"/>
  <c r="F5" i="123"/>
  <c r="E5" i="123"/>
  <c r="H5" i="123"/>
  <c r="G5" i="123"/>
  <c r="K9" i="122"/>
  <c r="K7" i="122" s="1"/>
  <c r="K8" i="122" s="1"/>
  <c r="M9" i="122"/>
  <c r="O9" i="122"/>
  <c r="U7" i="122"/>
  <c r="U8" i="122"/>
  <c r="O7" i="122"/>
  <c r="O8" i="122" s="1"/>
  <c r="S7" i="122"/>
  <c r="S8" i="122" s="1"/>
  <c r="W7" i="122"/>
  <c r="W8" i="122" s="1"/>
  <c r="M7" i="122"/>
  <c r="M8" i="122" s="1"/>
  <c r="AN17" i="122"/>
  <c r="AS17" i="122" s="1"/>
  <c r="AM17" i="122"/>
  <c r="AP17" i="122" s="1"/>
  <c r="AN19" i="122"/>
  <c r="AS19" i="122" s="1"/>
  <c r="AM19" i="122"/>
  <c r="AP19" i="122" s="1"/>
  <c r="AN20" i="122"/>
  <c r="AS20" i="122" s="1"/>
  <c r="AM20" i="122"/>
  <c r="AP20" i="122" s="1"/>
  <c r="Q9" i="122"/>
  <c r="Y9" i="122"/>
  <c r="AN14" i="122"/>
  <c r="AS14" i="122" s="1"/>
  <c r="AS1" i="122" s="1"/>
  <c r="AM14" i="122"/>
  <c r="AP14" i="122" s="1"/>
  <c r="AP12" i="122"/>
  <c r="AP1" i="122" s="1"/>
  <c r="AN15" i="122"/>
  <c r="AS15" i="122" s="1"/>
  <c r="AM15" i="122"/>
  <c r="AP15" i="122" s="1"/>
  <c r="AP13" i="122"/>
  <c r="AS12" i="122"/>
  <c r="AS13" i="122"/>
  <c r="A29" i="120"/>
  <c r="A10" i="120"/>
  <c r="K7" i="119"/>
  <c r="K8" i="119" s="1"/>
  <c r="A29" i="117"/>
  <c r="A9" i="117"/>
  <c r="B7" i="123" l="1"/>
  <c r="A30" i="123"/>
  <c r="B29" i="123"/>
  <c r="A9" i="123"/>
  <c r="B8" i="123"/>
  <c r="B28" i="123"/>
  <c r="H6" i="123"/>
  <c r="G6" i="123"/>
  <c r="F6" i="123"/>
  <c r="E6" i="123"/>
  <c r="Q7" i="122"/>
  <c r="Q8" i="122" s="1"/>
  <c r="Y7" i="122"/>
  <c r="Y8" i="122" s="1"/>
  <c r="A11" i="120"/>
  <c r="A30" i="120"/>
  <c r="H8" i="119"/>
  <c r="A30" i="117"/>
  <c r="A10" i="117"/>
  <c r="A10" i="123" l="1"/>
  <c r="H28" i="123"/>
  <c r="G28" i="123"/>
  <c r="F28" i="123"/>
  <c r="E28" i="123"/>
  <c r="H7" i="123"/>
  <c r="G7" i="123"/>
  <c r="F7" i="123"/>
  <c r="E7" i="123"/>
  <c r="F8" i="123"/>
  <c r="E8" i="123"/>
  <c r="H8" i="123"/>
  <c r="G8" i="123"/>
  <c r="G29" i="123"/>
  <c r="F29" i="123"/>
  <c r="E29" i="123"/>
  <c r="H29" i="123"/>
  <c r="B30" i="123"/>
  <c r="A31" i="123"/>
  <c r="H8" i="122"/>
  <c r="Y5" i="122" s="1"/>
  <c r="AD9" i="122" s="1"/>
  <c r="AE9" i="122" s="1"/>
  <c r="A12" i="120"/>
  <c r="A31" i="120"/>
  <c r="O5" i="119"/>
  <c r="AD8" i="119" s="1"/>
  <c r="U5" i="119"/>
  <c r="AD5" i="119" s="1"/>
  <c r="M5" i="119"/>
  <c r="AD2" i="119" s="1"/>
  <c r="Q5" i="119"/>
  <c r="AD7" i="119" s="1"/>
  <c r="Y5" i="119"/>
  <c r="AD9" i="119" s="1"/>
  <c r="S5" i="119"/>
  <c r="AD6" i="119" s="1"/>
  <c r="W5" i="119"/>
  <c r="AD4" i="119" s="1"/>
  <c r="K5" i="119"/>
  <c r="A11" i="117"/>
  <c r="A31" i="117"/>
  <c r="H30" i="123" l="1"/>
  <c r="G30" i="123"/>
  <c r="F30" i="123"/>
  <c r="E30" i="123"/>
  <c r="A11" i="123"/>
  <c r="A32" i="123"/>
  <c r="B9" i="123"/>
  <c r="Q5" i="122"/>
  <c r="AD7" i="122" s="1"/>
  <c r="AE7" i="122" s="1"/>
  <c r="W5" i="122"/>
  <c r="AD4" i="122" s="1"/>
  <c r="AE4" i="122" s="1"/>
  <c r="K5" i="122"/>
  <c r="M5" i="122"/>
  <c r="AD2" i="122" s="1"/>
  <c r="AE2" i="122" s="1"/>
  <c r="O5" i="122"/>
  <c r="AD8" i="122" s="1"/>
  <c r="AE8" i="122" s="1"/>
  <c r="S5" i="122"/>
  <c r="AD6" i="122" s="1"/>
  <c r="AE6" i="122" s="1"/>
  <c r="U5" i="122"/>
  <c r="AD5" i="122" s="1"/>
  <c r="AE5" i="122" s="1"/>
  <c r="A32" i="120"/>
  <c r="A13" i="120"/>
  <c r="AE6" i="119"/>
  <c r="Z56" i="119"/>
  <c r="AA56" i="119" s="1"/>
  <c r="Z28" i="119"/>
  <c r="AA28" i="119" s="1"/>
  <c r="AD3" i="119"/>
  <c r="Z66" i="119"/>
  <c r="AA66" i="119" s="1"/>
  <c r="Z14" i="119"/>
  <c r="AA14" i="119" s="1"/>
  <c r="Z54" i="119"/>
  <c r="AA54" i="119" s="1"/>
  <c r="Z47" i="119"/>
  <c r="AA47" i="119" s="1"/>
  <c r="Z64" i="119"/>
  <c r="AA64" i="119" s="1"/>
  <c r="Z55" i="119"/>
  <c r="AA55" i="119" s="1"/>
  <c r="Z30" i="119"/>
  <c r="AA30" i="119" s="1"/>
  <c r="Z18" i="119"/>
  <c r="AA18" i="119" s="1"/>
  <c r="Z24" i="119"/>
  <c r="AA24" i="119" s="1"/>
  <c r="Z71" i="119"/>
  <c r="AA71" i="119" s="1"/>
  <c r="Z34" i="119"/>
  <c r="AA34" i="119" s="1"/>
  <c r="Z70" i="119"/>
  <c r="AA70" i="119" s="1"/>
  <c r="Z73" i="119"/>
  <c r="AA73" i="119" s="1"/>
  <c r="Z49" i="119"/>
  <c r="AA49" i="119" s="1"/>
  <c r="Z33" i="119"/>
  <c r="AA33" i="119" s="1"/>
  <c r="Z53" i="119"/>
  <c r="AA53" i="119" s="1"/>
  <c r="Z76" i="119"/>
  <c r="AA76" i="119" s="1"/>
  <c r="Z29" i="119"/>
  <c r="AA29" i="119" s="1"/>
  <c r="Z50" i="119"/>
  <c r="AA50" i="119" s="1"/>
  <c r="Z63" i="119"/>
  <c r="AA63" i="119" s="1"/>
  <c r="Z13" i="119"/>
  <c r="AA13" i="119" s="1"/>
  <c r="Z16" i="119"/>
  <c r="AA16" i="119" s="1"/>
  <c r="Z15" i="119"/>
  <c r="AA15" i="119" s="1"/>
  <c r="Z75" i="119"/>
  <c r="AA75" i="119" s="1"/>
  <c r="Z27" i="119"/>
  <c r="AA27" i="119" s="1"/>
  <c r="Z48" i="119"/>
  <c r="AA48" i="119" s="1"/>
  <c r="Z19" i="119"/>
  <c r="AA19" i="119" s="1"/>
  <c r="Z43" i="119"/>
  <c r="AA43" i="119" s="1"/>
  <c r="Z74" i="119"/>
  <c r="AA74" i="119" s="1"/>
  <c r="Z21" i="119"/>
  <c r="AA21" i="119" s="1"/>
  <c r="Z52" i="119"/>
  <c r="AA52" i="119" s="1"/>
  <c r="Z36" i="119"/>
  <c r="AA36" i="119" s="1"/>
  <c r="Z77" i="119"/>
  <c r="AA77" i="119" s="1"/>
  <c r="Z51" i="119"/>
  <c r="AA51" i="119" s="1"/>
  <c r="Z23" i="119"/>
  <c r="AA23" i="119" s="1"/>
  <c r="Z39" i="119"/>
  <c r="AA39" i="119" s="1"/>
  <c r="Z35" i="119"/>
  <c r="AA35" i="119" s="1"/>
  <c r="Z42" i="119"/>
  <c r="AA42" i="119" s="1"/>
  <c r="Z58" i="119"/>
  <c r="AA58" i="119" s="1"/>
  <c r="Z72" i="119"/>
  <c r="AA72" i="119" s="1"/>
  <c r="Z45" i="119"/>
  <c r="AA45" i="119" s="1"/>
  <c r="Z12" i="119"/>
  <c r="AA12" i="119" s="1"/>
  <c r="Z10" i="119"/>
  <c r="AA10" i="119" s="1"/>
  <c r="Z17" i="119"/>
  <c r="AA17" i="119" s="1"/>
  <c r="Z41" i="119"/>
  <c r="AA41" i="119" s="1"/>
  <c r="Z26" i="119"/>
  <c r="AA26" i="119" s="1"/>
  <c r="Z57" i="119"/>
  <c r="AA57" i="119" s="1"/>
  <c r="Z68" i="119"/>
  <c r="AA68" i="119" s="1"/>
  <c r="Z67" i="119"/>
  <c r="AA67" i="119" s="1"/>
  <c r="Z78" i="119"/>
  <c r="AA78" i="119" s="1"/>
  <c r="Z25" i="119"/>
  <c r="AA25" i="119" s="1"/>
  <c r="Z69" i="119"/>
  <c r="AA69" i="119" s="1"/>
  <c r="Z46" i="119"/>
  <c r="AA46" i="119" s="1"/>
  <c r="Z44" i="119"/>
  <c r="AA44" i="119" s="1"/>
  <c r="Z32" i="119"/>
  <c r="AA32" i="119" s="1"/>
  <c r="Z20" i="119"/>
  <c r="AA20" i="119" s="1"/>
  <c r="Z22" i="119"/>
  <c r="AA22" i="119" s="1"/>
  <c r="Z65" i="119"/>
  <c r="AA65" i="119" s="1"/>
  <c r="Z62" i="119"/>
  <c r="AA62" i="119" s="1"/>
  <c r="Z40" i="119"/>
  <c r="AA40" i="119" s="1"/>
  <c r="Z31" i="119"/>
  <c r="AA31" i="119" s="1"/>
  <c r="Z38" i="119"/>
  <c r="AA38" i="119" s="1"/>
  <c r="Z61" i="119"/>
  <c r="AA61" i="119" s="1"/>
  <c r="Z11" i="119"/>
  <c r="AA11" i="119" s="1"/>
  <c r="Z60" i="119"/>
  <c r="AA60" i="119" s="1"/>
  <c r="Z37" i="119"/>
  <c r="AA37" i="119" s="1"/>
  <c r="Z59" i="119"/>
  <c r="AA59" i="119" s="1"/>
  <c r="AE4" i="119"/>
  <c r="AE9" i="119"/>
  <c r="AE7" i="119"/>
  <c r="AE2" i="119"/>
  <c r="AE5" i="119"/>
  <c r="AE8" i="119"/>
  <c r="A32" i="117"/>
  <c r="A12" i="117"/>
  <c r="A33" i="123" l="1"/>
  <c r="B31" i="123"/>
  <c r="A12" i="123"/>
  <c r="B11" i="123"/>
  <c r="B10" i="123"/>
  <c r="H9" i="123"/>
  <c r="G9" i="123"/>
  <c r="F9" i="123"/>
  <c r="E9" i="123"/>
  <c r="Z60" i="122"/>
  <c r="AA60" i="122" s="1"/>
  <c r="Z43" i="122"/>
  <c r="AA43" i="122" s="1"/>
  <c r="Z13" i="122"/>
  <c r="AA13" i="122" s="1"/>
  <c r="Z63" i="122"/>
  <c r="AA63" i="122" s="1"/>
  <c r="Z54" i="122"/>
  <c r="AA54" i="122" s="1"/>
  <c r="AD3" i="122"/>
  <c r="AE3" i="122" s="1"/>
  <c r="Z67" i="122"/>
  <c r="AA67" i="122" s="1"/>
  <c r="Z77" i="122"/>
  <c r="AA77" i="122" s="1"/>
  <c r="Z37" i="122"/>
  <c r="AA37" i="122" s="1"/>
  <c r="Z53" i="122"/>
  <c r="AA53" i="122" s="1"/>
  <c r="Z18" i="122"/>
  <c r="AA18" i="122" s="1"/>
  <c r="Z68" i="122"/>
  <c r="AA68" i="122" s="1"/>
  <c r="Z64" i="122"/>
  <c r="AA64" i="122" s="1"/>
  <c r="Z58" i="122"/>
  <c r="AA58" i="122" s="1"/>
  <c r="Z19" i="122"/>
  <c r="AA19" i="122" s="1"/>
  <c r="Z78" i="122"/>
  <c r="AA78" i="122" s="1"/>
  <c r="Z45" i="122"/>
  <c r="AA45" i="122" s="1"/>
  <c r="Z69" i="122"/>
  <c r="AA69" i="122" s="1"/>
  <c r="Z62" i="122"/>
  <c r="AA62" i="122" s="1"/>
  <c r="Z59" i="122"/>
  <c r="AA59" i="122" s="1"/>
  <c r="Z51" i="122"/>
  <c r="AA51" i="122" s="1"/>
  <c r="Z14" i="122"/>
  <c r="AA14" i="122" s="1"/>
  <c r="Z76" i="122"/>
  <c r="AA76" i="122" s="1"/>
  <c r="Z31" i="122"/>
  <c r="AA31" i="122" s="1"/>
  <c r="Z12" i="122"/>
  <c r="AA12" i="122" s="1"/>
  <c r="Z70" i="122"/>
  <c r="AA70" i="122" s="1"/>
  <c r="Z55" i="122"/>
  <c r="AA55" i="122" s="1"/>
  <c r="Z17" i="122"/>
  <c r="AA17" i="122" s="1"/>
  <c r="Z50" i="122"/>
  <c r="AA50" i="122" s="1"/>
  <c r="Z41" i="122"/>
  <c r="AA41" i="122" s="1"/>
  <c r="Z32" i="122"/>
  <c r="AA32" i="122" s="1"/>
  <c r="Z42" i="122"/>
  <c r="AA42" i="122" s="1"/>
  <c r="Z72" i="122"/>
  <c r="AA72" i="122" s="1"/>
  <c r="Z66" i="122"/>
  <c r="AA66" i="122" s="1"/>
  <c r="Z38" i="122"/>
  <c r="AA38" i="122" s="1"/>
  <c r="Z57" i="122"/>
  <c r="AA57" i="122" s="1"/>
  <c r="Z44" i="122"/>
  <c r="AA44" i="122" s="1"/>
  <c r="Z30" i="122"/>
  <c r="AA30" i="122" s="1"/>
  <c r="Z10" i="122"/>
  <c r="AA10" i="122" s="1"/>
  <c r="Z46" i="122"/>
  <c r="AA46" i="122" s="1"/>
  <c r="Z61" i="122"/>
  <c r="AA61" i="122" s="1"/>
  <c r="Z16" i="122"/>
  <c r="AA16" i="122" s="1"/>
  <c r="Z29" i="122"/>
  <c r="AA29" i="122" s="1"/>
  <c r="Z28" i="122"/>
  <c r="AA28" i="122" s="1"/>
  <c r="Z39" i="122"/>
  <c r="AA39" i="122" s="1"/>
  <c r="Z52" i="122"/>
  <c r="AA52" i="122" s="1"/>
  <c r="Z34" i="122"/>
  <c r="AA34" i="122" s="1"/>
  <c r="Z48" i="122"/>
  <c r="AA48" i="122" s="1"/>
  <c r="Z56" i="122"/>
  <c r="AA56" i="122" s="1"/>
  <c r="Z23" i="122"/>
  <c r="AA23" i="122" s="1"/>
  <c r="Z49" i="122"/>
  <c r="AA49" i="122" s="1"/>
  <c r="Z65" i="122"/>
  <c r="AA65" i="122" s="1"/>
  <c r="Z75" i="122"/>
  <c r="AA75" i="122" s="1"/>
  <c r="Z36" i="122"/>
  <c r="AA36" i="122" s="1"/>
  <c r="Z20" i="122"/>
  <c r="AA20" i="122" s="1"/>
  <c r="Z33" i="122"/>
  <c r="AA33" i="122" s="1"/>
  <c r="Z15" i="122"/>
  <c r="AA15" i="122" s="1"/>
  <c r="Z73" i="122"/>
  <c r="AA73" i="122" s="1"/>
  <c r="Z11" i="122"/>
  <c r="AA11" i="122" s="1"/>
  <c r="Z40" i="122"/>
  <c r="AA40" i="122" s="1"/>
  <c r="Z71" i="122"/>
  <c r="AA71" i="122" s="1"/>
  <c r="Z24" i="122"/>
  <c r="AA24" i="122" s="1"/>
  <c r="Z47" i="122"/>
  <c r="AA47" i="122" s="1"/>
  <c r="Z35" i="122"/>
  <c r="AA35" i="122" s="1"/>
  <c r="Z21" i="122"/>
  <c r="AA21" i="122" s="1"/>
  <c r="Z26" i="122"/>
  <c r="AA26" i="122" s="1"/>
  <c r="Z25" i="122"/>
  <c r="AA25" i="122" s="1"/>
  <c r="Z27" i="122"/>
  <c r="AA27" i="122" s="1"/>
  <c r="Z22" i="122"/>
  <c r="AA22" i="122" s="1"/>
  <c r="Z74" i="122"/>
  <c r="AA74" i="122" s="1"/>
  <c r="A33" i="120"/>
  <c r="A14" i="120"/>
  <c r="AE3" i="119"/>
  <c r="AA9" i="119"/>
  <c r="A13" i="117"/>
  <c r="A33" i="117"/>
  <c r="H31" i="123" l="1"/>
  <c r="G31" i="123"/>
  <c r="F31" i="123"/>
  <c r="E31" i="123"/>
  <c r="F11" i="123"/>
  <c r="E11" i="123"/>
  <c r="H11" i="123"/>
  <c r="G11" i="123"/>
  <c r="B32" i="123"/>
  <c r="H10" i="123"/>
  <c r="G10" i="123"/>
  <c r="F10" i="123"/>
  <c r="E10" i="123"/>
  <c r="A13" i="123"/>
  <c r="A34" i="123"/>
  <c r="AA9" i="122"/>
  <c r="A15" i="120"/>
  <c r="A34" i="120"/>
  <c r="AA7" i="119"/>
  <c r="AA8" i="119" s="1"/>
  <c r="A14" i="117"/>
  <c r="A34" i="117"/>
  <c r="W101" i="49"/>
  <c r="W99" i="49"/>
  <c r="W98" i="49"/>
  <c r="W97" i="49"/>
  <c r="W96" i="49"/>
  <c r="W95" i="49"/>
  <c r="W94" i="49"/>
  <c r="W92" i="49"/>
  <c r="W91" i="49"/>
  <c r="O37" i="49"/>
  <c r="K37" i="49"/>
  <c r="Y37" i="49" s="1"/>
  <c r="W73" i="49"/>
  <c r="V73" i="49"/>
  <c r="U73" i="49"/>
  <c r="T73" i="49"/>
  <c r="S73" i="49"/>
  <c r="R73" i="49"/>
  <c r="Q73" i="49"/>
  <c r="W93" i="49" s="1"/>
  <c r="E72" i="49"/>
  <c r="P73" i="49"/>
  <c r="N73" i="49"/>
  <c r="M73" i="49"/>
  <c r="W90" i="49" s="1"/>
  <c r="G73" i="49"/>
  <c r="W85" i="49" s="1"/>
  <c r="E73" i="49"/>
  <c r="W83" i="49" s="1"/>
  <c r="G37" i="49"/>
  <c r="Q37" i="49"/>
  <c r="U37" i="49"/>
  <c r="M37" i="49"/>
  <c r="E37" i="49"/>
  <c r="W609" i="74"/>
  <c r="W608" i="74"/>
  <c r="W607" i="74"/>
  <c r="W606" i="74"/>
  <c r="W605" i="74"/>
  <c r="W604" i="74"/>
  <c r="W603" i="74"/>
  <c r="W602" i="74"/>
  <c r="W601" i="74"/>
  <c r="W600" i="74"/>
  <c r="W599" i="74"/>
  <c r="W598" i="74"/>
  <c r="W597" i="74"/>
  <c r="W596" i="74"/>
  <c r="W595" i="74"/>
  <c r="W594" i="74"/>
  <c r="W593" i="74"/>
  <c r="W592" i="74"/>
  <c r="W591" i="74"/>
  <c r="W590" i="74"/>
  <c r="W589" i="74"/>
  <c r="W588" i="74"/>
  <c r="W587" i="74"/>
  <c r="W586" i="74"/>
  <c r="W585" i="74"/>
  <c r="W584" i="74"/>
  <c r="W583" i="74"/>
  <c r="W582" i="74"/>
  <c r="W581" i="74"/>
  <c r="W580" i="74"/>
  <c r="W579" i="74"/>
  <c r="W578" i="74"/>
  <c r="W577" i="74"/>
  <c r="W576" i="74"/>
  <c r="W575" i="74"/>
  <c r="W574" i="74"/>
  <c r="W573" i="74"/>
  <c r="W572" i="74"/>
  <c r="W571" i="74"/>
  <c r="W570" i="74"/>
  <c r="W569" i="74"/>
  <c r="W568" i="74"/>
  <c r="W567" i="74"/>
  <c r="W566" i="74"/>
  <c r="W565" i="74"/>
  <c r="W564" i="74"/>
  <c r="W563" i="74"/>
  <c r="W562" i="74"/>
  <c r="W561" i="74"/>
  <c r="W560" i="74"/>
  <c r="W559" i="74"/>
  <c r="W558" i="74"/>
  <c r="W557" i="74"/>
  <c r="W556" i="74"/>
  <c r="W555" i="74"/>
  <c r="W554" i="74"/>
  <c r="W553" i="74"/>
  <c r="W552" i="74"/>
  <c r="W551" i="74"/>
  <c r="W550" i="74"/>
  <c r="W549" i="74"/>
  <c r="W548" i="74"/>
  <c r="W547" i="74"/>
  <c r="W546" i="74"/>
  <c r="W545" i="74"/>
  <c r="W544" i="74"/>
  <c r="W543" i="74"/>
  <c r="W542" i="74"/>
  <c r="W541" i="74"/>
  <c r="W540" i="74"/>
  <c r="W539" i="74"/>
  <c r="W538" i="74"/>
  <c r="W537" i="74"/>
  <c r="W536" i="74"/>
  <c r="W535" i="74"/>
  <c r="W534" i="74"/>
  <c r="W533" i="74"/>
  <c r="W532" i="74"/>
  <c r="W531" i="74"/>
  <c r="W530" i="74"/>
  <c r="W529" i="74"/>
  <c r="W528" i="74"/>
  <c r="W527" i="74"/>
  <c r="W526" i="74"/>
  <c r="W525" i="74"/>
  <c r="W524" i="74"/>
  <c r="W523" i="74"/>
  <c r="W522" i="74"/>
  <c r="W521" i="74"/>
  <c r="W520" i="74"/>
  <c r="W519" i="74"/>
  <c r="W518" i="74"/>
  <c r="W517" i="74"/>
  <c r="W516" i="74"/>
  <c r="W515" i="74"/>
  <c r="W514" i="74"/>
  <c r="W513" i="74"/>
  <c r="W512" i="74"/>
  <c r="W511" i="74"/>
  <c r="W510" i="74"/>
  <c r="W509" i="74"/>
  <c r="W508" i="74"/>
  <c r="W507" i="74"/>
  <c r="W506" i="74"/>
  <c r="W505" i="74"/>
  <c r="W504" i="74"/>
  <c r="W503" i="74"/>
  <c r="W502" i="74"/>
  <c r="W501" i="74"/>
  <c r="W500" i="74"/>
  <c r="W499" i="74"/>
  <c r="W498" i="74"/>
  <c r="W497" i="74"/>
  <c r="W496" i="74"/>
  <c r="W495" i="74"/>
  <c r="W494" i="74"/>
  <c r="W493" i="74"/>
  <c r="W492" i="74"/>
  <c r="W491" i="74"/>
  <c r="W490" i="74"/>
  <c r="W489" i="74"/>
  <c r="W488" i="74"/>
  <c r="W487" i="74"/>
  <c r="W486" i="74"/>
  <c r="W485" i="74"/>
  <c r="W484" i="74"/>
  <c r="W483" i="74"/>
  <c r="W482" i="74"/>
  <c r="W481" i="74"/>
  <c r="W480" i="74"/>
  <c r="W479" i="74"/>
  <c r="W478" i="74"/>
  <c r="W477" i="74"/>
  <c r="W476" i="74"/>
  <c r="W475" i="74"/>
  <c r="W474" i="74"/>
  <c r="W473" i="74"/>
  <c r="W472" i="74"/>
  <c r="W471" i="74"/>
  <c r="W470" i="74"/>
  <c r="W469" i="74"/>
  <c r="W468" i="74"/>
  <c r="W467" i="74"/>
  <c r="W466" i="74"/>
  <c r="W465" i="74"/>
  <c r="W464" i="74"/>
  <c r="W463" i="74"/>
  <c r="W462" i="74"/>
  <c r="W461" i="74"/>
  <c r="W460" i="74"/>
  <c r="W459" i="74"/>
  <c r="W458" i="74"/>
  <c r="W457" i="74"/>
  <c r="W456" i="74"/>
  <c r="W455" i="74"/>
  <c r="W454" i="74"/>
  <c r="W453" i="74"/>
  <c r="W452" i="74"/>
  <c r="W451" i="74"/>
  <c r="W450" i="74"/>
  <c r="W449" i="74"/>
  <c r="W448" i="74"/>
  <c r="W447" i="74"/>
  <c r="W446" i="74"/>
  <c r="W445" i="74"/>
  <c r="W444" i="74"/>
  <c r="W443" i="74"/>
  <c r="W442" i="74"/>
  <c r="W441" i="74"/>
  <c r="W440" i="74"/>
  <c r="W439" i="74"/>
  <c r="W438" i="74"/>
  <c r="W437" i="74"/>
  <c r="W436" i="74"/>
  <c r="W435" i="74"/>
  <c r="W434" i="74"/>
  <c r="W433" i="74"/>
  <c r="W432" i="74"/>
  <c r="W431" i="74"/>
  <c r="W430" i="74"/>
  <c r="W429" i="74"/>
  <c r="W428" i="74"/>
  <c r="W427" i="74"/>
  <c r="W426" i="74"/>
  <c r="W425" i="74"/>
  <c r="W424" i="74"/>
  <c r="W423" i="74"/>
  <c r="W422" i="74"/>
  <c r="W421" i="74"/>
  <c r="W420" i="74"/>
  <c r="W419" i="74"/>
  <c r="W418" i="74"/>
  <c r="W417" i="74"/>
  <c r="W416" i="74"/>
  <c r="W415" i="74"/>
  <c r="W414" i="74"/>
  <c r="W413" i="74"/>
  <c r="W412" i="74"/>
  <c r="W411" i="74"/>
  <c r="W410" i="74"/>
  <c r="W409" i="74"/>
  <c r="W408" i="74"/>
  <c r="W407" i="74"/>
  <c r="W406" i="74"/>
  <c r="W405" i="74"/>
  <c r="W404" i="74"/>
  <c r="W403" i="74"/>
  <c r="W402" i="74"/>
  <c r="W401" i="74"/>
  <c r="W400" i="74"/>
  <c r="W399" i="74"/>
  <c r="W398" i="74"/>
  <c r="W397" i="74"/>
  <c r="W396" i="74"/>
  <c r="W395" i="74"/>
  <c r="W394" i="74"/>
  <c r="W393" i="74"/>
  <c r="W392" i="74"/>
  <c r="W391" i="74"/>
  <c r="W390" i="74"/>
  <c r="W389" i="74"/>
  <c r="W388" i="74"/>
  <c r="W387" i="74"/>
  <c r="W386" i="74"/>
  <c r="W385" i="74"/>
  <c r="W384" i="74"/>
  <c r="W383" i="74"/>
  <c r="W382" i="74"/>
  <c r="W381" i="74"/>
  <c r="W380" i="74"/>
  <c r="W379" i="74"/>
  <c r="W378" i="74"/>
  <c r="W377" i="74"/>
  <c r="W376" i="74"/>
  <c r="W375" i="74"/>
  <c r="W374" i="74"/>
  <c r="W373" i="74"/>
  <c r="W372" i="74"/>
  <c r="W371" i="74"/>
  <c r="W370" i="74"/>
  <c r="W369" i="74"/>
  <c r="W368" i="74"/>
  <c r="W367" i="74"/>
  <c r="W366" i="74"/>
  <c r="W365" i="74"/>
  <c r="W364" i="74"/>
  <c r="W363" i="74"/>
  <c r="W362" i="74"/>
  <c r="W361" i="74"/>
  <c r="W360" i="74"/>
  <c r="W359" i="74"/>
  <c r="W358" i="74"/>
  <c r="W357" i="74"/>
  <c r="W356" i="74"/>
  <c r="W355" i="74"/>
  <c r="W354" i="74"/>
  <c r="W353" i="74"/>
  <c r="W352" i="74"/>
  <c r="W351" i="74"/>
  <c r="W350" i="74"/>
  <c r="W349" i="74"/>
  <c r="W348" i="74"/>
  <c r="W347" i="74"/>
  <c r="W346" i="74"/>
  <c r="W345" i="74"/>
  <c r="W344" i="74"/>
  <c r="W343" i="74"/>
  <c r="W342" i="74"/>
  <c r="W341" i="74"/>
  <c r="W340" i="74"/>
  <c r="W339" i="74"/>
  <c r="W338" i="74"/>
  <c r="W337" i="74"/>
  <c r="W336" i="74"/>
  <c r="W335" i="74"/>
  <c r="W334" i="74"/>
  <c r="W333" i="74"/>
  <c r="W332" i="74"/>
  <c r="W331" i="74"/>
  <c r="W330" i="74"/>
  <c r="W329" i="74"/>
  <c r="W328" i="74"/>
  <c r="W327" i="74"/>
  <c r="W326" i="74"/>
  <c r="W325" i="74"/>
  <c r="W324" i="74"/>
  <c r="W323" i="74"/>
  <c r="W322" i="74"/>
  <c r="W321" i="74"/>
  <c r="W320" i="74"/>
  <c r="W319" i="74"/>
  <c r="W318" i="74"/>
  <c r="W317" i="74"/>
  <c r="W316" i="74"/>
  <c r="W315" i="74"/>
  <c r="W314" i="74"/>
  <c r="W313" i="74"/>
  <c r="W312" i="74"/>
  <c r="W311" i="74"/>
  <c r="W310" i="74"/>
  <c r="W309" i="74"/>
  <c r="W308" i="74"/>
  <c r="W307" i="74"/>
  <c r="W306" i="74"/>
  <c r="W305" i="74"/>
  <c r="W304" i="74"/>
  <c r="W303" i="74"/>
  <c r="W302" i="74"/>
  <c r="W301" i="74"/>
  <c r="W300" i="74"/>
  <c r="W299" i="74"/>
  <c r="W298" i="74"/>
  <c r="W297" i="74"/>
  <c r="W296" i="74"/>
  <c r="W295" i="74"/>
  <c r="W294" i="74"/>
  <c r="W293" i="74"/>
  <c r="W292" i="74"/>
  <c r="W291" i="74"/>
  <c r="W290" i="74"/>
  <c r="W289" i="74"/>
  <c r="W288" i="74"/>
  <c r="W287" i="74"/>
  <c r="W286" i="74"/>
  <c r="W285" i="74"/>
  <c r="W284" i="74"/>
  <c r="W283" i="74"/>
  <c r="W282" i="74"/>
  <c r="W281" i="74"/>
  <c r="W280" i="74"/>
  <c r="W279" i="74"/>
  <c r="W278" i="74"/>
  <c r="W277" i="74"/>
  <c r="W276" i="74"/>
  <c r="W275" i="74"/>
  <c r="W274" i="74"/>
  <c r="W273" i="74"/>
  <c r="W272" i="74"/>
  <c r="W271" i="74"/>
  <c r="W270" i="74"/>
  <c r="W269" i="74"/>
  <c r="W268" i="74"/>
  <c r="W267" i="74"/>
  <c r="W266" i="74"/>
  <c r="W265" i="74"/>
  <c r="W264" i="74"/>
  <c r="W263" i="74"/>
  <c r="W262" i="74"/>
  <c r="W261" i="74"/>
  <c r="W260" i="74"/>
  <c r="W259" i="74"/>
  <c r="W258" i="74"/>
  <c r="W257" i="74"/>
  <c r="W256" i="74"/>
  <c r="W255" i="74"/>
  <c r="W254" i="74"/>
  <c r="W253" i="74"/>
  <c r="W252" i="74"/>
  <c r="W251" i="74"/>
  <c r="W250" i="74"/>
  <c r="W249" i="74"/>
  <c r="W248" i="74"/>
  <c r="W247" i="74"/>
  <c r="W246" i="74"/>
  <c r="W245" i="74"/>
  <c r="W244" i="74"/>
  <c r="W243" i="74"/>
  <c r="W242" i="74"/>
  <c r="W241" i="74"/>
  <c r="W240" i="74"/>
  <c r="W239" i="74"/>
  <c r="W238" i="74"/>
  <c r="W237" i="74"/>
  <c r="W236" i="74"/>
  <c r="W235" i="74"/>
  <c r="W234" i="74"/>
  <c r="W233" i="74"/>
  <c r="W232" i="74"/>
  <c r="W231" i="74"/>
  <c r="W230" i="74"/>
  <c r="W229" i="74"/>
  <c r="W228" i="74"/>
  <c r="W227" i="74"/>
  <c r="W226" i="74"/>
  <c r="W225" i="74"/>
  <c r="W224" i="74"/>
  <c r="W223" i="74"/>
  <c r="W222" i="74"/>
  <c r="W221" i="74"/>
  <c r="W220" i="74"/>
  <c r="W219" i="74"/>
  <c r="W218" i="74"/>
  <c r="W217" i="74"/>
  <c r="W216" i="74"/>
  <c r="W215" i="74"/>
  <c r="W214" i="74"/>
  <c r="W213" i="74"/>
  <c r="W212" i="74"/>
  <c r="W211" i="74"/>
  <c r="W210" i="74"/>
  <c r="W209" i="74"/>
  <c r="W208" i="74"/>
  <c r="W207" i="74"/>
  <c r="W206" i="74"/>
  <c r="W205" i="74"/>
  <c r="W204" i="74"/>
  <c r="W203" i="74"/>
  <c r="W202" i="74"/>
  <c r="W201" i="74"/>
  <c r="W200" i="74"/>
  <c r="W199" i="74"/>
  <c r="W198" i="74"/>
  <c r="W197" i="74"/>
  <c r="W196" i="74"/>
  <c r="W195" i="74"/>
  <c r="W194" i="74"/>
  <c r="W193" i="74"/>
  <c r="W192" i="74"/>
  <c r="W191" i="74"/>
  <c r="W190" i="74"/>
  <c r="W189" i="74"/>
  <c r="W188" i="74"/>
  <c r="W187" i="74"/>
  <c r="W186" i="74"/>
  <c r="W185" i="74"/>
  <c r="W184" i="74"/>
  <c r="W183" i="74"/>
  <c r="W182" i="74"/>
  <c r="W181" i="74"/>
  <c r="W180" i="74"/>
  <c r="W179" i="74"/>
  <c r="W178" i="74"/>
  <c r="W177" i="74"/>
  <c r="W176" i="74"/>
  <c r="W175" i="74"/>
  <c r="W174" i="74"/>
  <c r="W173" i="74"/>
  <c r="W172" i="74"/>
  <c r="W171" i="74"/>
  <c r="W170" i="74"/>
  <c r="W169" i="74"/>
  <c r="W168" i="74"/>
  <c r="W167" i="74"/>
  <c r="W166" i="74"/>
  <c r="W165" i="74"/>
  <c r="W164" i="74"/>
  <c r="W163" i="74"/>
  <c r="W162" i="74"/>
  <c r="W161" i="74"/>
  <c r="W160" i="74"/>
  <c r="W159" i="74"/>
  <c r="W158" i="74"/>
  <c r="W157" i="74"/>
  <c r="W156" i="74"/>
  <c r="W155" i="74"/>
  <c r="W154" i="74"/>
  <c r="W153" i="74"/>
  <c r="W152" i="74"/>
  <c r="W151" i="74"/>
  <c r="W150" i="74"/>
  <c r="W149" i="74"/>
  <c r="W148" i="74"/>
  <c r="W147" i="74"/>
  <c r="W146" i="74"/>
  <c r="W145" i="74"/>
  <c r="W144" i="74"/>
  <c r="W143" i="74"/>
  <c r="W142" i="74"/>
  <c r="W141" i="74"/>
  <c r="W140" i="74"/>
  <c r="W139" i="74"/>
  <c r="W138" i="74"/>
  <c r="W137" i="74"/>
  <c r="W136" i="74"/>
  <c r="W135" i="74"/>
  <c r="W134" i="74"/>
  <c r="W133" i="74"/>
  <c r="W132" i="74"/>
  <c r="W131" i="74"/>
  <c r="W130" i="74"/>
  <c r="W129" i="74"/>
  <c r="W128" i="74"/>
  <c r="W127" i="74"/>
  <c r="W126" i="74"/>
  <c r="W125" i="74"/>
  <c r="W124" i="74"/>
  <c r="W123" i="74"/>
  <c r="W122" i="74"/>
  <c r="W121" i="74"/>
  <c r="W120" i="74"/>
  <c r="W119" i="74"/>
  <c r="W118" i="74"/>
  <c r="W117" i="74"/>
  <c r="W116" i="74"/>
  <c r="W115" i="74"/>
  <c r="W114" i="74"/>
  <c r="W113" i="74"/>
  <c r="W112" i="74"/>
  <c r="W111" i="74"/>
  <c r="W110" i="74"/>
  <c r="W109" i="74"/>
  <c r="W108" i="74"/>
  <c r="W107" i="74"/>
  <c r="W106" i="74"/>
  <c r="W105" i="74"/>
  <c r="W104" i="74"/>
  <c r="W103" i="74"/>
  <c r="W102" i="74"/>
  <c r="W101" i="74"/>
  <c r="W100" i="74"/>
  <c r="W99" i="74"/>
  <c r="W98" i="74"/>
  <c r="W97" i="74"/>
  <c r="W96" i="74"/>
  <c r="W95" i="74"/>
  <c r="W94" i="74"/>
  <c r="W93" i="74"/>
  <c r="W92" i="74"/>
  <c r="W91" i="74"/>
  <c r="W90" i="74"/>
  <c r="W89" i="74"/>
  <c r="W88" i="74"/>
  <c r="W87" i="74"/>
  <c r="W86" i="74"/>
  <c r="W85" i="74"/>
  <c r="W84" i="74"/>
  <c r="W83" i="74"/>
  <c r="W82" i="74"/>
  <c r="W81" i="74"/>
  <c r="W80" i="74"/>
  <c r="W79" i="74"/>
  <c r="W78" i="74"/>
  <c r="W77" i="74"/>
  <c r="W76" i="74"/>
  <c r="W75" i="74"/>
  <c r="W74" i="74"/>
  <c r="W73" i="74"/>
  <c r="W72" i="74"/>
  <c r="W71" i="74"/>
  <c r="W70" i="74"/>
  <c r="W69" i="74"/>
  <c r="W68" i="74"/>
  <c r="W67" i="74"/>
  <c r="W66" i="74"/>
  <c r="W65" i="74"/>
  <c r="W64" i="74"/>
  <c r="W63" i="74"/>
  <c r="W62" i="74"/>
  <c r="W61" i="74"/>
  <c r="W60" i="74"/>
  <c r="W59" i="74"/>
  <c r="W58" i="74"/>
  <c r="W57" i="74"/>
  <c r="W56" i="74"/>
  <c r="W55" i="74"/>
  <c r="W54" i="74"/>
  <c r="W53" i="74"/>
  <c r="W52" i="74"/>
  <c r="W51" i="74"/>
  <c r="W50" i="74"/>
  <c r="W49" i="74"/>
  <c r="W48" i="74"/>
  <c r="W47" i="74"/>
  <c r="W46" i="74"/>
  <c r="W45" i="74"/>
  <c r="W44" i="74"/>
  <c r="W43" i="74"/>
  <c r="W42" i="74"/>
  <c r="W41" i="74"/>
  <c r="W40" i="74"/>
  <c r="W39" i="74"/>
  <c r="W38" i="74"/>
  <c r="W37" i="74"/>
  <c r="W36" i="74"/>
  <c r="W35" i="74"/>
  <c r="W34" i="74"/>
  <c r="W33" i="74"/>
  <c r="W32" i="74"/>
  <c r="W31" i="74"/>
  <c r="W30" i="74"/>
  <c r="W29" i="74"/>
  <c r="W28" i="74"/>
  <c r="W27" i="74"/>
  <c r="W26" i="74"/>
  <c r="W25" i="74"/>
  <c r="W24" i="74"/>
  <c r="W23" i="74"/>
  <c r="W22" i="74"/>
  <c r="W21" i="74"/>
  <c r="W20" i="74"/>
  <c r="W19" i="74"/>
  <c r="W18" i="74"/>
  <c r="W17" i="74"/>
  <c r="W16" i="74"/>
  <c r="W15" i="74"/>
  <c r="W14" i="74"/>
  <c r="W13" i="74"/>
  <c r="W12" i="74"/>
  <c r="W11" i="74"/>
  <c r="W10" i="74"/>
  <c r="W9" i="74"/>
  <c r="W8" i="74"/>
  <c r="W7" i="74"/>
  <c r="W6" i="74"/>
  <c r="W5" i="74"/>
  <c r="W4" i="74"/>
  <c r="W3" i="74"/>
  <c r="U1" i="74"/>
  <c r="T1" i="74"/>
  <c r="S1" i="74"/>
  <c r="R1" i="74"/>
  <c r="Q1" i="74"/>
  <c r="P1" i="74"/>
  <c r="O1" i="74"/>
  <c r="N1" i="74"/>
  <c r="M1" i="74"/>
  <c r="L1" i="74"/>
  <c r="K1" i="74"/>
  <c r="J1" i="74"/>
  <c r="I1" i="74"/>
  <c r="H1" i="74"/>
  <c r="G1" i="74"/>
  <c r="F1" i="74"/>
  <c r="E1" i="74"/>
  <c r="D1" i="74"/>
  <c r="V1" i="74"/>
  <c r="A609" i="74"/>
  <c r="A608" i="74"/>
  <c r="A607" i="74"/>
  <c r="A606" i="74"/>
  <c r="A605" i="74"/>
  <c r="A604" i="74"/>
  <c r="A603" i="74"/>
  <c r="B609" i="74"/>
  <c r="C609" i="74"/>
  <c r="B608" i="74"/>
  <c r="C608" i="74"/>
  <c r="B607" i="74"/>
  <c r="C607" i="74"/>
  <c r="B606" i="74"/>
  <c r="C606" i="74"/>
  <c r="B605" i="74"/>
  <c r="C605" i="74"/>
  <c r="B604" i="74"/>
  <c r="C604" i="74"/>
  <c r="C603" i="74"/>
  <c r="B603" i="74"/>
  <c r="M6" i="78"/>
  <c r="L6" i="78"/>
  <c r="K6" i="78"/>
  <c r="J6" i="78"/>
  <c r="I6" i="78"/>
  <c r="H6" i="78"/>
  <c r="M5" i="78"/>
  <c r="L5" i="78"/>
  <c r="K5" i="78"/>
  <c r="J5" i="78"/>
  <c r="I5" i="78"/>
  <c r="H5" i="78"/>
  <c r="M4" i="78"/>
  <c r="L4" i="78"/>
  <c r="K4" i="78"/>
  <c r="J4" i="78"/>
  <c r="I4" i="78"/>
  <c r="H4" i="78"/>
  <c r="M3" i="78"/>
  <c r="L3" i="78"/>
  <c r="K3" i="78"/>
  <c r="J3" i="78"/>
  <c r="I3" i="78"/>
  <c r="H3" i="78"/>
  <c r="M7" i="78"/>
  <c r="L7" i="78"/>
  <c r="K7" i="78"/>
  <c r="J7" i="78"/>
  <c r="I7" i="78"/>
  <c r="H7" i="78"/>
  <c r="G7" i="78"/>
  <c r="G4" i="78"/>
  <c r="G3" i="78"/>
  <c r="G32" i="123" l="1"/>
  <c r="F32" i="123"/>
  <c r="E32" i="123"/>
  <c r="H32" i="123"/>
  <c r="A14" i="123"/>
  <c r="B12" i="123"/>
  <c r="A35" i="123"/>
  <c r="B33" i="123"/>
  <c r="AA7" i="122"/>
  <c r="AA8" i="122" s="1"/>
  <c r="A16" i="120"/>
  <c r="A35" i="120"/>
  <c r="A15" i="117"/>
  <c r="A35" i="117"/>
  <c r="G6" i="78"/>
  <c r="G5" i="78"/>
  <c r="AM3" i="31"/>
  <c r="AM2" i="31"/>
  <c r="GF3" i="23"/>
  <c r="GE3" i="23"/>
  <c r="GD3" i="23"/>
  <c r="GC3" i="23"/>
  <c r="GB3" i="23"/>
  <c r="GA3" i="23"/>
  <c r="FZ3" i="23"/>
  <c r="GG201" i="23"/>
  <c r="GG200" i="23"/>
  <c r="GG199" i="23"/>
  <c r="GG198" i="23"/>
  <c r="GG197" i="23"/>
  <c r="GG196" i="23"/>
  <c r="GG195" i="23"/>
  <c r="GG194" i="23"/>
  <c r="GG193" i="23"/>
  <c r="GG192" i="23"/>
  <c r="GG191" i="23"/>
  <c r="GG190" i="23"/>
  <c r="GG189" i="23"/>
  <c r="GG188" i="23"/>
  <c r="GG187" i="23"/>
  <c r="GG186" i="23"/>
  <c r="GG185" i="23"/>
  <c r="GG184" i="23"/>
  <c r="GG183" i="23"/>
  <c r="GG182" i="23"/>
  <c r="GG181" i="23"/>
  <c r="GG180" i="23"/>
  <c r="GG179" i="23"/>
  <c r="GG178" i="23"/>
  <c r="GG177" i="23"/>
  <c r="GG176" i="23"/>
  <c r="GG175" i="23"/>
  <c r="GG174" i="23"/>
  <c r="GG173" i="23"/>
  <c r="GG172" i="23"/>
  <c r="GG171" i="23"/>
  <c r="GG170" i="23"/>
  <c r="GG169" i="23"/>
  <c r="GG168" i="23"/>
  <c r="GG167" i="23"/>
  <c r="GG166" i="23"/>
  <c r="GG165" i="23"/>
  <c r="GG164" i="23"/>
  <c r="GG163" i="23"/>
  <c r="GG162" i="23"/>
  <c r="GG161" i="23"/>
  <c r="GG160" i="23"/>
  <c r="GG159" i="23"/>
  <c r="GG158" i="23"/>
  <c r="GG157" i="23"/>
  <c r="GG156" i="23"/>
  <c r="GG155" i="23"/>
  <c r="GG154" i="23"/>
  <c r="GG153" i="23"/>
  <c r="GG152" i="23"/>
  <c r="GG151" i="23"/>
  <c r="GG150" i="23"/>
  <c r="GG149" i="23"/>
  <c r="GG148" i="23"/>
  <c r="GG147" i="23"/>
  <c r="GG146" i="23"/>
  <c r="GG145" i="23"/>
  <c r="GG144" i="23"/>
  <c r="GG143" i="23"/>
  <c r="GG142" i="23"/>
  <c r="GG141" i="23"/>
  <c r="GG140" i="23"/>
  <c r="GG139" i="23"/>
  <c r="GG138" i="23"/>
  <c r="GG137" i="23"/>
  <c r="GG136" i="23"/>
  <c r="GG135" i="23"/>
  <c r="GG134" i="23"/>
  <c r="GG133" i="23"/>
  <c r="GG132" i="23"/>
  <c r="GG131" i="23"/>
  <c r="GG130" i="23"/>
  <c r="GG129" i="23"/>
  <c r="GG128" i="23"/>
  <c r="GG127" i="23"/>
  <c r="GG126" i="23"/>
  <c r="GG125" i="23"/>
  <c r="GG124" i="23"/>
  <c r="GG123" i="23"/>
  <c r="GG122" i="23"/>
  <c r="GG121" i="23"/>
  <c r="GG120" i="23"/>
  <c r="GG119" i="23"/>
  <c r="GG118" i="23"/>
  <c r="GG117" i="23"/>
  <c r="GG116" i="23"/>
  <c r="GG115" i="23"/>
  <c r="GG114" i="23"/>
  <c r="GG113" i="23"/>
  <c r="GG112" i="23"/>
  <c r="GG111" i="23"/>
  <c r="GG110" i="23"/>
  <c r="GG109" i="23"/>
  <c r="GG108" i="23"/>
  <c r="GG107" i="23"/>
  <c r="GG106" i="23"/>
  <c r="GG105" i="23"/>
  <c r="GG104" i="23"/>
  <c r="GG103" i="23"/>
  <c r="GG102" i="23"/>
  <c r="GG101" i="23"/>
  <c r="GG100" i="23"/>
  <c r="GG99" i="23"/>
  <c r="GG98" i="23"/>
  <c r="GG97" i="23"/>
  <c r="GG96" i="23"/>
  <c r="GG95" i="23"/>
  <c r="GG94" i="23"/>
  <c r="GG93" i="23"/>
  <c r="GG92" i="23"/>
  <c r="GG91" i="23"/>
  <c r="GG90" i="23"/>
  <c r="GG89" i="23"/>
  <c r="GG88" i="23"/>
  <c r="GG87" i="23"/>
  <c r="GG86" i="23"/>
  <c r="GG85" i="23"/>
  <c r="GG84" i="23"/>
  <c r="GG83" i="23"/>
  <c r="GG82" i="23"/>
  <c r="GG81" i="23"/>
  <c r="GG80" i="23"/>
  <c r="GG79" i="23"/>
  <c r="GG78" i="23"/>
  <c r="GG77" i="23"/>
  <c r="GG76" i="23"/>
  <c r="GG75" i="23"/>
  <c r="GG74" i="23"/>
  <c r="GG73" i="23"/>
  <c r="GG72" i="23"/>
  <c r="GG71" i="23"/>
  <c r="GG70" i="23"/>
  <c r="GG69" i="23"/>
  <c r="GG68" i="23"/>
  <c r="GG67" i="23"/>
  <c r="GG66" i="23"/>
  <c r="GG65" i="23"/>
  <c r="GG64" i="23"/>
  <c r="GG63" i="23"/>
  <c r="GG62" i="23"/>
  <c r="GG61" i="23"/>
  <c r="GG60" i="23"/>
  <c r="GG59" i="23"/>
  <c r="GG58" i="23"/>
  <c r="GG57" i="23"/>
  <c r="GG56" i="23"/>
  <c r="GG55" i="23"/>
  <c r="GG54" i="23"/>
  <c r="GG53" i="23"/>
  <c r="GG52" i="23"/>
  <c r="GG51" i="23"/>
  <c r="GG50" i="23"/>
  <c r="GG49" i="23"/>
  <c r="GG48" i="23"/>
  <c r="GG47" i="23"/>
  <c r="GG46" i="23"/>
  <c r="GG45" i="23"/>
  <c r="GG44" i="23"/>
  <c r="GG43" i="23"/>
  <c r="GG42" i="23"/>
  <c r="GG41" i="23"/>
  <c r="GG40" i="23"/>
  <c r="GG39" i="23"/>
  <c r="GG38" i="23"/>
  <c r="GG37" i="23"/>
  <c r="GG36" i="23"/>
  <c r="GG35" i="23"/>
  <c r="GG34" i="23"/>
  <c r="GG33" i="23"/>
  <c r="GG32" i="23"/>
  <c r="GG31" i="23"/>
  <c r="GG30" i="23"/>
  <c r="GG29" i="23"/>
  <c r="GG28" i="23"/>
  <c r="GG27" i="23"/>
  <c r="GG26" i="23"/>
  <c r="GG25" i="23"/>
  <c r="GG24" i="23"/>
  <c r="GG23" i="23"/>
  <c r="GG22" i="23"/>
  <c r="GG21" i="23"/>
  <c r="GG20" i="23"/>
  <c r="GG19" i="23"/>
  <c r="GG18" i="23"/>
  <c r="GG17" i="23"/>
  <c r="GG16" i="23"/>
  <c r="GG15" i="23"/>
  <c r="GG14" i="23"/>
  <c r="GG13" i="23"/>
  <c r="GG12" i="23"/>
  <c r="GG11" i="23"/>
  <c r="GG10" i="23"/>
  <c r="GG9" i="23"/>
  <c r="GG8" i="23"/>
  <c r="GG7" i="23"/>
  <c r="GG6" i="23"/>
  <c r="GG5" i="23"/>
  <c r="GG4" i="23"/>
  <c r="E40" i="1"/>
  <c r="EG1" i="71"/>
  <c r="EG83" i="71"/>
  <c r="EG82" i="71"/>
  <c r="EG81" i="71"/>
  <c r="EG80" i="71"/>
  <c r="EG79" i="71"/>
  <c r="EG78" i="71"/>
  <c r="EG77" i="71"/>
  <c r="EG76" i="71"/>
  <c r="EG75" i="71"/>
  <c r="EG74" i="71"/>
  <c r="EG73" i="71"/>
  <c r="EG72" i="71"/>
  <c r="EG71" i="71"/>
  <c r="EG70" i="71"/>
  <c r="EG69" i="71"/>
  <c r="EG68" i="71"/>
  <c r="EG67" i="71"/>
  <c r="EG66" i="71"/>
  <c r="EG65" i="71"/>
  <c r="EG64" i="71"/>
  <c r="EG63" i="71"/>
  <c r="EG62" i="71"/>
  <c r="EG61" i="71"/>
  <c r="EG60" i="71"/>
  <c r="EG59" i="71"/>
  <c r="EG58" i="71"/>
  <c r="EG57" i="71"/>
  <c r="EG56" i="71"/>
  <c r="EG55" i="71"/>
  <c r="EG54" i="71"/>
  <c r="EG53" i="71"/>
  <c r="EG52" i="71"/>
  <c r="EG51" i="71"/>
  <c r="EG50" i="71"/>
  <c r="EG49" i="71"/>
  <c r="EG48" i="71"/>
  <c r="EG47" i="71"/>
  <c r="EG46" i="71"/>
  <c r="EG45" i="71"/>
  <c r="EG44" i="71"/>
  <c r="EG43" i="71"/>
  <c r="EG42" i="71"/>
  <c r="EG41" i="71"/>
  <c r="EG40" i="71"/>
  <c r="EG39" i="71"/>
  <c r="EG38" i="71"/>
  <c r="EG37" i="71"/>
  <c r="EG36" i="71"/>
  <c r="EG35" i="71"/>
  <c r="EG34" i="71"/>
  <c r="EG33" i="71"/>
  <c r="EG32" i="71"/>
  <c r="EG31" i="71"/>
  <c r="EG30" i="71"/>
  <c r="EG29" i="71"/>
  <c r="EG28" i="71"/>
  <c r="EG27" i="71"/>
  <c r="EG26" i="71"/>
  <c r="EG25" i="71"/>
  <c r="EG24" i="71"/>
  <c r="EG23" i="71"/>
  <c r="EG22" i="71"/>
  <c r="EG21" i="71"/>
  <c r="EG20" i="71"/>
  <c r="EG19" i="71"/>
  <c r="EG18" i="71"/>
  <c r="EG17" i="71"/>
  <c r="EG16" i="71"/>
  <c r="EG15" i="71"/>
  <c r="EG14" i="71"/>
  <c r="EG13" i="71"/>
  <c r="EG12" i="71"/>
  <c r="EG11" i="71"/>
  <c r="EG10" i="71"/>
  <c r="EG9" i="71"/>
  <c r="EG8" i="71"/>
  <c r="EG7" i="71"/>
  <c r="EG6" i="71"/>
  <c r="EG5" i="71"/>
  <c r="EG4" i="71"/>
  <c r="EG3" i="71"/>
  <c r="DL83" i="71"/>
  <c r="DL82" i="71"/>
  <c r="DL81" i="71"/>
  <c r="DL80" i="71"/>
  <c r="DL79" i="71"/>
  <c r="DL78" i="71"/>
  <c r="DL77" i="71"/>
  <c r="DL76" i="71"/>
  <c r="DL75" i="71"/>
  <c r="DL74" i="71"/>
  <c r="DL73" i="71"/>
  <c r="DL72" i="71"/>
  <c r="DL71" i="71"/>
  <c r="DL70" i="71"/>
  <c r="DL69" i="71"/>
  <c r="DL68" i="71"/>
  <c r="DL67" i="71"/>
  <c r="DL66" i="71"/>
  <c r="DL65" i="71"/>
  <c r="DL64" i="71"/>
  <c r="DL63" i="71"/>
  <c r="DL62" i="71"/>
  <c r="DL61" i="71"/>
  <c r="DL60" i="71"/>
  <c r="DL59" i="71"/>
  <c r="DL58" i="71"/>
  <c r="DL57" i="71"/>
  <c r="DL56" i="71"/>
  <c r="DL55" i="71"/>
  <c r="DL54" i="71"/>
  <c r="DL53" i="71"/>
  <c r="DL52" i="71"/>
  <c r="DL51" i="71"/>
  <c r="DL50" i="71"/>
  <c r="DL49" i="71"/>
  <c r="DL48" i="71"/>
  <c r="DL47" i="71"/>
  <c r="DL46" i="71"/>
  <c r="DL45" i="71"/>
  <c r="DL44" i="71"/>
  <c r="DL43" i="71"/>
  <c r="DL42" i="71"/>
  <c r="DL41" i="71"/>
  <c r="DL40" i="71"/>
  <c r="DL39" i="71"/>
  <c r="DL38" i="71"/>
  <c r="DL37" i="71"/>
  <c r="DL36" i="71"/>
  <c r="DL35" i="71"/>
  <c r="DL34" i="71"/>
  <c r="DL33" i="71"/>
  <c r="DL32" i="71"/>
  <c r="DL31" i="71"/>
  <c r="DL30" i="71"/>
  <c r="DL29" i="71"/>
  <c r="DL28" i="71"/>
  <c r="DL27" i="71"/>
  <c r="DL26" i="71"/>
  <c r="DL25" i="71"/>
  <c r="DL24" i="71"/>
  <c r="DL23" i="71"/>
  <c r="DL22" i="71"/>
  <c r="DL21" i="71"/>
  <c r="DL20" i="71"/>
  <c r="DL19" i="71"/>
  <c r="DL18" i="71"/>
  <c r="DL17" i="71"/>
  <c r="DL16" i="71"/>
  <c r="DL15" i="71"/>
  <c r="DL14" i="71"/>
  <c r="DL13" i="71"/>
  <c r="DL12" i="71"/>
  <c r="DL11" i="71"/>
  <c r="DL10" i="71"/>
  <c r="DL9" i="71"/>
  <c r="DL8" i="71"/>
  <c r="DL7" i="71"/>
  <c r="DL6" i="71"/>
  <c r="DL5" i="71"/>
  <c r="DL4" i="71"/>
  <c r="DL3" i="71"/>
  <c r="DM3" i="71"/>
  <c r="DM4" i="71" s="1"/>
  <c r="XFD1048550" i="71" a="1"/>
  <c r="XFD1048550" i="71" s="1"/>
  <c r="XFD1048551" i="71" a="1"/>
  <c r="XFD1048551" i="71" s="1"/>
  <c r="XFD1048552" i="71"/>
  <c r="XFD1048553" i="71"/>
  <c r="XFD1048554" i="71"/>
  <c r="XFD1048555" i="71"/>
  <c r="Y2" i="71"/>
  <c r="X2" i="71"/>
  <c r="W2" i="71"/>
  <c r="V2" i="71"/>
  <c r="U2" i="71"/>
  <c r="T2" i="71"/>
  <c r="E18" i="71"/>
  <c r="BD20" i="71" s="1"/>
  <c r="E19" i="71"/>
  <c r="E20" i="71"/>
  <c r="BL20" i="71" s="1"/>
  <c r="E21" i="71"/>
  <c r="E22" i="71"/>
  <c r="E23" i="71"/>
  <c r="D23" i="71"/>
  <c r="D22" i="71"/>
  <c r="D21" i="71"/>
  <c r="D20" i="71"/>
  <c r="D19" i="71"/>
  <c r="D18" i="71"/>
  <c r="BD19" i="71" s="1"/>
  <c r="BP20" i="71"/>
  <c r="BO20" i="71"/>
  <c r="BN20" i="71"/>
  <c r="BE20" i="71"/>
  <c r="BC20" i="71"/>
  <c r="BA20" i="71"/>
  <c r="BS19" i="71"/>
  <c r="BE19" i="71"/>
  <c r="D69" i="113"/>
  <c r="C69" i="113"/>
  <c r="B69" i="113"/>
  <c r="A69" i="113"/>
  <c r="D68" i="113"/>
  <c r="C68" i="113"/>
  <c r="B68" i="113"/>
  <c r="A68" i="113"/>
  <c r="D67" i="113"/>
  <c r="C67" i="113"/>
  <c r="B67" i="113"/>
  <c r="A67" i="113"/>
  <c r="D66" i="113"/>
  <c r="C66" i="113"/>
  <c r="B66" i="113"/>
  <c r="A66" i="113"/>
  <c r="D65" i="113"/>
  <c r="C65" i="113"/>
  <c r="B65" i="113"/>
  <c r="A65" i="113"/>
  <c r="D64" i="113"/>
  <c r="C64" i="113"/>
  <c r="B64" i="113"/>
  <c r="A64" i="113"/>
  <c r="D63" i="113"/>
  <c r="C63" i="113"/>
  <c r="B63" i="113"/>
  <c r="A63" i="113"/>
  <c r="D62" i="113"/>
  <c r="C62" i="113"/>
  <c r="B62" i="113"/>
  <c r="A62" i="113"/>
  <c r="D61" i="113"/>
  <c r="C61" i="113"/>
  <c r="B61" i="113"/>
  <c r="A61" i="113"/>
  <c r="D60" i="113"/>
  <c r="C60" i="113"/>
  <c r="B60" i="113"/>
  <c r="A60" i="113"/>
  <c r="D59" i="113"/>
  <c r="C59" i="113"/>
  <c r="B59" i="113"/>
  <c r="A59" i="113"/>
  <c r="D58" i="113"/>
  <c r="C58" i="113"/>
  <c r="B58" i="113"/>
  <c r="A58" i="113"/>
  <c r="D57" i="113"/>
  <c r="C57" i="113"/>
  <c r="B57" i="113"/>
  <c r="A57" i="113"/>
  <c r="D56" i="113"/>
  <c r="C56" i="113"/>
  <c r="B56" i="113"/>
  <c r="A56" i="113"/>
  <c r="D55" i="113"/>
  <c r="C55" i="113"/>
  <c r="B55" i="113"/>
  <c r="A55" i="113"/>
  <c r="D54" i="113"/>
  <c r="C54" i="113"/>
  <c r="B54" i="113"/>
  <c r="A54" i="113"/>
  <c r="D53" i="113"/>
  <c r="C53" i="113"/>
  <c r="B53" i="113"/>
  <c r="A53" i="113"/>
  <c r="D52" i="113"/>
  <c r="C52" i="113"/>
  <c r="B52" i="113"/>
  <c r="A52" i="113"/>
  <c r="D51" i="113"/>
  <c r="C51" i="113"/>
  <c r="B51" i="113"/>
  <c r="A51" i="113"/>
  <c r="D50" i="113"/>
  <c r="C50" i="113"/>
  <c r="B50" i="113"/>
  <c r="A50" i="113"/>
  <c r="D49" i="113"/>
  <c r="C49" i="113"/>
  <c r="B49" i="113"/>
  <c r="A49" i="113"/>
  <c r="D48" i="113"/>
  <c r="C48" i="113"/>
  <c r="B48" i="113"/>
  <c r="A48" i="113"/>
  <c r="D47" i="113"/>
  <c r="C47" i="113"/>
  <c r="B47" i="113"/>
  <c r="A47" i="113"/>
  <c r="D46" i="113"/>
  <c r="C46" i="113"/>
  <c r="B46" i="113"/>
  <c r="A46" i="113"/>
  <c r="D45" i="113"/>
  <c r="C45" i="113"/>
  <c r="B45" i="113"/>
  <c r="A45" i="113"/>
  <c r="D44" i="113"/>
  <c r="C44" i="113"/>
  <c r="B44" i="113"/>
  <c r="A44" i="113"/>
  <c r="D43" i="113"/>
  <c r="C43" i="113"/>
  <c r="B43" i="113"/>
  <c r="A43" i="113"/>
  <c r="D42" i="113"/>
  <c r="C42" i="113"/>
  <c r="B42" i="113"/>
  <c r="A42" i="113"/>
  <c r="D41" i="113"/>
  <c r="C41" i="113"/>
  <c r="B41" i="113"/>
  <c r="A41" i="113"/>
  <c r="D40" i="113"/>
  <c r="C40" i="113"/>
  <c r="A40" i="113"/>
  <c r="D39" i="113"/>
  <c r="C39" i="113"/>
  <c r="A39" i="113"/>
  <c r="D38" i="113"/>
  <c r="C38" i="113"/>
  <c r="A38" i="113"/>
  <c r="D37" i="113"/>
  <c r="C37" i="113"/>
  <c r="B37" i="113"/>
  <c r="A37" i="113"/>
  <c r="D36" i="113"/>
  <c r="C36" i="113"/>
  <c r="B36" i="113"/>
  <c r="A36" i="113"/>
  <c r="D35" i="113"/>
  <c r="C35" i="113"/>
  <c r="B35" i="113"/>
  <c r="A35" i="113"/>
  <c r="D34" i="113"/>
  <c r="C34" i="113"/>
  <c r="B34" i="113"/>
  <c r="A34" i="113"/>
  <c r="D33" i="113"/>
  <c r="C33" i="113"/>
  <c r="B33" i="113"/>
  <c r="A33" i="113"/>
  <c r="D32" i="113"/>
  <c r="C32" i="113"/>
  <c r="B32" i="113"/>
  <c r="A32" i="113"/>
  <c r="D31" i="113"/>
  <c r="C31" i="113"/>
  <c r="B31" i="113"/>
  <c r="A31" i="113"/>
  <c r="D30" i="113"/>
  <c r="C30" i="113"/>
  <c r="B30" i="113"/>
  <c r="A30" i="113"/>
  <c r="D29" i="113"/>
  <c r="C29" i="113"/>
  <c r="B29" i="113"/>
  <c r="A29" i="113"/>
  <c r="D28" i="113"/>
  <c r="C28" i="113"/>
  <c r="B28" i="113"/>
  <c r="A28" i="113"/>
  <c r="D27" i="113"/>
  <c r="C27" i="113"/>
  <c r="B27" i="113"/>
  <c r="A27" i="113"/>
  <c r="D26" i="113"/>
  <c r="C26" i="113"/>
  <c r="B26" i="113"/>
  <c r="A26" i="113"/>
  <c r="D25" i="113"/>
  <c r="C25" i="113"/>
  <c r="B25" i="113"/>
  <c r="A25" i="113"/>
  <c r="D24" i="113"/>
  <c r="C24" i="113"/>
  <c r="B24" i="113"/>
  <c r="A24" i="113"/>
  <c r="D23" i="113"/>
  <c r="C23" i="113"/>
  <c r="B23" i="113"/>
  <c r="A23" i="113"/>
  <c r="D22" i="113"/>
  <c r="C22" i="113"/>
  <c r="B22" i="113"/>
  <c r="A22" i="113"/>
  <c r="D21" i="113"/>
  <c r="C21" i="113"/>
  <c r="B21" i="113"/>
  <c r="A21" i="113"/>
  <c r="D20" i="113"/>
  <c r="C20" i="113"/>
  <c r="B20" i="113"/>
  <c r="A20" i="113"/>
  <c r="D19" i="113"/>
  <c r="C19" i="113"/>
  <c r="B19" i="113"/>
  <c r="A19" i="113"/>
  <c r="D18" i="113"/>
  <c r="C18" i="113"/>
  <c r="B18" i="113"/>
  <c r="A18" i="113"/>
  <c r="D17" i="113"/>
  <c r="C17" i="113"/>
  <c r="B17" i="113"/>
  <c r="A17" i="113"/>
  <c r="D16" i="113"/>
  <c r="C16" i="113"/>
  <c r="B16" i="113"/>
  <c r="A16" i="113"/>
  <c r="D15" i="113"/>
  <c r="C15" i="113"/>
  <c r="B15" i="113"/>
  <c r="A15" i="113"/>
  <c r="D14" i="113"/>
  <c r="C14" i="113"/>
  <c r="B14" i="113"/>
  <c r="A14" i="113"/>
  <c r="D13" i="113"/>
  <c r="C13" i="113"/>
  <c r="B13" i="113"/>
  <c r="A13" i="113"/>
  <c r="D12" i="113"/>
  <c r="C12" i="113"/>
  <c r="B12" i="113"/>
  <c r="A12" i="113"/>
  <c r="D11" i="113"/>
  <c r="C11" i="113"/>
  <c r="B11" i="113"/>
  <c r="A11" i="113"/>
  <c r="D10" i="113"/>
  <c r="C10" i="113"/>
  <c r="B10" i="113"/>
  <c r="A10" i="113"/>
  <c r="D9" i="113"/>
  <c r="C9" i="113"/>
  <c r="B9" i="113"/>
  <c r="A9" i="113"/>
  <c r="D8" i="113"/>
  <c r="C8" i="113"/>
  <c r="B8" i="113"/>
  <c r="A8" i="113"/>
  <c r="D7" i="113"/>
  <c r="C7" i="113"/>
  <c r="B7" i="113"/>
  <c r="A7" i="113"/>
  <c r="D6" i="113"/>
  <c r="C6" i="113"/>
  <c r="B6" i="113"/>
  <c r="A6" i="113"/>
  <c r="D5" i="113"/>
  <c r="C5" i="113"/>
  <c r="B5" i="113"/>
  <c r="A5" i="113"/>
  <c r="D4" i="113"/>
  <c r="C4" i="113"/>
  <c r="B4" i="113"/>
  <c r="A4" i="113"/>
  <c r="D3" i="113"/>
  <c r="C3" i="113"/>
  <c r="B3" i="113"/>
  <c r="A3" i="113"/>
  <c r="D2" i="113"/>
  <c r="C2" i="113"/>
  <c r="B2" i="113"/>
  <c r="A2" i="113"/>
  <c r="D1" i="113"/>
  <c r="C1" i="113"/>
  <c r="B1" i="113"/>
  <c r="A1" i="113"/>
  <c r="AG2" i="3"/>
  <c r="D13" i="109"/>
  <c r="D12" i="109"/>
  <c r="D19" i="109"/>
  <c r="D27" i="109"/>
  <c r="D35" i="109"/>
  <c r="D40" i="109"/>
  <c r="XFD1048550" i="3"/>
  <c r="XFD1048551" i="3"/>
  <c r="XFD1048552" i="3"/>
  <c r="XFD1048553" i="3"/>
  <c r="XFD1048554" i="3"/>
  <c r="XFD1048555" i="3" a="1"/>
  <c r="XFD1048555" i="3" s="1"/>
  <c r="XFD1048556" i="3"/>
  <c r="XFD1048557" i="3"/>
  <c r="XFD1048558" i="3"/>
  <c r="XFD1048559" i="3"/>
  <c r="XFD1048560" i="3"/>
  <c r="XFD1048561" i="3"/>
  <c r="XFD1048562" i="3" a="1"/>
  <c r="XFD1048562" i="3" s="1"/>
  <c r="XFD1048563" i="3" a="1"/>
  <c r="XFD1048563" i="3" s="1"/>
  <c r="XFD1048564" i="3" a="1"/>
  <c r="XFD1048564" i="3" s="1"/>
  <c r="XFD1048565" i="3" a="1"/>
  <c r="XFD1048565" i="3" s="1"/>
  <c r="XFD1048566" i="3" a="1"/>
  <c r="XFD1048566" i="3" s="1"/>
  <c r="XFD1048567" i="3" a="1"/>
  <c r="XFD1048567" i="3" s="1"/>
  <c r="XFD1048568" i="3" a="1"/>
  <c r="XFD1048568" i="3" s="1"/>
  <c r="XFD1048569" i="3" a="1"/>
  <c r="XFD1048569" i="3" s="1"/>
  <c r="XFD1048570" i="3" a="1"/>
  <c r="XFD1048570" i="3" s="1"/>
  <c r="XFD1048571" i="3" a="1"/>
  <c r="XFD1048571" i="3" s="1"/>
  <c r="XFD1048572" i="3" a="1"/>
  <c r="XFD1048572" i="3" s="1"/>
  <c r="XFD1048573" i="3" a="1"/>
  <c r="XFD1048573" i="3" s="1"/>
  <c r="XFD1048574" i="3" a="1"/>
  <c r="XFD1048574" i="3" s="1"/>
  <c r="XFD1048575" i="3" a="1"/>
  <c r="XFD1048575" i="3" s="1"/>
  <c r="G78" i="3"/>
  <c r="G77" i="3"/>
  <c r="G76" i="3"/>
  <c r="G75" i="3"/>
  <c r="G74" i="3"/>
  <c r="G73" i="3"/>
  <c r="G72" i="3"/>
  <c r="G71" i="3"/>
  <c r="H71" i="3" s="1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H46" i="3" s="1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H32" i="3" s="1"/>
  <c r="G31" i="3"/>
  <c r="G30" i="3"/>
  <c r="G29" i="3"/>
  <c r="H29" i="3" s="1"/>
  <c r="G28" i="3"/>
  <c r="G27" i="3"/>
  <c r="H27" i="3" s="1"/>
  <c r="G26" i="3"/>
  <c r="G25" i="3"/>
  <c r="G24" i="3"/>
  <c r="G23" i="3"/>
  <c r="G22" i="3"/>
  <c r="H22" i="3" s="1"/>
  <c r="G21" i="3"/>
  <c r="H21" i="3" s="1"/>
  <c r="G20" i="3"/>
  <c r="H20" i="3" s="1"/>
  <c r="G19" i="3"/>
  <c r="H19" i="3" s="1"/>
  <c r="G18" i="3"/>
  <c r="H18" i="3" s="1"/>
  <c r="G17" i="3"/>
  <c r="H17" i="3" s="1"/>
  <c r="G16" i="3"/>
  <c r="H16" i="3" s="1"/>
  <c r="G15" i="3"/>
  <c r="G14" i="3"/>
  <c r="G13" i="3"/>
  <c r="G12" i="3"/>
  <c r="G11" i="3"/>
  <c r="H11" i="3" s="1"/>
  <c r="G10" i="3"/>
  <c r="DS1" i="71"/>
  <c r="J24" i="110"/>
  <c r="P23" i="110"/>
  <c r="N23" i="110"/>
  <c r="M23" i="110"/>
  <c r="L23" i="110"/>
  <c r="K23" i="110"/>
  <c r="J23" i="110"/>
  <c r="I23" i="110"/>
  <c r="D23" i="110"/>
  <c r="C23" i="110"/>
  <c r="J4" i="110"/>
  <c r="P3" i="110"/>
  <c r="N3" i="110"/>
  <c r="M3" i="110"/>
  <c r="L3" i="110"/>
  <c r="K3" i="110"/>
  <c r="J3" i="110"/>
  <c r="I3" i="110"/>
  <c r="D3" i="110"/>
  <c r="C3" i="110"/>
  <c r="A24" i="110"/>
  <c r="P24" i="110" s="1"/>
  <c r="A4" i="110"/>
  <c r="P4" i="110" s="1"/>
  <c r="XFD1048550" i="109"/>
  <c r="XFD1048551" i="109"/>
  <c r="XFD1048552" i="109"/>
  <c r="XFD1048553" i="109"/>
  <c r="XFD1048554" i="109"/>
  <c r="XFD1048555" i="109" a="1"/>
  <c r="XFD1048555" i="109" s="1"/>
  <c r="XFD1048556" i="109"/>
  <c r="XFD1048557" i="109"/>
  <c r="XFD1048558" i="109"/>
  <c r="XFD1048559" i="109"/>
  <c r="XFD1048560" i="109"/>
  <c r="XFD1048561" i="109"/>
  <c r="XFD1048562" i="109" a="1"/>
  <c r="XFD1048562" i="109" s="1"/>
  <c r="XFD1048563" i="109" a="1"/>
  <c r="XFD1048563" i="109" s="1"/>
  <c r="XFD1048564" i="109" a="1"/>
  <c r="XFD1048564" i="109" s="1"/>
  <c r="XFD1048565" i="109" a="1"/>
  <c r="XFD1048565" i="109" s="1"/>
  <c r="XFD1048566" i="109" a="1"/>
  <c r="XFD1048566" i="109" s="1"/>
  <c r="XFD1048567" i="109" a="1"/>
  <c r="XFD1048567" i="109" s="1"/>
  <c r="XFD1048568" i="109" a="1"/>
  <c r="XFD1048568" i="109" s="1"/>
  <c r="XFD1048569" i="109" a="1"/>
  <c r="XFD1048569" i="109" s="1"/>
  <c r="XFD1048570" i="109" a="1"/>
  <c r="XFD1048570" i="109" s="1"/>
  <c r="XFD1048571" i="109" a="1"/>
  <c r="XFD1048571" i="109" s="1"/>
  <c r="XFD1048572" i="109" a="1"/>
  <c r="XFD1048572" i="109" s="1"/>
  <c r="XFD1048573" i="109" a="1"/>
  <c r="XFD1048573" i="109" s="1"/>
  <c r="XFD1048574" i="109" a="1"/>
  <c r="XFD1048574" i="109" s="1"/>
  <c r="XFD1048575" i="109" a="1"/>
  <c r="XFD1048575" i="109" s="1"/>
  <c r="D38" i="109"/>
  <c r="V78" i="109"/>
  <c r="T78" i="109"/>
  <c r="N78" i="109"/>
  <c r="L78" i="109"/>
  <c r="J78" i="109"/>
  <c r="K78" i="109" s="1"/>
  <c r="H78" i="109"/>
  <c r="C78" i="109"/>
  <c r="B78" i="109"/>
  <c r="P78" i="109" s="1"/>
  <c r="A78" i="109"/>
  <c r="T77" i="109"/>
  <c r="U77" i="109" s="1"/>
  <c r="P77" i="109"/>
  <c r="Q77" i="109" s="1"/>
  <c r="L77" i="109"/>
  <c r="M77" i="109" s="1"/>
  <c r="H77" i="109"/>
  <c r="C77" i="109"/>
  <c r="B77" i="109"/>
  <c r="V77" i="109" s="1"/>
  <c r="W77" i="109" s="1"/>
  <c r="A77" i="109"/>
  <c r="C76" i="109"/>
  <c r="B76" i="109"/>
  <c r="A76" i="109"/>
  <c r="T75" i="109"/>
  <c r="U75" i="109" s="1"/>
  <c r="P75" i="109"/>
  <c r="Q75" i="109" s="1"/>
  <c r="N75" i="109"/>
  <c r="O75" i="109" s="1"/>
  <c r="L75" i="109"/>
  <c r="M75" i="109" s="1"/>
  <c r="H75" i="109"/>
  <c r="I75" i="109" s="1"/>
  <c r="C75" i="109"/>
  <c r="B75" i="109"/>
  <c r="V75" i="109" s="1"/>
  <c r="W75" i="109" s="1"/>
  <c r="A75" i="109"/>
  <c r="V74" i="109"/>
  <c r="W74" i="109" s="1"/>
  <c r="N74" i="109"/>
  <c r="O74" i="109" s="1"/>
  <c r="L74" i="109"/>
  <c r="M74" i="109" s="1"/>
  <c r="J74" i="109"/>
  <c r="K74" i="109" s="1"/>
  <c r="C74" i="109"/>
  <c r="B74" i="109"/>
  <c r="P74" i="109" s="1"/>
  <c r="A74" i="109"/>
  <c r="V73" i="109"/>
  <c r="W73" i="109" s="1"/>
  <c r="T73" i="109"/>
  <c r="U73" i="109" s="1"/>
  <c r="P73" i="109"/>
  <c r="Q73" i="109" s="1"/>
  <c r="N73" i="109"/>
  <c r="O73" i="109" s="1"/>
  <c r="L73" i="109"/>
  <c r="M73" i="109" s="1"/>
  <c r="J73" i="109"/>
  <c r="K73" i="109" s="1"/>
  <c r="H73" i="109"/>
  <c r="I73" i="109" s="1"/>
  <c r="C73" i="109"/>
  <c r="B73" i="109"/>
  <c r="A73" i="109"/>
  <c r="V72" i="109"/>
  <c r="W72" i="109" s="1"/>
  <c r="T72" i="109"/>
  <c r="U72" i="109" s="1"/>
  <c r="P72" i="109"/>
  <c r="Q72" i="109" s="1"/>
  <c r="N72" i="109"/>
  <c r="L72" i="109"/>
  <c r="J72" i="109"/>
  <c r="H72" i="109"/>
  <c r="I72" i="109" s="1"/>
  <c r="C72" i="109"/>
  <c r="B72" i="109"/>
  <c r="A72" i="109"/>
  <c r="V71" i="109"/>
  <c r="T71" i="109"/>
  <c r="U71" i="109" s="1"/>
  <c r="P71" i="109"/>
  <c r="N71" i="109"/>
  <c r="O71" i="109" s="1"/>
  <c r="L71" i="109"/>
  <c r="J71" i="109"/>
  <c r="H71" i="109"/>
  <c r="I71" i="109" s="1"/>
  <c r="C71" i="109"/>
  <c r="B71" i="109"/>
  <c r="A71" i="109"/>
  <c r="T70" i="109"/>
  <c r="P70" i="109"/>
  <c r="Q70" i="109" s="1"/>
  <c r="N70" i="109"/>
  <c r="L70" i="109"/>
  <c r="J70" i="109"/>
  <c r="H70" i="109"/>
  <c r="D70" i="109"/>
  <c r="C70" i="109"/>
  <c r="B70" i="109"/>
  <c r="V70" i="109" s="1"/>
  <c r="A70" i="109"/>
  <c r="D69" i="109"/>
  <c r="C69" i="109"/>
  <c r="B69" i="109"/>
  <c r="A69" i="109"/>
  <c r="T68" i="109"/>
  <c r="N68" i="109"/>
  <c r="O68" i="109" s="1"/>
  <c r="D68" i="109"/>
  <c r="C68" i="109"/>
  <c r="B68" i="109"/>
  <c r="V68" i="109" s="1"/>
  <c r="A68" i="109"/>
  <c r="N67" i="109"/>
  <c r="L67" i="109"/>
  <c r="M67" i="109" s="1"/>
  <c r="D67" i="109"/>
  <c r="C67" i="109"/>
  <c r="B67" i="109"/>
  <c r="P67" i="109" s="1"/>
  <c r="Q67" i="109" s="1"/>
  <c r="A67" i="109"/>
  <c r="T66" i="109"/>
  <c r="P66" i="109"/>
  <c r="N66" i="109"/>
  <c r="L66" i="109"/>
  <c r="M66" i="109" s="1"/>
  <c r="J66" i="109"/>
  <c r="H66" i="109"/>
  <c r="D66" i="109"/>
  <c r="C66" i="109"/>
  <c r="B66" i="109"/>
  <c r="V66" i="109" s="1"/>
  <c r="A66" i="109"/>
  <c r="L65" i="109"/>
  <c r="M65" i="109" s="1"/>
  <c r="D65" i="109"/>
  <c r="C65" i="109"/>
  <c r="B65" i="109"/>
  <c r="N65" i="109" s="1"/>
  <c r="O65" i="109" s="1"/>
  <c r="A65" i="109"/>
  <c r="T64" i="109"/>
  <c r="L64" i="109"/>
  <c r="D64" i="109"/>
  <c r="C64" i="109"/>
  <c r="B64" i="109"/>
  <c r="J64" i="109" s="1"/>
  <c r="A64" i="109"/>
  <c r="V63" i="109"/>
  <c r="T63" i="109"/>
  <c r="U63" i="109" s="1"/>
  <c r="N63" i="109"/>
  <c r="O63" i="109" s="1"/>
  <c r="L63" i="109"/>
  <c r="M63" i="109" s="1"/>
  <c r="J63" i="109"/>
  <c r="K63" i="109" s="1"/>
  <c r="H63" i="109"/>
  <c r="D63" i="109"/>
  <c r="C63" i="109"/>
  <c r="B63" i="109"/>
  <c r="P63" i="109" s="1"/>
  <c r="Q63" i="109" s="1"/>
  <c r="A63" i="109"/>
  <c r="V62" i="109"/>
  <c r="N62" i="109"/>
  <c r="L62" i="109"/>
  <c r="J62" i="109"/>
  <c r="H62" i="109"/>
  <c r="I62" i="109" s="1"/>
  <c r="D62" i="109"/>
  <c r="C62" i="109"/>
  <c r="B62" i="109"/>
  <c r="T62" i="109" s="1"/>
  <c r="U62" i="109" s="1"/>
  <c r="A62" i="109"/>
  <c r="T61" i="109"/>
  <c r="U61" i="109" s="1"/>
  <c r="L61" i="109"/>
  <c r="M61" i="109" s="1"/>
  <c r="C61" i="109"/>
  <c r="B61" i="109"/>
  <c r="H61" i="109" s="1"/>
  <c r="I61" i="109" s="1"/>
  <c r="A61" i="109"/>
  <c r="C60" i="109"/>
  <c r="B60" i="109"/>
  <c r="A60" i="109"/>
  <c r="P59" i="109"/>
  <c r="Q59" i="109" s="1"/>
  <c r="H59" i="109"/>
  <c r="C59" i="109"/>
  <c r="B59" i="109"/>
  <c r="T59" i="109" s="1"/>
  <c r="U59" i="109" s="1"/>
  <c r="A59" i="109"/>
  <c r="P58" i="109"/>
  <c r="Q58" i="109" s="1"/>
  <c r="N58" i="109"/>
  <c r="O58" i="109" s="1"/>
  <c r="L58" i="109"/>
  <c r="M58" i="109" s="1"/>
  <c r="C58" i="109"/>
  <c r="B58" i="109"/>
  <c r="V58" i="109" s="1"/>
  <c r="W58" i="109" s="1"/>
  <c r="A58" i="109"/>
  <c r="N57" i="109"/>
  <c r="L57" i="109"/>
  <c r="M57" i="109" s="1"/>
  <c r="C57" i="109"/>
  <c r="B57" i="109"/>
  <c r="P57" i="109" s="1"/>
  <c r="Q57" i="109" s="1"/>
  <c r="A57" i="109"/>
  <c r="AA56" i="109"/>
  <c r="N56" i="109"/>
  <c r="O56" i="109" s="1"/>
  <c r="C56" i="109"/>
  <c r="B56" i="109"/>
  <c r="A56" i="109"/>
  <c r="P55" i="109"/>
  <c r="Q55" i="109" s="1"/>
  <c r="C55" i="109"/>
  <c r="B55" i="109"/>
  <c r="L55" i="109" s="1"/>
  <c r="M55" i="109" s="1"/>
  <c r="A55" i="109"/>
  <c r="AA54" i="109"/>
  <c r="V54" i="109"/>
  <c r="W54" i="109" s="1"/>
  <c r="T54" i="109"/>
  <c r="P54" i="109"/>
  <c r="N54" i="109"/>
  <c r="O54" i="109" s="1"/>
  <c r="L54" i="109"/>
  <c r="J54" i="109"/>
  <c r="K54" i="109" s="1"/>
  <c r="H54" i="109"/>
  <c r="C54" i="109"/>
  <c r="B54" i="109"/>
  <c r="A54" i="109"/>
  <c r="V53" i="109"/>
  <c r="T53" i="109"/>
  <c r="P53" i="109"/>
  <c r="Q53" i="109" s="1"/>
  <c r="N53" i="109"/>
  <c r="L53" i="109"/>
  <c r="J53" i="109"/>
  <c r="K53" i="109" s="1"/>
  <c r="H53" i="109"/>
  <c r="C53" i="109"/>
  <c r="B53" i="109"/>
  <c r="A53" i="109"/>
  <c r="AA52" i="109"/>
  <c r="N52" i="109"/>
  <c r="O52" i="109" s="1"/>
  <c r="C52" i="109"/>
  <c r="B52" i="109"/>
  <c r="T52" i="109" s="1"/>
  <c r="U52" i="109" s="1"/>
  <c r="A52" i="109"/>
  <c r="L51" i="109"/>
  <c r="M51" i="109" s="1"/>
  <c r="C51" i="109"/>
  <c r="B51" i="109"/>
  <c r="J51" i="109" s="1"/>
  <c r="K51" i="109" s="1"/>
  <c r="A51" i="109"/>
  <c r="C50" i="109"/>
  <c r="B50" i="109"/>
  <c r="A50" i="109"/>
  <c r="T49" i="109"/>
  <c r="N49" i="109"/>
  <c r="L49" i="109"/>
  <c r="H49" i="109"/>
  <c r="D49" i="109"/>
  <c r="C49" i="109"/>
  <c r="B49" i="109"/>
  <c r="P49" i="109" s="1"/>
  <c r="A49" i="109"/>
  <c r="V48" i="109"/>
  <c r="T48" i="109"/>
  <c r="P48" i="109"/>
  <c r="L48" i="109"/>
  <c r="J48" i="109"/>
  <c r="H48" i="109"/>
  <c r="D48" i="109"/>
  <c r="C48" i="109"/>
  <c r="B48" i="109"/>
  <c r="N48" i="109" s="1"/>
  <c r="A48" i="109"/>
  <c r="P47" i="109"/>
  <c r="J47" i="109"/>
  <c r="D47" i="109"/>
  <c r="C47" i="109"/>
  <c r="B47" i="109"/>
  <c r="L47" i="109" s="1"/>
  <c r="A47" i="109"/>
  <c r="C46" i="109"/>
  <c r="B46" i="109"/>
  <c r="N46" i="109" s="1"/>
  <c r="O46" i="109" s="1"/>
  <c r="A46" i="109"/>
  <c r="V45" i="109"/>
  <c r="W45" i="109" s="1"/>
  <c r="T45" i="109"/>
  <c r="U45" i="109" s="1"/>
  <c r="P45" i="109"/>
  <c r="N45" i="109"/>
  <c r="O45" i="109" s="1"/>
  <c r="L45" i="109"/>
  <c r="M45" i="109" s="1"/>
  <c r="J45" i="109"/>
  <c r="H45" i="109"/>
  <c r="C45" i="109"/>
  <c r="B45" i="109"/>
  <c r="A45" i="109"/>
  <c r="V44" i="109"/>
  <c r="W44" i="109" s="1"/>
  <c r="P44" i="109"/>
  <c r="Q44" i="109" s="1"/>
  <c r="N44" i="109"/>
  <c r="O44" i="109" s="1"/>
  <c r="L44" i="109"/>
  <c r="M44" i="109" s="1"/>
  <c r="C44" i="109"/>
  <c r="B44" i="109"/>
  <c r="T44" i="109" s="1"/>
  <c r="U44" i="109" s="1"/>
  <c r="A44" i="109"/>
  <c r="V43" i="109"/>
  <c r="T43" i="109"/>
  <c r="U43" i="109" s="1"/>
  <c r="L43" i="109"/>
  <c r="J43" i="109"/>
  <c r="K43" i="109" s="1"/>
  <c r="H43" i="109"/>
  <c r="C43" i="109"/>
  <c r="B43" i="109"/>
  <c r="N43" i="109" s="1"/>
  <c r="O43" i="109" s="1"/>
  <c r="A43" i="109"/>
  <c r="V42" i="109"/>
  <c r="T42" i="109"/>
  <c r="U42" i="109" s="1"/>
  <c r="P42" i="109"/>
  <c r="N42" i="109"/>
  <c r="O42" i="109" s="1"/>
  <c r="L42" i="109"/>
  <c r="J42" i="109"/>
  <c r="H42" i="109"/>
  <c r="I42" i="109" s="1"/>
  <c r="C42" i="109"/>
  <c r="B42" i="109"/>
  <c r="A42" i="109"/>
  <c r="V41" i="109"/>
  <c r="W41" i="109" s="1"/>
  <c r="P41" i="109"/>
  <c r="Q41" i="109" s="1"/>
  <c r="N41" i="109"/>
  <c r="O41" i="109" s="1"/>
  <c r="L41" i="109"/>
  <c r="M41" i="109" s="1"/>
  <c r="J41" i="109"/>
  <c r="K41" i="109" s="1"/>
  <c r="H41" i="109"/>
  <c r="I41" i="109" s="1"/>
  <c r="C41" i="109"/>
  <c r="B41" i="109"/>
  <c r="T41" i="109" s="1"/>
  <c r="U41" i="109" s="1"/>
  <c r="A41" i="109"/>
  <c r="V40" i="109"/>
  <c r="W40" i="109" s="1"/>
  <c r="T40" i="109"/>
  <c r="U40" i="109" s="1"/>
  <c r="P40" i="109"/>
  <c r="H40" i="109"/>
  <c r="C40" i="109"/>
  <c r="B40" i="109"/>
  <c r="J40" i="109" s="1"/>
  <c r="K40" i="109" s="1"/>
  <c r="A40" i="109"/>
  <c r="V39" i="109"/>
  <c r="T39" i="109"/>
  <c r="P39" i="109"/>
  <c r="N39" i="109"/>
  <c r="L39" i="109"/>
  <c r="J39" i="109"/>
  <c r="K39" i="109" s="1"/>
  <c r="H39" i="109"/>
  <c r="C39" i="109"/>
  <c r="B39" i="109"/>
  <c r="A39" i="109"/>
  <c r="C38" i="109"/>
  <c r="B38" i="109"/>
  <c r="T38" i="109" s="1"/>
  <c r="U38" i="109" s="1"/>
  <c r="A38" i="109"/>
  <c r="L37" i="109"/>
  <c r="M37" i="109" s="1"/>
  <c r="C37" i="109"/>
  <c r="B37" i="109"/>
  <c r="V37" i="109" s="1"/>
  <c r="W37" i="109" s="1"/>
  <c r="A37" i="109"/>
  <c r="V36" i="109"/>
  <c r="W36" i="109" s="1"/>
  <c r="T36" i="109"/>
  <c r="U36" i="109" s="1"/>
  <c r="P36" i="109"/>
  <c r="Q36" i="109" s="1"/>
  <c r="N36" i="109"/>
  <c r="O36" i="109" s="1"/>
  <c r="L36" i="109"/>
  <c r="M36" i="109" s="1"/>
  <c r="J36" i="109"/>
  <c r="K36" i="109" s="1"/>
  <c r="H36" i="109"/>
  <c r="C36" i="109"/>
  <c r="B36" i="109"/>
  <c r="A36" i="109"/>
  <c r="C35" i="109"/>
  <c r="B35" i="109"/>
  <c r="V35" i="109" s="1"/>
  <c r="W35" i="109" s="1"/>
  <c r="A35" i="109"/>
  <c r="AA34" i="109"/>
  <c r="V34" i="109"/>
  <c r="W34" i="109" s="1"/>
  <c r="T34" i="109"/>
  <c r="U34" i="109" s="1"/>
  <c r="P34" i="109"/>
  <c r="Q34" i="109" s="1"/>
  <c r="H34" i="109"/>
  <c r="C34" i="109"/>
  <c r="B34" i="109"/>
  <c r="A34" i="109"/>
  <c r="AA33" i="109"/>
  <c r="V33" i="109"/>
  <c r="W33" i="109" s="1"/>
  <c r="T33" i="109"/>
  <c r="P33" i="109"/>
  <c r="N33" i="109"/>
  <c r="O33" i="109" s="1"/>
  <c r="L33" i="109"/>
  <c r="J33" i="109"/>
  <c r="H33" i="109"/>
  <c r="I33" i="109" s="1"/>
  <c r="C33" i="109"/>
  <c r="B33" i="109"/>
  <c r="A33" i="109"/>
  <c r="AA32" i="109"/>
  <c r="H32" i="109"/>
  <c r="I32" i="109" s="1"/>
  <c r="C32" i="109"/>
  <c r="B32" i="109"/>
  <c r="V32" i="109" s="1"/>
  <c r="W32" i="109" s="1"/>
  <c r="A32" i="109"/>
  <c r="AA31" i="109"/>
  <c r="V31" i="109"/>
  <c r="W31" i="109" s="1"/>
  <c r="T31" i="109"/>
  <c r="U31" i="109" s="1"/>
  <c r="N31" i="109"/>
  <c r="O31" i="109" s="1"/>
  <c r="J31" i="109"/>
  <c r="K31" i="109" s="1"/>
  <c r="H31" i="109"/>
  <c r="I31" i="109" s="1"/>
  <c r="C31" i="109"/>
  <c r="B31" i="109"/>
  <c r="A31" i="109"/>
  <c r="AA30" i="109"/>
  <c r="V30" i="109"/>
  <c r="W30" i="109" s="1"/>
  <c r="T30" i="109"/>
  <c r="P30" i="109"/>
  <c r="N30" i="109"/>
  <c r="L30" i="109"/>
  <c r="M30" i="109" s="1"/>
  <c r="J30" i="109"/>
  <c r="H30" i="109"/>
  <c r="I30" i="109" s="1"/>
  <c r="C30" i="109"/>
  <c r="B30" i="109"/>
  <c r="A30" i="109"/>
  <c r="AA29" i="109"/>
  <c r="V29" i="109"/>
  <c r="W29" i="109" s="1"/>
  <c r="T29" i="109"/>
  <c r="P29" i="109"/>
  <c r="Q29" i="109" s="1"/>
  <c r="L29" i="109"/>
  <c r="J29" i="109"/>
  <c r="K29" i="109" s="1"/>
  <c r="H29" i="109"/>
  <c r="C29" i="109"/>
  <c r="B29" i="109"/>
  <c r="N29" i="109" s="1"/>
  <c r="A29" i="109"/>
  <c r="AA28" i="109"/>
  <c r="V28" i="109"/>
  <c r="W28" i="109" s="1"/>
  <c r="T28" i="109"/>
  <c r="U28" i="109" s="1"/>
  <c r="P28" i="109"/>
  <c r="Q28" i="109" s="1"/>
  <c r="N28" i="109"/>
  <c r="O28" i="109" s="1"/>
  <c r="L28" i="109"/>
  <c r="M28" i="109" s="1"/>
  <c r="J28" i="109"/>
  <c r="K28" i="109" s="1"/>
  <c r="H28" i="109"/>
  <c r="I28" i="109" s="1"/>
  <c r="C28" i="109"/>
  <c r="B28" i="109"/>
  <c r="A28" i="109"/>
  <c r="AA27" i="109"/>
  <c r="V27" i="109"/>
  <c r="T27" i="109"/>
  <c r="P27" i="109"/>
  <c r="N27" i="109"/>
  <c r="O27" i="109" s="1"/>
  <c r="L27" i="109"/>
  <c r="M27" i="109" s="1"/>
  <c r="J27" i="109"/>
  <c r="H27" i="109"/>
  <c r="C27" i="109"/>
  <c r="B27" i="109"/>
  <c r="A27" i="109"/>
  <c r="D26" i="109"/>
  <c r="C26" i="109"/>
  <c r="B26" i="109"/>
  <c r="H26" i="109" s="1"/>
  <c r="A26" i="109"/>
  <c r="P25" i="109"/>
  <c r="Q25" i="109" s="1"/>
  <c r="N25" i="109"/>
  <c r="O25" i="109" s="1"/>
  <c r="D25" i="109"/>
  <c r="C25" i="109"/>
  <c r="B25" i="109"/>
  <c r="V25" i="109" s="1"/>
  <c r="A25" i="109"/>
  <c r="P24" i="109"/>
  <c r="Q24" i="109" s="1"/>
  <c r="D24" i="109"/>
  <c r="C24" i="109"/>
  <c r="B24" i="109"/>
  <c r="N24" i="109" s="1"/>
  <c r="O24" i="109" s="1"/>
  <c r="A24" i="109"/>
  <c r="V23" i="109"/>
  <c r="N23" i="109"/>
  <c r="L23" i="109"/>
  <c r="J23" i="109"/>
  <c r="K23" i="109" s="1"/>
  <c r="D23" i="109"/>
  <c r="C23" i="109"/>
  <c r="B23" i="109"/>
  <c r="P23" i="109" s="1"/>
  <c r="A23" i="109"/>
  <c r="AO22" i="109"/>
  <c r="AM22" i="109"/>
  <c r="AN22" i="109" s="1"/>
  <c r="AJ22" i="109"/>
  <c r="AI22" i="109"/>
  <c r="AG22" i="109"/>
  <c r="AK22" i="109" s="1"/>
  <c r="AF22" i="109"/>
  <c r="V22" i="109"/>
  <c r="W22" i="109" s="1"/>
  <c r="T22" i="109"/>
  <c r="U22" i="109" s="1"/>
  <c r="L22" i="109"/>
  <c r="M22" i="109" s="1"/>
  <c r="J22" i="109"/>
  <c r="K22" i="109" s="1"/>
  <c r="H22" i="109"/>
  <c r="I22" i="109" s="1"/>
  <c r="F22" i="109"/>
  <c r="D22" i="109"/>
  <c r="C22" i="109"/>
  <c r="B22" i="109"/>
  <c r="N22" i="109" s="1"/>
  <c r="O22" i="109" s="1"/>
  <c r="A22" i="109"/>
  <c r="AO21" i="109"/>
  <c r="AM21" i="109"/>
  <c r="AK21" i="109"/>
  <c r="AJ21" i="109"/>
  <c r="AL21" i="109" s="1"/>
  <c r="AI21" i="109"/>
  <c r="AG21" i="109"/>
  <c r="AF21" i="109"/>
  <c r="P21" i="109"/>
  <c r="L21" i="109"/>
  <c r="H21" i="109"/>
  <c r="I21" i="109" s="1"/>
  <c r="F21" i="109"/>
  <c r="D21" i="109"/>
  <c r="C21" i="109"/>
  <c r="B21" i="109"/>
  <c r="T21" i="109" s="1"/>
  <c r="A21" i="109"/>
  <c r="AK20" i="109"/>
  <c r="AH20" i="109"/>
  <c r="AL20" i="109" s="1"/>
  <c r="AG20" i="109"/>
  <c r="AF20" i="109"/>
  <c r="F20" i="109"/>
  <c r="C20" i="109"/>
  <c r="B20" i="109"/>
  <c r="T20" i="109" s="1"/>
  <c r="U20" i="109" s="1"/>
  <c r="A20" i="109"/>
  <c r="AO19" i="109"/>
  <c r="AP19" i="109" s="1"/>
  <c r="AM19" i="109"/>
  <c r="AH19" i="109"/>
  <c r="AL19" i="109" s="1"/>
  <c r="AG19" i="109"/>
  <c r="AF19" i="109"/>
  <c r="V19" i="109"/>
  <c r="W19" i="109" s="1"/>
  <c r="T19" i="109"/>
  <c r="U19" i="109" s="1"/>
  <c r="P19" i="109"/>
  <c r="Q19" i="109" s="1"/>
  <c r="N19" i="109"/>
  <c r="O19" i="109" s="1"/>
  <c r="L19" i="109"/>
  <c r="M19" i="109" s="1"/>
  <c r="J19" i="109"/>
  <c r="H19" i="109"/>
  <c r="F19" i="109"/>
  <c r="C19" i="109"/>
  <c r="B19" i="109"/>
  <c r="A19" i="109"/>
  <c r="AH18" i="109"/>
  <c r="AL18" i="109" s="1"/>
  <c r="AG18" i="109"/>
  <c r="AF18" i="109"/>
  <c r="AO18" i="109" s="1"/>
  <c r="AP18" i="109" s="1"/>
  <c r="V18" i="109"/>
  <c r="W18" i="109" s="1"/>
  <c r="P18" i="109"/>
  <c r="Q18" i="109" s="1"/>
  <c r="F18" i="109"/>
  <c r="C18" i="109"/>
  <c r="B18" i="109"/>
  <c r="N18" i="109" s="1"/>
  <c r="O18" i="109" s="1"/>
  <c r="A18" i="109"/>
  <c r="AO17" i="109"/>
  <c r="AP17" i="109" s="1"/>
  <c r="AL17" i="109"/>
  <c r="AK17" i="109"/>
  <c r="AH17" i="109"/>
  <c r="AG17" i="109"/>
  <c r="AF17" i="109"/>
  <c r="AM17" i="109" s="1"/>
  <c r="N17" i="109"/>
  <c r="O17" i="109" s="1"/>
  <c r="F17" i="109"/>
  <c r="C17" i="109"/>
  <c r="B17" i="109"/>
  <c r="L17" i="109" s="1"/>
  <c r="M17" i="109" s="1"/>
  <c r="A17" i="109"/>
  <c r="AO16" i="109"/>
  <c r="AP16" i="109" s="1"/>
  <c r="AM16" i="109"/>
  <c r="AL16" i="109"/>
  <c r="AH16" i="109"/>
  <c r="AK16" i="109" s="1"/>
  <c r="AG16" i="109"/>
  <c r="AF16" i="109"/>
  <c r="H16" i="109"/>
  <c r="F16" i="109"/>
  <c r="C16" i="109"/>
  <c r="B16" i="109"/>
  <c r="N16" i="109" s="1"/>
  <c r="O16" i="109" s="1"/>
  <c r="A16" i="109"/>
  <c r="AM15" i="109"/>
  <c r="AH15" i="109"/>
  <c r="AL15" i="109" s="1"/>
  <c r="AG15" i="109"/>
  <c r="AF15" i="109"/>
  <c r="AO15" i="109" s="1"/>
  <c r="P15" i="109"/>
  <c r="Q15" i="109" s="1"/>
  <c r="N15" i="109"/>
  <c r="O15" i="109" s="1"/>
  <c r="L15" i="109"/>
  <c r="M15" i="109" s="1"/>
  <c r="C15" i="109"/>
  <c r="B15" i="109"/>
  <c r="A15" i="109"/>
  <c r="AO14" i="109"/>
  <c r="AP14" i="109" s="1"/>
  <c r="AM14" i="109"/>
  <c r="AL14" i="109"/>
  <c r="AJ14" i="109"/>
  <c r="AI14" i="109"/>
  <c r="AK14" i="109" s="1"/>
  <c r="AH14" i="109"/>
  <c r="AG14" i="109"/>
  <c r="AF14" i="109"/>
  <c r="V14" i="109"/>
  <c r="W14" i="109" s="1"/>
  <c r="T14" i="109"/>
  <c r="U14" i="109" s="1"/>
  <c r="P14" i="109"/>
  <c r="Q14" i="109" s="1"/>
  <c r="N14" i="109"/>
  <c r="O14" i="109" s="1"/>
  <c r="L14" i="109"/>
  <c r="M14" i="109" s="1"/>
  <c r="J14" i="109"/>
  <c r="K14" i="109" s="1"/>
  <c r="H14" i="109"/>
  <c r="I14" i="109" s="1"/>
  <c r="C14" i="109"/>
  <c r="B14" i="109"/>
  <c r="A14" i="109"/>
  <c r="AO13" i="109"/>
  <c r="AM13" i="109"/>
  <c r="AH13" i="109"/>
  <c r="AK13" i="109" s="1"/>
  <c r="AG13" i="109"/>
  <c r="AF13" i="109"/>
  <c r="AE13" i="109"/>
  <c r="V13" i="109"/>
  <c r="T13" i="109"/>
  <c r="U13" i="109" s="1"/>
  <c r="C13" i="109"/>
  <c r="B13" i="109"/>
  <c r="N13" i="109" s="1"/>
  <c r="A13" i="109"/>
  <c r="AM12" i="109"/>
  <c r="AK12" i="109"/>
  <c r="AH12" i="109"/>
  <c r="AL12" i="109" s="1"/>
  <c r="AG12" i="109"/>
  <c r="AF12" i="109"/>
  <c r="AO12" i="109" s="1"/>
  <c r="AE12" i="109"/>
  <c r="T12" i="109"/>
  <c r="P12" i="109"/>
  <c r="N12" i="109"/>
  <c r="C12" i="109"/>
  <c r="B12" i="109"/>
  <c r="L12" i="109" s="1"/>
  <c r="A12" i="109"/>
  <c r="AO11" i="109"/>
  <c r="AM11" i="109"/>
  <c r="AH11" i="109"/>
  <c r="AG11" i="109"/>
  <c r="AF11" i="109"/>
  <c r="AE11" i="109"/>
  <c r="V11" i="109"/>
  <c r="W11" i="109" s="1"/>
  <c r="P11" i="109"/>
  <c r="Q11" i="109" s="1"/>
  <c r="N11" i="109"/>
  <c r="O11" i="109" s="1"/>
  <c r="C11" i="109"/>
  <c r="B11" i="109"/>
  <c r="H11" i="109" s="1"/>
  <c r="A11" i="109"/>
  <c r="AO10" i="109"/>
  <c r="AP10" i="109" s="1"/>
  <c r="AM10" i="109"/>
  <c r="AN10" i="109" s="1"/>
  <c r="AL10" i="109"/>
  <c r="AK10" i="109"/>
  <c r="AH10" i="109"/>
  <c r="AG10" i="109"/>
  <c r="AF10" i="109"/>
  <c r="C10" i="109"/>
  <c r="B10" i="109"/>
  <c r="P10" i="109" s="1"/>
  <c r="Q10" i="109" s="1"/>
  <c r="A10" i="109"/>
  <c r="AH9" i="109"/>
  <c r="AK9" i="109" s="1"/>
  <c r="AG9" i="109"/>
  <c r="AF9" i="109"/>
  <c r="AO9" i="109" s="1"/>
  <c r="AM8" i="109"/>
  <c r="AN8" i="109" s="1"/>
  <c r="AL8" i="109"/>
  <c r="AK8" i="109"/>
  <c r="AH8" i="109"/>
  <c r="AG8" i="109"/>
  <c r="AF8" i="109"/>
  <c r="AO8" i="109" s="1"/>
  <c r="AP8" i="109" s="1"/>
  <c r="AO7" i="109"/>
  <c r="AM7" i="109"/>
  <c r="AN7" i="109" s="1"/>
  <c r="AL7" i="109"/>
  <c r="AK7" i="109"/>
  <c r="AH7" i="109"/>
  <c r="AG7" i="109"/>
  <c r="AF7" i="109"/>
  <c r="AL6" i="109"/>
  <c r="AJ6" i="109"/>
  <c r="AI6" i="109"/>
  <c r="AH6" i="109"/>
  <c r="AG6" i="109"/>
  <c r="AK6" i="109" s="1"/>
  <c r="AF6" i="109"/>
  <c r="AM6" i="109" s="1"/>
  <c r="AN6" i="109" s="1"/>
  <c r="Y6" i="109"/>
  <c r="AL5" i="109"/>
  <c r="AH5" i="109"/>
  <c r="AK5" i="109" s="1"/>
  <c r="AG5" i="109"/>
  <c r="AF5" i="109"/>
  <c r="AO5" i="109" s="1"/>
  <c r="AP5" i="109" s="1"/>
  <c r="AL4" i="109"/>
  <c r="AK4" i="109"/>
  <c r="AJ4" i="109"/>
  <c r="AI4" i="109"/>
  <c r="AH4" i="109"/>
  <c r="AG4" i="109"/>
  <c r="AF4" i="109"/>
  <c r="AO4" i="109" s="1"/>
  <c r="AP4" i="109" s="1"/>
  <c r="AO3" i="109"/>
  <c r="AM3" i="109"/>
  <c r="AJ3" i="109"/>
  <c r="AI3" i="109"/>
  <c r="AH3" i="109"/>
  <c r="AG3" i="109"/>
  <c r="AL3" i="109" s="1"/>
  <c r="AF3" i="109"/>
  <c r="AO2" i="109"/>
  <c r="AM2" i="109"/>
  <c r="AJ2" i="109"/>
  <c r="AI2" i="109"/>
  <c r="AH2" i="109"/>
  <c r="AG2" i="109"/>
  <c r="AL2" i="109" s="1"/>
  <c r="AF2" i="109"/>
  <c r="R2" i="109"/>
  <c r="R45" i="109" s="1"/>
  <c r="S45" i="109" s="1"/>
  <c r="B2" i="108"/>
  <c r="B1" i="108"/>
  <c r="A2" i="108"/>
  <c r="A1" i="108"/>
  <c r="BH308" i="31"/>
  <c r="BH309" i="31" s="1"/>
  <c r="BH310" i="31" s="1"/>
  <c r="BH311" i="31" s="1"/>
  <c r="BH312" i="31" s="1"/>
  <c r="BH313" i="31" s="1"/>
  <c r="BH314" i="31" s="1"/>
  <c r="BH315" i="31" s="1"/>
  <c r="BH316" i="31" s="1"/>
  <c r="BH317" i="31" s="1"/>
  <c r="BH318" i="31" s="1"/>
  <c r="BH319" i="31" s="1"/>
  <c r="BH320" i="31" s="1"/>
  <c r="BH321" i="31" s="1"/>
  <c r="BH322" i="31" s="1"/>
  <c r="BH323" i="31" s="1"/>
  <c r="BH324" i="31" s="1"/>
  <c r="BH325" i="31" s="1"/>
  <c r="BH326" i="31" s="1"/>
  <c r="BH327" i="31" s="1"/>
  <c r="BH328" i="31" s="1"/>
  <c r="BH329" i="31" s="1"/>
  <c r="BH330" i="31" s="1"/>
  <c r="BH331" i="31" s="1"/>
  <c r="BH332" i="31" s="1"/>
  <c r="BH333" i="31" s="1"/>
  <c r="BH334" i="31" s="1"/>
  <c r="BH335" i="31" s="1"/>
  <c r="BH336" i="31" s="1"/>
  <c r="BH337" i="31" s="1"/>
  <c r="BH338" i="31" s="1"/>
  <c r="BH339" i="31" s="1"/>
  <c r="BH340" i="31" s="1"/>
  <c r="BH341" i="31" s="1"/>
  <c r="BH342" i="31" s="1"/>
  <c r="BH343" i="31" s="1"/>
  <c r="BH344" i="31" s="1"/>
  <c r="BH345" i="31" s="1"/>
  <c r="BH346" i="31" s="1"/>
  <c r="BH347" i="31" s="1"/>
  <c r="BH348" i="31" s="1"/>
  <c r="BH349" i="31" s="1"/>
  <c r="BH350" i="31" s="1"/>
  <c r="BH351" i="31" s="1"/>
  <c r="BH352" i="31" s="1"/>
  <c r="BH353" i="31" s="1"/>
  <c r="BH354" i="31" s="1"/>
  <c r="BH355" i="31" s="1"/>
  <c r="BH356" i="31" s="1"/>
  <c r="BH357" i="31" s="1"/>
  <c r="BH358" i="31" s="1"/>
  <c r="BH359" i="31" s="1"/>
  <c r="BH360" i="31" s="1"/>
  <c r="BH361" i="31" s="1"/>
  <c r="BH362" i="31" s="1"/>
  <c r="BH363" i="31" s="1"/>
  <c r="BH364" i="31" s="1"/>
  <c r="BH365" i="31" s="1"/>
  <c r="BH366" i="31" s="1"/>
  <c r="BH307" i="31"/>
  <c r="BH207" i="31"/>
  <c r="BH216" i="31"/>
  <c r="BH217" i="31" s="1"/>
  <c r="BH218" i="31" s="1"/>
  <c r="BH219" i="31" s="1"/>
  <c r="BH220" i="31" s="1"/>
  <c r="BH221" i="31" s="1"/>
  <c r="BH222" i="31" s="1"/>
  <c r="BH223" i="31" s="1"/>
  <c r="BH224" i="31" s="1"/>
  <c r="BH225" i="31" s="1"/>
  <c r="BH226" i="31" s="1"/>
  <c r="BH227" i="31" s="1"/>
  <c r="BH228" i="31" s="1"/>
  <c r="BH229" i="31" s="1"/>
  <c r="BH230" i="31" s="1"/>
  <c r="BH231" i="31" s="1"/>
  <c r="BH232" i="31" s="1"/>
  <c r="BH233" i="31" s="1"/>
  <c r="BH234" i="31" s="1"/>
  <c r="BH235" i="31" s="1"/>
  <c r="BH236" i="31" s="1"/>
  <c r="BH237" i="31" s="1"/>
  <c r="BH238" i="31" s="1"/>
  <c r="BH239" i="31" s="1"/>
  <c r="BH240" i="31" s="1"/>
  <c r="BH241" i="31" s="1"/>
  <c r="BH242" i="31" s="1"/>
  <c r="BH243" i="31" s="1"/>
  <c r="BH244" i="31" s="1"/>
  <c r="BH245" i="31" s="1"/>
  <c r="BH246" i="31" s="1"/>
  <c r="BH247" i="31" s="1"/>
  <c r="BH248" i="31" s="1"/>
  <c r="BH249" i="31" s="1"/>
  <c r="BH250" i="31" s="1"/>
  <c r="BH251" i="31" s="1"/>
  <c r="BH252" i="31" s="1"/>
  <c r="BH253" i="31" s="1"/>
  <c r="BH254" i="31" s="1"/>
  <c r="BH255" i="31" s="1"/>
  <c r="BH256" i="31" s="1"/>
  <c r="BH257" i="31" s="1"/>
  <c r="BH258" i="31" s="1"/>
  <c r="BH259" i="31" s="1"/>
  <c r="BH260" i="31" s="1"/>
  <c r="BH261" i="31" s="1"/>
  <c r="BH262" i="31" s="1"/>
  <c r="BH263" i="31" s="1"/>
  <c r="BH264" i="31" s="1"/>
  <c r="BH265" i="31" s="1"/>
  <c r="BH266" i="31" s="1"/>
  <c r="BH267" i="31" s="1"/>
  <c r="BH268" i="31" s="1"/>
  <c r="BH269" i="31" s="1"/>
  <c r="BH270" i="31" s="1"/>
  <c r="BH271" i="31" s="1"/>
  <c r="BH272" i="31" s="1"/>
  <c r="BH273" i="31" s="1"/>
  <c r="BH274" i="31" s="1"/>
  <c r="BH275" i="31" s="1"/>
  <c r="BH276" i="31" s="1"/>
  <c r="BH277" i="31" s="1"/>
  <c r="BH278" i="31" s="1"/>
  <c r="BH279" i="31" s="1"/>
  <c r="BH280" i="31" s="1"/>
  <c r="BH281" i="31" s="1"/>
  <c r="BH282" i="31" s="1"/>
  <c r="BH283" i="31" s="1"/>
  <c r="BH284" i="31" s="1"/>
  <c r="BH285" i="31" s="1"/>
  <c r="BH286" i="31" s="1"/>
  <c r="BH287" i="31" s="1"/>
  <c r="BH288" i="31" s="1"/>
  <c r="BH289" i="31" s="1"/>
  <c r="BH290" i="31" s="1"/>
  <c r="BH291" i="31" s="1"/>
  <c r="BH292" i="31" s="1"/>
  <c r="BH293" i="31" s="1"/>
  <c r="BH294" i="31" s="1"/>
  <c r="BH295" i="31" s="1"/>
  <c r="BH296" i="31" s="1"/>
  <c r="BH297" i="31" s="1"/>
  <c r="BH298" i="31" s="1"/>
  <c r="BH299" i="31" s="1"/>
  <c r="BH300" i="31" s="1"/>
  <c r="BH301" i="31" s="1"/>
  <c r="BH302" i="31" s="1"/>
  <c r="BH303" i="31" s="1"/>
  <c r="BH304" i="31" s="1"/>
  <c r="BH215" i="31"/>
  <c r="BH211" i="31"/>
  <c r="BH210" i="31"/>
  <c r="BH209" i="31"/>
  <c r="L378" i="31"/>
  <c r="L377" i="31"/>
  <c r="L376" i="31"/>
  <c r="L375" i="31"/>
  <c r="L374" i="31"/>
  <c r="L373" i="31"/>
  <c r="L372" i="31"/>
  <c r="L371" i="31"/>
  <c r="L370" i="31"/>
  <c r="L369" i="31"/>
  <c r="L368" i="31"/>
  <c r="L367" i="31"/>
  <c r="L366" i="31"/>
  <c r="L365" i="31"/>
  <c r="L364" i="31"/>
  <c r="L363" i="31"/>
  <c r="L362" i="31"/>
  <c r="L361" i="31"/>
  <c r="L360" i="31"/>
  <c r="L359" i="31"/>
  <c r="L358" i="31"/>
  <c r="L357" i="31"/>
  <c r="L356" i="31"/>
  <c r="L355" i="31"/>
  <c r="L354" i="31"/>
  <c r="L353" i="31"/>
  <c r="L352" i="31"/>
  <c r="L351" i="31"/>
  <c r="L350" i="31"/>
  <c r="L349" i="31"/>
  <c r="L348" i="31"/>
  <c r="L347" i="31"/>
  <c r="L346" i="31"/>
  <c r="L345" i="31"/>
  <c r="L344" i="31"/>
  <c r="L343" i="31"/>
  <c r="L342" i="31"/>
  <c r="L341" i="31"/>
  <c r="L340" i="31"/>
  <c r="L339" i="31"/>
  <c r="L338" i="31"/>
  <c r="L337" i="31"/>
  <c r="L336" i="31"/>
  <c r="L335" i="31"/>
  <c r="L334" i="31"/>
  <c r="L333" i="31"/>
  <c r="L332" i="31"/>
  <c r="L331" i="31"/>
  <c r="L330" i="31"/>
  <c r="L329" i="31"/>
  <c r="L328" i="31"/>
  <c r="L327" i="31"/>
  <c r="L326" i="31"/>
  <c r="L325" i="31"/>
  <c r="L324" i="31"/>
  <c r="L323" i="31"/>
  <c r="L322" i="31"/>
  <c r="L321" i="31"/>
  <c r="L320" i="31"/>
  <c r="L319" i="31"/>
  <c r="L318" i="31"/>
  <c r="L317" i="31"/>
  <c r="L316" i="31"/>
  <c r="L315" i="31"/>
  <c r="L314" i="31"/>
  <c r="L313" i="31"/>
  <c r="L312" i="31"/>
  <c r="L311" i="31"/>
  <c r="L310" i="31"/>
  <c r="L309" i="31"/>
  <c r="L308" i="31"/>
  <c r="L307" i="31"/>
  <c r="L306" i="31"/>
  <c r="L305" i="31"/>
  <c r="L304" i="31"/>
  <c r="L303" i="31"/>
  <c r="L302" i="31"/>
  <c r="L301" i="31"/>
  <c r="L300" i="31"/>
  <c r="L299" i="31"/>
  <c r="L298" i="31"/>
  <c r="L297" i="31"/>
  <c r="L296" i="31"/>
  <c r="L295" i="31"/>
  <c r="L294" i="31"/>
  <c r="L293" i="31"/>
  <c r="L292" i="31"/>
  <c r="L291" i="31"/>
  <c r="L290" i="31"/>
  <c r="L289" i="31"/>
  <c r="L288" i="31"/>
  <c r="L287" i="31"/>
  <c r="L286" i="31"/>
  <c r="L285" i="31"/>
  <c r="L284" i="31"/>
  <c r="L283" i="31"/>
  <c r="L282" i="31"/>
  <c r="L281" i="31"/>
  <c r="L280" i="31"/>
  <c r="L279" i="31"/>
  <c r="L278" i="31"/>
  <c r="L277" i="31"/>
  <c r="L276" i="31"/>
  <c r="L275" i="31"/>
  <c r="L274" i="31"/>
  <c r="L273" i="31"/>
  <c r="L272" i="31"/>
  <c r="L271" i="31"/>
  <c r="L270" i="31"/>
  <c r="L269" i="31"/>
  <c r="L268" i="31"/>
  <c r="L267" i="31"/>
  <c r="L266" i="31"/>
  <c r="L265" i="31"/>
  <c r="L264" i="31"/>
  <c r="L263" i="31"/>
  <c r="L262" i="31"/>
  <c r="L261" i="31"/>
  <c r="L260" i="31"/>
  <c r="L259" i="31"/>
  <c r="L258" i="31"/>
  <c r="L257" i="31"/>
  <c r="L256" i="31"/>
  <c r="L255" i="31"/>
  <c r="L254" i="31"/>
  <c r="L253" i="31"/>
  <c r="L252" i="31"/>
  <c r="L251" i="31"/>
  <c r="L250" i="31"/>
  <c r="L249" i="31"/>
  <c r="L248" i="31"/>
  <c r="L247" i="31"/>
  <c r="L246" i="31"/>
  <c r="L245" i="31"/>
  <c r="L244" i="31"/>
  <c r="L243" i="31"/>
  <c r="L242" i="31"/>
  <c r="L241" i="31"/>
  <c r="L240" i="31"/>
  <c r="L239" i="31"/>
  <c r="L238" i="31"/>
  <c r="L237" i="31"/>
  <c r="L236" i="31"/>
  <c r="L235" i="31"/>
  <c r="L234" i="31"/>
  <c r="L233" i="31"/>
  <c r="L232" i="31"/>
  <c r="L231" i="31"/>
  <c r="L230" i="31"/>
  <c r="L229" i="31"/>
  <c r="L228" i="31"/>
  <c r="L227" i="31"/>
  <c r="L226" i="31"/>
  <c r="L225" i="31"/>
  <c r="L224" i="31"/>
  <c r="L223" i="31"/>
  <c r="L222" i="31"/>
  <c r="L221" i="31"/>
  <c r="L220" i="31"/>
  <c r="L219" i="31"/>
  <c r="L218" i="31"/>
  <c r="L217" i="31"/>
  <c r="L216" i="31"/>
  <c r="L215" i="31"/>
  <c r="L214" i="31"/>
  <c r="L213" i="31"/>
  <c r="L212" i="31"/>
  <c r="L211" i="31"/>
  <c r="L210" i="31"/>
  <c r="L209" i="31"/>
  <c r="L208" i="31"/>
  <c r="DK3" i="71"/>
  <c r="DZ3" i="71" s="1"/>
  <c r="DI3" i="71"/>
  <c r="DY3" i="71" s="1"/>
  <c r="DG3" i="71"/>
  <c r="DE3" i="71"/>
  <c r="DC3" i="71"/>
  <c r="DA3" i="71"/>
  <c r="EF3" i="71" s="1"/>
  <c r="CY3" i="71"/>
  <c r="EA3" i="71" s="1"/>
  <c r="DJ3" i="71"/>
  <c r="DH3" i="71"/>
  <c r="DF3" i="71"/>
  <c r="DD3" i="71"/>
  <c r="DB3" i="71"/>
  <c r="CZ3" i="71"/>
  <c r="CX3" i="71"/>
  <c r="CV3" i="71"/>
  <c r="B82" i="3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F22" i="3"/>
  <c r="F21" i="3"/>
  <c r="F18" i="3"/>
  <c r="F17" i="3"/>
  <c r="F16" i="3"/>
  <c r="M64" i="1"/>
  <c r="F71" i="109" s="1"/>
  <c r="M39" i="1"/>
  <c r="F46" i="109" s="1"/>
  <c r="M20" i="1"/>
  <c r="F27" i="109" s="1"/>
  <c r="M15" i="1"/>
  <c r="M14" i="1"/>
  <c r="M11" i="1"/>
  <c r="M10" i="1"/>
  <c r="M9" i="1"/>
  <c r="M4" i="1"/>
  <c r="F11" i="109" s="1"/>
  <c r="AG253" i="99"/>
  <c r="AE253" i="99"/>
  <c r="AD253" i="99"/>
  <c r="AC253" i="99"/>
  <c r="AB253" i="99"/>
  <c r="AA253" i="99"/>
  <c r="Z253" i="99"/>
  <c r="AG252" i="99"/>
  <c r="AE252" i="99"/>
  <c r="AD252" i="99"/>
  <c r="AC252" i="99"/>
  <c r="AB252" i="99"/>
  <c r="AA252" i="99"/>
  <c r="Z252" i="99"/>
  <c r="AG251" i="99"/>
  <c r="AE251" i="99"/>
  <c r="AD251" i="99"/>
  <c r="AC251" i="99"/>
  <c r="AB251" i="99"/>
  <c r="AA251" i="99"/>
  <c r="Z251" i="99"/>
  <c r="AG250" i="99"/>
  <c r="AE250" i="99"/>
  <c r="AD250" i="99"/>
  <c r="AC250" i="99"/>
  <c r="AB250" i="99"/>
  <c r="AA250" i="99"/>
  <c r="Z250" i="99"/>
  <c r="AG249" i="99"/>
  <c r="AE249" i="99"/>
  <c r="AD249" i="99"/>
  <c r="AC249" i="99"/>
  <c r="AB249" i="99"/>
  <c r="AA249" i="99"/>
  <c r="Z249" i="99"/>
  <c r="AG248" i="99"/>
  <c r="AE248" i="99"/>
  <c r="AD248" i="99"/>
  <c r="AC248" i="99"/>
  <c r="AB248" i="99"/>
  <c r="AA248" i="99"/>
  <c r="Z248" i="99"/>
  <c r="AG247" i="99"/>
  <c r="AE247" i="99"/>
  <c r="AD247" i="99"/>
  <c r="AC247" i="99"/>
  <c r="AB247" i="99"/>
  <c r="AA247" i="99"/>
  <c r="Z247" i="99"/>
  <c r="AG246" i="99"/>
  <c r="AE246" i="99"/>
  <c r="AD246" i="99"/>
  <c r="AC246" i="99"/>
  <c r="AB246" i="99"/>
  <c r="AA246" i="99"/>
  <c r="Z246" i="99"/>
  <c r="AG245" i="99"/>
  <c r="AE245" i="99"/>
  <c r="AD245" i="99"/>
  <c r="AC245" i="99"/>
  <c r="AB245" i="99"/>
  <c r="AA245" i="99"/>
  <c r="Z245" i="99"/>
  <c r="AG244" i="99"/>
  <c r="AE244" i="99"/>
  <c r="AD244" i="99"/>
  <c r="AC244" i="99"/>
  <c r="AB244" i="99"/>
  <c r="AA244" i="99"/>
  <c r="Z244" i="99"/>
  <c r="AG243" i="99"/>
  <c r="AE243" i="99"/>
  <c r="AD243" i="99"/>
  <c r="AC243" i="99"/>
  <c r="AB243" i="99"/>
  <c r="AA243" i="99"/>
  <c r="Z243" i="99"/>
  <c r="AG242" i="99"/>
  <c r="AE242" i="99"/>
  <c r="AD242" i="99"/>
  <c r="AC242" i="99"/>
  <c r="AB242" i="99"/>
  <c r="AA242" i="99"/>
  <c r="Z242" i="99"/>
  <c r="AG241" i="99"/>
  <c r="AE241" i="99"/>
  <c r="AD241" i="99"/>
  <c r="AC241" i="99"/>
  <c r="AB241" i="99"/>
  <c r="AA241" i="99"/>
  <c r="Z241" i="99"/>
  <c r="AG240" i="99"/>
  <c r="AE240" i="99"/>
  <c r="AD240" i="99"/>
  <c r="AC240" i="99"/>
  <c r="AB240" i="99"/>
  <c r="AA240" i="99"/>
  <c r="Z240" i="99"/>
  <c r="AG239" i="99"/>
  <c r="AE239" i="99"/>
  <c r="AD239" i="99"/>
  <c r="AC239" i="99"/>
  <c r="AB239" i="99"/>
  <c r="AA239" i="99"/>
  <c r="Z239" i="99"/>
  <c r="AG238" i="99"/>
  <c r="AE238" i="99"/>
  <c r="AD238" i="99"/>
  <c r="AC238" i="99"/>
  <c r="AB238" i="99"/>
  <c r="AA238" i="99"/>
  <c r="Z238" i="99"/>
  <c r="AG237" i="99"/>
  <c r="AE237" i="99"/>
  <c r="AD237" i="99"/>
  <c r="AC237" i="99"/>
  <c r="AB237" i="99"/>
  <c r="AA237" i="99"/>
  <c r="Z237" i="99"/>
  <c r="AG236" i="99"/>
  <c r="AE236" i="99"/>
  <c r="AD236" i="99"/>
  <c r="AC236" i="99"/>
  <c r="AB236" i="99"/>
  <c r="AA236" i="99"/>
  <c r="Z236" i="99"/>
  <c r="AG235" i="99"/>
  <c r="AE235" i="99"/>
  <c r="AD235" i="99"/>
  <c r="AC235" i="99"/>
  <c r="AB235" i="99"/>
  <c r="AA235" i="99"/>
  <c r="Z235" i="99"/>
  <c r="AG234" i="99"/>
  <c r="AE234" i="99"/>
  <c r="AD234" i="99"/>
  <c r="AC234" i="99"/>
  <c r="AB234" i="99"/>
  <c r="AA234" i="99"/>
  <c r="Z234" i="99"/>
  <c r="AG233" i="99"/>
  <c r="AE233" i="99"/>
  <c r="AD233" i="99"/>
  <c r="AC233" i="99"/>
  <c r="AB233" i="99"/>
  <c r="AA233" i="99"/>
  <c r="Z233" i="99"/>
  <c r="AG232" i="99"/>
  <c r="AE232" i="99"/>
  <c r="AD232" i="99"/>
  <c r="AC232" i="99"/>
  <c r="AB232" i="99"/>
  <c r="AA232" i="99"/>
  <c r="Z232" i="99"/>
  <c r="AG231" i="99"/>
  <c r="AE231" i="99"/>
  <c r="AD231" i="99"/>
  <c r="AC231" i="99"/>
  <c r="AB231" i="99"/>
  <c r="AA231" i="99"/>
  <c r="Z231" i="99"/>
  <c r="AG230" i="99"/>
  <c r="AE230" i="99"/>
  <c r="AD230" i="99"/>
  <c r="AC230" i="99"/>
  <c r="AB230" i="99"/>
  <c r="AA230" i="99"/>
  <c r="Z230" i="99"/>
  <c r="AG229" i="99"/>
  <c r="AE229" i="99"/>
  <c r="AD229" i="99"/>
  <c r="AC229" i="99"/>
  <c r="AB229" i="99"/>
  <c r="AA229" i="99"/>
  <c r="Z229" i="99"/>
  <c r="AG228" i="99"/>
  <c r="AE228" i="99"/>
  <c r="AD228" i="99"/>
  <c r="AC228" i="99"/>
  <c r="AB228" i="99"/>
  <c r="AA228" i="99"/>
  <c r="Z228" i="99"/>
  <c r="AG227" i="99"/>
  <c r="AE227" i="99"/>
  <c r="AD227" i="99"/>
  <c r="AC227" i="99"/>
  <c r="AB227" i="99"/>
  <c r="AA227" i="99"/>
  <c r="Z227" i="99"/>
  <c r="AG226" i="99"/>
  <c r="AE226" i="99"/>
  <c r="AD226" i="99"/>
  <c r="AC226" i="99"/>
  <c r="AB226" i="99"/>
  <c r="AA226" i="99"/>
  <c r="Z226" i="99"/>
  <c r="AG225" i="99"/>
  <c r="AE225" i="99"/>
  <c r="AD225" i="99"/>
  <c r="AC225" i="99"/>
  <c r="AB225" i="99"/>
  <c r="AA225" i="99"/>
  <c r="Z225" i="99"/>
  <c r="AG224" i="99"/>
  <c r="AE224" i="99"/>
  <c r="AD224" i="99"/>
  <c r="AC224" i="99"/>
  <c r="AB224" i="99"/>
  <c r="AA224" i="99"/>
  <c r="Z224" i="99"/>
  <c r="AG223" i="99"/>
  <c r="AE223" i="99"/>
  <c r="AD223" i="99"/>
  <c r="AC223" i="99"/>
  <c r="AB223" i="99"/>
  <c r="AA223" i="99"/>
  <c r="Z223" i="99"/>
  <c r="AG222" i="99"/>
  <c r="AE222" i="99"/>
  <c r="AD222" i="99"/>
  <c r="AC222" i="99"/>
  <c r="AB222" i="99"/>
  <c r="AA222" i="99"/>
  <c r="Z222" i="99"/>
  <c r="AG221" i="99"/>
  <c r="AE221" i="99"/>
  <c r="AD221" i="99"/>
  <c r="AC221" i="99"/>
  <c r="AB221" i="99"/>
  <c r="AA221" i="99"/>
  <c r="Z221" i="99"/>
  <c r="AG220" i="99"/>
  <c r="AE220" i="99"/>
  <c r="AD220" i="99"/>
  <c r="AC220" i="99"/>
  <c r="AB220" i="99"/>
  <c r="AA220" i="99"/>
  <c r="Z220" i="99"/>
  <c r="AG219" i="99"/>
  <c r="AE219" i="99"/>
  <c r="AD219" i="99"/>
  <c r="AC219" i="99"/>
  <c r="AB219" i="99"/>
  <c r="AA219" i="99"/>
  <c r="Z219" i="99"/>
  <c r="AG218" i="99"/>
  <c r="AE218" i="99"/>
  <c r="AD218" i="99"/>
  <c r="AC218" i="99"/>
  <c r="AB218" i="99"/>
  <c r="AA218" i="99"/>
  <c r="Z218" i="99"/>
  <c r="AG217" i="99"/>
  <c r="AE217" i="99"/>
  <c r="AD217" i="99"/>
  <c r="AC217" i="99"/>
  <c r="AB217" i="99"/>
  <c r="AA217" i="99"/>
  <c r="Z217" i="99"/>
  <c r="AG216" i="99"/>
  <c r="AE216" i="99"/>
  <c r="AD216" i="99"/>
  <c r="AC216" i="99"/>
  <c r="AB216" i="99"/>
  <c r="AA216" i="99"/>
  <c r="Z216" i="99"/>
  <c r="AG215" i="99"/>
  <c r="AE215" i="99"/>
  <c r="AD215" i="99"/>
  <c r="AC215" i="99"/>
  <c r="AB215" i="99"/>
  <c r="AA215" i="99"/>
  <c r="Z215" i="99"/>
  <c r="AG214" i="99"/>
  <c r="AE214" i="99"/>
  <c r="AD214" i="99"/>
  <c r="AC214" i="99"/>
  <c r="AB214" i="99"/>
  <c r="AA214" i="99"/>
  <c r="Z214" i="99"/>
  <c r="AG213" i="99"/>
  <c r="AE213" i="99"/>
  <c r="AD213" i="99"/>
  <c r="AC213" i="99"/>
  <c r="AB213" i="99"/>
  <c r="AA213" i="99"/>
  <c r="Z213" i="99"/>
  <c r="AG212" i="99"/>
  <c r="AE212" i="99"/>
  <c r="AD212" i="99"/>
  <c r="AC212" i="99"/>
  <c r="AB212" i="99"/>
  <c r="AA212" i="99"/>
  <c r="Z212" i="99"/>
  <c r="AG211" i="99"/>
  <c r="AE211" i="99"/>
  <c r="AD211" i="99"/>
  <c r="AC211" i="99"/>
  <c r="AB211" i="99"/>
  <c r="AA211" i="99"/>
  <c r="Z211" i="99"/>
  <c r="AG210" i="99"/>
  <c r="AE210" i="99"/>
  <c r="AD210" i="99"/>
  <c r="AC210" i="99"/>
  <c r="AB210" i="99"/>
  <c r="AA210" i="99"/>
  <c r="Z210" i="99"/>
  <c r="AG209" i="99"/>
  <c r="AE209" i="99"/>
  <c r="AD209" i="99"/>
  <c r="AC209" i="99"/>
  <c r="AB209" i="99"/>
  <c r="AA209" i="99"/>
  <c r="Z209" i="99"/>
  <c r="AG208" i="99"/>
  <c r="AE208" i="99"/>
  <c r="AD208" i="99"/>
  <c r="AC208" i="99"/>
  <c r="AB208" i="99"/>
  <c r="AA208" i="99"/>
  <c r="Z208" i="99"/>
  <c r="AG207" i="99"/>
  <c r="AE207" i="99"/>
  <c r="AD207" i="99"/>
  <c r="AC207" i="99"/>
  <c r="AB207" i="99"/>
  <c r="AA207" i="99"/>
  <c r="Z207" i="99"/>
  <c r="AG206" i="99"/>
  <c r="AE206" i="99"/>
  <c r="AD206" i="99"/>
  <c r="AC206" i="99"/>
  <c r="AB206" i="99"/>
  <c r="AA206" i="99"/>
  <c r="Z206" i="99"/>
  <c r="AG205" i="99"/>
  <c r="AE205" i="99"/>
  <c r="AD205" i="99"/>
  <c r="AC205" i="99"/>
  <c r="AB205" i="99"/>
  <c r="AA205" i="99"/>
  <c r="Z205" i="99"/>
  <c r="AG204" i="99"/>
  <c r="AE204" i="99"/>
  <c r="AD204" i="99"/>
  <c r="AC204" i="99"/>
  <c r="AB204" i="99"/>
  <c r="AA204" i="99"/>
  <c r="Z204" i="99"/>
  <c r="AG203" i="99"/>
  <c r="AE203" i="99"/>
  <c r="AD203" i="99"/>
  <c r="AC203" i="99"/>
  <c r="AB203" i="99"/>
  <c r="AA203" i="99"/>
  <c r="Z203" i="99"/>
  <c r="AG202" i="99"/>
  <c r="AE202" i="99"/>
  <c r="AD202" i="99"/>
  <c r="AC202" i="99"/>
  <c r="AB202" i="99"/>
  <c r="AA202" i="99"/>
  <c r="Z202" i="99"/>
  <c r="AG201" i="99"/>
  <c r="AE201" i="99"/>
  <c r="AD201" i="99"/>
  <c r="AC201" i="99"/>
  <c r="AB201" i="99"/>
  <c r="AA201" i="99"/>
  <c r="Z201" i="99"/>
  <c r="AG200" i="99"/>
  <c r="AE200" i="99"/>
  <c r="AD200" i="99"/>
  <c r="AC200" i="99"/>
  <c r="AB200" i="99"/>
  <c r="AA200" i="99"/>
  <c r="Z200" i="99"/>
  <c r="AG199" i="99"/>
  <c r="AE199" i="99"/>
  <c r="AD199" i="99"/>
  <c r="AC199" i="99"/>
  <c r="AB199" i="99"/>
  <c r="AA199" i="99"/>
  <c r="Z199" i="99"/>
  <c r="AG198" i="99"/>
  <c r="AE198" i="99"/>
  <c r="AD198" i="99"/>
  <c r="AC198" i="99"/>
  <c r="AB198" i="99"/>
  <c r="AA198" i="99"/>
  <c r="Z198" i="99"/>
  <c r="AG197" i="99"/>
  <c r="AE197" i="99"/>
  <c r="AD197" i="99"/>
  <c r="AC197" i="99"/>
  <c r="AB197" i="99"/>
  <c r="AA197" i="99"/>
  <c r="Z197" i="99"/>
  <c r="AG196" i="99"/>
  <c r="AE196" i="99"/>
  <c r="AD196" i="99"/>
  <c r="AC196" i="99"/>
  <c r="AB196" i="99"/>
  <c r="AA196" i="99"/>
  <c r="Z196" i="99"/>
  <c r="AG195" i="99"/>
  <c r="AE195" i="99"/>
  <c r="AD195" i="99"/>
  <c r="AC195" i="99"/>
  <c r="AB195" i="99"/>
  <c r="AA195" i="99"/>
  <c r="Z195" i="99"/>
  <c r="AG194" i="99"/>
  <c r="AE194" i="99"/>
  <c r="AD194" i="99"/>
  <c r="AC194" i="99"/>
  <c r="AB194" i="99"/>
  <c r="AA194" i="99"/>
  <c r="Z194" i="99"/>
  <c r="AG193" i="99"/>
  <c r="AE193" i="99"/>
  <c r="AD193" i="99"/>
  <c r="AC193" i="99"/>
  <c r="AB193" i="99"/>
  <c r="AA193" i="99"/>
  <c r="Z193" i="99"/>
  <c r="AG192" i="99"/>
  <c r="AE192" i="99"/>
  <c r="AD192" i="99"/>
  <c r="AC192" i="99"/>
  <c r="AB192" i="99"/>
  <c r="AA192" i="99"/>
  <c r="Z192" i="99"/>
  <c r="AG191" i="99"/>
  <c r="AE191" i="99"/>
  <c r="AD191" i="99"/>
  <c r="AC191" i="99"/>
  <c r="AB191" i="99"/>
  <c r="AA191" i="99"/>
  <c r="Z191" i="99"/>
  <c r="AG190" i="99"/>
  <c r="AE190" i="99"/>
  <c r="AD190" i="99"/>
  <c r="AC190" i="99"/>
  <c r="AB190" i="99"/>
  <c r="AA190" i="99"/>
  <c r="Z190" i="99"/>
  <c r="AG189" i="99"/>
  <c r="AE189" i="99"/>
  <c r="AD189" i="99"/>
  <c r="AC189" i="99"/>
  <c r="AB189" i="99"/>
  <c r="AA189" i="99"/>
  <c r="Z189" i="99"/>
  <c r="AG188" i="99"/>
  <c r="AE188" i="99"/>
  <c r="AD188" i="99"/>
  <c r="AC188" i="99"/>
  <c r="AB188" i="99"/>
  <c r="AA188" i="99"/>
  <c r="Z188" i="99"/>
  <c r="AG187" i="99"/>
  <c r="AE187" i="99"/>
  <c r="AD187" i="99"/>
  <c r="AC187" i="99"/>
  <c r="AB187" i="99"/>
  <c r="AA187" i="99"/>
  <c r="Z187" i="99"/>
  <c r="AG186" i="99"/>
  <c r="AE186" i="99"/>
  <c r="AD186" i="99"/>
  <c r="AC186" i="99"/>
  <c r="AB186" i="99"/>
  <c r="AA186" i="99"/>
  <c r="Z186" i="99"/>
  <c r="AG185" i="99"/>
  <c r="AE185" i="99"/>
  <c r="AD185" i="99"/>
  <c r="AC185" i="99"/>
  <c r="AB185" i="99"/>
  <c r="AA185" i="99"/>
  <c r="Z185" i="99"/>
  <c r="AG184" i="99"/>
  <c r="AE184" i="99"/>
  <c r="AD184" i="99"/>
  <c r="AC184" i="99"/>
  <c r="AB184" i="99"/>
  <c r="AA184" i="99"/>
  <c r="Z184" i="99"/>
  <c r="AG183" i="99"/>
  <c r="AE183" i="99"/>
  <c r="AD183" i="99"/>
  <c r="AC183" i="99"/>
  <c r="AB183" i="99"/>
  <c r="AA183" i="99"/>
  <c r="Z183" i="99"/>
  <c r="AG182" i="99"/>
  <c r="AE182" i="99"/>
  <c r="AD182" i="99"/>
  <c r="AC182" i="99"/>
  <c r="AB182" i="99"/>
  <c r="AA182" i="99"/>
  <c r="Z182" i="99"/>
  <c r="AG181" i="99"/>
  <c r="AE181" i="99"/>
  <c r="AD181" i="99"/>
  <c r="AC181" i="99"/>
  <c r="AB181" i="99"/>
  <c r="AA181" i="99"/>
  <c r="Z181" i="99"/>
  <c r="AG180" i="99"/>
  <c r="AE180" i="99"/>
  <c r="AD180" i="99"/>
  <c r="AC180" i="99"/>
  <c r="AB180" i="99"/>
  <c r="AA180" i="99"/>
  <c r="Z180" i="99"/>
  <c r="AG179" i="99"/>
  <c r="AE179" i="99"/>
  <c r="AD179" i="99"/>
  <c r="AC179" i="99"/>
  <c r="AB179" i="99"/>
  <c r="AA179" i="99"/>
  <c r="Z179" i="99"/>
  <c r="AG178" i="99"/>
  <c r="AE178" i="99"/>
  <c r="AD178" i="99"/>
  <c r="AC178" i="99"/>
  <c r="AB178" i="99"/>
  <c r="AA178" i="99"/>
  <c r="Z178" i="99"/>
  <c r="AG177" i="99"/>
  <c r="AE177" i="99"/>
  <c r="AD177" i="99"/>
  <c r="AC177" i="99"/>
  <c r="AB177" i="99"/>
  <c r="AA177" i="99"/>
  <c r="Z177" i="99"/>
  <c r="AG176" i="99"/>
  <c r="AE176" i="99"/>
  <c r="AD176" i="99"/>
  <c r="AC176" i="99"/>
  <c r="AB176" i="99"/>
  <c r="AA176" i="99"/>
  <c r="Z176" i="99"/>
  <c r="AG175" i="99"/>
  <c r="AE175" i="99"/>
  <c r="AD175" i="99"/>
  <c r="AC175" i="99"/>
  <c r="AB175" i="99"/>
  <c r="AA175" i="99"/>
  <c r="Z175" i="99"/>
  <c r="AG174" i="99"/>
  <c r="AE174" i="99"/>
  <c r="AD174" i="99"/>
  <c r="AC174" i="99"/>
  <c r="AB174" i="99"/>
  <c r="AA174" i="99"/>
  <c r="Z174" i="99"/>
  <c r="AG173" i="99"/>
  <c r="AE173" i="99"/>
  <c r="AD173" i="99"/>
  <c r="AC173" i="99"/>
  <c r="AB173" i="99"/>
  <c r="AA173" i="99"/>
  <c r="Z173" i="99"/>
  <c r="AG172" i="99"/>
  <c r="AE172" i="99"/>
  <c r="AD172" i="99"/>
  <c r="AC172" i="99"/>
  <c r="AB172" i="99"/>
  <c r="AA172" i="99"/>
  <c r="Z172" i="99"/>
  <c r="AG171" i="99"/>
  <c r="AE171" i="99"/>
  <c r="AD171" i="99"/>
  <c r="AC171" i="99"/>
  <c r="AB171" i="99"/>
  <c r="AA171" i="99"/>
  <c r="Z171" i="99"/>
  <c r="AG170" i="99"/>
  <c r="AE170" i="99"/>
  <c r="AD170" i="99"/>
  <c r="AC170" i="99"/>
  <c r="AB170" i="99"/>
  <c r="AA170" i="99"/>
  <c r="Z170" i="99"/>
  <c r="AG169" i="99"/>
  <c r="AE169" i="99"/>
  <c r="AD169" i="99"/>
  <c r="AC169" i="99"/>
  <c r="AB169" i="99"/>
  <c r="AA169" i="99"/>
  <c r="Z169" i="99"/>
  <c r="AG168" i="99"/>
  <c r="AE168" i="99"/>
  <c r="AD168" i="99"/>
  <c r="AC168" i="99"/>
  <c r="AB168" i="99"/>
  <c r="AA168" i="99"/>
  <c r="Z168" i="99"/>
  <c r="AG167" i="99"/>
  <c r="AE167" i="99"/>
  <c r="AD167" i="99"/>
  <c r="AC167" i="99"/>
  <c r="AB167" i="99"/>
  <c r="AA167" i="99"/>
  <c r="Z167" i="99"/>
  <c r="AG166" i="99"/>
  <c r="AE166" i="99"/>
  <c r="AD166" i="99"/>
  <c r="AC166" i="99"/>
  <c r="AB166" i="99"/>
  <c r="AA166" i="99"/>
  <c r="Z166" i="99"/>
  <c r="AG165" i="99"/>
  <c r="AE165" i="99"/>
  <c r="AD165" i="99"/>
  <c r="AC165" i="99"/>
  <c r="AB165" i="99"/>
  <c r="AA165" i="99"/>
  <c r="Z165" i="99"/>
  <c r="AG164" i="99"/>
  <c r="AE164" i="99"/>
  <c r="AD164" i="99"/>
  <c r="AC164" i="99"/>
  <c r="AB164" i="99"/>
  <c r="AA164" i="99"/>
  <c r="Z164" i="99"/>
  <c r="AG163" i="99"/>
  <c r="AE163" i="99"/>
  <c r="AD163" i="99"/>
  <c r="AC163" i="99"/>
  <c r="AB163" i="99"/>
  <c r="AA163" i="99"/>
  <c r="Z163" i="99"/>
  <c r="AG162" i="99"/>
  <c r="AE162" i="99"/>
  <c r="AD162" i="99"/>
  <c r="AC162" i="99"/>
  <c r="AB162" i="99"/>
  <c r="AA162" i="99"/>
  <c r="Z162" i="99"/>
  <c r="AG161" i="99"/>
  <c r="AE161" i="99"/>
  <c r="AD161" i="99"/>
  <c r="AC161" i="99"/>
  <c r="AB161" i="99"/>
  <c r="AA161" i="99"/>
  <c r="Z161" i="99"/>
  <c r="AG160" i="99"/>
  <c r="AE160" i="99"/>
  <c r="AD160" i="99"/>
  <c r="AC160" i="99"/>
  <c r="AB160" i="99"/>
  <c r="AA160" i="99"/>
  <c r="Z160" i="99"/>
  <c r="AG159" i="99"/>
  <c r="AE159" i="99"/>
  <c r="AD159" i="99"/>
  <c r="AC159" i="99"/>
  <c r="AB159" i="99"/>
  <c r="AA159" i="99"/>
  <c r="Z159" i="99"/>
  <c r="AG158" i="99"/>
  <c r="AE158" i="99"/>
  <c r="AD158" i="99"/>
  <c r="AC158" i="99"/>
  <c r="AB158" i="99"/>
  <c r="AA158" i="99"/>
  <c r="Z158" i="99"/>
  <c r="AG157" i="99"/>
  <c r="AE157" i="99"/>
  <c r="AD157" i="99"/>
  <c r="AC157" i="99"/>
  <c r="AB157" i="99"/>
  <c r="AA157" i="99"/>
  <c r="Z157" i="99"/>
  <c r="AG156" i="99"/>
  <c r="AE156" i="99"/>
  <c r="AD156" i="99"/>
  <c r="AC156" i="99"/>
  <c r="AB156" i="99"/>
  <c r="AA156" i="99"/>
  <c r="Z156" i="99"/>
  <c r="AG155" i="99"/>
  <c r="AE155" i="99"/>
  <c r="AD155" i="99"/>
  <c r="AC155" i="99"/>
  <c r="AB155" i="99"/>
  <c r="AA155" i="99"/>
  <c r="Z155" i="99"/>
  <c r="AG154" i="99"/>
  <c r="AE154" i="99"/>
  <c r="AD154" i="99"/>
  <c r="AC154" i="99"/>
  <c r="AB154" i="99"/>
  <c r="AA154" i="99"/>
  <c r="Z154" i="99"/>
  <c r="AG153" i="99"/>
  <c r="AE153" i="99"/>
  <c r="AD153" i="99"/>
  <c r="AC153" i="99"/>
  <c r="AB153" i="99"/>
  <c r="AA153" i="99"/>
  <c r="Z153" i="99"/>
  <c r="AG152" i="99"/>
  <c r="AE152" i="99"/>
  <c r="AD152" i="99"/>
  <c r="AC152" i="99"/>
  <c r="AB152" i="99"/>
  <c r="AA152" i="99"/>
  <c r="Z152" i="99"/>
  <c r="AG151" i="99"/>
  <c r="AE151" i="99"/>
  <c r="AD151" i="99"/>
  <c r="AC151" i="99"/>
  <c r="AB151" i="99"/>
  <c r="AA151" i="99"/>
  <c r="Z151" i="99"/>
  <c r="AG150" i="99"/>
  <c r="AE150" i="99"/>
  <c r="AD150" i="99"/>
  <c r="AC150" i="99"/>
  <c r="AB150" i="99"/>
  <c r="AA150" i="99"/>
  <c r="Z150" i="99"/>
  <c r="AG149" i="99"/>
  <c r="AE149" i="99"/>
  <c r="AD149" i="99"/>
  <c r="AC149" i="99"/>
  <c r="AB149" i="99"/>
  <c r="AA149" i="99"/>
  <c r="Z149" i="99"/>
  <c r="AG148" i="99"/>
  <c r="AE148" i="99"/>
  <c r="AD148" i="99"/>
  <c r="AC148" i="99"/>
  <c r="AB148" i="99"/>
  <c r="AA148" i="99"/>
  <c r="Z148" i="99"/>
  <c r="AG147" i="99"/>
  <c r="AE147" i="99"/>
  <c r="AD147" i="99"/>
  <c r="AC147" i="99"/>
  <c r="AB147" i="99"/>
  <c r="AA147" i="99"/>
  <c r="Z147" i="99"/>
  <c r="AG146" i="99"/>
  <c r="AE146" i="99"/>
  <c r="AD146" i="99"/>
  <c r="AC146" i="99"/>
  <c r="AB146" i="99"/>
  <c r="AA146" i="99"/>
  <c r="Z146" i="99"/>
  <c r="AG145" i="99"/>
  <c r="AE145" i="99"/>
  <c r="AD145" i="99"/>
  <c r="AC145" i="99"/>
  <c r="AB145" i="99"/>
  <c r="AA145" i="99"/>
  <c r="Z145" i="99"/>
  <c r="AG144" i="99"/>
  <c r="AE144" i="99"/>
  <c r="AD144" i="99"/>
  <c r="AC144" i="99"/>
  <c r="AB144" i="99"/>
  <c r="AA144" i="99"/>
  <c r="Z144" i="99"/>
  <c r="AG143" i="99"/>
  <c r="AE143" i="99"/>
  <c r="AD143" i="99"/>
  <c r="AC143" i="99"/>
  <c r="AB143" i="99"/>
  <c r="AA143" i="99"/>
  <c r="Z143" i="99"/>
  <c r="AG142" i="99"/>
  <c r="AE142" i="99"/>
  <c r="AD142" i="99"/>
  <c r="AC142" i="99"/>
  <c r="AB142" i="99"/>
  <c r="AA142" i="99"/>
  <c r="Z142" i="99"/>
  <c r="AG141" i="99"/>
  <c r="AE141" i="99"/>
  <c r="AD141" i="99"/>
  <c r="AC141" i="99"/>
  <c r="AB141" i="99"/>
  <c r="AA141" i="99"/>
  <c r="Z141" i="99"/>
  <c r="AG140" i="99"/>
  <c r="AE140" i="99"/>
  <c r="AD140" i="99"/>
  <c r="AC140" i="99"/>
  <c r="AB140" i="99"/>
  <c r="AA140" i="99"/>
  <c r="Z140" i="99"/>
  <c r="AG139" i="99"/>
  <c r="AE139" i="99"/>
  <c r="AD139" i="99"/>
  <c r="AC139" i="99"/>
  <c r="AB139" i="99"/>
  <c r="AA139" i="99"/>
  <c r="Z139" i="99"/>
  <c r="AG138" i="99"/>
  <c r="AE138" i="99"/>
  <c r="AD138" i="99"/>
  <c r="AC138" i="99"/>
  <c r="AB138" i="99"/>
  <c r="AA138" i="99"/>
  <c r="Z138" i="99"/>
  <c r="AG137" i="99"/>
  <c r="AE137" i="99"/>
  <c r="AD137" i="99"/>
  <c r="AC137" i="99"/>
  <c r="AB137" i="99"/>
  <c r="AA137" i="99"/>
  <c r="Z137" i="99"/>
  <c r="AG136" i="99"/>
  <c r="AE136" i="99"/>
  <c r="AD136" i="99"/>
  <c r="AC136" i="99"/>
  <c r="AB136" i="99"/>
  <c r="AA136" i="99"/>
  <c r="Z136" i="99"/>
  <c r="AG135" i="99"/>
  <c r="AE135" i="99"/>
  <c r="AD135" i="99"/>
  <c r="AC135" i="99"/>
  <c r="AB135" i="99"/>
  <c r="AA135" i="99"/>
  <c r="Z135" i="99"/>
  <c r="AG134" i="99"/>
  <c r="AE134" i="99"/>
  <c r="AD134" i="99"/>
  <c r="AC134" i="99"/>
  <c r="AB134" i="99"/>
  <c r="AA134" i="99"/>
  <c r="Z134" i="99"/>
  <c r="AG133" i="99"/>
  <c r="AE133" i="99"/>
  <c r="AD133" i="99"/>
  <c r="AC133" i="99"/>
  <c r="AB133" i="99"/>
  <c r="AA133" i="99"/>
  <c r="Z133" i="99"/>
  <c r="AG132" i="99"/>
  <c r="AE132" i="99"/>
  <c r="AD132" i="99"/>
  <c r="AC132" i="99"/>
  <c r="AB132" i="99"/>
  <c r="AA132" i="99"/>
  <c r="Z132" i="99"/>
  <c r="AG131" i="99"/>
  <c r="AE131" i="99"/>
  <c r="AD131" i="99"/>
  <c r="AC131" i="99"/>
  <c r="AB131" i="99"/>
  <c r="AA131" i="99"/>
  <c r="Z131" i="99"/>
  <c r="AG130" i="99"/>
  <c r="AE130" i="99"/>
  <c r="AD130" i="99"/>
  <c r="AC130" i="99"/>
  <c r="AB130" i="99"/>
  <c r="AA130" i="99"/>
  <c r="Z130" i="99"/>
  <c r="AG129" i="99"/>
  <c r="AE129" i="99"/>
  <c r="AD129" i="99"/>
  <c r="AC129" i="99"/>
  <c r="AB129" i="99"/>
  <c r="AA129" i="99"/>
  <c r="Z129" i="99"/>
  <c r="AG128" i="99"/>
  <c r="AE128" i="99"/>
  <c r="AD128" i="99"/>
  <c r="AC128" i="99"/>
  <c r="AB128" i="99"/>
  <c r="AA128" i="99"/>
  <c r="Z128" i="99"/>
  <c r="AG127" i="99"/>
  <c r="AE127" i="99"/>
  <c r="AD127" i="99"/>
  <c r="AC127" i="99"/>
  <c r="AB127" i="99"/>
  <c r="AA127" i="99"/>
  <c r="Z127" i="99"/>
  <c r="AG126" i="99"/>
  <c r="AE126" i="99"/>
  <c r="AD126" i="99"/>
  <c r="AC126" i="99"/>
  <c r="AB126" i="99"/>
  <c r="AA126" i="99"/>
  <c r="Z126" i="99"/>
  <c r="AG125" i="99"/>
  <c r="AE125" i="99"/>
  <c r="AD125" i="99"/>
  <c r="AC125" i="99"/>
  <c r="AB125" i="99"/>
  <c r="AA125" i="99"/>
  <c r="Z125" i="99"/>
  <c r="AG124" i="99"/>
  <c r="AE124" i="99"/>
  <c r="AD124" i="99"/>
  <c r="AC124" i="99"/>
  <c r="AB124" i="99"/>
  <c r="AA124" i="99"/>
  <c r="Z124" i="99"/>
  <c r="AG123" i="99"/>
  <c r="AE123" i="99"/>
  <c r="AD123" i="99"/>
  <c r="AC123" i="99"/>
  <c r="AB123" i="99"/>
  <c r="AA123" i="99"/>
  <c r="Z123" i="99"/>
  <c r="AG122" i="99"/>
  <c r="AE122" i="99"/>
  <c r="AD122" i="99"/>
  <c r="AC122" i="99"/>
  <c r="AB122" i="99"/>
  <c r="AA122" i="99"/>
  <c r="Z122" i="99"/>
  <c r="AG121" i="99"/>
  <c r="AE121" i="99"/>
  <c r="AD121" i="99"/>
  <c r="AC121" i="99"/>
  <c r="AB121" i="99"/>
  <c r="AA121" i="99"/>
  <c r="Z121" i="99"/>
  <c r="AG120" i="99"/>
  <c r="AE120" i="99"/>
  <c r="AD120" i="99"/>
  <c r="AC120" i="99"/>
  <c r="AB120" i="99"/>
  <c r="AA120" i="99"/>
  <c r="Z120" i="99"/>
  <c r="AG119" i="99"/>
  <c r="AE119" i="99"/>
  <c r="AD119" i="99"/>
  <c r="AC119" i="99"/>
  <c r="AB119" i="99"/>
  <c r="AA119" i="99"/>
  <c r="Z119" i="99"/>
  <c r="AG118" i="99"/>
  <c r="AE118" i="99"/>
  <c r="AD118" i="99"/>
  <c r="AC118" i="99"/>
  <c r="AB118" i="99"/>
  <c r="AA118" i="99"/>
  <c r="Z118" i="99"/>
  <c r="AG117" i="99"/>
  <c r="AE117" i="99"/>
  <c r="AD117" i="99"/>
  <c r="AC117" i="99"/>
  <c r="AB117" i="99"/>
  <c r="AA117" i="99"/>
  <c r="Z117" i="99"/>
  <c r="AG116" i="99"/>
  <c r="AE116" i="99"/>
  <c r="AD116" i="99"/>
  <c r="AC116" i="99"/>
  <c r="AB116" i="99"/>
  <c r="AA116" i="99"/>
  <c r="Z116" i="99"/>
  <c r="AG115" i="99"/>
  <c r="AE115" i="99"/>
  <c r="AD115" i="99"/>
  <c r="AC115" i="99"/>
  <c r="AB115" i="99"/>
  <c r="AA115" i="99"/>
  <c r="Z115" i="99"/>
  <c r="AG114" i="99"/>
  <c r="AE114" i="99"/>
  <c r="AD114" i="99"/>
  <c r="AC114" i="99"/>
  <c r="AB114" i="99"/>
  <c r="AA114" i="99"/>
  <c r="Z114" i="99"/>
  <c r="AG113" i="99"/>
  <c r="AE113" i="99"/>
  <c r="AD113" i="99"/>
  <c r="AC113" i="99"/>
  <c r="AB113" i="99"/>
  <c r="AA113" i="99"/>
  <c r="Z113" i="99"/>
  <c r="AG112" i="99"/>
  <c r="AE112" i="99"/>
  <c r="AD112" i="99"/>
  <c r="AC112" i="99"/>
  <c r="AB112" i="99"/>
  <c r="AA112" i="99"/>
  <c r="Z112" i="99"/>
  <c r="AG111" i="99"/>
  <c r="AE111" i="99"/>
  <c r="AD111" i="99"/>
  <c r="AC111" i="99"/>
  <c r="AB111" i="99"/>
  <c r="AA111" i="99"/>
  <c r="Z111" i="99"/>
  <c r="AG110" i="99"/>
  <c r="AE110" i="99"/>
  <c r="AD110" i="99"/>
  <c r="AC110" i="99"/>
  <c r="AB110" i="99"/>
  <c r="AA110" i="99"/>
  <c r="Z110" i="99"/>
  <c r="AG109" i="99"/>
  <c r="AE109" i="99"/>
  <c r="AD109" i="99"/>
  <c r="AC109" i="99"/>
  <c r="AB109" i="99"/>
  <c r="AA109" i="99"/>
  <c r="Z109" i="99"/>
  <c r="AG108" i="99"/>
  <c r="AE108" i="99"/>
  <c r="AD108" i="99"/>
  <c r="AC108" i="99"/>
  <c r="AB108" i="99"/>
  <c r="AA108" i="99"/>
  <c r="Z108" i="99"/>
  <c r="AG107" i="99"/>
  <c r="AE107" i="99"/>
  <c r="AD107" i="99"/>
  <c r="AC107" i="99"/>
  <c r="AB107" i="99"/>
  <c r="AA107" i="99"/>
  <c r="Z107" i="99"/>
  <c r="AG106" i="99"/>
  <c r="AE106" i="99"/>
  <c r="AD106" i="99"/>
  <c r="AC106" i="99"/>
  <c r="AB106" i="99"/>
  <c r="AA106" i="99"/>
  <c r="Z106" i="99"/>
  <c r="AG105" i="99"/>
  <c r="AE105" i="99"/>
  <c r="AD105" i="99"/>
  <c r="AC105" i="99"/>
  <c r="AB105" i="99"/>
  <c r="AA105" i="99"/>
  <c r="Z105" i="99"/>
  <c r="AG104" i="99"/>
  <c r="AE104" i="99"/>
  <c r="AD104" i="99"/>
  <c r="AC104" i="99"/>
  <c r="AB104" i="99"/>
  <c r="AA104" i="99"/>
  <c r="Z104" i="99"/>
  <c r="AG103" i="99"/>
  <c r="AE103" i="99"/>
  <c r="AD103" i="99"/>
  <c r="AC103" i="99"/>
  <c r="AB103" i="99"/>
  <c r="AA103" i="99"/>
  <c r="Z103" i="99"/>
  <c r="AG102" i="99"/>
  <c r="AE102" i="99"/>
  <c r="AD102" i="99"/>
  <c r="AC102" i="99"/>
  <c r="AB102" i="99"/>
  <c r="AA102" i="99"/>
  <c r="Z102" i="99"/>
  <c r="AG101" i="99"/>
  <c r="AE101" i="99"/>
  <c r="AD101" i="99"/>
  <c r="AC101" i="99"/>
  <c r="AB101" i="99"/>
  <c r="AA101" i="99"/>
  <c r="Z101" i="99"/>
  <c r="AG100" i="99"/>
  <c r="AE100" i="99"/>
  <c r="AD100" i="99"/>
  <c r="AC100" i="99"/>
  <c r="AB100" i="99"/>
  <c r="AA100" i="99"/>
  <c r="Z100" i="99"/>
  <c r="AG99" i="99"/>
  <c r="AE99" i="99"/>
  <c r="AD99" i="99"/>
  <c r="AC99" i="99"/>
  <c r="AB99" i="99"/>
  <c r="AA99" i="99"/>
  <c r="Z99" i="99"/>
  <c r="AG98" i="99"/>
  <c r="AE98" i="99"/>
  <c r="AD98" i="99"/>
  <c r="AC98" i="99"/>
  <c r="AB98" i="99"/>
  <c r="AA98" i="99"/>
  <c r="Z98" i="99"/>
  <c r="AG97" i="99"/>
  <c r="AE97" i="99"/>
  <c r="AD97" i="99"/>
  <c r="AC97" i="99"/>
  <c r="AB97" i="99"/>
  <c r="AA97" i="99"/>
  <c r="Z97" i="99"/>
  <c r="AG96" i="99"/>
  <c r="AE96" i="99"/>
  <c r="AD96" i="99"/>
  <c r="AC96" i="99"/>
  <c r="AB96" i="99"/>
  <c r="AA96" i="99"/>
  <c r="Z96" i="99"/>
  <c r="AG95" i="99"/>
  <c r="AE95" i="99"/>
  <c r="AD95" i="99"/>
  <c r="AC95" i="99"/>
  <c r="AB95" i="99"/>
  <c r="AA95" i="99"/>
  <c r="Z95" i="99"/>
  <c r="AG94" i="99"/>
  <c r="AE94" i="99"/>
  <c r="AD94" i="99"/>
  <c r="AC94" i="99"/>
  <c r="AB94" i="99"/>
  <c r="AA94" i="99"/>
  <c r="Z94" i="99"/>
  <c r="AG93" i="99"/>
  <c r="AE93" i="99"/>
  <c r="AD93" i="99"/>
  <c r="AC93" i="99"/>
  <c r="AB93" i="99"/>
  <c r="AA93" i="99"/>
  <c r="Z93" i="99"/>
  <c r="AG92" i="99"/>
  <c r="AE92" i="99"/>
  <c r="AD92" i="99"/>
  <c r="AC92" i="99"/>
  <c r="AB92" i="99"/>
  <c r="AA92" i="99"/>
  <c r="Z92" i="99"/>
  <c r="AG91" i="99"/>
  <c r="AE91" i="99"/>
  <c r="AD91" i="99"/>
  <c r="AC91" i="99"/>
  <c r="AB91" i="99"/>
  <c r="AA91" i="99"/>
  <c r="Z91" i="99"/>
  <c r="AG90" i="99"/>
  <c r="AE90" i="99"/>
  <c r="AD90" i="99"/>
  <c r="AC90" i="99"/>
  <c r="AB90" i="99"/>
  <c r="AA90" i="99"/>
  <c r="Z90" i="99"/>
  <c r="AG89" i="99"/>
  <c r="AE89" i="99"/>
  <c r="AD89" i="99"/>
  <c r="AC89" i="99"/>
  <c r="AB89" i="99"/>
  <c r="AA89" i="99"/>
  <c r="Z89" i="99"/>
  <c r="AG88" i="99"/>
  <c r="AE88" i="99"/>
  <c r="AD88" i="99"/>
  <c r="AC88" i="99"/>
  <c r="AB88" i="99"/>
  <c r="AA88" i="99"/>
  <c r="Z88" i="99"/>
  <c r="AG87" i="99"/>
  <c r="AE87" i="99"/>
  <c r="AD87" i="99"/>
  <c r="AC87" i="99"/>
  <c r="AB87" i="99"/>
  <c r="AA87" i="99"/>
  <c r="Z87" i="99"/>
  <c r="AG86" i="99"/>
  <c r="AE86" i="99"/>
  <c r="AD86" i="99"/>
  <c r="AC86" i="99"/>
  <c r="AB86" i="99"/>
  <c r="AA86" i="99"/>
  <c r="Z86" i="99"/>
  <c r="AG85" i="99"/>
  <c r="AE85" i="99"/>
  <c r="AD85" i="99"/>
  <c r="AC85" i="99"/>
  <c r="AB85" i="99"/>
  <c r="AA85" i="99"/>
  <c r="Z85" i="99"/>
  <c r="AG84" i="99"/>
  <c r="AE84" i="99"/>
  <c r="AD84" i="99"/>
  <c r="AC84" i="99"/>
  <c r="AB84" i="99"/>
  <c r="AA84" i="99"/>
  <c r="Z84" i="99"/>
  <c r="AG83" i="99"/>
  <c r="AE83" i="99"/>
  <c r="AD83" i="99"/>
  <c r="AC83" i="99"/>
  <c r="AB83" i="99"/>
  <c r="AA83" i="99"/>
  <c r="Z83" i="99"/>
  <c r="AG82" i="99"/>
  <c r="AE82" i="99"/>
  <c r="AD82" i="99"/>
  <c r="AC82" i="99"/>
  <c r="AB82" i="99"/>
  <c r="AA82" i="99"/>
  <c r="Z82" i="99"/>
  <c r="AG81" i="99"/>
  <c r="AE81" i="99"/>
  <c r="AD81" i="99"/>
  <c r="AC81" i="99"/>
  <c r="AB81" i="99"/>
  <c r="AA81" i="99"/>
  <c r="Z81" i="99"/>
  <c r="AG80" i="99"/>
  <c r="AE80" i="99"/>
  <c r="AD80" i="99"/>
  <c r="AC80" i="99"/>
  <c r="AB80" i="99"/>
  <c r="AA80" i="99"/>
  <c r="Z80" i="99"/>
  <c r="AG79" i="99"/>
  <c r="AE79" i="99"/>
  <c r="AD79" i="99"/>
  <c r="AC79" i="99"/>
  <c r="AB79" i="99"/>
  <c r="AA79" i="99"/>
  <c r="Z79" i="99"/>
  <c r="AG78" i="99"/>
  <c r="AE78" i="99"/>
  <c r="AD78" i="99"/>
  <c r="AC78" i="99"/>
  <c r="AB78" i="99"/>
  <c r="AA78" i="99"/>
  <c r="Z78" i="99"/>
  <c r="AG77" i="99"/>
  <c r="AE77" i="99"/>
  <c r="AD77" i="99"/>
  <c r="AC77" i="99"/>
  <c r="AB77" i="99"/>
  <c r="AA77" i="99"/>
  <c r="Z77" i="99"/>
  <c r="AG76" i="99"/>
  <c r="AE76" i="99"/>
  <c r="AD76" i="99"/>
  <c r="AC76" i="99"/>
  <c r="AB76" i="99"/>
  <c r="AA76" i="99"/>
  <c r="Z76" i="99"/>
  <c r="AG75" i="99"/>
  <c r="AE75" i="99"/>
  <c r="AD75" i="99"/>
  <c r="AC75" i="99"/>
  <c r="AB75" i="99"/>
  <c r="AA75" i="99"/>
  <c r="Z75" i="99"/>
  <c r="AG74" i="99"/>
  <c r="AE74" i="99"/>
  <c r="AD74" i="99"/>
  <c r="AC74" i="99"/>
  <c r="AB74" i="99"/>
  <c r="AA74" i="99"/>
  <c r="Z74" i="99"/>
  <c r="AG73" i="99"/>
  <c r="AE73" i="99"/>
  <c r="AD73" i="99"/>
  <c r="AC73" i="99"/>
  <c r="AB73" i="99"/>
  <c r="AA73" i="99"/>
  <c r="Z73" i="99"/>
  <c r="AG72" i="99"/>
  <c r="AE72" i="99"/>
  <c r="AD72" i="99"/>
  <c r="AC72" i="99"/>
  <c r="AB72" i="99"/>
  <c r="AA72" i="99"/>
  <c r="Z72" i="99"/>
  <c r="AG71" i="99"/>
  <c r="AE71" i="99"/>
  <c r="AD71" i="99"/>
  <c r="AC71" i="99"/>
  <c r="AB71" i="99"/>
  <c r="AA71" i="99"/>
  <c r="Z71" i="99"/>
  <c r="AG70" i="99"/>
  <c r="AE70" i="99"/>
  <c r="AD70" i="99"/>
  <c r="AC70" i="99"/>
  <c r="AB70" i="99"/>
  <c r="AA70" i="99"/>
  <c r="Z70" i="99"/>
  <c r="AG69" i="99"/>
  <c r="AE69" i="99"/>
  <c r="AD69" i="99"/>
  <c r="AC69" i="99"/>
  <c r="AB69" i="99"/>
  <c r="AA69" i="99"/>
  <c r="Z69" i="99"/>
  <c r="AG68" i="99"/>
  <c r="AE68" i="99"/>
  <c r="AD68" i="99"/>
  <c r="AC68" i="99"/>
  <c r="AB68" i="99"/>
  <c r="AA68" i="99"/>
  <c r="Z68" i="99"/>
  <c r="AG67" i="99"/>
  <c r="AE67" i="99"/>
  <c r="AD67" i="99"/>
  <c r="AC67" i="99"/>
  <c r="AB67" i="99"/>
  <c r="AA67" i="99"/>
  <c r="Z67" i="99"/>
  <c r="AG66" i="99"/>
  <c r="AE66" i="99"/>
  <c r="AD66" i="99"/>
  <c r="AC66" i="99"/>
  <c r="AB66" i="99"/>
  <c r="AA66" i="99"/>
  <c r="Z66" i="99"/>
  <c r="AG65" i="99"/>
  <c r="AE65" i="99"/>
  <c r="AD65" i="99"/>
  <c r="AC65" i="99"/>
  <c r="AB65" i="99"/>
  <c r="AA65" i="99"/>
  <c r="Z65" i="99"/>
  <c r="AG64" i="99"/>
  <c r="AE64" i="99"/>
  <c r="AD64" i="99"/>
  <c r="AC64" i="99"/>
  <c r="AB64" i="99"/>
  <c r="AA64" i="99"/>
  <c r="Z64" i="99"/>
  <c r="AG63" i="99"/>
  <c r="AE63" i="99"/>
  <c r="AD63" i="99"/>
  <c r="AC63" i="99"/>
  <c r="AB63" i="99"/>
  <c r="AA63" i="99"/>
  <c r="Z63" i="99"/>
  <c r="AG62" i="99"/>
  <c r="AE62" i="99"/>
  <c r="AD62" i="99"/>
  <c r="AC62" i="99"/>
  <c r="AB62" i="99"/>
  <c r="AA62" i="99"/>
  <c r="Z62" i="99"/>
  <c r="AG61" i="99"/>
  <c r="AE61" i="99"/>
  <c r="AD61" i="99"/>
  <c r="AC61" i="99"/>
  <c r="AB61" i="99"/>
  <c r="AA61" i="99"/>
  <c r="Z61" i="99"/>
  <c r="AG60" i="99"/>
  <c r="AE60" i="99"/>
  <c r="AD60" i="99"/>
  <c r="AC60" i="99"/>
  <c r="AB60" i="99"/>
  <c r="AA60" i="99"/>
  <c r="Z60" i="99"/>
  <c r="AG59" i="99"/>
  <c r="AE59" i="99"/>
  <c r="AD59" i="99"/>
  <c r="AC59" i="99"/>
  <c r="AB59" i="99"/>
  <c r="AA59" i="99"/>
  <c r="Z59" i="99"/>
  <c r="AG58" i="99"/>
  <c r="AE58" i="99"/>
  <c r="AD58" i="99"/>
  <c r="AC58" i="99"/>
  <c r="AB58" i="99"/>
  <c r="AA58" i="99"/>
  <c r="Z58" i="99"/>
  <c r="AG57" i="99"/>
  <c r="AE57" i="99"/>
  <c r="AD57" i="99"/>
  <c r="AC57" i="99"/>
  <c r="AB57" i="99"/>
  <c r="AA57" i="99"/>
  <c r="Z57" i="99"/>
  <c r="AG56" i="99"/>
  <c r="AE56" i="99"/>
  <c r="AD56" i="99"/>
  <c r="AC56" i="99"/>
  <c r="AB56" i="99"/>
  <c r="AA56" i="99"/>
  <c r="Z56" i="99"/>
  <c r="AG55" i="99"/>
  <c r="AE55" i="99"/>
  <c r="AD55" i="99"/>
  <c r="AC55" i="99"/>
  <c r="AB55" i="99"/>
  <c r="AA55" i="99"/>
  <c r="Z55" i="99"/>
  <c r="AG54" i="99"/>
  <c r="AE54" i="99"/>
  <c r="AD54" i="99"/>
  <c r="AC54" i="99"/>
  <c r="AB54" i="99"/>
  <c r="AA54" i="99"/>
  <c r="Z54" i="99"/>
  <c r="AG53" i="99"/>
  <c r="AE53" i="99"/>
  <c r="AD53" i="99"/>
  <c r="AC53" i="99"/>
  <c r="AB53" i="99"/>
  <c r="AA53" i="99"/>
  <c r="Z53" i="99"/>
  <c r="AG52" i="99"/>
  <c r="AE52" i="99"/>
  <c r="AD52" i="99"/>
  <c r="AC52" i="99"/>
  <c r="AB52" i="99"/>
  <c r="AA52" i="99"/>
  <c r="Z52" i="99"/>
  <c r="AG51" i="99"/>
  <c r="AE51" i="99"/>
  <c r="AD51" i="99"/>
  <c r="AC51" i="99"/>
  <c r="AB51" i="99"/>
  <c r="AA51" i="99"/>
  <c r="Z51" i="99"/>
  <c r="AG50" i="99"/>
  <c r="AE50" i="99"/>
  <c r="AD50" i="99"/>
  <c r="AC50" i="99"/>
  <c r="AB50" i="99"/>
  <c r="AA50" i="99"/>
  <c r="Z50" i="99"/>
  <c r="AG49" i="99"/>
  <c r="AE49" i="99"/>
  <c r="AD49" i="99"/>
  <c r="AC49" i="99"/>
  <c r="AB49" i="99"/>
  <c r="AA49" i="99"/>
  <c r="Z49" i="99"/>
  <c r="AG48" i="99"/>
  <c r="AE48" i="99"/>
  <c r="AD48" i="99"/>
  <c r="AC48" i="99"/>
  <c r="AB48" i="99"/>
  <c r="AA48" i="99"/>
  <c r="Z48" i="99"/>
  <c r="AG47" i="99"/>
  <c r="AE47" i="99"/>
  <c r="AD47" i="99"/>
  <c r="AC47" i="99"/>
  <c r="AB47" i="99"/>
  <c r="AA47" i="99"/>
  <c r="Z47" i="99"/>
  <c r="AG46" i="99"/>
  <c r="AE46" i="99"/>
  <c r="AD46" i="99"/>
  <c r="AC46" i="99"/>
  <c r="AB46" i="99"/>
  <c r="AA46" i="99"/>
  <c r="Z46" i="99"/>
  <c r="AG45" i="99"/>
  <c r="AE45" i="99"/>
  <c r="AD45" i="99"/>
  <c r="AC45" i="99"/>
  <c r="AB45" i="99"/>
  <c r="AA45" i="99"/>
  <c r="Z45" i="99"/>
  <c r="AG44" i="99"/>
  <c r="AE44" i="99"/>
  <c r="AD44" i="99"/>
  <c r="AC44" i="99"/>
  <c r="AB44" i="99"/>
  <c r="AA44" i="99"/>
  <c r="Z44" i="99"/>
  <c r="AG43" i="99"/>
  <c r="AE43" i="99"/>
  <c r="AD43" i="99"/>
  <c r="AC43" i="99"/>
  <c r="AB43" i="99"/>
  <c r="AA43" i="99"/>
  <c r="Z43" i="99"/>
  <c r="AG42" i="99"/>
  <c r="AE42" i="99"/>
  <c r="AD42" i="99"/>
  <c r="AC42" i="99"/>
  <c r="AB42" i="99"/>
  <c r="AA42" i="99"/>
  <c r="Z42" i="99"/>
  <c r="AG41" i="99"/>
  <c r="AE41" i="99"/>
  <c r="AD41" i="99"/>
  <c r="AC41" i="99"/>
  <c r="AB41" i="99"/>
  <c r="AA41" i="99"/>
  <c r="Z41" i="99"/>
  <c r="AG40" i="99"/>
  <c r="AE40" i="99"/>
  <c r="AD40" i="99"/>
  <c r="AC40" i="99"/>
  <c r="AB40" i="99"/>
  <c r="AA40" i="99"/>
  <c r="Z40" i="99"/>
  <c r="AG39" i="99"/>
  <c r="AE39" i="99"/>
  <c r="AD39" i="99"/>
  <c r="AC39" i="99"/>
  <c r="AB39" i="99"/>
  <c r="AA39" i="99"/>
  <c r="Z39" i="99"/>
  <c r="AG38" i="99"/>
  <c r="AE38" i="99"/>
  <c r="AD38" i="99"/>
  <c r="AC38" i="99"/>
  <c r="AB38" i="99"/>
  <c r="AA38" i="99"/>
  <c r="Z38" i="99"/>
  <c r="AG37" i="99"/>
  <c r="AE37" i="99"/>
  <c r="AD37" i="99"/>
  <c r="AC37" i="99"/>
  <c r="AB37" i="99"/>
  <c r="AA37" i="99"/>
  <c r="Z37" i="99"/>
  <c r="AG36" i="99"/>
  <c r="AE36" i="99"/>
  <c r="AD36" i="99"/>
  <c r="AC36" i="99"/>
  <c r="AB36" i="99"/>
  <c r="AA36" i="99"/>
  <c r="Z36" i="99"/>
  <c r="AG35" i="99"/>
  <c r="AE35" i="99"/>
  <c r="AD35" i="99"/>
  <c r="AC35" i="99"/>
  <c r="AB35" i="99"/>
  <c r="AA35" i="99"/>
  <c r="Z35" i="99"/>
  <c r="AG34" i="99"/>
  <c r="AE34" i="99"/>
  <c r="AD34" i="99"/>
  <c r="AC34" i="99"/>
  <c r="AB34" i="99"/>
  <c r="AA34" i="99"/>
  <c r="Z34" i="99"/>
  <c r="AG33" i="99"/>
  <c r="AE33" i="99"/>
  <c r="AD33" i="99"/>
  <c r="AC33" i="99"/>
  <c r="AB33" i="99"/>
  <c r="AA33" i="99"/>
  <c r="Z33" i="99"/>
  <c r="AG32" i="99"/>
  <c r="AE32" i="99"/>
  <c r="AD32" i="99"/>
  <c r="AC32" i="99"/>
  <c r="AB32" i="99"/>
  <c r="AA32" i="99"/>
  <c r="Z32" i="99"/>
  <c r="AG31" i="99"/>
  <c r="AE31" i="99"/>
  <c r="AD31" i="99"/>
  <c r="AC31" i="99"/>
  <c r="AB31" i="99"/>
  <c r="AA31" i="99"/>
  <c r="Z31" i="99"/>
  <c r="AG30" i="99"/>
  <c r="AE30" i="99"/>
  <c r="AD30" i="99"/>
  <c r="AC30" i="99"/>
  <c r="AB30" i="99"/>
  <c r="AA30" i="99"/>
  <c r="Z30" i="99"/>
  <c r="AG29" i="99"/>
  <c r="AE29" i="99"/>
  <c r="AD29" i="99"/>
  <c r="AC29" i="99"/>
  <c r="AB29" i="99"/>
  <c r="AA29" i="99"/>
  <c r="Z29" i="99"/>
  <c r="AG28" i="99"/>
  <c r="AE28" i="99"/>
  <c r="AD28" i="99"/>
  <c r="AC28" i="99"/>
  <c r="AB28" i="99"/>
  <c r="AA28" i="99"/>
  <c r="Z28" i="99"/>
  <c r="AG27" i="99"/>
  <c r="AE27" i="99"/>
  <c r="AD27" i="99"/>
  <c r="AC27" i="99"/>
  <c r="AB27" i="99"/>
  <c r="AA27" i="99"/>
  <c r="Z27" i="99"/>
  <c r="AG26" i="99"/>
  <c r="AE26" i="99"/>
  <c r="AD26" i="99"/>
  <c r="AC26" i="99"/>
  <c r="AB26" i="99"/>
  <c r="AA26" i="99"/>
  <c r="Z26" i="99"/>
  <c r="AG25" i="99"/>
  <c r="AE25" i="99"/>
  <c r="AD25" i="99"/>
  <c r="AC25" i="99"/>
  <c r="AB25" i="99"/>
  <c r="AA25" i="99"/>
  <c r="Z25" i="99"/>
  <c r="AG24" i="99"/>
  <c r="AE24" i="99"/>
  <c r="AD24" i="99"/>
  <c r="AC24" i="99"/>
  <c r="AB24" i="99"/>
  <c r="AA24" i="99"/>
  <c r="Z24" i="99"/>
  <c r="AG23" i="99"/>
  <c r="AE23" i="99"/>
  <c r="AD23" i="99"/>
  <c r="AC23" i="99"/>
  <c r="AB23" i="99"/>
  <c r="AA23" i="99"/>
  <c r="Z23" i="99"/>
  <c r="AG22" i="99"/>
  <c r="AE22" i="99"/>
  <c r="AD22" i="99"/>
  <c r="AC22" i="99"/>
  <c r="AB22" i="99"/>
  <c r="AA22" i="99"/>
  <c r="Z22" i="99"/>
  <c r="AG21" i="99"/>
  <c r="AE21" i="99"/>
  <c r="AD21" i="99"/>
  <c r="AC21" i="99"/>
  <c r="AB21" i="99"/>
  <c r="AA21" i="99"/>
  <c r="Z21" i="99"/>
  <c r="AG20" i="99"/>
  <c r="AE20" i="99"/>
  <c r="AD20" i="99"/>
  <c r="AC20" i="99"/>
  <c r="AB20" i="99"/>
  <c r="AA20" i="99"/>
  <c r="Z20" i="99"/>
  <c r="AG19" i="99"/>
  <c r="AE19" i="99"/>
  <c r="AD19" i="99"/>
  <c r="AC19" i="99"/>
  <c r="AB19" i="99"/>
  <c r="AA19" i="99"/>
  <c r="Z19" i="99"/>
  <c r="AG18" i="99"/>
  <c r="AE18" i="99"/>
  <c r="AD18" i="99"/>
  <c r="AC18" i="99"/>
  <c r="AB18" i="99"/>
  <c r="AA18" i="99"/>
  <c r="Z18" i="99"/>
  <c r="AG17" i="99"/>
  <c r="AE17" i="99"/>
  <c r="AD17" i="99"/>
  <c r="AC17" i="99"/>
  <c r="AB17" i="99"/>
  <c r="AA17" i="99"/>
  <c r="Z17" i="99"/>
  <c r="AG16" i="99"/>
  <c r="AE16" i="99"/>
  <c r="AD16" i="99"/>
  <c r="AC16" i="99"/>
  <c r="AB16" i="99"/>
  <c r="AA16" i="99"/>
  <c r="Z16" i="99"/>
  <c r="AG15" i="99"/>
  <c r="AE15" i="99"/>
  <c r="AD15" i="99"/>
  <c r="AC15" i="99"/>
  <c r="AB15" i="99"/>
  <c r="AA15" i="99"/>
  <c r="Z15" i="99"/>
  <c r="AG14" i="99"/>
  <c r="AE14" i="99"/>
  <c r="AD14" i="99"/>
  <c r="AC14" i="99"/>
  <c r="AB14" i="99"/>
  <c r="AA14" i="99"/>
  <c r="Z14" i="99"/>
  <c r="AG13" i="99"/>
  <c r="AE13" i="99"/>
  <c r="AD13" i="99"/>
  <c r="AC13" i="99"/>
  <c r="AB13" i="99"/>
  <c r="AA13" i="99"/>
  <c r="Z13" i="99"/>
  <c r="AG12" i="99"/>
  <c r="AE12" i="99"/>
  <c r="AD12" i="99"/>
  <c r="AC12" i="99"/>
  <c r="AB12" i="99"/>
  <c r="AA12" i="99"/>
  <c r="Z12" i="99"/>
  <c r="AG11" i="99"/>
  <c r="AE11" i="99"/>
  <c r="AD11" i="99"/>
  <c r="AC11" i="99"/>
  <c r="AB11" i="99"/>
  <c r="AA11" i="99"/>
  <c r="Z11" i="99"/>
  <c r="AG10" i="99"/>
  <c r="AE10" i="99"/>
  <c r="AD10" i="99"/>
  <c r="AC10" i="99"/>
  <c r="AB10" i="99"/>
  <c r="AA10" i="99"/>
  <c r="Z10" i="99"/>
  <c r="AG9" i="99"/>
  <c r="AE9" i="99"/>
  <c r="AD9" i="99"/>
  <c r="AC9" i="99"/>
  <c r="AB9" i="99"/>
  <c r="AA9" i="99"/>
  <c r="Z9" i="99"/>
  <c r="AG8" i="99"/>
  <c r="AE8" i="99"/>
  <c r="AD8" i="99"/>
  <c r="AC8" i="99"/>
  <c r="AB8" i="99"/>
  <c r="AA8" i="99"/>
  <c r="Z8" i="99"/>
  <c r="AG7" i="99"/>
  <c r="AE7" i="99"/>
  <c r="AD7" i="99"/>
  <c r="AC7" i="99"/>
  <c r="AB7" i="99"/>
  <c r="AA7" i="99"/>
  <c r="Z7" i="99"/>
  <c r="AG6" i="99"/>
  <c r="AE6" i="99"/>
  <c r="AD6" i="99"/>
  <c r="AC6" i="99"/>
  <c r="AB6" i="99"/>
  <c r="AA6" i="99"/>
  <c r="Z6" i="99"/>
  <c r="AG5" i="99"/>
  <c r="AE5" i="99"/>
  <c r="AD5" i="99"/>
  <c r="AC5" i="99"/>
  <c r="AB5" i="99"/>
  <c r="AA5" i="99"/>
  <c r="Z5" i="99"/>
  <c r="AG4" i="99"/>
  <c r="AE4" i="99"/>
  <c r="AD4" i="99"/>
  <c r="AC4" i="99"/>
  <c r="AB4" i="99"/>
  <c r="AA4" i="99"/>
  <c r="Z4" i="99"/>
  <c r="AG3" i="99"/>
  <c r="AE3" i="99"/>
  <c r="AD3" i="99"/>
  <c r="AC3" i="99"/>
  <c r="AB3" i="99"/>
  <c r="AA3" i="99"/>
  <c r="Z3" i="99"/>
  <c r="V253" i="99"/>
  <c r="T253" i="99"/>
  <c r="S253" i="99"/>
  <c r="R253" i="99"/>
  <c r="Q253" i="99"/>
  <c r="P253" i="99"/>
  <c r="O253" i="99"/>
  <c r="V252" i="99"/>
  <c r="T252" i="99"/>
  <c r="S252" i="99"/>
  <c r="R252" i="99"/>
  <c r="Q252" i="99"/>
  <c r="P252" i="99"/>
  <c r="O252" i="99"/>
  <c r="V251" i="99"/>
  <c r="T251" i="99"/>
  <c r="S251" i="99"/>
  <c r="R251" i="99"/>
  <c r="Q251" i="99"/>
  <c r="P251" i="99"/>
  <c r="O251" i="99"/>
  <c r="V250" i="99"/>
  <c r="T250" i="99"/>
  <c r="S250" i="99"/>
  <c r="R250" i="99"/>
  <c r="Q250" i="99"/>
  <c r="P250" i="99"/>
  <c r="O250" i="99"/>
  <c r="V249" i="99"/>
  <c r="T249" i="99"/>
  <c r="S249" i="99"/>
  <c r="R249" i="99"/>
  <c r="Q249" i="99"/>
  <c r="P249" i="99"/>
  <c r="O249" i="99"/>
  <c r="V248" i="99"/>
  <c r="T248" i="99"/>
  <c r="S248" i="99"/>
  <c r="R248" i="99"/>
  <c r="Q248" i="99"/>
  <c r="P248" i="99"/>
  <c r="O248" i="99"/>
  <c r="V247" i="99"/>
  <c r="T247" i="99"/>
  <c r="S247" i="99"/>
  <c r="R247" i="99"/>
  <c r="Q247" i="99"/>
  <c r="P247" i="99"/>
  <c r="O247" i="99"/>
  <c r="V246" i="99"/>
  <c r="T246" i="99"/>
  <c r="S246" i="99"/>
  <c r="R246" i="99"/>
  <c r="Q246" i="99"/>
  <c r="P246" i="99"/>
  <c r="O246" i="99"/>
  <c r="V245" i="99"/>
  <c r="T245" i="99"/>
  <c r="S245" i="99"/>
  <c r="R245" i="99"/>
  <c r="Q245" i="99"/>
  <c r="P245" i="99"/>
  <c r="O245" i="99"/>
  <c r="V244" i="99"/>
  <c r="T244" i="99"/>
  <c r="S244" i="99"/>
  <c r="R244" i="99"/>
  <c r="Q244" i="99"/>
  <c r="P244" i="99"/>
  <c r="O244" i="99"/>
  <c r="V243" i="99"/>
  <c r="T243" i="99"/>
  <c r="S243" i="99"/>
  <c r="R243" i="99"/>
  <c r="Q243" i="99"/>
  <c r="P243" i="99"/>
  <c r="O243" i="99"/>
  <c r="V242" i="99"/>
  <c r="T242" i="99"/>
  <c r="S242" i="99"/>
  <c r="R242" i="99"/>
  <c r="Q242" i="99"/>
  <c r="P242" i="99"/>
  <c r="O242" i="99"/>
  <c r="V241" i="99"/>
  <c r="T241" i="99"/>
  <c r="S241" i="99"/>
  <c r="R241" i="99"/>
  <c r="Q241" i="99"/>
  <c r="P241" i="99"/>
  <c r="O241" i="99"/>
  <c r="V240" i="99"/>
  <c r="T240" i="99"/>
  <c r="S240" i="99"/>
  <c r="R240" i="99"/>
  <c r="Q240" i="99"/>
  <c r="P240" i="99"/>
  <c r="O240" i="99"/>
  <c r="V239" i="99"/>
  <c r="T239" i="99"/>
  <c r="S239" i="99"/>
  <c r="R239" i="99"/>
  <c r="Q239" i="99"/>
  <c r="P239" i="99"/>
  <c r="O239" i="99"/>
  <c r="V238" i="99"/>
  <c r="T238" i="99"/>
  <c r="S238" i="99"/>
  <c r="R238" i="99"/>
  <c r="Q238" i="99"/>
  <c r="P238" i="99"/>
  <c r="O238" i="99"/>
  <c r="V237" i="99"/>
  <c r="T237" i="99"/>
  <c r="S237" i="99"/>
  <c r="R237" i="99"/>
  <c r="Q237" i="99"/>
  <c r="P237" i="99"/>
  <c r="O237" i="99"/>
  <c r="V236" i="99"/>
  <c r="T236" i="99"/>
  <c r="S236" i="99"/>
  <c r="R236" i="99"/>
  <c r="Q236" i="99"/>
  <c r="P236" i="99"/>
  <c r="O236" i="99"/>
  <c r="V235" i="99"/>
  <c r="T235" i="99"/>
  <c r="S235" i="99"/>
  <c r="R235" i="99"/>
  <c r="Q235" i="99"/>
  <c r="P235" i="99"/>
  <c r="O235" i="99"/>
  <c r="V234" i="99"/>
  <c r="T234" i="99"/>
  <c r="S234" i="99"/>
  <c r="R234" i="99"/>
  <c r="Q234" i="99"/>
  <c r="P234" i="99"/>
  <c r="O234" i="99"/>
  <c r="V233" i="99"/>
  <c r="T233" i="99"/>
  <c r="S233" i="99"/>
  <c r="R233" i="99"/>
  <c r="Q233" i="99"/>
  <c r="P233" i="99"/>
  <c r="O233" i="99"/>
  <c r="V232" i="99"/>
  <c r="T232" i="99"/>
  <c r="S232" i="99"/>
  <c r="R232" i="99"/>
  <c r="Q232" i="99"/>
  <c r="P232" i="99"/>
  <c r="O232" i="99"/>
  <c r="V231" i="99"/>
  <c r="T231" i="99"/>
  <c r="S231" i="99"/>
  <c r="R231" i="99"/>
  <c r="Q231" i="99"/>
  <c r="P231" i="99"/>
  <c r="O231" i="99"/>
  <c r="V230" i="99"/>
  <c r="T230" i="99"/>
  <c r="S230" i="99"/>
  <c r="R230" i="99"/>
  <c r="Q230" i="99"/>
  <c r="P230" i="99"/>
  <c r="O230" i="99"/>
  <c r="V229" i="99"/>
  <c r="T229" i="99"/>
  <c r="S229" i="99"/>
  <c r="R229" i="99"/>
  <c r="Q229" i="99"/>
  <c r="P229" i="99"/>
  <c r="O229" i="99"/>
  <c r="V228" i="99"/>
  <c r="T228" i="99"/>
  <c r="S228" i="99"/>
  <c r="R228" i="99"/>
  <c r="Q228" i="99"/>
  <c r="P228" i="99"/>
  <c r="O228" i="99"/>
  <c r="V227" i="99"/>
  <c r="T227" i="99"/>
  <c r="S227" i="99"/>
  <c r="R227" i="99"/>
  <c r="Q227" i="99"/>
  <c r="P227" i="99"/>
  <c r="O227" i="99"/>
  <c r="V226" i="99"/>
  <c r="T226" i="99"/>
  <c r="S226" i="99"/>
  <c r="R226" i="99"/>
  <c r="Q226" i="99"/>
  <c r="P226" i="99"/>
  <c r="O226" i="99"/>
  <c r="V225" i="99"/>
  <c r="T225" i="99"/>
  <c r="S225" i="99"/>
  <c r="R225" i="99"/>
  <c r="Q225" i="99"/>
  <c r="P225" i="99"/>
  <c r="O225" i="99"/>
  <c r="V224" i="99"/>
  <c r="T224" i="99"/>
  <c r="S224" i="99"/>
  <c r="R224" i="99"/>
  <c r="Q224" i="99"/>
  <c r="P224" i="99"/>
  <c r="O224" i="99"/>
  <c r="V223" i="99"/>
  <c r="T223" i="99"/>
  <c r="S223" i="99"/>
  <c r="R223" i="99"/>
  <c r="Q223" i="99"/>
  <c r="P223" i="99"/>
  <c r="O223" i="99"/>
  <c r="V222" i="99"/>
  <c r="T222" i="99"/>
  <c r="S222" i="99"/>
  <c r="R222" i="99"/>
  <c r="Q222" i="99"/>
  <c r="P222" i="99"/>
  <c r="O222" i="99"/>
  <c r="V221" i="99"/>
  <c r="T221" i="99"/>
  <c r="S221" i="99"/>
  <c r="R221" i="99"/>
  <c r="Q221" i="99"/>
  <c r="P221" i="99"/>
  <c r="O221" i="99"/>
  <c r="V220" i="99"/>
  <c r="T220" i="99"/>
  <c r="S220" i="99"/>
  <c r="R220" i="99"/>
  <c r="Q220" i="99"/>
  <c r="P220" i="99"/>
  <c r="O220" i="99"/>
  <c r="V219" i="99"/>
  <c r="T219" i="99"/>
  <c r="S219" i="99"/>
  <c r="R219" i="99"/>
  <c r="Q219" i="99"/>
  <c r="P219" i="99"/>
  <c r="O219" i="99"/>
  <c r="V218" i="99"/>
  <c r="T218" i="99"/>
  <c r="S218" i="99"/>
  <c r="R218" i="99"/>
  <c r="Q218" i="99"/>
  <c r="P218" i="99"/>
  <c r="O218" i="99"/>
  <c r="V217" i="99"/>
  <c r="T217" i="99"/>
  <c r="S217" i="99"/>
  <c r="R217" i="99"/>
  <c r="Q217" i="99"/>
  <c r="P217" i="99"/>
  <c r="O217" i="99"/>
  <c r="V216" i="99"/>
  <c r="T216" i="99"/>
  <c r="S216" i="99"/>
  <c r="R216" i="99"/>
  <c r="Q216" i="99"/>
  <c r="P216" i="99"/>
  <c r="O216" i="99"/>
  <c r="V215" i="99"/>
  <c r="T215" i="99"/>
  <c r="S215" i="99"/>
  <c r="R215" i="99"/>
  <c r="Q215" i="99"/>
  <c r="P215" i="99"/>
  <c r="O215" i="99"/>
  <c r="V214" i="99"/>
  <c r="T214" i="99"/>
  <c r="S214" i="99"/>
  <c r="R214" i="99"/>
  <c r="Q214" i="99"/>
  <c r="P214" i="99"/>
  <c r="O214" i="99"/>
  <c r="V213" i="99"/>
  <c r="T213" i="99"/>
  <c r="S213" i="99"/>
  <c r="R213" i="99"/>
  <c r="Q213" i="99"/>
  <c r="P213" i="99"/>
  <c r="O213" i="99"/>
  <c r="V212" i="99"/>
  <c r="T212" i="99"/>
  <c r="S212" i="99"/>
  <c r="R212" i="99"/>
  <c r="Q212" i="99"/>
  <c r="P212" i="99"/>
  <c r="O212" i="99"/>
  <c r="V211" i="99"/>
  <c r="T211" i="99"/>
  <c r="S211" i="99"/>
  <c r="R211" i="99"/>
  <c r="Q211" i="99"/>
  <c r="P211" i="99"/>
  <c r="O211" i="99"/>
  <c r="V210" i="99"/>
  <c r="T210" i="99"/>
  <c r="S210" i="99"/>
  <c r="R210" i="99"/>
  <c r="Q210" i="99"/>
  <c r="P210" i="99"/>
  <c r="O210" i="99"/>
  <c r="V209" i="99"/>
  <c r="T209" i="99"/>
  <c r="S209" i="99"/>
  <c r="R209" i="99"/>
  <c r="Q209" i="99"/>
  <c r="P209" i="99"/>
  <c r="O209" i="99"/>
  <c r="V208" i="99"/>
  <c r="T208" i="99"/>
  <c r="S208" i="99"/>
  <c r="R208" i="99"/>
  <c r="Q208" i="99"/>
  <c r="P208" i="99"/>
  <c r="O208" i="99"/>
  <c r="V207" i="99"/>
  <c r="T207" i="99"/>
  <c r="S207" i="99"/>
  <c r="R207" i="99"/>
  <c r="Q207" i="99"/>
  <c r="P207" i="99"/>
  <c r="O207" i="99"/>
  <c r="V206" i="99"/>
  <c r="T206" i="99"/>
  <c r="S206" i="99"/>
  <c r="R206" i="99"/>
  <c r="Q206" i="99"/>
  <c r="P206" i="99"/>
  <c r="O206" i="99"/>
  <c r="V205" i="99"/>
  <c r="T205" i="99"/>
  <c r="S205" i="99"/>
  <c r="R205" i="99"/>
  <c r="Q205" i="99"/>
  <c r="P205" i="99"/>
  <c r="O205" i="99"/>
  <c r="V204" i="99"/>
  <c r="T204" i="99"/>
  <c r="S204" i="99"/>
  <c r="R204" i="99"/>
  <c r="Q204" i="99"/>
  <c r="P204" i="99"/>
  <c r="O204" i="99"/>
  <c r="V203" i="99"/>
  <c r="T203" i="99"/>
  <c r="S203" i="99"/>
  <c r="R203" i="99"/>
  <c r="Q203" i="99"/>
  <c r="P203" i="99"/>
  <c r="O203" i="99"/>
  <c r="V202" i="99"/>
  <c r="T202" i="99"/>
  <c r="S202" i="99"/>
  <c r="R202" i="99"/>
  <c r="Q202" i="99"/>
  <c r="P202" i="99"/>
  <c r="O202" i="99"/>
  <c r="V201" i="99"/>
  <c r="T201" i="99"/>
  <c r="S201" i="99"/>
  <c r="R201" i="99"/>
  <c r="Q201" i="99"/>
  <c r="P201" i="99"/>
  <c r="O201" i="99"/>
  <c r="V200" i="99"/>
  <c r="T200" i="99"/>
  <c r="S200" i="99"/>
  <c r="R200" i="99"/>
  <c r="Q200" i="99"/>
  <c r="P200" i="99"/>
  <c r="O200" i="99"/>
  <c r="V199" i="99"/>
  <c r="T199" i="99"/>
  <c r="S199" i="99"/>
  <c r="R199" i="99"/>
  <c r="Q199" i="99"/>
  <c r="P199" i="99"/>
  <c r="O199" i="99"/>
  <c r="V198" i="99"/>
  <c r="T198" i="99"/>
  <c r="S198" i="99"/>
  <c r="R198" i="99"/>
  <c r="Q198" i="99"/>
  <c r="P198" i="99"/>
  <c r="O198" i="99"/>
  <c r="V197" i="99"/>
  <c r="T197" i="99"/>
  <c r="S197" i="99"/>
  <c r="R197" i="99"/>
  <c r="Q197" i="99"/>
  <c r="P197" i="99"/>
  <c r="O197" i="99"/>
  <c r="V196" i="99"/>
  <c r="T196" i="99"/>
  <c r="S196" i="99"/>
  <c r="R196" i="99"/>
  <c r="Q196" i="99"/>
  <c r="P196" i="99"/>
  <c r="O196" i="99"/>
  <c r="V195" i="99"/>
  <c r="T195" i="99"/>
  <c r="S195" i="99"/>
  <c r="R195" i="99"/>
  <c r="Q195" i="99"/>
  <c r="P195" i="99"/>
  <c r="O195" i="99"/>
  <c r="V194" i="99"/>
  <c r="T194" i="99"/>
  <c r="S194" i="99"/>
  <c r="R194" i="99"/>
  <c r="Q194" i="99"/>
  <c r="P194" i="99"/>
  <c r="O194" i="99"/>
  <c r="V193" i="99"/>
  <c r="T193" i="99"/>
  <c r="S193" i="99"/>
  <c r="R193" i="99"/>
  <c r="Q193" i="99"/>
  <c r="P193" i="99"/>
  <c r="O193" i="99"/>
  <c r="V192" i="99"/>
  <c r="T192" i="99"/>
  <c r="S192" i="99"/>
  <c r="R192" i="99"/>
  <c r="Q192" i="99"/>
  <c r="P192" i="99"/>
  <c r="O192" i="99"/>
  <c r="V191" i="99"/>
  <c r="T191" i="99"/>
  <c r="S191" i="99"/>
  <c r="R191" i="99"/>
  <c r="Q191" i="99"/>
  <c r="P191" i="99"/>
  <c r="O191" i="99"/>
  <c r="V190" i="99"/>
  <c r="T190" i="99"/>
  <c r="S190" i="99"/>
  <c r="R190" i="99"/>
  <c r="Q190" i="99"/>
  <c r="P190" i="99"/>
  <c r="O190" i="99"/>
  <c r="V189" i="99"/>
  <c r="T189" i="99"/>
  <c r="S189" i="99"/>
  <c r="R189" i="99"/>
  <c r="Q189" i="99"/>
  <c r="P189" i="99"/>
  <c r="O189" i="99"/>
  <c r="V188" i="99"/>
  <c r="T188" i="99"/>
  <c r="S188" i="99"/>
  <c r="R188" i="99"/>
  <c r="Q188" i="99"/>
  <c r="P188" i="99"/>
  <c r="O188" i="99"/>
  <c r="V187" i="99"/>
  <c r="T187" i="99"/>
  <c r="S187" i="99"/>
  <c r="R187" i="99"/>
  <c r="Q187" i="99"/>
  <c r="P187" i="99"/>
  <c r="O187" i="99"/>
  <c r="V186" i="99"/>
  <c r="T186" i="99"/>
  <c r="S186" i="99"/>
  <c r="R186" i="99"/>
  <c r="Q186" i="99"/>
  <c r="P186" i="99"/>
  <c r="O186" i="99"/>
  <c r="V185" i="99"/>
  <c r="T185" i="99"/>
  <c r="S185" i="99"/>
  <c r="R185" i="99"/>
  <c r="Q185" i="99"/>
  <c r="P185" i="99"/>
  <c r="O185" i="99"/>
  <c r="V184" i="99"/>
  <c r="T184" i="99"/>
  <c r="S184" i="99"/>
  <c r="R184" i="99"/>
  <c r="Q184" i="99"/>
  <c r="P184" i="99"/>
  <c r="O184" i="99"/>
  <c r="V183" i="99"/>
  <c r="T183" i="99"/>
  <c r="S183" i="99"/>
  <c r="R183" i="99"/>
  <c r="Q183" i="99"/>
  <c r="P183" i="99"/>
  <c r="O183" i="99"/>
  <c r="V182" i="99"/>
  <c r="T182" i="99"/>
  <c r="S182" i="99"/>
  <c r="R182" i="99"/>
  <c r="Q182" i="99"/>
  <c r="P182" i="99"/>
  <c r="O182" i="99"/>
  <c r="V181" i="99"/>
  <c r="T181" i="99"/>
  <c r="S181" i="99"/>
  <c r="R181" i="99"/>
  <c r="Q181" i="99"/>
  <c r="P181" i="99"/>
  <c r="O181" i="99"/>
  <c r="V180" i="99"/>
  <c r="T180" i="99"/>
  <c r="S180" i="99"/>
  <c r="R180" i="99"/>
  <c r="Q180" i="99"/>
  <c r="P180" i="99"/>
  <c r="O180" i="99"/>
  <c r="V179" i="99"/>
  <c r="T179" i="99"/>
  <c r="S179" i="99"/>
  <c r="R179" i="99"/>
  <c r="Q179" i="99"/>
  <c r="P179" i="99"/>
  <c r="O179" i="99"/>
  <c r="V178" i="99"/>
  <c r="T178" i="99"/>
  <c r="S178" i="99"/>
  <c r="R178" i="99"/>
  <c r="Q178" i="99"/>
  <c r="P178" i="99"/>
  <c r="O178" i="99"/>
  <c r="V177" i="99"/>
  <c r="T177" i="99"/>
  <c r="S177" i="99"/>
  <c r="R177" i="99"/>
  <c r="Q177" i="99"/>
  <c r="P177" i="99"/>
  <c r="O177" i="99"/>
  <c r="V176" i="99"/>
  <c r="T176" i="99"/>
  <c r="S176" i="99"/>
  <c r="R176" i="99"/>
  <c r="Q176" i="99"/>
  <c r="P176" i="99"/>
  <c r="O176" i="99"/>
  <c r="V175" i="99"/>
  <c r="T175" i="99"/>
  <c r="S175" i="99"/>
  <c r="R175" i="99"/>
  <c r="Q175" i="99"/>
  <c r="P175" i="99"/>
  <c r="O175" i="99"/>
  <c r="V174" i="99"/>
  <c r="T174" i="99"/>
  <c r="S174" i="99"/>
  <c r="R174" i="99"/>
  <c r="Q174" i="99"/>
  <c r="P174" i="99"/>
  <c r="O174" i="99"/>
  <c r="V173" i="99"/>
  <c r="T173" i="99"/>
  <c r="S173" i="99"/>
  <c r="R173" i="99"/>
  <c r="Q173" i="99"/>
  <c r="P173" i="99"/>
  <c r="O173" i="99"/>
  <c r="V172" i="99"/>
  <c r="T172" i="99"/>
  <c r="S172" i="99"/>
  <c r="R172" i="99"/>
  <c r="Q172" i="99"/>
  <c r="P172" i="99"/>
  <c r="O172" i="99"/>
  <c r="V171" i="99"/>
  <c r="T171" i="99"/>
  <c r="S171" i="99"/>
  <c r="R171" i="99"/>
  <c r="Q171" i="99"/>
  <c r="P171" i="99"/>
  <c r="O171" i="99"/>
  <c r="V170" i="99"/>
  <c r="T170" i="99"/>
  <c r="S170" i="99"/>
  <c r="R170" i="99"/>
  <c r="Q170" i="99"/>
  <c r="P170" i="99"/>
  <c r="O170" i="99"/>
  <c r="V169" i="99"/>
  <c r="T169" i="99"/>
  <c r="S169" i="99"/>
  <c r="R169" i="99"/>
  <c r="Q169" i="99"/>
  <c r="P169" i="99"/>
  <c r="O169" i="99"/>
  <c r="V168" i="99"/>
  <c r="T168" i="99"/>
  <c r="S168" i="99"/>
  <c r="R168" i="99"/>
  <c r="Q168" i="99"/>
  <c r="P168" i="99"/>
  <c r="O168" i="99"/>
  <c r="V167" i="99"/>
  <c r="T167" i="99"/>
  <c r="S167" i="99"/>
  <c r="R167" i="99"/>
  <c r="Q167" i="99"/>
  <c r="P167" i="99"/>
  <c r="O167" i="99"/>
  <c r="V166" i="99"/>
  <c r="T166" i="99"/>
  <c r="S166" i="99"/>
  <c r="R166" i="99"/>
  <c r="Q166" i="99"/>
  <c r="P166" i="99"/>
  <c r="O166" i="99"/>
  <c r="V165" i="99"/>
  <c r="T165" i="99"/>
  <c r="S165" i="99"/>
  <c r="R165" i="99"/>
  <c r="Q165" i="99"/>
  <c r="P165" i="99"/>
  <c r="O165" i="99"/>
  <c r="V164" i="99"/>
  <c r="T164" i="99"/>
  <c r="S164" i="99"/>
  <c r="R164" i="99"/>
  <c r="Q164" i="99"/>
  <c r="P164" i="99"/>
  <c r="O164" i="99"/>
  <c r="V163" i="99"/>
  <c r="T163" i="99"/>
  <c r="S163" i="99"/>
  <c r="R163" i="99"/>
  <c r="Q163" i="99"/>
  <c r="P163" i="99"/>
  <c r="O163" i="99"/>
  <c r="V162" i="99"/>
  <c r="T162" i="99"/>
  <c r="S162" i="99"/>
  <c r="R162" i="99"/>
  <c r="Q162" i="99"/>
  <c r="P162" i="99"/>
  <c r="O162" i="99"/>
  <c r="V161" i="99"/>
  <c r="T161" i="99"/>
  <c r="S161" i="99"/>
  <c r="R161" i="99"/>
  <c r="Q161" i="99"/>
  <c r="P161" i="99"/>
  <c r="O161" i="99"/>
  <c r="V160" i="99"/>
  <c r="T160" i="99"/>
  <c r="S160" i="99"/>
  <c r="R160" i="99"/>
  <c r="Q160" i="99"/>
  <c r="P160" i="99"/>
  <c r="O160" i="99"/>
  <c r="V159" i="99"/>
  <c r="T159" i="99"/>
  <c r="S159" i="99"/>
  <c r="R159" i="99"/>
  <c r="Q159" i="99"/>
  <c r="P159" i="99"/>
  <c r="O159" i="99"/>
  <c r="V158" i="99"/>
  <c r="T158" i="99"/>
  <c r="S158" i="99"/>
  <c r="R158" i="99"/>
  <c r="Q158" i="99"/>
  <c r="P158" i="99"/>
  <c r="O158" i="99"/>
  <c r="V157" i="99"/>
  <c r="T157" i="99"/>
  <c r="S157" i="99"/>
  <c r="R157" i="99"/>
  <c r="Q157" i="99"/>
  <c r="P157" i="99"/>
  <c r="O157" i="99"/>
  <c r="V156" i="99"/>
  <c r="T156" i="99"/>
  <c r="S156" i="99"/>
  <c r="R156" i="99"/>
  <c r="Q156" i="99"/>
  <c r="P156" i="99"/>
  <c r="O156" i="99"/>
  <c r="V155" i="99"/>
  <c r="T155" i="99"/>
  <c r="S155" i="99"/>
  <c r="R155" i="99"/>
  <c r="Q155" i="99"/>
  <c r="P155" i="99"/>
  <c r="O155" i="99"/>
  <c r="V154" i="99"/>
  <c r="T154" i="99"/>
  <c r="S154" i="99"/>
  <c r="R154" i="99"/>
  <c r="Q154" i="99"/>
  <c r="P154" i="99"/>
  <c r="O154" i="99"/>
  <c r="V153" i="99"/>
  <c r="T153" i="99"/>
  <c r="S153" i="99"/>
  <c r="R153" i="99"/>
  <c r="Q153" i="99"/>
  <c r="P153" i="99"/>
  <c r="O153" i="99"/>
  <c r="V152" i="99"/>
  <c r="T152" i="99"/>
  <c r="S152" i="99"/>
  <c r="R152" i="99"/>
  <c r="Q152" i="99"/>
  <c r="P152" i="99"/>
  <c r="O152" i="99"/>
  <c r="V151" i="99"/>
  <c r="T151" i="99"/>
  <c r="S151" i="99"/>
  <c r="R151" i="99"/>
  <c r="Q151" i="99"/>
  <c r="P151" i="99"/>
  <c r="O151" i="99"/>
  <c r="V150" i="99"/>
  <c r="T150" i="99"/>
  <c r="S150" i="99"/>
  <c r="R150" i="99"/>
  <c r="Q150" i="99"/>
  <c r="P150" i="99"/>
  <c r="O150" i="99"/>
  <c r="V149" i="99"/>
  <c r="T149" i="99"/>
  <c r="S149" i="99"/>
  <c r="R149" i="99"/>
  <c r="Q149" i="99"/>
  <c r="P149" i="99"/>
  <c r="O149" i="99"/>
  <c r="V148" i="99"/>
  <c r="T148" i="99"/>
  <c r="S148" i="99"/>
  <c r="R148" i="99"/>
  <c r="Q148" i="99"/>
  <c r="P148" i="99"/>
  <c r="O148" i="99"/>
  <c r="V147" i="99"/>
  <c r="T147" i="99"/>
  <c r="S147" i="99"/>
  <c r="R147" i="99"/>
  <c r="Q147" i="99"/>
  <c r="P147" i="99"/>
  <c r="O147" i="99"/>
  <c r="V146" i="99"/>
  <c r="T146" i="99"/>
  <c r="S146" i="99"/>
  <c r="R146" i="99"/>
  <c r="Q146" i="99"/>
  <c r="P146" i="99"/>
  <c r="O146" i="99"/>
  <c r="V145" i="99"/>
  <c r="T145" i="99"/>
  <c r="S145" i="99"/>
  <c r="R145" i="99"/>
  <c r="Q145" i="99"/>
  <c r="P145" i="99"/>
  <c r="O145" i="99"/>
  <c r="V144" i="99"/>
  <c r="T144" i="99"/>
  <c r="S144" i="99"/>
  <c r="R144" i="99"/>
  <c r="Q144" i="99"/>
  <c r="P144" i="99"/>
  <c r="O144" i="99"/>
  <c r="V143" i="99"/>
  <c r="T143" i="99"/>
  <c r="S143" i="99"/>
  <c r="R143" i="99"/>
  <c r="Q143" i="99"/>
  <c r="P143" i="99"/>
  <c r="O143" i="99"/>
  <c r="V142" i="99"/>
  <c r="T142" i="99"/>
  <c r="S142" i="99"/>
  <c r="R142" i="99"/>
  <c r="Q142" i="99"/>
  <c r="P142" i="99"/>
  <c r="O142" i="99"/>
  <c r="V141" i="99"/>
  <c r="T141" i="99"/>
  <c r="S141" i="99"/>
  <c r="R141" i="99"/>
  <c r="Q141" i="99"/>
  <c r="P141" i="99"/>
  <c r="O141" i="99"/>
  <c r="V140" i="99"/>
  <c r="T140" i="99"/>
  <c r="S140" i="99"/>
  <c r="R140" i="99"/>
  <c r="Q140" i="99"/>
  <c r="P140" i="99"/>
  <c r="O140" i="99"/>
  <c r="V139" i="99"/>
  <c r="T139" i="99"/>
  <c r="S139" i="99"/>
  <c r="R139" i="99"/>
  <c r="Q139" i="99"/>
  <c r="P139" i="99"/>
  <c r="O139" i="99"/>
  <c r="V138" i="99"/>
  <c r="T138" i="99"/>
  <c r="S138" i="99"/>
  <c r="R138" i="99"/>
  <c r="Q138" i="99"/>
  <c r="P138" i="99"/>
  <c r="O138" i="99"/>
  <c r="V137" i="99"/>
  <c r="T137" i="99"/>
  <c r="S137" i="99"/>
  <c r="R137" i="99"/>
  <c r="Q137" i="99"/>
  <c r="P137" i="99"/>
  <c r="O137" i="99"/>
  <c r="V136" i="99"/>
  <c r="T136" i="99"/>
  <c r="S136" i="99"/>
  <c r="R136" i="99"/>
  <c r="Q136" i="99"/>
  <c r="P136" i="99"/>
  <c r="O136" i="99"/>
  <c r="V135" i="99"/>
  <c r="T135" i="99"/>
  <c r="S135" i="99"/>
  <c r="R135" i="99"/>
  <c r="Q135" i="99"/>
  <c r="P135" i="99"/>
  <c r="O135" i="99"/>
  <c r="V134" i="99"/>
  <c r="T134" i="99"/>
  <c r="S134" i="99"/>
  <c r="R134" i="99"/>
  <c r="Q134" i="99"/>
  <c r="P134" i="99"/>
  <c r="O134" i="99"/>
  <c r="V133" i="99"/>
  <c r="T133" i="99"/>
  <c r="S133" i="99"/>
  <c r="R133" i="99"/>
  <c r="Q133" i="99"/>
  <c r="P133" i="99"/>
  <c r="O133" i="99"/>
  <c r="V132" i="99"/>
  <c r="T132" i="99"/>
  <c r="S132" i="99"/>
  <c r="R132" i="99"/>
  <c r="Q132" i="99"/>
  <c r="P132" i="99"/>
  <c r="O132" i="99"/>
  <c r="V131" i="99"/>
  <c r="T131" i="99"/>
  <c r="S131" i="99"/>
  <c r="R131" i="99"/>
  <c r="Q131" i="99"/>
  <c r="P131" i="99"/>
  <c r="O131" i="99"/>
  <c r="V130" i="99"/>
  <c r="T130" i="99"/>
  <c r="S130" i="99"/>
  <c r="R130" i="99"/>
  <c r="Q130" i="99"/>
  <c r="P130" i="99"/>
  <c r="O130" i="99"/>
  <c r="V129" i="99"/>
  <c r="T129" i="99"/>
  <c r="S129" i="99"/>
  <c r="R129" i="99"/>
  <c r="Q129" i="99"/>
  <c r="P129" i="99"/>
  <c r="O129" i="99"/>
  <c r="V128" i="99"/>
  <c r="T128" i="99"/>
  <c r="S128" i="99"/>
  <c r="R128" i="99"/>
  <c r="Q128" i="99"/>
  <c r="P128" i="99"/>
  <c r="O128" i="99"/>
  <c r="V127" i="99"/>
  <c r="T127" i="99"/>
  <c r="S127" i="99"/>
  <c r="R127" i="99"/>
  <c r="Q127" i="99"/>
  <c r="P127" i="99"/>
  <c r="O127" i="99"/>
  <c r="V126" i="99"/>
  <c r="T126" i="99"/>
  <c r="S126" i="99"/>
  <c r="R126" i="99"/>
  <c r="Q126" i="99"/>
  <c r="P126" i="99"/>
  <c r="O126" i="99"/>
  <c r="V125" i="99"/>
  <c r="T125" i="99"/>
  <c r="S125" i="99"/>
  <c r="R125" i="99"/>
  <c r="Q125" i="99"/>
  <c r="P125" i="99"/>
  <c r="O125" i="99"/>
  <c r="V124" i="99"/>
  <c r="T124" i="99"/>
  <c r="S124" i="99"/>
  <c r="R124" i="99"/>
  <c r="Q124" i="99"/>
  <c r="P124" i="99"/>
  <c r="O124" i="99"/>
  <c r="V123" i="99"/>
  <c r="T123" i="99"/>
  <c r="S123" i="99"/>
  <c r="R123" i="99"/>
  <c r="Q123" i="99"/>
  <c r="P123" i="99"/>
  <c r="O123" i="99"/>
  <c r="V122" i="99"/>
  <c r="T122" i="99"/>
  <c r="S122" i="99"/>
  <c r="R122" i="99"/>
  <c r="Q122" i="99"/>
  <c r="P122" i="99"/>
  <c r="O122" i="99"/>
  <c r="V121" i="99"/>
  <c r="T121" i="99"/>
  <c r="S121" i="99"/>
  <c r="R121" i="99"/>
  <c r="Q121" i="99"/>
  <c r="P121" i="99"/>
  <c r="O121" i="99"/>
  <c r="V120" i="99"/>
  <c r="T120" i="99"/>
  <c r="S120" i="99"/>
  <c r="R120" i="99"/>
  <c r="Q120" i="99"/>
  <c r="P120" i="99"/>
  <c r="O120" i="99"/>
  <c r="V119" i="99"/>
  <c r="T119" i="99"/>
  <c r="S119" i="99"/>
  <c r="R119" i="99"/>
  <c r="Q119" i="99"/>
  <c r="P119" i="99"/>
  <c r="O119" i="99"/>
  <c r="V118" i="99"/>
  <c r="T118" i="99"/>
  <c r="S118" i="99"/>
  <c r="R118" i="99"/>
  <c r="Q118" i="99"/>
  <c r="P118" i="99"/>
  <c r="O118" i="99"/>
  <c r="V117" i="99"/>
  <c r="T117" i="99"/>
  <c r="S117" i="99"/>
  <c r="R117" i="99"/>
  <c r="Q117" i="99"/>
  <c r="P117" i="99"/>
  <c r="O117" i="99"/>
  <c r="V116" i="99"/>
  <c r="T116" i="99"/>
  <c r="S116" i="99"/>
  <c r="R116" i="99"/>
  <c r="Q116" i="99"/>
  <c r="P116" i="99"/>
  <c r="O116" i="99"/>
  <c r="V115" i="99"/>
  <c r="T115" i="99"/>
  <c r="S115" i="99"/>
  <c r="R115" i="99"/>
  <c r="Q115" i="99"/>
  <c r="P115" i="99"/>
  <c r="O115" i="99"/>
  <c r="V114" i="99"/>
  <c r="T114" i="99"/>
  <c r="S114" i="99"/>
  <c r="R114" i="99"/>
  <c r="Q114" i="99"/>
  <c r="P114" i="99"/>
  <c r="O114" i="99"/>
  <c r="V113" i="99"/>
  <c r="T113" i="99"/>
  <c r="S113" i="99"/>
  <c r="R113" i="99"/>
  <c r="Q113" i="99"/>
  <c r="P113" i="99"/>
  <c r="O113" i="99"/>
  <c r="V112" i="99"/>
  <c r="T112" i="99"/>
  <c r="S112" i="99"/>
  <c r="R112" i="99"/>
  <c r="Q112" i="99"/>
  <c r="P112" i="99"/>
  <c r="O112" i="99"/>
  <c r="V111" i="99"/>
  <c r="T111" i="99"/>
  <c r="S111" i="99"/>
  <c r="R111" i="99"/>
  <c r="Q111" i="99"/>
  <c r="P111" i="99"/>
  <c r="O111" i="99"/>
  <c r="V110" i="99"/>
  <c r="T110" i="99"/>
  <c r="S110" i="99"/>
  <c r="R110" i="99"/>
  <c r="Q110" i="99"/>
  <c r="P110" i="99"/>
  <c r="O110" i="99"/>
  <c r="V109" i="99"/>
  <c r="T109" i="99"/>
  <c r="S109" i="99"/>
  <c r="R109" i="99"/>
  <c r="Q109" i="99"/>
  <c r="P109" i="99"/>
  <c r="O109" i="99"/>
  <c r="V108" i="99"/>
  <c r="T108" i="99"/>
  <c r="S108" i="99"/>
  <c r="R108" i="99"/>
  <c r="Q108" i="99"/>
  <c r="P108" i="99"/>
  <c r="O108" i="99"/>
  <c r="V107" i="99"/>
  <c r="T107" i="99"/>
  <c r="S107" i="99"/>
  <c r="R107" i="99"/>
  <c r="Q107" i="99"/>
  <c r="P107" i="99"/>
  <c r="O107" i="99"/>
  <c r="V106" i="99"/>
  <c r="T106" i="99"/>
  <c r="S106" i="99"/>
  <c r="R106" i="99"/>
  <c r="Q106" i="99"/>
  <c r="P106" i="99"/>
  <c r="O106" i="99"/>
  <c r="V105" i="99"/>
  <c r="T105" i="99"/>
  <c r="S105" i="99"/>
  <c r="R105" i="99"/>
  <c r="Q105" i="99"/>
  <c r="P105" i="99"/>
  <c r="O105" i="99"/>
  <c r="V104" i="99"/>
  <c r="T104" i="99"/>
  <c r="S104" i="99"/>
  <c r="R104" i="99"/>
  <c r="Q104" i="99"/>
  <c r="P104" i="99"/>
  <c r="O104" i="99"/>
  <c r="V103" i="99"/>
  <c r="T103" i="99"/>
  <c r="S103" i="99"/>
  <c r="R103" i="99"/>
  <c r="Q103" i="99"/>
  <c r="P103" i="99"/>
  <c r="O103" i="99"/>
  <c r="V102" i="99"/>
  <c r="T102" i="99"/>
  <c r="S102" i="99"/>
  <c r="R102" i="99"/>
  <c r="Q102" i="99"/>
  <c r="P102" i="99"/>
  <c r="O102" i="99"/>
  <c r="V101" i="99"/>
  <c r="T101" i="99"/>
  <c r="S101" i="99"/>
  <c r="R101" i="99"/>
  <c r="Q101" i="99"/>
  <c r="P101" i="99"/>
  <c r="O101" i="99"/>
  <c r="V100" i="99"/>
  <c r="T100" i="99"/>
  <c r="S100" i="99"/>
  <c r="R100" i="99"/>
  <c r="Q100" i="99"/>
  <c r="P100" i="99"/>
  <c r="O100" i="99"/>
  <c r="V99" i="99"/>
  <c r="T99" i="99"/>
  <c r="S99" i="99"/>
  <c r="R99" i="99"/>
  <c r="Q99" i="99"/>
  <c r="P99" i="99"/>
  <c r="O99" i="99"/>
  <c r="V98" i="99"/>
  <c r="T98" i="99"/>
  <c r="S98" i="99"/>
  <c r="R98" i="99"/>
  <c r="Q98" i="99"/>
  <c r="P98" i="99"/>
  <c r="O98" i="99"/>
  <c r="V97" i="99"/>
  <c r="T97" i="99"/>
  <c r="S97" i="99"/>
  <c r="R97" i="99"/>
  <c r="Q97" i="99"/>
  <c r="P97" i="99"/>
  <c r="O97" i="99"/>
  <c r="V96" i="99"/>
  <c r="T96" i="99"/>
  <c r="S96" i="99"/>
  <c r="R96" i="99"/>
  <c r="Q96" i="99"/>
  <c r="P96" i="99"/>
  <c r="O96" i="99"/>
  <c r="V95" i="99"/>
  <c r="T95" i="99"/>
  <c r="S95" i="99"/>
  <c r="R95" i="99"/>
  <c r="Q95" i="99"/>
  <c r="P95" i="99"/>
  <c r="O95" i="99"/>
  <c r="V94" i="99"/>
  <c r="T94" i="99"/>
  <c r="S94" i="99"/>
  <c r="R94" i="99"/>
  <c r="Q94" i="99"/>
  <c r="P94" i="99"/>
  <c r="O94" i="99"/>
  <c r="V93" i="99"/>
  <c r="T93" i="99"/>
  <c r="S93" i="99"/>
  <c r="R93" i="99"/>
  <c r="Q93" i="99"/>
  <c r="P93" i="99"/>
  <c r="O93" i="99"/>
  <c r="V92" i="99"/>
  <c r="T92" i="99"/>
  <c r="S92" i="99"/>
  <c r="R92" i="99"/>
  <c r="Q92" i="99"/>
  <c r="P92" i="99"/>
  <c r="O92" i="99"/>
  <c r="V91" i="99"/>
  <c r="T91" i="99"/>
  <c r="S91" i="99"/>
  <c r="R91" i="99"/>
  <c r="Q91" i="99"/>
  <c r="P91" i="99"/>
  <c r="O91" i="99"/>
  <c r="V90" i="99"/>
  <c r="T90" i="99"/>
  <c r="S90" i="99"/>
  <c r="R90" i="99"/>
  <c r="Q90" i="99"/>
  <c r="P90" i="99"/>
  <c r="O90" i="99"/>
  <c r="V89" i="99"/>
  <c r="T89" i="99"/>
  <c r="S89" i="99"/>
  <c r="R89" i="99"/>
  <c r="Q89" i="99"/>
  <c r="P89" i="99"/>
  <c r="O89" i="99"/>
  <c r="V88" i="99"/>
  <c r="T88" i="99"/>
  <c r="S88" i="99"/>
  <c r="R88" i="99"/>
  <c r="Q88" i="99"/>
  <c r="P88" i="99"/>
  <c r="O88" i="99"/>
  <c r="V87" i="99"/>
  <c r="T87" i="99"/>
  <c r="S87" i="99"/>
  <c r="R87" i="99"/>
  <c r="Q87" i="99"/>
  <c r="P87" i="99"/>
  <c r="O87" i="99"/>
  <c r="V86" i="99"/>
  <c r="T86" i="99"/>
  <c r="S86" i="99"/>
  <c r="R86" i="99"/>
  <c r="Q86" i="99"/>
  <c r="P86" i="99"/>
  <c r="O86" i="99"/>
  <c r="V85" i="99"/>
  <c r="T85" i="99"/>
  <c r="S85" i="99"/>
  <c r="R85" i="99"/>
  <c r="Q85" i="99"/>
  <c r="P85" i="99"/>
  <c r="O85" i="99"/>
  <c r="V84" i="99"/>
  <c r="T84" i="99"/>
  <c r="S84" i="99"/>
  <c r="R84" i="99"/>
  <c r="Q84" i="99"/>
  <c r="P84" i="99"/>
  <c r="O84" i="99"/>
  <c r="V83" i="99"/>
  <c r="T83" i="99"/>
  <c r="S83" i="99"/>
  <c r="R83" i="99"/>
  <c r="Q83" i="99"/>
  <c r="P83" i="99"/>
  <c r="O83" i="99"/>
  <c r="V82" i="99"/>
  <c r="T82" i="99"/>
  <c r="S82" i="99"/>
  <c r="R82" i="99"/>
  <c r="Q82" i="99"/>
  <c r="P82" i="99"/>
  <c r="O82" i="99"/>
  <c r="V81" i="99"/>
  <c r="T81" i="99"/>
  <c r="S81" i="99"/>
  <c r="R81" i="99"/>
  <c r="Q81" i="99"/>
  <c r="P81" i="99"/>
  <c r="O81" i="99"/>
  <c r="V80" i="99"/>
  <c r="T80" i="99"/>
  <c r="S80" i="99"/>
  <c r="R80" i="99"/>
  <c r="Q80" i="99"/>
  <c r="P80" i="99"/>
  <c r="O80" i="99"/>
  <c r="V79" i="99"/>
  <c r="T79" i="99"/>
  <c r="S79" i="99"/>
  <c r="R79" i="99"/>
  <c r="Q79" i="99"/>
  <c r="P79" i="99"/>
  <c r="O79" i="99"/>
  <c r="V78" i="99"/>
  <c r="T78" i="99"/>
  <c r="S78" i="99"/>
  <c r="R78" i="99"/>
  <c r="Q78" i="99"/>
  <c r="P78" i="99"/>
  <c r="O78" i="99"/>
  <c r="V77" i="99"/>
  <c r="T77" i="99"/>
  <c r="S77" i="99"/>
  <c r="R77" i="99"/>
  <c r="Q77" i="99"/>
  <c r="P77" i="99"/>
  <c r="O77" i="99"/>
  <c r="V76" i="99"/>
  <c r="T76" i="99"/>
  <c r="S76" i="99"/>
  <c r="R76" i="99"/>
  <c r="Q76" i="99"/>
  <c r="P76" i="99"/>
  <c r="O76" i="99"/>
  <c r="V75" i="99"/>
  <c r="T75" i="99"/>
  <c r="S75" i="99"/>
  <c r="R75" i="99"/>
  <c r="Q75" i="99"/>
  <c r="P75" i="99"/>
  <c r="O75" i="99"/>
  <c r="V74" i="99"/>
  <c r="T74" i="99"/>
  <c r="S74" i="99"/>
  <c r="R74" i="99"/>
  <c r="Q74" i="99"/>
  <c r="P74" i="99"/>
  <c r="O74" i="99"/>
  <c r="V73" i="99"/>
  <c r="T73" i="99"/>
  <c r="S73" i="99"/>
  <c r="R73" i="99"/>
  <c r="Q73" i="99"/>
  <c r="P73" i="99"/>
  <c r="O73" i="99"/>
  <c r="V72" i="99"/>
  <c r="T72" i="99"/>
  <c r="S72" i="99"/>
  <c r="R72" i="99"/>
  <c r="Q72" i="99"/>
  <c r="P72" i="99"/>
  <c r="O72" i="99"/>
  <c r="V71" i="99"/>
  <c r="T71" i="99"/>
  <c r="S71" i="99"/>
  <c r="R71" i="99"/>
  <c r="Q71" i="99"/>
  <c r="P71" i="99"/>
  <c r="O71" i="99"/>
  <c r="V70" i="99"/>
  <c r="T70" i="99"/>
  <c r="S70" i="99"/>
  <c r="R70" i="99"/>
  <c r="Q70" i="99"/>
  <c r="P70" i="99"/>
  <c r="O70" i="99"/>
  <c r="V69" i="99"/>
  <c r="T69" i="99"/>
  <c r="S69" i="99"/>
  <c r="R69" i="99"/>
  <c r="Q69" i="99"/>
  <c r="P69" i="99"/>
  <c r="O69" i="99"/>
  <c r="V68" i="99"/>
  <c r="T68" i="99"/>
  <c r="S68" i="99"/>
  <c r="R68" i="99"/>
  <c r="Q68" i="99"/>
  <c r="P68" i="99"/>
  <c r="O68" i="99"/>
  <c r="V67" i="99"/>
  <c r="T67" i="99"/>
  <c r="S67" i="99"/>
  <c r="R67" i="99"/>
  <c r="Q67" i="99"/>
  <c r="P67" i="99"/>
  <c r="O67" i="99"/>
  <c r="V66" i="99"/>
  <c r="T66" i="99"/>
  <c r="S66" i="99"/>
  <c r="R66" i="99"/>
  <c r="Q66" i="99"/>
  <c r="P66" i="99"/>
  <c r="O66" i="99"/>
  <c r="V65" i="99"/>
  <c r="T65" i="99"/>
  <c r="S65" i="99"/>
  <c r="R65" i="99"/>
  <c r="Q65" i="99"/>
  <c r="P65" i="99"/>
  <c r="O65" i="99"/>
  <c r="V64" i="99"/>
  <c r="T64" i="99"/>
  <c r="S64" i="99"/>
  <c r="R64" i="99"/>
  <c r="Q64" i="99"/>
  <c r="P64" i="99"/>
  <c r="O64" i="99"/>
  <c r="V63" i="99"/>
  <c r="T63" i="99"/>
  <c r="S63" i="99"/>
  <c r="R63" i="99"/>
  <c r="Q63" i="99"/>
  <c r="P63" i="99"/>
  <c r="O63" i="99"/>
  <c r="V62" i="99"/>
  <c r="T62" i="99"/>
  <c r="S62" i="99"/>
  <c r="R62" i="99"/>
  <c r="Q62" i="99"/>
  <c r="P62" i="99"/>
  <c r="O62" i="99"/>
  <c r="V61" i="99"/>
  <c r="T61" i="99"/>
  <c r="S61" i="99"/>
  <c r="R61" i="99"/>
  <c r="Q61" i="99"/>
  <c r="P61" i="99"/>
  <c r="O61" i="99"/>
  <c r="V60" i="99"/>
  <c r="T60" i="99"/>
  <c r="S60" i="99"/>
  <c r="R60" i="99"/>
  <c r="Q60" i="99"/>
  <c r="P60" i="99"/>
  <c r="O60" i="99"/>
  <c r="V59" i="99"/>
  <c r="T59" i="99"/>
  <c r="S59" i="99"/>
  <c r="R59" i="99"/>
  <c r="Q59" i="99"/>
  <c r="P59" i="99"/>
  <c r="O59" i="99"/>
  <c r="V58" i="99"/>
  <c r="T58" i="99"/>
  <c r="S58" i="99"/>
  <c r="R58" i="99"/>
  <c r="Q58" i="99"/>
  <c r="P58" i="99"/>
  <c r="O58" i="99"/>
  <c r="V57" i="99"/>
  <c r="T57" i="99"/>
  <c r="S57" i="99"/>
  <c r="R57" i="99"/>
  <c r="Q57" i="99"/>
  <c r="P57" i="99"/>
  <c r="O57" i="99"/>
  <c r="V56" i="99"/>
  <c r="T56" i="99"/>
  <c r="S56" i="99"/>
  <c r="R56" i="99"/>
  <c r="Q56" i="99"/>
  <c r="P56" i="99"/>
  <c r="O56" i="99"/>
  <c r="V55" i="99"/>
  <c r="T55" i="99"/>
  <c r="S55" i="99"/>
  <c r="R55" i="99"/>
  <c r="Q55" i="99"/>
  <c r="P55" i="99"/>
  <c r="O55" i="99"/>
  <c r="V54" i="99"/>
  <c r="T54" i="99"/>
  <c r="S54" i="99"/>
  <c r="R54" i="99"/>
  <c r="Q54" i="99"/>
  <c r="P54" i="99"/>
  <c r="O54" i="99"/>
  <c r="V53" i="99"/>
  <c r="T53" i="99"/>
  <c r="S53" i="99"/>
  <c r="R53" i="99"/>
  <c r="Q53" i="99"/>
  <c r="P53" i="99"/>
  <c r="O53" i="99"/>
  <c r="V52" i="99"/>
  <c r="T52" i="99"/>
  <c r="S52" i="99"/>
  <c r="R52" i="99"/>
  <c r="Q52" i="99"/>
  <c r="P52" i="99"/>
  <c r="O52" i="99"/>
  <c r="V51" i="99"/>
  <c r="T51" i="99"/>
  <c r="S51" i="99"/>
  <c r="R51" i="99"/>
  <c r="Q51" i="99"/>
  <c r="P51" i="99"/>
  <c r="O51" i="99"/>
  <c r="V50" i="99"/>
  <c r="T50" i="99"/>
  <c r="S50" i="99"/>
  <c r="R50" i="99"/>
  <c r="Q50" i="99"/>
  <c r="P50" i="99"/>
  <c r="O50" i="99"/>
  <c r="V49" i="99"/>
  <c r="T49" i="99"/>
  <c r="S49" i="99"/>
  <c r="R49" i="99"/>
  <c r="Q49" i="99"/>
  <c r="P49" i="99"/>
  <c r="O49" i="99"/>
  <c r="V48" i="99"/>
  <c r="T48" i="99"/>
  <c r="S48" i="99"/>
  <c r="R48" i="99"/>
  <c r="Q48" i="99"/>
  <c r="P48" i="99"/>
  <c r="O48" i="99"/>
  <c r="V47" i="99"/>
  <c r="T47" i="99"/>
  <c r="S47" i="99"/>
  <c r="R47" i="99"/>
  <c r="Q47" i="99"/>
  <c r="P47" i="99"/>
  <c r="O47" i="99"/>
  <c r="V46" i="99"/>
  <c r="T46" i="99"/>
  <c r="S46" i="99"/>
  <c r="R46" i="99"/>
  <c r="Q46" i="99"/>
  <c r="P46" i="99"/>
  <c r="O46" i="99"/>
  <c r="V45" i="99"/>
  <c r="T45" i="99"/>
  <c r="S45" i="99"/>
  <c r="R45" i="99"/>
  <c r="Q45" i="99"/>
  <c r="P45" i="99"/>
  <c r="O45" i="99"/>
  <c r="V44" i="99"/>
  <c r="T44" i="99"/>
  <c r="S44" i="99"/>
  <c r="R44" i="99"/>
  <c r="Q44" i="99"/>
  <c r="P44" i="99"/>
  <c r="O44" i="99"/>
  <c r="V43" i="99"/>
  <c r="T43" i="99"/>
  <c r="S43" i="99"/>
  <c r="R43" i="99"/>
  <c r="Q43" i="99"/>
  <c r="P43" i="99"/>
  <c r="O43" i="99"/>
  <c r="V42" i="99"/>
  <c r="T42" i="99"/>
  <c r="S42" i="99"/>
  <c r="R42" i="99"/>
  <c r="Q42" i="99"/>
  <c r="P42" i="99"/>
  <c r="O42" i="99"/>
  <c r="V41" i="99"/>
  <c r="T41" i="99"/>
  <c r="S41" i="99"/>
  <c r="R41" i="99"/>
  <c r="Q41" i="99"/>
  <c r="P41" i="99"/>
  <c r="O41" i="99"/>
  <c r="V40" i="99"/>
  <c r="T40" i="99"/>
  <c r="S40" i="99"/>
  <c r="R40" i="99"/>
  <c r="Q40" i="99"/>
  <c r="P40" i="99"/>
  <c r="O40" i="99"/>
  <c r="V39" i="99"/>
  <c r="T39" i="99"/>
  <c r="S39" i="99"/>
  <c r="R39" i="99"/>
  <c r="Q39" i="99"/>
  <c r="P39" i="99"/>
  <c r="O39" i="99"/>
  <c r="V38" i="99"/>
  <c r="T38" i="99"/>
  <c r="S38" i="99"/>
  <c r="R38" i="99"/>
  <c r="Q38" i="99"/>
  <c r="P38" i="99"/>
  <c r="O38" i="99"/>
  <c r="V37" i="99"/>
  <c r="T37" i="99"/>
  <c r="S37" i="99"/>
  <c r="R37" i="99"/>
  <c r="Q37" i="99"/>
  <c r="P37" i="99"/>
  <c r="O37" i="99"/>
  <c r="V36" i="99"/>
  <c r="T36" i="99"/>
  <c r="S36" i="99"/>
  <c r="R36" i="99"/>
  <c r="Q36" i="99"/>
  <c r="P36" i="99"/>
  <c r="O36" i="99"/>
  <c r="V35" i="99"/>
  <c r="T35" i="99"/>
  <c r="S35" i="99"/>
  <c r="R35" i="99"/>
  <c r="Q35" i="99"/>
  <c r="P35" i="99"/>
  <c r="O35" i="99"/>
  <c r="V34" i="99"/>
  <c r="T34" i="99"/>
  <c r="S34" i="99"/>
  <c r="R34" i="99"/>
  <c r="Q34" i="99"/>
  <c r="P34" i="99"/>
  <c r="O34" i="99"/>
  <c r="V33" i="99"/>
  <c r="T33" i="99"/>
  <c r="S33" i="99"/>
  <c r="R33" i="99"/>
  <c r="Q33" i="99"/>
  <c r="P33" i="99"/>
  <c r="O33" i="99"/>
  <c r="V32" i="99"/>
  <c r="T32" i="99"/>
  <c r="S32" i="99"/>
  <c r="R32" i="99"/>
  <c r="Q32" i="99"/>
  <c r="P32" i="99"/>
  <c r="O32" i="99"/>
  <c r="V31" i="99"/>
  <c r="T31" i="99"/>
  <c r="S31" i="99"/>
  <c r="R31" i="99"/>
  <c r="Q31" i="99"/>
  <c r="P31" i="99"/>
  <c r="O31" i="99"/>
  <c r="V30" i="99"/>
  <c r="T30" i="99"/>
  <c r="S30" i="99"/>
  <c r="R30" i="99"/>
  <c r="Q30" i="99"/>
  <c r="P30" i="99"/>
  <c r="O30" i="99"/>
  <c r="V29" i="99"/>
  <c r="T29" i="99"/>
  <c r="S29" i="99"/>
  <c r="R29" i="99"/>
  <c r="Q29" i="99"/>
  <c r="P29" i="99"/>
  <c r="O29" i="99"/>
  <c r="V28" i="99"/>
  <c r="T28" i="99"/>
  <c r="S28" i="99"/>
  <c r="R28" i="99"/>
  <c r="Q28" i="99"/>
  <c r="P28" i="99"/>
  <c r="O28" i="99"/>
  <c r="V27" i="99"/>
  <c r="T27" i="99"/>
  <c r="S27" i="99"/>
  <c r="R27" i="99"/>
  <c r="Q27" i="99"/>
  <c r="P27" i="99"/>
  <c r="O27" i="99"/>
  <c r="V26" i="99"/>
  <c r="T26" i="99"/>
  <c r="S26" i="99"/>
  <c r="R26" i="99"/>
  <c r="Q26" i="99"/>
  <c r="P26" i="99"/>
  <c r="O26" i="99"/>
  <c r="V25" i="99"/>
  <c r="T25" i="99"/>
  <c r="S25" i="99"/>
  <c r="R25" i="99"/>
  <c r="Q25" i="99"/>
  <c r="P25" i="99"/>
  <c r="O25" i="99"/>
  <c r="V24" i="99"/>
  <c r="T24" i="99"/>
  <c r="S24" i="99"/>
  <c r="R24" i="99"/>
  <c r="Q24" i="99"/>
  <c r="P24" i="99"/>
  <c r="O24" i="99"/>
  <c r="V23" i="99"/>
  <c r="T23" i="99"/>
  <c r="S23" i="99"/>
  <c r="R23" i="99"/>
  <c r="Q23" i="99"/>
  <c r="P23" i="99"/>
  <c r="O23" i="99"/>
  <c r="V22" i="99"/>
  <c r="T22" i="99"/>
  <c r="S22" i="99"/>
  <c r="R22" i="99"/>
  <c r="Q22" i="99"/>
  <c r="P22" i="99"/>
  <c r="O22" i="99"/>
  <c r="V21" i="99"/>
  <c r="T21" i="99"/>
  <c r="S21" i="99"/>
  <c r="R21" i="99"/>
  <c r="Q21" i="99"/>
  <c r="P21" i="99"/>
  <c r="O21" i="99"/>
  <c r="V20" i="99"/>
  <c r="T20" i="99"/>
  <c r="S20" i="99"/>
  <c r="R20" i="99"/>
  <c r="Q20" i="99"/>
  <c r="P20" i="99"/>
  <c r="O20" i="99"/>
  <c r="V19" i="99"/>
  <c r="T19" i="99"/>
  <c r="S19" i="99"/>
  <c r="R19" i="99"/>
  <c r="Q19" i="99"/>
  <c r="P19" i="99"/>
  <c r="O19" i="99"/>
  <c r="V18" i="99"/>
  <c r="T18" i="99"/>
  <c r="S18" i="99"/>
  <c r="R18" i="99"/>
  <c r="Q18" i="99"/>
  <c r="P18" i="99"/>
  <c r="O18" i="99"/>
  <c r="V17" i="99"/>
  <c r="T17" i="99"/>
  <c r="S17" i="99"/>
  <c r="R17" i="99"/>
  <c r="Q17" i="99"/>
  <c r="P17" i="99"/>
  <c r="O17" i="99"/>
  <c r="V16" i="99"/>
  <c r="T16" i="99"/>
  <c r="S16" i="99"/>
  <c r="R16" i="99"/>
  <c r="Q16" i="99"/>
  <c r="P16" i="99"/>
  <c r="O16" i="99"/>
  <c r="V15" i="99"/>
  <c r="T15" i="99"/>
  <c r="S15" i="99"/>
  <c r="R15" i="99"/>
  <c r="Q15" i="99"/>
  <c r="P15" i="99"/>
  <c r="O15" i="99"/>
  <c r="V14" i="99"/>
  <c r="T14" i="99"/>
  <c r="S14" i="99"/>
  <c r="R14" i="99"/>
  <c r="Q14" i="99"/>
  <c r="P14" i="99"/>
  <c r="O14" i="99"/>
  <c r="V13" i="99"/>
  <c r="T13" i="99"/>
  <c r="S13" i="99"/>
  <c r="R13" i="99"/>
  <c r="Q13" i="99"/>
  <c r="P13" i="99"/>
  <c r="O13" i="99"/>
  <c r="V12" i="99"/>
  <c r="T12" i="99"/>
  <c r="S12" i="99"/>
  <c r="R12" i="99"/>
  <c r="Q12" i="99"/>
  <c r="P12" i="99"/>
  <c r="O12" i="99"/>
  <c r="V11" i="99"/>
  <c r="T11" i="99"/>
  <c r="S11" i="99"/>
  <c r="R11" i="99"/>
  <c r="Q11" i="99"/>
  <c r="P11" i="99"/>
  <c r="O11" i="99"/>
  <c r="V10" i="99"/>
  <c r="T10" i="99"/>
  <c r="S10" i="99"/>
  <c r="R10" i="99"/>
  <c r="Q10" i="99"/>
  <c r="P10" i="99"/>
  <c r="O10" i="99"/>
  <c r="V9" i="99"/>
  <c r="T9" i="99"/>
  <c r="S9" i="99"/>
  <c r="R9" i="99"/>
  <c r="Q9" i="99"/>
  <c r="P9" i="99"/>
  <c r="O9" i="99"/>
  <c r="V8" i="99"/>
  <c r="T8" i="99"/>
  <c r="S8" i="99"/>
  <c r="R8" i="99"/>
  <c r="Q8" i="99"/>
  <c r="P8" i="99"/>
  <c r="O8" i="99"/>
  <c r="V7" i="99"/>
  <c r="T7" i="99"/>
  <c r="S7" i="99"/>
  <c r="R7" i="99"/>
  <c r="Q7" i="99"/>
  <c r="P7" i="99"/>
  <c r="O7" i="99"/>
  <c r="V6" i="99"/>
  <c r="T6" i="99"/>
  <c r="S6" i="99"/>
  <c r="R6" i="99"/>
  <c r="Q6" i="99"/>
  <c r="P6" i="99"/>
  <c r="O6" i="99"/>
  <c r="V5" i="99"/>
  <c r="T5" i="99"/>
  <c r="S5" i="99"/>
  <c r="R5" i="99"/>
  <c r="Q5" i="99"/>
  <c r="P5" i="99"/>
  <c r="O5" i="99"/>
  <c r="V4" i="99"/>
  <c r="T4" i="99"/>
  <c r="S4" i="99"/>
  <c r="R4" i="99"/>
  <c r="Q4" i="99"/>
  <c r="P4" i="99"/>
  <c r="O4" i="99"/>
  <c r="V3" i="99"/>
  <c r="T3" i="99"/>
  <c r="S3" i="99"/>
  <c r="R3" i="99"/>
  <c r="Q3" i="99"/>
  <c r="P3" i="99"/>
  <c r="O3" i="99"/>
  <c r="A15" i="123" l="1"/>
  <c r="B14" i="123"/>
  <c r="B13" i="123"/>
  <c r="B34" i="123"/>
  <c r="H33" i="123"/>
  <c r="G33" i="123"/>
  <c r="E33" i="123"/>
  <c r="F33" i="123"/>
  <c r="H12" i="123"/>
  <c r="G12" i="123"/>
  <c r="F12" i="123"/>
  <c r="E12" i="123"/>
  <c r="A36" i="123"/>
  <c r="A36" i="120"/>
  <c r="A17" i="120"/>
  <c r="AP3" i="109"/>
  <c r="AN14" i="109"/>
  <c r="AN21" i="109"/>
  <c r="A36" i="117"/>
  <c r="A16" i="117"/>
  <c r="Q49" i="109"/>
  <c r="AL13" i="109"/>
  <c r="AP13" i="109" s="1"/>
  <c r="M49" i="109"/>
  <c r="O49" i="109"/>
  <c r="U49" i="109"/>
  <c r="DM5" i="71"/>
  <c r="DM6" i="71" s="1"/>
  <c r="DM7" i="71" s="1"/>
  <c r="DM8" i="71" s="1"/>
  <c r="DM9" i="71" s="1"/>
  <c r="DM10" i="71" s="1"/>
  <c r="DM11" i="71" s="1"/>
  <c r="DM12" i="71" s="1"/>
  <c r="DM13" i="71" s="1"/>
  <c r="DM14" i="71" s="1"/>
  <c r="DM15" i="71" s="1"/>
  <c r="DM16" i="71" s="1"/>
  <c r="DM17" i="71" s="1"/>
  <c r="DM18" i="71" s="1"/>
  <c r="DM19" i="71" s="1"/>
  <c r="DM20" i="71" s="1"/>
  <c r="DM21" i="71" s="1"/>
  <c r="DM22" i="71" s="1"/>
  <c r="DM23" i="71" s="1"/>
  <c r="DM24" i="71" s="1"/>
  <c r="DM25" i="71" s="1"/>
  <c r="DM26" i="71" s="1"/>
  <c r="DM27" i="71" s="1"/>
  <c r="DM28" i="71" s="1"/>
  <c r="DM29" i="71" s="1"/>
  <c r="DM30" i="71" s="1"/>
  <c r="DM31" i="71" s="1"/>
  <c r="DM32" i="71" s="1"/>
  <c r="DM33" i="71" s="1"/>
  <c r="DM34" i="71" s="1"/>
  <c r="DM35" i="71" s="1"/>
  <c r="DM36" i="71" s="1"/>
  <c r="DM37" i="71" s="1"/>
  <c r="DM38" i="71" s="1"/>
  <c r="DM39" i="71" s="1"/>
  <c r="DM40" i="71" s="1"/>
  <c r="DM41" i="71" s="1"/>
  <c r="DM42" i="71" s="1"/>
  <c r="DM43" i="71" s="1"/>
  <c r="DM44" i="71" s="1"/>
  <c r="DM45" i="71" s="1"/>
  <c r="DM46" i="71" s="1"/>
  <c r="DM47" i="71" s="1"/>
  <c r="DM48" i="71" s="1"/>
  <c r="DM49" i="71" s="1"/>
  <c r="DM50" i="71" s="1"/>
  <c r="DM51" i="71" s="1"/>
  <c r="DM52" i="71" s="1"/>
  <c r="DM53" i="71" s="1"/>
  <c r="DM54" i="71" s="1"/>
  <c r="DM55" i="71" s="1"/>
  <c r="DM56" i="71" s="1"/>
  <c r="DM57" i="71" s="1"/>
  <c r="DM58" i="71" s="1"/>
  <c r="DM59" i="71" s="1"/>
  <c r="DM60" i="71" s="1"/>
  <c r="DM61" i="71" s="1"/>
  <c r="DM62" i="71" s="1"/>
  <c r="DM63" i="71" s="1"/>
  <c r="DM64" i="71" s="1"/>
  <c r="DM65" i="71" s="1"/>
  <c r="DM66" i="71" s="1"/>
  <c r="DM67" i="71" s="1"/>
  <c r="DM68" i="71" s="1"/>
  <c r="DM69" i="71" s="1"/>
  <c r="DM70" i="71" s="1"/>
  <c r="DM71" i="71" s="1"/>
  <c r="DM72" i="71" s="1"/>
  <c r="DM73" i="71" s="1"/>
  <c r="DM74" i="71" s="1"/>
  <c r="DM75" i="71" s="1"/>
  <c r="DM76" i="71" s="1"/>
  <c r="DM77" i="71" s="1"/>
  <c r="DM78" i="71" s="1"/>
  <c r="DM79" i="71" s="1"/>
  <c r="DM80" i="71" s="1"/>
  <c r="DM81" i="71" s="1"/>
  <c r="DM82" i="71" s="1"/>
  <c r="DM83" i="71" s="1"/>
  <c r="BL19" i="71"/>
  <c r="BJ19" i="71"/>
  <c r="BI19" i="71"/>
  <c r="BR19" i="71"/>
  <c r="BQ19" i="71"/>
  <c r="BP19" i="71"/>
  <c r="BO19" i="71"/>
  <c r="BN19" i="71"/>
  <c r="BS20" i="71"/>
  <c r="BR20" i="71"/>
  <c r="BQ20" i="71"/>
  <c r="AZ20" i="71"/>
  <c r="BB20" i="71"/>
  <c r="BG20" i="71"/>
  <c r="BH20" i="71"/>
  <c r="BI20" i="71"/>
  <c r="BJ20" i="71"/>
  <c r="BK20" i="71"/>
  <c r="BG19" i="71"/>
  <c r="BH19" i="71"/>
  <c r="BK19" i="71"/>
  <c r="AZ19" i="71"/>
  <c r="BA19" i="71"/>
  <c r="BB19" i="71"/>
  <c r="BC19" i="71"/>
  <c r="DA4" i="71"/>
  <c r="EF4" i="71" s="1"/>
  <c r="CY4" i="71"/>
  <c r="EA4" i="71" s="1"/>
  <c r="DK4" i="71"/>
  <c r="DZ4" i="71" s="1"/>
  <c r="DE4" i="71"/>
  <c r="EB4" i="71" s="1"/>
  <c r="O23" i="110"/>
  <c r="O3" i="110"/>
  <c r="W63" i="109"/>
  <c r="M12" i="109"/>
  <c r="O12" i="109"/>
  <c r="Q12" i="109"/>
  <c r="F7" i="109"/>
  <c r="K19" i="109"/>
  <c r="I27" i="109"/>
  <c r="K27" i="109"/>
  <c r="U27" i="109"/>
  <c r="W27" i="109"/>
  <c r="ED3" i="71"/>
  <c r="DC4" i="71"/>
  <c r="DG4" i="71"/>
  <c r="EE3" i="71"/>
  <c r="EB3" i="71"/>
  <c r="DI4" i="71"/>
  <c r="I4" i="110"/>
  <c r="I24" i="110"/>
  <c r="K4" i="110"/>
  <c r="K24" i="110"/>
  <c r="L4" i="110"/>
  <c r="L24" i="110"/>
  <c r="M4" i="110"/>
  <c r="M24" i="110"/>
  <c r="N4" i="110"/>
  <c r="N24" i="110"/>
  <c r="A25" i="110"/>
  <c r="C4" i="110"/>
  <c r="O4" i="110"/>
  <c r="C24" i="110"/>
  <c r="O24" i="110"/>
  <c r="D4" i="110"/>
  <c r="D24" i="110"/>
  <c r="F71" i="3"/>
  <c r="A5" i="110"/>
  <c r="F11" i="3"/>
  <c r="F27" i="3"/>
  <c r="F46" i="3"/>
  <c r="W23" i="109"/>
  <c r="U30" i="109"/>
  <c r="Q40" i="109"/>
  <c r="O57" i="109"/>
  <c r="O67" i="109"/>
  <c r="M33" i="109"/>
  <c r="M78" i="109"/>
  <c r="M42" i="109"/>
  <c r="I39" i="109"/>
  <c r="I53" i="109"/>
  <c r="AN16" i="109"/>
  <c r="I11" i="109"/>
  <c r="AN13" i="109"/>
  <c r="AP2" i="109"/>
  <c r="I40" i="109"/>
  <c r="AM5" i="109"/>
  <c r="AN5" i="109" s="1"/>
  <c r="L10" i="109"/>
  <c r="M10" i="109" s="1"/>
  <c r="J11" i="109"/>
  <c r="K11" i="109" s="1"/>
  <c r="AP12" i="109"/>
  <c r="AN12" i="109"/>
  <c r="J13" i="109"/>
  <c r="K13" i="109" s="1"/>
  <c r="V15" i="109"/>
  <c r="W15" i="109" s="1"/>
  <c r="J15" i="109"/>
  <c r="K15" i="109" s="1"/>
  <c r="T15" i="109"/>
  <c r="U15" i="109" s="1"/>
  <c r="H15" i="109"/>
  <c r="I16" i="109"/>
  <c r="H18" i="109"/>
  <c r="AK18" i="109"/>
  <c r="N20" i="109"/>
  <c r="O20" i="109" s="1"/>
  <c r="O23" i="109"/>
  <c r="L24" i="109"/>
  <c r="M24" i="109" s="1"/>
  <c r="I29" i="109"/>
  <c r="O30" i="109"/>
  <c r="J32" i="109"/>
  <c r="K32" i="109" s="1"/>
  <c r="R33" i="109"/>
  <c r="S33" i="109" s="1"/>
  <c r="N37" i="109"/>
  <c r="O37" i="109" s="1"/>
  <c r="N38" i="109"/>
  <c r="O38" i="109" s="1"/>
  <c r="M39" i="109"/>
  <c r="U53" i="109"/>
  <c r="T76" i="109"/>
  <c r="U76" i="109" s="1"/>
  <c r="H76" i="109"/>
  <c r="P76" i="109"/>
  <c r="Q76" i="109" s="1"/>
  <c r="L76" i="109"/>
  <c r="M76" i="109" s="1"/>
  <c r="V76" i="109"/>
  <c r="W76" i="109" s="1"/>
  <c r="N76" i="109"/>
  <c r="O76" i="109" s="1"/>
  <c r="J76" i="109"/>
  <c r="K76" i="109" s="1"/>
  <c r="I45" i="109"/>
  <c r="AO6" i="109"/>
  <c r="AP6" i="109" s="1"/>
  <c r="H12" i="109"/>
  <c r="L13" i="109"/>
  <c r="M13" i="109" s="1"/>
  <c r="J16" i="109"/>
  <c r="K16" i="109" s="1"/>
  <c r="J17" i="109"/>
  <c r="K17" i="109" s="1"/>
  <c r="AN17" i="109"/>
  <c r="J18" i="109"/>
  <c r="K18" i="109" s="1"/>
  <c r="V21" i="109"/>
  <c r="W21" i="109" s="1"/>
  <c r="J21" i="109"/>
  <c r="K21" i="109" s="1"/>
  <c r="N21" i="109"/>
  <c r="O21" i="109" s="1"/>
  <c r="U21" i="109"/>
  <c r="R23" i="109"/>
  <c r="S23" i="109" s="1"/>
  <c r="I26" i="109"/>
  <c r="L31" i="109"/>
  <c r="M31" i="109" s="1"/>
  <c r="P31" i="109"/>
  <c r="Q31" i="109" s="1"/>
  <c r="J34" i="109"/>
  <c r="K34" i="109" s="1"/>
  <c r="N34" i="109"/>
  <c r="O34" i="109" s="1"/>
  <c r="L34" i="109"/>
  <c r="M34" i="109" s="1"/>
  <c r="T35" i="109"/>
  <c r="U35" i="109" s="1"/>
  <c r="P37" i="109"/>
  <c r="Q37" i="109" s="1"/>
  <c r="W43" i="109"/>
  <c r="I43" i="109"/>
  <c r="W53" i="109"/>
  <c r="N69" i="109"/>
  <c r="O69" i="109" s="1"/>
  <c r="L69" i="109"/>
  <c r="M69" i="109" s="1"/>
  <c r="V69" i="109"/>
  <c r="W69" i="109" s="1"/>
  <c r="J69" i="109"/>
  <c r="K69" i="109" s="1"/>
  <c r="T69" i="109"/>
  <c r="U69" i="109" s="1"/>
  <c r="H69" i="109"/>
  <c r="P69" i="109"/>
  <c r="Q69" i="109" s="1"/>
  <c r="AK2" i="109"/>
  <c r="AN2" i="109" s="1"/>
  <c r="AL9" i="109"/>
  <c r="AP9" i="109" s="1"/>
  <c r="L11" i="109"/>
  <c r="M11" i="109" s="1"/>
  <c r="P13" i="109"/>
  <c r="Q13" i="109" s="1"/>
  <c r="AP15" i="109"/>
  <c r="L16" i="109"/>
  <c r="M16" i="109" s="1"/>
  <c r="AM18" i="109"/>
  <c r="P20" i="109"/>
  <c r="Q20" i="109" s="1"/>
  <c r="R32" i="109"/>
  <c r="S32" i="109" s="1"/>
  <c r="O39" i="109"/>
  <c r="AK3" i="109"/>
  <c r="AN3" i="109" s="1"/>
  <c r="AM9" i="109"/>
  <c r="AN9" i="109" s="1"/>
  <c r="P16" i="109"/>
  <c r="Q16" i="109" s="1"/>
  <c r="M21" i="109"/>
  <c r="M29" i="109"/>
  <c r="U33" i="109"/>
  <c r="R37" i="109"/>
  <c r="S37" i="109" s="1"/>
  <c r="Q39" i="109"/>
  <c r="R46" i="109"/>
  <c r="S46" i="109" s="1"/>
  <c r="J26" i="109"/>
  <c r="K26" i="109" s="1"/>
  <c r="P26" i="109"/>
  <c r="Q26" i="109" s="1"/>
  <c r="N26" i="109"/>
  <c r="O26" i="109" s="1"/>
  <c r="R10" i="109"/>
  <c r="S10" i="109" s="1"/>
  <c r="AL11" i="109"/>
  <c r="AP11" i="109" s="1"/>
  <c r="AK11" i="109"/>
  <c r="AN11" i="109" s="1"/>
  <c r="R13" i="109"/>
  <c r="S13" i="109" s="1"/>
  <c r="L26" i="109"/>
  <c r="M26" i="109" s="1"/>
  <c r="T32" i="109"/>
  <c r="U32" i="109" s="1"/>
  <c r="I34" i="109"/>
  <c r="U39" i="109"/>
  <c r="R41" i="109"/>
  <c r="S41" i="109" s="1"/>
  <c r="N50" i="109"/>
  <c r="O50" i="109" s="1"/>
  <c r="L50" i="109"/>
  <c r="M50" i="109" s="1"/>
  <c r="J50" i="109"/>
  <c r="K50" i="109" s="1"/>
  <c r="H50" i="109"/>
  <c r="V50" i="109"/>
  <c r="W50" i="109" s="1"/>
  <c r="P50" i="109"/>
  <c r="Q50" i="109" s="1"/>
  <c r="R51" i="109"/>
  <c r="S51" i="109" s="1"/>
  <c r="AK15" i="109"/>
  <c r="R16" i="109"/>
  <c r="S16" i="109" s="1"/>
  <c r="Q23" i="109"/>
  <c r="U29" i="109"/>
  <c r="R75" i="109"/>
  <c r="S75" i="109" s="1"/>
  <c r="R69" i="109"/>
  <c r="S69" i="109" s="1"/>
  <c r="R59" i="109"/>
  <c r="S59" i="109" s="1"/>
  <c r="R50" i="109"/>
  <c r="S50" i="109" s="1"/>
  <c r="R77" i="109"/>
  <c r="S77" i="109" s="1"/>
  <c r="R61" i="109"/>
  <c r="S61" i="109" s="1"/>
  <c r="R52" i="109"/>
  <c r="S52" i="109" s="1"/>
  <c r="R63" i="109"/>
  <c r="S63" i="109" s="1"/>
  <c r="R73" i="109"/>
  <c r="S73" i="109" s="1"/>
  <c r="R65" i="109"/>
  <c r="S65" i="109" s="1"/>
  <c r="R55" i="109"/>
  <c r="S55" i="109" s="1"/>
  <c r="R67" i="109"/>
  <c r="S67" i="109" s="1"/>
  <c r="R66" i="109"/>
  <c r="S66" i="109" s="1"/>
  <c r="R24" i="109"/>
  <c r="S24" i="109" s="1"/>
  <c r="R15" i="109"/>
  <c r="S15" i="109" s="1"/>
  <c r="R56" i="109"/>
  <c r="S56" i="109" s="1"/>
  <c r="R39" i="109"/>
  <c r="S39" i="109" s="1"/>
  <c r="R20" i="109"/>
  <c r="S20" i="109" s="1"/>
  <c r="R53" i="109"/>
  <c r="S53" i="109" s="1"/>
  <c r="R49" i="109"/>
  <c r="S49" i="109" s="1"/>
  <c r="R44" i="109"/>
  <c r="S44" i="109" s="1"/>
  <c r="R74" i="109"/>
  <c r="S74" i="109" s="1"/>
  <c r="R58" i="109"/>
  <c r="S58" i="109" s="1"/>
  <c r="R68" i="109"/>
  <c r="S68" i="109" s="1"/>
  <c r="R47" i="109"/>
  <c r="S47" i="109" s="1"/>
  <c r="R42" i="109"/>
  <c r="S42" i="109" s="1"/>
  <c r="R76" i="109"/>
  <c r="S76" i="109" s="1"/>
  <c r="R40" i="109"/>
  <c r="S40" i="109" s="1"/>
  <c r="R35" i="109"/>
  <c r="S35" i="109" s="1"/>
  <c r="R72" i="109"/>
  <c r="S72" i="109" s="1"/>
  <c r="R57" i="109"/>
  <c r="S57" i="109" s="1"/>
  <c r="R78" i="109"/>
  <c r="S78" i="109" s="1"/>
  <c r="R64" i="109"/>
  <c r="S64" i="109" s="1"/>
  <c r="R60" i="109"/>
  <c r="S60" i="109" s="1"/>
  <c r="R43" i="109"/>
  <c r="S43" i="109" s="1"/>
  <c r="R38" i="109"/>
  <c r="S38" i="109" s="1"/>
  <c r="R22" i="109"/>
  <c r="S22" i="109" s="1"/>
  <c r="R19" i="109"/>
  <c r="S19" i="109" s="1"/>
  <c r="R71" i="109"/>
  <c r="S71" i="109" s="1"/>
  <c r="R62" i="109"/>
  <c r="S62" i="109" s="1"/>
  <c r="R54" i="109"/>
  <c r="S54" i="109" s="1"/>
  <c r="R48" i="109"/>
  <c r="S48" i="109" s="1"/>
  <c r="R30" i="109"/>
  <c r="S30" i="109" s="1"/>
  <c r="R29" i="109"/>
  <c r="S29" i="109" s="1"/>
  <c r="R28" i="109"/>
  <c r="S28" i="109" s="1"/>
  <c r="R14" i="109"/>
  <c r="S14" i="109" s="1"/>
  <c r="R11" i="109"/>
  <c r="S11" i="109" s="1"/>
  <c r="R70" i="109"/>
  <c r="S70" i="109" s="1"/>
  <c r="R36" i="109"/>
  <c r="S36" i="109" s="1"/>
  <c r="R17" i="109"/>
  <c r="S17" i="109" s="1"/>
  <c r="AM4" i="109"/>
  <c r="AN4" i="109" s="1"/>
  <c r="V10" i="109"/>
  <c r="W10" i="109" s="1"/>
  <c r="J10" i="109"/>
  <c r="K10" i="109" s="1"/>
  <c r="N10" i="109"/>
  <c r="O10" i="109" s="1"/>
  <c r="T10" i="109"/>
  <c r="U10" i="109" s="1"/>
  <c r="AN15" i="109"/>
  <c r="R18" i="109"/>
  <c r="S18" i="109" s="1"/>
  <c r="V20" i="109"/>
  <c r="W20" i="109" s="1"/>
  <c r="J20" i="109"/>
  <c r="K20" i="109" s="1"/>
  <c r="R26" i="109"/>
  <c r="S26" i="109" s="1"/>
  <c r="J35" i="109"/>
  <c r="K35" i="109" s="1"/>
  <c r="H35" i="109"/>
  <c r="N35" i="109"/>
  <c r="O35" i="109" s="1"/>
  <c r="L35" i="109"/>
  <c r="M35" i="109" s="1"/>
  <c r="L38" i="109"/>
  <c r="M38" i="109" s="1"/>
  <c r="V38" i="109"/>
  <c r="W38" i="109" s="1"/>
  <c r="P38" i="109"/>
  <c r="Q38" i="109" s="1"/>
  <c r="AP21" i="109"/>
  <c r="AP7" i="109"/>
  <c r="T11" i="109"/>
  <c r="U11" i="109" s="1"/>
  <c r="O13" i="109"/>
  <c r="T16" i="109"/>
  <c r="U16" i="109" s="1"/>
  <c r="AM20" i="109"/>
  <c r="AN20" i="109" s="1"/>
  <c r="AO20" i="109"/>
  <c r="AP20" i="109" s="1"/>
  <c r="V24" i="109"/>
  <c r="W24" i="109" s="1"/>
  <c r="J24" i="109"/>
  <c r="K24" i="109" s="1"/>
  <c r="T24" i="109"/>
  <c r="U24" i="109" s="1"/>
  <c r="H24" i="109"/>
  <c r="I24" i="109" s="1"/>
  <c r="T37" i="109"/>
  <c r="U37" i="109" s="1"/>
  <c r="J37" i="109"/>
  <c r="K37" i="109" s="1"/>
  <c r="V52" i="109"/>
  <c r="W52" i="109" s="1"/>
  <c r="J52" i="109"/>
  <c r="K52" i="109" s="1"/>
  <c r="P52" i="109"/>
  <c r="Q52" i="109" s="1"/>
  <c r="L52" i="109"/>
  <c r="M52" i="109" s="1"/>
  <c r="H52" i="109"/>
  <c r="I77" i="109"/>
  <c r="R12" i="109"/>
  <c r="S12" i="109" s="1"/>
  <c r="W13" i="109"/>
  <c r="R25" i="109"/>
  <c r="S25" i="109" s="1"/>
  <c r="T26" i="109"/>
  <c r="U26" i="109" s="1"/>
  <c r="R31" i="109"/>
  <c r="S31" i="109" s="1"/>
  <c r="L32" i="109"/>
  <c r="M32" i="109" s="1"/>
  <c r="P32" i="109"/>
  <c r="Q32" i="109" s="1"/>
  <c r="N32" i="109"/>
  <c r="O32" i="109" s="1"/>
  <c r="R34" i="109"/>
  <c r="S34" i="109" s="1"/>
  <c r="I36" i="109"/>
  <c r="H10" i="109"/>
  <c r="U12" i="109"/>
  <c r="V16" i="109"/>
  <c r="W16" i="109" s="1"/>
  <c r="P17" i="109"/>
  <c r="Q17" i="109" s="1"/>
  <c r="T17" i="109"/>
  <c r="U17" i="109" s="1"/>
  <c r="H17" i="109"/>
  <c r="V17" i="109"/>
  <c r="W17" i="109" s="1"/>
  <c r="T18" i="109"/>
  <c r="U18" i="109" s="1"/>
  <c r="L18" i="109"/>
  <c r="M18" i="109" s="1"/>
  <c r="I19" i="109"/>
  <c r="H20" i="109"/>
  <c r="Q21" i="109"/>
  <c r="AL22" i="109"/>
  <c r="AP22" i="109" s="1"/>
  <c r="V26" i="109"/>
  <c r="W26" i="109" s="1"/>
  <c r="O29" i="109"/>
  <c r="K30" i="109"/>
  <c r="H38" i="109"/>
  <c r="T50" i="109"/>
  <c r="U50" i="109" s="1"/>
  <c r="M53" i="109"/>
  <c r="V12" i="109"/>
  <c r="W12" i="109" s="1"/>
  <c r="J12" i="109"/>
  <c r="K12" i="109" s="1"/>
  <c r="H13" i="109"/>
  <c r="L20" i="109"/>
  <c r="M20" i="109" s="1"/>
  <c r="R21" i="109"/>
  <c r="S21" i="109" s="1"/>
  <c r="M23" i="109"/>
  <c r="T25" i="109"/>
  <c r="U25" i="109" s="1"/>
  <c r="H25" i="109"/>
  <c r="L25" i="109"/>
  <c r="M25" i="109" s="1"/>
  <c r="J25" i="109"/>
  <c r="K25" i="109" s="1"/>
  <c r="R27" i="109"/>
  <c r="S27" i="109" s="1"/>
  <c r="P35" i="109"/>
  <c r="Q35" i="109" s="1"/>
  <c r="H37" i="109"/>
  <c r="J38" i="109"/>
  <c r="K38" i="109" s="1"/>
  <c r="P46" i="109"/>
  <c r="Q46" i="109" s="1"/>
  <c r="L46" i="109"/>
  <c r="M46" i="109" s="1"/>
  <c r="J46" i="109"/>
  <c r="K46" i="109" s="1"/>
  <c r="V46" i="109"/>
  <c r="W46" i="109" s="1"/>
  <c r="H46" i="109"/>
  <c r="T46" i="109"/>
  <c r="U46" i="109" s="1"/>
  <c r="P22" i="109"/>
  <c r="Q22" i="109" s="1"/>
  <c r="W25" i="109"/>
  <c r="Q30" i="109"/>
  <c r="L40" i="109"/>
  <c r="M40" i="109" s="1"/>
  <c r="K42" i="109"/>
  <c r="P43" i="109"/>
  <c r="Q43" i="109" s="1"/>
  <c r="H44" i="109"/>
  <c r="K47" i="109"/>
  <c r="Q48" i="109"/>
  <c r="Q54" i="109"/>
  <c r="P56" i="109"/>
  <c r="Q56" i="109" s="1"/>
  <c r="L56" i="109"/>
  <c r="M56" i="109" s="1"/>
  <c r="V56" i="109"/>
  <c r="W56" i="109" s="1"/>
  <c r="J56" i="109"/>
  <c r="K56" i="109" s="1"/>
  <c r="T56" i="109"/>
  <c r="U56" i="109" s="1"/>
  <c r="H56" i="109"/>
  <c r="P62" i="109"/>
  <c r="Q62" i="109" s="1"/>
  <c r="N64" i="109"/>
  <c r="O64" i="109" s="1"/>
  <c r="H68" i="109"/>
  <c r="Q71" i="109"/>
  <c r="K72" i="109"/>
  <c r="Q74" i="109"/>
  <c r="AK19" i="109"/>
  <c r="AN19" i="109" s="1"/>
  <c r="H23" i="109"/>
  <c r="I23" i="109" s="1"/>
  <c r="T23" i="109"/>
  <c r="U23" i="109" s="1"/>
  <c r="W39" i="109"/>
  <c r="N40" i="109"/>
  <c r="O40" i="109" s="1"/>
  <c r="J44" i="109"/>
  <c r="K44" i="109" s="1"/>
  <c r="I49" i="109"/>
  <c r="H58" i="109"/>
  <c r="N59" i="109"/>
  <c r="O59" i="109" s="1"/>
  <c r="L59" i="109"/>
  <c r="M59" i="109" s="1"/>
  <c r="V59" i="109"/>
  <c r="W59" i="109" s="1"/>
  <c r="J59" i="109"/>
  <c r="K59" i="109" s="1"/>
  <c r="I63" i="109"/>
  <c r="P64" i="109"/>
  <c r="Q64" i="109" s="1"/>
  <c r="J68" i="109"/>
  <c r="K68" i="109" s="1"/>
  <c r="M72" i="109"/>
  <c r="O78" i="109"/>
  <c r="Q33" i="109"/>
  <c r="Q45" i="109"/>
  <c r="M47" i="109"/>
  <c r="U54" i="109"/>
  <c r="J58" i="109"/>
  <c r="K58" i="109" s="1"/>
  <c r="O66" i="109"/>
  <c r="W66" i="109"/>
  <c r="K66" i="109"/>
  <c r="U66" i="109"/>
  <c r="I66" i="109"/>
  <c r="Q66" i="109"/>
  <c r="L68" i="109"/>
  <c r="M68" i="109" s="1"/>
  <c r="O72" i="109"/>
  <c r="O48" i="109"/>
  <c r="W48" i="109"/>
  <c r="K48" i="109"/>
  <c r="U48" i="109"/>
  <c r="I48" i="109"/>
  <c r="W62" i="109"/>
  <c r="K62" i="109"/>
  <c r="O62" i="109"/>
  <c r="V64" i="109"/>
  <c r="W64" i="109" s="1"/>
  <c r="O70" i="109"/>
  <c r="M70" i="109"/>
  <c r="W70" i="109"/>
  <c r="K70" i="109"/>
  <c r="U70" i="109"/>
  <c r="I70" i="109"/>
  <c r="W71" i="109"/>
  <c r="U78" i="109"/>
  <c r="Q42" i="109"/>
  <c r="Q47" i="109"/>
  <c r="I59" i="109"/>
  <c r="T60" i="109"/>
  <c r="U60" i="109" s="1"/>
  <c r="H60" i="109"/>
  <c r="P60" i="109"/>
  <c r="Q60" i="109" s="1"/>
  <c r="N60" i="109"/>
  <c r="O60" i="109" s="1"/>
  <c r="L60" i="109"/>
  <c r="M60" i="109" s="1"/>
  <c r="V60" i="109"/>
  <c r="W60" i="109" s="1"/>
  <c r="P68" i="109"/>
  <c r="Q68" i="109" s="1"/>
  <c r="W78" i="109"/>
  <c r="N47" i="109"/>
  <c r="O47" i="109" s="1"/>
  <c r="T47" i="109"/>
  <c r="U47" i="109" s="1"/>
  <c r="H47" i="109"/>
  <c r="I47" i="109" s="1"/>
  <c r="O53" i="109"/>
  <c r="I54" i="109"/>
  <c r="M64" i="109"/>
  <c r="U64" i="109"/>
  <c r="Q78" i="109"/>
  <c r="N55" i="109"/>
  <c r="O55" i="109" s="1"/>
  <c r="V55" i="109"/>
  <c r="W55" i="109" s="1"/>
  <c r="J55" i="109"/>
  <c r="K55" i="109" s="1"/>
  <c r="T55" i="109"/>
  <c r="U55" i="109" s="1"/>
  <c r="H55" i="109"/>
  <c r="H64" i="109"/>
  <c r="I64" i="109" s="1"/>
  <c r="K33" i="109"/>
  <c r="M43" i="109"/>
  <c r="K45" i="109"/>
  <c r="V47" i="109"/>
  <c r="W47" i="109" s="1"/>
  <c r="M48" i="109"/>
  <c r="T51" i="109"/>
  <c r="U51" i="109" s="1"/>
  <c r="H51" i="109"/>
  <c r="P51" i="109"/>
  <c r="Q51" i="109" s="1"/>
  <c r="N51" i="109"/>
  <c r="O51" i="109" s="1"/>
  <c r="M54" i="109"/>
  <c r="T58" i="109"/>
  <c r="U58" i="109" s="1"/>
  <c r="J60" i="109"/>
  <c r="K60" i="109" s="1"/>
  <c r="V61" i="109"/>
  <c r="W61" i="109" s="1"/>
  <c r="J61" i="109"/>
  <c r="K61" i="109" s="1"/>
  <c r="P61" i="109"/>
  <c r="Q61" i="109" s="1"/>
  <c r="N61" i="109"/>
  <c r="O61" i="109" s="1"/>
  <c r="K71" i="109"/>
  <c r="Q27" i="109"/>
  <c r="W42" i="109"/>
  <c r="V51" i="109"/>
  <c r="W51" i="109" s="1"/>
  <c r="M62" i="109"/>
  <c r="K64" i="109"/>
  <c r="W68" i="109"/>
  <c r="U68" i="109"/>
  <c r="M71" i="109"/>
  <c r="I78" i="109"/>
  <c r="P65" i="109"/>
  <c r="Q65" i="109" s="1"/>
  <c r="H57" i="109"/>
  <c r="T57" i="109"/>
  <c r="U57" i="109" s="1"/>
  <c r="H67" i="109"/>
  <c r="T67" i="109"/>
  <c r="U67" i="109" s="1"/>
  <c r="H74" i="109"/>
  <c r="T74" i="109"/>
  <c r="U74" i="109" s="1"/>
  <c r="J75" i="109"/>
  <c r="K75" i="109" s="1"/>
  <c r="N77" i="109"/>
  <c r="O77" i="109" s="1"/>
  <c r="J49" i="109"/>
  <c r="K49" i="109" s="1"/>
  <c r="V49" i="109"/>
  <c r="W49" i="109" s="1"/>
  <c r="J57" i="109"/>
  <c r="K57" i="109" s="1"/>
  <c r="V57" i="109"/>
  <c r="W57" i="109" s="1"/>
  <c r="H65" i="109"/>
  <c r="T65" i="109"/>
  <c r="U65" i="109" s="1"/>
  <c r="J67" i="109"/>
  <c r="K67" i="109" s="1"/>
  <c r="V67" i="109"/>
  <c r="W67" i="109" s="1"/>
  <c r="J65" i="109"/>
  <c r="K65" i="109" s="1"/>
  <c r="V65" i="109"/>
  <c r="W65" i="109" s="1"/>
  <c r="J77" i="109"/>
  <c r="K77" i="109" s="1"/>
  <c r="AV3" i="99"/>
  <c r="BA3" i="99"/>
  <c r="K3" i="99"/>
  <c r="AP3" i="99"/>
  <c r="AK3" i="99"/>
  <c r="I3" i="99"/>
  <c r="H3" i="99"/>
  <c r="G3" i="99"/>
  <c r="F3" i="99"/>
  <c r="E3" i="99"/>
  <c r="D3" i="99"/>
  <c r="A175" i="99"/>
  <c r="A176" i="99" s="1"/>
  <c r="A177" i="99" s="1"/>
  <c r="A178" i="99" s="1"/>
  <c r="A179" i="99" s="1"/>
  <c r="A180" i="99" s="1"/>
  <c r="A181" i="99" s="1"/>
  <c r="A182" i="99" s="1"/>
  <c r="A183" i="99" s="1"/>
  <c r="A184" i="99" s="1"/>
  <c r="A185" i="99" s="1"/>
  <c r="A186" i="99" s="1"/>
  <c r="A187" i="99" s="1"/>
  <c r="A188" i="99" s="1"/>
  <c r="A189" i="99" s="1"/>
  <c r="A190" i="99" s="1"/>
  <c r="A191" i="99" s="1"/>
  <c r="A192" i="99" s="1"/>
  <c r="A193" i="99" s="1"/>
  <c r="A194" i="99" s="1"/>
  <c r="A195" i="99" s="1"/>
  <c r="A196" i="99" s="1"/>
  <c r="A197" i="99" s="1"/>
  <c r="A198" i="99" s="1"/>
  <c r="A199" i="99" s="1"/>
  <c r="A200" i="99" s="1"/>
  <c r="A201" i="99" s="1"/>
  <c r="A202" i="99" s="1"/>
  <c r="A203" i="99" s="1"/>
  <c r="A204" i="99" s="1"/>
  <c r="A205" i="99" s="1"/>
  <c r="A206" i="99" s="1"/>
  <c r="A207" i="99" s="1"/>
  <c r="A208" i="99" s="1"/>
  <c r="A209" i="99" s="1"/>
  <c r="A210" i="99" s="1"/>
  <c r="A211" i="99" s="1"/>
  <c r="A212" i="99" s="1"/>
  <c r="A213" i="99" s="1"/>
  <c r="A214" i="99" s="1"/>
  <c r="A215" i="99" s="1"/>
  <c r="A216" i="99" s="1"/>
  <c r="A217" i="99" s="1"/>
  <c r="A218" i="99" s="1"/>
  <c r="A219" i="99" s="1"/>
  <c r="A220" i="99" s="1"/>
  <c r="A221" i="99" s="1"/>
  <c r="A222" i="99" s="1"/>
  <c r="A223" i="99" s="1"/>
  <c r="A224" i="99" s="1"/>
  <c r="A225" i="99" s="1"/>
  <c r="A226" i="99" s="1"/>
  <c r="A227" i="99" s="1"/>
  <c r="A228" i="99" s="1"/>
  <c r="A229" i="99" s="1"/>
  <c r="A230" i="99" s="1"/>
  <c r="A231" i="99" s="1"/>
  <c r="A232" i="99" s="1"/>
  <c r="A233" i="99" s="1"/>
  <c r="A234" i="99" s="1"/>
  <c r="A235" i="99" s="1"/>
  <c r="A236" i="99" s="1"/>
  <c r="A237" i="99" s="1"/>
  <c r="A238" i="99" s="1"/>
  <c r="A239" i="99" s="1"/>
  <c r="A240" i="99" s="1"/>
  <c r="A241" i="99" s="1"/>
  <c r="A242" i="99" s="1"/>
  <c r="A243" i="99" s="1"/>
  <c r="A244" i="99" s="1"/>
  <c r="A245" i="99" s="1"/>
  <c r="A246" i="99" s="1"/>
  <c r="A247" i="99" s="1"/>
  <c r="A248" i="99" s="1"/>
  <c r="A249" i="99" s="1"/>
  <c r="A250" i="99" s="1"/>
  <c r="A251" i="99" s="1"/>
  <c r="A252" i="99" s="1"/>
  <c r="A253" i="99" s="1"/>
  <c r="F14" i="123" l="1"/>
  <c r="E14" i="123"/>
  <c r="H14" i="123"/>
  <c r="G14" i="123"/>
  <c r="A37" i="123"/>
  <c r="B35" i="123"/>
  <c r="H13" i="123"/>
  <c r="G13" i="123"/>
  <c r="F13" i="123"/>
  <c r="E13" i="123"/>
  <c r="H34" i="123"/>
  <c r="G34" i="123"/>
  <c r="F34" i="123"/>
  <c r="E34" i="123"/>
  <c r="A16" i="123"/>
  <c r="A18" i="120"/>
  <c r="A37" i="120"/>
  <c r="A17" i="117"/>
  <c r="A37" i="117"/>
  <c r="EE4" i="71"/>
  <c r="ED4" i="71"/>
  <c r="DY4" i="71"/>
  <c r="N5" i="110"/>
  <c r="C5" i="110"/>
  <c r="M5" i="110"/>
  <c r="L5" i="110"/>
  <c r="P5" i="110"/>
  <c r="K5" i="110"/>
  <c r="D5" i="110"/>
  <c r="O5" i="110"/>
  <c r="J5" i="110"/>
  <c r="I5" i="110"/>
  <c r="N25" i="110"/>
  <c r="A26" i="110"/>
  <c r="M25" i="110"/>
  <c r="P25" i="110"/>
  <c r="L25" i="110"/>
  <c r="C25" i="110"/>
  <c r="K25" i="110"/>
  <c r="J25" i="110"/>
  <c r="D25" i="110"/>
  <c r="I25" i="110"/>
  <c r="O25" i="110"/>
  <c r="A6" i="110"/>
  <c r="Q9" i="109"/>
  <c r="I13" i="109"/>
  <c r="I67" i="109"/>
  <c r="I38" i="109"/>
  <c r="I25" i="109"/>
  <c r="I55" i="109"/>
  <c r="I46" i="109"/>
  <c r="AN18" i="109"/>
  <c r="AN1" i="109" s="1"/>
  <c r="I60" i="109"/>
  <c r="I57" i="109"/>
  <c r="I50" i="109"/>
  <c r="I74" i="109"/>
  <c r="W9" i="109"/>
  <c r="I68" i="109"/>
  <c r="I44" i="109"/>
  <c r="I10" i="109"/>
  <c r="S9" i="109"/>
  <c r="I76" i="109"/>
  <c r="I51" i="109"/>
  <c r="I56" i="109"/>
  <c r="M9" i="109"/>
  <c r="U9" i="109"/>
  <c r="I12" i="109"/>
  <c r="I18" i="109"/>
  <c r="I20" i="109"/>
  <c r="O9" i="109"/>
  <c r="K9" i="109"/>
  <c r="I15" i="109"/>
  <c r="I37" i="109"/>
  <c r="I52" i="109"/>
  <c r="I69" i="109"/>
  <c r="AP1" i="109"/>
  <c r="I65" i="109"/>
  <c r="I17" i="109"/>
  <c r="I58" i="109"/>
  <c r="I35" i="109"/>
  <c r="AL3" i="99"/>
  <c r="AR3" i="99"/>
  <c r="AM3" i="99"/>
  <c r="AN3" i="99"/>
  <c r="AO3" i="99"/>
  <c r="BC3" i="99"/>
  <c r="AW3" i="99"/>
  <c r="AX3" i="99"/>
  <c r="AY3" i="99"/>
  <c r="AZ3" i="99"/>
  <c r="C78" i="98"/>
  <c r="C77" i="98"/>
  <c r="C76" i="98"/>
  <c r="C75" i="98"/>
  <c r="C74" i="98"/>
  <c r="C73" i="98"/>
  <c r="C72" i="98"/>
  <c r="C71" i="98"/>
  <c r="C61" i="98"/>
  <c r="C60" i="98"/>
  <c r="C59" i="98"/>
  <c r="C58" i="98"/>
  <c r="C57" i="98"/>
  <c r="C56" i="98"/>
  <c r="C55" i="98"/>
  <c r="C54" i="98"/>
  <c r="C53" i="98"/>
  <c r="C52" i="98"/>
  <c r="C51" i="98"/>
  <c r="C50" i="98"/>
  <c r="C46" i="98"/>
  <c r="C45" i="98"/>
  <c r="C44" i="98"/>
  <c r="C43" i="98"/>
  <c r="C42" i="98"/>
  <c r="C41" i="98"/>
  <c r="C40" i="98"/>
  <c r="C39" i="98"/>
  <c r="C38" i="98"/>
  <c r="C37" i="98"/>
  <c r="C36" i="98"/>
  <c r="C35" i="98"/>
  <c r="C34" i="98"/>
  <c r="C33" i="98"/>
  <c r="C32" i="98"/>
  <c r="C31" i="98"/>
  <c r="C30" i="98"/>
  <c r="C29" i="98"/>
  <c r="C28" i="98"/>
  <c r="C27" i="98"/>
  <c r="C20" i="98"/>
  <c r="C19" i="98"/>
  <c r="C18" i="98"/>
  <c r="C17" i="98"/>
  <c r="C16" i="98"/>
  <c r="C15" i="98"/>
  <c r="C14" i="98"/>
  <c r="C13" i="98"/>
  <c r="C12" i="98"/>
  <c r="C11" i="98"/>
  <c r="C10" i="98"/>
  <c r="F11" i="98"/>
  <c r="F10" i="98"/>
  <c r="A78" i="98"/>
  <c r="A77" i="98"/>
  <c r="A76" i="98"/>
  <c r="A75" i="98"/>
  <c r="A74" i="98"/>
  <c r="A73" i="98"/>
  <c r="A72" i="98"/>
  <c r="A71" i="98"/>
  <c r="A70" i="98"/>
  <c r="A69" i="98"/>
  <c r="A68" i="98"/>
  <c r="A67" i="98"/>
  <c r="A66" i="98"/>
  <c r="A65" i="98"/>
  <c r="A64" i="98"/>
  <c r="A63" i="98"/>
  <c r="A62" i="98"/>
  <c r="A61" i="98"/>
  <c r="A60" i="98"/>
  <c r="A59" i="98"/>
  <c r="A58" i="98"/>
  <c r="A57" i="98"/>
  <c r="A56" i="98"/>
  <c r="A55" i="98"/>
  <c r="A54" i="98"/>
  <c r="A53" i="98"/>
  <c r="A52" i="98"/>
  <c r="A51" i="98"/>
  <c r="A50" i="98"/>
  <c r="A49" i="98"/>
  <c r="A48" i="98"/>
  <c r="A47" i="98"/>
  <c r="A46" i="98"/>
  <c r="A45" i="98"/>
  <c r="A44" i="98"/>
  <c r="A43" i="98"/>
  <c r="A42" i="98"/>
  <c r="A41" i="98"/>
  <c r="A40" i="98"/>
  <c r="A39" i="98"/>
  <c r="A38" i="98"/>
  <c r="A37" i="98"/>
  <c r="A36" i="98"/>
  <c r="A35" i="98"/>
  <c r="A34" i="98"/>
  <c r="A33" i="98"/>
  <c r="A32" i="98"/>
  <c r="A31" i="98"/>
  <c r="A30" i="98"/>
  <c r="A29" i="98"/>
  <c r="A28" i="98"/>
  <c r="A27" i="98"/>
  <c r="A26" i="98"/>
  <c r="A25" i="98"/>
  <c r="A24" i="98"/>
  <c r="A23" i="98"/>
  <c r="A22" i="98"/>
  <c r="A21" i="98"/>
  <c r="A20" i="98"/>
  <c r="A19" i="98"/>
  <c r="A18" i="98"/>
  <c r="A17" i="98"/>
  <c r="A16" i="98"/>
  <c r="A15" i="98"/>
  <c r="A14" i="98"/>
  <c r="A13" i="98"/>
  <c r="A12" i="98"/>
  <c r="A11" i="98"/>
  <c r="A10" i="98"/>
  <c r="CA82" i="71"/>
  <c r="BZ82" i="71"/>
  <c r="BY82" i="71"/>
  <c r="BX82" i="71"/>
  <c r="BW82" i="71"/>
  <c r="BV82" i="71"/>
  <c r="CA81" i="71"/>
  <c r="BZ81" i="71"/>
  <c r="BY81" i="71"/>
  <c r="BX81" i="71"/>
  <c r="BW81" i="71"/>
  <c r="BV81" i="71"/>
  <c r="CA80" i="71"/>
  <c r="BZ80" i="71"/>
  <c r="BY80" i="71"/>
  <c r="BX80" i="71"/>
  <c r="BW80" i="71"/>
  <c r="BV80" i="71"/>
  <c r="CA79" i="71"/>
  <c r="BZ79" i="71"/>
  <c r="BY79" i="71"/>
  <c r="BX79" i="71"/>
  <c r="BW79" i="71"/>
  <c r="BV79" i="71"/>
  <c r="CA78" i="71"/>
  <c r="BZ78" i="71"/>
  <c r="BY78" i="71"/>
  <c r="BX78" i="71"/>
  <c r="BW78" i="71"/>
  <c r="BV78" i="71"/>
  <c r="CA77" i="71"/>
  <c r="BZ77" i="71"/>
  <c r="BY77" i="71"/>
  <c r="BX77" i="71"/>
  <c r="BW77" i="71"/>
  <c r="BV77" i="71"/>
  <c r="Y1" i="71"/>
  <c r="Y3" i="71" s="1"/>
  <c r="X1" i="71"/>
  <c r="X3" i="71" s="1"/>
  <c r="W1" i="71"/>
  <c r="W3" i="71" s="1"/>
  <c r="V1" i="71"/>
  <c r="V3" i="71" s="1"/>
  <c r="U1" i="71"/>
  <c r="U3" i="71" s="1"/>
  <c r="T1" i="71"/>
  <c r="T3" i="71" s="1"/>
  <c r="AC28" i="3"/>
  <c r="AC33" i="3"/>
  <c r="AC32" i="3"/>
  <c r="AC31" i="3"/>
  <c r="AC34" i="3"/>
  <c r="AC29" i="3"/>
  <c r="AC27" i="3"/>
  <c r="AC30" i="3"/>
  <c r="M171" i="95"/>
  <c r="M170" i="95"/>
  <c r="M169" i="95"/>
  <c r="M168" i="95"/>
  <c r="M167" i="95"/>
  <c r="M166" i="95"/>
  <c r="M165" i="95"/>
  <c r="M164" i="95"/>
  <c r="M163" i="95"/>
  <c r="M162" i="95"/>
  <c r="M161" i="95"/>
  <c r="M160" i="95"/>
  <c r="M159" i="95"/>
  <c r="M158" i="95"/>
  <c r="M157" i="95"/>
  <c r="M156" i="95"/>
  <c r="M155" i="95"/>
  <c r="M154" i="95"/>
  <c r="M153" i="95"/>
  <c r="M152" i="95"/>
  <c r="M151" i="95"/>
  <c r="M150" i="95"/>
  <c r="M149" i="95"/>
  <c r="M148" i="95"/>
  <c r="M147" i="95"/>
  <c r="M146" i="95"/>
  <c r="M145" i="95"/>
  <c r="M144" i="95"/>
  <c r="M143" i="95"/>
  <c r="M142" i="95"/>
  <c r="M141" i="95"/>
  <c r="M140" i="95"/>
  <c r="M139" i="95"/>
  <c r="M138" i="95"/>
  <c r="M137" i="95"/>
  <c r="M136" i="95"/>
  <c r="M135" i="95"/>
  <c r="M134" i="95"/>
  <c r="M133" i="95"/>
  <c r="M132" i="95"/>
  <c r="M131" i="95"/>
  <c r="M130" i="95"/>
  <c r="M129" i="95"/>
  <c r="M128" i="95"/>
  <c r="M127" i="95"/>
  <c r="M126" i="95"/>
  <c r="M125" i="95"/>
  <c r="M124" i="95"/>
  <c r="M123" i="95"/>
  <c r="M122" i="95"/>
  <c r="M121" i="95"/>
  <c r="M120" i="95"/>
  <c r="M119" i="95"/>
  <c r="M118" i="95"/>
  <c r="M117" i="95"/>
  <c r="M116" i="95"/>
  <c r="M115" i="95"/>
  <c r="M114" i="95"/>
  <c r="M113" i="95"/>
  <c r="M112" i="95"/>
  <c r="M111" i="95"/>
  <c r="M110" i="95"/>
  <c r="M109" i="95"/>
  <c r="M108" i="95"/>
  <c r="M107" i="95"/>
  <c r="M106" i="95"/>
  <c r="M105" i="95"/>
  <c r="M104" i="95"/>
  <c r="M103" i="95"/>
  <c r="M102" i="95"/>
  <c r="M101" i="95"/>
  <c r="M100" i="95"/>
  <c r="M99" i="95"/>
  <c r="M98" i="95"/>
  <c r="M97" i="95"/>
  <c r="M96" i="95"/>
  <c r="M95" i="95"/>
  <c r="M94" i="95"/>
  <c r="M93" i="95"/>
  <c r="M92" i="95"/>
  <c r="M91" i="95"/>
  <c r="M90" i="95"/>
  <c r="M89" i="95"/>
  <c r="M88" i="95"/>
  <c r="M87" i="95"/>
  <c r="M86" i="95"/>
  <c r="M85" i="95"/>
  <c r="M84" i="95"/>
  <c r="M83" i="95"/>
  <c r="M82" i="95"/>
  <c r="M81" i="95"/>
  <c r="Q171" i="94"/>
  <c r="Q170" i="94"/>
  <c r="Q169" i="94"/>
  <c r="Q168" i="94"/>
  <c r="Q167" i="94"/>
  <c r="Q166" i="94"/>
  <c r="Q165" i="94"/>
  <c r="Q164" i="94"/>
  <c r="Q163" i="94"/>
  <c r="Q162" i="94"/>
  <c r="Q161" i="94"/>
  <c r="Q160" i="94"/>
  <c r="Q159" i="94"/>
  <c r="Q158" i="94"/>
  <c r="Q157" i="94"/>
  <c r="Q156" i="94"/>
  <c r="Q155" i="94"/>
  <c r="Q154" i="94"/>
  <c r="Q153" i="94"/>
  <c r="Q152" i="94"/>
  <c r="Q151" i="94"/>
  <c r="Q150" i="94"/>
  <c r="Q149" i="94"/>
  <c r="Q148" i="94"/>
  <c r="Q147" i="94"/>
  <c r="Q146" i="94"/>
  <c r="Q145" i="94"/>
  <c r="Q144" i="94"/>
  <c r="Q143" i="94"/>
  <c r="Q142" i="94"/>
  <c r="Q141" i="94"/>
  <c r="Q140" i="94"/>
  <c r="Q139" i="94"/>
  <c r="Q138" i="94"/>
  <c r="Q137" i="94"/>
  <c r="Q136" i="94"/>
  <c r="Q135" i="94"/>
  <c r="Q134" i="94"/>
  <c r="Q133" i="94"/>
  <c r="Q132" i="94"/>
  <c r="Q131" i="94"/>
  <c r="Q130" i="94"/>
  <c r="Q129" i="94"/>
  <c r="Q128" i="94"/>
  <c r="Q127" i="94"/>
  <c r="Q126" i="94"/>
  <c r="Q125" i="94"/>
  <c r="Q124" i="94"/>
  <c r="Q123" i="94"/>
  <c r="Q122" i="94"/>
  <c r="Q121" i="94"/>
  <c r="Q120" i="94"/>
  <c r="Q119" i="94"/>
  <c r="Q118" i="94"/>
  <c r="Q117" i="94"/>
  <c r="Q116" i="94"/>
  <c r="Q115" i="94"/>
  <c r="Q114" i="94"/>
  <c r="Q113" i="94"/>
  <c r="Q112" i="94"/>
  <c r="Q111" i="94"/>
  <c r="Q110" i="94"/>
  <c r="Q109" i="94"/>
  <c r="Q108" i="94"/>
  <c r="Q107" i="94"/>
  <c r="Q106" i="94"/>
  <c r="Q105" i="94"/>
  <c r="Q104" i="94"/>
  <c r="Q103" i="94"/>
  <c r="Q102" i="94"/>
  <c r="Q101" i="94"/>
  <c r="Q100" i="94"/>
  <c r="Q99" i="94"/>
  <c r="Q98" i="94"/>
  <c r="Q97" i="94"/>
  <c r="Q96" i="94"/>
  <c r="Q95" i="94"/>
  <c r="Q94" i="94"/>
  <c r="Q93" i="94"/>
  <c r="Q92" i="94"/>
  <c r="Q91" i="94"/>
  <c r="Q90" i="94"/>
  <c r="Q89" i="94"/>
  <c r="Q88" i="94"/>
  <c r="Q87" i="94"/>
  <c r="Q86" i="94"/>
  <c r="Q85" i="94"/>
  <c r="Q84" i="94"/>
  <c r="Q83" i="94"/>
  <c r="Q82" i="94"/>
  <c r="Q81" i="94"/>
  <c r="S171" i="93"/>
  <c r="S170" i="93"/>
  <c r="S169" i="93"/>
  <c r="S168" i="93"/>
  <c r="S167" i="93"/>
  <c r="S166" i="93"/>
  <c r="S165" i="93"/>
  <c r="S164" i="93"/>
  <c r="S163" i="93"/>
  <c r="S162" i="93"/>
  <c r="S161" i="93"/>
  <c r="S160" i="93"/>
  <c r="S159" i="93"/>
  <c r="S158" i="93"/>
  <c r="S157" i="93"/>
  <c r="S156" i="93"/>
  <c r="S155" i="93"/>
  <c r="S154" i="93"/>
  <c r="S153" i="93"/>
  <c r="S152" i="93"/>
  <c r="S151" i="93"/>
  <c r="S150" i="93"/>
  <c r="S149" i="93"/>
  <c r="S148" i="93"/>
  <c r="S147" i="93"/>
  <c r="S146" i="93"/>
  <c r="S145" i="93"/>
  <c r="S144" i="93"/>
  <c r="S143" i="93"/>
  <c r="S142" i="93"/>
  <c r="S141" i="93"/>
  <c r="S140" i="93"/>
  <c r="S139" i="93"/>
  <c r="S138" i="93"/>
  <c r="S137" i="93"/>
  <c r="S136" i="93"/>
  <c r="S135" i="93"/>
  <c r="S134" i="93"/>
  <c r="S133" i="93"/>
  <c r="S132" i="93"/>
  <c r="S131" i="93"/>
  <c r="S130" i="93"/>
  <c r="S129" i="93"/>
  <c r="S128" i="93"/>
  <c r="S127" i="93"/>
  <c r="S126" i="93"/>
  <c r="S125" i="93"/>
  <c r="S124" i="93"/>
  <c r="S123" i="93"/>
  <c r="S122" i="93"/>
  <c r="S121" i="93"/>
  <c r="S120" i="93"/>
  <c r="S119" i="93"/>
  <c r="S118" i="93"/>
  <c r="S117" i="93"/>
  <c r="S116" i="93"/>
  <c r="S115" i="93"/>
  <c r="S114" i="93"/>
  <c r="S113" i="93"/>
  <c r="S112" i="93"/>
  <c r="S111" i="93"/>
  <c r="S110" i="93"/>
  <c r="S109" i="93"/>
  <c r="S108" i="93"/>
  <c r="S107" i="93"/>
  <c r="S106" i="93"/>
  <c r="S105" i="93"/>
  <c r="S104" i="93"/>
  <c r="S103" i="93"/>
  <c r="S102" i="93"/>
  <c r="S101" i="93"/>
  <c r="S100" i="93"/>
  <c r="S99" i="93"/>
  <c r="S98" i="93"/>
  <c r="S97" i="93"/>
  <c r="S96" i="93"/>
  <c r="S95" i="93"/>
  <c r="S94" i="93"/>
  <c r="S93" i="93"/>
  <c r="S92" i="93"/>
  <c r="S91" i="93"/>
  <c r="S90" i="93"/>
  <c r="S89" i="93"/>
  <c r="S88" i="93"/>
  <c r="S87" i="93"/>
  <c r="S86" i="93"/>
  <c r="S85" i="93"/>
  <c r="S84" i="93"/>
  <c r="S83" i="93"/>
  <c r="S82" i="93"/>
  <c r="S81" i="93"/>
  <c r="B98" i="95"/>
  <c r="B99" i="95" s="1"/>
  <c r="B97" i="95"/>
  <c r="B82" i="95"/>
  <c r="B83" i="95" s="1"/>
  <c r="B98" i="94"/>
  <c r="B99" i="94" s="1"/>
  <c r="B97" i="94"/>
  <c r="B82" i="94"/>
  <c r="B83" i="94" s="1"/>
  <c r="B98" i="93"/>
  <c r="B99" i="93" s="1"/>
  <c r="B97" i="93"/>
  <c r="B83" i="93"/>
  <c r="B84" i="93" s="1"/>
  <c r="B82" i="93"/>
  <c r="B97" i="92"/>
  <c r="B98" i="92" s="1"/>
  <c r="B83" i="92"/>
  <c r="I83" i="92" s="1"/>
  <c r="B82" i="92"/>
  <c r="I97" i="92"/>
  <c r="I96" i="92"/>
  <c r="I82" i="92"/>
  <c r="I81" i="92"/>
  <c r="D49" i="95"/>
  <c r="D48" i="95"/>
  <c r="D47" i="95"/>
  <c r="I78" i="95"/>
  <c r="J78" i="95" s="1"/>
  <c r="C78" i="95"/>
  <c r="B78" i="95"/>
  <c r="O78" i="95" s="1"/>
  <c r="P78" i="95" s="1"/>
  <c r="A78" i="95"/>
  <c r="I77" i="95"/>
  <c r="J77" i="95" s="1"/>
  <c r="C77" i="95"/>
  <c r="B77" i="95"/>
  <c r="U77" i="95" s="1"/>
  <c r="A77" i="95"/>
  <c r="S76" i="95"/>
  <c r="T76" i="95" s="1"/>
  <c r="K76" i="95"/>
  <c r="L76" i="95" s="1"/>
  <c r="I76" i="95"/>
  <c r="C76" i="95"/>
  <c r="B76" i="95"/>
  <c r="O76" i="95" s="1"/>
  <c r="P76" i="95" s="1"/>
  <c r="A76" i="95"/>
  <c r="S75" i="95"/>
  <c r="T75" i="95" s="1"/>
  <c r="O75" i="95"/>
  <c r="P75" i="95" s="1"/>
  <c r="K75" i="95"/>
  <c r="L75" i="95" s="1"/>
  <c r="I75" i="95"/>
  <c r="J75" i="95" s="1"/>
  <c r="G75" i="95"/>
  <c r="H75" i="95" s="1"/>
  <c r="C75" i="95"/>
  <c r="B75" i="95"/>
  <c r="U75" i="95" s="1"/>
  <c r="V75" i="95" s="1"/>
  <c r="A75" i="95"/>
  <c r="C74" i="95"/>
  <c r="B74" i="95"/>
  <c r="A74" i="95"/>
  <c r="I73" i="95"/>
  <c r="J73" i="95" s="1"/>
  <c r="C73" i="95"/>
  <c r="B73" i="95"/>
  <c r="O73" i="95" s="1"/>
  <c r="P73" i="95" s="1"/>
  <c r="A73" i="95"/>
  <c r="O72" i="95"/>
  <c r="P72" i="95" s="1"/>
  <c r="G72" i="95"/>
  <c r="H72" i="95" s="1"/>
  <c r="C72" i="95"/>
  <c r="B72" i="95"/>
  <c r="U72" i="95" s="1"/>
  <c r="V72" i="95" s="1"/>
  <c r="A72" i="95"/>
  <c r="S71" i="95"/>
  <c r="T71" i="95" s="1"/>
  <c r="O71" i="95"/>
  <c r="P71" i="95" s="1"/>
  <c r="K71" i="95"/>
  <c r="L71" i="95" s="1"/>
  <c r="G71" i="95"/>
  <c r="H71" i="95" s="1"/>
  <c r="C71" i="95"/>
  <c r="B71" i="95"/>
  <c r="I71" i="95" s="1"/>
  <c r="J71" i="95" s="1"/>
  <c r="A71" i="95"/>
  <c r="I70" i="95"/>
  <c r="J70" i="95" s="1"/>
  <c r="C70" i="95"/>
  <c r="B70" i="95"/>
  <c r="O70" i="95" s="1"/>
  <c r="P70" i="95" s="1"/>
  <c r="A70" i="95"/>
  <c r="U69" i="95"/>
  <c r="S69" i="95"/>
  <c r="O69" i="95"/>
  <c r="M69" i="95"/>
  <c r="K69" i="95"/>
  <c r="G69" i="95"/>
  <c r="C69" i="95"/>
  <c r="B69" i="95"/>
  <c r="I69" i="95" s="1"/>
  <c r="A69" i="95"/>
  <c r="U68" i="95"/>
  <c r="C68" i="95"/>
  <c r="B68" i="95"/>
  <c r="A68" i="95"/>
  <c r="S67" i="95"/>
  <c r="O67" i="95"/>
  <c r="K67" i="95"/>
  <c r="I67" i="95"/>
  <c r="J67" i="95" s="1"/>
  <c r="G67" i="95"/>
  <c r="C67" i="95"/>
  <c r="B67" i="95"/>
  <c r="U67" i="95" s="1"/>
  <c r="A67" i="95"/>
  <c r="I66" i="95"/>
  <c r="J66" i="95" s="1"/>
  <c r="C66" i="95"/>
  <c r="B66" i="95"/>
  <c r="A66" i="95"/>
  <c r="U65" i="95"/>
  <c r="S65" i="95"/>
  <c r="O65" i="95"/>
  <c r="M65" i="95"/>
  <c r="K65" i="95"/>
  <c r="G65" i="95"/>
  <c r="C65" i="95"/>
  <c r="B65" i="95"/>
  <c r="I65" i="95" s="1"/>
  <c r="A65" i="95"/>
  <c r="M64" i="95"/>
  <c r="C64" i="95"/>
  <c r="B64" i="95"/>
  <c r="A64" i="95"/>
  <c r="S63" i="95"/>
  <c r="O63" i="95"/>
  <c r="K63" i="95"/>
  <c r="I63" i="95"/>
  <c r="G63" i="95"/>
  <c r="C63" i="95"/>
  <c r="B63" i="95"/>
  <c r="U63" i="95" s="1"/>
  <c r="V63" i="95" s="1"/>
  <c r="A63" i="95"/>
  <c r="C62" i="95"/>
  <c r="B62" i="95"/>
  <c r="A62" i="95"/>
  <c r="O61" i="95"/>
  <c r="P61" i="95" s="1"/>
  <c r="G61" i="95"/>
  <c r="H61" i="95" s="1"/>
  <c r="C61" i="95"/>
  <c r="B61" i="95"/>
  <c r="U61" i="95" s="1"/>
  <c r="V61" i="95" s="1"/>
  <c r="A61" i="95"/>
  <c r="S60" i="95"/>
  <c r="T60" i="95" s="1"/>
  <c r="O60" i="95"/>
  <c r="P60" i="95" s="1"/>
  <c r="K60" i="95"/>
  <c r="L60" i="95" s="1"/>
  <c r="G60" i="95"/>
  <c r="C60" i="95"/>
  <c r="B60" i="95"/>
  <c r="I60" i="95" s="1"/>
  <c r="J60" i="95" s="1"/>
  <c r="A60" i="95"/>
  <c r="I59" i="95"/>
  <c r="J59" i="95" s="1"/>
  <c r="C59" i="95"/>
  <c r="B59" i="95"/>
  <c r="O59" i="95" s="1"/>
  <c r="P59" i="95" s="1"/>
  <c r="A59" i="95"/>
  <c r="C58" i="95"/>
  <c r="B58" i="95"/>
  <c r="U58" i="95" s="1"/>
  <c r="V58" i="95" s="1"/>
  <c r="A58" i="95"/>
  <c r="S57" i="95"/>
  <c r="T57" i="95" s="1"/>
  <c r="O57" i="95"/>
  <c r="K57" i="95"/>
  <c r="I57" i="95"/>
  <c r="G57" i="95"/>
  <c r="C57" i="95"/>
  <c r="B57" i="95"/>
  <c r="U57" i="95" s="1"/>
  <c r="V57" i="95" s="1"/>
  <c r="A57" i="95"/>
  <c r="S56" i="95"/>
  <c r="T56" i="95" s="1"/>
  <c r="O56" i="95"/>
  <c r="P56" i="95" s="1"/>
  <c r="K56" i="95"/>
  <c r="L56" i="95" s="1"/>
  <c r="G56" i="95"/>
  <c r="H56" i="95" s="1"/>
  <c r="C56" i="95"/>
  <c r="B56" i="95"/>
  <c r="U56" i="95" s="1"/>
  <c r="V56" i="95" s="1"/>
  <c r="A56" i="95"/>
  <c r="C55" i="95"/>
  <c r="B55" i="95"/>
  <c r="U55" i="95" s="1"/>
  <c r="V55" i="95" s="1"/>
  <c r="A55" i="95"/>
  <c r="U54" i="95"/>
  <c r="V54" i="95" s="1"/>
  <c r="M54" i="95"/>
  <c r="N54" i="95" s="1"/>
  <c r="I54" i="95"/>
  <c r="J54" i="95" s="1"/>
  <c r="C54" i="95"/>
  <c r="B54" i="95"/>
  <c r="A54" i="95"/>
  <c r="S53" i="95"/>
  <c r="T53" i="95" s="1"/>
  <c r="O53" i="95"/>
  <c r="P53" i="95" s="1"/>
  <c r="K53" i="95"/>
  <c r="L53" i="95" s="1"/>
  <c r="G53" i="95"/>
  <c r="H53" i="95" s="1"/>
  <c r="C53" i="95"/>
  <c r="B53" i="95"/>
  <c r="U53" i="95" s="1"/>
  <c r="V53" i="95" s="1"/>
  <c r="A53" i="95"/>
  <c r="S52" i="95"/>
  <c r="T52" i="95" s="1"/>
  <c r="O52" i="95"/>
  <c r="P52" i="95" s="1"/>
  <c r="K52" i="95"/>
  <c r="L52" i="95" s="1"/>
  <c r="G52" i="95"/>
  <c r="H52" i="95" s="1"/>
  <c r="C52" i="95"/>
  <c r="B52" i="95"/>
  <c r="I52" i="95" s="1"/>
  <c r="J52" i="95" s="1"/>
  <c r="A52" i="95"/>
  <c r="I51" i="95"/>
  <c r="J51" i="95" s="1"/>
  <c r="C51" i="95"/>
  <c r="B51" i="95"/>
  <c r="M51" i="95" s="1"/>
  <c r="N51" i="95" s="1"/>
  <c r="A51" i="95"/>
  <c r="M50" i="95"/>
  <c r="N50" i="95" s="1"/>
  <c r="I50" i="95"/>
  <c r="J50" i="95" s="1"/>
  <c r="C50" i="95"/>
  <c r="B50" i="95"/>
  <c r="A50" i="95"/>
  <c r="S49" i="95"/>
  <c r="O49" i="95"/>
  <c r="K49" i="95"/>
  <c r="I49" i="95"/>
  <c r="G49" i="95"/>
  <c r="C49" i="95"/>
  <c r="B49" i="95"/>
  <c r="U49" i="95" s="1"/>
  <c r="A49" i="95"/>
  <c r="S48" i="95"/>
  <c r="O48" i="95"/>
  <c r="K48" i="95"/>
  <c r="G48" i="95"/>
  <c r="C48" i="95"/>
  <c r="B48" i="95"/>
  <c r="U48" i="95" s="1"/>
  <c r="V48" i="95" s="1"/>
  <c r="A48" i="95"/>
  <c r="S47" i="95"/>
  <c r="K47" i="95"/>
  <c r="C47" i="95"/>
  <c r="B47" i="95"/>
  <c r="M47" i="95" s="1"/>
  <c r="A47" i="95"/>
  <c r="U46" i="95"/>
  <c r="V46" i="95" s="1"/>
  <c r="M46" i="95"/>
  <c r="N46" i="95" s="1"/>
  <c r="I46" i="95"/>
  <c r="J46" i="95" s="1"/>
  <c r="C46" i="95"/>
  <c r="B46" i="95"/>
  <c r="A46" i="95"/>
  <c r="B45" i="95"/>
  <c r="A45" i="95"/>
  <c r="S44" i="95"/>
  <c r="O44" i="95"/>
  <c r="K44" i="95"/>
  <c r="G44" i="95"/>
  <c r="B44" i="95"/>
  <c r="I44" i="95" s="1"/>
  <c r="A44" i="95"/>
  <c r="U43" i="95"/>
  <c r="O43" i="95"/>
  <c r="M43" i="95"/>
  <c r="G43" i="95"/>
  <c r="B43" i="95"/>
  <c r="I43" i="95" s="1"/>
  <c r="A43" i="95"/>
  <c r="B42" i="95"/>
  <c r="A42" i="95"/>
  <c r="O41" i="95"/>
  <c r="B41" i="95"/>
  <c r="U41" i="95" s="1"/>
  <c r="A41" i="95"/>
  <c r="S40" i="95"/>
  <c r="O40" i="95"/>
  <c r="P40" i="95" s="1"/>
  <c r="K40" i="95"/>
  <c r="L40" i="95" s="1"/>
  <c r="I40" i="95"/>
  <c r="J40" i="95" s="1"/>
  <c r="G40" i="95"/>
  <c r="H40" i="95" s="1"/>
  <c r="C40" i="95"/>
  <c r="B40" i="95"/>
  <c r="U40" i="95" s="1"/>
  <c r="V40" i="95" s="1"/>
  <c r="A40" i="95"/>
  <c r="S39" i="95"/>
  <c r="T39" i="95" s="1"/>
  <c r="O39" i="95"/>
  <c r="P39" i="95" s="1"/>
  <c r="K39" i="95"/>
  <c r="L39" i="95" s="1"/>
  <c r="G39" i="95"/>
  <c r="H39" i="95" s="1"/>
  <c r="C39" i="95"/>
  <c r="B39" i="95"/>
  <c r="U39" i="95" s="1"/>
  <c r="V39" i="95" s="1"/>
  <c r="A39" i="95"/>
  <c r="U38" i="95"/>
  <c r="V38" i="95" s="1"/>
  <c r="M38" i="95"/>
  <c r="N38" i="95" s="1"/>
  <c r="C38" i="95"/>
  <c r="B38" i="95"/>
  <c r="A38" i="95"/>
  <c r="C37" i="95"/>
  <c r="B37" i="95"/>
  <c r="U37" i="95" s="1"/>
  <c r="V37" i="95" s="1"/>
  <c r="A37" i="95"/>
  <c r="S36" i="95"/>
  <c r="O36" i="95"/>
  <c r="K36" i="95"/>
  <c r="L36" i="95" s="1"/>
  <c r="G36" i="95"/>
  <c r="C36" i="95"/>
  <c r="B36" i="95"/>
  <c r="U36" i="95" s="1"/>
  <c r="V36" i="95" s="1"/>
  <c r="A36" i="95"/>
  <c r="S35" i="95"/>
  <c r="T35" i="95" s="1"/>
  <c r="O35" i="95"/>
  <c r="P35" i="95" s="1"/>
  <c r="K35" i="95"/>
  <c r="L35" i="95" s="1"/>
  <c r="I35" i="95"/>
  <c r="J35" i="95" s="1"/>
  <c r="G35" i="95"/>
  <c r="H35" i="95" s="1"/>
  <c r="C35" i="95"/>
  <c r="B35" i="95"/>
  <c r="U35" i="95" s="1"/>
  <c r="V35" i="95" s="1"/>
  <c r="A35" i="95"/>
  <c r="I34" i="95"/>
  <c r="J34" i="95" s="1"/>
  <c r="C34" i="95"/>
  <c r="B34" i="95"/>
  <c r="O34" i="95" s="1"/>
  <c r="P34" i="95" s="1"/>
  <c r="A34" i="95"/>
  <c r="U33" i="95"/>
  <c r="V33" i="95" s="1"/>
  <c r="M33" i="95"/>
  <c r="N33" i="95" s="1"/>
  <c r="C33" i="95"/>
  <c r="B33" i="95"/>
  <c r="A33" i="95"/>
  <c r="S32" i="95"/>
  <c r="O32" i="95"/>
  <c r="K32" i="95"/>
  <c r="I32" i="95"/>
  <c r="G32" i="95"/>
  <c r="B32" i="95"/>
  <c r="U32" i="95" s="1"/>
  <c r="A32" i="95"/>
  <c r="S31" i="95"/>
  <c r="O31" i="95"/>
  <c r="K31" i="95"/>
  <c r="G31" i="95"/>
  <c r="B31" i="95"/>
  <c r="U31" i="95" s="1"/>
  <c r="A31" i="95"/>
  <c r="U30" i="95"/>
  <c r="M30" i="95"/>
  <c r="B30" i="95"/>
  <c r="A30" i="95"/>
  <c r="B29" i="95"/>
  <c r="M29" i="95" s="1"/>
  <c r="A29" i="95"/>
  <c r="S28" i="95"/>
  <c r="O28" i="95"/>
  <c r="K28" i="95"/>
  <c r="L28" i="95" s="1"/>
  <c r="G28" i="95"/>
  <c r="C28" i="95"/>
  <c r="B28" i="95"/>
  <c r="U28" i="95" s="1"/>
  <c r="A28" i="95"/>
  <c r="S27" i="95"/>
  <c r="T27" i="95" s="1"/>
  <c r="O27" i="95"/>
  <c r="P27" i="95" s="1"/>
  <c r="K27" i="95"/>
  <c r="L27" i="95" s="1"/>
  <c r="I27" i="95"/>
  <c r="J27" i="95" s="1"/>
  <c r="G27" i="95"/>
  <c r="H27" i="95" s="1"/>
  <c r="C27" i="95"/>
  <c r="B27" i="95"/>
  <c r="U27" i="95" s="1"/>
  <c r="V27" i="95" s="1"/>
  <c r="A27" i="95"/>
  <c r="U26" i="95"/>
  <c r="V26" i="95" s="1"/>
  <c r="I26" i="95"/>
  <c r="C26" i="95"/>
  <c r="B26" i="95"/>
  <c r="M26" i="95" s="1"/>
  <c r="A26" i="95"/>
  <c r="U25" i="95"/>
  <c r="V25" i="95" s="1"/>
  <c r="S25" i="95"/>
  <c r="O25" i="95"/>
  <c r="M25" i="95"/>
  <c r="N25" i="95" s="1"/>
  <c r="K25" i="95"/>
  <c r="I25" i="95"/>
  <c r="J25" i="95" s="1"/>
  <c r="G25" i="95"/>
  <c r="C25" i="95"/>
  <c r="B25" i="95"/>
  <c r="A25" i="95"/>
  <c r="U24" i="95"/>
  <c r="M24" i="95"/>
  <c r="I24" i="95"/>
  <c r="C24" i="95"/>
  <c r="B24" i="95"/>
  <c r="A24" i="95"/>
  <c r="U23" i="95"/>
  <c r="S23" i="95"/>
  <c r="O23" i="95"/>
  <c r="M23" i="95"/>
  <c r="K23" i="95"/>
  <c r="I23" i="95"/>
  <c r="G23" i="95"/>
  <c r="C23" i="95"/>
  <c r="B23" i="95"/>
  <c r="A23" i="95"/>
  <c r="U22" i="95"/>
  <c r="V22" i="95" s="1"/>
  <c r="M22" i="95"/>
  <c r="I22" i="95"/>
  <c r="G22" i="95"/>
  <c r="C22" i="95"/>
  <c r="B22" i="95"/>
  <c r="A22" i="95"/>
  <c r="U21" i="95"/>
  <c r="S21" i="95"/>
  <c r="O21" i="95"/>
  <c r="M21" i="95"/>
  <c r="N21" i="95" s="1"/>
  <c r="K21" i="95"/>
  <c r="I21" i="95"/>
  <c r="G21" i="95"/>
  <c r="C21" i="95"/>
  <c r="B21" i="95"/>
  <c r="A21" i="95"/>
  <c r="U20" i="95"/>
  <c r="S20" i="95"/>
  <c r="M20" i="95"/>
  <c r="K20" i="95"/>
  <c r="I20" i="95"/>
  <c r="G20" i="95"/>
  <c r="B20" i="95"/>
  <c r="O20" i="95" s="1"/>
  <c r="A20" i="95"/>
  <c r="U19" i="95"/>
  <c r="M19" i="95"/>
  <c r="I19" i="95"/>
  <c r="B19" i="95"/>
  <c r="A19" i="95"/>
  <c r="U18" i="95"/>
  <c r="S18" i="95"/>
  <c r="M18" i="95"/>
  <c r="K18" i="95"/>
  <c r="I18" i="95"/>
  <c r="J18" i="95" s="1"/>
  <c r="G18" i="95"/>
  <c r="H18" i="95" s="1"/>
  <c r="C18" i="95"/>
  <c r="B18" i="95"/>
  <c r="O18" i="95" s="1"/>
  <c r="P18" i="95" s="1"/>
  <c r="A18" i="95"/>
  <c r="S17" i="95"/>
  <c r="T17" i="95" s="1"/>
  <c r="O17" i="95"/>
  <c r="P17" i="95" s="1"/>
  <c r="K17" i="95"/>
  <c r="I17" i="95"/>
  <c r="G17" i="95"/>
  <c r="H17" i="95" s="1"/>
  <c r="C17" i="95"/>
  <c r="B17" i="95"/>
  <c r="U17" i="95" s="1"/>
  <c r="V17" i="95" s="1"/>
  <c r="A17" i="95"/>
  <c r="U16" i="95"/>
  <c r="V16" i="95" s="1"/>
  <c r="K16" i="95"/>
  <c r="L16" i="95" s="1"/>
  <c r="I16" i="95"/>
  <c r="J16" i="95" s="1"/>
  <c r="G16" i="95"/>
  <c r="H16" i="95" s="1"/>
  <c r="C16" i="95"/>
  <c r="B16" i="95"/>
  <c r="S16" i="95" s="1"/>
  <c r="T16" i="95" s="1"/>
  <c r="A16" i="95"/>
  <c r="U15" i="95"/>
  <c r="V15" i="95" s="1"/>
  <c r="C15" i="95"/>
  <c r="B15" i="95"/>
  <c r="M15" i="95" s="1"/>
  <c r="N15" i="95" s="1"/>
  <c r="A15" i="95"/>
  <c r="U14" i="95"/>
  <c r="V14" i="95" s="1"/>
  <c r="K14" i="95"/>
  <c r="L14" i="95" s="1"/>
  <c r="G14" i="95"/>
  <c r="H14" i="95" s="1"/>
  <c r="C14" i="95"/>
  <c r="B14" i="95"/>
  <c r="S14" i="95" s="1"/>
  <c r="T14" i="95" s="1"/>
  <c r="A14" i="95"/>
  <c r="S13" i="95"/>
  <c r="T13" i="95" s="1"/>
  <c r="O13" i="95"/>
  <c r="K13" i="95"/>
  <c r="L13" i="95" s="1"/>
  <c r="G13" i="95"/>
  <c r="H13" i="95" s="1"/>
  <c r="C13" i="95"/>
  <c r="B13" i="95"/>
  <c r="U13" i="95" s="1"/>
  <c r="V13" i="95" s="1"/>
  <c r="A13" i="95"/>
  <c r="M12" i="95"/>
  <c r="N12" i="95" s="1"/>
  <c r="I12" i="95"/>
  <c r="J12" i="95" s="1"/>
  <c r="G12" i="95"/>
  <c r="H12" i="95" s="1"/>
  <c r="C12" i="95"/>
  <c r="B12" i="95"/>
  <c r="U12" i="95" s="1"/>
  <c r="V12" i="95" s="1"/>
  <c r="A12" i="95"/>
  <c r="U11" i="95"/>
  <c r="O11" i="95"/>
  <c r="P11" i="95" s="1"/>
  <c r="M11" i="95"/>
  <c r="N11" i="95" s="1"/>
  <c r="I11" i="95"/>
  <c r="G11" i="95"/>
  <c r="C11" i="95"/>
  <c r="B11" i="95"/>
  <c r="A11" i="95"/>
  <c r="U10" i="95"/>
  <c r="S10" i="95"/>
  <c r="O10" i="95"/>
  <c r="M10" i="95"/>
  <c r="K10" i="95"/>
  <c r="I10" i="95"/>
  <c r="B10" i="95"/>
  <c r="G10" i="95" s="1"/>
  <c r="A10" i="95"/>
  <c r="X6" i="95"/>
  <c r="Q2" i="95"/>
  <c r="Q15" i="95" s="1"/>
  <c r="R15" i="95" s="1"/>
  <c r="D70" i="94"/>
  <c r="D69" i="94"/>
  <c r="D68" i="94"/>
  <c r="D67" i="94"/>
  <c r="D66" i="94"/>
  <c r="D65" i="94"/>
  <c r="D64" i="94"/>
  <c r="D63" i="94"/>
  <c r="D62" i="94"/>
  <c r="D26" i="94"/>
  <c r="D25" i="94"/>
  <c r="D24" i="94"/>
  <c r="D23" i="94"/>
  <c r="D22" i="94"/>
  <c r="D21" i="94"/>
  <c r="I78" i="94"/>
  <c r="J78" i="94" s="1"/>
  <c r="C78" i="94"/>
  <c r="B78" i="94"/>
  <c r="O78" i="94" s="1"/>
  <c r="P78" i="94" s="1"/>
  <c r="A78" i="94"/>
  <c r="I77" i="94"/>
  <c r="J77" i="94" s="1"/>
  <c r="C77" i="94"/>
  <c r="B77" i="94"/>
  <c r="U77" i="94" s="1"/>
  <c r="V77" i="94" s="1"/>
  <c r="A77" i="94"/>
  <c r="S76" i="94"/>
  <c r="T76" i="94" s="1"/>
  <c r="K76" i="94"/>
  <c r="L76" i="94" s="1"/>
  <c r="I76" i="94"/>
  <c r="C76" i="94"/>
  <c r="B76" i="94"/>
  <c r="O76" i="94" s="1"/>
  <c r="P76" i="94" s="1"/>
  <c r="A76" i="94"/>
  <c r="S75" i="94"/>
  <c r="T75" i="94" s="1"/>
  <c r="O75" i="94"/>
  <c r="P75" i="94" s="1"/>
  <c r="K75" i="94"/>
  <c r="L75" i="94" s="1"/>
  <c r="I75" i="94"/>
  <c r="J75" i="94" s="1"/>
  <c r="G75" i="94"/>
  <c r="H75" i="94" s="1"/>
  <c r="C75" i="94"/>
  <c r="B75" i="94"/>
  <c r="U75" i="94" s="1"/>
  <c r="V75" i="94" s="1"/>
  <c r="A75" i="94"/>
  <c r="C74" i="94"/>
  <c r="B74" i="94"/>
  <c r="A74" i="94"/>
  <c r="I73" i="94"/>
  <c r="J73" i="94" s="1"/>
  <c r="C73" i="94"/>
  <c r="B73" i="94"/>
  <c r="O73" i="94" s="1"/>
  <c r="P73" i="94" s="1"/>
  <c r="A73" i="94"/>
  <c r="O72" i="94"/>
  <c r="P72" i="94" s="1"/>
  <c r="G72" i="94"/>
  <c r="H72" i="94" s="1"/>
  <c r="C72" i="94"/>
  <c r="B72" i="94"/>
  <c r="U72" i="94" s="1"/>
  <c r="V72" i="94" s="1"/>
  <c r="A72" i="94"/>
  <c r="S71" i="94"/>
  <c r="T71" i="94" s="1"/>
  <c r="O71" i="94"/>
  <c r="P71" i="94" s="1"/>
  <c r="K71" i="94"/>
  <c r="L71" i="94" s="1"/>
  <c r="G71" i="94"/>
  <c r="H71" i="94" s="1"/>
  <c r="C71" i="94"/>
  <c r="B71" i="94"/>
  <c r="I71" i="94" s="1"/>
  <c r="J71" i="94" s="1"/>
  <c r="A71" i="94"/>
  <c r="O70" i="94"/>
  <c r="P70" i="94" s="1"/>
  <c r="I70" i="94"/>
  <c r="J70" i="94" s="1"/>
  <c r="G70" i="94"/>
  <c r="H70" i="94" s="1"/>
  <c r="C70" i="94"/>
  <c r="B70" i="94"/>
  <c r="U70" i="94" s="1"/>
  <c r="V70" i="94" s="1"/>
  <c r="A70" i="94"/>
  <c r="C69" i="94"/>
  <c r="B69" i="94"/>
  <c r="U69" i="94" s="1"/>
  <c r="V69" i="94" s="1"/>
  <c r="A69" i="94"/>
  <c r="S68" i="94"/>
  <c r="T68" i="94" s="1"/>
  <c r="K68" i="94"/>
  <c r="L68" i="94" s="1"/>
  <c r="I68" i="94"/>
  <c r="J68" i="94" s="1"/>
  <c r="C68" i="94"/>
  <c r="B68" i="94"/>
  <c r="O68" i="94" s="1"/>
  <c r="P68" i="94" s="1"/>
  <c r="A68" i="94"/>
  <c r="S67" i="94"/>
  <c r="T67" i="94" s="1"/>
  <c r="O67" i="94"/>
  <c r="P67" i="94" s="1"/>
  <c r="K67" i="94"/>
  <c r="L67" i="94" s="1"/>
  <c r="I67" i="94"/>
  <c r="J67" i="94" s="1"/>
  <c r="G67" i="94"/>
  <c r="H67" i="94" s="1"/>
  <c r="C67" i="94"/>
  <c r="B67" i="94"/>
  <c r="U67" i="94" s="1"/>
  <c r="V67" i="94" s="1"/>
  <c r="A67" i="94"/>
  <c r="M66" i="94"/>
  <c r="C66" i="94"/>
  <c r="B66" i="94"/>
  <c r="U66" i="94" s="1"/>
  <c r="V66" i="94" s="1"/>
  <c r="A66" i="94"/>
  <c r="I65" i="94"/>
  <c r="C65" i="94"/>
  <c r="B65" i="94"/>
  <c r="O65" i="94" s="1"/>
  <c r="A65" i="94"/>
  <c r="O64" i="94"/>
  <c r="G64" i="94"/>
  <c r="H64" i="94" s="1"/>
  <c r="C64" i="94"/>
  <c r="B64" i="94"/>
  <c r="U64" i="94" s="1"/>
  <c r="V64" i="94" s="1"/>
  <c r="A64" i="94"/>
  <c r="S63" i="94"/>
  <c r="O63" i="94"/>
  <c r="K63" i="94"/>
  <c r="G63" i="94"/>
  <c r="C63" i="94"/>
  <c r="B63" i="94"/>
  <c r="I63" i="94" s="1"/>
  <c r="J63" i="94" s="1"/>
  <c r="A63" i="94"/>
  <c r="O62" i="94"/>
  <c r="P62" i="94" s="1"/>
  <c r="I62" i="94"/>
  <c r="J62" i="94" s="1"/>
  <c r="G62" i="94"/>
  <c r="H62" i="94" s="1"/>
  <c r="C62" i="94"/>
  <c r="B62" i="94"/>
  <c r="U62" i="94" s="1"/>
  <c r="A62" i="94"/>
  <c r="C61" i="94"/>
  <c r="B61" i="94"/>
  <c r="U61" i="94" s="1"/>
  <c r="V61" i="94" s="1"/>
  <c r="A61" i="94"/>
  <c r="S60" i="94"/>
  <c r="T60" i="94" s="1"/>
  <c r="O60" i="94"/>
  <c r="P60" i="94" s="1"/>
  <c r="K60" i="94"/>
  <c r="L60" i="94" s="1"/>
  <c r="I60" i="94"/>
  <c r="J60" i="94" s="1"/>
  <c r="G60" i="94"/>
  <c r="H60" i="94" s="1"/>
  <c r="C60" i="94"/>
  <c r="B60" i="94"/>
  <c r="U60" i="94" s="1"/>
  <c r="V60" i="94" s="1"/>
  <c r="A60" i="94"/>
  <c r="S59" i="94"/>
  <c r="T59" i="94" s="1"/>
  <c r="O59" i="94"/>
  <c r="P59" i="94" s="1"/>
  <c r="K59" i="94"/>
  <c r="L59" i="94" s="1"/>
  <c r="I59" i="94"/>
  <c r="J59" i="94" s="1"/>
  <c r="G59" i="94"/>
  <c r="H59" i="94" s="1"/>
  <c r="C59" i="94"/>
  <c r="B59" i="94"/>
  <c r="U59" i="94" s="1"/>
  <c r="V59" i="94" s="1"/>
  <c r="A59" i="94"/>
  <c r="C58" i="94"/>
  <c r="B58" i="94"/>
  <c r="A58" i="94"/>
  <c r="I57" i="94"/>
  <c r="J57" i="94" s="1"/>
  <c r="C57" i="94"/>
  <c r="B57" i="94"/>
  <c r="O57" i="94" s="1"/>
  <c r="P57" i="94" s="1"/>
  <c r="A57" i="94"/>
  <c r="O56" i="94"/>
  <c r="P56" i="94" s="1"/>
  <c r="G56" i="94"/>
  <c r="C56" i="94"/>
  <c r="B56" i="94"/>
  <c r="U56" i="94" s="1"/>
  <c r="V56" i="94" s="1"/>
  <c r="A56" i="94"/>
  <c r="S55" i="94"/>
  <c r="T55" i="94" s="1"/>
  <c r="O55" i="94"/>
  <c r="P55" i="94" s="1"/>
  <c r="K55" i="94"/>
  <c r="L55" i="94" s="1"/>
  <c r="G55" i="94"/>
  <c r="H55" i="94" s="1"/>
  <c r="C55" i="94"/>
  <c r="B55" i="94"/>
  <c r="I55" i="94" s="1"/>
  <c r="J55" i="94" s="1"/>
  <c r="A55" i="94"/>
  <c r="O54" i="94"/>
  <c r="P54" i="94" s="1"/>
  <c r="I54" i="94"/>
  <c r="J54" i="94" s="1"/>
  <c r="G54" i="94"/>
  <c r="H54" i="94" s="1"/>
  <c r="C54" i="94"/>
  <c r="B54" i="94"/>
  <c r="U54" i="94" s="1"/>
  <c r="V54" i="94" s="1"/>
  <c r="A54" i="94"/>
  <c r="C53" i="94"/>
  <c r="B53" i="94"/>
  <c r="U53" i="94" s="1"/>
  <c r="A53" i="94"/>
  <c r="S52" i="94"/>
  <c r="T52" i="94" s="1"/>
  <c r="O52" i="94"/>
  <c r="P52" i="94" s="1"/>
  <c r="K52" i="94"/>
  <c r="L52" i="94" s="1"/>
  <c r="I52" i="94"/>
  <c r="J52" i="94" s="1"/>
  <c r="G52" i="94"/>
  <c r="H52" i="94" s="1"/>
  <c r="C52" i="94"/>
  <c r="B52" i="94"/>
  <c r="U52" i="94" s="1"/>
  <c r="V52" i="94" s="1"/>
  <c r="A52" i="94"/>
  <c r="S51" i="94"/>
  <c r="T51" i="94" s="1"/>
  <c r="O51" i="94"/>
  <c r="P51" i="94" s="1"/>
  <c r="K51" i="94"/>
  <c r="L51" i="94" s="1"/>
  <c r="G51" i="94"/>
  <c r="H51" i="94" s="1"/>
  <c r="C51" i="94"/>
  <c r="B51" i="94"/>
  <c r="U51" i="94" s="1"/>
  <c r="V51" i="94" s="1"/>
  <c r="A51" i="94"/>
  <c r="M50" i="94"/>
  <c r="N50" i="94" s="1"/>
  <c r="I50" i="94"/>
  <c r="J50" i="94" s="1"/>
  <c r="C50" i="94"/>
  <c r="B50" i="94"/>
  <c r="U50" i="94" s="1"/>
  <c r="V50" i="94" s="1"/>
  <c r="A50" i="94"/>
  <c r="I49" i="94"/>
  <c r="C49" i="94"/>
  <c r="B49" i="94"/>
  <c r="O49" i="94" s="1"/>
  <c r="A49" i="94"/>
  <c r="K48" i="94"/>
  <c r="C48" i="94"/>
  <c r="B48" i="94"/>
  <c r="O48" i="94" s="1"/>
  <c r="A48" i="94"/>
  <c r="S47" i="94"/>
  <c r="O47" i="94"/>
  <c r="K47" i="94"/>
  <c r="G47" i="94"/>
  <c r="C47" i="94"/>
  <c r="B47" i="94"/>
  <c r="I47" i="94" s="1"/>
  <c r="J47" i="94" s="1"/>
  <c r="A47" i="94"/>
  <c r="M46" i="94"/>
  <c r="N46" i="94" s="1"/>
  <c r="G46" i="94"/>
  <c r="C46" i="94"/>
  <c r="B46" i="94"/>
  <c r="O46" i="94" s="1"/>
  <c r="P46" i="94" s="1"/>
  <c r="A46" i="94"/>
  <c r="M45" i="94"/>
  <c r="B45" i="94"/>
  <c r="A45" i="94"/>
  <c r="S44" i="94"/>
  <c r="O44" i="94"/>
  <c r="K44" i="94"/>
  <c r="I44" i="94"/>
  <c r="G44" i="94"/>
  <c r="B44" i="94"/>
  <c r="U44" i="94" s="1"/>
  <c r="A44" i="94"/>
  <c r="S43" i="94"/>
  <c r="O43" i="94"/>
  <c r="K43" i="94"/>
  <c r="G43" i="94"/>
  <c r="B43" i="94"/>
  <c r="U43" i="94" s="1"/>
  <c r="A43" i="94"/>
  <c r="M42" i="94"/>
  <c r="K42" i="94"/>
  <c r="B42" i="94"/>
  <c r="O42" i="94" s="1"/>
  <c r="A42" i="94"/>
  <c r="B41" i="94"/>
  <c r="U41" i="94" s="1"/>
  <c r="A41" i="94"/>
  <c r="S40" i="94"/>
  <c r="T40" i="94" s="1"/>
  <c r="O40" i="94"/>
  <c r="P40" i="94" s="1"/>
  <c r="K40" i="94"/>
  <c r="L40" i="94" s="1"/>
  <c r="G40" i="94"/>
  <c r="H40" i="94" s="1"/>
  <c r="C40" i="94"/>
  <c r="B40" i="94"/>
  <c r="U40" i="94" s="1"/>
  <c r="V40" i="94" s="1"/>
  <c r="A40" i="94"/>
  <c r="O39" i="94"/>
  <c r="P39" i="94" s="1"/>
  <c r="I39" i="94"/>
  <c r="J39" i="94" s="1"/>
  <c r="G39" i="94"/>
  <c r="H39" i="94" s="1"/>
  <c r="C39" i="94"/>
  <c r="B39" i="94"/>
  <c r="S39" i="94" s="1"/>
  <c r="T39" i="94" s="1"/>
  <c r="A39" i="94"/>
  <c r="I38" i="94"/>
  <c r="J38" i="94" s="1"/>
  <c r="C38" i="94"/>
  <c r="B38" i="94"/>
  <c r="O38" i="94" s="1"/>
  <c r="P38" i="94" s="1"/>
  <c r="A38" i="94"/>
  <c r="S37" i="94"/>
  <c r="O37" i="94"/>
  <c r="K37" i="94"/>
  <c r="I37" i="94"/>
  <c r="J37" i="94" s="1"/>
  <c r="G37" i="94"/>
  <c r="H37" i="94" s="1"/>
  <c r="C37" i="94"/>
  <c r="B37" i="94"/>
  <c r="U37" i="94" s="1"/>
  <c r="V37" i="94" s="1"/>
  <c r="A37" i="94"/>
  <c r="S36" i="94"/>
  <c r="T36" i="94" s="1"/>
  <c r="O36" i="94"/>
  <c r="P36" i="94" s="1"/>
  <c r="K36" i="94"/>
  <c r="L36" i="94" s="1"/>
  <c r="I36" i="94"/>
  <c r="J36" i="94" s="1"/>
  <c r="G36" i="94"/>
  <c r="H36" i="94" s="1"/>
  <c r="C36" i="94"/>
  <c r="B36" i="94"/>
  <c r="U36" i="94" s="1"/>
  <c r="V36" i="94" s="1"/>
  <c r="A36" i="94"/>
  <c r="S35" i="94"/>
  <c r="T35" i="94" s="1"/>
  <c r="K35" i="94"/>
  <c r="L35" i="94" s="1"/>
  <c r="C35" i="94"/>
  <c r="B35" i="94"/>
  <c r="O35" i="94" s="1"/>
  <c r="P35" i="94" s="1"/>
  <c r="A35" i="94"/>
  <c r="U34" i="94"/>
  <c r="V34" i="94" s="1"/>
  <c r="C34" i="94"/>
  <c r="B34" i="94"/>
  <c r="A34" i="94"/>
  <c r="C33" i="94"/>
  <c r="B33" i="94"/>
  <c r="I33" i="94" s="1"/>
  <c r="J33" i="94" s="1"/>
  <c r="A33" i="94"/>
  <c r="S32" i="94"/>
  <c r="O32" i="94"/>
  <c r="K32" i="94"/>
  <c r="G32" i="94"/>
  <c r="B32" i="94"/>
  <c r="U32" i="94" s="1"/>
  <c r="A32" i="94"/>
  <c r="O31" i="94"/>
  <c r="I31" i="94"/>
  <c r="G31" i="94"/>
  <c r="B31" i="94"/>
  <c r="S31" i="94" s="1"/>
  <c r="A31" i="94"/>
  <c r="B30" i="94"/>
  <c r="U30" i="94" s="1"/>
  <c r="A30" i="94"/>
  <c r="S29" i="94"/>
  <c r="O29" i="94"/>
  <c r="K29" i="94"/>
  <c r="I29" i="94"/>
  <c r="G29" i="94"/>
  <c r="B29" i="94"/>
  <c r="U29" i="94" s="1"/>
  <c r="A29" i="94"/>
  <c r="S28" i="94"/>
  <c r="T28" i="94" s="1"/>
  <c r="O28" i="94"/>
  <c r="P28" i="94" s="1"/>
  <c r="K28" i="94"/>
  <c r="L28" i="94" s="1"/>
  <c r="I28" i="94"/>
  <c r="J28" i="94" s="1"/>
  <c r="G28" i="94"/>
  <c r="H28" i="94" s="1"/>
  <c r="C28" i="94"/>
  <c r="B28" i="94"/>
  <c r="U28" i="94" s="1"/>
  <c r="V28" i="94" s="1"/>
  <c r="A28" i="94"/>
  <c r="U27" i="94"/>
  <c r="V27" i="94" s="1"/>
  <c r="M27" i="94"/>
  <c r="N27" i="94" s="1"/>
  <c r="C27" i="94"/>
  <c r="B27" i="94"/>
  <c r="K27" i="94" s="1"/>
  <c r="L27" i="94" s="1"/>
  <c r="A27" i="94"/>
  <c r="C26" i="94"/>
  <c r="B26" i="94"/>
  <c r="M26" i="94" s="1"/>
  <c r="N26" i="94" s="1"/>
  <c r="A26" i="94"/>
  <c r="C25" i="94"/>
  <c r="B25" i="94"/>
  <c r="I25" i="94" s="1"/>
  <c r="A25" i="94"/>
  <c r="U24" i="94"/>
  <c r="V24" i="94" s="1"/>
  <c r="K24" i="94"/>
  <c r="L24" i="94" s="1"/>
  <c r="G24" i="94"/>
  <c r="C24" i="94"/>
  <c r="B24" i="94"/>
  <c r="I24" i="94" s="1"/>
  <c r="A24" i="94"/>
  <c r="G23" i="94"/>
  <c r="C23" i="94"/>
  <c r="B23" i="94"/>
  <c r="M23" i="94" s="1"/>
  <c r="N23" i="94" s="1"/>
  <c r="A23" i="94"/>
  <c r="M22" i="94"/>
  <c r="N22" i="94" s="1"/>
  <c r="I22" i="94"/>
  <c r="J22" i="94" s="1"/>
  <c r="G22" i="94"/>
  <c r="H22" i="94" s="1"/>
  <c r="C22" i="94"/>
  <c r="B22" i="94"/>
  <c r="U22" i="94" s="1"/>
  <c r="V22" i="94" s="1"/>
  <c r="A22" i="94"/>
  <c r="S21" i="94"/>
  <c r="O21" i="94"/>
  <c r="K21" i="94"/>
  <c r="I21" i="94"/>
  <c r="J21" i="94" s="1"/>
  <c r="G21" i="94"/>
  <c r="C21" i="94"/>
  <c r="B21" i="94"/>
  <c r="U21" i="94" s="1"/>
  <c r="V21" i="94" s="1"/>
  <c r="A21" i="94"/>
  <c r="S20" i="94"/>
  <c r="K20" i="94"/>
  <c r="I20" i="94"/>
  <c r="B20" i="94"/>
  <c r="U20" i="94" s="1"/>
  <c r="A20" i="94"/>
  <c r="U19" i="94"/>
  <c r="S19" i="94"/>
  <c r="M19" i="94"/>
  <c r="K19" i="94"/>
  <c r="I19" i="94"/>
  <c r="B19" i="94"/>
  <c r="A19" i="94"/>
  <c r="U18" i="94"/>
  <c r="V18" i="94" s="1"/>
  <c r="S18" i="94"/>
  <c r="O18" i="94"/>
  <c r="P18" i="94" s="1"/>
  <c r="K18" i="94"/>
  <c r="G18" i="94"/>
  <c r="C18" i="94"/>
  <c r="B18" i="94"/>
  <c r="M18" i="94" s="1"/>
  <c r="N18" i="94" s="1"/>
  <c r="A18" i="94"/>
  <c r="S17" i="94"/>
  <c r="T17" i="94" s="1"/>
  <c r="K17" i="94"/>
  <c r="L17" i="94" s="1"/>
  <c r="C17" i="94"/>
  <c r="B17" i="94"/>
  <c r="I17" i="94" s="1"/>
  <c r="J17" i="94" s="1"/>
  <c r="A17" i="94"/>
  <c r="C16" i="94"/>
  <c r="B16" i="94"/>
  <c r="U16" i="94" s="1"/>
  <c r="V16" i="94" s="1"/>
  <c r="A16" i="94"/>
  <c r="U15" i="94"/>
  <c r="V15" i="94" s="1"/>
  <c r="O15" i="94"/>
  <c r="P15" i="94" s="1"/>
  <c r="M15" i="94"/>
  <c r="N15" i="94" s="1"/>
  <c r="G15" i="94"/>
  <c r="H15" i="94" s="1"/>
  <c r="C15" i="94"/>
  <c r="B15" i="94"/>
  <c r="I15" i="94" s="1"/>
  <c r="J15" i="94" s="1"/>
  <c r="A15" i="94"/>
  <c r="S14" i="94"/>
  <c r="T14" i="94" s="1"/>
  <c r="K14" i="94"/>
  <c r="L14" i="94" s="1"/>
  <c r="C14" i="94"/>
  <c r="B14" i="94"/>
  <c r="I14" i="94" s="1"/>
  <c r="J14" i="94" s="1"/>
  <c r="A14" i="94"/>
  <c r="S13" i="94"/>
  <c r="T13" i="94" s="1"/>
  <c r="O13" i="94"/>
  <c r="P13" i="94" s="1"/>
  <c r="K13" i="94"/>
  <c r="L13" i="94" s="1"/>
  <c r="I13" i="94"/>
  <c r="J13" i="94" s="1"/>
  <c r="G13" i="94"/>
  <c r="H13" i="94" s="1"/>
  <c r="C13" i="94"/>
  <c r="B13" i="94"/>
  <c r="U13" i="94" s="1"/>
  <c r="V13" i="94" s="1"/>
  <c r="A13" i="94"/>
  <c r="U12" i="94"/>
  <c r="V12" i="94" s="1"/>
  <c r="O12" i="94"/>
  <c r="P12" i="94" s="1"/>
  <c r="M12" i="94"/>
  <c r="N12" i="94" s="1"/>
  <c r="K12" i="94"/>
  <c r="L12" i="94" s="1"/>
  <c r="G12" i="94"/>
  <c r="H12" i="94" s="1"/>
  <c r="C12" i="94"/>
  <c r="B12" i="94"/>
  <c r="S12" i="94" s="1"/>
  <c r="T12" i="94" s="1"/>
  <c r="A12" i="94"/>
  <c r="S11" i="94"/>
  <c r="T11" i="94" s="1"/>
  <c r="K11" i="94"/>
  <c r="L11" i="94" s="1"/>
  <c r="G11" i="94"/>
  <c r="C11" i="94"/>
  <c r="B11" i="94"/>
  <c r="O11" i="94" s="1"/>
  <c r="A11" i="94"/>
  <c r="S10" i="94"/>
  <c r="O10" i="94"/>
  <c r="K10" i="94"/>
  <c r="G10" i="94"/>
  <c r="B10" i="94"/>
  <c r="U10" i="94" s="1"/>
  <c r="A10" i="94"/>
  <c r="X6" i="94"/>
  <c r="Q2" i="94"/>
  <c r="Q30" i="94" s="1"/>
  <c r="S78" i="93"/>
  <c r="T78" i="93" s="1"/>
  <c r="K78" i="93"/>
  <c r="L78" i="93" s="1"/>
  <c r="I78" i="93"/>
  <c r="J78" i="93" s="1"/>
  <c r="C78" i="93"/>
  <c r="B78" i="93"/>
  <c r="O78" i="93" s="1"/>
  <c r="P78" i="93" s="1"/>
  <c r="A78" i="93"/>
  <c r="S77" i="93"/>
  <c r="T77" i="93" s="1"/>
  <c r="O77" i="93"/>
  <c r="P77" i="93" s="1"/>
  <c r="K77" i="93"/>
  <c r="L77" i="93" s="1"/>
  <c r="I77" i="93"/>
  <c r="J77" i="93" s="1"/>
  <c r="G77" i="93"/>
  <c r="H77" i="93" s="1"/>
  <c r="C77" i="93"/>
  <c r="B77" i="93"/>
  <c r="U77" i="93" s="1"/>
  <c r="V77" i="93" s="1"/>
  <c r="A77" i="93"/>
  <c r="C76" i="93"/>
  <c r="B76" i="93"/>
  <c r="A76" i="93"/>
  <c r="S75" i="93"/>
  <c r="T75" i="93" s="1"/>
  <c r="K75" i="93"/>
  <c r="L75" i="93" s="1"/>
  <c r="I75" i="93"/>
  <c r="J75" i="93" s="1"/>
  <c r="C75" i="93"/>
  <c r="B75" i="93"/>
  <c r="O75" i="93" s="1"/>
  <c r="P75" i="93" s="1"/>
  <c r="A75" i="93"/>
  <c r="O74" i="93"/>
  <c r="P74" i="93" s="1"/>
  <c r="G74" i="93"/>
  <c r="H74" i="93" s="1"/>
  <c r="C74" i="93"/>
  <c r="B74" i="93"/>
  <c r="S74" i="93" s="1"/>
  <c r="T74" i="93" s="1"/>
  <c r="A74" i="93"/>
  <c r="S73" i="93"/>
  <c r="T73" i="93" s="1"/>
  <c r="K73" i="93"/>
  <c r="L73" i="93" s="1"/>
  <c r="C73" i="93"/>
  <c r="B73" i="93"/>
  <c r="I73" i="93" s="1"/>
  <c r="J73" i="93" s="1"/>
  <c r="A73" i="93"/>
  <c r="O72" i="93"/>
  <c r="P72" i="93" s="1"/>
  <c r="I72" i="93"/>
  <c r="J72" i="93" s="1"/>
  <c r="G72" i="93"/>
  <c r="H72" i="93" s="1"/>
  <c r="C72" i="93"/>
  <c r="B72" i="93"/>
  <c r="U72" i="93" s="1"/>
  <c r="V72" i="93" s="1"/>
  <c r="A72" i="93"/>
  <c r="C71" i="93"/>
  <c r="B71" i="93"/>
  <c r="S71" i="93" s="1"/>
  <c r="T71" i="93" s="1"/>
  <c r="A71" i="93"/>
  <c r="S70" i="93"/>
  <c r="T70" i="93" s="1"/>
  <c r="K70" i="93"/>
  <c r="L70" i="93" s="1"/>
  <c r="I70" i="93"/>
  <c r="J70" i="93" s="1"/>
  <c r="G70" i="93"/>
  <c r="H70" i="93" s="1"/>
  <c r="C70" i="93"/>
  <c r="B70" i="93"/>
  <c r="O70" i="93" s="1"/>
  <c r="P70" i="93" s="1"/>
  <c r="A70" i="93"/>
  <c r="S69" i="93"/>
  <c r="T69" i="93" s="1"/>
  <c r="O69" i="93"/>
  <c r="P69" i="93" s="1"/>
  <c r="K69" i="93"/>
  <c r="L69" i="93" s="1"/>
  <c r="I69" i="93"/>
  <c r="J69" i="93" s="1"/>
  <c r="G69" i="93"/>
  <c r="H69" i="93" s="1"/>
  <c r="C69" i="93"/>
  <c r="B69" i="93"/>
  <c r="U69" i="93" s="1"/>
  <c r="V69" i="93" s="1"/>
  <c r="A69" i="93"/>
  <c r="U68" i="93"/>
  <c r="V68" i="93" s="1"/>
  <c r="M68" i="93"/>
  <c r="N68" i="93" s="1"/>
  <c r="C68" i="93"/>
  <c r="B68" i="93"/>
  <c r="A68" i="93"/>
  <c r="I67" i="93"/>
  <c r="J67" i="93" s="1"/>
  <c r="C67" i="93"/>
  <c r="B67" i="93"/>
  <c r="O67" i="93" s="1"/>
  <c r="P67" i="93" s="1"/>
  <c r="A67" i="93"/>
  <c r="O66" i="93"/>
  <c r="P66" i="93" s="1"/>
  <c r="G66" i="93"/>
  <c r="H66" i="93" s="1"/>
  <c r="C66" i="93"/>
  <c r="B66" i="93"/>
  <c r="S66" i="93" s="1"/>
  <c r="T66" i="93" s="1"/>
  <c r="A66" i="93"/>
  <c r="S65" i="93"/>
  <c r="T65" i="93" s="1"/>
  <c r="O65" i="93"/>
  <c r="P65" i="93" s="1"/>
  <c r="K65" i="93"/>
  <c r="L65" i="93" s="1"/>
  <c r="G65" i="93"/>
  <c r="H65" i="93" s="1"/>
  <c r="C65" i="93"/>
  <c r="B65" i="93"/>
  <c r="I65" i="93" s="1"/>
  <c r="J65" i="93" s="1"/>
  <c r="A65" i="93"/>
  <c r="O64" i="93"/>
  <c r="P64" i="93" s="1"/>
  <c r="I64" i="93"/>
  <c r="J64" i="93" s="1"/>
  <c r="G64" i="93"/>
  <c r="H64" i="93" s="1"/>
  <c r="C64" i="93"/>
  <c r="B64" i="93"/>
  <c r="U64" i="93" s="1"/>
  <c r="V64" i="93" s="1"/>
  <c r="A64" i="93"/>
  <c r="C63" i="93"/>
  <c r="B63" i="93"/>
  <c r="S63" i="93" s="1"/>
  <c r="T63" i="93" s="1"/>
  <c r="A63" i="93"/>
  <c r="S62" i="93"/>
  <c r="T62" i="93" s="1"/>
  <c r="K62" i="93"/>
  <c r="L62" i="93" s="1"/>
  <c r="I62" i="93"/>
  <c r="J62" i="93" s="1"/>
  <c r="G62" i="93"/>
  <c r="H62" i="93" s="1"/>
  <c r="C62" i="93"/>
  <c r="B62" i="93"/>
  <c r="O62" i="93" s="1"/>
  <c r="P62" i="93" s="1"/>
  <c r="A62" i="93"/>
  <c r="S61" i="93"/>
  <c r="T61" i="93" s="1"/>
  <c r="O61" i="93"/>
  <c r="P61" i="93" s="1"/>
  <c r="K61" i="93"/>
  <c r="L61" i="93" s="1"/>
  <c r="I61" i="93"/>
  <c r="J61" i="93" s="1"/>
  <c r="G61" i="93"/>
  <c r="H61" i="93" s="1"/>
  <c r="C61" i="93"/>
  <c r="B61" i="93"/>
  <c r="U61" i="93" s="1"/>
  <c r="V61" i="93" s="1"/>
  <c r="A61" i="93"/>
  <c r="C60" i="93"/>
  <c r="B60" i="93"/>
  <c r="U60" i="93" s="1"/>
  <c r="V60" i="93" s="1"/>
  <c r="A60" i="93"/>
  <c r="I59" i="93"/>
  <c r="J59" i="93" s="1"/>
  <c r="C59" i="93"/>
  <c r="B59" i="93"/>
  <c r="O59" i="93" s="1"/>
  <c r="P59" i="93" s="1"/>
  <c r="A59" i="93"/>
  <c r="O58" i="93"/>
  <c r="P58" i="93" s="1"/>
  <c r="G58" i="93"/>
  <c r="H58" i="93" s="1"/>
  <c r="C58" i="93"/>
  <c r="B58" i="93"/>
  <c r="S58" i="93" s="1"/>
  <c r="T58" i="93" s="1"/>
  <c r="A58" i="93"/>
  <c r="S57" i="93"/>
  <c r="T57" i="93" s="1"/>
  <c r="O57" i="93"/>
  <c r="P57" i="93" s="1"/>
  <c r="K57" i="93"/>
  <c r="L57" i="93" s="1"/>
  <c r="G57" i="93"/>
  <c r="H57" i="93" s="1"/>
  <c r="C57" i="93"/>
  <c r="B57" i="93"/>
  <c r="I57" i="93" s="1"/>
  <c r="J57" i="93" s="1"/>
  <c r="A57" i="93"/>
  <c r="O56" i="93"/>
  <c r="P56" i="93" s="1"/>
  <c r="I56" i="93"/>
  <c r="J56" i="93" s="1"/>
  <c r="G56" i="93"/>
  <c r="H56" i="93" s="1"/>
  <c r="C56" i="93"/>
  <c r="B56" i="93"/>
  <c r="U56" i="93" s="1"/>
  <c r="V56" i="93" s="1"/>
  <c r="A56" i="93"/>
  <c r="C55" i="93"/>
  <c r="B55" i="93"/>
  <c r="S55" i="93" s="1"/>
  <c r="T55" i="93" s="1"/>
  <c r="A55" i="93"/>
  <c r="S54" i="93"/>
  <c r="T54" i="93" s="1"/>
  <c r="O54" i="93"/>
  <c r="P54" i="93" s="1"/>
  <c r="K54" i="93"/>
  <c r="L54" i="93" s="1"/>
  <c r="I54" i="93"/>
  <c r="J54" i="93" s="1"/>
  <c r="G54" i="93"/>
  <c r="H54" i="93" s="1"/>
  <c r="C54" i="93"/>
  <c r="B54" i="93"/>
  <c r="U54" i="93" s="1"/>
  <c r="V54" i="93" s="1"/>
  <c r="A54" i="93"/>
  <c r="S53" i="93"/>
  <c r="T53" i="93" s="1"/>
  <c r="O53" i="93"/>
  <c r="P53" i="93" s="1"/>
  <c r="K53" i="93"/>
  <c r="L53" i="93" s="1"/>
  <c r="I53" i="93"/>
  <c r="J53" i="93" s="1"/>
  <c r="G53" i="93"/>
  <c r="H53" i="93" s="1"/>
  <c r="C53" i="93"/>
  <c r="B53" i="93"/>
  <c r="U53" i="93" s="1"/>
  <c r="V53" i="93" s="1"/>
  <c r="A53" i="93"/>
  <c r="M52" i="93"/>
  <c r="N52" i="93" s="1"/>
  <c r="C52" i="93"/>
  <c r="B52" i="93"/>
  <c r="A52" i="93"/>
  <c r="I51" i="93"/>
  <c r="J51" i="93" s="1"/>
  <c r="C51" i="93"/>
  <c r="B51" i="93"/>
  <c r="O51" i="93" s="1"/>
  <c r="P51" i="93" s="1"/>
  <c r="A51" i="93"/>
  <c r="O50" i="93"/>
  <c r="G50" i="93"/>
  <c r="C50" i="93"/>
  <c r="B50" i="93"/>
  <c r="S50" i="93" s="1"/>
  <c r="T50" i="93" s="1"/>
  <c r="A50" i="93"/>
  <c r="S49" i="93"/>
  <c r="T49" i="93" s="1"/>
  <c r="O49" i="93"/>
  <c r="P49" i="93" s="1"/>
  <c r="K49" i="93"/>
  <c r="I49" i="93"/>
  <c r="G49" i="93"/>
  <c r="C49" i="93"/>
  <c r="B49" i="93"/>
  <c r="U49" i="93" s="1"/>
  <c r="A49" i="93"/>
  <c r="O48" i="93"/>
  <c r="P48" i="93" s="1"/>
  <c r="I48" i="93"/>
  <c r="J48" i="93" s="1"/>
  <c r="G48" i="93"/>
  <c r="H48" i="93" s="1"/>
  <c r="C48" i="93"/>
  <c r="B48" i="93"/>
  <c r="U48" i="93" s="1"/>
  <c r="V48" i="93" s="1"/>
  <c r="A48" i="93"/>
  <c r="U47" i="93"/>
  <c r="V47" i="93" s="1"/>
  <c r="C47" i="93"/>
  <c r="B47" i="93"/>
  <c r="M47" i="93" s="1"/>
  <c r="A47" i="93"/>
  <c r="S46" i="93"/>
  <c r="K46" i="93"/>
  <c r="L46" i="93" s="1"/>
  <c r="I46" i="93"/>
  <c r="C46" i="93"/>
  <c r="B46" i="93"/>
  <c r="O46" i="93" s="1"/>
  <c r="P46" i="93" s="1"/>
  <c r="A46" i="93"/>
  <c r="S45" i="93"/>
  <c r="O45" i="93"/>
  <c r="K45" i="93"/>
  <c r="G45" i="93"/>
  <c r="B45" i="93"/>
  <c r="U45" i="93" s="1"/>
  <c r="A45" i="93"/>
  <c r="S44" i="93"/>
  <c r="K44" i="93"/>
  <c r="B44" i="93"/>
  <c r="M44" i="93" s="1"/>
  <c r="A44" i="93"/>
  <c r="I43" i="93"/>
  <c r="B43" i="93"/>
  <c r="M43" i="93" s="1"/>
  <c r="A43" i="93"/>
  <c r="O42" i="93"/>
  <c r="M42" i="93"/>
  <c r="B42" i="93"/>
  <c r="G42" i="93" s="1"/>
  <c r="A42" i="93"/>
  <c r="S41" i="93"/>
  <c r="O41" i="93"/>
  <c r="K41" i="93"/>
  <c r="I41" i="93"/>
  <c r="G41" i="93"/>
  <c r="B41" i="93"/>
  <c r="U41" i="93" s="1"/>
  <c r="A41" i="93"/>
  <c r="S40" i="93"/>
  <c r="O40" i="93"/>
  <c r="K40" i="93"/>
  <c r="L40" i="93" s="1"/>
  <c r="I40" i="93"/>
  <c r="G40" i="93"/>
  <c r="C40" i="93"/>
  <c r="B40" i="93"/>
  <c r="U40" i="93" s="1"/>
  <c r="A40" i="93"/>
  <c r="U39" i="93"/>
  <c r="V39" i="93" s="1"/>
  <c r="S39" i="93"/>
  <c r="T39" i="93" s="1"/>
  <c r="M39" i="93"/>
  <c r="N39" i="93" s="1"/>
  <c r="I39" i="93"/>
  <c r="J39" i="93" s="1"/>
  <c r="C39" i="93"/>
  <c r="B39" i="93"/>
  <c r="K39" i="93" s="1"/>
  <c r="L39" i="93" s="1"/>
  <c r="A39" i="93"/>
  <c r="U38" i="93"/>
  <c r="V38" i="93" s="1"/>
  <c r="O38" i="93"/>
  <c r="P38" i="93" s="1"/>
  <c r="G38" i="93"/>
  <c r="H38" i="93" s="1"/>
  <c r="C38" i="93"/>
  <c r="B38" i="93"/>
  <c r="I38" i="93" s="1"/>
  <c r="J38" i="93" s="1"/>
  <c r="A38" i="93"/>
  <c r="I37" i="93"/>
  <c r="J37" i="93" s="1"/>
  <c r="C37" i="93"/>
  <c r="B37" i="93"/>
  <c r="U37" i="93" s="1"/>
  <c r="V37" i="93" s="1"/>
  <c r="A37" i="93"/>
  <c r="S36" i="93"/>
  <c r="T36" i="93" s="1"/>
  <c r="O36" i="93"/>
  <c r="P36" i="93" s="1"/>
  <c r="K36" i="93"/>
  <c r="I36" i="93"/>
  <c r="G36" i="93"/>
  <c r="H36" i="93" s="1"/>
  <c r="C36" i="93"/>
  <c r="B36" i="93"/>
  <c r="U36" i="93" s="1"/>
  <c r="V36" i="93" s="1"/>
  <c r="A36" i="93"/>
  <c r="S35" i="93"/>
  <c r="T35" i="93" s="1"/>
  <c r="O35" i="93"/>
  <c r="P35" i="93" s="1"/>
  <c r="K35" i="93"/>
  <c r="L35" i="93" s="1"/>
  <c r="I35" i="93"/>
  <c r="J35" i="93" s="1"/>
  <c r="G35" i="93"/>
  <c r="H35" i="93" s="1"/>
  <c r="C35" i="93"/>
  <c r="B35" i="93"/>
  <c r="U35" i="93" s="1"/>
  <c r="V35" i="93" s="1"/>
  <c r="A35" i="93"/>
  <c r="S34" i="93"/>
  <c r="T34" i="93" s="1"/>
  <c r="K34" i="93"/>
  <c r="L34" i="93" s="1"/>
  <c r="I34" i="93"/>
  <c r="J34" i="93" s="1"/>
  <c r="C34" i="93"/>
  <c r="B34" i="93"/>
  <c r="U34" i="93" s="1"/>
  <c r="V34" i="93" s="1"/>
  <c r="A34" i="93"/>
  <c r="M33" i="93"/>
  <c r="N33" i="93" s="1"/>
  <c r="C33" i="93"/>
  <c r="B33" i="93"/>
  <c r="A33" i="93"/>
  <c r="U32" i="93"/>
  <c r="B32" i="93"/>
  <c r="A32" i="93"/>
  <c r="S31" i="93"/>
  <c r="O31" i="93"/>
  <c r="K31" i="93"/>
  <c r="G31" i="93"/>
  <c r="B31" i="93"/>
  <c r="I31" i="93" s="1"/>
  <c r="A31" i="93"/>
  <c r="B30" i="93"/>
  <c r="M30" i="93" s="1"/>
  <c r="A30" i="93"/>
  <c r="I29" i="93"/>
  <c r="B29" i="93"/>
  <c r="M29" i="93" s="1"/>
  <c r="A29" i="93"/>
  <c r="S28" i="93"/>
  <c r="O28" i="93"/>
  <c r="K28" i="93"/>
  <c r="I28" i="93"/>
  <c r="J28" i="93" s="1"/>
  <c r="G28" i="93"/>
  <c r="C28" i="93"/>
  <c r="B28" i="93"/>
  <c r="U28" i="93" s="1"/>
  <c r="V28" i="93" s="1"/>
  <c r="A28" i="93"/>
  <c r="S27" i="93"/>
  <c r="T27" i="93" s="1"/>
  <c r="O27" i="93"/>
  <c r="P27" i="93" s="1"/>
  <c r="K27" i="93"/>
  <c r="L27" i="93" s="1"/>
  <c r="I27" i="93"/>
  <c r="J27" i="93" s="1"/>
  <c r="G27" i="93"/>
  <c r="H27" i="93" s="1"/>
  <c r="C27" i="93"/>
  <c r="B27" i="93"/>
  <c r="U27" i="93" s="1"/>
  <c r="V27" i="93" s="1"/>
  <c r="A27" i="93"/>
  <c r="S26" i="93"/>
  <c r="T26" i="93" s="1"/>
  <c r="K26" i="93"/>
  <c r="L26" i="93" s="1"/>
  <c r="I26" i="93"/>
  <c r="J26" i="93" s="1"/>
  <c r="C26" i="93"/>
  <c r="B26" i="93"/>
  <c r="U26" i="93" s="1"/>
  <c r="V26" i="93" s="1"/>
  <c r="A26" i="93"/>
  <c r="I25" i="93"/>
  <c r="J25" i="93" s="1"/>
  <c r="C25" i="93"/>
  <c r="B25" i="93"/>
  <c r="A25" i="93"/>
  <c r="C24" i="93"/>
  <c r="B24" i="93"/>
  <c r="S24" i="93" s="1"/>
  <c r="T24" i="93" s="1"/>
  <c r="A24" i="93"/>
  <c r="S23" i="93"/>
  <c r="T23" i="93" s="1"/>
  <c r="O23" i="93"/>
  <c r="P23" i="93" s="1"/>
  <c r="K23" i="93"/>
  <c r="L23" i="93" s="1"/>
  <c r="G23" i="93"/>
  <c r="H23" i="93" s="1"/>
  <c r="C23" i="93"/>
  <c r="B23" i="93"/>
  <c r="I23" i="93" s="1"/>
  <c r="J23" i="93" s="1"/>
  <c r="A23" i="93"/>
  <c r="O22" i="93"/>
  <c r="P22" i="93" s="1"/>
  <c r="M22" i="93"/>
  <c r="N22" i="93" s="1"/>
  <c r="I22" i="93"/>
  <c r="J22" i="93" s="1"/>
  <c r="G22" i="93"/>
  <c r="H22" i="93" s="1"/>
  <c r="C22" i="93"/>
  <c r="B22" i="93"/>
  <c r="A22" i="93"/>
  <c r="U21" i="93"/>
  <c r="V21" i="93" s="1"/>
  <c r="M21" i="93"/>
  <c r="I21" i="93"/>
  <c r="J21" i="93" s="1"/>
  <c r="C21" i="93"/>
  <c r="B21" i="93"/>
  <c r="A21" i="93"/>
  <c r="S20" i="93"/>
  <c r="O20" i="93"/>
  <c r="K20" i="93"/>
  <c r="I20" i="93"/>
  <c r="G20" i="93"/>
  <c r="B20" i="93"/>
  <c r="U20" i="93" s="1"/>
  <c r="A20" i="93"/>
  <c r="S19" i="93"/>
  <c r="O19" i="93"/>
  <c r="K19" i="93"/>
  <c r="I19" i="93"/>
  <c r="G19" i="93"/>
  <c r="B19" i="93"/>
  <c r="U19" i="93" s="1"/>
  <c r="A19" i="93"/>
  <c r="U18" i="93"/>
  <c r="V18" i="93" s="1"/>
  <c r="M18" i="93"/>
  <c r="N18" i="93" s="1"/>
  <c r="I18" i="93"/>
  <c r="J18" i="93" s="1"/>
  <c r="C18" i="93"/>
  <c r="B18" i="93"/>
  <c r="A18" i="93"/>
  <c r="I17" i="93"/>
  <c r="J17" i="93" s="1"/>
  <c r="C17" i="93"/>
  <c r="B17" i="93"/>
  <c r="M17" i="93" s="1"/>
  <c r="N17" i="93" s="1"/>
  <c r="A17" i="93"/>
  <c r="U16" i="93"/>
  <c r="V16" i="93" s="1"/>
  <c r="S16" i="93"/>
  <c r="O16" i="93"/>
  <c r="M16" i="93"/>
  <c r="K16" i="93"/>
  <c r="G16" i="93"/>
  <c r="H16" i="93" s="1"/>
  <c r="C16" i="93"/>
  <c r="B16" i="93"/>
  <c r="I16" i="93" s="1"/>
  <c r="A16" i="93"/>
  <c r="S15" i="93"/>
  <c r="T15" i="93" s="1"/>
  <c r="O15" i="93"/>
  <c r="P15" i="93" s="1"/>
  <c r="K15" i="93"/>
  <c r="L15" i="93" s="1"/>
  <c r="G15" i="93"/>
  <c r="C15" i="93"/>
  <c r="B15" i="93"/>
  <c r="I15" i="93" s="1"/>
  <c r="J15" i="93" s="1"/>
  <c r="A15" i="93"/>
  <c r="C14" i="93"/>
  <c r="B14" i="93"/>
  <c r="I14" i="93" s="1"/>
  <c r="J14" i="93" s="1"/>
  <c r="A14" i="93"/>
  <c r="U13" i="93"/>
  <c r="V13" i="93" s="1"/>
  <c r="M13" i="93"/>
  <c r="N13" i="93" s="1"/>
  <c r="I13" i="93"/>
  <c r="J13" i="93" s="1"/>
  <c r="C13" i="93"/>
  <c r="B13" i="93"/>
  <c r="A13" i="93"/>
  <c r="S12" i="93"/>
  <c r="T12" i="93" s="1"/>
  <c r="O12" i="93"/>
  <c r="P12" i="93" s="1"/>
  <c r="K12" i="93"/>
  <c r="L12" i="93" s="1"/>
  <c r="I12" i="93"/>
  <c r="J12" i="93" s="1"/>
  <c r="G12" i="93"/>
  <c r="H12" i="93" s="1"/>
  <c r="C12" i="93"/>
  <c r="B12" i="93"/>
  <c r="U12" i="93" s="1"/>
  <c r="V12" i="93" s="1"/>
  <c r="A12" i="93"/>
  <c r="S11" i="93"/>
  <c r="T11" i="93" s="1"/>
  <c r="O11" i="93"/>
  <c r="P11" i="93" s="1"/>
  <c r="K11" i="93"/>
  <c r="L11" i="93" s="1"/>
  <c r="I11" i="93"/>
  <c r="J11" i="93" s="1"/>
  <c r="G11" i="93"/>
  <c r="H11" i="93" s="1"/>
  <c r="C11" i="93"/>
  <c r="B11" i="93"/>
  <c r="U11" i="93" s="1"/>
  <c r="V11" i="93" s="1"/>
  <c r="A11" i="93"/>
  <c r="S10" i="93"/>
  <c r="B10" i="93"/>
  <c r="M10" i="93" s="1"/>
  <c r="A10" i="93"/>
  <c r="E7" i="93"/>
  <c r="X6" i="93"/>
  <c r="Q2" i="93"/>
  <c r="Q26" i="93" s="1"/>
  <c r="R26" i="93" s="1"/>
  <c r="S78" i="92"/>
  <c r="T78" i="92" s="1"/>
  <c r="K78" i="92"/>
  <c r="L78" i="92" s="1"/>
  <c r="I78" i="92"/>
  <c r="J78" i="92" s="1"/>
  <c r="C78" i="92"/>
  <c r="B78" i="92"/>
  <c r="O78" i="92" s="1"/>
  <c r="P78" i="92" s="1"/>
  <c r="A78" i="92"/>
  <c r="S77" i="92"/>
  <c r="K77" i="92"/>
  <c r="I77" i="92"/>
  <c r="C77" i="92"/>
  <c r="B77" i="92"/>
  <c r="U77" i="92" s="1"/>
  <c r="V77" i="92" s="1"/>
  <c r="A77" i="92"/>
  <c r="C76" i="92"/>
  <c r="B76" i="92"/>
  <c r="A76" i="92"/>
  <c r="S75" i="92"/>
  <c r="T75" i="92" s="1"/>
  <c r="K75" i="92"/>
  <c r="L75" i="92" s="1"/>
  <c r="I75" i="92"/>
  <c r="J75" i="92" s="1"/>
  <c r="C75" i="92"/>
  <c r="B75" i="92"/>
  <c r="O75" i="92" s="1"/>
  <c r="P75" i="92" s="1"/>
  <c r="A75" i="92"/>
  <c r="U74" i="92"/>
  <c r="V74" i="92" s="1"/>
  <c r="O74" i="92"/>
  <c r="P74" i="92" s="1"/>
  <c r="M74" i="92"/>
  <c r="N74" i="92" s="1"/>
  <c r="G74" i="92"/>
  <c r="H74" i="92" s="1"/>
  <c r="C74" i="92"/>
  <c r="B74" i="92"/>
  <c r="A74" i="92"/>
  <c r="C73" i="92"/>
  <c r="B73" i="92"/>
  <c r="I73" i="92" s="1"/>
  <c r="J73" i="92" s="1"/>
  <c r="A73" i="92"/>
  <c r="O72" i="92"/>
  <c r="P72" i="92" s="1"/>
  <c r="I72" i="92"/>
  <c r="J72" i="92" s="1"/>
  <c r="G72" i="92"/>
  <c r="C72" i="92"/>
  <c r="B72" i="92"/>
  <c r="U72" i="92" s="1"/>
  <c r="V72" i="92" s="1"/>
  <c r="A72" i="92"/>
  <c r="C71" i="92"/>
  <c r="B71" i="92"/>
  <c r="S71" i="92" s="1"/>
  <c r="T71" i="92" s="1"/>
  <c r="A71" i="92"/>
  <c r="S70" i="92"/>
  <c r="K70" i="92"/>
  <c r="I70" i="92"/>
  <c r="C70" i="92"/>
  <c r="B70" i="92"/>
  <c r="O70" i="92" s="1"/>
  <c r="A70" i="92"/>
  <c r="O69" i="92"/>
  <c r="P69" i="92" s="1"/>
  <c r="I69" i="92"/>
  <c r="J69" i="92" s="1"/>
  <c r="G69" i="92"/>
  <c r="H69" i="92" s="1"/>
  <c r="C69" i="92"/>
  <c r="B69" i="92"/>
  <c r="U69" i="92" s="1"/>
  <c r="V69" i="92" s="1"/>
  <c r="A69" i="92"/>
  <c r="U68" i="92"/>
  <c r="O68" i="92"/>
  <c r="M68" i="92"/>
  <c r="G68" i="92"/>
  <c r="C68" i="92"/>
  <c r="B68" i="92"/>
  <c r="S68" i="92" s="1"/>
  <c r="T68" i="92" s="1"/>
  <c r="A68" i="92"/>
  <c r="U67" i="92"/>
  <c r="S67" i="92"/>
  <c r="T67" i="92" s="1"/>
  <c r="M67" i="92"/>
  <c r="K67" i="92"/>
  <c r="L67" i="92" s="1"/>
  <c r="C67" i="92"/>
  <c r="B67" i="92"/>
  <c r="I67" i="92" s="1"/>
  <c r="A67" i="92"/>
  <c r="S66" i="92"/>
  <c r="K66" i="92"/>
  <c r="I66" i="92"/>
  <c r="J66" i="92" s="1"/>
  <c r="C66" i="92"/>
  <c r="B66" i="92"/>
  <c r="O66" i="92" s="1"/>
  <c r="A66" i="92"/>
  <c r="O65" i="92"/>
  <c r="P65" i="92" s="1"/>
  <c r="I65" i="92"/>
  <c r="G65" i="92"/>
  <c r="H65" i="92" s="1"/>
  <c r="C65" i="92"/>
  <c r="B65" i="92"/>
  <c r="U65" i="92" s="1"/>
  <c r="V65" i="92" s="1"/>
  <c r="A65" i="92"/>
  <c r="U64" i="92"/>
  <c r="O64" i="92"/>
  <c r="M64" i="92"/>
  <c r="K64" i="92"/>
  <c r="G64" i="92"/>
  <c r="C64" i="92"/>
  <c r="B64" i="92"/>
  <c r="S64" i="92" s="1"/>
  <c r="A64" i="92"/>
  <c r="U63" i="92"/>
  <c r="S63" i="92"/>
  <c r="T63" i="92" s="1"/>
  <c r="M63" i="92"/>
  <c r="K63" i="92"/>
  <c r="C63" i="92"/>
  <c r="B63" i="92"/>
  <c r="I63" i="92" s="1"/>
  <c r="A63" i="92"/>
  <c r="S62" i="92"/>
  <c r="O62" i="92"/>
  <c r="K62" i="92"/>
  <c r="I62" i="92"/>
  <c r="J62" i="92" s="1"/>
  <c r="G62" i="92"/>
  <c r="C62" i="92"/>
  <c r="B62" i="92"/>
  <c r="U62" i="92" s="1"/>
  <c r="A62" i="92"/>
  <c r="O61" i="92"/>
  <c r="P61" i="92" s="1"/>
  <c r="I61" i="92"/>
  <c r="J61" i="92" s="1"/>
  <c r="G61" i="92"/>
  <c r="H61" i="92" s="1"/>
  <c r="C61" i="92"/>
  <c r="B61" i="92"/>
  <c r="U61" i="92" s="1"/>
  <c r="V61" i="92" s="1"/>
  <c r="A61" i="92"/>
  <c r="I60" i="92"/>
  <c r="C60" i="92"/>
  <c r="B60" i="92"/>
  <c r="S60" i="92" s="1"/>
  <c r="T60" i="92" s="1"/>
  <c r="A60" i="92"/>
  <c r="S59" i="92"/>
  <c r="T59" i="92" s="1"/>
  <c r="O59" i="92"/>
  <c r="P59" i="92" s="1"/>
  <c r="K59" i="92"/>
  <c r="L59" i="92" s="1"/>
  <c r="I59" i="92"/>
  <c r="J59" i="92" s="1"/>
  <c r="G59" i="92"/>
  <c r="H59" i="92" s="1"/>
  <c r="C59" i="92"/>
  <c r="B59" i="92"/>
  <c r="U59" i="92" s="1"/>
  <c r="V59" i="92" s="1"/>
  <c r="A59" i="92"/>
  <c r="S58" i="92"/>
  <c r="K58" i="92"/>
  <c r="C58" i="92"/>
  <c r="B58" i="92"/>
  <c r="U58" i="92" s="1"/>
  <c r="V58" i="92" s="1"/>
  <c r="A58" i="92"/>
  <c r="U57" i="92"/>
  <c r="V57" i="92" s="1"/>
  <c r="S57" i="92"/>
  <c r="T57" i="92" s="1"/>
  <c r="M57" i="92"/>
  <c r="N57" i="92" s="1"/>
  <c r="K57" i="92"/>
  <c r="L57" i="92" s="1"/>
  <c r="C57" i="92"/>
  <c r="B57" i="92"/>
  <c r="A57" i="92"/>
  <c r="C56" i="92"/>
  <c r="B56" i="92"/>
  <c r="O56" i="92" s="1"/>
  <c r="P56" i="92" s="1"/>
  <c r="A56" i="92"/>
  <c r="U55" i="92"/>
  <c r="V55" i="92" s="1"/>
  <c r="O55" i="92"/>
  <c r="P55" i="92" s="1"/>
  <c r="M55" i="92"/>
  <c r="N55" i="92" s="1"/>
  <c r="G55" i="92"/>
  <c r="C55" i="92"/>
  <c r="B55" i="92"/>
  <c r="A55" i="92"/>
  <c r="O54" i="92"/>
  <c r="P54" i="92" s="1"/>
  <c r="K54" i="92"/>
  <c r="L54" i="92" s="1"/>
  <c r="I54" i="92"/>
  <c r="J54" i="92" s="1"/>
  <c r="G54" i="92"/>
  <c r="H54" i="92" s="1"/>
  <c r="C54" i="92"/>
  <c r="B54" i="92"/>
  <c r="U54" i="92" s="1"/>
  <c r="V54" i="92" s="1"/>
  <c r="A54" i="92"/>
  <c r="O53" i="92"/>
  <c r="P53" i="92" s="1"/>
  <c r="I53" i="92"/>
  <c r="J53" i="92" s="1"/>
  <c r="G53" i="92"/>
  <c r="H53" i="92" s="1"/>
  <c r="C53" i="92"/>
  <c r="B53" i="92"/>
  <c r="U53" i="92" s="1"/>
  <c r="V53" i="92" s="1"/>
  <c r="A53" i="92"/>
  <c r="S52" i="92"/>
  <c r="K52" i="92"/>
  <c r="I52" i="92"/>
  <c r="C52" i="92"/>
  <c r="B52" i="92"/>
  <c r="O52" i="92" s="1"/>
  <c r="A52" i="92"/>
  <c r="S51" i="92"/>
  <c r="T51" i="92" s="1"/>
  <c r="O51" i="92"/>
  <c r="P51" i="92" s="1"/>
  <c r="K51" i="92"/>
  <c r="L51" i="92" s="1"/>
  <c r="I51" i="92"/>
  <c r="J51" i="92" s="1"/>
  <c r="G51" i="92"/>
  <c r="H51" i="92" s="1"/>
  <c r="C51" i="92"/>
  <c r="B51" i="92"/>
  <c r="U51" i="92" s="1"/>
  <c r="V51" i="92" s="1"/>
  <c r="A51" i="92"/>
  <c r="C50" i="92"/>
  <c r="B50" i="92"/>
  <c r="U50" i="92" s="1"/>
  <c r="A50" i="92"/>
  <c r="U49" i="92"/>
  <c r="S49" i="92"/>
  <c r="M49" i="92"/>
  <c r="K49" i="92"/>
  <c r="I49" i="92"/>
  <c r="J49" i="92" s="1"/>
  <c r="G49" i="92"/>
  <c r="C49" i="92"/>
  <c r="B49" i="92"/>
  <c r="O49" i="92" s="1"/>
  <c r="P49" i="92" s="1"/>
  <c r="A49" i="92"/>
  <c r="S48" i="92"/>
  <c r="O48" i="92"/>
  <c r="K48" i="92"/>
  <c r="I48" i="92"/>
  <c r="G48" i="92"/>
  <c r="C48" i="92"/>
  <c r="B48" i="92"/>
  <c r="U48" i="92" s="1"/>
  <c r="A48" i="92"/>
  <c r="U47" i="92"/>
  <c r="O47" i="92"/>
  <c r="M47" i="92"/>
  <c r="I47" i="92"/>
  <c r="G47" i="92"/>
  <c r="C47" i="92"/>
  <c r="B47" i="92"/>
  <c r="S47" i="92" s="1"/>
  <c r="A47" i="92"/>
  <c r="O46" i="92"/>
  <c r="P46" i="92" s="1"/>
  <c r="M46" i="92"/>
  <c r="N46" i="92" s="1"/>
  <c r="C46" i="92"/>
  <c r="B46" i="92"/>
  <c r="I46" i="92" s="1"/>
  <c r="J46" i="92" s="1"/>
  <c r="A46" i="92"/>
  <c r="I45" i="92"/>
  <c r="G45" i="92"/>
  <c r="B45" i="92"/>
  <c r="O45" i="92" s="1"/>
  <c r="A45" i="92"/>
  <c r="M44" i="92"/>
  <c r="B44" i="92"/>
  <c r="O44" i="92" s="1"/>
  <c r="A44" i="92"/>
  <c r="S43" i="92"/>
  <c r="K43" i="92"/>
  <c r="I43" i="92"/>
  <c r="G43" i="92"/>
  <c r="B43" i="92"/>
  <c r="O43" i="92" s="1"/>
  <c r="A43" i="92"/>
  <c r="B42" i="92"/>
  <c r="A42" i="92"/>
  <c r="U41" i="92"/>
  <c r="S41" i="92"/>
  <c r="M41" i="92"/>
  <c r="K41" i="92"/>
  <c r="I41" i="92"/>
  <c r="B41" i="92"/>
  <c r="A41" i="92"/>
  <c r="C40" i="92"/>
  <c r="B40" i="92"/>
  <c r="A40" i="92"/>
  <c r="I39" i="92"/>
  <c r="J39" i="92" s="1"/>
  <c r="C39" i="92"/>
  <c r="B39" i="92"/>
  <c r="O39" i="92" s="1"/>
  <c r="P39" i="92" s="1"/>
  <c r="A39" i="92"/>
  <c r="S38" i="92"/>
  <c r="O38" i="92"/>
  <c r="K38" i="92"/>
  <c r="I38" i="92"/>
  <c r="G38" i="92"/>
  <c r="H38" i="92" s="1"/>
  <c r="C38" i="92"/>
  <c r="B38" i="92"/>
  <c r="U38" i="92" s="1"/>
  <c r="V38" i="92" s="1"/>
  <c r="A38" i="92"/>
  <c r="S37" i="92"/>
  <c r="T37" i="92" s="1"/>
  <c r="O37" i="92"/>
  <c r="P37" i="92" s="1"/>
  <c r="K37" i="92"/>
  <c r="L37" i="92" s="1"/>
  <c r="G37" i="92"/>
  <c r="H37" i="92" s="1"/>
  <c r="C37" i="92"/>
  <c r="B37" i="92"/>
  <c r="I37" i="92" s="1"/>
  <c r="J37" i="92" s="1"/>
  <c r="A37" i="92"/>
  <c r="I36" i="92"/>
  <c r="J36" i="92" s="1"/>
  <c r="C36" i="92"/>
  <c r="B36" i="92"/>
  <c r="O36" i="92" s="1"/>
  <c r="P36" i="92" s="1"/>
  <c r="A36" i="92"/>
  <c r="M35" i="92"/>
  <c r="N35" i="92" s="1"/>
  <c r="C35" i="92"/>
  <c r="B35" i="92"/>
  <c r="U35" i="92" s="1"/>
  <c r="V35" i="92" s="1"/>
  <c r="A35" i="92"/>
  <c r="S34" i="92"/>
  <c r="T34" i="92" s="1"/>
  <c r="O34" i="92"/>
  <c r="P34" i="92" s="1"/>
  <c r="K34" i="92"/>
  <c r="L34" i="92" s="1"/>
  <c r="G34" i="92"/>
  <c r="H34" i="92" s="1"/>
  <c r="C34" i="92"/>
  <c r="B34" i="92"/>
  <c r="I34" i="92" s="1"/>
  <c r="J34" i="92" s="1"/>
  <c r="A34" i="92"/>
  <c r="S33" i="92"/>
  <c r="T33" i="92" s="1"/>
  <c r="O33" i="92"/>
  <c r="P33" i="92" s="1"/>
  <c r="K33" i="92"/>
  <c r="L33" i="92" s="1"/>
  <c r="I33" i="92"/>
  <c r="J33" i="92" s="1"/>
  <c r="G33" i="92"/>
  <c r="H33" i="92" s="1"/>
  <c r="C33" i="92"/>
  <c r="B33" i="92"/>
  <c r="U33" i="92" s="1"/>
  <c r="V33" i="92" s="1"/>
  <c r="A33" i="92"/>
  <c r="M32" i="92"/>
  <c r="B32" i="92"/>
  <c r="U32" i="92" s="1"/>
  <c r="A32" i="92"/>
  <c r="U31" i="92"/>
  <c r="I31" i="92"/>
  <c r="B31" i="92"/>
  <c r="A31" i="92"/>
  <c r="S30" i="92"/>
  <c r="O30" i="92"/>
  <c r="K30" i="92"/>
  <c r="G30" i="92"/>
  <c r="B30" i="92"/>
  <c r="U30" i="92" s="1"/>
  <c r="A30" i="92"/>
  <c r="S29" i="92"/>
  <c r="O29" i="92"/>
  <c r="K29" i="92"/>
  <c r="G29" i="92"/>
  <c r="B29" i="92"/>
  <c r="I29" i="92" s="1"/>
  <c r="A29" i="92"/>
  <c r="I28" i="92"/>
  <c r="J28" i="92" s="1"/>
  <c r="C28" i="92"/>
  <c r="B28" i="92"/>
  <c r="O28" i="92" s="1"/>
  <c r="P28" i="92" s="1"/>
  <c r="A28" i="92"/>
  <c r="U27" i="92"/>
  <c r="V27" i="92" s="1"/>
  <c r="I27" i="92"/>
  <c r="J27" i="92" s="1"/>
  <c r="C27" i="92"/>
  <c r="B27" i="92"/>
  <c r="A27" i="92"/>
  <c r="S26" i="92"/>
  <c r="O26" i="92"/>
  <c r="P26" i="92" s="1"/>
  <c r="K26" i="92"/>
  <c r="L26" i="92" s="1"/>
  <c r="I26" i="92"/>
  <c r="J26" i="92" s="1"/>
  <c r="G26" i="92"/>
  <c r="H26" i="92" s="1"/>
  <c r="C26" i="92"/>
  <c r="B26" i="92"/>
  <c r="U26" i="92" s="1"/>
  <c r="V26" i="92" s="1"/>
  <c r="A26" i="92"/>
  <c r="S25" i="92"/>
  <c r="T25" i="92" s="1"/>
  <c r="O25" i="92"/>
  <c r="P25" i="92" s="1"/>
  <c r="K25" i="92"/>
  <c r="L25" i="92" s="1"/>
  <c r="I25" i="92"/>
  <c r="J25" i="92" s="1"/>
  <c r="G25" i="92"/>
  <c r="H25" i="92" s="1"/>
  <c r="C25" i="92"/>
  <c r="B25" i="92"/>
  <c r="U25" i="92" s="1"/>
  <c r="V25" i="92" s="1"/>
  <c r="A25" i="92"/>
  <c r="C24" i="92"/>
  <c r="B24" i="92"/>
  <c r="U24" i="92" s="1"/>
  <c r="V24" i="92" s="1"/>
  <c r="A24" i="92"/>
  <c r="U23" i="92"/>
  <c r="M23" i="92"/>
  <c r="I23" i="92"/>
  <c r="J23" i="92" s="1"/>
  <c r="C23" i="92"/>
  <c r="B23" i="92"/>
  <c r="A23" i="92"/>
  <c r="S22" i="92"/>
  <c r="O22" i="92"/>
  <c r="P22" i="92" s="1"/>
  <c r="K22" i="92"/>
  <c r="G22" i="92"/>
  <c r="C22" i="92"/>
  <c r="B22" i="92"/>
  <c r="U22" i="92" s="1"/>
  <c r="A22" i="92"/>
  <c r="S21" i="92"/>
  <c r="T21" i="92" s="1"/>
  <c r="O21" i="92"/>
  <c r="P21" i="92" s="1"/>
  <c r="K21" i="92"/>
  <c r="L21" i="92" s="1"/>
  <c r="G21" i="92"/>
  <c r="H21" i="92" s="1"/>
  <c r="C21" i="92"/>
  <c r="B21" i="92"/>
  <c r="I21" i="92" s="1"/>
  <c r="J21" i="92" s="1"/>
  <c r="A21" i="92"/>
  <c r="B20" i="92"/>
  <c r="A20" i="92"/>
  <c r="M19" i="92"/>
  <c r="I19" i="92"/>
  <c r="B19" i="92"/>
  <c r="A19" i="92"/>
  <c r="S18" i="92"/>
  <c r="O18" i="92"/>
  <c r="P18" i="92" s="1"/>
  <c r="K18" i="92"/>
  <c r="I18" i="92"/>
  <c r="J18" i="92" s="1"/>
  <c r="G18" i="92"/>
  <c r="H18" i="92" s="1"/>
  <c r="C18" i="92"/>
  <c r="B18" i="92"/>
  <c r="U18" i="92" s="1"/>
  <c r="V18" i="92" s="1"/>
  <c r="A18" i="92"/>
  <c r="S17" i="92"/>
  <c r="T17" i="92" s="1"/>
  <c r="O17" i="92"/>
  <c r="P17" i="92" s="1"/>
  <c r="K17" i="92"/>
  <c r="L17" i="92" s="1"/>
  <c r="I17" i="92"/>
  <c r="J17" i="92" s="1"/>
  <c r="G17" i="92"/>
  <c r="C17" i="92"/>
  <c r="B17" i="92"/>
  <c r="U17" i="92" s="1"/>
  <c r="V17" i="92" s="1"/>
  <c r="A17" i="92"/>
  <c r="S16" i="92"/>
  <c r="T16" i="92" s="1"/>
  <c r="M16" i="92"/>
  <c r="N16" i="92" s="1"/>
  <c r="C16" i="92"/>
  <c r="B16" i="92"/>
  <c r="A16" i="92"/>
  <c r="M15" i="92"/>
  <c r="N15" i="92" s="1"/>
  <c r="C15" i="92"/>
  <c r="B15" i="92"/>
  <c r="A15" i="92"/>
  <c r="C14" i="92"/>
  <c r="B14" i="92"/>
  <c r="I14" i="92" s="1"/>
  <c r="J14" i="92" s="1"/>
  <c r="A14" i="92"/>
  <c r="C13" i="92"/>
  <c r="B13" i="92"/>
  <c r="I13" i="92" s="1"/>
  <c r="J13" i="92" s="1"/>
  <c r="A13" i="92"/>
  <c r="U12" i="92"/>
  <c r="V12" i="92" s="1"/>
  <c r="S12" i="92"/>
  <c r="T12" i="92" s="1"/>
  <c r="I12" i="92"/>
  <c r="J12" i="92" s="1"/>
  <c r="C12" i="92"/>
  <c r="B12" i="92"/>
  <c r="G12" i="92" s="1"/>
  <c r="A12" i="92"/>
  <c r="U11" i="92"/>
  <c r="V11" i="92" s="1"/>
  <c r="M11" i="92"/>
  <c r="N11" i="92" s="1"/>
  <c r="G11" i="92"/>
  <c r="H11" i="92" s="1"/>
  <c r="C11" i="92"/>
  <c r="B11" i="92"/>
  <c r="A11" i="92"/>
  <c r="I10" i="92"/>
  <c r="B10" i="92"/>
  <c r="O10" i="92" s="1"/>
  <c r="A10" i="92"/>
  <c r="E7" i="92"/>
  <c r="X6" i="92"/>
  <c r="Q2" i="92"/>
  <c r="Q48" i="92" s="1"/>
  <c r="T53" i="2"/>
  <c r="S53" i="2"/>
  <c r="X48" i="2"/>
  <c r="V48" i="2"/>
  <c r="U48" i="2"/>
  <c r="AA53" i="2"/>
  <c r="Z53" i="2"/>
  <c r="Y48" i="2"/>
  <c r="AD48" i="2"/>
  <c r="R48" i="2"/>
  <c r="R53" i="2"/>
  <c r="AF53" i="2"/>
  <c r="AE53" i="2"/>
  <c r="Q52" i="2"/>
  <c r="AB52" i="2"/>
  <c r="AE55" i="2"/>
  <c r="AE60" i="2"/>
  <c r="AF63" i="2"/>
  <c r="AM66" i="2"/>
  <c r="AL66" i="2"/>
  <c r="AK66" i="2"/>
  <c r="AJ66" i="2"/>
  <c r="AE69" i="2"/>
  <c r="Y73" i="2"/>
  <c r="AF75" i="2"/>
  <c r="AB77" i="2"/>
  <c r="A2" i="1"/>
  <c r="AB83" i="2"/>
  <c r="Y83" i="2"/>
  <c r="Y93" i="2"/>
  <c r="AE95" i="2"/>
  <c r="AE116" i="2"/>
  <c r="AE159" i="2"/>
  <c r="AE190" i="2"/>
  <c r="AF33" i="2"/>
  <c r="AG33" i="2"/>
  <c r="AH33" i="2"/>
  <c r="AI33" i="2"/>
  <c r="AC43" i="2"/>
  <c r="AC42" i="2"/>
  <c r="AB42" i="2"/>
  <c r="Y35" i="2"/>
  <c r="AE75" i="2"/>
  <c r="AI66" i="2"/>
  <c r="AH66" i="2"/>
  <c r="AG66" i="2"/>
  <c r="AF66" i="2"/>
  <c r="AE66" i="2"/>
  <c r="AC63" i="2"/>
  <c r="AB63" i="2"/>
  <c r="AE63" i="2"/>
  <c r="Y53" i="2"/>
  <c r="Q53" i="2"/>
  <c r="AG48" i="2"/>
  <c r="AF48" i="2"/>
  <c r="Q48" i="2"/>
  <c r="Q33" i="2"/>
  <c r="AC56" i="3"/>
  <c r="AC54" i="3"/>
  <c r="AC52" i="3"/>
  <c r="A602" i="74"/>
  <c r="A601" i="74"/>
  <c r="A600" i="74"/>
  <c r="A599" i="74"/>
  <c r="A598" i="74"/>
  <c r="A597" i="74"/>
  <c r="A596" i="74"/>
  <c r="A595" i="74"/>
  <c r="AW3" i="31"/>
  <c r="BU3" i="23"/>
  <c r="BT3" i="23"/>
  <c r="BS3" i="23"/>
  <c r="BR3" i="23"/>
  <c r="BQ3" i="23"/>
  <c r="BP3" i="23"/>
  <c r="BO3" i="23"/>
  <c r="BN3" i="23"/>
  <c r="BV201" i="23"/>
  <c r="BV200" i="23"/>
  <c r="BV199" i="23"/>
  <c r="BV198" i="23"/>
  <c r="BV197" i="23"/>
  <c r="BV196" i="23"/>
  <c r="BV195" i="23"/>
  <c r="BV194" i="23"/>
  <c r="BV193" i="23"/>
  <c r="BV192" i="23"/>
  <c r="BV191" i="23"/>
  <c r="BV190" i="23"/>
  <c r="BV189" i="23"/>
  <c r="BV188" i="23"/>
  <c r="BV187" i="23"/>
  <c r="BV186" i="23"/>
  <c r="BV185" i="23"/>
  <c r="BV184" i="23"/>
  <c r="BV183" i="23"/>
  <c r="BV182" i="23"/>
  <c r="BV181" i="23"/>
  <c r="BV180" i="23"/>
  <c r="BV179" i="23"/>
  <c r="BV178" i="23"/>
  <c r="BV177" i="23"/>
  <c r="BV176" i="23"/>
  <c r="BV175" i="23"/>
  <c r="BV174" i="23"/>
  <c r="BV173" i="23"/>
  <c r="BV172" i="23"/>
  <c r="BV171" i="23"/>
  <c r="BV170" i="23"/>
  <c r="BV169" i="23"/>
  <c r="BV168" i="23"/>
  <c r="BV167" i="23"/>
  <c r="BV166" i="23"/>
  <c r="BV165" i="23"/>
  <c r="BV164" i="23"/>
  <c r="BV163" i="23"/>
  <c r="BV162" i="23"/>
  <c r="BV161" i="23"/>
  <c r="BV160" i="23"/>
  <c r="BV159" i="23"/>
  <c r="BV158" i="23"/>
  <c r="BV157" i="23"/>
  <c r="BV156" i="23"/>
  <c r="BV155" i="23"/>
  <c r="BV154" i="23"/>
  <c r="BV153" i="23"/>
  <c r="BV152" i="23"/>
  <c r="BV151" i="23"/>
  <c r="BV150" i="23"/>
  <c r="BV149" i="23"/>
  <c r="BV148" i="23"/>
  <c r="BV147" i="23"/>
  <c r="BV146" i="23"/>
  <c r="BV145" i="23"/>
  <c r="BV144" i="23"/>
  <c r="BV143" i="23"/>
  <c r="BV142" i="23"/>
  <c r="BV141" i="23"/>
  <c r="BV140" i="23"/>
  <c r="BV139" i="23"/>
  <c r="BV138" i="23"/>
  <c r="BV137" i="23"/>
  <c r="BV136" i="23"/>
  <c r="BV135" i="23"/>
  <c r="BV134" i="23"/>
  <c r="BV133" i="23"/>
  <c r="BV132" i="23"/>
  <c r="BV131" i="23"/>
  <c r="BV130" i="23"/>
  <c r="BV129" i="23"/>
  <c r="BV128" i="23"/>
  <c r="BV127" i="23"/>
  <c r="BV126" i="23"/>
  <c r="BV125" i="23"/>
  <c r="BV124" i="23"/>
  <c r="BV123" i="23"/>
  <c r="BV122" i="23"/>
  <c r="BV121" i="23"/>
  <c r="BV120" i="23"/>
  <c r="BV119" i="23"/>
  <c r="BV118" i="23"/>
  <c r="BV117" i="23"/>
  <c r="BV116" i="23"/>
  <c r="BV115" i="23"/>
  <c r="BV114" i="23"/>
  <c r="BV113" i="23"/>
  <c r="BV112" i="23"/>
  <c r="BV111" i="23"/>
  <c r="BV110" i="23"/>
  <c r="BV109" i="23"/>
  <c r="BV108" i="23"/>
  <c r="BV107" i="23"/>
  <c r="BV106" i="23"/>
  <c r="BV105" i="23"/>
  <c r="BV104" i="23"/>
  <c r="BV103" i="23"/>
  <c r="BV102" i="23"/>
  <c r="BV101" i="23"/>
  <c r="BV100" i="23"/>
  <c r="BV99" i="23"/>
  <c r="BV98" i="23"/>
  <c r="BV97" i="23"/>
  <c r="BV96" i="23"/>
  <c r="BV95" i="23"/>
  <c r="BV94" i="23"/>
  <c r="BV93" i="23"/>
  <c r="BV92" i="23"/>
  <c r="BV91" i="23"/>
  <c r="BV90" i="23"/>
  <c r="BV89" i="23"/>
  <c r="BV88" i="23"/>
  <c r="BV87" i="23"/>
  <c r="BV86" i="23"/>
  <c r="BV85" i="23"/>
  <c r="BV84" i="23"/>
  <c r="BV83" i="23"/>
  <c r="BV82" i="23"/>
  <c r="BV81" i="23"/>
  <c r="BV80" i="23"/>
  <c r="BV79" i="23"/>
  <c r="BV78" i="23"/>
  <c r="BV77" i="23"/>
  <c r="BV76" i="23"/>
  <c r="BV75" i="23"/>
  <c r="BV74" i="23"/>
  <c r="BV73" i="23"/>
  <c r="BV72" i="23"/>
  <c r="BV71" i="23"/>
  <c r="BV70" i="23"/>
  <c r="BV69" i="23"/>
  <c r="BV68" i="23"/>
  <c r="BV67" i="23"/>
  <c r="BV66" i="23"/>
  <c r="BV65" i="23"/>
  <c r="BV64" i="23"/>
  <c r="BV63" i="23"/>
  <c r="BV62" i="23"/>
  <c r="BV61" i="23"/>
  <c r="BV60" i="23"/>
  <c r="BV59" i="23"/>
  <c r="BV58" i="23"/>
  <c r="BV57" i="23"/>
  <c r="BV56" i="23"/>
  <c r="BV55" i="23"/>
  <c r="BV54" i="23"/>
  <c r="BV53" i="23"/>
  <c r="BV52" i="23"/>
  <c r="BV51" i="23"/>
  <c r="BV50" i="23"/>
  <c r="BV49" i="23"/>
  <c r="BV48" i="23"/>
  <c r="BV47" i="23"/>
  <c r="BV46" i="23"/>
  <c r="BV45" i="23"/>
  <c r="BV44" i="23"/>
  <c r="BV43" i="23"/>
  <c r="BV42" i="23"/>
  <c r="BV41" i="23"/>
  <c r="BV40" i="23"/>
  <c r="BV39" i="23"/>
  <c r="BV38" i="23"/>
  <c r="BV37" i="23"/>
  <c r="BV36" i="23"/>
  <c r="BV35" i="23"/>
  <c r="BV34" i="23"/>
  <c r="BV33" i="23"/>
  <c r="BV32" i="23"/>
  <c r="BV31" i="23"/>
  <c r="BV30" i="23"/>
  <c r="BV29" i="23"/>
  <c r="BV28" i="23"/>
  <c r="BV27" i="23"/>
  <c r="BV26" i="23"/>
  <c r="BV25" i="23"/>
  <c r="BV24" i="23"/>
  <c r="BV23" i="23"/>
  <c r="BV22" i="23"/>
  <c r="BV21" i="23"/>
  <c r="BV20" i="23"/>
  <c r="BV19" i="23"/>
  <c r="BV18" i="23"/>
  <c r="BV17" i="23"/>
  <c r="BV16" i="23"/>
  <c r="BV15" i="23"/>
  <c r="BV14" i="23"/>
  <c r="BV13" i="23"/>
  <c r="BV12" i="23"/>
  <c r="BV11" i="23"/>
  <c r="BV10" i="23"/>
  <c r="BV9" i="23"/>
  <c r="BV8" i="23"/>
  <c r="BV7" i="23"/>
  <c r="BV6" i="23"/>
  <c r="BV5" i="23"/>
  <c r="BV4" i="23"/>
  <c r="AZ4" i="31"/>
  <c r="AZ3" i="31"/>
  <c r="AZ2" i="31"/>
  <c r="AY4" i="31"/>
  <c r="AY3" i="31"/>
  <c r="AY2" i="31"/>
  <c r="AX3" i="31"/>
  <c r="AW2" i="31"/>
  <c r="AX2" i="31"/>
  <c r="AX4" i="31"/>
  <c r="AW4" i="31"/>
  <c r="AV2" i="31"/>
  <c r="AV3" i="31"/>
  <c r="AV4" i="31"/>
  <c r="AU3" i="31"/>
  <c r="AU2" i="31"/>
  <c r="AU4" i="31"/>
  <c r="AL24" i="3"/>
  <c r="AN24" i="3" s="1"/>
  <c r="AK24" i="3"/>
  <c r="AL23" i="3"/>
  <c r="AN23" i="3" s="1"/>
  <c r="AK23" i="3"/>
  <c r="AJ22" i="3"/>
  <c r="AN22" i="3" s="1"/>
  <c r="AI24" i="3"/>
  <c r="AM24" i="3" s="1"/>
  <c r="AH24" i="3"/>
  <c r="AO24" i="3" s="1"/>
  <c r="AP24" i="3" s="1"/>
  <c r="AI23" i="3"/>
  <c r="AM23" i="3" s="1"/>
  <c r="AH23" i="3"/>
  <c r="AR23" i="3" s="1"/>
  <c r="AI22" i="3"/>
  <c r="AH22" i="3"/>
  <c r="AR22" i="3" s="1"/>
  <c r="C78" i="3"/>
  <c r="B78" i="3"/>
  <c r="V78" i="3" s="1"/>
  <c r="A78" i="3"/>
  <c r="C77" i="3"/>
  <c r="B77" i="3"/>
  <c r="R77" i="3" s="1"/>
  <c r="S77" i="3" s="1"/>
  <c r="A77" i="3"/>
  <c r="C76" i="3"/>
  <c r="B76" i="3"/>
  <c r="P76" i="3" s="1"/>
  <c r="A76" i="3"/>
  <c r="C75" i="3"/>
  <c r="B75" i="3"/>
  <c r="N75" i="3" s="1"/>
  <c r="O75" i="3" s="1"/>
  <c r="A75" i="3"/>
  <c r="C74" i="3"/>
  <c r="B74" i="3"/>
  <c r="L74" i="3" s="1"/>
  <c r="A74" i="3"/>
  <c r="C73" i="3"/>
  <c r="B73" i="3"/>
  <c r="J73" i="3" s="1"/>
  <c r="A73" i="3"/>
  <c r="C72" i="3"/>
  <c r="B72" i="3"/>
  <c r="X72" i="3" s="1"/>
  <c r="A72" i="3"/>
  <c r="C71" i="3"/>
  <c r="B71" i="3"/>
  <c r="X71" i="3" s="1"/>
  <c r="Y71" i="3" s="1"/>
  <c r="A71" i="3"/>
  <c r="K69" i="1"/>
  <c r="E8" i="71"/>
  <c r="E7" i="71"/>
  <c r="D8" i="71"/>
  <c r="D7" i="71"/>
  <c r="A594" i="74"/>
  <c r="A593" i="74"/>
  <c r="A592" i="74"/>
  <c r="A591" i="74"/>
  <c r="A590" i="74"/>
  <c r="A589" i="74"/>
  <c r="A588" i="74"/>
  <c r="A587" i="74"/>
  <c r="A586" i="74"/>
  <c r="A585" i="74"/>
  <c r="A584" i="74"/>
  <c r="A583" i="74"/>
  <c r="A582" i="74"/>
  <c r="A581" i="74"/>
  <c r="A580" i="74"/>
  <c r="A579" i="74"/>
  <c r="A578" i="74"/>
  <c r="A577" i="74"/>
  <c r="A576" i="74"/>
  <c r="A575" i="74"/>
  <c r="A574" i="74"/>
  <c r="A573" i="74"/>
  <c r="A572" i="74"/>
  <c r="A571" i="74"/>
  <c r="A570" i="74"/>
  <c r="AT3" i="31"/>
  <c r="AT2" i="31"/>
  <c r="AT4" i="31"/>
  <c r="AS4" i="31"/>
  <c r="AS3" i="31"/>
  <c r="AS2" i="31"/>
  <c r="AR4" i="31"/>
  <c r="AR2" i="31"/>
  <c r="AR3" i="31"/>
  <c r="AQ4" i="31"/>
  <c r="AQ3" i="31"/>
  <c r="AQ2" i="31"/>
  <c r="AP3" i="31"/>
  <c r="AP2" i="31"/>
  <c r="AP4" i="31"/>
  <c r="AO4" i="31"/>
  <c r="AO2" i="31"/>
  <c r="AO3" i="31"/>
  <c r="AN2" i="31"/>
  <c r="AN3" i="31"/>
  <c r="AN4" i="31"/>
  <c r="AM4" i="31"/>
  <c r="AL2" i="31"/>
  <c r="AL3" i="31"/>
  <c r="AL4" i="31"/>
  <c r="FX201" i="23"/>
  <c r="FX200" i="23"/>
  <c r="FX199" i="23"/>
  <c r="FX198" i="23"/>
  <c r="FX197" i="23"/>
  <c r="FX196" i="23"/>
  <c r="FX195" i="23"/>
  <c r="FX194" i="23"/>
  <c r="FX193" i="23"/>
  <c r="FX192" i="23"/>
  <c r="FX191" i="23"/>
  <c r="FX190" i="23"/>
  <c r="FX189" i="23"/>
  <c r="FX188" i="23"/>
  <c r="FX187" i="23"/>
  <c r="FX186" i="23"/>
  <c r="FX185" i="23"/>
  <c r="FX184" i="23"/>
  <c r="FX183" i="23"/>
  <c r="FX182" i="23"/>
  <c r="FX181" i="23"/>
  <c r="FX180" i="23"/>
  <c r="FX179" i="23"/>
  <c r="FX178" i="23"/>
  <c r="FX177" i="23"/>
  <c r="FX176" i="23"/>
  <c r="FX175" i="23"/>
  <c r="FX174" i="23"/>
  <c r="FX173" i="23"/>
  <c r="FX172" i="23"/>
  <c r="FX171" i="23"/>
  <c r="FX170" i="23"/>
  <c r="FX169" i="23"/>
  <c r="FX168" i="23"/>
  <c r="FX167" i="23"/>
  <c r="FX166" i="23"/>
  <c r="FX165" i="23"/>
  <c r="FX164" i="23"/>
  <c r="FX163" i="23"/>
  <c r="FX162" i="23"/>
  <c r="FX161" i="23"/>
  <c r="FX160" i="23"/>
  <c r="FX159" i="23"/>
  <c r="FX158" i="23"/>
  <c r="FX157" i="23"/>
  <c r="FX156" i="23"/>
  <c r="FX155" i="23"/>
  <c r="FX154" i="23"/>
  <c r="FX153" i="23"/>
  <c r="FX152" i="23"/>
  <c r="FX151" i="23"/>
  <c r="FX150" i="23"/>
  <c r="FX149" i="23"/>
  <c r="FX148" i="23"/>
  <c r="FX147" i="23"/>
  <c r="FX146" i="23"/>
  <c r="FX145" i="23"/>
  <c r="FX144" i="23"/>
  <c r="FX143" i="23"/>
  <c r="FX142" i="23"/>
  <c r="FX141" i="23"/>
  <c r="FX140" i="23"/>
  <c r="FX139" i="23"/>
  <c r="FX138" i="23"/>
  <c r="FX137" i="23"/>
  <c r="FX136" i="23"/>
  <c r="FX135" i="23"/>
  <c r="FX134" i="23"/>
  <c r="FX133" i="23"/>
  <c r="FX132" i="23"/>
  <c r="FX131" i="23"/>
  <c r="FX130" i="23"/>
  <c r="FX129" i="23"/>
  <c r="FX128" i="23"/>
  <c r="FX127" i="23"/>
  <c r="FX126" i="23"/>
  <c r="FX125" i="23"/>
  <c r="FX124" i="23"/>
  <c r="FX123" i="23"/>
  <c r="FX122" i="23"/>
  <c r="FX121" i="23"/>
  <c r="FX120" i="23"/>
  <c r="FX119" i="23"/>
  <c r="FX118" i="23"/>
  <c r="FX117" i="23"/>
  <c r="FX116" i="23"/>
  <c r="FX115" i="23"/>
  <c r="FX114" i="23"/>
  <c r="FX113" i="23"/>
  <c r="FX112" i="23"/>
  <c r="FX111" i="23"/>
  <c r="FX110" i="23"/>
  <c r="FX109" i="23"/>
  <c r="FX108" i="23"/>
  <c r="FX107" i="23"/>
  <c r="FX106" i="23"/>
  <c r="FX105" i="23"/>
  <c r="FX104" i="23"/>
  <c r="FX103" i="23"/>
  <c r="FX102" i="23"/>
  <c r="FX101" i="23"/>
  <c r="FX100" i="23"/>
  <c r="FX99" i="23"/>
  <c r="FX98" i="23"/>
  <c r="FX97" i="23"/>
  <c r="FX96" i="23"/>
  <c r="FX95" i="23"/>
  <c r="FX94" i="23"/>
  <c r="FX93" i="23"/>
  <c r="FX92" i="23"/>
  <c r="FX91" i="23"/>
  <c r="FX90" i="23"/>
  <c r="FX89" i="23"/>
  <c r="FX88" i="23"/>
  <c r="FX87" i="23"/>
  <c r="FX86" i="23"/>
  <c r="FX85" i="23"/>
  <c r="FX84" i="23"/>
  <c r="FX83" i="23"/>
  <c r="FX82" i="23"/>
  <c r="FX81" i="23"/>
  <c r="FX80" i="23"/>
  <c r="FX79" i="23"/>
  <c r="FX78" i="23"/>
  <c r="FX77" i="23"/>
  <c r="FX76" i="23"/>
  <c r="FX75" i="23"/>
  <c r="FX74" i="23"/>
  <c r="FX73" i="23"/>
  <c r="FX72" i="23"/>
  <c r="FX71" i="23"/>
  <c r="FX70" i="23"/>
  <c r="FX69" i="23"/>
  <c r="FX68" i="23"/>
  <c r="FX67" i="23"/>
  <c r="FX66" i="23"/>
  <c r="FX65" i="23"/>
  <c r="FX64" i="23"/>
  <c r="FX63" i="23"/>
  <c r="FX62" i="23"/>
  <c r="FX61" i="23"/>
  <c r="FX60" i="23"/>
  <c r="FX59" i="23"/>
  <c r="FX58" i="23"/>
  <c r="FX57" i="23"/>
  <c r="FX56" i="23"/>
  <c r="FX55" i="23"/>
  <c r="FX54" i="23"/>
  <c r="FX53" i="23"/>
  <c r="FX52" i="23"/>
  <c r="FX51" i="23"/>
  <c r="FX50" i="23"/>
  <c r="FX49" i="23"/>
  <c r="FX48" i="23"/>
  <c r="FX47" i="23"/>
  <c r="FX46" i="23"/>
  <c r="FX45" i="23"/>
  <c r="FX44" i="23"/>
  <c r="FX43" i="23"/>
  <c r="FX42" i="23"/>
  <c r="FX41" i="23"/>
  <c r="FX40" i="23"/>
  <c r="FX39" i="23"/>
  <c r="FX38" i="23"/>
  <c r="FX37" i="23"/>
  <c r="FX36" i="23"/>
  <c r="FX35" i="23"/>
  <c r="FX34" i="23"/>
  <c r="FX33" i="23"/>
  <c r="FX32" i="23"/>
  <c r="FX31" i="23"/>
  <c r="FX30" i="23"/>
  <c r="FX29" i="23"/>
  <c r="FX28" i="23"/>
  <c r="FX27" i="23"/>
  <c r="FX26" i="23"/>
  <c r="FX25" i="23"/>
  <c r="FX24" i="23"/>
  <c r="FX23" i="23"/>
  <c r="FX22" i="23"/>
  <c r="FX21" i="23"/>
  <c r="FX20" i="23"/>
  <c r="FX19" i="23"/>
  <c r="FX18" i="23"/>
  <c r="FX17" i="23"/>
  <c r="FX16" i="23"/>
  <c r="FX15" i="23"/>
  <c r="FX14" i="23"/>
  <c r="FX13" i="23"/>
  <c r="FX12" i="23"/>
  <c r="FX11" i="23"/>
  <c r="FX10" i="23"/>
  <c r="FX9" i="23"/>
  <c r="FX8" i="23"/>
  <c r="FX7" i="23"/>
  <c r="FX6" i="23"/>
  <c r="FX5" i="23"/>
  <c r="FX4" i="23"/>
  <c r="FW3" i="23"/>
  <c r="FV3" i="23"/>
  <c r="FU3" i="23"/>
  <c r="FT3" i="23"/>
  <c r="FS3" i="23"/>
  <c r="FR3" i="23"/>
  <c r="FQ3" i="23"/>
  <c r="FP3" i="23"/>
  <c r="FO3" i="23"/>
  <c r="FN3" i="23"/>
  <c r="FM3" i="23"/>
  <c r="FL3" i="23"/>
  <c r="FK3" i="23"/>
  <c r="FJ3" i="23"/>
  <c r="FI3" i="23"/>
  <c r="FH3" i="23"/>
  <c r="FG3" i="23"/>
  <c r="FF3" i="23"/>
  <c r="FE3" i="23"/>
  <c r="FD3" i="23"/>
  <c r="FC3" i="23"/>
  <c r="FB3" i="23"/>
  <c r="FA3" i="23"/>
  <c r="EZ3" i="23"/>
  <c r="EY3" i="23"/>
  <c r="AK2" i="31"/>
  <c r="AJ2" i="31"/>
  <c r="AK4" i="31"/>
  <c r="AJ4" i="31"/>
  <c r="AH2" i="31"/>
  <c r="AH3" i="31"/>
  <c r="AD3" i="31"/>
  <c r="X3" i="31"/>
  <c r="AH4" i="73"/>
  <c r="AG8" i="73"/>
  <c r="AH8" i="73" s="1"/>
  <c r="T62" i="49"/>
  <c r="T74" i="49" s="1"/>
  <c r="S96" i="49" s="1"/>
  <c r="S62" i="49"/>
  <c r="S74" i="49" s="1"/>
  <c r="S95" i="49" s="1"/>
  <c r="H199" i="72"/>
  <c r="G199" i="72"/>
  <c r="F199" i="72"/>
  <c r="E199" i="72"/>
  <c r="D199" i="72"/>
  <c r="H198" i="72"/>
  <c r="G198" i="72"/>
  <c r="F198" i="72"/>
  <c r="E198" i="72"/>
  <c r="D198" i="72"/>
  <c r="H197" i="72"/>
  <c r="G197" i="72"/>
  <c r="F197" i="72"/>
  <c r="E197" i="72"/>
  <c r="D197" i="72"/>
  <c r="H196" i="72"/>
  <c r="G196" i="72"/>
  <c r="F196" i="72"/>
  <c r="E196" i="72"/>
  <c r="D196" i="72"/>
  <c r="H195" i="72"/>
  <c r="G195" i="72"/>
  <c r="F195" i="72"/>
  <c r="E195" i="72"/>
  <c r="D195" i="72"/>
  <c r="H194" i="72"/>
  <c r="G194" i="72"/>
  <c r="F194" i="72"/>
  <c r="E194" i="72"/>
  <c r="D194" i="72"/>
  <c r="H193" i="72"/>
  <c r="G193" i="72"/>
  <c r="F193" i="72"/>
  <c r="E193" i="72"/>
  <c r="D193" i="72"/>
  <c r="H192" i="72"/>
  <c r="G192" i="72"/>
  <c r="F192" i="72"/>
  <c r="E192" i="72"/>
  <c r="D192" i="72"/>
  <c r="H191" i="72"/>
  <c r="G191" i="72"/>
  <c r="F191" i="72"/>
  <c r="E191" i="72"/>
  <c r="D191" i="72"/>
  <c r="H190" i="72"/>
  <c r="G190" i="72"/>
  <c r="F190" i="72"/>
  <c r="E190" i="72"/>
  <c r="D190" i="72"/>
  <c r="H189" i="72"/>
  <c r="G189" i="72"/>
  <c r="F189" i="72"/>
  <c r="E189" i="72"/>
  <c r="D189" i="72"/>
  <c r="H188" i="72"/>
  <c r="G188" i="72"/>
  <c r="F188" i="72"/>
  <c r="E188" i="72"/>
  <c r="D188" i="72"/>
  <c r="H187" i="72"/>
  <c r="G187" i="72"/>
  <c r="F187" i="72"/>
  <c r="E187" i="72"/>
  <c r="D187" i="72"/>
  <c r="H186" i="72"/>
  <c r="G186" i="72"/>
  <c r="F186" i="72"/>
  <c r="E186" i="72"/>
  <c r="D186" i="72"/>
  <c r="H185" i="72"/>
  <c r="G185" i="72"/>
  <c r="F185" i="72"/>
  <c r="E185" i="72"/>
  <c r="D185" i="72"/>
  <c r="H184" i="72"/>
  <c r="G184" i="72"/>
  <c r="F184" i="72"/>
  <c r="E184" i="72"/>
  <c r="D184" i="72"/>
  <c r="H183" i="72"/>
  <c r="G183" i="72"/>
  <c r="F183" i="72"/>
  <c r="E183" i="72"/>
  <c r="D183" i="72"/>
  <c r="H182" i="72"/>
  <c r="G182" i="72"/>
  <c r="F182" i="72"/>
  <c r="E182" i="72"/>
  <c r="D182" i="72"/>
  <c r="H181" i="72"/>
  <c r="G181" i="72"/>
  <c r="F181" i="72"/>
  <c r="E181" i="72"/>
  <c r="D181" i="72"/>
  <c r="H180" i="72"/>
  <c r="G180" i="72"/>
  <c r="F180" i="72"/>
  <c r="E180" i="72"/>
  <c r="D180" i="72"/>
  <c r="H179" i="72"/>
  <c r="G179" i="72"/>
  <c r="F179" i="72"/>
  <c r="E179" i="72"/>
  <c r="D179" i="72"/>
  <c r="H178" i="72"/>
  <c r="G178" i="72"/>
  <c r="F178" i="72"/>
  <c r="E178" i="72"/>
  <c r="D178" i="72"/>
  <c r="H177" i="72"/>
  <c r="G177" i="72"/>
  <c r="F177" i="72"/>
  <c r="E177" i="72"/>
  <c r="D177" i="72"/>
  <c r="H176" i="72"/>
  <c r="G176" i="72"/>
  <c r="F176" i="72"/>
  <c r="E176" i="72"/>
  <c r="D176" i="72"/>
  <c r="H175" i="72"/>
  <c r="G175" i="72"/>
  <c r="F175" i="72"/>
  <c r="E175" i="72"/>
  <c r="D175" i="72"/>
  <c r="H174" i="72"/>
  <c r="G174" i="72"/>
  <c r="F174" i="72"/>
  <c r="E174" i="72"/>
  <c r="D174" i="72"/>
  <c r="H173" i="72"/>
  <c r="G173" i="72"/>
  <c r="F173" i="72"/>
  <c r="E173" i="72"/>
  <c r="D173" i="72"/>
  <c r="H172" i="72"/>
  <c r="G172" i="72"/>
  <c r="F172" i="72"/>
  <c r="E172" i="72"/>
  <c r="D172" i="72"/>
  <c r="H171" i="72"/>
  <c r="G171" i="72"/>
  <c r="F171" i="72"/>
  <c r="E171" i="72"/>
  <c r="D171" i="72"/>
  <c r="H170" i="72"/>
  <c r="G170" i="72"/>
  <c r="F170" i="72"/>
  <c r="E170" i="72"/>
  <c r="D170" i="72"/>
  <c r="H169" i="72"/>
  <c r="G169" i="72"/>
  <c r="F169" i="72"/>
  <c r="E169" i="72"/>
  <c r="D169" i="72"/>
  <c r="H168" i="72"/>
  <c r="G168" i="72"/>
  <c r="F168" i="72"/>
  <c r="E168" i="72"/>
  <c r="D168" i="72"/>
  <c r="H167" i="72"/>
  <c r="G167" i="72"/>
  <c r="F167" i="72"/>
  <c r="E167" i="72"/>
  <c r="D167" i="72"/>
  <c r="H166" i="72"/>
  <c r="G166" i="72"/>
  <c r="F166" i="72"/>
  <c r="E166" i="72"/>
  <c r="D166" i="72"/>
  <c r="H165" i="72"/>
  <c r="G165" i="72"/>
  <c r="F165" i="72"/>
  <c r="E165" i="72"/>
  <c r="D165" i="72"/>
  <c r="H164" i="72"/>
  <c r="G164" i="72"/>
  <c r="F164" i="72"/>
  <c r="E164" i="72"/>
  <c r="D164" i="72"/>
  <c r="H163" i="72"/>
  <c r="G163" i="72"/>
  <c r="F163" i="72"/>
  <c r="E163" i="72"/>
  <c r="D163" i="72"/>
  <c r="H162" i="72"/>
  <c r="G162" i="72"/>
  <c r="F162" i="72"/>
  <c r="E162" i="72"/>
  <c r="D162" i="72"/>
  <c r="H161" i="72"/>
  <c r="G161" i="72"/>
  <c r="F161" i="72"/>
  <c r="E161" i="72"/>
  <c r="D161" i="72"/>
  <c r="H160" i="72"/>
  <c r="G160" i="72"/>
  <c r="F160" i="72"/>
  <c r="E160" i="72"/>
  <c r="D160" i="72"/>
  <c r="H159" i="72"/>
  <c r="G159" i="72"/>
  <c r="F159" i="72"/>
  <c r="E159" i="72"/>
  <c r="D159" i="72"/>
  <c r="H158" i="72"/>
  <c r="G158" i="72"/>
  <c r="F158" i="72"/>
  <c r="E158" i="72"/>
  <c r="D158" i="72"/>
  <c r="H157" i="72"/>
  <c r="G157" i="72"/>
  <c r="F157" i="72"/>
  <c r="E157" i="72"/>
  <c r="D157" i="72"/>
  <c r="H156" i="72"/>
  <c r="G156" i="72"/>
  <c r="F156" i="72"/>
  <c r="E156" i="72"/>
  <c r="D156" i="72"/>
  <c r="H155" i="72"/>
  <c r="G155" i="72"/>
  <c r="F155" i="72"/>
  <c r="E155" i="72"/>
  <c r="D155" i="72"/>
  <c r="H154" i="72"/>
  <c r="G154" i="72"/>
  <c r="F154" i="72"/>
  <c r="E154" i="72"/>
  <c r="D154" i="72"/>
  <c r="H153" i="72"/>
  <c r="G153" i="72"/>
  <c r="F153" i="72"/>
  <c r="E153" i="72"/>
  <c r="D153" i="72"/>
  <c r="H152" i="72"/>
  <c r="G152" i="72"/>
  <c r="F152" i="72"/>
  <c r="E152" i="72"/>
  <c r="D152" i="72"/>
  <c r="H151" i="72"/>
  <c r="G151" i="72"/>
  <c r="F151" i="72"/>
  <c r="E151" i="72"/>
  <c r="D151" i="72"/>
  <c r="H150" i="72"/>
  <c r="G150" i="72"/>
  <c r="F150" i="72"/>
  <c r="E150" i="72"/>
  <c r="D150" i="72"/>
  <c r="H149" i="72"/>
  <c r="G149" i="72"/>
  <c r="F149" i="72"/>
  <c r="E149" i="72"/>
  <c r="D149" i="72"/>
  <c r="H148" i="72"/>
  <c r="G148" i="72"/>
  <c r="F148" i="72"/>
  <c r="E148" i="72"/>
  <c r="D148" i="72"/>
  <c r="H147" i="72"/>
  <c r="G147" i="72"/>
  <c r="F147" i="72"/>
  <c r="E147" i="72"/>
  <c r="D147" i="72"/>
  <c r="H146" i="72"/>
  <c r="G146" i="72"/>
  <c r="F146" i="72"/>
  <c r="E146" i="72"/>
  <c r="D146" i="72"/>
  <c r="H145" i="72"/>
  <c r="G145" i="72"/>
  <c r="F145" i="72"/>
  <c r="E145" i="72"/>
  <c r="D145" i="72"/>
  <c r="H144" i="72"/>
  <c r="G144" i="72"/>
  <c r="F144" i="72"/>
  <c r="E144" i="72"/>
  <c r="D144" i="72"/>
  <c r="H143" i="72"/>
  <c r="G143" i="72"/>
  <c r="F143" i="72"/>
  <c r="E143" i="72"/>
  <c r="D143" i="72"/>
  <c r="H142" i="72"/>
  <c r="G142" i="72"/>
  <c r="F142" i="72"/>
  <c r="E142" i="72"/>
  <c r="D142" i="72"/>
  <c r="H141" i="72"/>
  <c r="G141" i="72"/>
  <c r="F141" i="72"/>
  <c r="E141" i="72"/>
  <c r="D141" i="72"/>
  <c r="H140" i="72"/>
  <c r="G140" i="72"/>
  <c r="F140" i="72"/>
  <c r="E140" i="72"/>
  <c r="D140" i="72"/>
  <c r="H139" i="72"/>
  <c r="G139" i="72"/>
  <c r="F139" i="72"/>
  <c r="E139" i="72"/>
  <c r="D139" i="72"/>
  <c r="H138" i="72"/>
  <c r="G138" i="72"/>
  <c r="F138" i="72"/>
  <c r="E138" i="72"/>
  <c r="D138" i="72"/>
  <c r="H137" i="72"/>
  <c r="G137" i="72"/>
  <c r="F137" i="72"/>
  <c r="E137" i="72"/>
  <c r="D137" i="72"/>
  <c r="H136" i="72"/>
  <c r="G136" i="72"/>
  <c r="F136" i="72"/>
  <c r="E136" i="72"/>
  <c r="D136" i="72"/>
  <c r="H135" i="72"/>
  <c r="G135" i="72"/>
  <c r="F135" i="72"/>
  <c r="E135" i="72"/>
  <c r="D135" i="72"/>
  <c r="H134" i="72"/>
  <c r="G134" i="72"/>
  <c r="F134" i="72"/>
  <c r="E134" i="72"/>
  <c r="D134" i="72"/>
  <c r="H133" i="72"/>
  <c r="G133" i="72"/>
  <c r="F133" i="72"/>
  <c r="E133" i="72"/>
  <c r="D133" i="72"/>
  <c r="H132" i="72"/>
  <c r="G132" i="72"/>
  <c r="F132" i="72"/>
  <c r="E132" i="72"/>
  <c r="D132" i="72"/>
  <c r="H131" i="72"/>
  <c r="G131" i="72"/>
  <c r="F131" i="72"/>
  <c r="E131" i="72"/>
  <c r="D131" i="72"/>
  <c r="H130" i="72"/>
  <c r="G130" i="72"/>
  <c r="F130" i="72"/>
  <c r="E130" i="72"/>
  <c r="D130" i="72"/>
  <c r="H129" i="72"/>
  <c r="G129" i="72"/>
  <c r="F129" i="72"/>
  <c r="E129" i="72"/>
  <c r="D129" i="72"/>
  <c r="H128" i="72"/>
  <c r="G128" i="72"/>
  <c r="F128" i="72"/>
  <c r="E128" i="72"/>
  <c r="D128" i="72"/>
  <c r="H127" i="72"/>
  <c r="G127" i="72"/>
  <c r="F127" i="72"/>
  <c r="E127" i="72"/>
  <c r="D127" i="72"/>
  <c r="H126" i="72"/>
  <c r="G126" i="72"/>
  <c r="F126" i="72"/>
  <c r="E126" i="72"/>
  <c r="D126" i="72"/>
  <c r="H125" i="72"/>
  <c r="G125" i="72"/>
  <c r="F125" i="72"/>
  <c r="E125" i="72"/>
  <c r="D125" i="72"/>
  <c r="H124" i="72"/>
  <c r="G124" i="72"/>
  <c r="F124" i="72"/>
  <c r="E124" i="72"/>
  <c r="D124" i="72"/>
  <c r="H123" i="72"/>
  <c r="G123" i="72"/>
  <c r="F123" i="72"/>
  <c r="E123" i="72"/>
  <c r="D123" i="72"/>
  <c r="H122" i="72"/>
  <c r="G122" i="72"/>
  <c r="F122" i="72"/>
  <c r="E122" i="72"/>
  <c r="D122" i="72"/>
  <c r="H121" i="72"/>
  <c r="G121" i="72"/>
  <c r="F121" i="72"/>
  <c r="E121" i="72"/>
  <c r="D121" i="72"/>
  <c r="H120" i="72"/>
  <c r="G120" i="72"/>
  <c r="F120" i="72"/>
  <c r="E120" i="72"/>
  <c r="D120" i="72"/>
  <c r="H119" i="72"/>
  <c r="G119" i="72"/>
  <c r="F119" i="72"/>
  <c r="E119" i="72"/>
  <c r="D119" i="72"/>
  <c r="H118" i="72"/>
  <c r="G118" i="72"/>
  <c r="F118" i="72"/>
  <c r="E118" i="72"/>
  <c r="D118" i="72"/>
  <c r="H117" i="72"/>
  <c r="G117" i="72"/>
  <c r="F117" i="72"/>
  <c r="E117" i="72"/>
  <c r="D117" i="72"/>
  <c r="H116" i="72"/>
  <c r="G116" i="72"/>
  <c r="F116" i="72"/>
  <c r="E116" i="72"/>
  <c r="D116" i="72"/>
  <c r="H115" i="72"/>
  <c r="G115" i="72"/>
  <c r="F115" i="72"/>
  <c r="E115" i="72"/>
  <c r="D115" i="72"/>
  <c r="H114" i="72"/>
  <c r="G114" i="72"/>
  <c r="F114" i="72"/>
  <c r="E114" i="72"/>
  <c r="D114" i="72"/>
  <c r="H113" i="72"/>
  <c r="G113" i="72"/>
  <c r="F113" i="72"/>
  <c r="E113" i="72"/>
  <c r="D113" i="72"/>
  <c r="H112" i="72"/>
  <c r="G112" i="72"/>
  <c r="F112" i="72"/>
  <c r="E112" i="72"/>
  <c r="D112" i="72"/>
  <c r="H111" i="72"/>
  <c r="G111" i="72"/>
  <c r="F111" i="72"/>
  <c r="E111" i="72"/>
  <c r="D111" i="72"/>
  <c r="H110" i="72"/>
  <c r="G110" i="72"/>
  <c r="F110" i="72"/>
  <c r="E110" i="72"/>
  <c r="D110" i="72"/>
  <c r="H109" i="72"/>
  <c r="G109" i="72"/>
  <c r="F109" i="72"/>
  <c r="E109" i="72"/>
  <c r="D109" i="72"/>
  <c r="H108" i="72"/>
  <c r="G108" i="72"/>
  <c r="F108" i="72"/>
  <c r="E108" i="72"/>
  <c r="D108" i="72"/>
  <c r="H107" i="72"/>
  <c r="G107" i="72"/>
  <c r="F107" i="72"/>
  <c r="E107" i="72"/>
  <c r="D107" i="72"/>
  <c r="H106" i="72"/>
  <c r="G106" i="72"/>
  <c r="F106" i="72"/>
  <c r="E106" i="72"/>
  <c r="D106" i="72"/>
  <c r="H105" i="72"/>
  <c r="G105" i="72"/>
  <c r="F105" i="72"/>
  <c r="E105" i="72"/>
  <c r="D105" i="72"/>
  <c r="H104" i="72"/>
  <c r="G104" i="72"/>
  <c r="F104" i="72"/>
  <c r="E104" i="72"/>
  <c r="D104" i="72"/>
  <c r="H103" i="72"/>
  <c r="G103" i="72"/>
  <c r="F103" i="72"/>
  <c r="E103" i="72"/>
  <c r="D103" i="72"/>
  <c r="H102" i="72"/>
  <c r="G102" i="72"/>
  <c r="F102" i="72"/>
  <c r="E102" i="72"/>
  <c r="D102" i="72"/>
  <c r="H101" i="72"/>
  <c r="G101" i="72"/>
  <c r="F101" i="72"/>
  <c r="E101" i="72"/>
  <c r="D101" i="72"/>
  <c r="H100" i="72"/>
  <c r="G100" i="72"/>
  <c r="F100" i="72"/>
  <c r="E100" i="72"/>
  <c r="D100" i="72"/>
  <c r="H99" i="72"/>
  <c r="G99" i="72"/>
  <c r="F99" i="72"/>
  <c r="E99" i="72"/>
  <c r="D99" i="72"/>
  <c r="H98" i="72"/>
  <c r="G98" i="72"/>
  <c r="F98" i="72"/>
  <c r="E98" i="72"/>
  <c r="D98" i="72"/>
  <c r="H97" i="72"/>
  <c r="G97" i="72"/>
  <c r="F97" i="72"/>
  <c r="E97" i="72"/>
  <c r="D97" i="72"/>
  <c r="H96" i="72"/>
  <c r="G96" i="72"/>
  <c r="F96" i="72"/>
  <c r="E96" i="72"/>
  <c r="D96" i="72"/>
  <c r="H95" i="72"/>
  <c r="G95" i="72"/>
  <c r="F95" i="72"/>
  <c r="E95" i="72"/>
  <c r="D95" i="72"/>
  <c r="H94" i="72"/>
  <c r="G94" i="72"/>
  <c r="F94" i="72"/>
  <c r="E94" i="72"/>
  <c r="D94" i="72"/>
  <c r="H93" i="72"/>
  <c r="G93" i="72"/>
  <c r="F93" i="72"/>
  <c r="E93" i="72"/>
  <c r="D93" i="72"/>
  <c r="H92" i="72"/>
  <c r="G92" i="72"/>
  <c r="F92" i="72"/>
  <c r="E92" i="72"/>
  <c r="D92" i="72"/>
  <c r="H91" i="72"/>
  <c r="G91" i="72"/>
  <c r="F91" i="72"/>
  <c r="E91" i="72"/>
  <c r="D91" i="72"/>
  <c r="H90" i="72"/>
  <c r="G90" i="72"/>
  <c r="F90" i="72"/>
  <c r="E90" i="72"/>
  <c r="D90" i="72"/>
  <c r="H89" i="72"/>
  <c r="G89" i="72"/>
  <c r="F89" i="72"/>
  <c r="E89" i="72"/>
  <c r="D89" i="72"/>
  <c r="H88" i="72"/>
  <c r="G88" i="72"/>
  <c r="F88" i="72"/>
  <c r="E88" i="72"/>
  <c r="D88" i="72"/>
  <c r="H87" i="72"/>
  <c r="G87" i="72"/>
  <c r="F87" i="72"/>
  <c r="E87" i="72"/>
  <c r="D87" i="72"/>
  <c r="H86" i="72"/>
  <c r="G86" i="72"/>
  <c r="F86" i="72"/>
  <c r="E86" i="72"/>
  <c r="D86" i="72"/>
  <c r="H85" i="72"/>
  <c r="G85" i="72"/>
  <c r="F85" i="72"/>
  <c r="E85" i="72"/>
  <c r="D85" i="72"/>
  <c r="H84" i="72"/>
  <c r="G84" i="72"/>
  <c r="F84" i="72"/>
  <c r="E84" i="72"/>
  <c r="D84" i="72"/>
  <c r="H83" i="72"/>
  <c r="G83" i="72"/>
  <c r="F83" i="72"/>
  <c r="E83" i="72"/>
  <c r="D83" i="72"/>
  <c r="H82" i="72"/>
  <c r="G82" i="72"/>
  <c r="F82" i="72"/>
  <c r="E82" i="72"/>
  <c r="D82" i="72"/>
  <c r="H81" i="72"/>
  <c r="G81" i="72"/>
  <c r="F81" i="72"/>
  <c r="E81" i="72"/>
  <c r="D81" i="72"/>
  <c r="H80" i="72"/>
  <c r="G80" i="72"/>
  <c r="F80" i="72"/>
  <c r="E80" i="72"/>
  <c r="D80" i="72"/>
  <c r="H79" i="72"/>
  <c r="G79" i="72"/>
  <c r="F79" i="72"/>
  <c r="E79" i="72"/>
  <c r="D79" i="72"/>
  <c r="H78" i="72"/>
  <c r="G78" i="72"/>
  <c r="F78" i="72"/>
  <c r="E78" i="72"/>
  <c r="D78" i="72"/>
  <c r="H77" i="72"/>
  <c r="G77" i="72"/>
  <c r="F77" i="72"/>
  <c r="E77" i="72"/>
  <c r="D77" i="72"/>
  <c r="H76" i="72"/>
  <c r="G76" i="72"/>
  <c r="F76" i="72"/>
  <c r="E76" i="72"/>
  <c r="D76" i="72"/>
  <c r="H75" i="72"/>
  <c r="G75" i="72"/>
  <c r="F75" i="72"/>
  <c r="E75" i="72"/>
  <c r="D75" i="72"/>
  <c r="H74" i="72"/>
  <c r="G74" i="72"/>
  <c r="F74" i="72"/>
  <c r="E74" i="72"/>
  <c r="D74" i="72"/>
  <c r="H73" i="72"/>
  <c r="G73" i="72"/>
  <c r="F73" i="72"/>
  <c r="E73" i="72"/>
  <c r="D73" i="72"/>
  <c r="H72" i="72"/>
  <c r="G72" i="72"/>
  <c r="F72" i="72"/>
  <c r="E72" i="72"/>
  <c r="D72" i="72"/>
  <c r="H71" i="72"/>
  <c r="G71" i="72"/>
  <c r="F71" i="72"/>
  <c r="E71" i="72"/>
  <c r="D71" i="72"/>
  <c r="H70" i="72"/>
  <c r="G70" i="72"/>
  <c r="F70" i="72"/>
  <c r="E70" i="72"/>
  <c r="D70" i="72"/>
  <c r="H69" i="72"/>
  <c r="G69" i="72"/>
  <c r="F69" i="72"/>
  <c r="E69" i="72"/>
  <c r="D69" i="72"/>
  <c r="H68" i="72"/>
  <c r="G68" i="72"/>
  <c r="F68" i="72"/>
  <c r="E68" i="72"/>
  <c r="D68" i="72"/>
  <c r="H67" i="72"/>
  <c r="G67" i="72"/>
  <c r="F67" i="72"/>
  <c r="E67" i="72"/>
  <c r="D67" i="72"/>
  <c r="H66" i="72"/>
  <c r="G66" i="72"/>
  <c r="F66" i="72"/>
  <c r="E66" i="72"/>
  <c r="D66" i="72"/>
  <c r="H65" i="72"/>
  <c r="G65" i="72"/>
  <c r="F65" i="72"/>
  <c r="E65" i="72"/>
  <c r="D65" i="72"/>
  <c r="H64" i="72"/>
  <c r="G64" i="72"/>
  <c r="F64" i="72"/>
  <c r="E64" i="72"/>
  <c r="D64" i="72"/>
  <c r="H63" i="72"/>
  <c r="G63" i="72"/>
  <c r="F63" i="72"/>
  <c r="E63" i="72"/>
  <c r="D63" i="72"/>
  <c r="H62" i="72"/>
  <c r="G62" i="72"/>
  <c r="F62" i="72"/>
  <c r="E62" i="72"/>
  <c r="D62" i="72"/>
  <c r="H61" i="72"/>
  <c r="G61" i="72"/>
  <c r="F61" i="72"/>
  <c r="E61" i="72"/>
  <c r="D61" i="72"/>
  <c r="H60" i="72"/>
  <c r="G60" i="72"/>
  <c r="F60" i="72"/>
  <c r="E60" i="72"/>
  <c r="D60" i="72"/>
  <c r="H59" i="72"/>
  <c r="G59" i="72"/>
  <c r="F59" i="72"/>
  <c r="E59" i="72"/>
  <c r="D59" i="72"/>
  <c r="H58" i="72"/>
  <c r="G58" i="72"/>
  <c r="F58" i="72"/>
  <c r="E58" i="72"/>
  <c r="D58" i="72"/>
  <c r="H57" i="72"/>
  <c r="G57" i="72"/>
  <c r="F57" i="72"/>
  <c r="E57" i="72"/>
  <c r="D57" i="72"/>
  <c r="H56" i="72"/>
  <c r="G56" i="72"/>
  <c r="F56" i="72"/>
  <c r="E56" i="72"/>
  <c r="D56" i="72"/>
  <c r="H55" i="72"/>
  <c r="G55" i="72"/>
  <c r="F55" i="72"/>
  <c r="E55" i="72"/>
  <c r="D55" i="72"/>
  <c r="H54" i="72"/>
  <c r="G54" i="72"/>
  <c r="F54" i="72"/>
  <c r="E54" i="72"/>
  <c r="D54" i="72"/>
  <c r="H53" i="72"/>
  <c r="G53" i="72"/>
  <c r="F53" i="72"/>
  <c r="E53" i="72"/>
  <c r="D53" i="72"/>
  <c r="H52" i="72"/>
  <c r="G52" i="72"/>
  <c r="F52" i="72"/>
  <c r="E52" i="72"/>
  <c r="D52" i="72"/>
  <c r="H51" i="72"/>
  <c r="G51" i="72"/>
  <c r="F51" i="72"/>
  <c r="E51" i="72"/>
  <c r="D51" i="72"/>
  <c r="H50" i="72"/>
  <c r="G50" i="72"/>
  <c r="F50" i="72"/>
  <c r="E50" i="72"/>
  <c r="D50" i="72"/>
  <c r="H49" i="72"/>
  <c r="G49" i="72"/>
  <c r="F49" i="72"/>
  <c r="E49" i="72"/>
  <c r="D49" i="72"/>
  <c r="H48" i="72"/>
  <c r="G48" i="72"/>
  <c r="F48" i="72"/>
  <c r="E48" i="72"/>
  <c r="D48" i="72"/>
  <c r="H47" i="72"/>
  <c r="G47" i="72"/>
  <c r="F47" i="72"/>
  <c r="E47" i="72"/>
  <c r="D47" i="72"/>
  <c r="H46" i="72"/>
  <c r="G46" i="72"/>
  <c r="F46" i="72"/>
  <c r="E46" i="72"/>
  <c r="D46" i="72"/>
  <c r="H45" i="72"/>
  <c r="G45" i="72"/>
  <c r="F45" i="72"/>
  <c r="E45" i="72"/>
  <c r="D45" i="72"/>
  <c r="H44" i="72"/>
  <c r="G44" i="72"/>
  <c r="F44" i="72"/>
  <c r="E44" i="72"/>
  <c r="D44" i="72"/>
  <c r="H43" i="72"/>
  <c r="G43" i="72"/>
  <c r="F43" i="72"/>
  <c r="E43" i="72"/>
  <c r="D43" i="72"/>
  <c r="H42" i="72"/>
  <c r="G42" i="72"/>
  <c r="F42" i="72"/>
  <c r="E42" i="72"/>
  <c r="D42" i="72"/>
  <c r="H41" i="72"/>
  <c r="G41" i="72"/>
  <c r="F41" i="72"/>
  <c r="E41" i="72"/>
  <c r="D41" i="72"/>
  <c r="H40" i="72"/>
  <c r="G40" i="72"/>
  <c r="F40" i="72"/>
  <c r="E40" i="72"/>
  <c r="D40" i="72"/>
  <c r="H39" i="72"/>
  <c r="G39" i="72"/>
  <c r="F39" i="72"/>
  <c r="E39" i="72"/>
  <c r="D39" i="72"/>
  <c r="H38" i="72"/>
  <c r="G38" i="72"/>
  <c r="F38" i="72"/>
  <c r="E38" i="72"/>
  <c r="D38" i="72"/>
  <c r="H37" i="72"/>
  <c r="G37" i="72"/>
  <c r="F37" i="72"/>
  <c r="E37" i="72"/>
  <c r="D37" i="72"/>
  <c r="H36" i="72"/>
  <c r="G36" i="72"/>
  <c r="F36" i="72"/>
  <c r="E36" i="72"/>
  <c r="D36" i="72"/>
  <c r="H35" i="72"/>
  <c r="G35" i="72"/>
  <c r="F35" i="72"/>
  <c r="E35" i="72"/>
  <c r="D35" i="72"/>
  <c r="H34" i="72"/>
  <c r="G34" i="72"/>
  <c r="F34" i="72"/>
  <c r="E34" i="72"/>
  <c r="D34" i="72"/>
  <c r="H33" i="72"/>
  <c r="G33" i="72"/>
  <c r="F33" i="72"/>
  <c r="E33" i="72"/>
  <c r="D33" i="72"/>
  <c r="H32" i="72"/>
  <c r="G32" i="72"/>
  <c r="F32" i="72"/>
  <c r="E32" i="72"/>
  <c r="D32" i="72"/>
  <c r="H31" i="72"/>
  <c r="G31" i="72"/>
  <c r="F31" i="72"/>
  <c r="E31" i="72"/>
  <c r="D31" i="72"/>
  <c r="H30" i="72"/>
  <c r="G30" i="72"/>
  <c r="F30" i="72"/>
  <c r="E30" i="72"/>
  <c r="D30" i="72"/>
  <c r="H29" i="72"/>
  <c r="G29" i="72"/>
  <c r="F29" i="72"/>
  <c r="E29" i="72"/>
  <c r="D29" i="72"/>
  <c r="H28" i="72"/>
  <c r="G28" i="72"/>
  <c r="F28" i="72"/>
  <c r="E28" i="72"/>
  <c r="D28" i="72"/>
  <c r="H27" i="72"/>
  <c r="G27" i="72"/>
  <c r="F27" i="72"/>
  <c r="E27" i="72"/>
  <c r="D27" i="72"/>
  <c r="H26" i="72"/>
  <c r="G26" i="72"/>
  <c r="F26" i="72"/>
  <c r="E26" i="72"/>
  <c r="D26" i="72"/>
  <c r="H25" i="72"/>
  <c r="G25" i="72"/>
  <c r="F25" i="72"/>
  <c r="E25" i="72"/>
  <c r="D25" i="72"/>
  <c r="H24" i="72"/>
  <c r="G24" i="72"/>
  <c r="F24" i="72"/>
  <c r="E24" i="72"/>
  <c r="D24" i="72"/>
  <c r="H23" i="72"/>
  <c r="G23" i="72"/>
  <c r="F23" i="72"/>
  <c r="E23" i="72"/>
  <c r="D23" i="72"/>
  <c r="H22" i="72"/>
  <c r="G22" i="72"/>
  <c r="F22" i="72"/>
  <c r="E22" i="72"/>
  <c r="D22" i="72"/>
  <c r="H21" i="72"/>
  <c r="G21" i="72"/>
  <c r="F21" i="72"/>
  <c r="E21" i="72"/>
  <c r="D21" i="72"/>
  <c r="H20" i="72"/>
  <c r="G20" i="72"/>
  <c r="F20" i="72"/>
  <c r="E20" i="72"/>
  <c r="D20" i="72"/>
  <c r="H19" i="72"/>
  <c r="G19" i="72"/>
  <c r="F19" i="72"/>
  <c r="E19" i="72"/>
  <c r="D19" i="72"/>
  <c r="H18" i="72"/>
  <c r="G18" i="72"/>
  <c r="F18" i="72"/>
  <c r="E18" i="72"/>
  <c r="D18" i="72"/>
  <c r="H17" i="72"/>
  <c r="G17" i="72"/>
  <c r="F17" i="72"/>
  <c r="E17" i="72"/>
  <c r="D17" i="72"/>
  <c r="H16" i="72"/>
  <c r="G16" i="72"/>
  <c r="F16" i="72"/>
  <c r="E16" i="72"/>
  <c r="D16" i="72"/>
  <c r="H15" i="72"/>
  <c r="G15" i="72"/>
  <c r="F15" i="72"/>
  <c r="E15" i="72"/>
  <c r="D15" i="72"/>
  <c r="H14" i="72"/>
  <c r="G14" i="72"/>
  <c r="F14" i="72"/>
  <c r="E14" i="72"/>
  <c r="D14" i="72"/>
  <c r="H13" i="72"/>
  <c r="G13" i="72"/>
  <c r="F13" i="72"/>
  <c r="E13" i="72"/>
  <c r="D13" i="72"/>
  <c r="H12" i="72"/>
  <c r="G12" i="72"/>
  <c r="F12" i="72"/>
  <c r="E12" i="72"/>
  <c r="D12" i="72"/>
  <c r="H11" i="72"/>
  <c r="G11" i="72"/>
  <c r="F11" i="72"/>
  <c r="E11" i="72"/>
  <c r="D11" i="72"/>
  <c r="H10" i="72"/>
  <c r="G10" i="72"/>
  <c r="F10" i="72"/>
  <c r="E10" i="72"/>
  <c r="D10" i="72"/>
  <c r="H9" i="72"/>
  <c r="G9" i="72"/>
  <c r="F9" i="72"/>
  <c r="E9" i="72"/>
  <c r="D9" i="72"/>
  <c r="H8" i="72"/>
  <c r="G8" i="72"/>
  <c r="F8" i="72"/>
  <c r="E8" i="72"/>
  <c r="D8" i="72"/>
  <c r="H7" i="72"/>
  <c r="G7" i="72"/>
  <c r="F7" i="72"/>
  <c r="E7" i="72"/>
  <c r="D7" i="72"/>
  <c r="H6" i="72"/>
  <c r="G6" i="72"/>
  <c r="F6" i="72"/>
  <c r="E6" i="72"/>
  <c r="D6" i="72"/>
  <c r="H5" i="72"/>
  <c r="G5" i="72"/>
  <c r="F5" i="72"/>
  <c r="E5" i="72"/>
  <c r="D5" i="72"/>
  <c r="H4" i="72"/>
  <c r="G4" i="72"/>
  <c r="F4" i="72"/>
  <c r="E4" i="72"/>
  <c r="D4" i="72"/>
  <c r="H3" i="72"/>
  <c r="G3" i="72"/>
  <c r="F3" i="72"/>
  <c r="E3" i="72"/>
  <c r="D3" i="72"/>
  <c r="H2" i="72"/>
  <c r="G2" i="72"/>
  <c r="F2" i="72"/>
  <c r="E2" i="72"/>
  <c r="D2" i="72"/>
  <c r="AF8" i="73"/>
  <c r="AF2" i="73"/>
  <c r="AF7" i="73"/>
  <c r="AF6" i="73"/>
  <c r="AF5" i="73"/>
  <c r="AF4" i="73"/>
  <c r="AF3" i="73"/>
  <c r="AH3" i="73" s="1"/>
  <c r="C60" i="49"/>
  <c r="B60" i="49"/>
  <c r="C59" i="49"/>
  <c r="B59" i="49"/>
  <c r="C58" i="49"/>
  <c r="B58" i="49"/>
  <c r="C57" i="49"/>
  <c r="B57" i="49"/>
  <c r="C56" i="49"/>
  <c r="B56" i="49"/>
  <c r="C55" i="49"/>
  <c r="B55" i="49"/>
  <c r="C54" i="49"/>
  <c r="B54" i="49"/>
  <c r="C53" i="49"/>
  <c r="B53" i="49"/>
  <c r="C52" i="49"/>
  <c r="B52" i="49"/>
  <c r="A52" i="49"/>
  <c r="C51" i="49"/>
  <c r="B51" i="49"/>
  <c r="A51" i="49"/>
  <c r="C50" i="49"/>
  <c r="B50" i="49"/>
  <c r="A50" i="49"/>
  <c r="C49" i="49"/>
  <c r="B49" i="49"/>
  <c r="C48" i="49"/>
  <c r="B48" i="49"/>
  <c r="C47" i="49"/>
  <c r="B47" i="49"/>
  <c r="C46" i="49"/>
  <c r="B46" i="49"/>
  <c r="A46" i="49"/>
  <c r="C45" i="49"/>
  <c r="B45" i="49"/>
  <c r="A45" i="49"/>
  <c r="C44" i="49"/>
  <c r="B44" i="49"/>
  <c r="C43" i="49"/>
  <c r="B43" i="49"/>
  <c r="C42" i="49"/>
  <c r="B42" i="49"/>
  <c r="C41" i="49"/>
  <c r="B41" i="49"/>
  <c r="A41" i="49"/>
  <c r="C40" i="49"/>
  <c r="B40" i="49"/>
  <c r="A40" i="49"/>
  <c r="D70" i="3"/>
  <c r="D69" i="3"/>
  <c r="D68" i="3"/>
  <c r="D67" i="3"/>
  <c r="C67" i="98" s="1"/>
  <c r="D66" i="3"/>
  <c r="C66" i="98" s="1"/>
  <c r="D65" i="3"/>
  <c r="D64" i="3"/>
  <c r="C64" i="98" s="1"/>
  <c r="D63" i="3"/>
  <c r="C63" i="98" s="1"/>
  <c r="D62" i="3"/>
  <c r="C62" i="98" s="1"/>
  <c r="C70" i="3"/>
  <c r="B70" i="3"/>
  <c r="N70" i="3" s="1"/>
  <c r="A70" i="3"/>
  <c r="C69" i="3"/>
  <c r="B69" i="3"/>
  <c r="L69" i="3" s="1"/>
  <c r="M69" i="3" s="1"/>
  <c r="A69" i="3"/>
  <c r="C68" i="3"/>
  <c r="B68" i="3"/>
  <c r="J68" i="3" s="1"/>
  <c r="A68" i="3"/>
  <c r="C67" i="3"/>
  <c r="B67" i="3"/>
  <c r="A67" i="3"/>
  <c r="C66" i="3"/>
  <c r="B66" i="3"/>
  <c r="X66" i="3" s="1"/>
  <c r="A66" i="3"/>
  <c r="C65" i="3"/>
  <c r="B65" i="3"/>
  <c r="V65" i="3" s="1"/>
  <c r="A65" i="3"/>
  <c r="C64" i="3"/>
  <c r="B64" i="3"/>
  <c r="V64" i="3" s="1"/>
  <c r="A64" i="3"/>
  <c r="C63" i="3"/>
  <c r="B63" i="3"/>
  <c r="P63" i="3" s="1"/>
  <c r="A63" i="3"/>
  <c r="C62" i="3"/>
  <c r="B62" i="3"/>
  <c r="N62" i="3" s="1"/>
  <c r="A62" i="3"/>
  <c r="AA6" i="3"/>
  <c r="DT3" i="71"/>
  <c r="CU4" i="71"/>
  <c r="CU5" i="71" s="1"/>
  <c r="CU6" i="71" s="1"/>
  <c r="CU7" i="71" s="1"/>
  <c r="CU8" i="71" s="1"/>
  <c r="CU9" i="71" s="1"/>
  <c r="CU10" i="71" s="1"/>
  <c r="CU11" i="71" s="1"/>
  <c r="CU12" i="71" s="1"/>
  <c r="CU13" i="71" s="1"/>
  <c r="CU14" i="71" s="1"/>
  <c r="CU15" i="71" s="1"/>
  <c r="CU16" i="71" s="1"/>
  <c r="CU17" i="71" s="1"/>
  <c r="CU18" i="71" s="1"/>
  <c r="CU19" i="71" s="1"/>
  <c r="CU20" i="71" s="1"/>
  <c r="CU21" i="71" s="1"/>
  <c r="CU22" i="71" s="1"/>
  <c r="CU23" i="71" s="1"/>
  <c r="CU24" i="71" s="1"/>
  <c r="CU25" i="71" s="1"/>
  <c r="CU26" i="71" s="1"/>
  <c r="CU27" i="71" s="1"/>
  <c r="CU28" i="71" s="1"/>
  <c r="CU29" i="71" s="1"/>
  <c r="CU30" i="71" s="1"/>
  <c r="CU31" i="71" s="1"/>
  <c r="CU32" i="71" s="1"/>
  <c r="CU33" i="71" s="1"/>
  <c r="CU34" i="71" s="1"/>
  <c r="CU35" i="71" s="1"/>
  <c r="CU36" i="71" s="1"/>
  <c r="CU37" i="71" s="1"/>
  <c r="CU38" i="71" s="1"/>
  <c r="CU39" i="71" s="1"/>
  <c r="CU40" i="71" s="1"/>
  <c r="CU41" i="71" s="1"/>
  <c r="CU42" i="71" s="1"/>
  <c r="CU43" i="71" s="1"/>
  <c r="CU44" i="71" s="1"/>
  <c r="CU45" i="71" s="1"/>
  <c r="CU46" i="71" s="1"/>
  <c r="CU47" i="71" s="1"/>
  <c r="CU48" i="71" s="1"/>
  <c r="CU49" i="71" s="1"/>
  <c r="CU50" i="71" s="1"/>
  <c r="CU51" i="71" s="1"/>
  <c r="CU52" i="71" s="1"/>
  <c r="CU53" i="71" s="1"/>
  <c r="CU54" i="71" s="1"/>
  <c r="CU55" i="71" s="1"/>
  <c r="CU56" i="71" s="1"/>
  <c r="CU57" i="71" s="1"/>
  <c r="CU58" i="71" s="1"/>
  <c r="CU59" i="71" s="1"/>
  <c r="CU60" i="71" s="1"/>
  <c r="CU61" i="71" s="1"/>
  <c r="CU62" i="71" s="1"/>
  <c r="CU63" i="71" s="1"/>
  <c r="CU64" i="71" s="1"/>
  <c r="CU65" i="71" s="1"/>
  <c r="CU66" i="71" s="1"/>
  <c r="CU67" i="71" s="1"/>
  <c r="CU68" i="71" s="1"/>
  <c r="CU69" i="71" s="1"/>
  <c r="CU70" i="71" s="1"/>
  <c r="CU71" i="71" s="1"/>
  <c r="CU72" i="71" s="1"/>
  <c r="CU73" i="71" s="1"/>
  <c r="CU74" i="71" s="1"/>
  <c r="CU75" i="71" s="1"/>
  <c r="CU76" i="71" s="1"/>
  <c r="CU77" i="71" s="1"/>
  <c r="CU78" i="71" s="1"/>
  <c r="CU79" i="71" s="1"/>
  <c r="CU80" i="71" s="1"/>
  <c r="CU81" i="71" s="1"/>
  <c r="CU82" i="71" s="1"/>
  <c r="CU83" i="71" s="1"/>
  <c r="A38" i="123" l="1"/>
  <c r="A17" i="123"/>
  <c r="B15" i="123"/>
  <c r="E35" i="123"/>
  <c r="H35" i="123"/>
  <c r="G35" i="123"/>
  <c r="F35" i="123"/>
  <c r="B36" i="123"/>
  <c r="A38" i="120"/>
  <c r="A19" i="120"/>
  <c r="A38" i="117"/>
  <c r="A18" i="117"/>
  <c r="S75" i="49"/>
  <c r="U95" i="49" s="1"/>
  <c r="T75" i="49"/>
  <c r="U96" i="49" s="1"/>
  <c r="J49" i="94"/>
  <c r="T48" i="95"/>
  <c r="P47" i="94"/>
  <c r="V49" i="95"/>
  <c r="V49" i="93"/>
  <c r="H49" i="93"/>
  <c r="J49" i="95"/>
  <c r="J49" i="93"/>
  <c r="L49" i="93"/>
  <c r="P49" i="95"/>
  <c r="P48" i="94"/>
  <c r="H48" i="92"/>
  <c r="L48" i="94"/>
  <c r="P48" i="92"/>
  <c r="N47" i="93"/>
  <c r="H47" i="94"/>
  <c r="L47" i="94"/>
  <c r="V47" i="92"/>
  <c r="T47" i="94"/>
  <c r="AS19" i="71"/>
  <c r="AU20" i="71"/>
  <c r="AV20" i="71"/>
  <c r="M74" i="3"/>
  <c r="W78" i="3"/>
  <c r="AS23" i="3"/>
  <c r="J72" i="3"/>
  <c r="K72" i="3" s="1"/>
  <c r="N74" i="3"/>
  <c r="O74" i="3" s="1"/>
  <c r="P75" i="3"/>
  <c r="Q75" i="3" s="1"/>
  <c r="R76" i="3"/>
  <c r="S76" i="3" s="1"/>
  <c r="C68" i="98"/>
  <c r="Y72" i="3"/>
  <c r="Q76" i="3"/>
  <c r="V77" i="3"/>
  <c r="W77" i="3" s="1"/>
  <c r="X78" i="3"/>
  <c r="Y78" i="3" s="1"/>
  <c r="AR24" i="3"/>
  <c r="AS24" i="3" s="1"/>
  <c r="DU3" i="71"/>
  <c r="AS20" i="71"/>
  <c r="AT19" i="71"/>
  <c r="AW19" i="71"/>
  <c r="L26" i="110"/>
  <c r="K26" i="110"/>
  <c r="J26" i="110"/>
  <c r="N26" i="110"/>
  <c r="I26" i="110"/>
  <c r="P26" i="110"/>
  <c r="D26" i="110"/>
  <c r="M26" i="110"/>
  <c r="O26" i="110"/>
  <c r="C26" i="110"/>
  <c r="A27" i="110"/>
  <c r="L6" i="110"/>
  <c r="K6" i="110"/>
  <c r="N6" i="110"/>
  <c r="J6" i="110"/>
  <c r="I6" i="110"/>
  <c r="P6" i="110"/>
  <c r="D6" i="110"/>
  <c r="M6" i="110"/>
  <c r="O6" i="110"/>
  <c r="C6" i="110"/>
  <c r="A7" i="110"/>
  <c r="AP66" i="2"/>
  <c r="AO66" i="2"/>
  <c r="AP116" i="2"/>
  <c r="AO116" i="2"/>
  <c r="AN116" i="2"/>
  <c r="AN73" i="2"/>
  <c r="AO73" i="2"/>
  <c r="AP73" i="2"/>
  <c r="AN55" i="2"/>
  <c r="AO55" i="2"/>
  <c r="AP55" i="2"/>
  <c r="AN35" i="2"/>
  <c r="AO35" i="2"/>
  <c r="AP35" i="2"/>
  <c r="AN77" i="2"/>
  <c r="AO77" i="2"/>
  <c r="AP77" i="2"/>
  <c r="AO42" i="2"/>
  <c r="AP42" i="2"/>
  <c r="AO95" i="2"/>
  <c r="AN95" i="2"/>
  <c r="AP95" i="2"/>
  <c r="AN69" i="2"/>
  <c r="AP69" i="2"/>
  <c r="AO69" i="2"/>
  <c r="AN75" i="2"/>
  <c r="AO75" i="2"/>
  <c r="AP75" i="2"/>
  <c r="AP190" i="2"/>
  <c r="AO190" i="2"/>
  <c r="AN190" i="2"/>
  <c r="AO159" i="2"/>
  <c r="AN159" i="2"/>
  <c r="AP159" i="2"/>
  <c r="AP93" i="2"/>
  <c r="AO93" i="2"/>
  <c r="AN93" i="2"/>
  <c r="AN52" i="2"/>
  <c r="AP52" i="2"/>
  <c r="AO52" i="2"/>
  <c r="AN60" i="2"/>
  <c r="AO60" i="2"/>
  <c r="AP60" i="2"/>
  <c r="AP83" i="2"/>
  <c r="AO83" i="2"/>
  <c r="S7" i="109"/>
  <c r="S8" i="109" s="1"/>
  <c r="U7" i="109"/>
  <c r="U8" i="109" s="1"/>
  <c r="I9" i="109"/>
  <c r="K7" i="109"/>
  <c r="K8" i="109" s="1"/>
  <c r="M7" i="109"/>
  <c r="M8" i="109" s="1"/>
  <c r="O7" i="109"/>
  <c r="O8" i="109" s="1"/>
  <c r="W7" i="109"/>
  <c r="W8" i="109" s="1"/>
  <c r="Q7" i="109"/>
  <c r="Q8" i="109" s="1"/>
  <c r="AU19" i="71"/>
  <c r="AX20" i="71"/>
  <c r="AW20" i="71"/>
  <c r="AV19" i="71"/>
  <c r="AX19" i="71"/>
  <c r="B8" i="71"/>
  <c r="AT20" i="71"/>
  <c r="AS22" i="3"/>
  <c r="J71" i="3"/>
  <c r="K71" i="3" s="1"/>
  <c r="L72" i="3"/>
  <c r="M72" i="3" s="1"/>
  <c r="N73" i="3"/>
  <c r="O73" i="3" s="1"/>
  <c r="P74" i="3"/>
  <c r="Q74" i="3" s="1"/>
  <c r="R75" i="3"/>
  <c r="S75" i="3" s="1"/>
  <c r="V76" i="3"/>
  <c r="W76" i="3" s="1"/>
  <c r="X77" i="3"/>
  <c r="Y77" i="3" s="1"/>
  <c r="C69" i="98"/>
  <c r="L73" i="3"/>
  <c r="M73" i="3" s="1"/>
  <c r="L71" i="3"/>
  <c r="M71" i="3" s="1"/>
  <c r="N72" i="3"/>
  <c r="O72" i="3" s="1"/>
  <c r="P73" i="3"/>
  <c r="Q73" i="3" s="1"/>
  <c r="R74" i="3"/>
  <c r="S74" i="3" s="1"/>
  <c r="V75" i="3"/>
  <c r="W75" i="3" s="1"/>
  <c r="X76" i="3"/>
  <c r="Y76" i="3" s="1"/>
  <c r="J78" i="3"/>
  <c r="K78" i="3" s="1"/>
  <c r="C70" i="98"/>
  <c r="N71" i="3"/>
  <c r="O71" i="3" s="1"/>
  <c r="P72" i="3"/>
  <c r="Q72" i="3" s="1"/>
  <c r="R73" i="3"/>
  <c r="S73" i="3" s="1"/>
  <c r="V74" i="3"/>
  <c r="W74" i="3" s="1"/>
  <c r="X75" i="3"/>
  <c r="Y75" i="3" s="1"/>
  <c r="J77" i="3"/>
  <c r="K77" i="3" s="1"/>
  <c r="L78" i="3"/>
  <c r="M78" i="3" s="1"/>
  <c r="AO22" i="3"/>
  <c r="P71" i="3"/>
  <c r="Q71" i="3" s="1"/>
  <c r="R72" i="3"/>
  <c r="S72" i="3" s="1"/>
  <c r="V73" i="3"/>
  <c r="W73" i="3" s="1"/>
  <c r="X74" i="3"/>
  <c r="Y74" i="3" s="1"/>
  <c r="J76" i="3"/>
  <c r="K76" i="3" s="1"/>
  <c r="L77" i="3"/>
  <c r="M77" i="3" s="1"/>
  <c r="N78" i="3"/>
  <c r="O78" i="3" s="1"/>
  <c r="R71" i="3"/>
  <c r="S71" i="3" s="1"/>
  <c r="V72" i="3"/>
  <c r="W72" i="3" s="1"/>
  <c r="X73" i="3"/>
  <c r="Y73" i="3" s="1"/>
  <c r="J75" i="3"/>
  <c r="K75" i="3" s="1"/>
  <c r="L76" i="3"/>
  <c r="M76" i="3" s="1"/>
  <c r="N77" i="3"/>
  <c r="O77" i="3" s="1"/>
  <c r="P78" i="3"/>
  <c r="Q78" i="3" s="1"/>
  <c r="AM22" i="3"/>
  <c r="AO23" i="3"/>
  <c r="AP23" i="3" s="1"/>
  <c r="C65" i="98"/>
  <c r="V71" i="3"/>
  <c r="W71" i="3" s="1"/>
  <c r="J74" i="3"/>
  <c r="K74" i="3" s="1"/>
  <c r="L75" i="3"/>
  <c r="M75" i="3" s="1"/>
  <c r="N76" i="3"/>
  <c r="O76" i="3" s="1"/>
  <c r="P77" i="3"/>
  <c r="Q77" i="3" s="1"/>
  <c r="R78" i="3"/>
  <c r="S78" i="3" s="1"/>
  <c r="AN42" i="2"/>
  <c r="AN66" i="2"/>
  <c r="AN83" i="2"/>
  <c r="B84" i="95"/>
  <c r="B100" i="95"/>
  <c r="B84" i="94"/>
  <c r="B100" i="94"/>
  <c r="B85" i="93"/>
  <c r="B100" i="93"/>
  <c r="B99" i="92"/>
  <c r="I98" i="92"/>
  <c r="B84" i="92"/>
  <c r="J76" i="95"/>
  <c r="J57" i="95"/>
  <c r="L48" i="95"/>
  <c r="L17" i="95"/>
  <c r="N18" i="95"/>
  <c r="P13" i="95"/>
  <c r="Q19" i="95"/>
  <c r="Q18" i="95"/>
  <c r="R18" i="95" s="1"/>
  <c r="Q20" i="95"/>
  <c r="Q22" i="95"/>
  <c r="R22" i="95" s="1"/>
  <c r="V28" i="95"/>
  <c r="V11" i="95"/>
  <c r="V77" i="95"/>
  <c r="H48" i="95"/>
  <c r="P48" i="95"/>
  <c r="N47" i="95"/>
  <c r="L47" i="95"/>
  <c r="T47" i="95"/>
  <c r="E7" i="95"/>
  <c r="H11" i="95"/>
  <c r="Q11" i="95"/>
  <c r="R11" i="95" s="1"/>
  <c r="O12" i="95"/>
  <c r="P12" i="95" s="1"/>
  <c r="M14" i="95"/>
  <c r="N14" i="95" s="1"/>
  <c r="J17" i="95"/>
  <c r="T18" i="95"/>
  <c r="S30" i="95"/>
  <c r="K30" i="95"/>
  <c r="I30" i="95"/>
  <c r="O30" i="95"/>
  <c r="G30" i="95"/>
  <c r="Q34" i="95"/>
  <c r="R34" i="95" s="1"/>
  <c r="T36" i="95"/>
  <c r="M37" i="95"/>
  <c r="N37" i="95" s="1"/>
  <c r="Q42" i="95"/>
  <c r="P23" i="95"/>
  <c r="H23" i="95"/>
  <c r="T23" i="95"/>
  <c r="L23" i="95"/>
  <c r="M16" i="95"/>
  <c r="N16" i="95" s="1"/>
  <c r="H22" i="95"/>
  <c r="J24" i="95"/>
  <c r="P28" i="95"/>
  <c r="I29" i="95"/>
  <c r="S33" i="95"/>
  <c r="T33" i="95" s="1"/>
  <c r="K33" i="95"/>
  <c r="L33" i="95" s="1"/>
  <c r="O33" i="95"/>
  <c r="P33" i="95" s="1"/>
  <c r="G33" i="95"/>
  <c r="Q37" i="95"/>
  <c r="R37" i="95" s="1"/>
  <c r="I45" i="95"/>
  <c r="K45" i="95"/>
  <c r="U45" i="95"/>
  <c r="G45" i="95"/>
  <c r="S45" i="95"/>
  <c r="O45" i="95"/>
  <c r="J11" i="95"/>
  <c r="Q12" i="95"/>
  <c r="R12" i="95" s="1"/>
  <c r="O14" i="95"/>
  <c r="P14" i="95" s="1"/>
  <c r="S15" i="95"/>
  <c r="T15" i="95" s="1"/>
  <c r="K15" i="95"/>
  <c r="L15" i="95" s="1"/>
  <c r="O15" i="95"/>
  <c r="P15" i="95" s="1"/>
  <c r="G15" i="95"/>
  <c r="O16" i="95"/>
  <c r="P16" i="95" s="1"/>
  <c r="L18" i="95"/>
  <c r="V18" i="95"/>
  <c r="J21" i="95"/>
  <c r="V21" i="95"/>
  <c r="J23" i="95"/>
  <c r="V23" i="95"/>
  <c r="O26" i="95"/>
  <c r="P26" i="95" s="1"/>
  <c r="G26" i="95"/>
  <c r="S26" i="95"/>
  <c r="T26" i="95" s="1"/>
  <c r="K26" i="95"/>
  <c r="L26" i="95" s="1"/>
  <c r="Q26" i="95"/>
  <c r="R26" i="95" s="1"/>
  <c r="H36" i="95"/>
  <c r="Q41" i="95"/>
  <c r="Q58" i="95"/>
  <c r="R58" i="95" s="1"/>
  <c r="V24" i="95"/>
  <c r="S12" i="95"/>
  <c r="T12" i="95" s="1"/>
  <c r="Q14" i="95"/>
  <c r="R14" i="95" s="1"/>
  <c r="T28" i="95"/>
  <c r="I33" i="95"/>
  <c r="J33" i="95" s="1"/>
  <c r="T40" i="95"/>
  <c r="M45" i="95"/>
  <c r="H60" i="95"/>
  <c r="O29" i="95"/>
  <c r="G29" i="95"/>
  <c r="S29" i="95"/>
  <c r="K29" i="95"/>
  <c r="Q73" i="95"/>
  <c r="R73" i="95" s="1"/>
  <c r="Q76" i="95"/>
  <c r="R76" i="95" s="1"/>
  <c r="Q67" i="95"/>
  <c r="R67" i="95" s="1"/>
  <c r="Q63" i="95"/>
  <c r="R63" i="95" s="1"/>
  <c r="Q57" i="95"/>
  <c r="R57" i="95" s="1"/>
  <c r="Q49" i="95"/>
  <c r="R49" i="95" s="1"/>
  <c r="Q71" i="95"/>
  <c r="R71" i="95" s="1"/>
  <c r="Q60" i="95"/>
  <c r="R60" i="95" s="1"/>
  <c r="Q52" i="95"/>
  <c r="R52" i="95" s="1"/>
  <c r="Q44" i="95"/>
  <c r="Q74" i="95"/>
  <c r="R74" i="95" s="1"/>
  <c r="Q68" i="95"/>
  <c r="R68" i="95" s="1"/>
  <c r="Q64" i="95"/>
  <c r="R64" i="95" s="1"/>
  <c r="Q55" i="95"/>
  <c r="R55" i="95" s="1"/>
  <c r="Q77" i="95"/>
  <c r="R77" i="95" s="1"/>
  <c r="Q72" i="95"/>
  <c r="R72" i="95" s="1"/>
  <c r="Q69" i="95"/>
  <c r="R69" i="95" s="1"/>
  <c r="Q65" i="95"/>
  <c r="R65" i="95" s="1"/>
  <c r="Q61" i="95"/>
  <c r="R61" i="95" s="1"/>
  <c r="Q53" i="95"/>
  <c r="R53" i="95" s="1"/>
  <c r="Q45" i="95"/>
  <c r="Q75" i="95"/>
  <c r="R75" i="95" s="1"/>
  <c r="Q56" i="95"/>
  <c r="R56" i="95" s="1"/>
  <c r="Q48" i="95"/>
  <c r="R48" i="95" s="1"/>
  <c r="Q78" i="95"/>
  <c r="R78" i="95" s="1"/>
  <c r="Q50" i="95"/>
  <c r="R50" i="95" s="1"/>
  <c r="Q47" i="95"/>
  <c r="R47" i="95" s="1"/>
  <c r="Q54" i="95"/>
  <c r="R54" i="95" s="1"/>
  <c r="Q43" i="95"/>
  <c r="Q40" i="95"/>
  <c r="R40" i="95" s="1"/>
  <c r="Q32" i="95"/>
  <c r="Q23" i="95"/>
  <c r="R23" i="95" s="1"/>
  <c r="Q35" i="95"/>
  <c r="R35" i="95" s="1"/>
  <c r="Q27" i="95"/>
  <c r="R27" i="95" s="1"/>
  <c r="Q17" i="95"/>
  <c r="R17" i="95" s="1"/>
  <c r="Q38" i="95"/>
  <c r="R38" i="95" s="1"/>
  <c r="Q30" i="95"/>
  <c r="Q66" i="95"/>
  <c r="R66" i="95" s="1"/>
  <c r="Q51" i="95"/>
  <c r="R51" i="95" s="1"/>
  <c r="Q59" i="95"/>
  <c r="R59" i="95" s="1"/>
  <c r="Q36" i="95"/>
  <c r="R36" i="95" s="1"/>
  <c r="Q28" i="95"/>
  <c r="R28" i="95" s="1"/>
  <c r="Q25" i="95"/>
  <c r="R25" i="95" s="1"/>
  <c r="Q21" i="95"/>
  <c r="R21" i="95" s="1"/>
  <c r="Q70" i="95"/>
  <c r="R70" i="95" s="1"/>
  <c r="Q62" i="95"/>
  <c r="R62" i="95" s="1"/>
  <c r="Q46" i="95"/>
  <c r="R46" i="95" s="1"/>
  <c r="Q39" i="95"/>
  <c r="R39" i="95" s="1"/>
  <c r="Q31" i="95"/>
  <c r="Q13" i="95"/>
  <c r="R13" i="95" s="1"/>
  <c r="Q16" i="95"/>
  <c r="R16" i="95" s="1"/>
  <c r="T25" i="95"/>
  <c r="L25" i="95"/>
  <c r="P25" i="95"/>
  <c r="H25" i="95"/>
  <c r="Q29" i="95"/>
  <c r="O37" i="95"/>
  <c r="P37" i="95" s="1"/>
  <c r="G37" i="95"/>
  <c r="S37" i="95"/>
  <c r="T37" i="95" s="1"/>
  <c r="K37" i="95"/>
  <c r="L37" i="95" s="1"/>
  <c r="Q10" i="95"/>
  <c r="S11" i="95"/>
  <c r="T11" i="95" s="1"/>
  <c r="K11" i="95"/>
  <c r="L11" i="95" s="1"/>
  <c r="K12" i="95"/>
  <c r="L12" i="95" s="1"/>
  <c r="I14" i="95"/>
  <c r="J14" i="95" s="1"/>
  <c r="I15" i="95"/>
  <c r="J15" i="95" s="1"/>
  <c r="O19" i="95"/>
  <c r="G19" i="95"/>
  <c r="S19" i="95"/>
  <c r="K19" i="95"/>
  <c r="S22" i="95"/>
  <c r="T22" i="95" s="1"/>
  <c r="K22" i="95"/>
  <c r="L22" i="95" s="1"/>
  <c r="O22" i="95"/>
  <c r="P22" i="95" s="1"/>
  <c r="N23" i="95"/>
  <c r="S24" i="95"/>
  <c r="T24" i="95" s="1"/>
  <c r="K24" i="95"/>
  <c r="L24" i="95" s="1"/>
  <c r="O24" i="95"/>
  <c r="P24" i="95" s="1"/>
  <c r="G24" i="95"/>
  <c r="Q24" i="95"/>
  <c r="R24" i="95" s="1"/>
  <c r="H28" i="95"/>
  <c r="S38" i="95"/>
  <c r="T38" i="95" s="1"/>
  <c r="K38" i="95"/>
  <c r="L38" i="95" s="1"/>
  <c r="I38" i="95"/>
  <c r="J38" i="95" s="1"/>
  <c r="O38" i="95"/>
  <c r="P38" i="95" s="1"/>
  <c r="G38" i="95"/>
  <c r="S42" i="95"/>
  <c r="K42" i="95"/>
  <c r="O42" i="95"/>
  <c r="G42" i="95"/>
  <c r="M42" i="95"/>
  <c r="U42" i="95"/>
  <c r="I42" i="95"/>
  <c r="S74" i="95"/>
  <c r="T74" i="95" s="1"/>
  <c r="K74" i="95"/>
  <c r="L74" i="95" s="1"/>
  <c r="I74" i="95"/>
  <c r="J74" i="95" s="1"/>
  <c r="O74" i="95"/>
  <c r="P74" i="95" s="1"/>
  <c r="G74" i="95"/>
  <c r="U74" i="95"/>
  <c r="V74" i="95" s="1"/>
  <c r="M74" i="95"/>
  <c r="N74" i="95" s="1"/>
  <c r="T21" i="95"/>
  <c r="L21" i="95"/>
  <c r="P21" i="95"/>
  <c r="H21" i="95"/>
  <c r="U29" i="95"/>
  <c r="Q33" i="95"/>
  <c r="R33" i="95" s="1"/>
  <c r="P36" i="95"/>
  <c r="I37" i="95"/>
  <c r="J37" i="95" s="1"/>
  <c r="M41" i="95"/>
  <c r="K41" i="95"/>
  <c r="S41" i="95"/>
  <c r="I41" i="95"/>
  <c r="G41" i="95"/>
  <c r="I13" i="95"/>
  <c r="J13" i="95" s="1"/>
  <c r="M17" i="95"/>
  <c r="N17" i="95" s="1"/>
  <c r="J22" i="95"/>
  <c r="N24" i="95"/>
  <c r="J26" i="95"/>
  <c r="M27" i="95"/>
  <c r="N27" i="95" s="1"/>
  <c r="I31" i="95"/>
  <c r="M35" i="95"/>
  <c r="N35" i="95" s="1"/>
  <c r="I39" i="95"/>
  <c r="J39" i="95" s="1"/>
  <c r="O46" i="95"/>
  <c r="P46" i="95" s="1"/>
  <c r="G46" i="95"/>
  <c r="S46" i="95"/>
  <c r="T46" i="95" s="1"/>
  <c r="K46" i="95"/>
  <c r="L46" i="95" s="1"/>
  <c r="L49" i="95"/>
  <c r="S50" i="95"/>
  <c r="T50" i="95" s="1"/>
  <c r="K50" i="95"/>
  <c r="L50" i="95" s="1"/>
  <c r="O50" i="95"/>
  <c r="P50" i="95" s="1"/>
  <c r="G50" i="95"/>
  <c r="U50" i="95"/>
  <c r="V50" i="95" s="1"/>
  <c r="O54" i="95"/>
  <c r="P54" i="95" s="1"/>
  <c r="G54" i="95"/>
  <c r="S54" i="95"/>
  <c r="T54" i="95" s="1"/>
  <c r="K54" i="95"/>
  <c r="L54" i="95" s="1"/>
  <c r="H57" i="95"/>
  <c r="J65" i="95"/>
  <c r="V65" i="95"/>
  <c r="P67" i="95"/>
  <c r="H67" i="95"/>
  <c r="V67" i="95"/>
  <c r="T67" i="95"/>
  <c r="L67" i="95"/>
  <c r="I28" i="95"/>
  <c r="J28" i="95" s="1"/>
  <c r="M32" i="95"/>
  <c r="K34" i="95"/>
  <c r="L34" i="95" s="1"/>
  <c r="S34" i="95"/>
  <c r="T34" i="95" s="1"/>
  <c r="I36" i="95"/>
  <c r="J36" i="95" s="1"/>
  <c r="M40" i="95"/>
  <c r="N40" i="95" s="1"/>
  <c r="I47" i="95"/>
  <c r="J47" i="95" s="1"/>
  <c r="U47" i="95"/>
  <c r="V47" i="95" s="1"/>
  <c r="S55" i="95"/>
  <c r="T55" i="95" s="1"/>
  <c r="K55" i="95"/>
  <c r="L55" i="95" s="1"/>
  <c r="I55" i="95"/>
  <c r="J55" i="95" s="1"/>
  <c r="O55" i="95"/>
  <c r="P55" i="95" s="1"/>
  <c r="G55" i="95"/>
  <c r="O62" i="95"/>
  <c r="P62" i="95" s="1"/>
  <c r="G62" i="95"/>
  <c r="U62" i="95"/>
  <c r="V62" i="95" s="1"/>
  <c r="M62" i="95"/>
  <c r="N62" i="95" s="1"/>
  <c r="S62" i="95"/>
  <c r="T62" i="95" s="1"/>
  <c r="K62" i="95"/>
  <c r="L62" i="95" s="1"/>
  <c r="J63" i="95"/>
  <c r="S64" i="95"/>
  <c r="T64" i="95" s="1"/>
  <c r="K64" i="95"/>
  <c r="L64" i="95" s="1"/>
  <c r="I64" i="95"/>
  <c r="J64" i="95" s="1"/>
  <c r="O64" i="95"/>
  <c r="P64" i="95" s="1"/>
  <c r="G64" i="95"/>
  <c r="U64" i="95"/>
  <c r="V64" i="95" s="1"/>
  <c r="S68" i="95"/>
  <c r="T68" i="95" s="1"/>
  <c r="K68" i="95"/>
  <c r="L68" i="95" s="1"/>
  <c r="I68" i="95"/>
  <c r="J68" i="95" s="1"/>
  <c r="O68" i="95"/>
  <c r="P68" i="95" s="1"/>
  <c r="G68" i="95"/>
  <c r="S58" i="95"/>
  <c r="T58" i="95" s="1"/>
  <c r="K58" i="95"/>
  <c r="L58" i="95" s="1"/>
  <c r="O58" i="95"/>
  <c r="P58" i="95" s="1"/>
  <c r="G58" i="95"/>
  <c r="M34" i="95"/>
  <c r="N34" i="95" s="1"/>
  <c r="U34" i="95"/>
  <c r="V34" i="95" s="1"/>
  <c r="O51" i="95"/>
  <c r="P51" i="95" s="1"/>
  <c r="G51" i="95"/>
  <c r="S51" i="95"/>
  <c r="T51" i="95" s="1"/>
  <c r="K51" i="95"/>
  <c r="L51" i="95" s="1"/>
  <c r="L57" i="95"/>
  <c r="N65" i="95"/>
  <c r="O66" i="95"/>
  <c r="P66" i="95" s="1"/>
  <c r="G66" i="95"/>
  <c r="U66" i="95"/>
  <c r="V66" i="95" s="1"/>
  <c r="M66" i="95"/>
  <c r="N66" i="95" s="1"/>
  <c r="S66" i="95"/>
  <c r="T66" i="95" s="1"/>
  <c r="K66" i="95"/>
  <c r="L66" i="95" s="1"/>
  <c r="V69" i="95"/>
  <c r="N69" i="95"/>
  <c r="T69" i="95"/>
  <c r="L69" i="95"/>
  <c r="J69" i="95"/>
  <c r="P69" i="95"/>
  <c r="H69" i="95"/>
  <c r="M13" i="95"/>
  <c r="N13" i="95" s="1"/>
  <c r="N22" i="95"/>
  <c r="N26" i="95"/>
  <c r="M31" i="95"/>
  <c r="M39" i="95"/>
  <c r="N39" i="95" s="1"/>
  <c r="S43" i="95"/>
  <c r="K43" i="95"/>
  <c r="T49" i="95"/>
  <c r="U51" i="95"/>
  <c r="V51" i="95" s="1"/>
  <c r="I58" i="95"/>
  <c r="J58" i="95" s="1"/>
  <c r="M28" i="95"/>
  <c r="N28" i="95" s="1"/>
  <c r="G34" i="95"/>
  <c r="M36" i="95"/>
  <c r="N36" i="95" s="1"/>
  <c r="H49" i="95"/>
  <c r="M55" i="95"/>
  <c r="N55" i="95" s="1"/>
  <c r="P57" i="95"/>
  <c r="M58" i="95"/>
  <c r="N58" i="95" s="1"/>
  <c r="I62" i="95"/>
  <c r="J62" i="95" s="1"/>
  <c r="M68" i="95"/>
  <c r="N68" i="95" s="1"/>
  <c r="O47" i="95"/>
  <c r="P47" i="95" s="1"/>
  <c r="G47" i="95"/>
  <c r="P63" i="95"/>
  <c r="H63" i="95"/>
  <c r="T63" i="95"/>
  <c r="L63" i="95"/>
  <c r="T65" i="95"/>
  <c r="L65" i="95"/>
  <c r="P65" i="95"/>
  <c r="H65" i="95"/>
  <c r="M44" i="95"/>
  <c r="U44" i="95"/>
  <c r="I48" i="95"/>
  <c r="J48" i="95" s="1"/>
  <c r="M52" i="95"/>
  <c r="N52" i="95" s="1"/>
  <c r="U52" i="95"/>
  <c r="V52" i="95" s="1"/>
  <c r="I56" i="95"/>
  <c r="J56" i="95" s="1"/>
  <c r="M60" i="95"/>
  <c r="N60" i="95" s="1"/>
  <c r="U60" i="95"/>
  <c r="V60" i="95" s="1"/>
  <c r="N64" i="95"/>
  <c r="V68" i="95"/>
  <c r="M71" i="95"/>
  <c r="N71" i="95" s="1"/>
  <c r="U71" i="95"/>
  <c r="V71" i="95" s="1"/>
  <c r="K73" i="95"/>
  <c r="L73" i="95" s="1"/>
  <c r="S73" i="95"/>
  <c r="T73" i="95" s="1"/>
  <c r="G77" i="95"/>
  <c r="O77" i="95"/>
  <c r="P77" i="95" s="1"/>
  <c r="M49" i="95"/>
  <c r="N49" i="95" s="1"/>
  <c r="I53" i="95"/>
  <c r="J53" i="95" s="1"/>
  <c r="M57" i="95"/>
  <c r="N57" i="95" s="1"/>
  <c r="K59" i="95"/>
  <c r="L59" i="95" s="1"/>
  <c r="S59" i="95"/>
  <c r="T59" i="95" s="1"/>
  <c r="I61" i="95"/>
  <c r="J61" i="95" s="1"/>
  <c r="M63" i="95"/>
  <c r="N63" i="95" s="1"/>
  <c r="M67" i="95"/>
  <c r="N67" i="95" s="1"/>
  <c r="K70" i="95"/>
  <c r="L70" i="95" s="1"/>
  <c r="S70" i="95"/>
  <c r="T70" i="95" s="1"/>
  <c r="I72" i="95"/>
  <c r="J72" i="95" s="1"/>
  <c r="M76" i="95"/>
  <c r="N76" i="95" s="1"/>
  <c r="U76" i="95"/>
  <c r="V76" i="95" s="1"/>
  <c r="K78" i="95"/>
  <c r="L78" i="95" s="1"/>
  <c r="S78" i="95"/>
  <c r="T78" i="95" s="1"/>
  <c r="M73" i="95"/>
  <c r="N73" i="95" s="1"/>
  <c r="U73" i="95"/>
  <c r="V73" i="95" s="1"/>
  <c r="M59" i="95"/>
  <c r="N59" i="95" s="1"/>
  <c r="U59" i="95"/>
  <c r="V59" i="95" s="1"/>
  <c r="K61" i="95"/>
  <c r="L61" i="95" s="1"/>
  <c r="S61" i="95"/>
  <c r="T61" i="95" s="1"/>
  <c r="M70" i="95"/>
  <c r="N70" i="95" s="1"/>
  <c r="U70" i="95"/>
  <c r="V70" i="95" s="1"/>
  <c r="K72" i="95"/>
  <c r="L72" i="95" s="1"/>
  <c r="S72" i="95"/>
  <c r="T72" i="95" s="1"/>
  <c r="G76" i="95"/>
  <c r="M78" i="95"/>
  <c r="N78" i="95" s="1"/>
  <c r="U78" i="95"/>
  <c r="V78" i="95" s="1"/>
  <c r="M48" i="95"/>
  <c r="N48" i="95" s="1"/>
  <c r="M56" i="95"/>
  <c r="N56" i="95" s="1"/>
  <c r="G73" i="95"/>
  <c r="M75" i="95"/>
  <c r="N75" i="95" s="1"/>
  <c r="K77" i="95"/>
  <c r="L77" i="95" s="1"/>
  <c r="S77" i="95"/>
  <c r="T77" i="95" s="1"/>
  <c r="M53" i="95"/>
  <c r="N53" i="95" s="1"/>
  <c r="G59" i="95"/>
  <c r="M61" i="95"/>
  <c r="N61" i="95" s="1"/>
  <c r="G70" i="95"/>
  <c r="M72" i="95"/>
  <c r="N72" i="95" s="1"/>
  <c r="G78" i="95"/>
  <c r="M77" i="95"/>
  <c r="N77" i="95" s="1"/>
  <c r="V53" i="94"/>
  <c r="T63" i="94"/>
  <c r="Q12" i="94"/>
  <c r="R12" i="94" s="1"/>
  <c r="Q15" i="94"/>
  <c r="R15" i="94" s="1"/>
  <c r="Q13" i="94"/>
  <c r="R13" i="94" s="1"/>
  <c r="P11" i="94"/>
  <c r="L21" i="94"/>
  <c r="J65" i="94"/>
  <c r="J76" i="94"/>
  <c r="E7" i="94"/>
  <c r="L63" i="94"/>
  <c r="P64" i="94"/>
  <c r="P63" i="94"/>
  <c r="N66" i="94"/>
  <c r="H63" i="94"/>
  <c r="P65" i="94"/>
  <c r="V62" i="94"/>
  <c r="H23" i="94"/>
  <c r="J25" i="94"/>
  <c r="J24" i="94"/>
  <c r="T21" i="94"/>
  <c r="H21" i="94"/>
  <c r="I10" i="94"/>
  <c r="Q10" i="94"/>
  <c r="U11" i="94"/>
  <c r="V11" i="94" s="1"/>
  <c r="I12" i="94"/>
  <c r="J12" i="94" s="1"/>
  <c r="U14" i="94"/>
  <c r="V14" i="94" s="1"/>
  <c r="O16" i="94"/>
  <c r="P16" i="94" s="1"/>
  <c r="U17" i="94"/>
  <c r="V17" i="94" s="1"/>
  <c r="H18" i="94"/>
  <c r="Q18" i="94"/>
  <c r="R18" i="94" s="1"/>
  <c r="O19" i="94"/>
  <c r="G19" i="94"/>
  <c r="I23" i="94"/>
  <c r="J23" i="94" s="1"/>
  <c r="H24" i="94"/>
  <c r="S24" i="94"/>
  <c r="T24" i="94" s="1"/>
  <c r="G25" i="94"/>
  <c r="Q29" i="94"/>
  <c r="G30" i="94"/>
  <c r="Q45" i="94"/>
  <c r="M11" i="94"/>
  <c r="N11" i="94" s="1"/>
  <c r="M14" i="94"/>
  <c r="N14" i="94" s="1"/>
  <c r="G16" i="94"/>
  <c r="M17" i="94"/>
  <c r="N17" i="94" s="1"/>
  <c r="I18" i="94"/>
  <c r="J18" i="94" s="1"/>
  <c r="M20" i="94"/>
  <c r="U23" i="94"/>
  <c r="V23" i="94" s="1"/>
  <c r="S25" i="94"/>
  <c r="T25" i="94" s="1"/>
  <c r="S26" i="94"/>
  <c r="T26" i="94" s="1"/>
  <c r="I30" i="94"/>
  <c r="S34" i="94"/>
  <c r="T34" i="94" s="1"/>
  <c r="K34" i="94"/>
  <c r="L34" i="94" s="1"/>
  <c r="O34" i="94"/>
  <c r="P34" i="94" s="1"/>
  <c r="G34" i="94"/>
  <c r="Q38" i="94"/>
  <c r="R38" i="94" s="1"/>
  <c r="H56" i="94"/>
  <c r="Q26" i="94"/>
  <c r="R26" i="94" s="1"/>
  <c r="Q16" i="94"/>
  <c r="R16" i="94" s="1"/>
  <c r="T18" i="94"/>
  <c r="Q19" i="94"/>
  <c r="U25" i="94"/>
  <c r="V25" i="94" s="1"/>
  <c r="I26" i="94"/>
  <c r="J26" i="94" s="1"/>
  <c r="U26" i="94"/>
  <c r="V26" i="94" s="1"/>
  <c r="Q28" i="94"/>
  <c r="R28" i="94" s="1"/>
  <c r="M30" i="94"/>
  <c r="O14" i="94"/>
  <c r="P14" i="94" s="1"/>
  <c r="I16" i="94"/>
  <c r="J16" i="94" s="1"/>
  <c r="O17" i="94"/>
  <c r="P17" i="94" s="1"/>
  <c r="L18" i="94"/>
  <c r="O20" i="94"/>
  <c r="K25" i="94"/>
  <c r="L25" i="94" s="1"/>
  <c r="I34" i="94"/>
  <c r="J34" i="94" s="1"/>
  <c r="Q73" i="94"/>
  <c r="R73" i="94" s="1"/>
  <c r="Q65" i="94"/>
  <c r="R65" i="94" s="1"/>
  <c r="Q57" i="94"/>
  <c r="R57" i="94" s="1"/>
  <c r="Q76" i="94"/>
  <c r="R76" i="94" s="1"/>
  <c r="Q68" i="94"/>
  <c r="R68" i="94" s="1"/>
  <c r="Q60" i="94"/>
  <c r="R60" i="94" s="1"/>
  <c r="Q52" i="94"/>
  <c r="R52" i="94" s="1"/>
  <c r="Q71" i="94"/>
  <c r="R71" i="94" s="1"/>
  <c r="Q63" i="94"/>
  <c r="R63" i="94" s="1"/>
  <c r="Q55" i="94"/>
  <c r="R55" i="94" s="1"/>
  <c r="Q47" i="94"/>
  <c r="R47" i="94" s="1"/>
  <c r="Q74" i="94"/>
  <c r="R74" i="94" s="1"/>
  <c r="Q66" i="94"/>
  <c r="R66" i="94" s="1"/>
  <c r="Q58" i="94"/>
  <c r="R58" i="94" s="1"/>
  <c r="Q77" i="94"/>
  <c r="R77" i="94" s="1"/>
  <c r="Q69" i="94"/>
  <c r="R69" i="94" s="1"/>
  <c r="Q61" i="94"/>
  <c r="R61" i="94" s="1"/>
  <c r="Q53" i="94"/>
  <c r="R53" i="94" s="1"/>
  <c r="Q72" i="94"/>
  <c r="R72" i="94" s="1"/>
  <c r="Q64" i="94"/>
  <c r="R64" i="94" s="1"/>
  <c r="Q56" i="94"/>
  <c r="R56" i="94" s="1"/>
  <c r="Q48" i="94"/>
  <c r="R48" i="94" s="1"/>
  <c r="Q75" i="94"/>
  <c r="R75" i="94" s="1"/>
  <c r="Q67" i="94"/>
  <c r="R67" i="94" s="1"/>
  <c r="Q59" i="94"/>
  <c r="R59" i="94" s="1"/>
  <c r="Q51" i="94"/>
  <c r="R51" i="94" s="1"/>
  <c r="Q43" i="94"/>
  <c r="Q78" i="94"/>
  <c r="R78" i="94" s="1"/>
  <c r="Q62" i="94"/>
  <c r="R62" i="94" s="1"/>
  <c r="Q50" i="94"/>
  <c r="R50" i="94" s="1"/>
  <c r="Q46" i="94"/>
  <c r="R46" i="94" s="1"/>
  <c r="Q33" i="94"/>
  <c r="R33" i="94" s="1"/>
  <c r="Q25" i="94"/>
  <c r="R25" i="94" s="1"/>
  <c r="Q17" i="94"/>
  <c r="R17" i="94" s="1"/>
  <c r="Q49" i="94"/>
  <c r="R49" i="94" s="1"/>
  <c r="Q42" i="94"/>
  <c r="Q41" i="94"/>
  <c r="Q36" i="94"/>
  <c r="R36" i="94" s="1"/>
  <c r="Q39" i="94"/>
  <c r="R39" i="94" s="1"/>
  <c r="Q31" i="94"/>
  <c r="Q54" i="94"/>
  <c r="R54" i="94" s="1"/>
  <c r="Q44" i="94"/>
  <c r="Q37" i="94"/>
  <c r="R37" i="94" s="1"/>
  <c r="Q40" i="94"/>
  <c r="R40" i="94" s="1"/>
  <c r="Q32" i="94"/>
  <c r="Q24" i="94"/>
  <c r="R24" i="94" s="1"/>
  <c r="Q70" i="94"/>
  <c r="R70" i="94" s="1"/>
  <c r="Q35" i="94"/>
  <c r="R35" i="94" s="1"/>
  <c r="Q27" i="94"/>
  <c r="R27" i="94" s="1"/>
  <c r="M10" i="94"/>
  <c r="H11" i="94"/>
  <c r="Q11" i="94"/>
  <c r="R11" i="94" s="1"/>
  <c r="G14" i="94"/>
  <c r="Q14" i="94"/>
  <c r="R14" i="94" s="1"/>
  <c r="S15" i="94"/>
  <c r="T15" i="94" s="1"/>
  <c r="K15" i="94"/>
  <c r="L15" i="94" s="1"/>
  <c r="S16" i="94"/>
  <c r="T16" i="94" s="1"/>
  <c r="G17" i="94"/>
  <c r="G20" i="94"/>
  <c r="P21" i="94"/>
  <c r="S22" i="94"/>
  <c r="T22" i="94" s="1"/>
  <c r="K22" i="94"/>
  <c r="L22" i="94" s="1"/>
  <c r="O22" i="94"/>
  <c r="P22" i="94" s="1"/>
  <c r="S23" i="94"/>
  <c r="T23" i="94" s="1"/>
  <c r="K23" i="94"/>
  <c r="L23" i="94" s="1"/>
  <c r="O23" i="94"/>
  <c r="P23" i="94" s="1"/>
  <c r="M24" i="94"/>
  <c r="N24" i="94" s="1"/>
  <c r="M25" i="94"/>
  <c r="N25" i="94" s="1"/>
  <c r="K26" i="94"/>
  <c r="L26" i="94" s="1"/>
  <c r="M34" i="94"/>
  <c r="N34" i="94" s="1"/>
  <c r="T37" i="94"/>
  <c r="L37" i="94"/>
  <c r="P37" i="94"/>
  <c r="H46" i="94"/>
  <c r="I11" i="94"/>
  <c r="J11" i="94" s="1"/>
  <c r="K16" i="94"/>
  <c r="L16" i="94" s="1"/>
  <c r="Q20" i="94"/>
  <c r="Q21" i="94"/>
  <c r="R21" i="94" s="1"/>
  <c r="Q22" i="94"/>
  <c r="R22" i="94" s="1"/>
  <c r="O24" i="94"/>
  <c r="P24" i="94" s="1"/>
  <c r="O27" i="94"/>
  <c r="P27" i="94" s="1"/>
  <c r="G27" i="94"/>
  <c r="I27" i="94"/>
  <c r="J27" i="94" s="1"/>
  <c r="S27" i="94"/>
  <c r="T27" i="94" s="1"/>
  <c r="Q34" i="94"/>
  <c r="R34" i="94" s="1"/>
  <c r="S74" i="94"/>
  <c r="T74" i="94" s="1"/>
  <c r="K74" i="94"/>
  <c r="L74" i="94" s="1"/>
  <c r="I74" i="94"/>
  <c r="J74" i="94" s="1"/>
  <c r="O74" i="94"/>
  <c r="P74" i="94" s="1"/>
  <c r="G74" i="94"/>
  <c r="U74" i="94"/>
  <c r="V74" i="94" s="1"/>
  <c r="M74" i="94"/>
  <c r="N74" i="94" s="1"/>
  <c r="M16" i="94"/>
  <c r="N16" i="94" s="1"/>
  <c r="O26" i="94"/>
  <c r="P26" i="94" s="1"/>
  <c r="G26" i="94"/>
  <c r="Q23" i="94"/>
  <c r="R23" i="94" s="1"/>
  <c r="O25" i="94"/>
  <c r="P25" i="94" s="1"/>
  <c r="O30" i="94"/>
  <c r="S30" i="94"/>
  <c r="K30" i="94"/>
  <c r="M31" i="94"/>
  <c r="U31" i="94"/>
  <c r="K33" i="94"/>
  <c r="L33" i="94" s="1"/>
  <c r="S33" i="94"/>
  <c r="T33" i="94" s="1"/>
  <c r="I35" i="94"/>
  <c r="J35" i="94" s="1"/>
  <c r="M39" i="94"/>
  <c r="N39" i="94" s="1"/>
  <c r="U39" i="94"/>
  <c r="V39" i="94" s="1"/>
  <c r="K41" i="94"/>
  <c r="I42" i="94"/>
  <c r="U42" i="94"/>
  <c r="S45" i="94"/>
  <c r="K45" i="94"/>
  <c r="O45" i="94"/>
  <c r="G45" i="94"/>
  <c r="U46" i="94"/>
  <c r="V46" i="94" s="1"/>
  <c r="M48" i="94"/>
  <c r="N48" i="94" s="1"/>
  <c r="P49" i="94"/>
  <c r="M28" i="94"/>
  <c r="N28" i="94" s="1"/>
  <c r="I32" i="94"/>
  <c r="M36" i="94"/>
  <c r="N36" i="94" s="1"/>
  <c r="K38" i="94"/>
  <c r="L38" i="94" s="1"/>
  <c r="S38" i="94"/>
  <c r="T38" i="94" s="1"/>
  <c r="I40" i="94"/>
  <c r="J40" i="94" s="1"/>
  <c r="I46" i="94"/>
  <c r="J46" i="94" s="1"/>
  <c r="S50" i="94"/>
  <c r="T50" i="94" s="1"/>
  <c r="K50" i="94"/>
  <c r="L50" i="94" s="1"/>
  <c r="O50" i="94"/>
  <c r="P50" i="94" s="1"/>
  <c r="G50" i="94"/>
  <c r="S58" i="94"/>
  <c r="T58" i="94" s="1"/>
  <c r="K58" i="94"/>
  <c r="L58" i="94" s="1"/>
  <c r="I58" i="94"/>
  <c r="J58" i="94" s="1"/>
  <c r="O58" i="94"/>
  <c r="P58" i="94" s="1"/>
  <c r="G58" i="94"/>
  <c r="M33" i="94"/>
  <c r="N33" i="94" s="1"/>
  <c r="U33" i="94"/>
  <c r="V33" i="94" s="1"/>
  <c r="O41" i="94"/>
  <c r="S41" i="94"/>
  <c r="M41" i="94"/>
  <c r="I45" i="94"/>
  <c r="U45" i="94"/>
  <c r="M38" i="94"/>
  <c r="N38" i="94" s="1"/>
  <c r="U38" i="94"/>
  <c r="V38" i="94" s="1"/>
  <c r="U48" i="94"/>
  <c r="V48" i="94" s="1"/>
  <c r="I48" i="94"/>
  <c r="J48" i="94" s="1"/>
  <c r="M58" i="94"/>
  <c r="N58" i="94" s="1"/>
  <c r="G33" i="94"/>
  <c r="O33" i="94"/>
  <c r="P33" i="94" s="1"/>
  <c r="M35" i="94"/>
  <c r="N35" i="94" s="1"/>
  <c r="U35" i="94"/>
  <c r="V35" i="94" s="1"/>
  <c r="G41" i="94"/>
  <c r="S48" i="94"/>
  <c r="T48" i="94" s="1"/>
  <c r="U58" i="94"/>
  <c r="V58" i="94" s="1"/>
  <c r="M32" i="94"/>
  <c r="G38" i="94"/>
  <c r="M40" i="94"/>
  <c r="N40" i="94" s="1"/>
  <c r="S46" i="94"/>
  <c r="T46" i="94" s="1"/>
  <c r="K46" i="94"/>
  <c r="L46" i="94" s="1"/>
  <c r="G48" i="94"/>
  <c r="S66" i="94"/>
  <c r="T66" i="94" s="1"/>
  <c r="K66" i="94"/>
  <c r="L66" i="94" s="1"/>
  <c r="I66" i="94"/>
  <c r="J66" i="94" s="1"/>
  <c r="O66" i="94"/>
  <c r="P66" i="94" s="1"/>
  <c r="G66" i="94"/>
  <c r="M13" i="94"/>
  <c r="N13" i="94" s="1"/>
  <c r="M21" i="94"/>
  <c r="N21" i="94" s="1"/>
  <c r="M29" i="94"/>
  <c r="K31" i="94"/>
  <c r="G35" i="94"/>
  <c r="M37" i="94"/>
  <c r="N37" i="94" s="1"/>
  <c r="K39" i="94"/>
  <c r="L39" i="94" s="1"/>
  <c r="I41" i="94"/>
  <c r="G42" i="94"/>
  <c r="S42" i="94"/>
  <c r="I43" i="94"/>
  <c r="M47" i="94"/>
  <c r="N47" i="94" s="1"/>
  <c r="U47" i="94"/>
  <c r="V47" i="94" s="1"/>
  <c r="K49" i="94"/>
  <c r="L49" i="94" s="1"/>
  <c r="S49" i="94"/>
  <c r="T49" i="94" s="1"/>
  <c r="I51" i="94"/>
  <c r="J51" i="94" s="1"/>
  <c r="G53" i="94"/>
  <c r="O53" i="94"/>
  <c r="P53" i="94" s="1"/>
  <c r="M55" i="94"/>
  <c r="N55" i="94" s="1"/>
  <c r="U55" i="94"/>
  <c r="V55" i="94" s="1"/>
  <c r="K57" i="94"/>
  <c r="L57" i="94" s="1"/>
  <c r="S57" i="94"/>
  <c r="T57" i="94" s="1"/>
  <c r="G61" i="94"/>
  <c r="O61" i="94"/>
  <c r="P61" i="94" s="1"/>
  <c r="M63" i="94"/>
  <c r="N63" i="94" s="1"/>
  <c r="U63" i="94"/>
  <c r="V63" i="94" s="1"/>
  <c r="K65" i="94"/>
  <c r="L65" i="94" s="1"/>
  <c r="S65" i="94"/>
  <c r="T65" i="94" s="1"/>
  <c r="G69" i="94"/>
  <c r="O69" i="94"/>
  <c r="P69" i="94" s="1"/>
  <c r="M71" i="94"/>
  <c r="N71" i="94" s="1"/>
  <c r="U71" i="94"/>
  <c r="V71" i="94" s="1"/>
  <c r="K73" i="94"/>
  <c r="L73" i="94" s="1"/>
  <c r="S73" i="94"/>
  <c r="T73" i="94" s="1"/>
  <c r="G77" i="94"/>
  <c r="O77" i="94"/>
  <c r="P77" i="94" s="1"/>
  <c r="M44" i="94"/>
  <c r="M52" i="94"/>
  <c r="N52" i="94" s="1"/>
  <c r="K54" i="94"/>
  <c r="L54" i="94" s="1"/>
  <c r="S54" i="94"/>
  <c r="T54" i="94" s="1"/>
  <c r="I56" i="94"/>
  <c r="J56" i="94" s="1"/>
  <c r="M60" i="94"/>
  <c r="N60" i="94" s="1"/>
  <c r="K62" i="94"/>
  <c r="L62" i="94" s="1"/>
  <c r="S62" i="94"/>
  <c r="T62" i="94" s="1"/>
  <c r="I64" i="94"/>
  <c r="J64" i="94" s="1"/>
  <c r="M68" i="94"/>
  <c r="N68" i="94" s="1"/>
  <c r="U68" i="94"/>
  <c r="V68" i="94" s="1"/>
  <c r="K70" i="94"/>
  <c r="L70" i="94" s="1"/>
  <c r="S70" i="94"/>
  <c r="T70" i="94" s="1"/>
  <c r="I72" i="94"/>
  <c r="J72" i="94" s="1"/>
  <c r="M76" i="94"/>
  <c r="N76" i="94" s="1"/>
  <c r="U76" i="94"/>
  <c r="V76" i="94" s="1"/>
  <c r="K78" i="94"/>
  <c r="L78" i="94" s="1"/>
  <c r="S78" i="94"/>
  <c r="T78" i="94" s="1"/>
  <c r="M49" i="94"/>
  <c r="N49" i="94" s="1"/>
  <c r="U49" i="94"/>
  <c r="V49" i="94" s="1"/>
  <c r="I53" i="94"/>
  <c r="J53" i="94" s="1"/>
  <c r="M57" i="94"/>
  <c r="N57" i="94" s="1"/>
  <c r="U57" i="94"/>
  <c r="V57" i="94" s="1"/>
  <c r="I61" i="94"/>
  <c r="J61" i="94" s="1"/>
  <c r="M65" i="94"/>
  <c r="N65" i="94" s="1"/>
  <c r="U65" i="94"/>
  <c r="V65" i="94" s="1"/>
  <c r="I69" i="94"/>
  <c r="J69" i="94" s="1"/>
  <c r="M73" i="94"/>
  <c r="N73" i="94" s="1"/>
  <c r="U73" i="94"/>
  <c r="V73" i="94" s="1"/>
  <c r="M54" i="94"/>
  <c r="N54" i="94" s="1"/>
  <c r="K56" i="94"/>
  <c r="L56" i="94" s="1"/>
  <c r="S56" i="94"/>
  <c r="T56" i="94" s="1"/>
  <c r="M62" i="94"/>
  <c r="N62" i="94" s="1"/>
  <c r="K64" i="94"/>
  <c r="L64" i="94" s="1"/>
  <c r="S64" i="94"/>
  <c r="T64" i="94" s="1"/>
  <c r="G68" i="94"/>
  <c r="M70" i="94"/>
  <c r="N70" i="94" s="1"/>
  <c r="K72" i="94"/>
  <c r="L72" i="94" s="1"/>
  <c r="S72" i="94"/>
  <c r="T72" i="94" s="1"/>
  <c r="G76" i="94"/>
  <c r="M78" i="94"/>
  <c r="N78" i="94" s="1"/>
  <c r="U78" i="94"/>
  <c r="V78" i="94" s="1"/>
  <c r="M43" i="94"/>
  <c r="G49" i="94"/>
  <c r="M51" i="94"/>
  <c r="N51" i="94" s="1"/>
  <c r="K53" i="94"/>
  <c r="L53" i="94" s="1"/>
  <c r="S53" i="94"/>
  <c r="T53" i="94" s="1"/>
  <c r="G57" i="94"/>
  <c r="M59" i="94"/>
  <c r="N59" i="94" s="1"/>
  <c r="K61" i="94"/>
  <c r="L61" i="94" s="1"/>
  <c r="S61" i="94"/>
  <c r="T61" i="94" s="1"/>
  <c r="G65" i="94"/>
  <c r="M67" i="94"/>
  <c r="N67" i="94" s="1"/>
  <c r="K69" i="94"/>
  <c r="L69" i="94" s="1"/>
  <c r="S69" i="94"/>
  <c r="T69" i="94" s="1"/>
  <c r="G73" i="94"/>
  <c r="M75" i="94"/>
  <c r="N75" i="94" s="1"/>
  <c r="K77" i="94"/>
  <c r="L77" i="94" s="1"/>
  <c r="S77" i="94"/>
  <c r="T77" i="94" s="1"/>
  <c r="M56" i="94"/>
  <c r="N56" i="94" s="1"/>
  <c r="M64" i="94"/>
  <c r="N64" i="94" s="1"/>
  <c r="M72" i="94"/>
  <c r="N72" i="94" s="1"/>
  <c r="G78" i="94"/>
  <c r="M53" i="94"/>
  <c r="N53" i="94" s="1"/>
  <c r="M61" i="94"/>
  <c r="N61" i="94" s="1"/>
  <c r="M69" i="94"/>
  <c r="N69" i="94" s="1"/>
  <c r="M77" i="94"/>
  <c r="N77" i="94" s="1"/>
  <c r="J46" i="93"/>
  <c r="N16" i="93"/>
  <c r="N21" i="93"/>
  <c r="Q20" i="93"/>
  <c r="Q14" i="93"/>
  <c r="R14" i="93" s="1"/>
  <c r="J16" i="93"/>
  <c r="Q25" i="93"/>
  <c r="R25" i="93" s="1"/>
  <c r="H28" i="93"/>
  <c r="T28" i="93"/>
  <c r="U30" i="93"/>
  <c r="I33" i="93"/>
  <c r="J33" i="93" s="1"/>
  <c r="O33" i="93"/>
  <c r="P33" i="93" s="1"/>
  <c r="G33" i="93"/>
  <c r="S33" i="93"/>
  <c r="T33" i="93" s="1"/>
  <c r="K33" i="93"/>
  <c r="L33" i="93" s="1"/>
  <c r="V40" i="93"/>
  <c r="T40" i="93"/>
  <c r="I10" i="93"/>
  <c r="U10" i="93"/>
  <c r="Q13" i="93"/>
  <c r="R13" i="93" s="1"/>
  <c r="G14" i="93"/>
  <c r="H15" i="93"/>
  <c r="L16" i="93"/>
  <c r="O18" i="93"/>
  <c r="P18" i="93" s="1"/>
  <c r="G18" i="93"/>
  <c r="Q18" i="93"/>
  <c r="R18" i="93" s="1"/>
  <c r="K24" i="93"/>
  <c r="L24" i="93" s="1"/>
  <c r="O25" i="93"/>
  <c r="P25" i="93" s="1"/>
  <c r="G25" i="93"/>
  <c r="S25" i="93"/>
  <c r="T25" i="93" s="1"/>
  <c r="K25" i="93"/>
  <c r="L25" i="93" s="1"/>
  <c r="U25" i="93"/>
  <c r="V25" i="93" s="1"/>
  <c r="G30" i="93"/>
  <c r="O32" i="93"/>
  <c r="G32" i="93"/>
  <c r="S32" i="93"/>
  <c r="K32" i="93"/>
  <c r="I32" i="93"/>
  <c r="K10" i="93"/>
  <c r="S13" i="93"/>
  <c r="T13" i="93" s="1"/>
  <c r="K13" i="93"/>
  <c r="L13" i="93" s="1"/>
  <c r="O13" i="93"/>
  <c r="P13" i="93" s="1"/>
  <c r="G13" i="93"/>
  <c r="U14" i="93"/>
  <c r="V14" i="93" s="1"/>
  <c r="S18" i="93"/>
  <c r="T18" i="93" s="1"/>
  <c r="S22" i="93"/>
  <c r="T22" i="93" s="1"/>
  <c r="K22" i="93"/>
  <c r="L22" i="93" s="1"/>
  <c r="M24" i="93"/>
  <c r="N24" i="93" s="1"/>
  <c r="Q29" i="93"/>
  <c r="O17" i="93"/>
  <c r="P17" i="93" s="1"/>
  <c r="G17" i="93"/>
  <c r="S17" i="93"/>
  <c r="T17" i="93" s="1"/>
  <c r="K17" i="93"/>
  <c r="L17" i="93" s="1"/>
  <c r="Q17" i="93"/>
  <c r="R17" i="93" s="1"/>
  <c r="Q22" i="93"/>
  <c r="R22" i="93" s="1"/>
  <c r="L28" i="93"/>
  <c r="Q43" i="93"/>
  <c r="S14" i="93"/>
  <c r="T14" i="93" s="1"/>
  <c r="K14" i="93"/>
  <c r="L14" i="93" s="1"/>
  <c r="Q12" i="93"/>
  <c r="R12" i="93" s="1"/>
  <c r="P16" i="93"/>
  <c r="Q21" i="93"/>
  <c r="R21" i="93" s="1"/>
  <c r="S29" i="93"/>
  <c r="K29" i="93"/>
  <c r="O29" i="93"/>
  <c r="G29" i="93"/>
  <c r="M32" i="93"/>
  <c r="J36" i="93"/>
  <c r="I30" i="93"/>
  <c r="S30" i="93"/>
  <c r="K30" i="93"/>
  <c r="M14" i="93"/>
  <c r="N14" i="93" s="1"/>
  <c r="U17" i="93"/>
  <c r="V17" i="93" s="1"/>
  <c r="K18" i="93"/>
  <c r="L18" i="93" s="1"/>
  <c r="S21" i="93"/>
  <c r="T21" i="93" s="1"/>
  <c r="K21" i="93"/>
  <c r="L21" i="93" s="1"/>
  <c r="O21" i="93"/>
  <c r="P21" i="93" s="1"/>
  <c r="G21" i="93"/>
  <c r="U22" i="93"/>
  <c r="V22" i="93" s="1"/>
  <c r="M25" i="93"/>
  <c r="N25" i="93" s="1"/>
  <c r="P28" i="93"/>
  <c r="U29" i="93"/>
  <c r="O30" i="93"/>
  <c r="U33" i="93"/>
  <c r="V33" i="93" s="1"/>
  <c r="L36" i="93"/>
  <c r="P40" i="93"/>
  <c r="Q73" i="93"/>
  <c r="R73" i="93" s="1"/>
  <c r="Q65" i="93"/>
  <c r="R65" i="93" s="1"/>
  <c r="Q57" i="93"/>
  <c r="R57" i="93" s="1"/>
  <c r="Q49" i="93"/>
  <c r="R49" i="93" s="1"/>
  <c r="Q41" i="93"/>
  <c r="Q76" i="93"/>
  <c r="R76" i="93" s="1"/>
  <c r="Q68" i="93"/>
  <c r="R68" i="93" s="1"/>
  <c r="Q60" i="93"/>
  <c r="R60" i="93" s="1"/>
  <c r="Q52" i="93"/>
  <c r="R52" i="93" s="1"/>
  <c r="Q44" i="93"/>
  <c r="Q71" i="93"/>
  <c r="R71" i="93" s="1"/>
  <c r="Q63" i="93"/>
  <c r="R63" i="93" s="1"/>
  <c r="Q55" i="93"/>
  <c r="R55" i="93" s="1"/>
  <c r="Q47" i="93"/>
  <c r="R47" i="93" s="1"/>
  <c r="Q74" i="93"/>
  <c r="R74" i="93" s="1"/>
  <c r="Q66" i="93"/>
  <c r="R66" i="93" s="1"/>
  <c r="Q58" i="93"/>
  <c r="R58" i="93" s="1"/>
  <c r="Q50" i="93"/>
  <c r="R50" i="93" s="1"/>
  <c r="Q42" i="93"/>
  <c r="Q77" i="93"/>
  <c r="R77" i="93" s="1"/>
  <c r="Q69" i="93"/>
  <c r="R69" i="93" s="1"/>
  <c r="Q61" i="93"/>
  <c r="R61" i="93" s="1"/>
  <c r="Q53" i="93"/>
  <c r="R53" i="93" s="1"/>
  <c r="Q45" i="93"/>
  <c r="Q75" i="93"/>
  <c r="R75" i="93" s="1"/>
  <c r="Q67" i="93"/>
  <c r="R67" i="93" s="1"/>
  <c r="Q59" i="93"/>
  <c r="R59" i="93" s="1"/>
  <c r="Q78" i="93"/>
  <c r="R78" i="93" s="1"/>
  <c r="Q70" i="93"/>
  <c r="R70" i="93" s="1"/>
  <c r="Q62" i="93"/>
  <c r="R62" i="93" s="1"/>
  <c r="Q54" i="93"/>
  <c r="R54" i="93" s="1"/>
  <c r="Q46" i="93"/>
  <c r="R46" i="93" s="1"/>
  <c r="Q38" i="93"/>
  <c r="R38" i="93" s="1"/>
  <c r="Q30" i="93"/>
  <c r="Q56" i="93"/>
  <c r="R56" i="93" s="1"/>
  <c r="Q51" i="93"/>
  <c r="R51" i="93" s="1"/>
  <c r="Q33" i="93"/>
  <c r="R33" i="93" s="1"/>
  <c r="Q36" i="93"/>
  <c r="R36" i="93" s="1"/>
  <c r="Q72" i="93"/>
  <c r="R72" i="93" s="1"/>
  <c r="Q48" i="93"/>
  <c r="R48" i="93" s="1"/>
  <c r="Q31" i="93"/>
  <c r="Q23" i="93"/>
  <c r="R23" i="93" s="1"/>
  <c r="Q15" i="93"/>
  <c r="R15" i="93" s="1"/>
  <c r="Q40" i="93"/>
  <c r="R40" i="93" s="1"/>
  <c r="Q34" i="93"/>
  <c r="R34" i="93" s="1"/>
  <c r="Q64" i="93"/>
  <c r="R64" i="93" s="1"/>
  <c r="Q39" i="93"/>
  <c r="R39" i="93" s="1"/>
  <c r="Q32" i="93"/>
  <c r="Q24" i="93"/>
  <c r="R24" i="93" s="1"/>
  <c r="Q16" i="93"/>
  <c r="R16" i="93" s="1"/>
  <c r="Q35" i="93"/>
  <c r="R35" i="93" s="1"/>
  <c r="Q27" i="93"/>
  <c r="R27" i="93" s="1"/>
  <c r="Q19" i="93"/>
  <c r="Q11" i="93"/>
  <c r="R11" i="93" s="1"/>
  <c r="O10" i="93"/>
  <c r="G10" i="93"/>
  <c r="Q10" i="93"/>
  <c r="O14" i="93"/>
  <c r="P14" i="93" s="1"/>
  <c r="T16" i="93"/>
  <c r="O24" i="93"/>
  <c r="P24" i="93" s="1"/>
  <c r="G24" i="93"/>
  <c r="I24" i="93"/>
  <c r="J24" i="93" s="1"/>
  <c r="U24" i="93"/>
  <c r="V24" i="93" s="1"/>
  <c r="Q28" i="93"/>
  <c r="R28" i="93" s="1"/>
  <c r="Q37" i="93"/>
  <c r="R37" i="93" s="1"/>
  <c r="M15" i="93"/>
  <c r="N15" i="93" s="1"/>
  <c r="U15" i="93"/>
  <c r="V15" i="93" s="1"/>
  <c r="M23" i="93"/>
  <c r="N23" i="93" s="1"/>
  <c r="U23" i="93"/>
  <c r="V23" i="93" s="1"/>
  <c r="M31" i="93"/>
  <c r="U31" i="93"/>
  <c r="G37" i="93"/>
  <c r="O37" i="93"/>
  <c r="P37" i="93" s="1"/>
  <c r="U44" i="93"/>
  <c r="I68" i="93"/>
  <c r="J68" i="93" s="1"/>
  <c r="O68" i="93"/>
  <c r="P68" i="93" s="1"/>
  <c r="G68" i="93"/>
  <c r="S68" i="93"/>
  <c r="T68" i="93" s="1"/>
  <c r="K68" i="93"/>
  <c r="L68" i="93" s="1"/>
  <c r="M12" i="93"/>
  <c r="N12" i="93" s="1"/>
  <c r="M20" i="93"/>
  <c r="G26" i="93"/>
  <c r="O26" i="93"/>
  <c r="P26" i="93" s="1"/>
  <c r="M28" i="93"/>
  <c r="N28" i="93" s="1"/>
  <c r="G34" i="93"/>
  <c r="O34" i="93"/>
  <c r="P34" i="93" s="1"/>
  <c r="M36" i="93"/>
  <c r="N36" i="93" s="1"/>
  <c r="K38" i="93"/>
  <c r="L38" i="93" s="1"/>
  <c r="S38" i="93"/>
  <c r="T38" i="93" s="1"/>
  <c r="I52" i="93"/>
  <c r="J52" i="93" s="1"/>
  <c r="O52" i="93"/>
  <c r="P52" i="93" s="1"/>
  <c r="G52" i="93"/>
  <c r="S52" i="93"/>
  <c r="T52" i="93" s="1"/>
  <c r="K52" i="93"/>
  <c r="L52" i="93" s="1"/>
  <c r="M38" i="93"/>
  <c r="N38" i="93" s="1"/>
  <c r="O43" i="93"/>
  <c r="G43" i="93"/>
  <c r="S43" i="93"/>
  <c r="K43" i="93"/>
  <c r="I76" i="93"/>
  <c r="J76" i="93" s="1"/>
  <c r="O76" i="93"/>
  <c r="P76" i="93" s="1"/>
  <c r="G76" i="93"/>
  <c r="S76" i="93"/>
  <c r="T76" i="93" s="1"/>
  <c r="K76" i="93"/>
  <c r="L76" i="93" s="1"/>
  <c r="M11" i="93"/>
  <c r="N11" i="93" s="1"/>
  <c r="M19" i="93"/>
  <c r="M27" i="93"/>
  <c r="N27" i="93" s="1"/>
  <c r="M35" i="93"/>
  <c r="N35" i="93" s="1"/>
  <c r="K37" i="93"/>
  <c r="L37" i="93" s="1"/>
  <c r="S37" i="93"/>
  <c r="T37" i="93" s="1"/>
  <c r="H40" i="93"/>
  <c r="U43" i="93"/>
  <c r="T46" i="93"/>
  <c r="H50" i="93"/>
  <c r="U52" i="93"/>
  <c r="V52" i="93" s="1"/>
  <c r="J40" i="93"/>
  <c r="I60" i="93"/>
  <c r="J60" i="93" s="1"/>
  <c r="O60" i="93"/>
  <c r="P60" i="93" s="1"/>
  <c r="G60" i="93"/>
  <c r="S60" i="93"/>
  <c r="T60" i="93" s="1"/>
  <c r="K60" i="93"/>
  <c r="L60" i="93" s="1"/>
  <c r="M76" i="93"/>
  <c r="N76" i="93" s="1"/>
  <c r="M37" i="93"/>
  <c r="N37" i="93" s="1"/>
  <c r="S47" i="93"/>
  <c r="T47" i="93" s="1"/>
  <c r="K47" i="93"/>
  <c r="L47" i="93" s="1"/>
  <c r="I47" i="93"/>
  <c r="J47" i="93" s="1"/>
  <c r="O47" i="93"/>
  <c r="P47" i="93" s="1"/>
  <c r="G47" i="93"/>
  <c r="P50" i="93"/>
  <c r="U76" i="93"/>
  <c r="V76" i="93" s="1"/>
  <c r="M26" i="93"/>
  <c r="N26" i="93" s="1"/>
  <c r="M34" i="93"/>
  <c r="N34" i="93" s="1"/>
  <c r="O39" i="93"/>
  <c r="P39" i="93" s="1"/>
  <c r="G39" i="93"/>
  <c r="S42" i="93"/>
  <c r="K42" i="93"/>
  <c r="I42" i="93"/>
  <c r="U42" i="93"/>
  <c r="I44" i="93"/>
  <c r="O44" i="93"/>
  <c r="G44" i="93"/>
  <c r="M60" i="93"/>
  <c r="N60" i="93" s="1"/>
  <c r="M50" i="93"/>
  <c r="N50" i="93" s="1"/>
  <c r="U50" i="93"/>
  <c r="V50" i="93" s="1"/>
  <c r="M58" i="93"/>
  <c r="N58" i="93" s="1"/>
  <c r="U58" i="93"/>
  <c r="V58" i="93" s="1"/>
  <c r="M66" i="93"/>
  <c r="N66" i="93" s="1"/>
  <c r="U66" i="93"/>
  <c r="V66" i="93" s="1"/>
  <c r="M74" i="93"/>
  <c r="N74" i="93" s="1"/>
  <c r="U74" i="93"/>
  <c r="V74" i="93" s="1"/>
  <c r="M55" i="93"/>
  <c r="N55" i="93" s="1"/>
  <c r="U55" i="93"/>
  <c r="V55" i="93" s="1"/>
  <c r="M63" i="93"/>
  <c r="N63" i="93" s="1"/>
  <c r="U63" i="93"/>
  <c r="V63" i="93" s="1"/>
  <c r="M71" i="93"/>
  <c r="N71" i="93" s="1"/>
  <c r="U71" i="93"/>
  <c r="V71" i="93" s="1"/>
  <c r="M41" i="93"/>
  <c r="I45" i="93"/>
  <c r="M49" i="93"/>
  <c r="N49" i="93" s="1"/>
  <c r="K51" i="93"/>
  <c r="L51" i="93" s="1"/>
  <c r="S51" i="93"/>
  <c r="T51" i="93" s="1"/>
  <c r="G55" i="93"/>
  <c r="O55" i="93"/>
  <c r="P55" i="93" s="1"/>
  <c r="M57" i="93"/>
  <c r="N57" i="93" s="1"/>
  <c r="U57" i="93"/>
  <c r="V57" i="93" s="1"/>
  <c r="K59" i="93"/>
  <c r="L59" i="93" s="1"/>
  <c r="S59" i="93"/>
  <c r="T59" i="93" s="1"/>
  <c r="G63" i="93"/>
  <c r="O63" i="93"/>
  <c r="P63" i="93" s="1"/>
  <c r="M65" i="93"/>
  <c r="N65" i="93" s="1"/>
  <c r="U65" i="93"/>
  <c r="V65" i="93" s="1"/>
  <c r="K67" i="93"/>
  <c r="L67" i="93" s="1"/>
  <c r="S67" i="93"/>
  <c r="T67" i="93" s="1"/>
  <c r="G71" i="93"/>
  <c r="O71" i="93"/>
  <c r="P71" i="93" s="1"/>
  <c r="M73" i="93"/>
  <c r="N73" i="93" s="1"/>
  <c r="U73" i="93"/>
  <c r="V73" i="93" s="1"/>
  <c r="M46" i="93"/>
  <c r="N46" i="93" s="1"/>
  <c r="U46" i="93"/>
  <c r="V46" i="93" s="1"/>
  <c r="K48" i="93"/>
  <c r="L48" i="93" s="1"/>
  <c r="S48" i="93"/>
  <c r="T48" i="93" s="1"/>
  <c r="I50" i="93"/>
  <c r="J50" i="93" s="1"/>
  <c r="M54" i="93"/>
  <c r="N54" i="93" s="1"/>
  <c r="K56" i="93"/>
  <c r="L56" i="93" s="1"/>
  <c r="S56" i="93"/>
  <c r="T56" i="93" s="1"/>
  <c r="I58" i="93"/>
  <c r="J58" i="93" s="1"/>
  <c r="M62" i="93"/>
  <c r="N62" i="93" s="1"/>
  <c r="U62" i="93"/>
  <c r="V62" i="93" s="1"/>
  <c r="K64" i="93"/>
  <c r="L64" i="93" s="1"/>
  <c r="S64" i="93"/>
  <c r="T64" i="93" s="1"/>
  <c r="I66" i="93"/>
  <c r="J66" i="93" s="1"/>
  <c r="M70" i="93"/>
  <c r="N70" i="93" s="1"/>
  <c r="U70" i="93"/>
  <c r="V70" i="93" s="1"/>
  <c r="K72" i="93"/>
  <c r="L72" i="93" s="1"/>
  <c r="S72" i="93"/>
  <c r="T72" i="93" s="1"/>
  <c r="I74" i="93"/>
  <c r="J74" i="93" s="1"/>
  <c r="M78" i="93"/>
  <c r="N78" i="93" s="1"/>
  <c r="U78" i="93"/>
  <c r="V78" i="93" s="1"/>
  <c r="M51" i="93"/>
  <c r="N51" i="93" s="1"/>
  <c r="U51" i="93"/>
  <c r="V51" i="93" s="1"/>
  <c r="I55" i="93"/>
  <c r="J55" i="93" s="1"/>
  <c r="M59" i="93"/>
  <c r="N59" i="93" s="1"/>
  <c r="U59" i="93"/>
  <c r="V59" i="93" s="1"/>
  <c r="I63" i="93"/>
  <c r="J63" i="93" s="1"/>
  <c r="M67" i="93"/>
  <c r="N67" i="93" s="1"/>
  <c r="U67" i="93"/>
  <c r="V67" i="93" s="1"/>
  <c r="I71" i="93"/>
  <c r="J71" i="93" s="1"/>
  <c r="G73" i="93"/>
  <c r="O73" i="93"/>
  <c r="P73" i="93" s="1"/>
  <c r="M75" i="93"/>
  <c r="N75" i="93" s="1"/>
  <c r="U75" i="93"/>
  <c r="V75" i="93" s="1"/>
  <c r="M40" i="93"/>
  <c r="N40" i="93" s="1"/>
  <c r="G46" i="93"/>
  <c r="M48" i="93"/>
  <c r="N48" i="93" s="1"/>
  <c r="K50" i="93"/>
  <c r="L50" i="93" s="1"/>
  <c r="M56" i="93"/>
  <c r="N56" i="93" s="1"/>
  <c r="K58" i="93"/>
  <c r="L58" i="93" s="1"/>
  <c r="M64" i="93"/>
  <c r="N64" i="93" s="1"/>
  <c r="K66" i="93"/>
  <c r="L66" i="93" s="1"/>
  <c r="M72" i="93"/>
  <c r="N72" i="93" s="1"/>
  <c r="K74" i="93"/>
  <c r="L74" i="93" s="1"/>
  <c r="G78" i="93"/>
  <c r="M45" i="93"/>
  <c r="G51" i="93"/>
  <c r="M53" i="93"/>
  <c r="N53" i="93" s="1"/>
  <c r="K55" i="93"/>
  <c r="L55" i="93" s="1"/>
  <c r="G59" i="93"/>
  <c r="M61" i="93"/>
  <c r="N61" i="93" s="1"/>
  <c r="K63" i="93"/>
  <c r="L63" i="93" s="1"/>
  <c r="G67" i="93"/>
  <c r="M69" i="93"/>
  <c r="N69" i="93" s="1"/>
  <c r="K71" i="93"/>
  <c r="L71" i="93" s="1"/>
  <c r="G75" i="93"/>
  <c r="M77" i="93"/>
  <c r="N77" i="93" s="1"/>
  <c r="V22" i="92"/>
  <c r="V50" i="92"/>
  <c r="Q10" i="92"/>
  <c r="Q28" i="92"/>
  <c r="R28" i="92" s="1"/>
  <c r="Q20" i="92"/>
  <c r="J60" i="92"/>
  <c r="J38" i="92"/>
  <c r="H49" i="92"/>
  <c r="H12" i="92"/>
  <c r="O14" i="92"/>
  <c r="P14" i="92" s="1"/>
  <c r="S40" i="92"/>
  <c r="T40" i="92" s="1"/>
  <c r="K40" i="92"/>
  <c r="L40" i="92" s="1"/>
  <c r="I40" i="92"/>
  <c r="J40" i="92" s="1"/>
  <c r="O40" i="92"/>
  <c r="P40" i="92" s="1"/>
  <c r="G40" i="92"/>
  <c r="S11" i="92"/>
  <c r="T11" i="92" s="1"/>
  <c r="K11" i="92"/>
  <c r="L11" i="92" s="1"/>
  <c r="G13" i="92"/>
  <c r="O15" i="92"/>
  <c r="P15" i="92" s="1"/>
  <c r="G15" i="92"/>
  <c r="O16" i="92"/>
  <c r="P16" i="92" s="1"/>
  <c r="G16" i="92"/>
  <c r="O20" i="92"/>
  <c r="G20" i="92"/>
  <c r="S20" i="92"/>
  <c r="K20" i="92"/>
  <c r="S27" i="92"/>
  <c r="T27" i="92" s="1"/>
  <c r="K27" i="92"/>
  <c r="L27" i="92" s="1"/>
  <c r="O27" i="92"/>
  <c r="P27" i="92" s="1"/>
  <c r="G27" i="92"/>
  <c r="Q35" i="92"/>
  <c r="R35" i="92" s="1"/>
  <c r="I76" i="92"/>
  <c r="J76" i="92" s="1"/>
  <c r="O76" i="92"/>
  <c r="P76" i="92" s="1"/>
  <c r="G76" i="92"/>
  <c r="U76" i="92"/>
  <c r="V76" i="92" s="1"/>
  <c r="S76" i="92"/>
  <c r="T76" i="92" s="1"/>
  <c r="M76" i="92"/>
  <c r="N76" i="92" s="1"/>
  <c r="K76" i="92"/>
  <c r="L76" i="92" s="1"/>
  <c r="K10" i="92"/>
  <c r="S10" i="92"/>
  <c r="O11" i="92"/>
  <c r="P11" i="92" s="1"/>
  <c r="K12" i="92"/>
  <c r="L12" i="92" s="1"/>
  <c r="S13" i="92"/>
  <c r="T13" i="92" s="1"/>
  <c r="G14" i="92"/>
  <c r="Q15" i="92"/>
  <c r="R15" i="92" s="1"/>
  <c r="Q16" i="92"/>
  <c r="R16" i="92" s="1"/>
  <c r="T18" i="92"/>
  <c r="U20" i="92"/>
  <c r="T22" i="92"/>
  <c r="N23" i="92"/>
  <c r="O31" i="92"/>
  <c r="G31" i="92"/>
  <c r="S31" i="92"/>
  <c r="K31" i="92"/>
  <c r="Q36" i="92"/>
  <c r="R36" i="92" s="1"/>
  <c r="L38" i="92"/>
  <c r="H72" i="92"/>
  <c r="S14" i="92"/>
  <c r="T14" i="92" s="1"/>
  <c r="Q17" i="92"/>
  <c r="R17" i="92" s="1"/>
  <c r="Q23" i="92"/>
  <c r="R23" i="92" s="1"/>
  <c r="M24" i="92"/>
  <c r="N24" i="92" s="1"/>
  <c r="S32" i="92"/>
  <c r="K32" i="92"/>
  <c r="I32" i="92"/>
  <c r="O32" i="92"/>
  <c r="G32" i="92"/>
  <c r="M40" i="92"/>
  <c r="N40" i="92" s="1"/>
  <c r="O42" i="92"/>
  <c r="M42" i="92"/>
  <c r="K42" i="92"/>
  <c r="I42" i="92"/>
  <c r="U42" i="92"/>
  <c r="S42" i="92"/>
  <c r="G42" i="92"/>
  <c r="Q73" i="92"/>
  <c r="R73" i="92" s="1"/>
  <c r="Q54" i="92"/>
  <c r="R54" i="92" s="1"/>
  <c r="Q45" i="92"/>
  <c r="Q76" i="92"/>
  <c r="R76" i="92" s="1"/>
  <c r="Q67" i="92"/>
  <c r="R67" i="92" s="1"/>
  <c r="Q63" i="92"/>
  <c r="R63" i="92" s="1"/>
  <c r="Q57" i="92"/>
  <c r="R57" i="92" s="1"/>
  <c r="Q71" i="92"/>
  <c r="R71" i="92" s="1"/>
  <c r="Q60" i="92"/>
  <c r="R60" i="92" s="1"/>
  <c r="Q52" i="92"/>
  <c r="R52" i="92" s="1"/>
  <c r="Q43" i="92"/>
  <c r="Q74" i="92"/>
  <c r="R74" i="92" s="1"/>
  <c r="Q68" i="92"/>
  <c r="R68" i="92" s="1"/>
  <c r="Q64" i="92"/>
  <c r="R64" i="92" s="1"/>
  <c r="Q55" i="92"/>
  <c r="R55" i="92" s="1"/>
  <c r="Q46" i="92"/>
  <c r="R46" i="92" s="1"/>
  <c r="Q77" i="92"/>
  <c r="R77" i="92" s="1"/>
  <c r="Q58" i="92"/>
  <c r="R58" i="92" s="1"/>
  <c r="Q50" i="92"/>
  <c r="R50" i="92" s="1"/>
  <c r="Q75" i="92"/>
  <c r="R75" i="92" s="1"/>
  <c r="Q56" i="92"/>
  <c r="R56" i="92" s="1"/>
  <c r="Q62" i="92"/>
  <c r="R62" i="92" s="1"/>
  <c r="Q78" i="92"/>
  <c r="R78" i="92" s="1"/>
  <c r="Q53" i="92"/>
  <c r="R53" i="92" s="1"/>
  <c r="Q34" i="92"/>
  <c r="R34" i="92" s="1"/>
  <c r="Q26" i="92"/>
  <c r="R26" i="92" s="1"/>
  <c r="Q18" i="92"/>
  <c r="R18" i="92" s="1"/>
  <c r="Q61" i="92"/>
  <c r="R61" i="92" s="1"/>
  <c r="Q59" i="92"/>
  <c r="R59" i="92" s="1"/>
  <c r="Q37" i="92"/>
  <c r="R37" i="92" s="1"/>
  <c r="Q29" i="92"/>
  <c r="Q21" i="92"/>
  <c r="R21" i="92" s="1"/>
  <c r="Q13" i="92"/>
  <c r="R13" i="92" s="1"/>
  <c r="Q70" i="92"/>
  <c r="R70" i="92" s="1"/>
  <c r="Q69" i="92"/>
  <c r="R69" i="92" s="1"/>
  <c r="Q51" i="92"/>
  <c r="R51" i="92" s="1"/>
  <c r="Q47" i="92"/>
  <c r="R47" i="92" s="1"/>
  <c r="Q40" i="92"/>
  <c r="R40" i="92" s="1"/>
  <c r="Q32" i="92"/>
  <c r="Q24" i="92"/>
  <c r="R24" i="92" s="1"/>
  <c r="Q72" i="92"/>
  <c r="R72" i="92" s="1"/>
  <c r="Q66" i="92"/>
  <c r="R66" i="92" s="1"/>
  <c r="Q65" i="92"/>
  <c r="Q49" i="92"/>
  <c r="R49" i="92" s="1"/>
  <c r="Q44" i="92"/>
  <c r="Q38" i="92"/>
  <c r="R38" i="92" s="1"/>
  <c r="Q30" i="92"/>
  <c r="Q22" i="92"/>
  <c r="R22" i="92" s="1"/>
  <c r="Q14" i="92"/>
  <c r="R14" i="92" s="1"/>
  <c r="Q33" i="92"/>
  <c r="R33" i="92" s="1"/>
  <c r="Q25" i="92"/>
  <c r="R25" i="92" s="1"/>
  <c r="M10" i="92"/>
  <c r="U10" i="92"/>
  <c r="Q11" i="92"/>
  <c r="R11" i="92" s="1"/>
  <c r="M12" i="92"/>
  <c r="N12" i="92" s="1"/>
  <c r="K13" i="92"/>
  <c r="L13" i="92" s="1"/>
  <c r="U13" i="92"/>
  <c r="V13" i="92" s="1"/>
  <c r="U14" i="92"/>
  <c r="V14" i="92" s="1"/>
  <c r="I15" i="92"/>
  <c r="J15" i="92" s="1"/>
  <c r="S15" i="92"/>
  <c r="T15" i="92" s="1"/>
  <c r="I16" i="92"/>
  <c r="J16" i="92" s="1"/>
  <c r="H17" i="92"/>
  <c r="Q19" i="92"/>
  <c r="I20" i="92"/>
  <c r="H22" i="92"/>
  <c r="M27" i="92"/>
  <c r="N27" i="92" s="1"/>
  <c r="S35" i="92"/>
  <c r="T35" i="92" s="1"/>
  <c r="K35" i="92"/>
  <c r="L35" i="92" s="1"/>
  <c r="O35" i="92"/>
  <c r="P35" i="92" s="1"/>
  <c r="G35" i="92"/>
  <c r="P38" i="92"/>
  <c r="P52" i="92"/>
  <c r="I11" i="92"/>
  <c r="J11" i="92" s="1"/>
  <c r="O12" i="92"/>
  <c r="P12" i="92" s="1"/>
  <c r="K14" i="92"/>
  <c r="L14" i="92" s="1"/>
  <c r="U15" i="92"/>
  <c r="V15" i="92" s="1"/>
  <c r="K16" i="92"/>
  <c r="L16" i="92" s="1"/>
  <c r="U16" i="92"/>
  <c r="V16" i="92" s="1"/>
  <c r="V23" i="92"/>
  <c r="T38" i="92"/>
  <c r="Q39" i="92"/>
  <c r="R39" i="92" s="1"/>
  <c r="U40" i="92"/>
  <c r="V40" i="92" s="1"/>
  <c r="J52" i="92"/>
  <c r="T52" i="92"/>
  <c r="L52" i="92"/>
  <c r="G10" i="92"/>
  <c r="M13" i="92"/>
  <c r="N13" i="92" s="1"/>
  <c r="M14" i="92"/>
  <c r="N14" i="92" s="1"/>
  <c r="K15" i="92"/>
  <c r="L15" i="92" s="1"/>
  <c r="L18" i="92"/>
  <c r="S19" i="92"/>
  <c r="K19" i="92"/>
  <c r="O19" i="92"/>
  <c r="G19" i="92"/>
  <c r="U19" i="92"/>
  <c r="M20" i="92"/>
  <c r="L22" i="92"/>
  <c r="O23" i="92"/>
  <c r="P23" i="92" s="1"/>
  <c r="G23" i="92"/>
  <c r="S23" i="92"/>
  <c r="T23" i="92" s="1"/>
  <c r="K23" i="92"/>
  <c r="L23" i="92" s="1"/>
  <c r="T26" i="92"/>
  <c r="Q27" i="92"/>
  <c r="R27" i="92" s="1"/>
  <c r="M31" i="92"/>
  <c r="I35" i="92"/>
  <c r="J35" i="92" s="1"/>
  <c r="Q41" i="92"/>
  <c r="Q42" i="92"/>
  <c r="Q12" i="92"/>
  <c r="R12" i="92" s="1"/>
  <c r="O13" i="92"/>
  <c r="P13" i="92" s="1"/>
  <c r="S24" i="92"/>
  <c r="T24" i="92" s="1"/>
  <c r="K24" i="92"/>
  <c r="L24" i="92" s="1"/>
  <c r="I24" i="92"/>
  <c r="J24" i="92" s="1"/>
  <c r="O24" i="92"/>
  <c r="P24" i="92" s="1"/>
  <c r="G24" i="92"/>
  <c r="Q31" i="92"/>
  <c r="H55" i="92"/>
  <c r="M21" i="92"/>
  <c r="N21" i="92" s="1"/>
  <c r="U21" i="92"/>
  <c r="V21" i="92" s="1"/>
  <c r="M29" i="92"/>
  <c r="U29" i="92"/>
  <c r="M37" i="92"/>
  <c r="N37" i="92" s="1"/>
  <c r="U37" i="92"/>
  <c r="V37" i="92" s="1"/>
  <c r="K39" i="92"/>
  <c r="L39" i="92" s="1"/>
  <c r="S39" i="92"/>
  <c r="T39" i="92" s="1"/>
  <c r="S46" i="92"/>
  <c r="T46" i="92" s="1"/>
  <c r="M18" i="92"/>
  <c r="N18" i="92" s="1"/>
  <c r="I22" i="92"/>
  <c r="J22" i="92" s="1"/>
  <c r="M26" i="92"/>
  <c r="N26" i="92" s="1"/>
  <c r="K28" i="92"/>
  <c r="L28" i="92" s="1"/>
  <c r="S28" i="92"/>
  <c r="T28" i="92" s="1"/>
  <c r="I30" i="92"/>
  <c r="M34" i="92"/>
  <c r="N34" i="92" s="1"/>
  <c r="U34" i="92"/>
  <c r="V34" i="92" s="1"/>
  <c r="K36" i="92"/>
  <c r="L36" i="92" s="1"/>
  <c r="S36" i="92"/>
  <c r="T36" i="92" s="1"/>
  <c r="U46" i="92"/>
  <c r="V46" i="92" s="1"/>
  <c r="V48" i="92"/>
  <c r="J77" i="92"/>
  <c r="M39" i="92"/>
  <c r="N39" i="92" s="1"/>
  <c r="U39" i="92"/>
  <c r="V39" i="92" s="1"/>
  <c r="S44" i="92"/>
  <c r="K44" i="92"/>
  <c r="U44" i="92"/>
  <c r="L77" i="92"/>
  <c r="M28" i="92"/>
  <c r="N28" i="92" s="1"/>
  <c r="U28" i="92"/>
  <c r="V28" i="92" s="1"/>
  <c r="M36" i="92"/>
  <c r="N36" i="92" s="1"/>
  <c r="U36" i="92"/>
  <c r="V36" i="92" s="1"/>
  <c r="T64" i="92"/>
  <c r="M17" i="92"/>
  <c r="N17" i="92" s="1"/>
  <c r="M25" i="92"/>
  <c r="N25" i="92" s="1"/>
  <c r="M33" i="92"/>
  <c r="N33" i="92" s="1"/>
  <c r="G39" i="92"/>
  <c r="O41" i="92"/>
  <c r="G41" i="92"/>
  <c r="G44" i="92"/>
  <c r="G46" i="92"/>
  <c r="V49" i="92"/>
  <c r="L63" i="92"/>
  <c r="S74" i="92"/>
  <c r="T74" i="92" s="1"/>
  <c r="K74" i="92"/>
  <c r="L74" i="92" s="1"/>
  <c r="I74" i="92"/>
  <c r="J74" i="92" s="1"/>
  <c r="M22" i="92"/>
  <c r="N22" i="92" s="1"/>
  <c r="G28" i="92"/>
  <c r="M30" i="92"/>
  <c r="G36" i="92"/>
  <c r="M38" i="92"/>
  <c r="N38" i="92" s="1"/>
  <c r="I44" i="92"/>
  <c r="K46" i="92"/>
  <c r="L46" i="92" s="1"/>
  <c r="S55" i="92"/>
  <c r="T55" i="92" s="1"/>
  <c r="K55" i="92"/>
  <c r="L55" i="92" s="1"/>
  <c r="I55" i="92"/>
  <c r="J55" i="92" s="1"/>
  <c r="I57" i="92"/>
  <c r="J57" i="92" s="1"/>
  <c r="O57" i="92"/>
  <c r="P57" i="92" s="1"/>
  <c r="G57" i="92"/>
  <c r="T58" i="92"/>
  <c r="L58" i="92"/>
  <c r="T77" i="92"/>
  <c r="M43" i="92"/>
  <c r="U43" i="92"/>
  <c r="K45" i="92"/>
  <c r="S45" i="92"/>
  <c r="H47" i="92"/>
  <c r="P47" i="92"/>
  <c r="J48" i="92"/>
  <c r="R48" i="92"/>
  <c r="L49" i="92"/>
  <c r="T49" i="92"/>
  <c r="G50" i="92"/>
  <c r="O50" i="92"/>
  <c r="P50" i="92" s="1"/>
  <c r="M52" i="92"/>
  <c r="N52" i="92" s="1"/>
  <c r="U52" i="92"/>
  <c r="V52" i="92" s="1"/>
  <c r="S54" i="92"/>
  <c r="T54" i="92" s="1"/>
  <c r="I56" i="92"/>
  <c r="J56" i="92" s="1"/>
  <c r="G58" i="92"/>
  <c r="O58" i="92"/>
  <c r="P58" i="92" s="1"/>
  <c r="M60" i="92"/>
  <c r="N60" i="92" s="1"/>
  <c r="U60" i="92"/>
  <c r="V60" i="92" s="1"/>
  <c r="N64" i="92"/>
  <c r="V64" i="92"/>
  <c r="N68" i="92"/>
  <c r="V68" i="92"/>
  <c r="J70" i="92"/>
  <c r="M71" i="92"/>
  <c r="N71" i="92" s="1"/>
  <c r="U71" i="92"/>
  <c r="V71" i="92" s="1"/>
  <c r="K73" i="92"/>
  <c r="L73" i="92" s="1"/>
  <c r="S73" i="92"/>
  <c r="T73" i="92" s="1"/>
  <c r="G77" i="92"/>
  <c r="O77" i="92"/>
  <c r="P77" i="92" s="1"/>
  <c r="M45" i="92"/>
  <c r="U45" i="92"/>
  <c r="J47" i="92"/>
  <c r="L48" i="92"/>
  <c r="T48" i="92"/>
  <c r="N49" i="92"/>
  <c r="I50" i="92"/>
  <c r="J50" i="92" s="1"/>
  <c r="G52" i="92"/>
  <c r="M54" i="92"/>
  <c r="N54" i="92" s="1"/>
  <c r="K56" i="92"/>
  <c r="L56" i="92" s="1"/>
  <c r="S56" i="92"/>
  <c r="T56" i="92" s="1"/>
  <c r="I58" i="92"/>
  <c r="J58" i="92" s="1"/>
  <c r="G60" i="92"/>
  <c r="O60" i="92"/>
  <c r="P60" i="92" s="1"/>
  <c r="L62" i="92"/>
  <c r="T62" i="92"/>
  <c r="N63" i="92"/>
  <c r="V63" i="92"/>
  <c r="H64" i="92"/>
  <c r="P64" i="92"/>
  <c r="J65" i="92"/>
  <c r="R65" i="92"/>
  <c r="L66" i="92"/>
  <c r="T66" i="92"/>
  <c r="N67" i="92"/>
  <c r="V67" i="92"/>
  <c r="H68" i="92"/>
  <c r="P68" i="92"/>
  <c r="L70" i="92"/>
  <c r="T70" i="92"/>
  <c r="G71" i="92"/>
  <c r="O71" i="92"/>
  <c r="P71" i="92" s="1"/>
  <c r="M73" i="92"/>
  <c r="N73" i="92" s="1"/>
  <c r="U73" i="92"/>
  <c r="V73" i="92" s="1"/>
  <c r="K47" i="92"/>
  <c r="L47" i="92" s="1"/>
  <c r="M48" i="92"/>
  <c r="N48" i="92" s="1"/>
  <c r="M51" i="92"/>
  <c r="N51" i="92" s="1"/>
  <c r="K53" i="92"/>
  <c r="L53" i="92" s="1"/>
  <c r="S53" i="92"/>
  <c r="T53" i="92" s="1"/>
  <c r="M59" i="92"/>
  <c r="N59" i="92" s="1"/>
  <c r="K61" i="92"/>
  <c r="L61" i="92" s="1"/>
  <c r="S61" i="92"/>
  <c r="T61" i="92" s="1"/>
  <c r="M62" i="92"/>
  <c r="N62" i="92" s="1"/>
  <c r="G63" i="92"/>
  <c r="O63" i="92"/>
  <c r="P63" i="92" s="1"/>
  <c r="I64" i="92"/>
  <c r="J64" i="92" s="1"/>
  <c r="K65" i="92"/>
  <c r="L65" i="92" s="1"/>
  <c r="S65" i="92"/>
  <c r="T65" i="92" s="1"/>
  <c r="M66" i="92"/>
  <c r="N66" i="92" s="1"/>
  <c r="U66" i="92"/>
  <c r="V66" i="92" s="1"/>
  <c r="G67" i="92"/>
  <c r="O67" i="92"/>
  <c r="P67" i="92" s="1"/>
  <c r="I68" i="92"/>
  <c r="J68" i="92" s="1"/>
  <c r="K69" i="92"/>
  <c r="L69" i="92" s="1"/>
  <c r="S69" i="92"/>
  <c r="T69" i="92" s="1"/>
  <c r="M70" i="92"/>
  <c r="N70" i="92" s="1"/>
  <c r="U70" i="92"/>
  <c r="V70" i="92" s="1"/>
  <c r="K72" i="92"/>
  <c r="L72" i="92" s="1"/>
  <c r="S72" i="92"/>
  <c r="T72" i="92" s="1"/>
  <c r="M78" i="92"/>
  <c r="N78" i="92" s="1"/>
  <c r="U78" i="92"/>
  <c r="V78" i="92" s="1"/>
  <c r="T47" i="92"/>
  <c r="K50" i="92"/>
  <c r="L50" i="92" s="1"/>
  <c r="S50" i="92"/>
  <c r="T50" i="92" s="1"/>
  <c r="M56" i="92"/>
  <c r="N56" i="92" s="1"/>
  <c r="U56" i="92"/>
  <c r="V56" i="92" s="1"/>
  <c r="V62" i="92"/>
  <c r="I71" i="92"/>
  <c r="J71" i="92" s="1"/>
  <c r="G73" i="92"/>
  <c r="O73" i="92"/>
  <c r="P73" i="92" s="1"/>
  <c r="M75" i="92"/>
  <c r="N75" i="92" s="1"/>
  <c r="U75" i="92"/>
  <c r="V75" i="92" s="1"/>
  <c r="M53" i="92"/>
  <c r="N53" i="92" s="1"/>
  <c r="M61" i="92"/>
  <c r="N61" i="92" s="1"/>
  <c r="M65" i="92"/>
  <c r="G66" i="92"/>
  <c r="K68" i="92"/>
  <c r="L68" i="92" s="1"/>
  <c r="M69" i="92"/>
  <c r="N69" i="92" s="1"/>
  <c r="G70" i="92"/>
  <c r="H70" i="92" s="1"/>
  <c r="M72" i="92"/>
  <c r="N72" i="92" s="1"/>
  <c r="G78" i="92"/>
  <c r="N47" i="92"/>
  <c r="M50" i="92"/>
  <c r="N50" i="92" s="1"/>
  <c r="G56" i="92"/>
  <c r="M58" i="92"/>
  <c r="N58" i="92" s="1"/>
  <c r="K60" i="92"/>
  <c r="L60" i="92" s="1"/>
  <c r="H62" i="92"/>
  <c r="P62" i="92"/>
  <c r="J63" i="92"/>
  <c r="L64" i="92"/>
  <c r="N65" i="92"/>
  <c r="H66" i="92"/>
  <c r="P66" i="92"/>
  <c r="J67" i="92"/>
  <c r="P70" i="92"/>
  <c r="K71" i="92"/>
  <c r="L71" i="92" s="1"/>
  <c r="G75" i="92"/>
  <c r="M77" i="92"/>
  <c r="N77" i="92" s="1"/>
  <c r="K73" i="3"/>
  <c r="AH2" i="73"/>
  <c r="AH5" i="73"/>
  <c r="AH6" i="73"/>
  <c r="AH7" i="73"/>
  <c r="AD60" i="73"/>
  <c r="R70" i="3"/>
  <c r="S70" i="3" s="1"/>
  <c r="Q63" i="3"/>
  <c r="L62" i="3"/>
  <c r="M62" i="3" s="1"/>
  <c r="R62" i="3"/>
  <c r="S62" i="3" s="1"/>
  <c r="N65" i="3"/>
  <c r="O65" i="3" s="1"/>
  <c r="R65" i="3"/>
  <c r="S65" i="3" s="1"/>
  <c r="X65" i="3"/>
  <c r="Y65" i="3" s="1"/>
  <c r="O62" i="3"/>
  <c r="O70" i="3"/>
  <c r="L68" i="3"/>
  <c r="M68" i="3" s="1"/>
  <c r="N68" i="3"/>
  <c r="O68" i="3" s="1"/>
  <c r="W65" i="3"/>
  <c r="V63" i="3"/>
  <c r="W63" i="3" s="1"/>
  <c r="J69" i="3"/>
  <c r="K69" i="3" s="1"/>
  <c r="N63" i="3"/>
  <c r="O63" i="3" s="1"/>
  <c r="R63" i="3"/>
  <c r="S63" i="3" s="1"/>
  <c r="K68" i="3"/>
  <c r="X64" i="3"/>
  <c r="Y64" i="3" s="1"/>
  <c r="N69" i="3"/>
  <c r="O69" i="3" s="1"/>
  <c r="P69" i="3"/>
  <c r="Q69" i="3" s="1"/>
  <c r="Y66" i="3"/>
  <c r="P62" i="3"/>
  <c r="Q62" i="3" s="1"/>
  <c r="X69" i="3"/>
  <c r="Y69" i="3" s="1"/>
  <c r="L70" i="3"/>
  <c r="M70" i="3" s="1"/>
  <c r="J63" i="3"/>
  <c r="K63" i="3" s="1"/>
  <c r="J66" i="3"/>
  <c r="K66" i="3" s="1"/>
  <c r="P70" i="3"/>
  <c r="Q70" i="3" s="1"/>
  <c r="J67" i="3"/>
  <c r="K67" i="3" s="1"/>
  <c r="X67" i="3"/>
  <c r="Y67" i="3" s="1"/>
  <c r="V67" i="3"/>
  <c r="W67" i="3" s="1"/>
  <c r="R67" i="3"/>
  <c r="S67" i="3" s="1"/>
  <c r="P67" i="3"/>
  <c r="Q67" i="3" s="1"/>
  <c r="N67" i="3"/>
  <c r="O67" i="3" s="1"/>
  <c r="L67" i="3"/>
  <c r="M67" i="3" s="1"/>
  <c r="W64" i="3"/>
  <c r="V62" i="3"/>
  <c r="W62" i="3" s="1"/>
  <c r="X63" i="3"/>
  <c r="Y63" i="3" s="1"/>
  <c r="J65" i="3"/>
  <c r="K65" i="3" s="1"/>
  <c r="L66" i="3"/>
  <c r="M66" i="3" s="1"/>
  <c r="P68" i="3"/>
  <c r="Q68" i="3" s="1"/>
  <c r="R69" i="3"/>
  <c r="S69" i="3" s="1"/>
  <c r="V70" i="3"/>
  <c r="W70" i="3" s="1"/>
  <c r="X62" i="3"/>
  <c r="Y62" i="3" s="1"/>
  <c r="J64" i="3"/>
  <c r="K64" i="3" s="1"/>
  <c r="L65" i="3"/>
  <c r="M65" i="3" s="1"/>
  <c r="N66" i="3"/>
  <c r="O66" i="3" s="1"/>
  <c r="R68" i="3"/>
  <c r="S68" i="3" s="1"/>
  <c r="V69" i="3"/>
  <c r="W69" i="3" s="1"/>
  <c r="X70" i="3"/>
  <c r="Y70" i="3" s="1"/>
  <c r="L64" i="3"/>
  <c r="M64" i="3" s="1"/>
  <c r="P66" i="3"/>
  <c r="Q66" i="3" s="1"/>
  <c r="V68" i="3"/>
  <c r="W68" i="3" s="1"/>
  <c r="J62" i="3"/>
  <c r="K62" i="3" s="1"/>
  <c r="L63" i="3"/>
  <c r="M63" i="3" s="1"/>
  <c r="N64" i="3"/>
  <c r="O64" i="3" s="1"/>
  <c r="P65" i="3"/>
  <c r="Q65" i="3" s="1"/>
  <c r="R66" i="3"/>
  <c r="S66" i="3" s="1"/>
  <c r="X68" i="3"/>
  <c r="Y68" i="3" s="1"/>
  <c r="J70" i="3"/>
  <c r="K70" i="3" s="1"/>
  <c r="P64" i="3"/>
  <c r="Q64" i="3" s="1"/>
  <c r="V66" i="3"/>
  <c r="W66" i="3" s="1"/>
  <c r="R64" i="3"/>
  <c r="S64" i="3" s="1"/>
  <c r="B17" i="71"/>
  <c r="AQ20" i="71"/>
  <c r="AP20" i="71"/>
  <c r="AO20" i="71"/>
  <c r="AN20" i="71"/>
  <c r="AM20" i="71"/>
  <c r="AL20" i="71"/>
  <c r="AQ19" i="71"/>
  <c r="AP19" i="71"/>
  <c r="AO19" i="71"/>
  <c r="AN19" i="71"/>
  <c r="AM19" i="71"/>
  <c r="AL19" i="71"/>
  <c r="O9" i="71"/>
  <c r="N9" i="71"/>
  <c r="M9" i="71"/>
  <c r="L9" i="71"/>
  <c r="K9" i="71"/>
  <c r="J9" i="71"/>
  <c r="DO3" i="71"/>
  <c r="DW3" i="71" s="1"/>
  <c r="CW3" i="71"/>
  <c r="DV3" i="71" s="1"/>
  <c r="EC3" i="71" s="1"/>
  <c r="O6" i="71"/>
  <c r="N6" i="71"/>
  <c r="M6" i="71"/>
  <c r="L6" i="71"/>
  <c r="K6" i="71"/>
  <c r="J6" i="71"/>
  <c r="CT4" i="71"/>
  <c r="CS4" i="71"/>
  <c r="CS5" i="71" s="1"/>
  <c r="CS6" i="71" s="1"/>
  <c r="CS7" i="71" s="1"/>
  <c r="CS8" i="71" s="1"/>
  <c r="CS9" i="71" s="1"/>
  <c r="CS10" i="71" s="1"/>
  <c r="CS11" i="71" s="1"/>
  <c r="CS12" i="71" s="1"/>
  <c r="CS13" i="71" s="1"/>
  <c r="CS14" i="71" s="1"/>
  <c r="CS15" i="71" s="1"/>
  <c r="CS16" i="71" s="1"/>
  <c r="CS17" i="71" s="1"/>
  <c r="CS18" i="71" s="1"/>
  <c r="CS19" i="71" s="1"/>
  <c r="CS20" i="71" s="1"/>
  <c r="CS21" i="71" s="1"/>
  <c r="CS22" i="71" s="1"/>
  <c r="CS23" i="71" s="1"/>
  <c r="CS24" i="71" s="1"/>
  <c r="CS25" i="71" s="1"/>
  <c r="CS26" i="71" s="1"/>
  <c r="CS27" i="71" s="1"/>
  <c r="CS28" i="71" s="1"/>
  <c r="CS29" i="71" s="1"/>
  <c r="CS30" i="71" s="1"/>
  <c r="CS31" i="71" s="1"/>
  <c r="CS32" i="71" s="1"/>
  <c r="CS33" i="71" s="1"/>
  <c r="CS34" i="71" s="1"/>
  <c r="CS35" i="71" s="1"/>
  <c r="CS36" i="71" s="1"/>
  <c r="CS37" i="71" s="1"/>
  <c r="CS38" i="71" s="1"/>
  <c r="CS39" i="71" s="1"/>
  <c r="CS40" i="71" s="1"/>
  <c r="CS41" i="71" s="1"/>
  <c r="CS42" i="71" s="1"/>
  <c r="CS43" i="71" s="1"/>
  <c r="CS44" i="71" s="1"/>
  <c r="CS45" i="71" s="1"/>
  <c r="CS46" i="71" s="1"/>
  <c r="CS47" i="71" s="1"/>
  <c r="CS48" i="71" s="1"/>
  <c r="CS49" i="71" s="1"/>
  <c r="CS50" i="71" s="1"/>
  <c r="CS51" i="71" s="1"/>
  <c r="CS52" i="71" s="1"/>
  <c r="CS53" i="71" s="1"/>
  <c r="CS54" i="71" s="1"/>
  <c r="CS55" i="71" s="1"/>
  <c r="CS56" i="71" s="1"/>
  <c r="CS57" i="71" s="1"/>
  <c r="CS58" i="71" s="1"/>
  <c r="CS59" i="71" s="1"/>
  <c r="CS60" i="71" s="1"/>
  <c r="CS61" i="71" s="1"/>
  <c r="CS62" i="71" s="1"/>
  <c r="CS63" i="71" s="1"/>
  <c r="CS64" i="71" s="1"/>
  <c r="CS65" i="71" s="1"/>
  <c r="CS66" i="71" s="1"/>
  <c r="CS67" i="71" s="1"/>
  <c r="CS68" i="71" s="1"/>
  <c r="CS69" i="71" s="1"/>
  <c r="CS70" i="71" s="1"/>
  <c r="CS71" i="71" s="1"/>
  <c r="CS72" i="71" s="1"/>
  <c r="CS73" i="71" s="1"/>
  <c r="CS74" i="71" s="1"/>
  <c r="CS75" i="71" s="1"/>
  <c r="CS76" i="71" s="1"/>
  <c r="CS77" i="71" s="1"/>
  <c r="CS78" i="71" s="1"/>
  <c r="CS79" i="71" s="1"/>
  <c r="CS80" i="71" s="1"/>
  <c r="CS81" i="71" s="1"/>
  <c r="CS82" i="71" s="1"/>
  <c r="CS83" i="71" s="1"/>
  <c r="CL16" i="71"/>
  <c r="CO21" i="71" s="1"/>
  <c r="CK16" i="71"/>
  <c r="CQ20" i="71" s="1"/>
  <c r="CL13" i="71"/>
  <c r="CK13" i="71"/>
  <c r="CD16" i="71"/>
  <c r="CD21" i="71" s="1"/>
  <c r="CC16" i="71"/>
  <c r="CF20" i="71" s="1"/>
  <c r="CD13" i="71"/>
  <c r="CC13" i="71"/>
  <c r="E6" i="71"/>
  <c r="CE65" i="71" s="1"/>
  <c r="D6" i="71"/>
  <c r="CE58" i="71" s="1"/>
  <c r="BV16" i="71"/>
  <c r="BV13" i="71"/>
  <c r="BW17" i="71"/>
  <c r="BW15" i="71"/>
  <c r="BW14" i="71"/>
  <c r="BW12" i="71"/>
  <c r="BW11" i="71"/>
  <c r="AJ21" i="3"/>
  <c r="AM21" i="3" s="1"/>
  <c r="AI21" i="3"/>
  <c r="AH21" i="3"/>
  <c r="AO21" i="3" s="1"/>
  <c r="C61" i="3"/>
  <c r="B61" i="3"/>
  <c r="A61" i="3"/>
  <c r="AJ20" i="71"/>
  <c r="AI20" i="71"/>
  <c r="AH20" i="71"/>
  <c r="AG20" i="71"/>
  <c r="AF20" i="71"/>
  <c r="AJ19" i="71"/>
  <c r="AI19" i="71"/>
  <c r="AH19" i="71"/>
  <c r="AG19" i="71"/>
  <c r="AF19" i="71"/>
  <c r="AE20" i="71"/>
  <c r="AE19" i="71"/>
  <c r="AC20" i="71"/>
  <c r="AB20" i="71"/>
  <c r="AA20" i="71"/>
  <c r="Z20" i="71"/>
  <c r="Y20" i="71"/>
  <c r="AC19" i="71"/>
  <c r="AB19" i="71"/>
  <c r="AA19" i="71"/>
  <c r="Z19" i="71"/>
  <c r="Y19" i="71"/>
  <c r="X20" i="71"/>
  <c r="X19" i="71"/>
  <c r="V20" i="71"/>
  <c r="U20" i="71"/>
  <c r="T20" i="71"/>
  <c r="S20" i="71"/>
  <c r="R20" i="71"/>
  <c r="V19" i="71"/>
  <c r="U19" i="71"/>
  <c r="T19" i="71"/>
  <c r="S19" i="71"/>
  <c r="R19" i="71"/>
  <c r="Q20" i="71"/>
  <c r="Q19" i="71"/>
  <c r="B10" i="71"/>
  <c r="P3" i="2"/>
  <c r="T2" i="3"/>
  <c r="B10" i="3"/>
  <c r="D3" i="2"/>
  <c r="AL16" i="3"/>
  <c r="AK16" i="3"/>
  <c r="AG15" i="3"/>
  <c r="AG14" i="3"/>
  <c r="AG13" i="3"/>
  <c r="H15" i="123" l="1"/>
  <c r="G15" i="123"/>
  <c r="F15" i="123"/>
  <c r="E15" i="123"/>
  <c r="A39" i="123"/>
  <c r="H36" i="123"/>
  <c r="G36" i="123"/>
  <c r="F36" i="123"/>
  <c r="E36" i="123"/>
  <c r="A18" i="123"/>
  <c r="B16" i="123"/>
  <c r="B37" i="123"/>
  <c r="A39" i="120"/>
  <c r="A20" i="120"/>
  <c r="A19" i="117"/>
  <c r="A39" i="117"/>
  <c r="BY20" i="71"/>
  <c r="BV20" i="71"/>
  <c r="BV23" i="71" s="1"/>
  <c r="AP22" i="3"/>
  <c r="CV4" i="71"/>
  <c r="CZ4" i="71"/>
  <c r="DA5" i="71" s="1"/>
  <c r="CX4" i="71"/>
  <c r="CY5" i="71" s="1"/>
  <c r="DH4" i="71"/>
  <c r="DI5" i="71" s="1"/>
  <c r="DJ4" i="71"/>
  <c r="DK5" i="71" s="1"/>
  <c r="DF4" i="71"/>
  <c r="DG5" i="71" s="1"/>
  <c r="DD4" i="71"/>
  <c r="DE5" i="71" s="1"/>
  <c r="DB4" i="71"/>
  <c r="DC5" i="71" s="1"/>
  <c r="J27" i="110"/>
  <c r="I27" i="110"/>
  <c r="K27" i="110"/>
  <c r="P27" i="110"/>
  <c r="D27" i="110"/>
  <c r="O27" i="110"/>
  <c r="C27" i="110"/>
  <c r="N27" i="110"/>
  <c r="M27" i="110"/>
  <c r="L27" i="110"/>
  <c r="A28" i="110"/>
  <c r="J7" i="110"/>
  <c r="I7" i="110"/>
  <c r="P7" i="110"/>
  <c r="D7" i="110"/>
  <c r="O7" i="110"/>
  <c r="C7" i="110"/>
  <c r="N7" i="110"/>
  <c r="L7" i="110"/>
  <c r="M7" i="110"/>
  <c r="K7" i="110"/>
  <c r="A8" i="110"/>
  <c r="I7" i="109"/>
  <c r="I8" i="109" s="1"/>
  <c r="N61" i="3"/>
  <c r="O61" i="3" s="1"/>
  <c r="AF253" i="99"/>
  <c r="AF252" i="99"/>
  <c r="AF251" i="99"/>
  <c r="AF250" i="99"/>
  <c r="AF249" i="99"/>
  <c r="AF248" i="99"/>
  <c r="AF247" i="99"/>
  <c r="AF246" i="99"/>
  <c r="AF245" i="99"/>
  <c r="AF244" i="99"/>
  <c r="AF243" i="99"/>
  <c r="AF242" i="99"/>
  <c r="AF241" i="99"/>
  <c r="AF240" i="99"/>
  <c r="AF239" i="99"/>
  <c r="AF238" i="99"/>
  <c r="AF237" i="99"/>
  <c r="AF236" i="99"/>
  <c r="AF235" i="99"/>
  <c r="AF234" i="99"/>
  <c r="AF233" i="99"/>
  <c r="AF232" i="99"/>
  <c r="AF231" i="99"/>
  <c r="AF230" i="99"/>
  <c r="AF229" i="99"/>
  <c r="AF228" i="99"/>
  <c r="AF227" i="99"/>
  <c r="AF226" i="99"/>
  <c r="AF225" i="99"/>
  <c r="AF224" i="99"/>
  <c r="AF223" i="99"/>
  <c r="AF222" i="99"/>
  <c r="AF221" i="99"/>
  <c r="AF220" i="99"/>
  <c r="AF219" i="99"/>
  <c r="AF218" i="99"/>
  <c r="AF217" i="99"/>
  <c r="AF216" i="99"/>
  <c r="AF215" i="99"/>
  <c r="AF214" i="99"/>
  <c r="AF213" i="99"/>
  <c r="AF212" i="99"/>
  <c r="AF211" i="99"/>
  <c r="AF210" i="99"/>
  <c r="AF209" i="99"/>
  <c r="AF208" i="99"/>
  <c r="AF207" i="99"/>
  <c r="AF206" i="99"/>
  <c r="AF205" i="99"/>
  <c r="AF204" i="99"/>
  <c r="AF203" i="99"/>
  <c r="AF202" i="99"/>
  <c r="AF201" i="99"/>
  <c r="AF200" i="99"/>
  <c r="AF199" i="99"/>
  <c r="AF198" i="99"/>
  <c r="AF197" i="99"/>
  <c r="AF196" i="99"/>
  <c r="AF195" i="99"/>
  <c r="AF194" i="99"/>
  <c r="AF193" i="99"/>
  <c r="AF192" i="99"/>
  <c r="AF191" i="99"/>
  <c r="AF190" i="99"/>
  <c r="AF189" i="99"/>
  <c r="AF188" i="99"/>
  <c r="AF187" i="99"/>
  <c r="AF186" i="99"/>
  <c r="AF185" i="99"/>
  <c r="AF184" i="99"/>
  <c r="AF183" i="99"/>
  <c r="AF182" i="99"/>
  <c r="AF181" i="99"/>
  <c r="AF180" i="99"/>
  <c r="AF179" i="99"/>
  <c r="AF178" i="99"/>
  <c r="AF177" i="99"/>
  <c r="AF176" i="99"/>
  <c r="AF175" i="99"/>
  <c r="AF174" i="99"/>
  <c r="AF173" i="99"/>
  <c r="AF172" i="99"/>
  <c r="AF171" i="99"/>
  <c r="AF170" i="99"/>
  <c r="AF169" i="99"/>
  <c r="AF168" i="99"/>
  <c r="AF167" i="99"/>
  <c r="AF166" i="99"/>
  <c r="AF165" i="99"/>
  <c r="AF164" i="99"/>
  <c r="AF163" i="99"/>
  <c r="AF162" i="99"/>
  <c r="AF161" i="99"/>
  <c r="AF160" i="99"/>
  <c r="AF159" i="99"/>
  <c r="AF158" i="99"/>
  <c r="AF157" i="99"/>
  <c r="AF156" i="99"/>
  <c r="AF155" i="99"/>
  <c r="AF154" i="99"/>
  <c r="AF153" i="99"/>
  <c r="AF152" i="99"/>
  <c r="AF151" i="99"/>
  <c r="AF150" i="99"/>
  <c r="AF149" i="99"/>
  <c r="AF148" i="99"/>
  <c r="AF147" i="99"/>
  <c r="AF146" i="99"/>
  <c r="AF145" i="99"/>
  <c r="AF144" i="99"/>
  <c r="AF143" i="99"/>
  <c r="AF142" i="99"/>
  <c r="AF141" i="99"/>
  <c r="AF140" i="99"/>
  <c r="AF139" i="99"/>
  <c r="AF138" i="99"/>
  <c r="AF137" i="99"/>
  <c r="AF136" i="99"/>
  <c r="AF135" i="99"/>
  <c r="AF134" i="99"/>
  <c r="AF133" i="99"/>
  <c r="AF132" i="99"/>
  <c r="AF131" i="99"/>
  <c r="AF130" i="99"/>
  <c r="AF129" i="99"/>
  <c r="AF128" i="99"/>
  <c r="AF127" i="99"/>
  <c r="AF126" i="99"/>
  <c r="AF125" i="99"/>
  <c r="AF124" i="99"/>
  <c r="AF123" i="99"/>
  <c r="AF122" i="99"/>
  <c r="AF121" i="99"/>
  <c r="AF120" i="99"/>
  <c r="AF119" i="99"/>
  <c r="AF118" i="99"/>
  <c r="AF117" i="99"/>
  <c r="AF116" i="99"/>
  <c r="AF115" i="99"/>
  <c r="AF114" i="99"/>
  <c r="AF113" i="99"/>
  <c r="AF112" i="99"/>
  <c r="AF111" i="99"/>
  <c r="AF110" i="99"/>
  <c r="AF109" i="99"/>
  <c r="AF108" i="99"/>
  <c r="AF107" i="99"/>
  <c r="AF106" i="99"/>
  <c r="AF105" i="99"/>
  <c r="AF104" i="99"/>
  <c r="AF103" i="99"/>
  <c r="AF102" i="99"/>
  <c r="AF101" i="99"/>
  <c r="AF100" i="99"/>
  <c r="AF99" i="99"/>
  <c r="AF98" i="99"/>
  <c r="AF97" i="99"/>
  <c r="AF96" i="99"/>
  <c r="AF95" i="99"/>
  <c r="AF94" i="99"/>
  <c r="AF93" i="99"/>
  <c r="AF92" i="99"/>
  <c r="AF91" i="99"/>
  <c r="AF90" i="99"/>
  <c r="AF89" i="99"/>
  <c r="AF88" i="99"/>
  <c r="AF87" i="99"/>
  <c r="AF86" i="99"/>
  <c r="AF85" i="99"/>
  <c r="AF84" i="99"/>
  <c r="AF83" i="99"/>
  <c r="AF82" i="99"/>
  <c r="AF81" i="99"/>
  <c r="AF80" i="99"/>
  <c r="AF79" i="99"/>
  <c r="AF78" i="99"/>
  <c r="AF77" i="99"/>
  <c r="AF34" i="99"/>
  <c r="U210" i="99"/>
  <c r="U183" i="99"/>
  <c r="U170" i="99"/>
  <c r="U162" i="99"/>
  <c r="U153" i="99"/>
  <c r="U145" i="99"/>
  <c r="U140" i="99"/>
  <c r="U135" i="99"/>
  <c r="U128" i="99"/>
  <c r="U122" i="99"/>
  <c r="U117" i="99"/>
  <c r="U112" i="99"/>
  <c r="U106" i="99"/>
  <c r="U103" i="99"/>
  <c r="U97" i="99"/>
  <c r="U94" i="99"/>
  <c r="U89" i="99"/>
  <c r="U85" i="99"/>
  <c r="U82" i="99"/>
  <c r="U76" i="99"/>
  <c r="U71" i="99"/>
  <c r="U67" i="99"/>
  <c r="U61" i="99"/>
  <c r="U56" i="99"/>
  <c r="U52" i="99"/>
  <c r="U47" i="99"/>
  <c r="U42" i="99"/>
  <c r="U39" i="99"/>
  <c r="U35" i="99"/>
  <c r="U31" i="99"/>
  <c r="U28" i="99"/>
  <c r="U23" i="99"/>
  <c r="U18" i="99"/>
  <c r="U14" i="99"/>
  <c r="U10" i="99"/>
  <c r="U4" i="99"/>
  <c r="AF71" i="99"/>
  <c r="AF66" i="99"/>
  <c r="AF62" i="99"/>
  <c r="AF57" i="99"/>
  <c r="AF54" i="99"/>
  <c r="AF50" i="99"/>
  <c r="AF45" i="99"/>
  <c r="AF41" i="99"/>
  <c r="AF37" i="99"/>
  <c r="AF31" i="99"/>
  <c r="AF27" i="99"/>
  <c r="AF22" i="99"/>
  <c r="AF17" i="99"/>
  <c r="AF13" i="99"/>
  <c r="AF8" i="99"/>
  <c r="AF3" i="99"/>
  <c r="U250" i="99"/>
  <c r="U245" i="99"/>
  <c r="U243" i="99"/>
  <c r="U238" i="99"/>
  <c r="U235" i="99"/>
  <c r="U231" i="99"/>
  <c r="U226" i="99"/>
  <c r="U222" i="99"/>
  <c r="U218" i="99"/>
  <c r="U214" i="99"/>
  <c r="U208" i="99"/>
  <c r="U203" i="99"/>
  <c r="U197" i="99"/>
  <c r="U193" i="99"/>
  <c r="U189" i="99"/>
  <c r="U187" i="99"/>
  <c r="U184" i="99"/>
  <c r="U182" i="99"/>
  <c r="U178" i="99"/>
  <c r="U174" i="99"/>
  <c r="U172" i="99"/>
  <c r="U168" i="99"/>
  <c r="U164" i="99"/>
  <c r="U161" i="99"/>
  <c r="U157" i="99"/>
  <c r="U154" i="99"/>
  <c r="U151" i="99"/>
  <c r="U147" i="99"/>
  <c r="U142" i="99"/>
  <c r="U137" i="99"/>
  <c r="U132" i="99"/>
  <c r="U127" i="99"/>
  <c r="U121" i="99"/>
  <c r="U116" i="99"/>
  <c r="U110" i="99"/>
  <c r="U104" i="99"/>
  <c r="U98" i="99"/>
  <c r="U92" i="99"/>
  <c r="U86" i="99"/>
  <c r="U80" i="99"/>
  <c r="U75" i="99"/>
  <c r="U70" i="99"/>
  <c r="U65" i="99"/>
  <c r="U59" i="99"/>
  <c r="U54" i="99"/>
  <c r="U49" i="99"/>
  <c r="U43" i="99"/>
  <c r="U37" i="99"/>
  <c r="U30" i="99"/>
  <c r="U25" i="99"/>
  <c r="U21" i="99"/>
  <c r="U16" i="99"/>
  <c r="U12" i="99"/>
  <c r="U7" i="99"/>
  <c r="AF72" i="99"/>
  <c r="AF67" i="99"/>
  <c r="AF61" i="99"/>
  <c r="AF56" i="99"/>
  <c r="AF49" i="99"/>
  <c r="AF44" i="99"/>
  <c r="AF39" i="99"/>
  <c r="AF33" i="99"/>
  <c r="AF28" i="99"/>
  <c r="AF23" i="99"/>
  <c r="AF18" i="99"/>
  <c r="AF12" i="99"/>
  <c r="AF6" i="99"/>
  <c r="U253" i="99"/>
  <c r="U246" i="99"/>
  <c r="U239" i="99"/>
  <c r="U233" i="99"/>
  <c r="U227" i="99"/>
  <c r="U221" i="99"/>
  <c r="U215" i="99"/>
  <c r="U209" i="99"/>
  <c r="U204" i="99"/>
  <c r="U198" i="99"/>
  <c r="U177" i="99"/>
  <c r="U167" i="99"/>
  <c r="U158" i="99"/>
  <c r="U152" i="99"/>
  <c r="U146" i="99"/>
  <c r="U138" i="99"/>
  <c r="U131" i="99"/>
  <c r="U123" i="99"/>
  <c r="U114" i="99"/>
  <c r="U107" i="99"/>
  <c r="U99" i="99"/>
  <c r="U93" i="99"/>
  <c r="U87" i="99"/>
  <c r="U79" i="99"/>
  <c r="U73" i="99"/>
  <c r="U68" i="99"/>
  <c r="U63" i="99"/>
  <c r="U57" i="99"/>
  <c r="U51" i="99"/>
  <c r="U46" i="99"/>
  <c r="U40" i="99"/>
  <c r="U34" i="99"/>
  <c r="U26" i="99"/>
  <c r="U20" i="99"/>
  <c r="U15" i="99"/>
  <c r="U8" i="99"/>
  <c r="U3" i="99"/>
  <c r="AF76" i="99"/>
  <c r="AF73" i="99"/>
  <c r="AF69" i="99"/>
  <c r="AF64" i="99"/>
  <c r="AF59" i="99"/>
  <c r="AF52" i="99"/>
  <c r="AF46" i="99"/>
  <c r="AF40" i="99"/>
  <c r="AF32" i="99"/>
  <c r="AF26" i="99"/>
  <c r="AF20" i="99"/>
  <c r="AF15" i="99"/>
  <c r="AF10" i="99"/>
  <c r="AF5" i="99"/>
  <c r="U252" i="99"/>
  <c r="U248" i="99"/>
  <c r="U240" i="99"/>
  <c r="U234" i="99"/>
  <c r="U228" i="99"/>
  <c r="U223" i="99"/>
  <c r="U217" i="99"/>
  <c r="U211" i="99"/>
  <c r="U206" i="99"/>
  <c r="U202" i="99"/>
  <c r="U199" i="99"/>
  <c r="U195" i="99"/>
  <c r="U191" i="99"/>
  <c r="U186" i="99"/>
  <c r="U180" i="99"/>
  <c r="U176" i="99"/>
  <c r="U171" i="99"/>
  <c r="U165" i="99"/>
  <c r="U160" i="99"/>
  <c r="U156" i="99"/>
  <c r="U150" i="99"/>
  <c r="U143" i="99"/>
  <c r="U136" i="99"/>
  <c r="U129" i="99"/>
  <c r="U124" i="99"/>
  <c r="U118" i="99"/>
  <c r="U111" i="99"/>
  <c r="U101" i="99"/>
  <c r="AF74" i="99"/>
  <c r="AF68" i="99"/>
  <c r="AF63" i="99"/>
  <c r="AF58" i="99"/>
  <c r="AF53" i="99"/>
  <c r="AF48" i="99"/>
  <c r="AF43" i="99"/>
  <c r="AF38" i="99"/>
  <c r="AF35" i="99"/>
  <c r="AF29" i="99"/>
  <c r="AF25" i="99"/>
  <c r="AF21" i="99"/>
  <c r="AF16" i="99"/>
  <c r="AF11" i="99"/>
  <c r="AF7" i="99"/>
  <c r="U249" i="99"/>
  <c r="U244" i="99"/>
  <c r="U241" i="99"/>
  <c r="U237" i="99"/>
  <c r="U232" i="99"/>
  <c r="U229" i="99"/>
  <c r="U225" i="99"/>
  <c r="U220" i="99"/>
  <c r="U216" i="99"/>
  <c r="U212" i="99"/>
  <c r="U205" i="99"/>
  <c r="U200" i="99"/>
  <c r="U194" i="99"/>
  <c r="U190" i="99"/>
  <c r="U188" i="99"/>
  <c r="U185" i="99"/>
  <c r="U181" i="99"/>
  <c r="U179" i="99"/>
  <c r="U175" i="99"/>
  <c r="U173" i="99"/>
  <c r="U169" i="99"/>
  <c r="U166" i="99"/>
  <c r="U163" i="99"/>
  <c r="U159" i="99"/>
  <c r="U155" i="99"/>
  <c r="U149" i="99"/>
  <c r="U144" i="99"/>
  <c r="U141" i="99"/>
  <c r="U139" i="99"/>
  <c r="U134" i="99"/>
  <c r="U130" i="99"/>
  <c r="U125" i="99"/>
  <c r="U120" i="99"/>
  <c r="U115" i="99"/>
  <c r="U109" i="99"/>
  <c r="U105" i="99"/>
  <c r="U96" i="99"/>
  <c r="U90" i="99"/>
  <c r="U84" i="99"/>
  <c r="U78" i="99"/>
  <c r="U74" i="99"/>
  <c r="U69" i="99"/>
  <c r="U64" i="99"/>
  <c r="U60" i="99"/>
  <c r="U55" i="99"/>
  <c r="U50" i="99"/>
  <c r="U44" i="99"/>
  <c r="U38" i="99"/>
  <c r="U33" i="99"/>
  <c r="U27" i="99"/>
  <c r="U22" i="99"/>
  <c r="U17" i="99"/>
  <c r="U11" i="99"/>
  <c r="U6" i="99"/>
  <c r="AF75" i="99"/>
  <c r="AF70" i="99"/>
  <c r="AF65" i="99"/>
  <c r="AF60" i="99"/>
  <c r="AF55" i="99"/>
  <c r="AF51" i="99"/>
  <c r="AF47" i="99"/>
  <c r="AF42" i="99"/>
  <c r="AF36" i="99"/>
  <c r="AF30" i="99"/>
  <c r="AF24" i="99"/>
  <c r="AF19" i="99"/>
  <c r="AF14" i="99"/>
  <c r="AF9" i="99"/>
  <c r="AF4" i="99"/>
  <c r="U251" i="99"/>
  <c r="U247" i="99"/>
  <c r="U242" i="99"/>
  <c r="U236" i="99"/>
  <c r="U230" i="99"/>
  <c r="U224" i="99"/>
  <c r="U219" i="99"/>
  <c r="U213" i="99"/>
  <c r="U207" i="99"/>
  <c r="U201" i="99"/>
  <c r="U196" i="99"/>
  <c r="U192" i="99"/>
  <c r="U148" i="99"/>
  <c r="U133" i="99"/>
  <c r="U126" i="99"/>
  <c r="U119" i="99"/>
  <c r="U113" i="99"/>
  <c r="U108" i="99"/>
  <c r="U102" i="99"/>
  <c r="U100" i="99"/>
  <c r="U95" i="99"/>
  <c r="U91" i="99"/>
  <c r="U88" i="99"/>
  <c r="U83" i="99"/>
  <c r="U81" i="99"/>
  <c r="U77" i="99"/>
  <c r="U72" i="99"/>
  <c r="U66" i="99"/>
  <c r="U62" i="99"/>
  <c r="U58" i="99"/>
  <c r="U53" i="99"/>
  <c r="U48" i="99"/>
  <c r="U45" i="99"/>
  <c r="U41" i="99"/>
  <c r="U36" i="99"/>
  <c r="U32" i="99"/>
  <c r="U29" i="99"/>
  <c r="U24" i="99"/>
  <c r="U19" i="99"/>
  <c r="U13" i="99"/>
  <c r="U9" i="99"/>
  <c r="U5" i="99"/>
  <c r="J3" i="99"/>
  <c r="AQ3" i="99"/>
  <c r="BB3" i="99"/>
  <c r="X10" i="3"/>
  <c r="B101" i="95"/>
  <c r="B85" i="95"/>
  <c r="B101" i="94"/>
  <c r="B85" i="94"/>
  <c r="B101" i="93"/>
  <c r="B86" i="93"/>
  <c r="I84" i="92"/>
  <c r="B85" i="92"/>
  <c r="I99" i="92"/>
  <c r="B100" i="92"/>
  <c r="H37" i="95"/>
  <c r="H78" i="95"/>
  <c r="H77" i="95"/>
  <c r="H34" i="95"/>
  <c r="H55" i="95"/>
  <c r="H74" i="95"/>
  <c r="H73" i="95"/>
  <c r="H58" i="95"/>
  <c r="H54" i="95"/>
  <c r="H33" i="95"/>
  <c r="H62" i="95"/>
  <c r="H70" i="95"/>
  <c r="H66" i="95"/>
  <c r="H38" i="95"/>
  <c r="H24" i="95"/>
  <c r="H47" i="95"/>
  <c r="H76" i="95"/>
  <c r="H51" i="95"/>
  <c r="H46" i="95"/>
  <c r="H59" i="95"/>
  <c r="H64" i="95"/>
  <c r="H50" i="95"/>
  <c r="H26" i="95"/>
  <c r="H15" i="95"/>
  <c r="H68" i="95"/>
  <c r="H58" i="94"/>
  <c r="H14" i="94"/>
  <c r="H73" i="94"/>
  <c r="H57" i="94"/>
  <c r="H76" i="94"/>
  <c r="H53" i="94"/>
  <c r="H33" i="94"/>
  <c r="H27" i="94"/>
  <c r="H78" i="94"/>
  <c r="H26" i="94"/>
  <c r="H61" i="94"/>
  <c r="H17" i="94"/>
  <c r="H34" i="94"/>
  <c r="H66" i="94"/>
  <c r="H48" i="94"/>
  <c r="H65" i="94"/>
  <c r="H49" i="94"/>
  <c r="H68" i="94"/>
  <c r="H69" i="94"/>
  <c r="H50" i="94"/>
  <c r="H38" i="94"/>
  <c r="H25" i="94"/>
  <c r="H77" i="94"/>
  <c r="H35" i="94"/>
  <c r="H74" i="94"/>
  <c r="H16" i="94"/>
  <c r="H71" i="93"/>
  <c r="H47" i="93"/>
  <c r="H26" i="93"/>
  <c r="H51" i="93"/>
  <c r="H76" i="93"/>
  <c r="H24" i="93"/>
  <c r="H14" i="93"/>
  <c r="H33" i="93"/>
  <c r="H67" i="93"/>
  <c r="H78" i="93"/>
  <c r="H17" i="93"/>
  <c r="H73" i="93"/>
  <c r="H39" i="93"/>
  <c r="H60" i="93"/>
  <c r="H18" i="93"/>
  <c r="H55" i="93"/>
  <c r="H59" i="93"/>
  <c r="H37" i="93"/>
  <c r="H21" i="93"/>
  <c r="H25" i="93"/>
  <c r="H75" i="93"/>
  <c r="H46" i="93"/>
  <c r="H63" i="93"/>
  <c r="H52" i="93"/>
  <c r="H34" i="93"/>
  <c r="H68" i="93"/>
  <c r="H13" i="93"/>
  <c r="H58" i="92"/>
  <c r="H63" i="92"/>
  <c r="H77" i="92"/>
  <c r="H39" i="92"/>
  <c r="H14" i="92"/>
  <c r="H27" i="92"/>
  <c r="H16" i="92"/>
  <c r="H40" i="92"/>
  <c r="H78" i="92"/>
  <c r="H67" i="92"/>
  <c r="H60" i="92"/>
  <c r="H36" i="92"/>
  <c r="H76" i="92"/>
  <c r="H15" i="92"/>
  <c r="H57" i="92"/>
  <c r="H73" i="92"/>
  <c r="H28" i="92"/>
  <c r="H46" i="92"/>
  <c r="H35" i="92"/>
  <c r="H13" i="92"/>
  <c r="H71" i="92"/>
  <c r="H50" i="92"/>
  <c r="H24" i="92"/>
  <c r="H75" i="92"/>
  <c r="H56" i="92"/>
  <c r="H52" i="92"/>
  <c r="H23" i="92"/>
  <c r="T78" i="3"/>
  <c r="U78" i="3" s="1"/>
  <c r="T77" i="3"/>
  <c r="U77" i="3" s="1"/>
  <c r="T76" i="3"/>
  <c r="U76" i="3" s="1"/>
  <c r="T75" i="3"/>
  <c r="U75" i="3" s="1"/>
  <c r="T74" i="3"/>
  <c r="U74" i="3" s="1"/>
  <c r="T73" i="3"/>
  <c r="U73" i="3" s="1"/>
  <c r="T72" i="3"/>
  <c r="U72" i="3" s="1"/>
  <c r="T71" i="3"/>
  <c r="U71" i="3" s="1"/>
  <c r="AH1" i="73"/>
  <c r="L61" i="3"/>
  <c r="M61" i="3" s="1"/>
  <c r="P61" i="3"/>
  <c r="Q61" i="3" s="1"/>
  <c r="R61" i="3"/>
  <c r="S61" i="3" s="1"/>
  <c r="AN21" i="3"/>
  <c r="J61" i="3"/>
  <c r="K61" i="3" s="1"/>
  <c r="AP21" i="3"/>
  <c r="V61" i="3"/>
  <c r="W61" i="3" s="1"/>
  <c r="X61" i="3"/>
  <c r="Y61" i="3" s="1"/>
  <c r="T61" i="3"/>
  <c r="U61" i="3" s="1"/>
  <c r="T70" i="3"/>
  <c r="U70" i="3" s="1"/>
  <c r="T69" i="3"/>
  <c r="U69" i="3" s="1"/>
  <c r="T68" i="3"/>
  <c r="U68" i="3" s="1"/>
  <c r="T67" i="3"/>
  <c r="U67" i="3" s="1"/>
  <c r="T65" i="3"/>
  <c r="U65" i="3" s="1"/>
  <c r="T64" i="3"/>
  <c r="U64" i="3" s="1"/>
  <c r="T63" i="3"/>
  <c r="U63" i="3" s="1"/>
  <c r="T62" i="3"/>
  <c r="U62" i="3" s="1"/>
  <c r="T66" i="3"/>
  <c r="U66" i="3" s="1"/>
  <c r="CW4" i="71"/>
  <c r="BW16" i="71"/>
  <c r="CM20" i="71"/>
  <c r="CM23" i="71" s="1"/>
  <c r="CN20" i="71"/>
  <c r="CN23" i="71" s="1"/>
  <c r="CN31" i="71" s="1"/>
  <c r="CF23" i="71"/>
  <c r="CF31" i="71" s="1"/>
  <c r="CE56" i="71"/>
  <c r="CE53" i="71"/>
  <c r="CE54" i="71"/>
  <c r="CE55" i="71"/>
  <c r="CE57" i="71"/>
  <c r="CE20" i="71"/>
  <c r="CE23" i="71" s="1"/>
  <c r="CE30" i="71" s="1"/>
  <c r="CQ21" i="71"/>
  <c r="CQ24" i="71" s="1"/>
  <c r="CQ36" i="71" s="1"/>
  <c r="CH20" i="71"/>
  <c r="CH23" i="71" s="1"/>
  <c r="BY23" i="71"/>
  <c r="BY30" i="71" s="1"/>
  <c r="CG20" i="71"/>
  <c r="CG23" i="71" s="1"/>
  <c r="CG29" i="71" s="1"/>
  <c r="CP21" i="71"/>
  <c r="CP24" i="71" s="1"/>
  <c r="BW13" i="71"/>
  <c r="CD24" i="71"/>
  <c r="CD35" i="71" s="1"/>
  <c r="CQ23" i="71"/>
  <c r="CQ28" i="71" s="1"/>
  <c r="CE66" i="71"/>
  <c r="CO20" i="71"/>
  <c r="CO23" i="71" s="1"/>
  <c r="CA20" i="71"/>
  <c r="CA23" i="71" s="1"/>
  <c r="CA31" i="71" s="1"/>
  <c r="CI20" i="71"/>
  <c r="CI23" i="71" s="1"/>
  <c r="CP20" i="71"/>
  <c r="CP23" i="71" s="1"/>
  <c r="CM21" i="71"/>
  <c r="CM24" i="71" s="1"/>
  <c r="CE62" i="71"/>
  <c r="CE63" i="71"/>
  <c r="CN27" i="71"/>
  <c r="CE64" i="71"/>
  <c r="CL20" i="71"/>
  <c r="CL23" i="71" s="1"/>
  <c r="CN21" i="71"/>
  <c r="CN24" i="71" s="1"/>
  <c r="CO24" i="71"/>
  <c r="CE61" i="71"/>
  <c r="CD20" i="71"/>
  <c r="CD23" i="71" s="1"/>
  <c r="CL21" i="71"/>
  <c r="CL24" i="71" s="1"/>
  <c r="CT5" i="71"/>
  <c r="CG21" i="71"/>
  <c r="CG24" i="71" s="1"/>
  <c r="CH21" i="71"/>
  <c r="CH24" i="71" s="1"/>
  <c r="CI21" i="71"/>
  <c r="CI24" i="71" s="1"/>
  <c r="CE21" i="71"/>
  <c r="CE24" i="71" s="1"/>
  <c r="CF21" i="71"/>
  <c r="CF24" i="71" s="1"/>
  <c r="BW20" i="71"/>
  <c r="BW23" i="71" s="1"/>
  <c r="BX20" i="71"/>
  <c r="BX23" i="71" s="1"/>
  <c r="BZ20" i="71"/>
  <c r="BZ23" i="71" s="1"/>
  <c r="H37" i="123" l="1"/>
  <c r="G37" i="123"/>
  <c r="E37" i="123"/>
  <c r="F37" i="123"/>
  <c r="A19" i="123"/>
  <c r="H16" i="123"/>
  <c r="G16" i="123"/>
  <c r="F16" i="123"/>
  <c r="E16" i="123"/>
  <c r="B17" i="123"/>
  <c r="A40" i="123"/>
  <c r="B38" i="123"/>
  <c r="A21" i="120"/>
  <c r="A40" i="120"/>
  <c r="CW5" i="71"/>
  <c r="A20" i="117"/>
  <c r="A40" i="117"/>
  <c r="BZ21" i="71"/>
  <c r="BZ24" i="71" s="1"/>
  <c r="BV21" i="71"/>
  <c r="BV24" i="71" s="1"/>
  <c r="CA21" i="71"/>
  <c r="CA24" i="71" s="1"/>
  <c r="CA39" i="71" s="1"/>
  <c r="ED5" i="71"/>
  <c r="EB5" i="71"/>
  <c r="EE5" i="71"/>
  <c r="DZ5" i="71"/>
  <c r="DY5" i="71"/>
  <c r="EA5" i="71"/>
  <c r="DA6" i="71"/>
  <c r="EF5" i="71"/>
  <c r="DJ5" i="71"/>
  <c r="DK6" i="71" s="1"/>
  <c r="DH5" i="71"/>
  <c r="DI6" i="71" s="1"/>
  <c r="DF5" i="71"/>
  <c r="DG6" i="71" s="1"/>
  <c r="DD5" i="71"/>
  <c r="DE6" i="71" s="1"/>
  <c r="DB5" i="71"/>
  <c r="DC6" i="71" s="1"/>
  <c r="CZ5" i="71"/>
  <c r="CX5" i="71"/>
  <c r="CY6" i="71" s="1"/>
  <c r="P28" i="110"/>
  <c r="D28" i="110"/>
  <c r="J28" i="110"/>
  <c r="I28" i="110"/>
  <c r="O28" i="110"/>
  <c r="C28" i="110"/>
  <c r="N28" i="110"/>
  <c r="M28" i="110"/>
  <c r="L28" i="110"/>
  <c r="K28" i="110"/>
  <c r="A29" i="110"/>
  <c r="P8" i="110"/>
  <c r="D8" i="110"/>
  <c r="I8" i="110"/>
  <c r="O8" i="110"/>
  <c r="C8" i="110"/>
  <c r="N8" i="110"/>
  <c r="M8" i="110"/>
  <c r="L8" i="110"/>
  <c r="K8" i="110"/>
  <c r="J8" i="110"/>
  <c r="A9" i="110"/>
  <c r="F8" i="109"/>
  <c r="I5" i="109" s="1"/>
  <c r="B86" i="95"/>
  <c r="B102" i="95"/>
  <c r="B86" i="94"/>
  <c r="B102" i="94"/>
  <c r="B102" i="93"/>
  <c r="B87" i="93"/>
  <c r="I100" i="92"/>
  <c r="B101" i="92"/>
  <c r="I85" i="92"/>
  <c r="B86" i="92"/>
  <c r="DV4" i="71"/>
  <c r="EC4" i="71" s="1"/>
  <c r="BX21" i="71"/>
  <c r="BX24" i="71" s="1"/>
  <c r="BX38" i="71" s="1"/>
  <c r="CN28" i="71"/>
  <c r="BW21" i="71"/>
  <c r="BW24" i="71" s="1"/>
  <c r="BW34" i="71" s="1"/>
  <c r="CN32" i="71"/>
  <c r="CN29" i="71"/>
  <c r="CF27" i="71"/>
  <c r="CQ37" i="71"/>
  <c r="BY21" i="71"/>
  <c r="BY24" i="71" s="1"/>
  <c r="CA32" i="71"/>
  <c r="CF29" i="71"/>
  <c r="CE27" i="71"/>
  <c r="CF30" i="71"/>
  <c r="CN30" i="71"/>
  <c r="CQ34" i="71"/>
  <c r="CA28" i="71"/>
  <c r="BY29" i="71"/>
  <c r="BY28" i="71"/>
  <c r="BY32" i="71"/>
  <c r="CA30" i="71"/>
  <c r="CF32" i="71"/>
  <c r="CG32" i="71"/>
  <c r="CF28" i="71"/>
  <c r="CG28" i="71"/>
  <c r="CE29" i="71"/>
  <c r="CQ30" i="71"/>
  <c r="BY27" i="71"/>
  <c r="CE32" i="71"/>
  <c r="CQ31" i="71"/>
  <c r="CQ38" i="71"/>
  <c r="CQ27" i="71"/>
  <c r="BY31" i="71"/>
  <c r="CE31" i="71"/>
  <c r="CE28" i="71"/>
  <c r="CQ32" i="71"/>
  <c r="CQ39" i="71"/>
  <c r="CQ35" i="71"/>
  <c r="CP34" i="71"/>
  <c r="CP37" i="71"/>
  <c r="CP38" i="71"/>
  <c r="CP39" i="71"/>
  <c r="CP35" i="71"/>
  <c r="CP36" i="71"/>
  <c r="CG30" i="71"/>
  <c r="CG27" i="71"/>
  <c r="CG31" i="71"/>
  <c r="CD36" i="71"/>
  <c r="CD38" i="71"/>
  <c r="CD34" i="71"/>
  <c r="CD39" i="71"/>
  <c r="CQ29" i="71"/>
  <c r="CD37" i="71"/>
  <c r="CL39" i="71"/>
  <c r="CL35" i="71"/>
  <c r="CL37" i="71"/>
  <c r="CL36" i="71"/>
  <c r="CL38" i="71"/>
  <c r="CL34" i="71"/>
  <c r="CL29" i="71"/>
  <c r="CL30" i="71"/>
  <c r="CL31" i="71"/>
  <c r="CL27" i="71"/>
  <c r="CL32" i="71"/>
  <c r="CL28" i="71"/>
  <c r="CM36" i="71"/>
  <c r="CM38" i="71"/>
  <c r="CM34" i="71"/>
  <c r="CM39" i="71"/>
  <c r="CM37" i="71"/>
  <c r="CM35" i="71"/>
  <c r="CN36" i="71"/>
  <c r="CN38" i="71"/>
  <c r="CN34" i="71"/>
  <c r="CN35" i="71"/>
  <c r="CN37" i="71"/>
  <c r="CN39" i="71"/>
  <c r="CA29" i="71"/>
  <c r="CH39" i="71"/>
  <c r="CH35" i="71"/>
  <c r="CH37" i="71"/>
  <c r="CH36" i="71"/>
  <c r="CH38" i="71"/>
  <c r="CH34" i="71"/>
  <c r="CM29" i="71"/>
  <c r="CM30" i="71"/>
  <c r="CM31" i="71"/>
  <c r="CM27" i="71"/>
  <c r="CM32" i="71"/>
  <c r="CM28" i="71"/>
  <c r="CG39" i="71"/>
  <c r="CG37" i="71"/>
  <c r="CG36" i="71"/>
  <c r="CG34" i="71"/>
  <c r="CG38" i="71"/>
  <c r="CG35" i="71"/>
  <c r="CH32" i="71"/>
  <c r="CH28" i="71"/>
  <c r="CH29" i="71"/>
  <c r="CH27" i="71"/>
  <c r="CH30" i="71"/>
  <c r="CH31" i="71"/>
  <c r="DV5" i="71"/>
  <c r="EC5" i="71" s="1"/>
  <c r="CP29" i="71"/>
  <c r="CP31" i="71"/>
  <c r="CP27" i="71"/>
  <c r="CP32" i="71"/>
  <c r="CP28" i="71"/>
  <c r="CP30" i="71"/>
  <c r="CI36" i="71"/>
  <c r="CI38" i="71"/>
  <c r="CI39" i="71"/>
  <c r="CI37" i="71"/>
  <c r="CI34" i="71"/>
  <c r="CI35" i="71"/>
  <c r="CA27" i="71"/>
  <c r="CF38" i="71"/>
  <c r="CF36" i="71"/>
  <c r="CF37" i="71"/>
  <c r="CF39" i="71"/>
  <c r="CF35" i="71"/>
  <c r="CF34" i="71"/>
  <c r="CD30" i="71"/>
  <c r="CD27" i="71"/>
  <c r="CD31" i="71"/>
  <c r="CD32" i="71"/>
  <c r="CD28" i="71"/>
  <c r="CD29" i="71"/>
  <c r="CO37" i="71"/>
  <c r="CO39" i="71"/>
  <c r="CO35" i="71"/>
  <c r="CO36" i="71"/>
  <c r="CO38" i="71"/>
  <c r="CO34" i="71"/>
  <c r="CO30" i="71"/>
  <c r="CO31" i="71"/>
  <c r="CO27" i="71"/>
  <c r="CO32" i="71"/>
  <c r="CO28" i="71"/>
  <c r="CO29" i="71"/>
  <c r="CT6" i="71"/>
  <c r="CV5" i="71"/>
  <c r="CW6" i="71" s="1"/>
  <c r="CE38" i="71"/>
  <c r="CE36" i="71"/>
  <c r="CE37" i="71"/>
  <c r="CE39" i="71"/>
  <c r="CE34" i="71"/>
  <c r="CE35" i="71"/>
  <c r="CI32" i="71"/>
  <c r="CI28" i="71"/>
  <c r="CI29" i="71"/>
  <c r="CI30" i="71"/>
  <c r="CI31" i="71"/>
  <c r="CI27" i="71"/>
  <c r="BX27" i="71"/>
  <c r="BX30" i="71"/>
  <c r="BX31" i="71"/>
  <c r="BX29" i="71"/>
  <c r="BX32" i="71"/>
  <c r="BX28" i="71"/>
  <c r="BW29" i="71"/>
  <c r="BW30" i="71"/>
  <c r="BW31" i="71"/>
  <c r="BW27" i="71"/>
  <c r="BW28" i="71"/>
  <c r="BW32" i="71"/>
  <c r="BZ32" i="71"/>
  <c r="BZ28" i="71"/>
  <c r="BZ31" i="71"/>
  <c r="BZ27" i="71"/>
  <c r="BZ30" i="71"/>
  <c r="BZ29" i="71"/>
  <c r="A41" i="123" l="1"/>
  <c r="B18" i="123"/>
  <c r="A20" i="123"/>
  <c r="E38" i="123"/>
  <c r="H38" i="123"/>
  <c r="G38" i="123"/>
  <c r="F38" i="123"/>
  <c r="F17" i="123"/>
  <c r="E17" i="123"/>
  <c r="H17" i="123"/>
  <c r="G17" i="123"/>
  <c r="B39" i="123"/>
  <c r="A41" i="120"/>
  <c r="A22" i="120"/>
  <c r="A21" i="117"/>
  <c r="A41" i="117"/>
  <c r="EE6" i="71"/>
  <c r="DY6" i="71"/>
  <c r="EB6" i="71"/>
  <c r="DZ6" i="71"/>
  <c r="EF6" i="71"/>
  <c r="DJ6" i="71"/>
  <c r="DK7" i="71" s="1"/>
  <c r="DH6" i="71"/>
  <c r="DI7" i="71" s="1"/>
  <c r="DF6" i="71"/>
  <c r="DG7" i="71" s="1"/>
  <c r="DD6" i="71"/>
  <c r="DE7" i="71" s="1"/>
  <c r="DB6" i="71"/>
  <c r="DC7" i="71" s="1"/>
  <c r="CX6" i="71"/>
  <c r="CY7" i="71" s="1"/>
  <c r="CZ6" i="71"/>
  <c r="DA7" i="71" s="1"/>
  <c r="ED6" i="71"/>
  <c r="EA6" i="71"/>
  <c r="N29" i="110"/>
  <c r="M29" i="110"/>
  <c r="L29" i="110"/>
  <c r="C29" i="110"/>
  <c r="K29" i="110"/>
  <c r="D29" i="110"/>
  <c r="J29" i="110"/>
  <c r="P29" i="110"/>
  <c r="I29" i="110"/>
  <c r="O29" i="110"/>
  <c r="A30" i="110"/>
  <c r="N9" i="110"/>
  <c r="D9" i="110"/>
  <c r="M9" i="110"/>
  <c r="L9" i="110"/>
  <c r="P9" i="110"/>
  <c r="C9" i="110"/>
  <c r="K9" i="110"/>
  <c r="O9" i="110"/>
  <c r="J9" i="110"/>
  <c r="I9" i="110"/>
  <c r="A10" i="110"/>
  <c r="AB3" i="109"/>
  <c r="J2" i="110" s="1"/>
  <c r="O5" i="109"/>
  <c r="AB7" i="109" s="1"/>
  <c r="N2" i="110" s="1"/>
  <c r="M5" i="109"/>
  <c r="AB8" i="109" s="1"/>
  <c r="L2" i="110" s="1"/>
  <c r="U5" i="109"/>
  <c r="AB4" i="109" s="1"/>
  <c r="K2" i="110" s="1"/>
  <c r="W5" i="109"/>
  <c r="AB9" i="109" s="1"/>
  <c r="P2" i="110" s="1"/>
  <c r="Q5" i="109"/>
  <c r="AB6" i="109" s="1"/>
  <c r="M2" i="110" s="1"/>
  <c r="K5" i="109"/>
  <c r="AB2" i="109" s="1"/>
  <c r="I2" i="110" s="1"/>
  <c r="S5" i="109"/>
  <c r="AB5" i="109" s="1"/>
  <c r="O2" i="110" s="1"/>
  <c r="B103" i="95"/>
  <c r="B87" i="95"/>
  <c r="B87" i="94"/>
  <c r="B103" i="94"/>
  <c r="B103" i="93"/>
  <c r="B88" i="93"/>
  <c r="I101" i="92"/>
  <c r="B102" i="92"/>
  <c r="B87" i="92"/>
  <c r="I86" i="92"/>
  <c r="BY34" i="71"/>
  <c r="CO42" i="71" s="1"/>
  <c r="CG42" i="71" s="1"/>
  <c r="BY39" i="71"/>
  <c r="CO47" i="71" s="1"/>
  <c r="CG47" i="71" s="1"/>
  <c r="CA37" i="71"/>
  <c r="CQ45" i="71" s="1"/>
  <c r="CI45" i="71" s="1"/>
  <c r="CA36" i="71"/>
  <c r="CQ44" i="71" s="1"/>
  <c r="CI44" i="71" s="1"/>
  <c r="CA38" i="71"/>
  <c r="CQ46" i="71" s="1"/>
  <c r="CI46" i="71" s="1"/>
  <c r="BW35" i="71"/>
  <c r="CM43" i="71" s="1"/>
  <c r="CE43" i="71" s="1"/>
  <c r="BY37" i="71"/>
  <c r="CO45" i="71" s="1"/>
  <c r="CG45" i="71" s="1"/>
  <c r="BX36" i="71"/>
  <c r="CN44" i="71" s="1"/>
  <c r="CF44" i="71" s="1"/>
  <c r="BW38" i="71"/>
  <c r="CM46" i="71" s="1"/>
  <c r="CA35" i="71"/>
  <c r="CQ43" i="71" s="1"/>
  <c r="CI43" i="71" s="1"/>
  <c r="CA34" i="71"/>
  <c r="CQ42" i="71" s="1"/>
  <c r="CI42" i="71" s="1"/>
  <c r="CN46" i="71"/>
  <c r="CF46" i="71" s="1"/>
  <c r="BW39" i="71"/>
  <c r="CM47" i="71" s="1"/>
  <c r="CE47" i="71" s="1"/>
  <c r="BW36" i="71"/>
  <c r="CM44" i="71" s="1"/>
  <c r="CE44" i="71" s="1"/>
  <c r="BW37" i="71"/>
  <c r="CM45" i="71" s="1"/>
  <c r="CE45" i="71" s="1"/>
  <c r="CM42" i="71"/>
  <c r="CE42" i="71" s="1"/>
  <c r="BY36" i="71"/>
  <c r="CO44" i="71" s="1"/>
  <c r="CG44" i="71" s="1"/>
  <c r="BY35" i="71"/>
  <c r="CO43" i="71" s="1"/>
  <c r="CG43" i="71" s="1"/>
  <c r="BY38" i="71"/>
  <c r="CO46" i="71" s="1"/>
  <c r="CG46" i="71" s="1"/>
  <c r="BX34" i="71"/>
  <c r="CN42" i="71" s="1"/>
  <c r="CF42" i="71" s="1"/>
  <c r="BX35" i="71"/>
  <c r="CN43" i="71" s="1"/>
  <c r="CF43" i="71" s="1"/>
  <c r="BX39" i="71"/>
  <c r="CN47" i="71" s="1"/>
  <c r="BX37" i="71"/>
  <c r="CN45" i="71" s="1"/>
  <c r="CF45" i="71" s="1"/>
  <c r="BZ36" i="71"/>
  <c r="CP44" i="71" s="1"/>
  <c r="BZ39" i="71"/>
  <c r="CP47" i="71" s="1"/>
  <c r="CH47" i="71" s="1"/>
  <c r="BZ34" i="71"/>
  <c r="CP42" i="71" s="1"/>
  <c r="BZ35" i="71"/>
  <c r="CP43" i="71" s="1"/>
  <c r="CH43" i="71" s="1"/>
  <c r="BZ37" i="71"/>
  <c r="CP45" i="71" s="1"/>
  <c r="CH45" i="71" s="1"/>
  <c r="BZ38" i="71"/>
  <c r="CP46" i="71" s="1"/>
  <c r="CQ47" i="71"/>
  <c r="CI47" i="71" s="1"/>
  <c r="DV6" i="71"/>
  <c r="EC6" i="71" s="1"/>
  <c r="CT7" i="71"/>
  <c r="CV6" i="71"/>
  <c r="CW7" i="71" s="1"/>
  <c r="AJ20" i="3"/>
  <c r="AN20" i="3" s="1"/>
  <c r="AI20" i="3"/>
  <c r="AH20" i="3"/>
  <c r="AJ19" i="3"/>
  <c r="AN19" i="3" s="1"/>
  <c r="AI19" i="3"/>
  <c r="AH19" i="3"/>
  <c r="AJ18" i="3"/>
  <c r="AN18" i="3" s="1"/>
  <c r="AI18" i="3"/>
  <c r="AH18" i="3"/>
  <c r="AJ17" i="3"/>
  <c r="AN17" i="3" s="1"/>
  <c r="AI17" i="3"/>
  <c r="AH17" i="3"/>
  <c r="AJ16" i="3"/>
  <c r="AI16" i="3"/>
  <c r="AH16" i="3"/>
  <c r="AJ15" i="3"/>
  <c r="AN15" i="3" s="1"/>
  <c r="AH15" i="3"/>
  <c r="AJ14" i="3"/>
  <c r="AN14" i="3" s="1"/>
  <c r="AH14" i="3"/>
  <c r="AJ13" i="3"/>
  <c r="AN13" i="3" s="1"/>
  <c r="AH13" i="3"/>
  <c r="D49" i="3"/>
  <c r="D48" i="3"/>
  <c r="D47" i="3"/>
  <c r="D26" i="3"/>
  <c r="D25" i="3"/>
  <c r="D24" i="3"/>
  <c r="D23" i="3"/>
  <c r="D22" i="3"/>
  <c r="D2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C60" i="3"/>
  <c r="B60" i="3"/>
  <c r="C55" i="3"/>
  <c r="B55" i="3"/>
  <c r="C54" i="3"/>
  <c r="B54" i="3"/>
  <c r="C53" i="3"/>
  <c r="B53" i="3"/>
  <c r="C52" i="3"/>
  <c r="B52" i="3"/>
  <c r="C51" i="3"/>
  <c r="B51" i="3"/>
  <c r="C50" i="3"/>
  <c r="B50" i="3"/>
  <c r="B49" i="3"/>
  <c r="B48" i="3"/>
  <c r="B47" i="3"/>
  <c r="C46" i="3"/>
  <c r="B46" i="3"/>
  <c r="E52" i="1"/>
  <c r="C52" i="1"/>
  <c r="E51" i="1"/>
  <c r="C51" i="1"/>
  <c r="E50" i="1"/>
  <c r="C50" i="1"/>
  <c r="E49" i="1"/>
  <c r="C49" i="1"/>
  <c r="B7" i="80"/>
  <c r="B6" i="80"/>
  <c r="B5" i="80"/>
  <c r="B4" i="80"/>
  <c r="H6" i="80"/>
  <c r="G7" i="80"/>
  <c r="F7" i="80"/>
  <c r="H7" i="80" s="1"/>
  <c r="I7" i="80" s="1"/>
  <c r="G6" i="80"/>
  <c r="F6" i="80"/>
  <c r="G5" i="80"/>
  <c r="F5" i="80"/>
  <c r="H5" i="80" s="1"/>
  <c r="G4" i="80"/>
  <c r="F4" i="80"/>
  <c r="G3" i="80"/>
  <c r="F3" i="80"/>
  <c r="H3" i="80" s="1"/>
  <c r="T72" i="49"/>
  <c r="Q96" i="49" s="1"/>
  <c r="S72" i="49"/>
  <c r="Q95" i="49" s="1"/>
  <c r="B39" i="49"/>
  <c r="B38" i="49"/>
  <c r="B37" i="49"/>
  <c r="C36" i="49"/>
  <c r="Q101" i="49" s="1"/>
  <c r="B36" i="49"/>
  <c r="B35" i="49"/>
  <c r="B34" i="49"/>
  <c r="B33" i="49"/>
  <c r="B32" i="49"/>
  <c r="B31" i="49"/>
  <c r="A37" i="49"/>
  <c r="A36" i="49"/>
  <c r="A32" i="49"/>
  <c r="A31" i="49"/>
  <c r="D12" i="78"/>
  <c r="D7" i="78"/>
  <c r="D2" i="78"/>
  <c r="C12" i="78"/>
  <c r="C7" i="78"/>
  <c r="C2" i="78"/>
  <c r="D28" i="77"/>
  <c r="I36" i="49" s="1"/>
  <c r="I72" i="49" s="1"/>
  <c r="Q87" i="49" s="1"/>
  <c r="D30" i="77"/>
  <c r="G36" i="49" s="1"/>
  <c r="C32" i="77"/>
  <c r="D32" i="77" s="1"/>
  <c r="E36" i="49" s="1"/>
  <c r="C31" i="77"/>
  <c r="D31" i="77" s="1"/>
  <c r="O36" i="49" s="1"/>
  <c r="C30" i="77"/>
  <c r="C29" i="77"/>
  <c r="D29" i="77" s="1"/>
  <c r="Q36" i="49" s="1"/>
  <c r="Q72" i="49" s="1"/>
  <c r="Q93" i="49" s="1"/>
  <c r="C28" i="77"/>
  <c r="B15" i="71"/>
  <c r="B13" i="71"/>
  <c r="F223" i="71"/>
  <c r="F222" i="71"/>
  <c r="F221" i="71"/>
  <c r="F220" i="71"/>
  <c r="F219" i="71"/>
  <c r="F218" i="71"/>
  <c r="F217" i="71"/>
  <c r="F216" i="71"/>
  <c r="F215" i="71"/>
  <c r="F214" i="71"/>
  <c r="F213" i="71"/>
  <c r="F212" i="71"/>
  <c r="F211" i="71"/>
  <c r="F210" i="71"/>
  <c r="F209" i="71"/>
  <c r="F208" i="71"/>
  <c r="F207" i="71"/>
  <c r="F206" i="71"/>
  <c r="F205" i="71"/>
  <c r="F204" i="71"/>
  <c r="F203" i="71"/>
  <c r="F202" i="71"/>
  <c r="F201" i="71"/>
  <c r="F200" i="71"/>
  <c r="F199" i="71"/>
  <c r="F198" i="71"/>
  <c r="F197" i="71"/>
  <c r="F196" i="71"/>
  <c r="F195" i="71"/>
  <c r="F194" i="71"/>
  <c r="F193" i="71"/>
  <c r="F192" i="71"/>
  <c r="F191" i="71"/>
  <c r="F190" i="71"/>
  <c r="F189" i="71"/>
  <c r="F188" i="71"/>
  <c r="F187" i="71"/>
  <c r="F186" i="71"/>
  <c r="F185" i="71"/>
  <c r="F184" i="71"/>
  <c r="F183" i="71"/>
  <c r="F182" i="71"/>
  <c r="F181" i="71"/>
  <c r="F180" i="71"/>
  <c r="F179" i="71"/>
  <c r="F178" i="71"/>
  <c r="F177" i="71"/>
  <c r="F176" i="71"/>
  <c r="F175" i="71"/>
  <c r="F174" i="71"/>
  <c r="F173" i="71"/>
  <c r="F172" i="71"/>
  <c r="F171" i="71"/>
  <c r="F170" i="71"/>
  <c r="F169" i="71"/>
  <c r="F168" i="71"/>
  <c r="F167" i="71"/>
  <c r="F166" i="71"/>
  <c r="F165" i="71"/>
  <c r="F164" i="71"/>
  <c r="F163" i="71"/>
  <c r="F162" i="71"/>
  <c r="F161" i="71"/>
  <c r="F160" i="71"/>
  <c r="F159" i="71"/>
  <c r="F158" i="71"/>
  <c r="F157" i="71"/>
  <c r="F156" i="71"/>
  <c r="F155" i="71"/>
  <c r="F154" i="71"/>
  <c r="F153" i="71"/>
  <c r="F152" i="71"/>
  <c r="F151" i="71"/>
  <c r="F150" i="71"/>
  <c r="F149" i="71"/>
  <c r="F148" i="71"/>
  <c r="F147" i="71"/>
  <c r="F146" i="71"/>
  <c r="F145" i="71"/>
  <c r="F144" i="71"/>
  <c r="F143" i="71"/>
  <c r="F142" i="71"/>
  <c r="F141" i="71"/>
  <c r="F140" i="71"/>
  <c r="F139" i="71"/>
  <c r="F138" i="71"/>
  <c r="F137" i="71"/>
  <c r="F136" i="71"/>
  <c r="F135" i="71"/>
  <c r="F134" i="71"/>
  <c r="F133" i="71"/>
  <c r="F132" i="71"/>
  <c r="F131" i="71"/>
  <c r="F130" i="71"/>
  <c r="F129" i="71"/>
  <c r="F128" i="71"/>
  <c r="F127" i="71"/>
  <c r="F126" i="71"/>
  <c r="F125" i="71"/>
  <c r="F124" i="71"/>
  <c r="F123" i="71"/>
  <c r="F122" i="71"/>
  <c r="F121" i="71"/>
  <c r="F120" i="71"/>
  <c r="F119" i="71"/>
  <c r="F118" i="71"/>
  <c r="F117" i="71"/>
  <c r="F116" i="71"/>
  <c r="F115" i="71"/>
  <c r="F114" i="71"/>
  <c r="F113" i="71"/>
  <c r="F112" i="71"/>
  <c r="F111" i="71"/>
  <c r="F110" i="71"/>
  <c r="F109" i="71"/>
  <c r="F108" i="71"/>
  <c r="F107" i="71"/>
  <c r="F106" i="71"/>
  <c r="F105" i="71"/>
  <c r="F104" i="71"/>
  <c r="F103" i="71"/>
  <c r="F102" i="71"/>
  <c r="F101" i="71"/>
  <c r="F100" i="71"/>
  <c r="F99" i="71"/>
  <c r="F98" i="71"/>
  <c r="F97" i="71"/>
  <c r="F96" i="71"/>
  <c r="F95" i="71"/>
  <c r="F94" i="71"/>
  <c r="F93" i="71"/>
  <c r="F92" i="71"/>
  <c r="F91" i="71"/>
  <c r="F90" i="71"/>
  <c r="F89" i="71"/>
  <c r="F88" i="71"/>
  <c r="F87" i="71"/>
  <c r="F86" i="71"/>
  <c r="F85" i="71"/>
  <c r="F84" i="71"/>
  <c r="F83" i="71"/>
  <c r="F82" i="71"/>
  <c r="F81" i="71"/>
  <c r="F80" i="71"/>
  <c r="F79" i="71"/>
  <c r="F78" i="71"/>
  <c r="F77" i="71"/>
  <c r="F76" i="71"/>
  <c r="F75" i="71"/>
  <c r="F74" i="71"/>
  <c r="F73" i="71"/>
  <c r="F72" i="71"/>
  <c r="F71" i="71"/>
  <c r="F70" i="71"/>
  <c r="F69" i="71"/>
  <c r="F68" i="71"/>
  <c r="F67" i="71"/>
  <c r="F66" i="71"/>
  <c r="F65" i="71"/>
  <c r="F64" i="71"/>
  <c r="F63" i="71"/>
  <c r="F62" i="71"/>
  <c r="F61" i="71"/>
  <c r="F60" i="71"/>
  <c r="F59" i="71"/>
  <c r="F58" i="71"/>
  <c r="F57" i="71"/>
  <c r="F56" i="71"/>
  <c r="F55" i="71"/>
  <c r="F54" i="71"/>
  <c r="F53" i="71"/>
  <c r="F52" i="71"/>
  <c r="F51" i="71"/>
  <c r="F50" i="71"/>
  <c r="F49" i="71"/>
  <c r="F48" i="71"/>
  <c r="F47" i="71"/>
  <c r="F46" i="71"/>
  <c r="F45" i="71"/>
  <c r="F44" i="71"/>
  <c r="F43" i="71"/>
  <c r="F42" i="71"/>
  <c r="F41" i="71"/>
  <c r="F40" i="71"/>
  <c r="F39" i="71"/>
  <c r="F38" i="71"/>
  <c r="F37" i="71"/>
  <c r="F36" i="71"/>
  <c r="F35" i="71"/>
  <c r="F34" i="71"/>
  <c r="F33" i="71"/>
  <c r="F32" i="71"/>
  <c r="F30" i="71"/>
  <c r="F29" i="71"/>
  <c r="F28" i="71"/>
  <c r="F27" i="71"/>
  <c r="F26" i="71"/>
  <c r="E2" i="71"/>
  <c r="E11" i="71"/>
  <c r="D11" i="71"/>
  <c r="D2" i="71"/>
  <c r="H18" i="123" l="1"/>
  <c r="G18" i="123"/>
  <c r="F18" i="123"/>
  <c r="E18" i="123"/>
  <c r="H39" i="123"/>
  <c r="G39" i="123"/>
  <c r="F39" i="123"/>
  <c r="E39" i="123"/>
  <c r="A21" i="123"/>
  <c r="B19" i="123"/>
  <c r="A42" i="123"/>
  <c r="B40" i="123"/>
  <c r="A42" i="120"/>
  <c r="A42" i="117"/>
  <c r="A22" i="117"/>
  <c r="AT2" i="3"/>
  <c r="AT13" i="3" s="1"/>
  <c r="AY122" i="71"/>
  <c r="BF122" i="71"/>
  <c r="BI122" i="71" s="1"/>
  <c r="BD122" i="71"/>
  <c r="BM122" i="71"/>
  <c r="BO122" i="71"/>
  <c r="BR122" i="71"/>
  <c r="BP122" i="71"/>
  <c r="BN122" i="71"/>
  <c r="BQ122" i="71"/>
  <c r="BL122" i="71"/>
  <c r="BK122" i="71"/>
  <c r="BS122" i="71"/>
  <c r="BH122" i="71"/>
  <c r="BG122" i="71"/>
  <c r="BC122" i="71"/>
  <c r="BA122" i="71"/>
  <c r="BB122" i="71"/>
  <c r="BE122" i="71"/>
  <c r="AZ122" i="71"/>
  <c r="BD57" i="71"/>
  <c r="BA57" i="71"/>
  <c r="BL57" i="71"/>
  <c r="AY57" i="71"/>
  <c r="BG57" i="71"/>
  <c r="BM57" i="71"/>
  <c r="BP57" i="71" s="1"/>
  <c r="BF57" i="71"/>
  <c r="BN57" i="71"/>
  <c r="BR57" i="71"/>
  <c r="BK57" i="71"/>
  <c r="BC57" i="71"/>
  <c r="BH57" i="71"/>
  <c r="AZ57" i="71"/>
  <c r="BB57" i="71"/>
  <c r="BJ57" i="71"/>
  <c r="BI57" i="71"/>
  <c r="BE57" i="71"/>
  <c r="BM105" i="71"/>
  <c r="BS105" i="71" s="1"/>
  <c r="BF105" i="71"/>
  <c r="BL105" i="71" s="1"/>
  <c r="AY105" i="71"/>
  <c r="BN105" i="71"/>
  <c r="BA105" i="71"/>
  <c r="BO105" i="71"/>
  <c r="BC105" i="71"/>
  <c r="BM165" i="71"/>
  <c r="BN165" i="71" s="1"/>
  <c r="BF165" i="71"/>
  <c r="AY165" i="71"/>
  <c r="BC165" i="71" s="1"/>
  <c r="BS165" i="71"/>
  <c r="BG165" i="71"/>
  <c r="BR165" i="71"/>
  <c r="BP165" i="71"/>
  <c r="BK165" i="71"/>
  <c r="AZ165" i="71"/>
  <c r="BJ165" i="71"/>
  <c r="BH165" i="71"/>
  <c r="BL165" i="71"/>
  <c r="BD165" i="71"/>
  <c r="BE165" i="71"/>
  <c r="BA165" i="71"/>
  <c r="BI165" i="71"/>
  <c r="BB165" i="71"/>
  <c r="BM36" i="71"/>
  <c r="BS36" i="71" s="1"/>
  <c r="BF36" i="71"/>
  <c r="AY36" i="71"/>
  <c r="BO36" i="71"/>
  <c r="BP36" i="71"/>
  <c r="BR36" i="71"/>
  <c r="BN36" i="71"/>
  <c r="BI36" i="71"/>
  <c r="BG36" i="71"/>
  <c r="BJ36" i="71"/>
  <c r="BL36" i="71"/>
  <c r="BH36" i="71"/>
  <c r="BK36" i="71"/>
  <c r="BS60" i="71"/>
  <c r="BF60" i="71"/>
  <c r="BG60" i="71" s="1"/>
  <c r="BB60" i="71"/>
  <c r="AY60" i="71"/>
  <c r="BM60" i="71"/>
  <c r="BO60" i="71"/>
  <c r="BQ60" i="71"/>
  <c r="BN60" i="71"/>
  <c r="BP60" i="71"/>
  <c r="BR60" i="71"/>
  <c r="BL60" i="71"/>
  <c r="BA60" i="71"/>
  <c r="BJ60" i="71"/>
  <c r="BH60" i="71"/>
  <c r="BI60" i="71"/>
  <c r="AZ60" i="71"/>
  <c r="BC60" i="71"/>
  <c r="BK60" i="71"/>
  <c r="BD60" i="71"/>
  <c r="BE60" i="71"/>
  <c r="BM96" i="71"/>
  <c r="BQ96" i="71" s="1"/>
  <c r="BF96" i="71"/>
  <c r="BL96" i="71" s="1"/>
  <c r="BE96" i="71"/>
  <c r="AY96" i="71"/>
  <c r="BO96" i="71"/>
  <c r="BB96" i="71"/>
  <c r="AZ96" i="71"/>
  <c r="BM120" i="71"/>
  <c r="AY120" i="71"/>
  <c r="BF120" i="71"/>
  <c r="BH120" i="71" s="1"/>
  <c r="BS120" i="71"/>
  <c r="BO120" i="71"/>
  <c r="BL120" i="71"/>
  <c r="BP120" i="71"/>
  <c r="BK120" i="71"/>
  <c r="BJ120" i="71"/>
  <c r="BR120" i="71"/>
  <c r="BQ120" i="71"/>
  <c r="BB120" i="71"/>
  <c r="BC120" i="71"/>
  <c r="BA120" i="71"/>
  <c r="AZ120" i="71"/>
  <c r="BE120" i="71"/>
  <c r="BN120" i="71"/>
  <c r="BI120" i="71"/>
  <c r="BD120" i="71"/>
  <c r="BM132" i="71"/>
  <c r="BP132" i="71" s="1"/>
  <c r="BF132" i="71"/>
  <c r="AY132" i="71"/>
  <c r="BS132" i="71"/>
  <c r="BR132" i="71"/>
  <c r="BK132" i="71"/>
  <c r="BL132" i="71"/>
  <c r="BE132" i="71"/>
  <c r="BG132" i="71"/>
  <c r="BD132" i="71"/>
  <c r="BN132" i="71"/>
  <c r="BH132" i="71"/>
  <c r="BC132" i="71"/>
  <c r="AZ132" i="71"/>
  <c r="BB132" i="71"/>
  <c r="BA132" i="71"/>
  <c r="BQ132" i="71"/>
  <c r="BJ132" i="71"/>
  <c r="BI132" i="71"/>
  <c r="BG156" i="71"/>
  <c r="BM156" i="71"/>
  <c r="BQ156" i="71" s="1"/>
  <c r="BF156" i="71"/>
  <c r="BK156" i="71" s="1"/>
  <c r="AZ156" i="71"/>
  <c r="AY156" i="71"/>
  <c r="BR156" i="71"/>
  <c r="BN156" i="71"/>
  <c r="BH156" i="71"/>
  <c r="BE156" i="71"/>
  <c r="BC156" i="71"/>
  <c r="BB156" i="71"/>
  <c r="BA156" i="71"/>
  <c r="BD156" i="71"/>
  <c r="BM168" i="71"/>
  <c r="BF168" i="71"/>
  <c r="BE168" i="71"/>
  <c r="AY168" i="71"/>
  <c r="BO168" i="71"/>
  <c r="BN168" i="71"/>
  <c r="BQ168" i="71"/>
  <c r="BS168" i="71"/>
  <c r="BR168" i="71"/>
  <c r="BI168" i="71"/>
  <c r="AZ168" i="71"/>
  <c r="BB168" i="71"/>
  <c r="BP168" i="71"/>
  <c r="BJ180" i="71"/>
  <c r="BF180" i="71"/>
  <c r="AY180" i="71"/>
  <c r="BM180" i="71"/>
  <c r="BP180" i="71"/>
  <c r="BR180" i="71"/>
  <c r="BS180" i="71"/>
  <c r="BN180" i="71"/>
  <c r="BO180" i="71"/>
  <c r="BH180" i="71"/>
  <c r="BL180" i="71"/>
  <c r="BD180" i="71"/>
  <c r="BB180" i="71"/>
  <c r="BK180" i="71"/>
  <c r="BA180" i="71"/>
  <c r="AZ180" i="71"/>
  <c r="BE180" i="71"/>
  <c r="BQ180" i="71"/>
  <c r="BI180" i="71"/>
  <c r="BG180" i="71"/>
  <c r="BC180" i="71"/>
  <c r="AY192" i="71"/>
  <c r="BF192" i="71"/>
  <c r="BM192" i="71"/>
  <c r="BN192" i="71" s="1"/>
  <c r="BL192" i="71"/>
  <c r="BS192" i="71"/>
  <c r="BR192" i="71"/>
  <c r="BH192" i="71"/>
  <c r="BG192" i="71"/>
  <c r="BD192" i="71"/>
  <c r="BJ192" i="71"/>
  <c r="BC192" i="71"/>
  <c r="BK192" i="71"/>
  <c r="BB192" i="71"/>
  <c r="BA192" i="71"/>
  <c r="BE192" i="71"/>
  <c r="BI192" i="71"/>
  <c r="AZ192" i="71"/>
  <c r="AY204" i="71"/>
  <c r="BF204" i="71"/>
  <c r="BK204" i="71" s="1"/>
  <c r="BP204" i="71"/>
  <c r="BO204" i="71"/>
  <c r="BQ204" i="71"/>
  <c r="BM204" i="71"/>
  <c r="BR204" i="71"/>
  <c r="BL204" i="71"/>
  <c r="BS204" i="71"/>
  <c r="BN204" i="71"/>
  <c r="BG204" i="71"/>
  <c r="AY216" i="71"/>
  <c r="BM216" i="71"/>
  <c r="BA216" i="71"/>
  <c r="BC216" i="71"/>
  <c r="BG216" i="71"/>
  <c r="BB216" i="71"/>
  <c r="BE216" i="71"/>
  <c r="AZ216" i="71"/>
  <c r="BJ216" i="71"/>
  <c r="BF216" i="71"/>
  <c r="BL216" i="71" s="1"/>
  <c r="BH216" i="71"/>
  <c r="BD216" i="71"/>
  <c r="BM98" i="71"/>
  <c r="BF98" i="71"/>
  <c r="AY98" i="71"/>
  <c r="AZ98" i="71" s="1"/>
  <c r="BR98" i="71"/>
  <c r="BO98" i="71"/>
  <c r="BP98" i="71"/>
  <c r="BS98" i="71"/>
  <c r="BH98" i="71"/>
  <c r="BN98" i="71"/>
  <c r="BC98" i="71"/>
  <c r="BA98" i="71"/>
  <c r="BE98" i="71"/>
  <c r="BL98" i="71"/>
  <c r="BQ98" i="71"/>
  <c r="BI98" i="71"/>
  <c r="BJ98" i="71"/>
  <c r="BK98" i="71"/>
  <c r="BG98" i="71"/>
  <c r="BI69" i="71"/>
  <c r="BH69" i="71"/>
  <c r="BF69" i="71"/>
  <c r="BE69" i="71"/>
  <c r="BM69" i="71"/>
  <c r="BO69" i="71" s="1"/>
  <c r="AY69" i="71"/>
  <c r="BD69" i="71"/>
  <c r="BN69" i="71"/>
  <c r="BS69" i="71"/>
  <c r="BR69" i="71"/>
  <c r="BL69" i="71"/>
  <c r="BJ69" i="71"/>
  <c r="BQ69" i="71"/>
  <c r="BB69" i="71"/>
  <c r="BG69" i="71"/>
  <c r="BA69" i="71"/>
  <c r="AZ69" i="71"/>
  <c r="BK69" i="71"/>
  <c r="BC69" i="71"/>
  <c r="AY117" i="71"/>
  <c r="BN117" i="71"/>
  <c r="BM117" i="71"/>
  <c r="BQ117" i="71" s="1"/>
  <c r="BF117" i="71"/>
  <c r="BJ117" i="71" s="1"/>
  <c r="BD117" i="71"/>
  <c r="BA117" i="71"/>
  <c r="BC117" i="71"/>
  <c r="AY201" i="71"/>
  <c r="BC201" i="71" s="1"/>
  <c r="BM201" i="71"/>
  <c r="BF201" i="71"/>
  <c r="BL201" i="71" s="1"/>
  <c r="BP201" i="71"/>
  <c r="BA201" i="71"/>
  <c r="BE201" i="71"/>
  <c r="AZ201" i="71"/>
  <c r="BD201" i="71"/>
  <c r="BB201" i="71"/>
  <c r="BS48" i="71"/>
  <c r="BM48" i="71"/>
  <c r="BC48" i="71"/>
  <c r="BF48" i="71"/>
  <c r="BH48" i="71" s="1"/>
  <c r="AY48" i="71"/>
  <c r="BN48" i="71"/>
  <c r="BP48" i="71"/>
  <c r="BR48" i="71"/>
  <c r="BQ48" i="71"/>
  <c r="BK48" i="71"/>
  <c r="BO48" i="71"/>
  <c r="BB48" i="71"/>
  <c r="AZ48" i="71"/>
  <c r="BD48" i="71"/>
  <c r="BA48" i="71"/>
  <c r="BL48" i="71"/>
  <c r="BI48" i="71"/>
  <c r="BJ48" i="71"/>
  <c r="BE48" i="71"/>
  <c r="BS72" i="71"/>
  <c r="BM72" i="71"/>
  <c r="BQ72" i="71" s="1"/>
  <c r="BF72" i="71"/>
  <c r="BC72" i="71"/>
  <c r="AY72" i="71"/>
  <c r="BA72" i="71" s="1"/>
  <c r="BN72" i="71"/>
  <c r="BP72" i="71"/>
  <c r="BR72" i="71"/>
  <c r="BL72" i="71"/>
  <c r="BG72" i="71"/>
  <c r="BH72" i="71"/>
  <c r="BJ72" i="71"/>
  <c r="BK72" i="71"/>
  <c r="BI72" i="71"/>
  <c r="AZ72" i="71"/>
  <c r="BE72" i="71"/>
  <c r="BB72" i="71"/>
  <c r="BD72" i="71"/>
  <c r="BI84" i="71"/>
  <c r="BJ84" i="71"/>
  <c r="BM84" i="71"/>
  <c r="BF84" i="71"/>
  <c r="BH84" i="71" s="1"/>
  <c r="AY84" i="71"/>
  <c r="BD84" i="71" s="1"/>
  <c r="BL84" i="71"/>
  <c r="BC84" i="71"/>
  <c r="BK84" i="71"/>
  <c r="BB84" i="71"/>
  <c r="BG84" i="71"/>
  <c r="BA84" i="71"/>
  <c r="BE84" i="71"/>
  <c r="BF108" i="71"/>
  <c r="AY108" i="71"/>
  <c r="BM108" i="71"/>
  <c r="BP108" i="71" s="1"/>
  <c r="BA108" i="71"/>
  <c r="AZ108" i="71"/>
  <c r="BC108" i="71"/>
  <c r="BE108" i="71"/>
  <c r="BM144" i="71"/>
  <c r="BQ144" i="71" s="1"/>
  <c r="BF144" i="71"/>
  <c r="BI144" i="71" s="1"/>
  <c r="AY144" i="71"/>
  <c r="BO144" i="71"/>
  <c r="BL144" i="71"/>
  <c r="BS144" i="71"/>
  <c r="BK144" i="71"/>
  <c r="BJ144" i="71"/>
  <c r="BH144" i="71"/>
  <c r="BG144" i="71"/>
  <c r="BP144" i="71"/>
  <c r="BD144" i="71"/>
  <c r="BC144" i="71"/>
  <c r="BB144" i="71"/>
  <c r="BA144" i="71"/>
  <c r="AZ144" i="71"/>
  <c r="BE144" i="71"/>
  <c r="BN37" i="71"/>
  <c r="AZ37" i="71"/>
  <c r="AY37" i="71"/>
  <c r="BC37" i="71" s="1"/>
  <c r="BM37" i="71"/>
  <c r="BF37" i="71"/>
  <c r="BJ37" i="71" s="1"/>
  <c r="BE37" i="71"/>
  <c r="BP37" i="71"/>
  <c r="BO37" i="71"/>
  <c r="BR37" i="71"/>
  <c r="BQ37" i="71"/>
  <c r="BL37" i="71"/>
  <c r="BS37" i="71"/>
  <c r="BI37" i="71"/>
  <c r="BH37" i="71"/>
  <c r="BG37" i="71"/>
  <c r="BA49" i="71"/>
  <c r="AZ49" i="71"/>
  <c r="AY49" i="71"/>
  <c r="BO49" i="71"/>
  <c r="BM49" i="71"/>
  <c r="BS49" i="71" s="1"/>
  <c r="BF49" i="71"/>
  <c r="BJ49" i="71" s="1"/>
  <c r="BQ49" i="71"/>
  <c r="BN49" i="71"/>
  <c r="BH49" i="71"/>
  <c r="BG49" i="71"/>
  <c r="BR49" i="71"/>
  <c r="BK49" i="71"/>
  <c r="BI49" i="71"/>
  <c r="BL49" i="71"/>
  <c r="BP61" i="71"/>
  <c r="BO61" i="71"/>
  <c r="BM61" i="71"/>
  <c r="BF61" i="71"/>
  <c r="BI61" i="71" s="1"/>
  <c r="BE61" i="71"/>
  <c r="AY61" i="71"/>
  <c r="BA61" i="71"/>
  <c r="BN61" i="71"/>
  <c r="BR61" i="71"/>
  <c r="BQ61" i="71"/>
  <c r="BS61" i="71"/>
  <c r="BC61" i="71"/>
  <c r="BM73" i="71"/>
  <c r="BO73" i="71" s="1"/>
  <c r="BF73" i="71"/>
  <c r="AY73" i="71"/>
  <c r="BE73" i="71" s="1"/>
  <c r="BS73" i="71"/>
  <c r="BN73" i="71"/>
  <c r="BQ73" i="71"/>
  <c r="BH73" i="71"/>
  <c r="BJ73" i="71"/>
  <c r="BK73" i="71"/>
  <c r="BR73" i="71"/>
  <c r="AZ73" i="71"/>
  <c r="BI73" i="71"/>
  <c r="BG73" i="71"/>
  <c r="BL73" i="71"/>
  <c r="BC73" i="71"/>
  <c r="BF85" i="71"/>
  <c r="BG85" i="71" s="1"/>
  <c r="AY85" i="71"/>
  <c r="BM85" i="71"/>
  <c r="BP85" i="71" s="1"/>
  <c r="BN85" i="71"/>
  <c r="BI85" i="71"/>
  <c r="BK85" i="71"/>
  <c r="BJ85" i="71"/>
  <c r="BA85" i="71"/>
  <c r="BH85" i="71"/>
  <c r="AY97" i="71"/>
  <c r="BB97" i="71" s="1"/>
  <c r="BQ97" i="71"/>
  <c r="BF97" i="71"/>
  <c r="BM97" i="71"/>
  <c r="BN97" i="71" s="1"/>
  <c r="BM109" i="71"/>
  <c r="BF109" i="71"/>
  <c r="AY109" i="71"/>
  <c r="BC109" i="71" s="1"/>
  <c r="BR109" i="71"/>
  <c r="BP109" i="71"/>
  <c r="BS109" i="71"/>
  <c r="BO109" i="71"/>
  <c r="BQ109" i="71"/>
  <c r="BK109" i="71"/>
  <c r="BN109" i="71"/>
  <c r="BH109" i="71"/>
  <c r="BG109" i="71"/>
  <c r="BI109" i="71"/>
  <c r="BL109" i="71"/>
  <c r="BJ109" i="71"/>
  <c r="BE109" i="71"/>
  <c r="BB109" i="71"/>
  <c r="BJ121" i="71"/>
  <c r="BM121" i="71"/>
  <c r="BP121" i="71" s="1"/>
  <c r="BF121" i="71"/>
  <c r="BI121" i="71" s="1"/>
  <c r="BA121" i="71"/>
  <c r="AY121" i="71"/>
  <c r="BB121" i="71" s="1"/>
  <c r="BL121" i="71"/>
  <c r="BN121" i="71"/>
  <c r="BQ121" i="71"/>
  <c r="BR121" i="71"/>
  <c r="BS121" i="71"/>
  <c r="BH121" i="71"/>
  <c r="BK121" i="71"/>
  <c r="BE121" i="71"/>
  <c r="BC121" i="71"/>
  <c r="AZ121" i="71"/>
  <c r="BD121" i="71"/>
  <c r="BG121" i="71"/>
  <c r="BM133" i="71"/>
  <c r="BF133" i="71"/>
  <c r="AY133" i="71"/>
  <c r="BK133" i="71"/>
  <c r="BC133" i="71"/>
  <c r="BH133" i="71"/>
  <c r="BL133" i="71"/>
  <c r="AY145" i="71"/>
  <c r="BD145" i="71" s="1"/>
  <c r="BI145" i="71"/>
  <c r="BG145" i="71"/>
  <c r="BM145" i="71"/>
  <c r="BP145" i="71" s="1"/>
  <c r="BF145" i="71"/>
  <c r="BH145" i="71" s="1"/>
  <c r="BK145" i="71"/>
  <c r="BC145" i="71"/>
  <c r="BA145" i="71"/>
  <c r="BB145" i="71"/>
  <c r="BJ145" i="71"/>
  <c r="BE145" i="71"/>
  <c r="AY157" i="71"/>
  <c r="BA157" i="71" s="1"/>
  <c r="BM157" i="71"/>
  <c r="BF157" i="71"/>
  <c r="BS157" i="71"/>
  <c r="BP157" i="71"/>
  <c r="BN157" i="71"/>
  <c r="BQ157" i="71"/>
  <c r="BR157" i="71"/>
  <c r="BO157" i="71"/>
  <c r="BL157" i="71"/>
  <c r="BJ157" i="71"/>
  <c r="BH157" i="71"/>
  <c r="BK157" i="71"/>
  <c r="BG157" i="71"/>
  <c r="BE157" i="71"/>
  <c r="BC157" i="71"/>
  <c r="BI157" i="71"/>
  <c r="AZ157" i="71"/>
  <c r="BB157" i="71"/>
  <c r="BL169" i="71"/>
  <c r="BF169" i="71"/>
  <c r="BJ169" i="71" s="1"/>
  <c r="AY169" i="71"/>
  <c r="AZ169" i="71" s="1"/>
  <c r="BM169" i="71"/>
  <c r="BR169" i="71" s="1"/>
  <c r="BN169" i="71"/>
  <c r="BS169" i="71"/>
  <c r="BP169" i="71"/>
  <c r="BH169" i="71"/>
  <c r="BC169" i="71"/>
  <c r="BK169" i="71"/>
  <c r="BA169" i="71"/>
  <c r="BD169" i="71"/>
  <c r="BB169" i="71"/>
  <c r="BM181" i="71"/>
  <c r="BF181" i="71"/>
  <c r="BL181" i="71" s="1"/>
  <c r="AY181" i="71"/>
  <c r="BQ181" i="71"/>
  <c r="BJ181" i="71"/>
  <c r="BM193" i="71"/>
  <c r="BP193" i="71" s="1"/>
  <c r="BF193" i="71"/>
  <c r="AY193" i="71"/>
  <c r="BK193" i="71"/>
  <c r="BQ193" i="71"/>
  <c r="BN193" i="71"/>
  <c r="BH193" i="71"/>
  <c r="BI193" i="71"/>
  <c r="BL193" i="71"/>
  <c r="BC193" i="71"/>
  <c r="BJ193" i="71"/>
  <c r="BG193" i="71"/>
  <c r="AY205" i="71"/>
  <c r="BB205" i="71" s="1"/>
  <c r="BF205" i="71"/>
  <c r="BM205" i="71"/>
  <c r="BP205" i="71" s="1"/>
  <c r="BN205" i="71"/>
  <c r="BL205" i="71"/>
  <c r="BJ205" i="71"/>
  <c r="BH205" i="71"/>
  <c r="BI205" i="71"/>
  <c r="BG205" i="71"/>
  <c r="BC205" i="71"/>
  <c r="BK205" i="71"/>
  <c r="BS205" i="71"/>
  <c r="AZ205" i="71"/>
  <c r="BE205" i="71"/>
  <c r="BD205" i="71"/>
  <c r="AY217" i="71"/>
  <c r="BF217" i="71"/>
  <c r="BI217" i="71" s="1"/>
  <c r="BM217" i="71"/>
  <c r="BQ217" i="71" s="1"/>
  <c r="BK217" i="71"/>
  <c r="BR217" i="71"/>
  <c r="BO217" i="71"/>
  <c r="BJ217" i="71"/>
  <c r="BP217" i="71"/>
  <c r="BG217" i="71"/>
  <c r="BM110" i="71"/>
  <c r="BF110" i="71"/>
  <c r="BJ110" i="71" s="1"/>
  <c r="BC110" i="71"/>
  <c r="BQ110" i="71"/>
  <c r="AY110" i="71"/>
  <c r="BA110" i="71" s="1"/>
  <c r="BB110" i="71"/>
  <c r="BD110" i="71"/>
  <c r="BE110" i="71"/>
  <c r="BI110" i="71"/>
  <c r="AZ110" i="71"/>
  <c r="BM194" i="71"/>
  <c r="BF194" i="71"/>
  <c r="BL194" i="71" s="1"/>
  <c r="AY194" i="71"/>
  <c r="BS194" i="71"/>
  <c r="BN194" i="71"/>
  <c r="BO194" i="71"/>
  <c r="BR194" i="71"/>
  <c r="BP194" i="71"/>
  <c r="BQ194" i="71"/>
  <c r="AZ194" i="71"/>
  <c r="BJ194" i="71"/>
  <c r="BD194" i="71"/>
  <c r="BH194" i="71"/>
  <c r="BG194" i="71"/>
  <c r="BE194" i="71"/>
  <c r="BC194" i="71"/>
  <c r="BB194" i="71"/>
  <c r="BA194" i="71"/>
  <c r="BF39" i="71"/>
  <c r="BJ39" i="71" s="1"/>
  <c r="BB39" i="71"/>
  <c r="AY39" i="71"/>
  <c r="BA39" i="71" s="1"/>
  <c r="BM39" i="71"/>
  <c r="BP39" i="71" s="1"/>
  <c r="BR39" i="71"/>
  <c r="BO39" i="71"/>
  <c r="BL39" i="71"/>
  <c r="BK39" i="71"/>
  <c r="BQ39" i="71"/>
  <c r="BE39" i="71"/>
  <c r="BG39" i="71"/>
  <c r="BI39" i="71"/>
  <c r="BD39" i="71"/>
  <c r="BN39" i="71"/>
  <c r="BH39" i="71"/>
  <c r="AZ39" i="71"/>
  <c r="BC39" i="71"/>
  <c r="BS39" i="71"/>
  <c r="BC87" i="71"/>
  <c r="BA87" i="71"/>
  <c r="BM87" i="71"/>
  <c r="BN87" i="71" s="1"/>
  <c r="BF87" i="71"/>
  <c r="BH87" i="71" s="1"/>
  <c r="AY87" i="71"/>
  <c r="BE87" i="71" s="1"/>
  <c r="BK87" i="71"/>
  <c r="BS87" i="71"/>
  <c r="AZ87" i="71"/>
  <c r="BG87" i="71"/>
  <c r="BJ87" i="71"/>
  <c r="BD87" i="71"/>
  <c r="BM135" i="71"/>
  <c r="BF135" i="71"/>
  <c r="BE135" i="71"/>
  <c r="BA135" i="71"/>
  <c r="AY135" i="71"/>
  <c r="BC135" i="71" s="1"/>
  <c r="BN135" i="71"/>
  <c r="BQ135" i="71"/>
  <c r="BS135" i="71"/>
  <c r="BO135" i="71"/>
  <c r="BP135" i="71"/>
  <c r="BR135" i="71"/>
  <c r="BH135" i="71"/>
  <c r="BL135" i="71"/>
  <c r="BD135" i="71"/>
  <c r="BB135" i="71"/>
  <c r="AZ135" i="71"/>
  <c r="AY183" i="71"/>
  <c r="BE183" i="71"/>
  <c r="BB183" i="71"/>
  <c r="BF183" i="71"/>
  <c r="BO183" i="71"/>
  <c r="BN183" i="71"/>
  <c r="BM183" i="71"/>
  <c r="BS183" i="71"/>
  <c r="BG183" i="71"/>
  <c r="BL183" i="71"/>
  <c r="BI183" i="71"/>
  <c r="BH183" i="71"/>
  <c r="BJ183" i="71"/>
  <c r="BD183" i="71"/>
  <c r="BC183" i="71"/>
  <c r="BK183" i="71"/>
  <c r="BA183" i="71"/>
  <c r="AZ183" i="71"/>
  <c r="BF27" i="71"/>
  <c r="BK27" i="71" s="1"/>
  <c r="BM27" i="71"/>
  <c r="BP27" i="71" s="1"/>
  <c r="AY27" i="71"/>
  <c r="BA27" i="71" s="1"/>
  <c r="BQ27" i="71"/>
  <c r="BR27" i="71"/>
  <c r="BS27" i="71"/>
  <c r="BD27" i="71"/>
  <c r="BB27" i="71"/>
  <c r="BH27" i="71"/>
  <c r="BL27" i="71"/>
  <c r="BG27" i="71"/>
  <c r="BE27" i="71"/>
  <c r="BS40" i="71"/>
  <c r="BL40" i="71"/>
  <c r="BM40" i="71"/>
  <c r="BN40" i="71" s="1"/>
  <c r="BE40" i="71"/>
  <c r="BC40" i="71"/>
  <c r="BF40" i="71"/>
  <c r="BH40" i="71" s="1"/>
  <c r="BD40" i="71"/>
  <c r="AY40" i="71"/>
  <c r="BB40" i="71"/>
  <c r="BA40" i="71"/>
  <c r="BQ40" i="71"/>
  <c r="BP40" i="71"/>
  <c r="BR40" i="71"/>
  <c r="BI40" i="71"/>
  <c r="BG40" i="71"/>
  <c r="BK40" i="71"/>
  <c r="AZ40" i="71"/>
  <c r="BJ40" i="71"/>
  <c r="BF52" i="71"/>
  <c r="AY52" i="71"/>
  <c r="BE52" i="71" s="1"/>
  <c r="BM52" i="71"/>
  <c r="BP52" i="71"/>
  <c r="BI52" i="71"/>
  <c r="BS64" i="71"/>
  <c r="BM64" i="71"/>
  <c r="BF64" i="71"/>
  <c r="BH64" i="71" s="1"/>
  <c r="BE64" i="71"/>
  <c r="AY64" i="71"/>
  <c r="BO64" i="71"/>
  <c r="BQ64" i="71"/>
  <c r="BR64" i="71"/>
  <c r="BN64" i="71"/>
  <c r="BJ64" i="71"/>
  <c r="BP64" i="71"/>
  <c r="BG64" i="71"/>
  <c r="BL64" i="71"/>
  <c r="BK64" i="71"/>
  <c r="BI64" i="71"/>
  <c r="BS76" i="71"/>
  <c r="BE76" i="71"/>
  <c r="AY76" i="71"/>
  <c r="BD76" i="71" s="1"/>
  <c r="BM76" i="71"/>
  <c r="BF76" i="71"/>
  <c r="BH76" i="71" s="1"/>
  <c r="BP76" i="71"/>
  <c r="BR76" i="71"/>
  <c r="BN76" i="71"/>
  <c r="BI76" i="71"/>
  <c r="BG76" i="71"/>
  <c r="BQ76" i="71"/>
  <c r="BO76" i="71"/>
  <c r="BL76" i="71"/>
  <c r="BJ76" i="71"/>
  <c r="BK76" i="71"/>
  <c r="BA76" i="71"/>
  <c r="BC76" i="71"/>
  <c r="BM88" i="71"/>
  <c r="BF88" i="71"/>
  <c r="BS88" i="71"/>
  <c r="BE88" i="71"/>
  <c r="BA88" i="71"/>
  <c r="BD88" i="71"/>
  <c r="AY88" i="71"/>
  <c r="BB88" i="71" s="1"/>
  <c r="BP88" i="71"/>
  <c r="BR88" i="71"/>
  <c r="BJ88" i="71"/>
  <c r="BN88" i="71"/>
  <c r="BC88" i="71"/>
  <c r="AZ88" i="71"/>
  <c r="AY100" i="71"/>
  <c r="BA100" i="71" s="1"/>
  <c r="BM100" i="71"/>
  <c r="BF100" i="71"/>
  <c r="BL100" i="71" s="1"/>
  <c r="BP100" i="71"/>
  <c r="BQ100" i="71"/>
  <c r="BN100" i="71"/>
  <c r="BO100" i="71"/>
  <c r="BD100" i="71"/>
  <c r="BS100" i="71"/>
  <c r="BC100" i="71"/>
  <c r="BE100" i="71"/>
  <c r="BB100" i="71"/>
  <c r="BR100" i="71"/>
  <c r="BM112" i="71"/>
  <c r="BP112" i="71" s="1"/>
  <c r="BF112" i="71"/>
  <c r="AY112" i="71"/>
  <c r="BD112" i="71" s="1"/>
  <c r="BQ112" i="71"/>
  <c r="BR112" i="71"/>
  <c r="BN112" i="71"/>
  <c r="BS112" i="71"/>
  <c r="BK112" i="71"/>
  <c r="BI112" i="71"/>
  <c r="BG112" i="71"/>
  <c r="BA112" i="71"/>
  <c r="BE112" i="71"/>
  <c r="BJ112" i="71"/>
  <c r="BH112" i="71"/>
  <c r="BL112" i="71"/>
  <c r="BF124" i="71"/>
  <c r="BE124" i="71"/>
  <c r="AY124" i="71"/>
  <c r="BA124" i="71" s="1"/>
  <c r="BN124" i="71"/>
  <c r="BM124" i="71"/>
  <c r="BS124" i="71"/>
  <c r="BQ124" i="71"/>
  <c r="BP124" i="71"/>
  <c r="BO124" i="71"/>
  <c r="BR124" i="71"/>
  <c r="BC124" i="71"/>
  <c r="BJ124" i="71"/>
  <c r="BB124" i="71"/>
  <c r="BD124" i="71"/>
  <c r="BF136" i="71"/>
  <c r="AY136" i="71"/>
  <c r="BB136" i="71" s="1"/>
  <c r="BM136" i="71"/>
  <c r="BO136" i="71" s="1"/>
  <c r="BP136" i="71"/>
  <c r="BA136" i="71"/>
  <c r="AZ136" i="71"/>
  <c r="BR136" i="71"/>
  <c r="BM148" i="71"/>
  <c r="BO148" i="71" s="1"/>
  <c r="BF148" i="71"/>
  <c r="BD148" i="71"/>
  <c r="AY148" i="71"/>
  <c r="BE148" i="71" s="1"/>
  <c r="BS148" i="71"/>
  <c r="BP148" i="71"/>
  <c r="BQ148" i="71"/>
  <c r="BK148" i="71"/>
  <c r="BG148" i="71"/>
  <c r="BL148" i="71"/>
  <c r="BJ148" i="71"/>
  <c r="BI148" i="71"/>
  <c r="BC148" i="71"/>
  <c r="BB148" i="71"/>
  <c r="BN148" i="71"/>
  <c r="BA148" i="71"/>
  <c r="AZ148" i="71"/>
  <c r="BH148" i="71"/>
  <c r="BF160" i="71"/>
  <c r="BG160" i="71" s="1"/>
  <c r="AY160" i="71"/>
  <c r="BM160" i="71"/>
  <c r="BS160" i="71" s="1"/>
  <c r="BR160" i="71"/>
  <c r="BN160" i="71"/>
  <c r="BP160" i="71"/>
  <c r="BQ160" i="71"/>
  <c r="BO160" i="71"/>
  <c r="BI160" i="71"/>
  <c r="BH160" i="71"/>
  <c r="BK160" i="71"/>
  <c r="AZ160" i="71"/>
  <c r="BE160" i="71"/>
  <c r="BC160" i="71"/>
  <c r="BB160" i="71"/>
  <c r="BL160" i="71"/>
  <c r="BJ160" i="71"/>
  <c r="BD160" i="71"/>
  <c r="BA160" i="71"/>
  <c r="AY172" i="71"/>
  <c r="BF172" i="71"/>
  <c r="BK172" i="71" s="1"/>
  <c r="BM172" i="71"/>
  <c r="BO172" i="71" s="1"/>
  <c r="BR172" i="71"/>
  <c r="BS172" i="71"/>
  <c r="BL172" i="71"/>
  <c r="BJ172" i="71"/>
  <c r="BI172" i="71"/>
  <c r="BH172" i="71"/>
  <c r="BQ172" i="71"/>
  <c r="AZ172" i="71"/>
  <c r="AY184" i="71"/>
  <c r="BM184" i="71"/>
  <c r="BF184" i="71"/>
  <c r="BM196" i="71"/>
  <c r="BF196" i="71"/>
  <c r="BK196" i="71" s="1"/>
  <c r="AY196" i="71"/>
  <c r="BR196" i="71"/>
  <c r="BS196" i="71"/>
  <c r="BO196" i="71"/>
  <c r="BP196" i="71"/>
  <c r="BN196" i="71"/>
  <c r="BE196" i="71"/>
  <c r="BQ196" i="71"/>
  <c r="BD196" i="71"/>
  <c r="BC196" i="71"/>
  <c r="BB196" i="71"/>
  <c r="BG196" i="71"/>
  <c r="BA196" i="71"/>
  <c r="AZ196" i="71"/>
  <c r="BF208" i="71"/>
  <c r="BL208" i="71" s="1"/>
  <c r="AY208" i="71"/>
  <c r="BP208" i="71"/>
  <c r="BM208" i="71"/>
  <c r="BJ208" i="71"/>
  <c r="BH208" i="71"/>
  <c r="BG208" i="71"/>
  <c r="BA208" i="71"/>
  <c r="AZ208" i="71"/>
  <c r="BD208" i="71"/>
  <c r="BC208" i="71"/>
  <c r="BB208" i="71"/>
  <c r="BE208" i="71"/>
  <c r="BK208" i="71"/>
  <c r="AY220" i="71"/>
  <c r="BF220" i="71"/>
  <c r="BJ220" i="71" s="1"/>
  <c r="BM220" i="71"/>
  <c r="BS220" i="71" s="1"/>
  <c r="BH220" i="71"/>
  <c r="BO220" i="71"/>
  <c r="BG220" i="71"/>
  <c r="BM146" i="71"/>
  <c r="BF146" i="71"/>
  <c r="BE146" i="71"/>
  <c r="BD146" i="71"/>
  <c r="BC146" i="71"/>
  <c r="AY146" i="71"/>
  <c r="BA146" i="71" s="1"/>
  <c r="BB146" i="71"/>
  <c r="BL146" i="71"/>
  <c r="BK146" i="71"/>
  <c r="BI146" i="71"/>
  <c r="BH146" i="71"/>
  <c r="AZ146" i="71"/>
  <c r="AY63" i="71"/>
  <c r="AZ63" i="71" s="1"/>
  <c r="BF63" i="71"/>
  <c r="BL63" i="71" s="1"/>
  <c r="BM63" i="71"/>
  <c r="BN63" i="71" s="1"/>
  <c r="BR63" i="71"/>
  <c r="BC63" i="71"/>
  <c r="BD63" i="71"/>
  <c r="BJ63" i="71"/>
  <c r="BH63" i="71"/>
  <c r="BG63" i="71"/>
  <c r="BB63" i="71"/>
  <c r="BA63" i="71"/>
  <c r="BE63" i="71"/>
  <c r="AY147" i="71"/>
  <c r="BA147" i="71" s="1"/>
  <c r="BB147" i="71"/>
  <c r="BF147" i="71"/>
  <c r="BM147" i="71"/>
  <c r="BR147" i="71"/>
  <c r="BQ147" i="71"/>
  <c r="BS147" i="71"/>
  <c r="BO147" i="71"/>
  <c r="BI147" i="71"/>
  <c r="BG147" i="71"/>
  <c r="BK147" i="71"/>
  <c r="BH147" i="71"/>
  <c r="BL147" i="71"/>
  <c r="BJ147" i="71"/>
  <c r="BE147" i="71"/>
  <c r="BD147" i="71"/>
  <c r="AZ147" i="71"/>
  <c r="BE219" i="71"/>
  <c r="BD219" i="71"/>
  <c r="AY219" i="71"/>
  <c r="BA219" i="71" s="1"/>
  <c r="BO219" i="71"/>
  <c r="BN219" i="71"/>
  <c r="BM219" i="71"/>
  <c r="BS219" i="71"/>
  <c r="BR219" i="71"/>
  <c r="BQ219" i="71"/>
  <c r="BP219" i="71"/>
  <c r="BF219" i="71"/>
  <c r="BK219" i="71" s="1"/>
  <c r="BK28" i="71"/>
  <c r="BS28" i="71"/>
  <c r="BF28" i="71"/>
  <c r="BE28" i="71"/>
  <c r="BD28" i="71"/>
  <c r="BB28" i="71"/>
  <c r="BA28" i="71"/>
  <c r="AY28" i="71"/>
  <c r="BM28" i="71"/>
  <c r="BN28" i="71" s="1"/>
  <c r="BP28" i="71"/>
  <c r="BR28" i="71"/>
  <c r="BQ28" i="71"/>
  <c r="BL28" i="71"/>
  <c r="BG28" i="71"/>
  <c r="BC28" i="71"/>
  <c r="AZ28" i="71"/>
  <c r="BO28" i="71"/>
  <c r="BL41" i="71"/>
  <c r="BK41" i="71"/>
  <c r="BF41" i="71"/>
  <c r="BA41" i="71"/>
  <c r="AY41" i="71"/>
  <c r="BP41" i="71"/>
  <c r="BJ41" i="71"/>
  <c r="BO41" i="71"/>
  <c r="BM41" i="71"/>
  <c r="BQ41" i="71" s="1"/>
  <c r="BI41" i="71"/>
  <c r="BH41" i="71"/>
  <c r="BC41" i="71"/>
  <c r="BG41" i="71"/>
  <c r="BS41" i="71"/>
  <c r="BD41" i="71"/>
  <c r="BP53" i="71"/>
  <c r="BO53" i="71"/>
  <c r="BF53" i="71"/>
  <c r="BM53" i="71"/>
  <c r="AY53" i="71"/>
  <c r="BS53" i="71"/>
  <c r="BQ53" i="71"/>
  <c r="BN53" i="71"/>
  <c r="BR53" i="71"/>
  <c r="BH53" i="71"/>
  <c r="BG53" i="71"/>
  <c r="BJ53" i="71"/>
  <c r="BK53" i="71"/>
  <c r="BL53" i="71"/>
  <c r="BI53" i="71"/>
  <c r="BE65" i="71"/>
  <c r="AY65" i="71"/>
  <c r="BO65" i="71"/>
  <c r="BM65" i="71"/>
  <c r="BP65" i="71" s="1"/>
  <c r="BF65" i="71"/>
  <c r="BJ65" i="71" s="1"/>
  <c r="BS65" i="71"/>
  <c r="BI65" i="71"/>
  <c r="BQ65" i="71"/>
  <c r="BL65" i="71"/>
  <c r="BC65" i="71"/>
  <c r="BR65" i="71"/>
  <c r="BK65" i="71"/>
  <c r="BH65" i="71"/>
  <c r="BG65" i="71"/>
  <c r="BO77" i="71"/>
  <c r="BM77" i="71"/>
  <c r="BS77" i="71" s="1"/>
  <c r="BF77" i="71"/>
  <c r="AY77" i="71"/>
  <c r="BA77" i="71"/>
  <c r="AZ77" i="71"/>
  <c r="BL77" i="71"/>
  <c r="BI77" i="71"/>
  <c r="BB77" i="71"/>
  <c r="BM89" i="71"/>
  <c r="BF89" i="71"/>
  <c r="BH89" i="71" s="1"/>
  <c r="AY89" i="71"/>
  <c r="AZ89" i="71" s="1"/>
  <c r="BP89" i="71"/>
  <c r="BO89" i="71"/>
  <c r="BG89" i="71"/>
  <c r="BN89" i="71"/>
  <c r="BQ89" i="71"/>
  <c r="BJ89" i="71"/>
  <c r="BS89" i="71"/>
  <c r="BL89" i="71"/>
  <c r="BK89" i="71"/>
  <c r="BR89" i="71"/>
  <c r="BE89" i="71"/>
  <c r="BC89" i="71"/>
  <c r="BB89" i="71"/>
  <c r="BI89" i="71"/>
  <c r="BA89" i="71"/>
  <c r="BM101" i="71"/>
  <c r="BN101" i="71" s="1"/>
  <c r="BF101" i="71"/>
  <c r="BH101" i="71" s="1"/>
  <c r="AY101" i="71"/>
  <c r="BB101" i="71" s="1"/>
  <c r="BP101" i="71"/>
  <c r="BQ101" i="71"/>
  <c r="BG101" i="71"/>
  <c r="BR101" i="71"/>
  <c r="BO101" i="71"/>
  <c r="BK101" i="71"/>
  <c r="BJ101" i="71"/>
  <c r="BD101" i="71"/>
  <c r="BI101" i="71"/>
  <c r="BL101" i="71"/>
  <c r="BF113" i="71"/>
  <c r="AY113" i="71"/>
  <c r="AZ113" i="71" s="1"/>
  <c r="BM113" i="71"/>
  <c r="BR113" i="71" s="1"/>
  <c r="BP113" i="71"/>
  <c r="BQ113" i="71"/>
  <c r="AY125" i="71"/>
  <c r="BM125" i="71"/>
  <c r="BF125" i="71"/>
  <c r="AZ125" i="71"/>
  <c r="BA125" i="71"/>
  <c r="BR125" i="71"/>
  <c r="BN125" i="71"/>
  <c r="BP125" i="71"/>
  <c r="BG125" i="71"/>
  <c r="BL125" i="71"/>
  <c r="BE125" i="71"/>
  <c r="BD125" i="71"/>
  <c r="BB125" i="71"/>
  <c r="BC125" i="71"/>
  <c r="BM137" i="71"/>
  <c r="AY137" i="71"/>
  <c r="AZ137" i="71" s="1"/>
  <c r="BA137" i="71"/>
  <c r="BC137" i="71"/>
  <c r="BB137" i="71"/>
  <c r="BF137" i="71"/>
  <c r="BO137" i="71"/>
  <c r="BR137" i="71"/>
  <c r="BS137" i="71"/>
  <c r="BP137" i="71"/>
  <c r="BN137" i="71"/>
  <c r="BD137" i="71"/>
  <c r="BQ137" i="71"/>
  <c r="BK137" i="71"/>
  <c r="BI137" i="71"/>
  <c r="BE137" i="71"/>
  <c r="BJ137" i="71"/>
  <c r="BH137" i="71"/>
  <c r="BM149" i="71"/>
  <c r="BS149" i="71" s="1"/>
  <c r="BF149" i="71"/>
  <c r="BJ149" i="71" s="1"/>
  <c r="AY149" i="71"/>
  <c r="BA149" i="71" s="1"/>
  <c r="BR149" i="71"/>
  <c r="BP149" i="71"/>
  <c r="BL149" i="71"/>
  <c r="BG149" i="71"/>
  <c r="BO149" i="71"/>
  <c r="BK149" i="71"/>
  <c r="BH149" i="71"/>
  <c r="BI149" i="71"/>
  <c r="BD149" i="71"/>
  <c r="BC149" i="71"/>
  <c r="BB149" i="71"/>
  <c r="BE149" i="71"/>
  <c r="BM161" i="71"/>
  <c r="BF161" i="71"/>
  <c r="BG161" i="71" s="1"/>
  <c r="BC161" i="71"/>
  <c r="BB161" i="71"/>
  <c r="AY161" i="71"/>
  <c r="BP161" i="71"/>
  <c r="BH161" i="71"/>
  <c r="BE161" i="71"/>
  <c r="BL161" i="71"/>
  <c r="BD161" i="71"/>
  <c r="BA161" i="71"/>
  <c r="AZ161" i="71"/>
  <c r="BM173" i="71"/>
  <c r="BF173" i="71"/>
  <c r="AY173" i="71"/>
  <c r="BN173" i="71"/>
  <c r="BS173" i="71"/>
  <c r="BP173" i="71"/>
  <c r="BO173" i="71"/>
  <c r="BR173" i="71"/>
  <c r="BQ173" i="71"/>
  <c r="BI173" i="71"/>
  <c r="BC173" i="71"/>
  <c r="BA173" i="71"/>
  <c r="AZ173" i="71"/>
  <c r="BE173" i="71"/>
  <c r="BM185" i="71"/>
  <c r="BF185" i="71"/>
  <c r="AY185" i="71"/>
  <c r="BA185" i="71" s="1"/>
  <c r="BR185" i="71"/>
  <c r="BO185" i="71"/>
  <c r="BP185" i="71"/>
  <c r="BK185" i="71"/>
  <c r="BQ185" i="71"/>
  <c r="BI185" i="71"/>
  <c r="BH185" i="71"/>
  <c r="BN185" i="71"/>
  <c r="BJ185" i="71"/>
  <c r="BL185" i="71"/>
  <c r="BD185" i="71"/>
  <c r="BG185" i="71"/>
  <c r="BE185" i="71"/>
  <c r="BS185" i="71"/>
  <c r="BC185" i="71"/>
  <c r="BB185" i="71"/>
  <c r="BB197" i="71"/>
  <c r="BA197" i="71"/>
  <c r="AY197" i="71"/>
  <c r="BC197" i="71" s="1"/>
  <c r="BF197" i="71"/>
  <c r="BI197" i="71" s="1"/>
  <c r="BM197" i="71"/>
  <c r="BR197" i="71" s="1"/>
  <c r="BN197" i="71"/>
  <c r="BO197" i="71"/>
  <c r="BP197" i="71"/>
  <c r="BJ197" i="71"/>
  <c r="BH197" i="71"/>
  <c r="BG197" i="71"/>
  <c r="BK197" i="71"/>
  <c r="BE197" i="71"/>
  <c r="BL197" i="71"/>
  <c r="BF209" i="71"/>
  <c r="AY209" i="71"/>
  <c r="BG209" i="71"/>
  <c r="BQ209" i="71"/>
  <c r="BN209" i="71"/>
  <c r="BP209" i="71"/>
  <c r="BO209" i="71"/>
  <c r="BM209" i="71"/>
  <c r="BR209" i="71" s="1"/>
  <c r="BJ209" i="71"/>
  <c r="BI209" i="71"/>
  <c r="BL209" i="71"/>
  <c r="BS209" i="71"/>
  <c r="AY221" i="71"/>
  <c r="BA221" i="71" s="1"/>
  <c r="BB221" i="71"/>
  <c r="BF221" i="71"/>
  <c r="BS221" i="71"/>
  <c r="BP221" i="71"/>
  <c r="BN221" i="71"/>
  <c r="BR221" i="71"/>
  <c r="BO221" i="71"/>
  <c r="BM221" i="71"/>
  <c r="BI221" i="71"/>
  <c r="BL221" i="71"/>
  <c r="BD221" i="71"/>
  <c r="BE221" i="71"/>
  <c r="BQ221" i="71"/>
  <c r="BS86" i="71"/>
  <c r="BF86" i="71"/>
  <c r="BL86" i="71" s="1"/>
  <c r="AY86" i="71"/>
  <c r="BA86" i="71" s="1"/>
  <c r="BM86" i="71"/>
  <c r="BR86" i="71"/>
  <c r="BP86" i="71"/>
  <c r="BO86" i="71"/>
  <c r="BQ86" i="71"/>
  <c r="BN86" i="71"/>
  <c r="BJ86" i="71"/>
  <c r="BI86" i="71"/>
  <c r="BK86" i="71"/>
  <c r="BD86" i="71"/>
  <c r="BG86" i="71"/>
  <c r="BC86" i="71"/>
  <c r="BH86" i="71"/>
  <c r="BM158" i="71"/>
  <c r="BF158" i="71"/>
  <c r="AZ158" i="71"/>
  <c r="AY158" i="71"/>
  <c r="BD158" i="71" s="1"/>
  <c r="BI158" i="71"/>
  <c r="BL158" i="71"/>
  <c r="BE158" i="71"/>
  <c r="BC158" i="71"/>
  <c r="BB158" i="71"/>
  <c r="BJ51" i="71"/>
  <c r="BM51" i="71"/>
  <c r="BF51" i="71"/>
  <c r="AY51" i="71"/>
  <c r="AZ51" i="71" s="1"/>
  <c r="BO51" i="71"/>
  <c r="BD51" i="71"/>
  <c r="BM123" i="71"/>
  <c r="BF123" i="71"/>
  <c r="BH123" i="71" s="1"/>
  <c r="BQ123" i="71"/>
  <c r="BO123" i="71"/>
  <c r="AY123" i="71"/>
  <c r="BR123" i="71"/>
  <c r="BP123" i="71"/>
  <c r="BS123" i="71"/>
  <c r="BK123" i="71"/>
  <c r="BL123" i="71"/>
  <c r="BN123" i="71"/>
  <c r="BG123" i="71"/>
  <c r="BD123" i="71"/>
  <c r="BI123" i="71"/>
  <c r="BJ123" i="71"/>
  <c r="BA195" i="71"/>
  <c r="AY195" i="71"/>
  <c r="BB195" i="71" s="1"/>
  <c r="BC195" i="71"/>
  <c r="BM195" i="71"/>
  <c r="BN195" i="71"/>
  <c r="BF195" i="71"/>
  <c r="BE195" i="71"/>
  <c r="BD195" i="71"/>
  <c r="BS195" i="71"/>
  <c r="BO195" i="71"/>
  <c r="BQ195" i="71"/>
  <c r="BR195" i="71"/>
  <c r="BH195" i="71"/>
  <c r="BP195" i="71"/>
  <c r="BL195" i="71"/>
  <c r="BJ195" i="71"/>
  <c r="BI195" i="71"/>
  <c r="BG195" i="71"/>
  <c r="BK195" i="71"/>
  <c r="AZ195" i="71"/>
  <c r="BH29" i="71"/>
  <c r="BG29" i="71"/>
  <c r="BN29" i="71"/>
  <c r="BP29" i="71"/>
  <c r="BM29" i="71"/>
  <c r="BO29" i="71"/>
  <c r="BF29" i="71"/>
  <c r="AY29" i="71"/>
  <c r="BA29" i="71" s="1"/>
  <c r="BD29" i="71"/>
  <c r="BS29" i="71"/>
  <c r="BQ29" i="71"/>
  <c r="AZ29" i="71"/>
  <c r="BR29" i="71"/>
  <c r="BL29" i="71"/>
  <c r="BE29" i="71"/>
  <c r="BK29" i="71"/>
  <c r="BB29" i="71"/>
  <c r="BJ29" i="71"/>
  <c r="BC29" i="71"/>
  <c r="BI29" i="71"/>
  <c r="AY42" i="71"/>
  <c r="BE42" i="71" s="1"/>
  <c r="BM42" i="71"/>
  <c r="BF42" i="71"/>
  <c r="BI42" i="71" s="1"/>
  <c r="BB42" i="71"/>
  <c r="BM54" i="71"/>
  <c r="BF54" i="71"/>
  <c r="BG54" i="71" s="1"/>
  <c r="AY54" i="71"/>
  <c r="BR54" i="71"/>
  <c r="BP54" i="71"/>
  <c r="BS54" i="71"/>
  <c r="BN54" i="71"/>
  <c r="BO54" i="71"/>
  <c r="BQ54" i="71"/>
  <c r="BC54" i="71"/>
  <c r="BD54" i="71"/>
  <c r="BK54" i="71"/>
  <c r="BH54" i="71"/>
  <c r="BB54" i="71"/>
  <c r="BA54" i="71"/>
  <c r="AZ54" i="71"/>
  <c r="BE54" i="71"/>
  <c r="BM66" i="71"/>
  <c r="BS66" i="71" s="1"/>
  <c r="BF66" i="71"/>
  <c r="AY66" i="71"/>
  <c r="BA66" i="71" s="1"/>
  <c r="BQ66" i="71"/>
  <c r="BO66" i="71"/>
  <c r="BK66" i="71"/>
  <c r="BI66" i="71"/>
  <c r="BH66" i="71"/>
  <c r="BG66" i="71"/>
  <c r="BJ66" i="71"/>
  <c r="BL66" i="71"/>
  <c r="BN66" i="71"/>
  <c r="BC66" i="71"/>
  <c r="AZ66" i="71"/>
  <c r="BS78" i="71"/>
  <c r="BF78" i="71"/>
  <c r="BR78" i="71"/>
  <c r="BM78" i="71"/>
  <c r="BP78" i="71" s="1"/>
  <c r="AY78" i="71"/>
  <c r="AZ78" i="71" s="1"/>
  <c r="BQ78" i="71"/>
  <c r="BJ78" i="71"/>
  <c r="BD78" i="71"/>
  <c r="BC78" i="71"/>
  <c r="BA78" i="71"/>
  <c r="BL78" i="71"/>
  <c r="BE78" i="71"/>
  <c r="AZ90" i="71"/>
  <c r="AY90" i="71"/>
  <c r="BF90" i="71"/>
  <c r="BB90" i="71"/>
  <c r="BA90" i="71"/>
  <c r="BM90" i="71"/>
  <c r="BP90" i="71" s="1"/>
  <c r="BE90" i="71"/>
  <c r="BF102" i="71"/>
  <c r="AY102" i="71"/>
  <c r="BM102" i="71"/>
  <c r="BP102" i="71" s="1"/>
  <c r="BQ102" i="71"/>
  <c r="BR102" i="71"/>
  <c r="BO102" i="71"/>
  <c r="BS102" i="71"/>
  <c r="BJ102" i="71"/>
  <c r="BK102" i="71"/>
  <c r="BL102" i="71"/>
  <c r="BI102" i="71"/>
  <c r="BG102" i="71"/>
  <c r="BB102" i="71"/>
  <c r="BH102" i="71"/>
  <c r="BC102" i="71"/>
  <c r="BA102" i="71"/>
  <c r="BE102" i="71"/>
  <c r="AZ102" i="71"/>
  <c r="BD102" i="71"/>
  <c r="AY114" i="71"/>
  <c r="BD114" i="71" s="1"/>
  <c r="BF114" i="71"/>
  <c r="BH114" i="71" s="1"/>
  <c r="BM114" i="71"/>
  <c r="BQ114" i="71" s="1"/>
  <c r="BR114" i="71"/>
  <c r="BI114" i="71"/>
  <c r="BN114" i="71"/>
  <c r="BE114" i="71"/>
  <c r="BB114" i="71"/>
  <c r="BP114" i="71"/>
  <c r="AZ114" i="71"/>
  <c r="BG114" i="71"/>
  <c r="BA114" i="71"/>
  <c r="BL114" i="71"/>
  <c r="BC114" i="71"/>
  <c r="BM126" i="71"/>
  <c r="BF126" i="71"/>
  <c r="BG126" i="71" s="1"/>
  <c r="BC126" i="71"/>
  <c r="BB126" i="71"/>
  <c r="AY126" i="71"/>
  <c r="AZ126" i="71" s="1"/>
  <c r="BP126" i="71"/>
  <c r="BK126" i="71"/>
  <c r="BQ126" i="71"/>
  <c r="BS126" i="71"/>
  <c r="BA126" i="71"/>
  <c r="BE126" i="71"/>
  <c r="BD126" i="71"/>
  <c r="BM138" i="71"/>
  <c r="BF138" i="71"/>
  <c r="BG138" i="71" s="1"/>
  <c r="AY138" i="71"/>
  <c r="BS138" i="71"/>
  <c r="BR138" i="71"/>
  <c r="BO138" i="71"/>
  <c r="BN138" i="71"/>
  <c r="BP138" i="71"/>
  <c r="BQ138" i="71"/>
  <c r="BE138" i="71"/>
  <c r="BK138" i="71"/>
  <c r="BD138" i="71"/>
  <c r="AY150" i="71"/>
  <c r="BA150" i="71"/>
  <c r="AZ150" i="71"/>
  <c r="BB150" i="71"/>
  <c r="BF150" i="71"/>
  <c r="BH150" i="71" s="1"/>
  <c r="BE150" i="71"/>
  <c r="BM150" i="71"/>
  <c r="BP150" i="71"/>
  <c r="BS150" i="71"/>
  <c r="BR150" i="71"/>
  <c r="BQ150" i="71"/>
  <c r="BC150" i="71"/>
  <c r="BD150" i="71"/>
  <c r="BL162" i="71"/>
  <c r="BJ162" i="71"/>
  <c r="AY162" i="71"/>
  <c r="BF162" i="71"/>
  <c r="BE162" i="71"/>
  <c r="BM162" i="71"/>
  <c r="BQ162" i="71" s="1"/>
  <c r="BK162" i="71"/>
  <c r="BG162" i="71"/>
  <c r="BI162" i="71"/>
  <c r="AZ162" i="71"/>
  <c r="BH162" i="71"/>
  <c r="BE174" i="71"/>
  <c r="BD174" i="71"/>
  <c r="BB174" i="71"/>
  <c r="BA174" i="71"/>
  <c r="AZ174" i="71"/>
  <c r="BM174" i="71"/>
  <c r="BP174" i="71" s="1"/>
  <c r="BF174" i="71"/>
  <c r="AY174" i="71"/>
  <c r="BC174" i="71" s="1"/>
  <c r="BO174" i="71"/>
  <c r="BN174" i="71"/>
  <c r="BK174" i="71"/>
  <c r="BJ174" i="71"/>
  <c r="BL174" i="71"/>
  <c r="BH174" i="71"/>
  <c r="BQ174" i="71"/>
  <c r="BG174" i="71"/>
  <c r="BI174" i="71"/>
  <c r="BF186" i="71"/>
  <c r="AY186" i="71"/>
  <c r="BM186" i="71"/>
  <c r="BS186" i="71"/>
  <c r="BO186" i="71"/>
  <c r="BN186" i="71"/>
  <c r="BC186" i="71"/>
  <c r="BJ186" i="71"/>
  <c r="BL186" i="71"/>
  <c r="AZ186" i="71"/>
  <c r="BG186" i="71"/>
  <c r="BI186" i="71"/>
  <c r="BH186" i="71"/>
  <c r="BK186" i="71"/>
  <c r="BE186" i="71"/>
  <c r="BM198" i="71"/>
  <c r="BF198" i="71"/>
  <c r="BK198" i="71" s="1"/>
  <c r="AY198" i="71"/>
  <c r="BE198" i="71" s="1"/>
  <c r="AZ198" i="71"/>
  <c r="BS198" i="71"/>
  <c r="BP198" i="71"/>
  <c r="BO198" i="71"/>
  <c r="BN198" i="71"/>
  <c r="BR198" i="71"/>
  <c r="BQ198" i="71"/>
  <c r="BG198" i="71"/>
  <c r="BJ198" i="71"/>
  <c r="BI198" i="71"/>
  <c r="BD198" i="71"/>
  <c r="BC198" i="71"/>
  <c r="BH198" i="71"/>
  <c r="BD210" i="71"/>
  <c r="AY210" i="71"/>
  <c r="BE210" i="71" s="1"/>
  <c r="BM210" i="71"/>
  <c r="BO210" i="71" s="1"/>
  <c r="BF210" i="71"/>
  <c r="BP210" i="71"/>
  <c r="BH210" i="71"/>
  <c r="BG210" i="71"/>
  <c r="BJ210" i="71"/>
  <c r="BI210" i="71"/>
  <c r="BK210" i="71"/>
  <c r="BL210" i="71"/>
  <c r="BC210" i="71"/>
  <c r="BB210" i="71"/>
  <c r="AY222" i="71"/>
  <c r="BC222" i="71" s="1"/>
  <c r="BF222" i="71"/>
  <c r="BL222" i="71" s="1"/>
  <c r="BM222" i="71"/>
  <c r="BB222" i="71"/>
  <c r="BS50" i="71"/>
  <c r="BR50" i="71"/>
  <c r="BM50" i="71"/>
  <c r="BP50" i="71"/>
  <c r="BF50" i="71"/>
  <c r="AY50" i="71"/>
  <c r="BD50" i="71" s="1"/>
  <c r="BN50" i="71"/>
  <c r="BQ50" i="71"/>
  <c r="BO50" i="71"/>
  <c r="AY170" i="71"/>
  <c r="AZ170" i="71" s="1"/>
  <c r="BF170" i="71"/>
  <c r="BM170" i="71"/>
  <c r="BS170" i="71" s="1"/>
  <c r="BN170" i="71"/>
  <c r="BR170" i="71"/>
  <c r="BP170" i="71"/>
  <c r="BO170" i="71"/>
  <c r="BQ170" i="71"/>
  <c r="BE170" i="71"/>
  <c r="BC170" i="71"/>
  <c r="BB170" i="71"/>
  <c r="BA170" i="71"/>
  <c r="BM75" i="71"/>
  <c r="BE75" i="71"/>
  <c r="BA75" i="71"/>
  <c r="AY75" i="71"/>
  <c r="BB75" i="71" s="1"/>
  <c r="BF75" i="71"/>
  <c r="BK75" i="71" s="1"/>
  <c r="BN75" i="71"/>
  <c r="BR75" i="71"/>
  <c r="BI75" i="71"/>
  <c r="BG75" i="71"/>
  <c r="BL75" i="71"/>
  <c r="AZ75" i="71"/>
  <c r="AZ111" i="71"/>
  <c r="AY111" i="71"/>
  <c r="BB111" i="71" s="1"/>
  <c r="BM111" i="71"/>
  <c r="BS111" i="71" s="1"/>
  <c r="BF111" i="71"/>
  <c r="BQ111" i="71"/>
  <c r="BK111" i="71"/>
  <c r="BO111" i="71"/>
  <c r="BI111" i="71"/>
  <c r="BH111" i="71"/>
  <c r="BL111" i="71"/>
  <c r="BG111" i="71"/>
  <c r="BJ111" i="71"/>
  <c r="BM159" i="71"/>
  <c r="BQ159" i="71" s="1"/>
  <c r="BF159" i="71"/>
  <c r="AY159" i="71"/>
  <c r="BO159" i="71"/>
  <c r="BS159" i="71"/>
  <c r="BP159" i="71"/>
  <c r="BR159" i="71"/>
  <c r="BN159" i="71"/>
  <c r="BG159" i="71"/>
  <c r="BJ159" i="71"/>
  <c r="BL159" i="71"/>
  <c r="BI159" i="71"/>
  <c r="AY207" i="71"/>
  <c r="BE207" i="71" s="1"/>
  <c r="BJ207" i="71"/>
  <c r="BF207" i="71"/>
  <c r="BP207" i="71"/>
  <c r="BD207" i="71"/>
  <c r="BM207" i="71"/>
  <c r="BN207" i="71" s="1"/>
  <c r="BQ207" i="71"/>
  <c r="BH207" i="71"/>
  <c r="BK207" i="71"/>
  <c r="BL207" i="71"/>
  <c r="BI207" i="71"/>
  <c r="BG207" i="71"/>
  <c r="BS207" i="71"/>
  <c r="AZ207" i="71"/>
  <c r="BA207" i="71"/>
  <c r="BS30" i="71"/>
  <c r="BM30" i="71"/>
  <c r="BO30" i="71" s="1"/>
  <c r="AY30" i="71"/>
  <c r="BD30" i="71" s="1"/>
  <c r="BR30" i="71"/>
  <c r="BF30" i="71"/>
  <c r="BJ30" i="71"/>
  <c r="BE30" i="71"/>
  <c r="BI30" i="71"/>
  <c r="BG30" i="71"/>
  <c r="BL30" i="71"/>
  <c r="BH30" i="71"/>
  <c r="BA30" i="71"/>
  <c r="AZ30" i="71"/>
  <c r="BK30" i="71"/>
  <c r="BC30" i="71"/>
  <c r="BM43" i="71"/>
  <c r="BF43" i="71"/>
  <c r="BH43" i="71" s="1"/>
  <c r="AY43" i="71"/>
  <c r="BA43" i="71" s="1"/>
  <c r="BR43" i="71"/>
  <c r="BO43" i="71"/>
  <c r="BQ43" i="71"/>
  <c r="BC43" i="71"/>
  <c r="BD43" i="71"/>
  <c r="AY55" i="71"/>
  <c r="BA55" i="71" s="1"/>
  <c r="BM55" i="71"/>
  <c r="BO55" i="71" s="1"/>
  <c r="BF55" i="71"/>
  <c r="BQ55" i="71"/>
  <c r="BN55" i="71"/>
  <c r="BS55" i="71"/>
  <c r="BR55" i="71"/>
  <c r="BK55" i="71"/>
  <c r="BD55" i="71"/>
  <c r="AZ55" i="71"/>
  <c r="BP55" i="71"/>
  <c r="BE55" i="71"/>
  <c r="BH55" i="71"/>
  <c r="BC55" i="71"/>
  <c r="BB55" i="71"/>
  <c r="BM67" i="71"/>
  <c r="BF67" i="71"/>
  <c r="BG67" i="71" s="1"/>
  <c r="AY67" i="71"/>
  <c r="BB67" i="71" s="1"/>
  <c r="BC67" i="71"/>
  <c r="BP67" i="71"/>
  <c r="BL67" i="71"/>
  <c r="BJ67" i="71"/>
  <c r="BQ67" i="71"/>
  <c r="BD67" i="71"/>
  <c r="AZ67" i="71"/>
  <c r="BA67" i="71"/>
  <c r="BH67" i="71"/>
  <c r="BK67" i="71"/>
  <c r="BM79" i="71"/>
  <c r="BS79" i="71" s="1"/>
  <c r="BF79" i="71"/>
  <c r="BH79" i="71" s="1"/>
  <c r="AY79" i="71"/>
  <c r="BE79" i="71" s="1"/>
  <c r="BC79" i="71"/>
  <c r="BI79" i="71"/>
  <c r="BL79" i="71"/>
  <c r="AZ79" i="71"/>
  <c r="BM91" i="71"/>
  <c r="BS91" i="71" s="1"/>
  <c r="BF91" i="71"/>
  <c r="BE91" i="71"/>
  <c r="BD91" i="71"/>
  <c r="BH91" i="71"/>
  <c r="AY91" i="71"/>
  <c r="BG91" i="71"/>
  <c r="BQ91" i="71"/>
  <c r="BL91" i="71"/>
  <c r="BJ91" i="71"/>
  <c r="BB91" i="71"/>
  <c r="BC91" i="71"/>
  <c r="BI91" i="71"/>
  <c r="BK91" i="71"/>
  <c r="AY103" i="71"/>
  <c r="BB103" i="71"/>
  <c r="AZ103" i="71"/>
  <c r="BM103" i="71"/>
  <c r="BP103" i="71" s="1"/>
  <c r="BF103" i="71"/>
  <c r="BA103" i="71"/>
  <c r="BE103" i="71"/>
  <c r="BC103" i="71"/>
  <c r="BD103" i="71"/>
  <c r="BM115" i="71"/>
  <c r="BF115" i="71"/>
  <c r="BI115" i="71" s="1"/>
  <c r="AY115" i="71"/>
  <c r="BS115" i="71"/>
  <c r="BL115" i="71"/>
  <c r="BP115" i="71"/>
  <c r="BK115" i="71"/>
  <c r="BJ115" i="71"/>
  <c r="BG115" i="71"/>
  <c r="BH115" i="71"/>
  <c r="AY127" i="71"/>
  <c r="BF127" i="71"/>
  <c r="BB127" i="71"/>
  <c r="BM127" i="71"/>
  <c r="BP127" i="71" s="1"/>
  <c r="BG127" i="71"/>
  <c r="AY139" i="71"/>
  <c r="BB139" i="71" s="1"/>
  <c r="BM139" i="71"/>
  <c r="BF139" i="71"/>
  <c r="BC139" i="71"/>
  <c r="AZ139" i="71"/>
  <c r="BM151" i="71"/>
  <c r="BR151" i="71" s="1"/>
  <c r="BF151" i="71"/>
  <c r="BB151" i="71"/>
  <c r="AY151" i="71"/>
  <c r="BQ151" i="71"/>
  <c r="BL151" i="71"/>
  <c r="BI151" i="71"/>
  <c r="BK151" i="71"/>
  <c r="BG151" i="71"/>
  <c r="BC151" i="71"/>
  <c r="BA151" i="71"/>
  <c r="BJ151" i="71"/>
  <c r="BH151" i="71"/>
  <c r="BD151" i="71"/>
  <c r="BE151" i="71"/>
  <c r="AZ151" i="71"/>
  <c r="AY163" i="71"/>
  <c r="BC163" i="71" s="1"/>
  <c r="BM163" i="71"/>
  <c r="BN163" i="71" s="1"/>
  <c r="BF163" i="71"/>
  <c r="BS163" i="71"/>
  <c r="BO163" i="71"/>
  <c r="BP163" i="71"/>
  <c r="BE163" i="71"/>
  <c r="BA163" i="71"/>
  <c r="BD163" i="71"/>
  <c r="BR163" i="71"/>
  <c r="AZ163" i="71"/>
  <c r="BM175" i="71"/>
  <c r="BS175" i="71"/>
  <c r="BR175" i="71"/>
  <c r="BE175" i="71"/>
  <c r="BD175" i="71"/>
  <c r="BC175" i="71"/>
  <c r="AY175" i="71"/>
  <c r="BF175" i="71"/>
  <c r="BQ175" i="71"/>
  <c r="BH175" i="71"/>
  <c r="BG175" i="71"/>
  <c r="BK175" i="71"/>
  <c r="BB175" i="71"/>
  <c r="BJ175" i="71"/>
  <c r="BA175" i="71"/>
  <c r="BL175" i="71"/>
  <c r="AZ175" i="71"/>
  <c r="BI175" i="71"/>
  <c r="BR187" i="71"/>
  <c r="AY187" i="71"/>
  <c r="BM187" i="71"/>
  <c r="BD187" i="71"/>
  <c r="BC187" i="71"/>
  <c r="BF187" i="71"/>
  <c r="BE187" i="71"/>
  <c r="BN187" i="71"/>
  <c r="BG187" i="71"/>
  <c r="BB187" i="71"/>
  <c r="BP187" i="71"/>
  <c r="BL187" i="71"/>
  <c r="BJ187" i="71"/>
  <c r="BA187" i="71"/>
  <c r="BS187" i="71"/>
  <c r="AZ187" i="71"/>
  <c r="BJ199" i="71"/>
  <c r="BM199" i="71"/>
  <c r="BF199" i="71"/>
  <c r="BG199" i="71" s="1"/>
  <c r="BD199" i="71"/>
  <c r="AY199" i="71"/>
  <c r="BR199" i="71"/>
  <c r="BP199" i="71"/>
  <c r="BQ199" i="71"/>
  <c r="BS199" i="71"/>
  <c r="BO199" i="71"/>
  <c r="BL199" i="71"/>
  <c r="BI199" i="71"/>
  <c r="BH199" i="71"/>
  <c r="BN199" i="71"/>
  <c r="BE199" i="71"/>
  <c r="BC199" i="71"/>
  <c r="BB199" i="71"/>
  <c r="BK199" i="71"/>
  <c r="BA199" i="71"/>
  <c r="AZ199" i="71"/>
  <c r="BO211" i="71"/>
  <c r="BM211" i="71"/>
  <c r="BQ211" i="71" s="1"/>
  <c r="BF211" i="71"/>
  <c r="BK211" i="71" s="1"/>
  <c r="AY211" i="71"/>
  <c r="BS211" i="71"/>
  <c r="BH211" i="71"/>
  <c r="BG211" i="71"/>
  <c r="BJ211" i="71"/>
  <c r="BR211" i="71"/>
  <c r="BI211" i="71"/>
  <c r="BL211" i="71"/>
  <c r="BC211" i="71"/>
  <c r="BB211" i="71"/>
  <c r="BA211" i="71"/>
  <c r="BB223" i="71"/>
  <c r="BM223" i="71"/>
  <c r="BO223" i="71" s="1"/>
  <c r="BF223" i="71"/>
  <c r="BI223" i="71" s="1"/>
  <c r="AY223" i="71"/>
  <c r="BS223" i="71"/>
  <c r="BH223" i="71"/>
  <c r="BG223" i="71"/>
  <c r="AZ223" i="71"/>
  <c r="BC223" i="71"/>
  <c r="BE223" i="71"/>
  <c r="BC134" i="71"/>
  <c r="AY134" i="71"/>
  <c r="BF134" i="71"/>
  <c r="BG134" i="71" s="1"/>
  <c r="BM134" i="71"/>
  <c r="BO134" i="71"/>
  <c r="BS134" i="71"/>
  <c r="BP134" i="71"/>
  <c r="BR134" i="71"/>
  <c r="BJ134" i="71"/>
  <c r="AZ134" i="71"/>
  <c r="BA134" i="71"/>
  <c r="BE134" i="71"/>
  <c r="BD134" i="71"/>
  <c r="BI134" i="71"/>
  <c r="BK134" i="71"/>
  <c r="BB134" i="71"/>
  <c r="BE218" i="71"/>
  <c r="AY218" i="71"/>
  <c r="AZ218" i="71" s="1"/>
  <c r="BF218" i="71"/>
  <c r="BM218" i="71"/>
  <c r="BC218" i="71"/>
  <c r="BD218" i="71"/>
  <c r="BL218" i="71"/>
  <c r="BB218" i="71"/>
  <c r="BA218" i="71"/>
  <c r="BI218" i="71"/>
  <c r="BL26" i="71"/>
  <c r="BD26" i="71"/>
  <c r="BC26" i="71"/>
  <c r="BB26" i="71"/>
  <c r="AY26" i="71"/>
  <c r="BA26" i="71" s="1"/>
  <c r="AZ26" i="71"/>
  <c r="BF26" i="71"/>
  <c r="BG26" i="71" s="1"/>
  <c r="BE26" i="71"/>
  <c r="BK26" i="71"/>
  <c r="BH26" i="71"/>
  <c r="BS26" i="71"/>
  <c r="BM26" i="71"/>
  <c r="BR26" i="71"/>
  <c r="BN26" i="71"/>
  <c r="BI26" i="71"/>
  <c r="BJ26" i="71"/>
  <c r="BF99" i="71"/>
  <c r="BI99" i="71" s="1"/>
  <c r="AY99" i="71"/>
  <c r="BC99" i="71" s="1"/>
  <c r="BM99" i="71"/>
  <c r="BO99" i="71" s="1"/>
  <c r="BL99" i="71"/>
  <c r="BJ99" i="71"/>
  <c r="BB99" i="71"/>
  <c r="BM171" i="71"/>
  <c r="BQ171" i="71" s="1"/>
  <c r="BF171" i="71"/>
  <c r="BD171" i="71"/>
  <c r="AY171" i="71"/>
  <c r="BP171" i="71"/>
  <c r="BO171" i="71"/>
  <c r="BI171" i="71"/>
  <c r="BG171" i="71"/>
  <c r="BH171" i="71"/>
  <c r="BN171" i="71"/>
  <c r="BL171" i="71"/>
  <c r="BA171" i="71"/>
  <c r="BJ171" i="71"/>
  <c r="BK171" i="71"/>
  <c r="AZ171" i="71"/>
  <c r="BC171" i="71"/>
  <c r="BK32" i="71"/>
  <c r="BM32" i="71"/>
  <c r="BS32" i="71" s="1"/>
  <c r="AY32" i="71"/>
  <c r="BD32" i="71" s="1"/>
  <c r="BF32" i="71"/>
  <c r="BB32" i="71"/>
  <c r="BN32" i="71"/>
  <c r="BO32" i="71"/>
  <c r="BQ32" i="71"/>
  <c r="BP32" i="71"/>
  <c r="BI32" i="71"/>
  <c r="BG32" i="71"/>
  <c r="BL32" i="71"/>
  <c r="BH32" i="71"/>
  <c r="BJ32" i="71"/>
  <c r="BC32" i="71"/>
  <c r="BE32" i="71"/>
  <c r="AZ32" i="71"/>
  <c r="BR32" i="71"/>
  <c r="BA32" i="71"/>
  <c r="BJ44" i="71"/>
  <c r="BE44" i="71"/>
  <c r="BD44" i="71"/>
  <c r="AY44" i="71"/>
  <c r="BA44" i="71" s="1"/>
  <c r="BM44" i="71"/>
  <c r="BQ44" i="71" s="1"/>
  <c r="BF44" i="71"/>
  <c r="BO44" i="71"/>
  <c r="BK44" i="71"/>
  <c r="BI44" i="71"/>
  <c r="BN44" i="71"/>
  <c r="BG44" i="71"/>
  <c r="BC44" i="71"/>
  <c r="BL44" i="71"/>
  <c r="BH44" i="71"/>
  <c r="AZ44" i="71"/>
  <c r="BM56" i="71"/>
  <c r="BO56" i="71" s="1"/>
  <c r="BE56" i="71"/>
  <c r="BF56" i="71"/>
  <c r="BD56" i="71"/>
  <c r="BB56" i="71"/>
  <c r="AY56" i="71"/>
  <c r="BA56" i="71" s="1"/>
  <c r="BN56" i="71"/>
  <c r="BP56" i="71"/>
  <c r="BR56" i="71"/>
  <c r="BQ56" i="71"/>
  <c r="AZ56" i="71"/>
  <c r="BC56" i="71"/>
  <c r="BG56" i="71"/>
  <c r="BS68" i="71"/>
  <c r="BB68" i="71"/>
  <c r="AY68" i="71"/>
  <c r="BD68" i="71" s="1"/>
  <c r="BM68" i="71"/>
  <c r="BR68" i="71" s="1"/>
  <c r="BF68" i="71"/>
  <c r="BL68" i="71" s="1"/>
  <c r="AZ68" i="71"/>
  <c r="BE68" i="71"/>
  <c r="BA68" i="71"/>
  <c r="BQ68" i="71"/>
  <c r="BS80" i="71"/>
  <c r="BF80" i="71"/>
  <c r="AY80" i="71"/>
  <c r="BB80" i="71" s="1"/>
  <c r="BM80" i="71"/>
  <c r="BO80" i="71"/>
  <c r="BR80" i="71"/>
  <c r="BQ80" i="71"/>
  <c r="BJ80" i="71"/>
  <c r="BK80" i="71"/>
  <c r="BE80" i="71"/>
  <c r="BI80" i="71"/>
  <c r="BH80" i="71"/>
  <c r="BA80" i="71"/>
  <c r="BG80" i="71"/>
  <c r="AZ80" i="71"/>
  <c r="BD80" i="71"/>
  <c r="BC80" i="71"/>
  <c r="BL80" i="71"/>
  <c r="AY92" i="71"/>
  <c r="BA92" i="71" s="1"/>
  <c r="BB92" i="71"/>
  <c r="BS92" i="71"/>
  <c r="BM92" i="71"/>
  <c r="BF92" i="71"/>
  <c r="BK92" i="71" s="1"/>
  <c r="BP92" i="71"/>
  <c r="BR92" i="71"/>
  <c r="BO92" i="71"/>
  <c r="BL92" i="71"/>
  <c r="BJ92" i="71"/>
  <c r="BI92" i="71"/>
  <c r="BH92" i="71"/>
  <c r="BG92" i="71"/>
  <c r="BN92" i="71"/>
  <c r="AZ92" i="71"/>
  <c r="BQ92" i="71"/>
  <c r="BM104" i="71"/>
  <c r="BS104" i="71" s="1"/>
  <c r="BF104" i="71"/>
  <c r="BI104" i="71"/>
  <c r="AY104" i="71"/>
  <c r="BE104" i="71" s="1"/>
  <c r="BP104" i="71"/>
  <c r="BO104" i="71"/>
  <c r="BG104" i="71"/>
  <c r="BK104" i="71"/>
  <c r="BB104" i="71"/>
  <c r="BH104" i="71"/>
  <c r="BD104" i="71"/>
  <c r="AZ104" i="71"/>
  <c r="BA104" i="71"/>
  <c r="BC104" i="71"/>
  <c r="BM116" i="71"/>
  <c r="BN116" i="71" s="1"/>
  <c r="BF116" i="71"/>
  <c r="AY116" i="71"/>
  <c r="BB116" i="71" s="1"/>
  <c r="BS116" i="71"/>
  <c r="BQ116" i="71"/>
  <c r="BR116" i="71"/>
  <c r="BO116" i="71"/>
  <c r="BL116" i="71"/>
  <c r="BJ116" i="71"/>
  <c r="BP116" i="71"/>
  <c r="BI116" i="71"/>
  <c r="BH116" i="71"/>
  <c r="BG116" i="71"/>
  <c r="BE116" i="71"/>
  <c r="BD116" i="71"/>
  <c r="AZ116" i="71"/>
  <c r="BK116" i="71"/>
  <c r="BM128" i="71"/>
  <c r="BQ128" i="71" s="1"/>
  <c r="BF128" i="71"/>
  <c r="AY128" i="71"/>
  <c r="BE128" i="71" s="1"/>
  <c r="BG128" i="71"/>
  <c r="BK128" i="71"/>
  <c r="BI128" i="71"/>
  <c r="BL128" i="71"/>
  <c r="BR128" i="71"/>
  <c r="BD128" i="71"/>
  <c r="BB128" i="71"/>
  <c r="BJ128" i="71"/>
  <c r="BA128" i="71"/>
  <c r="BH128" i="71"/>
  <c r="AZ128" i="71"/>
  <c r="BC128" i="71"/>
  <c r="BM140" i="71"/>
  <c r="BQ140" i="71" s="1"/>
  <c r="BF140" i="71"/>
  <c r="BK140" i="71" s="1"/>
  <c r="AY140" i="71"/>
  <c r="BC140" i="71" s="1"/>
  <c r="BN140" i="71"/>
  <c r="BD140" i="71"/>
  <c r="AY152" i="71"/>
  <c r="BM152" i="71"/>
  <c r="BQ152" i="71" s="1"/>
  <c r="BF152" i="71"/>
  <c r="BL152" i="71" s="1"/>
  <c r="BH152" i="71"/>
  <c r="BN152" i="71"/>
  <c r="BD152" i="71"/>
  <c r="BG152" i="71"/>
  <c r="BK152" i="71"/>
  <c r="BM164" i="71"/>
  <c r="BR164" i="71" s="1"/>
  <c r="BF164" i="71"/>
  <c r="AY164" i="71"/>
  <c r="BS164" i="71"/>
  <c r="BN164" i="71"/>
  <c r="BP164" i="71"/>
  <c r="BK164" i="71"/>
  <c r="BG164" i="71"/>
  <c r="AZ164" i="71"/>
  <c r="BC164" i="71"/>
  <c r="BD164" i="71"/>
  <c r="BH164" i="71"/>
  <c r="BQ164" i="71"/>
  <c r="BL164" i="71"/>
  <c r="BJ164" i="71"/>
  <c r="BA164" i="71"/>
  <c r="BI164" i="71"/>
  <c r="BM176" i="71"/>
  <c r="BP176" i="71" s="1"/>
  <c r="BF176" i="71"/>
  <c r="AY176" i="71"/>
  <c r="BB176" i="71" s="1"/>
  <c r="BK176" i="71"/>
  <c r="BJ176" i="71"/>
  <c r="AZ176" i="71"/>
  <c r="BD176" i="71"/>
  <c r="BA176" i="71"/>
  <c r="BG176" i="71"/>
  <c r="BL176" i="71"/>
  <c r="BI176" i="71"/>
  <c r="BC176" i="71"/>
  <c r="BE176" i="71"/>
  <c r="BH176" i="71"/>
  <c r="BM188" i="71"/>
  <c r="BF188" i="71"/>
  <c r="BI188" i="71" s="1"/>
  <c r="AY188" i="71"/>
  <c r="BG188" i="71"/>
  <c r="BS188" i="71"/>
  <c r="BP188" i="71"/>
  <c r="BQ188" i="71"/>
  <c r="BK188" i="71"/>
  <c r="BD188" i="71"/>
  <c r="BH188" i="71"/>
  <c r="BE188" i="71"/>
  <c r="BC188" i="71"/>
  <c r="BJ188" i="71"/>
  <c r="BL188" i="71"/>
  <c r="AZ188" i="71"/>
  <c r="AY200" i="71"/>
  <c r="BF200" i="71"/>
  <c r="BH200" i="71" s="1"/>
  <c r="BQ200" i="71"/>
  <c r="BP200" i="71"/>
  <c r="BS200" i="71"/>
  <c r="BO200" i="71"/>
  <c r="BL200" i="71"/>
  <c r="BN200" i="71"/>
  <c r="BM200" i="71"/>
  <c r="BD200" i="71"/>
  <c r="BC200" i="71"/>
  <c r="BB200" i="71"/>
  <c r="BR200" i="71"/>
  <c r="BF212" i="71"/>
  <c r="BG212" i="71" s="1"/>
  <c r="BS212" i="71"/>
  <c r="AY212" i="71"/>
  <c r="BC212" i="71" s="1"/>
  <c r="BM212" i="71"/>
  <c r="BQ212" i="71" s="1"/>
  <c r="BP212" i="71"/>
  <c r="BO212" i="71"/>
  <c r="BR212" i="71"/>
  <c r="BJ212" i="71"/>
  <c r="BL212" i="71"/>
  <c r="BD212" i="71"/>
  <c r="BM38" i="71"/>
  <c r="BS38" i="71" s="1"/>
  <c r="AY38" i="71"/>
  <c r="BR38" i="71"/>
  <c r="BP38" i="71"/>
  <c r="BF38" i="71"/>
  <c r="BO38" i="71"/>
  <c r="BQ38" i="71"/>
  <c r="BN38" i="71"/>
  <c r="BG38" i="71"/>
  <c r="AZ38" i="71"/>
  <c r="BD38" i="71"/>
  <c r="BK38" i="71"/>
  <c r="BE38" i="71"/>
  <c r="BL38" i="71"/>
  <c r="BA38" i="71"/>
  <c r="BB38" i="71"/>
  <c r="BC38" i="71"/>
  <c r="BM153" i="71"/>
  <c r="BO153" i="71" s="1"/>
  <c r="BF153" i="71"/>
  <c r="BI153" i="71" s="1"/>
  <c r="AY153" i="71"/>
  <c r="BA153" i="71" s="1"/>
  <c r="BJ153" i="71"/>
  <c r="BD153" i="71"/>
  <c r="BG153" i="71"/>
  <c r="BC153" i="71"/>
  <c r="BK153" i="71"/>
  <c r="BL153" i="71"/>
  <c r="BB153" i="71"/>
  <c r="BE153" i="71"/>
  <c r="BM62" i="71"/>
  <c r="BR62" i="71" s="1"/>
  <c r="BF62" i="71"/>
  <c r="BI62" i="71" s="1"/>
  <c r="AY62" i="71"/>
  <c r="BK62" i="71"/>
  <c r="BF182" i="71"/>
  <c r="BB182" i="71"/>
  <c r="AY182" i="71"/>
  <c r="BE182" i="71" s="1"/>
  <c r="BK182" i="71"/>
  <c r="BJ182" i="71"/>
  <c r="BM182" i="71"/>
  <c r="BQ182" i="71" s="1"/>
  <c r="AZ182" i="71"/>
  <c r="BL182" i="71"/>
  <c r="BM45" i="71"/>
  <c r="BR45" i="71" s="1"/>
  <c r="BF45" i="71"/>
  <c r="BC45" i="71"/>
  <c r="BB45" i="71"/>
  <c r="BD45" i="71"/>
  <c r="BP45" i="71"/>
  <c r="BO45" i="71"/>
  <c r="BA45" i="71"/>
  <c r="AZ45" i="71"/>
  <c r="AY45" i="71"/>
  <c r="BE45" i="71" s="1"/>
  <c r="BS45" i="71"/>
  <c r="BL45" i="71"/>
  <c r="BH45" i="71"/>
  <c r="BG45" i="71"/>
  <c r="BQ45" i="71"/>
  <c r="BN45" i="71"/>
  <c r="BK45" i="71"/>
  <c r="BI45" i="71"/>
  <c r="BJ45" i="71"/>
  <c r="BM93" i="71"/>
  <c r="BS93" i="71" s="1"/>
  <c r="BF93" i="71"/>
  <c r="AY93" i="71"/>
  <c r="BJ93" i="71"/>
  <c r="BN93" i="71"/>
  <c r="BQ93" i="71"/>
  <c r="BL93" i="71"/>
  <c r="BH93" i="71"/>
  <c r="BE93" i="71"/>
  <c r="BK93" i="71"/>
  <c r="BC93" i="71"/>
  <c r="AZ93" i="71"/>
  <c r="BD93" i="71"/>
  <c r="BB93" i="71"/>
  <c r="BG93" i="71"/>
  <c r="BI93" i="71"/>
  <c r="BA93" i="71"/>
  <c r="BM141" i="71"/>
  <c r="BS141" i="71" s="1"/>
  <c r="BF141" i="71"/>
  <c r="AY141" i="71"/>
  <c r="BA141" i="71" s="1"/>
  <c r="BH141" i="71"/>
  <c r="BB141" i="71"/>
  <c r="BC141" i="71"/>
  <c r="BD141" i="71"/>
  <c r="BJ141" i="71"/>
  <c r="AY189" i="71"/>
  <c r="BB189" i="71" s="1"/>
  <c r="BF189" i="71"/>
  <c r="BH189" i="71" s="1"/>
  <c r="BC189" i="71"/>
  <c r="BG189" i="71"/>
  <c r="BM189" i="71"/>
  <c r="BR189" i="71" s="1"/>
  <c r="BK189" i="71"/>
  <c r="BI189" i="71"/>
  <c r="BE189" i="71"/>
  <c r="BD189" i="71"/>
  <c r="BJ189" i="71"/>
  <c r="AZ189" i="71"/>
  <c r="BM34" i="71"/>
  <c r="BP34" i="71" s="1"/>
  <c r="BF34" i="71"/>
  <c r="BJ34" i="71" s="1"/>
  <c r="AY34" i="71"/>
  <c r="BC34" i="71" s="1"/>
  <c r="BA34" i="71"/>
  <c r="BE34" i="71"/>
  <c r="BG34" i="71"/>
  <c r="AZ34" i="71"/>
  <c r="BH34" i="71"/>
  <c r="BD34" i="71"/>
  <c r="BH46" i="71"/>
  <c r="AY46" i="71"/>
  <c r="AZ46" i="71" s="1"/>
  <c r="BM46" i="71"/>
  <c r="BQ46" i="71" s="1"/>
  <c r="BF46" i="71"/>
  <c r="BI46" i="71"/>
  <c r="BG46" i="71"/>
  <c r="BD46" i="71"/>
  <c r="BJ46" i="71"/>
  <c r="BL46" i="71"/>
  <c r="BB46" i="71"/>
  <c r="BK46" i="71"/>
  <c r="BA46" i="71"/>
  <c r="BR58" i="71"/>
  <c r="BM58" i="71"/>
  <c r="BO58" i="71" s="1"/>
  <c r="BF58" i="71"/>
  <c r="BG58" i="71" s="1"/>
  <c r="AY58" i="71"/>
  <c r="BE58" i="71" s="1"/>
  <c r="BN58" i="71"/>
  <c r="BI58" i="71"/>
  <c r="BQ58" i="71"/>
  <c r="BK58" i="71"/>
  <c r="BA58" i="71"/>
  <c r="BC58" i="71"/>
  <c r="BH58" i="71"/>
  <c r="BJ58" i="71"/>
  <c r="BL58" i="71"/>
  <c r="BB58" i="71"/>
  <c r="AZ58" i="71"/>
  <c r="BH70" i="71"/>
  <c r="BS70" i="71"/>
  <c r="BM70" i="71"/>
  <c r="BP70" i="71" s="1"/>
  <c r="BF70" i="71"/>
  <c r="BI70" i="71" s="1"/>
  <c r="AY70" i="71"/>
  <c r="BC70" i="71"/>
  <c r="BK70" i="71"/>
  <c r="BB70" i="71"/>
  <c r="BD70" i="71"/>
  <c r="BL70" i="71"/>
  <c r="BA70" i="71"/>
  <c r="AZ70" i="71"/>
  <c r="BE70" i="71"/>
  <c r="BM82" i="71"/>
  <c r="BR82" i="71" s="1"/>
  <c r="BF82" i="71"/>
  <c r="BH82" i="71" s="1"/>
  <c r="AY82" i="71"/>
  <c r="AZ82" i="71" s="1"/>
  <c r="BN82" i="71"/>
  <c r="BK82" i="71"/>
  <c r="BQ82" i="71"/>
  <c r="BJ82" i="71"/>
  <c r="BB82" i="71"/>
  <c r="BI82" i="71"/>
  <c r="BF94" i="71"/>
  <c r="BJ94" i="71" s="1"/>
  <c r="AZ94" i="71"/>
  <c r="AY94" i="71"/>
  <c r="BC94" i="71" s="1"/>
  <c r="BS94" i="71"/>
  <c r="BM94" i="71"/>
  <c r="BR94" i="71"/>
  <c r="BP94" i="71"/>
  <c r="BQ94" i="71"/>
  <c r="BH94" i="71"/>
  <c r="BK94" i="71"/>
  <c r="BI94" i="71"/>
  <c r="BG94" i="71"/>
  <c r="BO94" i="71"/>
  <c r="BD94" i="71"/>
  <c r="BE94" i="71"/>
  <c r="BN94" i="71"/>
  <c r="BB94" i="71"/>
  <c r="BA94" i="71"/>
  <c r="BL94" i="71"/>
  <c r="BI106" i="71"/>
  <c r="BF106" i="71"/>
  <c r="BK106" i="71" s="1"/>
  <c r="AY106" i="71"/>
  <c r="BC106" i="71" s="1"/>
  <c r="BP106" i="71"/>
  <c r="BM106" i="71"/>
  <c r="BO106" i="71" s="1"/>
  <c r="BA106" i="71"/>
  <c r="BS106" i="71"/>
  <c r="BJ106" i="71"/>
  <c r="BB106" i="71"/>
  <c r="BM118" i="71"/>
  <c r="BS118" i="71" s="1"/>
  <c r="BF118" i="71"/>
  <c r="BH118" i="71" s="1"/>
  <c r="AY118" i="71"/>
  <c r="BC118" i="71" s="1"/>
  <c r="BB118" i="71"/>
  <c r="BR118" i="71"/>
  <c r="BI118" i="71"/>
  <c r="BG118" i="71"/>
  <c r="BQ118" i="71"/>
  <c r="BL118" i="71"/>
  <c r="BO118" i="71"/>
  <c r="BF130" i="71"/>
  <c r="BH130" i="71" s="1"/>
  <c r="AY130" i="71"/>
  <c r="BM130" i="71"/>
  <c r="BR130" i="71"/>
  <c r="BQ130" i="71"/>
  <c r="BP130" i="71"/>
  <c r="BO130" i="71"/>
  <c r="BN130" i="71"/>
  <c r="BG130" i="71"/>
  <c r="BL130" i="71"/>
  <c r="BJ130" i="71"/>
  <c r="BC130" i="71"/>
  <c r="BS130" i="71"/>
  <c r="BE130" i="71"/>
  <c r="BB130" i="71"/>
  <c r="AZ130" i="71"/>
  <c r="BA130" i="71"/>
  <c r="BD130" i="71"/>
  <c r="BI130" i="71"/>
  <c r="BF142" i="71"/>
  <c r="BH142" i="71" s="1"/>
  <c r="AY142" i="71"/>
  <c r="BA142" i="71" s="1"/>
  <c r="BM142" i="71"/>
  <c r="BS142" i="71" s="1"/>
  <c r="BP142" i="71"/>
  <c r="BQ142" i="71"/>
  <c r="BK142" i="71"/>
  <c r="BI142" i="71"/>
  <c r="BG142" i="71"/>
  <c r="BR142" i="71"/>
  <c r="BB142" i="71"/>
  <c r="BD142" i="71"/>
  <c r="BF154" i="71"/>
  <c r="BG154" i="71" s="1"/>
  <c r="BE154" i="71"/>
  <c r="BD154" i="71"/>
  <c r="BC154" i="71"/>
  <c r="BB154" i="71"/>
  <c r="BM154" i="71"/>
  <c r="BR154" i="71" s="1"/>
  <c r="BA154" i="71"/>
  <c r="AY154" i="71"/>
  <c r="BP154" i="71"/>
  <c r="BQ154" i="71"/>
  <c r="BS154" i="71"/>
  <c r="BO154" i="71"/>
  <c r="BN154" i="71"/>
  <c r="AZ154" i="71"/>
  <c r="AY166" i="71"/>
  <c r="AZ166" i="71" s="1"/>
  <c r="BM166" i="71"/>
  <c r="BS166" i="71" s="1"/>
  <c r="BF166" i="71"/>
  <c r="BI166" i="71" s="1"/>
  <c r="BP166" i="71"/>
  <c r="BE166" i="71"/>
  <c r="BD166" i="71"/>
  <c r="BA166" i="71"/>
  <c r="BM178" i="71"/>
  <c r="BQ178" i="71" s="1"/>
  <c r="AY178" i="71"/>
  <c r="BF178" i="71"/>
  <c r="BE178" i="71"/>
  <c r="BS178" i="71"/>
  <c r="BP178" i="71"/>
  <c r="BR178" i="71"/>
  <c r="BG178" i="71"/>
  <c r="BN178" i="71"/>
  <c r="BO178" i="71"/>
  <c r="BK178" i="71"/>
  <c r="BL178" i="71"/>
  <c r="BC178" i="71"/>
  <c r="BD178" i="71"/>
  <c r="BI178" i="71"/>
  <c r="BA178" i="71"/>
  <c r="BB178" i="71"/>
  <c r="AZ178" i="71"/>
  <c r="BJ178" i="71"/>
  <c r="BH178" i="71"/>
  <c r="BM190" i="71"/>
  <c r="BQ190" i="71" s="1"/>
  <c r="BD190" i="71"/>
  <c r="AY190" i="71"/>
  <c r="BE190" i="71" s="1"/>
  <c r="BF190" i="71"/>
  <c r="BJ190" i="71" s="1"/>
  <c r="BP190" i="71"/>
  <c r="BS190" i="71"/>
  <c r="BG190" i="71"/>
  <c r="BA190" i="71"/>
  <c r="BI190" i="71"/>
  <c r="AZ190" i="71"/>
  <c r="BK190" i="71"/>
  <c r="BL190" i="71"/>
  <c r="BC190" i="71"/>
  <c r="BH190" i="71"/>
  <c r="BM202" i="71"/>
  <c r="BQ202" i="71" s="1"/>
  <c r="BF202" i="71"/>
  <c r="BI202" i="71" s="1"/>
  <c r="BE202" i="71"/>
  <c r="AY202" i="71"/>
  <c r="BB202" i="71" s="1"/>
  <c r="BL202" i="71"/>
  <c r="BH202" i="71"/>
  <c r="BK202" i="71"/>
  <c r="BN202" i="71"/>
  <c r="BG202" i="71"/>
  <c r="BD202" i="71"/>
  <c r="BJ202" i="71"/>
  <c r="BM214" i="71"/>
  <c r="BF214" i="71"/>
  <c r="BL214" i="71" s="1"/>
  <c r="AY214" i="71"/>
  <c r="BC214" i="71" s="1"/>
  <c r="BQ214" i="71"/>
  <c r="BN214" i="71"/>
  <c r="BR214" i="71"/>
  <c r="BO214" i="71"/>
  <c r="BP214" i="71"/>
  <c r="BI214" i="71"/>
  <c r="BK214" i="71"/>
  <c r="BE214" i="71"/>
  <c r="BS214" i="71"/>
  <c r="BJ214" i="71"/>
  <c r="BA214" i="71"/>
  <c r="BD214" i="71"/>
  <c r="AY74" i="71"/>
  <c r="BB74" i="71" s="1"/>
  <c r="AZ74" i="71"/>
  <c r="BM74" i="71"/>
  <c r="BO74" i="71" s="1"/>
  <c r="BF74" i="71"/>
  <c r="BL74" i="71" s="1"/>
  <c r="BD74" i="71"/>
  <c r="BA74" i="71"/>
  <c r="BF206" i="71"/>
  <c r="BL206" i="71" s="1"/>
  <c r="BB206" i="71"/>
  <c r="BA206" i="71"/>
  <c r="AY206" i="71"/>
  <c r="AZ206" i="71" s="1"/>
  <c r="BM206" i="71"/>
  <c r="BO206" i="71"/>
  <c r="BQ206" i="71"/>
  <c r="BP206" i="71"/>
  <c r="BS206" i="71"/>
  <c r="BR206" i="71"/>
  <c r="BG206" i="71"/>
  <c r="BN206" i="71"/>
  <c r="BD206" i="71"/>
  <c r="BN33" i="71"/>
  <c r="BP33" i="71"/>
  <c r="BF33" i="71"/>
  <c r="BI33" i="71" s="1"/>
  <c r="BM33" i="71"/>
  <c r="BR33" i="71" s="1"/>
  <c r="AY33" i="71"/>
  <c r="BC33" i="71" s="1"/>
  <c r="AZ33" i="71"/>
  <c r="BG33" i="71"/>
  <c r="BD33" i="71"/>
  <c r="BE33" i="71"/>
  <c r="BM81" i="71"/>
  <c r="BN81" i="71" s="1"/>
  <c r="BF81" i="71"/>
  <c r="BG81" i="71" s="1"/>
  <c r="BD81" i="71"/>
  <c r="AY81" i="71"/>
  <c r="BR81" i="71"/>
  <c r="BS81" i="71"/>
  <c r="BQ81" i="71"/>
  <c r="BC81" i="71"/>
  <c r="BB81" i="71"/>
  <c r="BE81" i="71"/>
  <c r="BA81" i="71"/>
  <c r="AZ81" i="71"/>
  <c r="BM129" i="71"/>
  <c r="BF129" i="71"/>
  <c r="BH129" i="71" s="1"/>
  <c r="AY129" i="71"/>
  <c r="BB129" i="71" s="1"/>
  <c r="BO129" i="71"/>
  <c r="BR129" i="71"/>
  <c r="BS129" i="71"/>
  <c r="BN129" i="71"/>
  <c r="BP129" i="71"/>
  <c r="BJ129" i="71"/>
  <c r="BQ129" i="71"/>
  <c r="BI129" i="71"/>
  <c r="AZ129" i="71"/>
  <c r="BE129" i="71"/>
  <c r="BD129" i="71"/>
  <c r="BA129" i="71"/>
  <c r="BC129" i="71"/>
  <c r="BK129" i="71"/>
  <c r="AY177" i="71"/>
  <c r="BA177" i="71" s="1"/>
  <c r="BM177" i="71"/>
  <c r="BQ177" i="71" s="1"/>
  <c r="BF177" i="71"/>
  <c r="BI177" i="71" s="1"/>
  <c r="BJ177" i="71"/>
  <c r="BK177" i="71"/>
  <c r="BP177" i="71"/>
  <c r="BB177" i="71"/>
  <c r="BL177" i="71"/>
  <c r="BH177" i="71"/>
  <c r="AY213" i="71"/>
  <c r="BD213" i="71" s="1"/>
  <c r="BF213" i="71"/>
  <c r="BI213" i="71" s="1"/>
  <c r="BP213" i="71"/>
  <c r="BS213" i="71"/>
  <c r="BM213" i="71"/>
  <c r="BO213" i="71" s="1"/>
  <c r="BQ213" i="71"/>
  <c r="BA213" i="71"/>
  <c r="AY35" i="71"/>
  <c r="BA35" i="71" s="1"/>
  <c r="BJ35" i="71"/>
  <c r="BI35" i="71"/>
  <c r="BM35" i="71"/>
  <c r="BP35" i="71" s="1"/>
  <c r="BF35" i="71"/>
  <c r="BH35" i="71" s="1"/>
  <c r="BL35" i="71"/>
  <c r="BE35" i="71"/>
  <c r="BD35" i="71"/>
  <c r="AZ35" i="71"/>
  <c r="BB35" i="71"/>
  <c r="BM47" i="71"/>
  <c r="BR47" i="71" s="1"/>
  <c r="AY47" i="71"/>
  <c r="BA47" i="71" s="1"/>
  <c r="BF47" i="71"/>
  <c r="BK47" i="71"/>
  <c r="BI47" i="71"/>
  <c r="BQ47" i="71"/>
  <c r="BL47" i="71"/>
  <c r="BJ47" i="71"/>
  <c r="BC47" i="71"/>
  <c r="BE47" i="71"/>
  <c r="BG47" i="71"/>
  <c r="BH47" i="71"/>
  <c r="AZ47" i="71"/>
  <c r="BM59" i="71"/>
  <c r="BQ59" i="71" s="1"/>
  <c r="AY59" i="71"/>
  <c r="BC59" i="71" s="1"/>
  <c r="BF59" i="71"/>
  <c r="BH59" i="71" s="1"/>
  <c r="BG59" i="71"/>
  <c r="BI59" i="71"/>
  <c r="BL59" i="71"/>
  <c r="BJ59" i="71"/>
  <c r="AY71" i="71"/>
  <c r="BD71" i="71" s="1"/>
  <c r="BM71" i="71"/>
  <c r="BO71" i="71" s="1"/>
  <c r="BF71" i="71"/>
  <c r="BI71" i="71" s="1"/>
  <c r="BN71" i="71"/>
  <c r="BP71" i="71"/>
  <c r="BR71" i="71"/>
  <c r="BE71" i="71"/>
  <c r="AZ71" i="71"/>
  <c r="BH71" i="71"/>
  <c r="BA71" i="71"/>
  <c r="BQ71" i="71"/>
  <c r="BC71" i="71"/>
  <c r="BA83" i="71"/>
  <c r="AY83" i="71"/>
  <c r="BM83" i="71"/>
  <c r="BF83" i="71"/>
  <c r="BH83" i="71" s="1"/>
  <c r="BQ83" i="71"/>
  <c r="BP83" i="71"/>
  <c r="BR83" i="71"/>
  <c r="BN83" i="71"/>
  <c r="BK83" i="71"/>
  <c r="BG83" i="71"/>
  <c r="BE83" i="71"/>
  <c r="BC83" i="71"/>
  <c r="BO83" i="71"/>
  <c r="BB83" i="71"/>
  <c r="BS83" i="71"/>
  <c r="BD83" i="71"/>
  <c r="AZ83" i="71"/>
  <c r="BM95" i="71"/>
  <c r="BS95" i="71" s="1"/>
  <c r="AY95" i="71"/>
  <c r="BE95" i="71" s="1"/>
  <c r="BF95" i="71"/>
  <c r="BL95" i="71" s="1"/>
  <c r="BH95" i="71"/>
  <c r="BN95" i="71"/>
  <c r="BG95" i="71"/>
  <c r="BC95" i="71"/>
  <c r="BK95" i="71"/>
  <c r="BM107" i="71"/>
  <c r="BS107" i="71" s="1"/>
  <c r="BF107" i="71"/>
  <c r="BJ107" i="71" s="1"/>
  <c r="BE107" i="71"/>
  <c r="BD107" i="71"/>
  <c r="BC107" i="71"/>
  <c r="BA107" i="71"/>
  <c r="AY107" i="71"/>
  <c r="AZ107" i="71" s="1"/>
  <c r="BB107" i="71"/>
  <c r="BR107" i="71"/>
  <c r="BO107" i="71"/>
  <c r="AY119" i="71"/>
  <c r="BA119" i="71" s="1"/>
  <c r="BE119" i="71"/>
  <c r="BF119" i="71"/>
  <c r="BK119" i="71" s="1"/>
  <c r="BM119" i="71"/>
  <c r="BS119" i="71" s="1"/>
  <c r="BC119" i="71"/>
  <c r="BJ119" i="71"/>
  <c r="BI119" i="71"/>
  <c r="AY131" i="71"/>
  <c r="BE131" i="71" s="1"/>
  <c r="BF131" i="71"/>
  <c r="BM131" i="71"/>
  <c r="BR131" i="71" s="1"/>
  <c r="BQ131" i="71"/>
  <c r="BN131" i="71"/>
  <c r="BS131" i="71"/>
  <c r="BK131" i="71"/>
  <c r="BJ131" i="71"/>
  <c r="BI131" i="71"/>
  <c r="BG131" i="71"/>
  <c r="AZ131" i="71"/>
  <c r="BL131" i="71"/>
  <c r="BC131" i="71"/>
  <c r="BP131" i="71"/>
  <c r="BB131" i="71"/>
  <c r="BH131" i="71"/>
  <c r="BM143" i="71"/>
  <c r="BR143" i="71" s="1"/>
  <c r="BC143" i="71"/>
  <c r="BA143" i="71"/>
  <c r="AY143" i="71"/>
  <c r="AZ143" i="71" s="1"/>
  <c r="BF143" i="71"/>
  <c r="BN143" i="71"/>
  <c r="BG143" i="71"/>
  <c r="BB143" i="71"/>
  <c r="BK143" i="71"/>
  <c r="BI143" i="71"/>
  <c r="BH143" i="71"/>
  <c r="BJ143" i="71"/>
  <c r="BE143" i="71"/>
  <c r="BL143" i="71"/>
  <c r="AY155" i="71"/>
  <c r="BE155" i="71" s="1"/>
  <c r="BC155" i="71"/>
  <c r="BM155" i="71"/>
  <c r="BQ155" i="71" s="1"/>
  <c r="BF155" i="71"/>
  <c r="BJ155" i="71" s="1"/>
  <c r="BK155" i="71"/>
  <c r="BP155" i="71"/>
  <c r="BL155" i="71"/>
  <c r="BI155" i="71"/>
  <c r="BG155" i="71"/>
  <c r="BH155" i="71"/>
  <c r="BM167" i="71"/>
  <c r="BF167" i="71"/>
  <c r="BG167" i="71" s="1"/>
  <c r="AY167" i="71"/>
  <c r="BC167" i="71" s="1"/>
  <c r="BR167" i="71"/>
  <c r="BO167" i="71"/>
  <c r="BP167" i="71"/>
  <c r="BQ167" i="71"/>
  <c r="BJ167" i="71"/>
  <c r="BS167" i="71"/>
  <c r="BN167" i="71"/>
  <c r="BK167" i="71"/>
  <c r="BL167" i="71"/>
  <c r="BI167" i="71"/>
  <c r="BD167" i="71"/>
  <c r="BM179" i="71"/>
  <c r="BR179" i="71" s="1"/>
  <c r="BF179" i="71"/>
  <c r="BL179" i="71" s="1"/>
  <c r="AY179" i="71"/>
  <c r="BE179" i="71" s="1"/>
  <c r="BQ179" i="71"/>
  <c r="BN179" i="71"/>
  <c r="BS179" i="71"/>
  <c r="BJ179" i="71"/>
  <c r="BI179" i="71"/>
  <c r="BG179" i="71"/>
  <c r="BK179" i="71"/>
  <c r="BB179" i="71"/>
  <c r="BA179" i="71"/>
  <c r="AZ179" i="71"/>
  <c r="BH179" i="71"/>
  <c r="BF191" i="71"/>
  <c r="BI191" i="71" s="1"/>
  <c r="BE191" i="71"/>
  <c r="BA191" i="71"/>
  <c r="AY191" i="71"/>
  <c r="AZ191" i="71" s="1"/>
  <c r="BM191" i="71"/>
  <c r="BO191" i="71" s="1"/>
  <c r="BR191" i="71"/>
  <c r="BQ191" i="71"/>
  <c r="BN191" i="71"/>
  <c r="BK191" i="71"/>
  <c r="BS191" i="71"/>
  <c r="BB191" i="71"/>
  <c r="BD191" i="71"/>
  <c r="BG191" i="71"/>
  <c r="BH191" i="71"/>
  <c r="BF203" i="71"/>
  <c r="BL203" i="71" s="1"/>
  <c r="AY203" i="71"/>
  <c r="BA203" i="71" s="1"/>
  <c r="BP203" i="71"/>
  <c r="BO203" i="71"/>
  <c r="BQ203" i="71"/>
  <c r="BR203" i="71"/>
  <c r="BJ203" i="71"/>
  <c r="BG203" i="71"/>
  <c r="BM203" i="71"/>
  <c r="BS203" i="71" s="1"/>
  <c r="BH203" i="71"/>
  <c r="BF215" i="71"/>
  <c r="AY215" i="71"/>
  <c r="BM215" i="71"/>
  <c r="BO215" i="71" s="1"/>
  <c r="BN215" i="71"/>
  <c r="BS215" i="71"/>
  <c r="BP215" i="71"/>
  <c r="BQ215" i="71"/>
  <c r="BK215" i="71"/>
  <c r="BR215" i="71"/>
  <c r="BI215" i="71"/>
  <c r="BG215" i="71"/>
  <c r="BL215" i="71"/>
  <c r="BA215" i="71"/>
  <c r="BJ215" i="71"/>
  <c r="BE215" i="71"/>
  <c r="BC215" i="71"/>
  <c r="BD215" i="71"/>
  <c r="AZ215" i="71"/>
  <c r="BH215" i="71"/>
  <c r="BB215" i="71"/>
  <c r="B28" i="110"/>
  <c r="F28" i="110" s="1"/>
  <c r="B8" i="110"/>
  <c r="F8" i="110" s="1"/>
  <c r="B23" i="110"/>
  <c r="B3" i="110"/>
  <c r="B24" i="110"/>
  <c r="B4" i="110"/>
  <c r="B5" i="110"/>
  <c r="B25" i="110"/>
  <c r="B26" i="110"/>
  <c r="B6" i="110"/>
  <c r="B7" i="110"/>
  <c r="B27" i="110"/>
  <c r="EA7" i="71"/>
  <c r="EE7" i="71"/>
  <c r="DY7" i="71"/>
  <c r="DZ7" i="71"/>
  <c r="DF7" i="71"/>
  <c r="DG8" i="71" s="1"/>
  <c r="DD7" i="71"/>
  <c r="DE8" i="71" s="1"/>
  <c r="DB7" i="71"/>
  <c r="DC8" i="71" s="1"/>
  <c r="CZ7" i="71"/>
  <c r="DA8" i="71" s="1"/>
  <c r="CX7" i="71"/>
  <c r="CY8" i="71" s="1"/>
  <c r="DJ7" i="71"/>
  <c r="DK8" i="71" s="1"/>
  <c r="DH7" i="71"/>
  <c r="DI8" i="71" s="1"/>
  <c r="EF7" i="71"/>
  <c r="ED7" i="71"/>
  <c r="EB7" i="71"/>
  <c r="L30" i="110"/>
  <c r="K30" i="110"/>
  <c r="N30" i="110"/>
  <c r="J30" i="110"/>
  <c r="I30" i="110"/>
  <c r="M30" i="110"/>
  <c r="P30" i="110"/>
  <c r="D30" i="110"/>
  <c r="O30" i="110"/>
  <c r="C30" i="110"/>
  <c r="A31" i="110"/>
  <c r="B29" i="110"/>
  <c r="L10" i="110"/>
  <c r="K10" i="110"/>
  <c r="N10" i="110"/>
  <c r="J10" i="110"/>
  <c r="I10" i="110"/>
  <c r="P10" i="110"/>
  <c r="D10" i="110"/>
  <c r="M10" i="110"/>
  <c r="O10" i="110"/>
  <c r="C10" i="110"/>
  <c r="B9" i="110"/>
  <c r="A11" i="110"/>
  <c r="X15" i="109"/>
  <c r="Y15" i="109" s="1"/>
  <c r="X24" i="109"/>
  <c r="Y24" i="109" s="1"/>
  <c r="X29" i="109"/>
  <c r="Y29" i="109" s="1"/>
  <c r="X14" i="109"/>
  <c r="Y14" i="109" s="1"/>
  <c r="X35" i="109"/>
  <c r="Y35" i="109" s="1"/>
  <c r="X18" i="109"/>
  <c r="Y18" i="109" s="1"/>
  <c r="X59" i="109"/>
  <c r="Y59" i="109" s="1"/>
  <c r="X44" i="109"/>
  <c r="Y44" i="109" s="1"/>
  <c r="X43" i="109"/>
  <c r="Y43" i="109" s="1"/>
  <c r="X69" i="109"/>
  <c r="Y69" i="109" s="1"/>
  <c r="X48" i="109"/>
  <c r="Y48" i="109" s="1"/>
  <c r="X32" i="109"/>
  <c r="Y32" i="109" s="1"/>
  <c r="X12" i="109"/>
  <c r="Y12" i="109" s="1"/>
  <c r="X66" i="109"/>
  <c r="Y66" i="109" s="1"/>
  <c r="X76" i="109"/>
  <c r="Y76" i="109" s="1"/>
  <c r="X45" i="109"/>
  <c r="Y45" i="109" s="1"/>
  <c r="X50" i="109"/>
  <c r="Y50" i="109" s="1"/>
  <c r="X61" i="109"/>
  <c r="Y61" i="109" s="1"/>
  <c r="X55" i="109"/>
  <c r="Y55" i="109" s="1"/>
  <c r="X54" i="109"/>
  <c r="Y54" i="109" s="1"/>
  <c r="AC30" i="109"/>
  <c r="AC2" i="109"/>
  <c r="X53" i="109"/>
  <c r="Y53" i="109" s="1"/>
  <c r="X67" i="109"/>
  <c r="Y67" i="109" s="1"/>
  <c r="X39" i="109"/>
  <c r="Y39" i="109" s="1"/>
  <c r="X17" i="109"/>
  <c r="Y17" i="109" s="1"/>
  <c r="X28" i="109"/>
  <c r="Y28" i="109" s="1"/>
  <c r="AC32" i="109"/>
  <c r="AC7" i="109"/>
  <c r="X37" i="109"/>
  <c r="Y37" i="109" s="1"/>
  <c r="X56" i="109"/>
  <c r="Y56" i="109" s="1"/>
  <c r="X73" i="109"/>
  <c r="Y73" i="109" s="1"/>
  <c r="X21" i="109"/>
  <c r="Y21" i="109" s="1"/>
  <c r="X22" i="109"/>
  <c r="Y22" i="109" s="1"/>
  <c r="AC34" i="109"/>
  <c r="AC5" i="109"/>
  <c r="X16" i="109"/>
  <c r="Y16" i="109" s="1"/>
  <c r="X47" i="109"/>
  <c r="Y47" i="109" s="1"/>
  <c r="X49" i="109"/>
  <c r="Y49" i="109" s="1"/>
  <c r="X68" i="109"/>
  <c r="Y68" i="109" s="1"/>
  <c r="X75" i="109"/>
  <c r="Y75" i="109" s="1"/>
  <c r="X62" i="109"/>
  <c r="Y62" i="109" s="1"/>
  <c r="X20" i="109"/>
  <c r="Y20" i="109" s="1"/>
  <c r="X19" i="109"/>
  <c r="Y19" i="109" s="1"/>
  <c r="X58" i="109"/>
  <c r="Y58" i="109" s="1"/>
  <c r="X57" i="109"/>
  <c r="Y57" i="109" s="1"/>
  <c r="X13" i="109"/>
  <c r="Y13" i="109" s="1"/>
  <c r="X63" i="109"/>
  <c r="Y63" i="109" s="1"/>
  <c r="X27" i="109"/>
  <c r="Y27" i="109" s="1"/>
  <c r="X41" i="109"/>
  <c r="Y41" i="109" s="1"/>
  <c r="X42" i="109"/>
  <c r="Y42" i="109" s="1"/>
  <c r="X60" i="109"/>
  <c r="Y60" i="109" s="1"/>
  <c r="AC31" i="109"/>
  <c r="AC6" i="109"/>
  <c r="X36" i="109"/>
  <c r="Y36" i="109" s="1"/>
  <c r="AC8" i="109"/>
  <c r="AC33" i="109"/>
  <c r="X30" i="109"/>
  <c r="Y30" i="109" s="1"/>
  <c r="X52" i="109"/>
  <c r="Y52" i="109" s="1"/>
  <c r="X38" i="109"/>
  <c r="Y38" i="109" s="1"/>
  <c r="X74" i="109"/>
  <c r="Y74" i="109" s="1"/>
  <c r="X78" i="109"/>
  <c r="Y78" i="109" s="1"/>
  <c r="X34" i="109"/>
  <c r="Y34" i="109" s="1"/>
  <c r="AC3" i="109"/>
  <c r="AC27" i="109"/>
  <c r="X65" i="109"/>
  <c r="Y65" i="109" s="1"/>
  <c r="X46" i="109"/>
  <c r="Y46" i="109" s="1"/>
  <c r="AC9" i="109"/>
  <c r="AC28" i="109"/>
  <c r="X10" i="109"/>
  <c r="Y10" i="109" s="1"/>
  <c r="X23" i="109"/>
  <c r="Y23" i="109" s="1"/>
  <c r="X26" i="109"/>
  <c r="Y26" i="109" s="1"/>
  <c r="X77" i="109"/>
  <c r="Y77" i="109" s="1"/>
  <c r="X31" i="109"/>
  <c r="Y31" i="109" s="1"/>
  <c r="X70" i="109"/>
  <c r="Y70" i="109" s="1"/>
  <c r="X51" i="109"/>
  <c r="Y51" i="109" s="1"/>
  <c r="X11" i="109"/>
  <c r="Y11" i="109" s="1"/>
  <c r="AC29" i="109"/>
  <c r="AC4" i="109"/>
  <c r="X25" i="109"/>
  <c r="Y25" i="109" s="1"/>
  <c r="X64" i="109"/>
  <c r="Y64" i="109" s="1"/>
  <c r="X71" i="109"/>
  <c r="Y71" i="109" s="1"/>
  <c r="X40" i="109"/>
  <c r="Y40" i="109" s="1"/>
  <c r="X33" i="109"/>
  <c r="Y33" i="109" s="1"/>
  <c r="X72" i="109"/>
  <c r="Y72" i="109" s="1"/>
  <c r="C21" i="98"/>
  <c r="H7" i="3"/>
  <c r="X51" i="3"/>
  <c r="X55" i="3"/>
  <c r="Y55" i="3" s="1"/>
  <c r="C22" i="98"/>
  <c r="C49" i="98"/>
  <c r="X46" i="3"/>
  <c r="Y46" i="3" s="1"/>
  <c r="C23" i="98"/>
  <c r="C24" i="98"/>
  <c r="X60" i="3"/>
  <c r="X47" i="3"/>
  <c r="C25" i="98"/>
  <c r="X52" i="3"/>
  <c r="Y52" i="3" s="1"/>
  <c r="X48" i="3"/>
  <c r="X53" i="3"/>
  <c r="Y53" i="3" s="1"/>
  <c r="C26" i="98"/>
  <c r="X49" i="3"/>
  <c r="C47" i="98"/>
  <c r="X50" i="3"/>
  <c r="Y50" i="3" s="1"/>
  <c r="X54" i="3"/>
  <c r="Y54" i="3" s="1"/>
  <c r="C48" i="98"/>
  <c r="B104" i="95"/>
  <c r="B88" i="95"/>
  <c r="B104" i="94"/>
  <c r="B88" i="94"/>
  <c r="B89" i="93"/>
  <c r="B104" i="93"/>
  <c r="B88" i="92"/>
  <c r="I87" i="92"/>
  <c r="B103" i="92"/>
  <c r="I102" i="92"/>
  <c r="AR92" i="71"/>
  <c r="AT92" i="71" s="1"/>
  <c r="AR132" i="71"/>
  <c r="AX132" i="71" s="1"/>
  <c r="AR180" i="71"/>
  <c r="AW180" i="71" s="1"/>
  <c r="AR212" i="71"/>
  <c r="AT212" i="71" s="1"/>
  <c r="AR52" i="71"/>
  <c r="AW52" i="71" s="1"/>
  <c r="AR57" i="71"/>
  <c r="AU57" i="71" s="1"/>
  <c r="AR61" i="71"/>
  <c r="AX61" i="71" s="1"/>
  <c r="AR76" i="71"/>
  <c r="AT76" i="71" s="1"/>
  <c r="AR172" i="71"/>
  <c r="AT172" i="71" s="1"/>
  <c r="AR32" i="71"/>
  <c r="AX32" i="71" s="1"/>
  <c r="AR46" i="71"/>
  <c r="AV46" i="71" s="1"/>
  <c r="AR62" i="71"/>
  <c r="AV62" i="71" s="1"/>
  <c r="AR70" i="71"/>
  <c r="AS70" i="71" s="1"/>
  <c r="AR78" i="71"/>
  <c r="AV78" i="71" s="1"/>
  <c r="AR86" i="71"/>
  <c r="AX86" i="71" s="1"/>
  <c r="AR94" i="71"/>
  <c r="AT94" i="71" s="1"/>
  <c r="AR102" i="71"/>
  <c r="AX102" i="71" s="1"/>
  <c r="AR110" i="71"/>
  <c r="AW110" i="71" s="1"/>
  <c r="AR118" i="71"/>
  <c r="AX118" i="71" s="1"/>
  <c r="AR126" i="71"/>
  <c r="AW126" i="71" s="1"/>
  <c r="AR134" i="71"/>
  <c r="AX134" i="71" s="1"/>
  <c r="AR142" i="71"/>
  <c r="AU142" i="71" s="1"/>
  <c r="AR150" i="71"/>
  <c r="AX150" i="71" s="1"/>
  <c r="AR158" i="71"/>
  <c r="AX158" i="71" s="1"/>
  <c r="AR166" i="71"/>
  <c r="AV166" i="71" s="1"/>
  <c r="AR174" i="71"/>
  <c r="AT174" i="71" s="1"/>
  <c r="AR182" i="71"/>
  <c r="AW182" i="71" s="1"/>
  <c r="AR190" i="71"/>
  <c r="AS190" i="71" s="1"/>
  <c r="AR198" i="71"/>
  <c r="AU198" i="71" s="1"/>
  <c r="AR206" i="71"/>
  <c r="AU206" i="71" s="1"/>
  <c r="AR214" i="71"/>
  <c r="AU214" i="71" s="1"/>
  <c r="AR222" i="71"/>
  <c r="AU222" i="71" s="1"/>
  <c r="AR68" i="71"/>
  <c r="AS68" i="71" s="1"/>
  <c r="AR116" i="71"/>
  <c r="AS116" i="71" s="1"/>
  <c r="AR148" i="71"/>
  <c r="AW148" i="71" s="1"/>
  <c r="AR196" i="71"/>
  <c r="AT196" i="71" s="1"/>
  <c r="AR28" i="71"/>
  <c r="AS28" i="71" s="1"/>
  <c r="AR40" i="71"/>
  <c r="AV40" i="71" s="1"/>
  <c r="AR44" i="71"/>
  <c r="AV44" i="71" s="1"/>
  <c r="AR50" i="71"/>
  <c r="AV50" i="71" s="1"/>
  <c r="AR55" i="71"/>
  <c r="AX55" i="71" s="1"/>
  <c r="AR58" i="71"/>
  <c r="AS58" i="71" s="1"/>
  <c r="AR60" i="71"/>
  <c r="AW60" i="71" s="1"/>
  <c r="AR100" i="71"/>
  <c r="AV100" i="71" s="1"/>
  <c r="AR140" i="71"/>
  <c r="AS140" i="71" s="1"/>
  <c r="AR204" i="71"/>
  <c r="AT204" i="71" s="1"/>
  <c r="AR34" i="71"/>
  <c r="AV34" i="71" s="1"/>
  <c r="AR64" i="71"/>
  <c r="AT64" i="71" s="1"/>
  <c r="AR72" i="71"/>
  <c r="AS72" i="71" s="1"/>
  <c r="AR80" i="71"/>
  <c r="AX80" i="71" s="1"/>
  <c r="AR88" i="71"/>
  <c r="AU88" i="71" s="1"/>
  <c r="AR96" i="71"/>
  <c r="AU96" i="71" s="1"/>
  <c r="AR104" i="71"/>
  <c r="AV104" i="71" s="1"/>
  <c r="AR112" i="71"/>
  <c r="AS112" i="71" s="1"/>
  <c r="AR120" i="71"/>
  <c r="AV120" i="71" s="1"/>
  <c r="AR128" i="71"/>
  <c r="AU128" i="71" s="1"/>
  <c r="AR136" i="71"/>
  <c r="AT136" i="71" s="1"/>
  <c r="AR144" i="71"/>
  <c r="AX144" i="71" s="1"/>
  <c r="AR152" i="71"/>
  <c r="AW152" i="71" s="1"/>
  <c r="AR160" i="71"/>
  <c r="AV160" i="71" s="1"/>
  <c r="AR168" i="71"/>
  <c r="AT168" i="71" s="1"/>
  <c r="AR176" i="71"/>
  <c r="AS176" i="71" s="1"/>
  <c r="AR184" i="71"/>
  <c r="AU184" i="71" s="1"/>
  <c r="AR192" i="71"/>
  <c r="AU192" i="71" s="1"/>
  <c r="AR200" i="71"/>
  <c r="AU200" i="71" s="1"/>
  <c r="AR208" i="71"/>
  <c r="AS208" i="71" s="1"/>
  <c r="AR216" i="71"/>
  <c r="AT216" i="71" s="1"/>
  <c r="AR84" i="71"/>
  <c r="AW84" i="71" s="1"/>
  <c r="AR124" i="71"/>
  <c r="AU124" i="71" s="1"/>
  <c r="AR164" i="71"/>
  <c r="AU164" i="71" s="1"/>
  <c r="AR188" i="71"/>
  <c r="AU188" i="71" s="1"/>
  <c r="AR30" i="71"/>
  <c r="AV30" i="71" s="1"/>
  <c r="AR36" i="71"/>
  <c r="AV36" i="71" s="1"/>
  <c r="AR42" i="71"/>
  <c r="AX42" i="71" s="1"/>
  <c r="AR48" i="71"/>
  <c r="AS48" i="71" s="1"/>
  <c r="AR53" i="71"/>
  <c r="AV53" i="71" s="1"/>
  <c r="AR56" i="71"/>
  <c r="AW56" i="71" s="1"/>
  <c r="AR54" i="71"/>
  <c r="AX54" i="71" s="1"/>
  <c r="AR108" i="71"/>
  <c r="AX108" i="71" s="1"/>
  <c r="AR156" i="71"/>
  <c r="AU156" i="71" s="1"/>
  <c r="AR220" i="71"/>
  <c r="AU220" i="71" s="1"/>
  <c r="AR26" i="71"/>
  <c r="AX26" i="71" s="1"/>
  <c r="AR38" i="71"/>
  <c r="AT38" i="71" s="1"/>
  <c r="AR27" i="71"/>
  <c r="AT27" i="71" s="1"/>
  <c r="AR29" i="71"/>
  <c r="AX29" i="71" s="1"/>
  <c r="AR33" i="71"/>
  <c r="AS33" i="71" s="1"/>
  <c r="AR35" i="71"/>
  <c r="AX35" i="71" s="1"/>
  <c r="AR37" i="71"/>
  <c r="AT37" i="71" s="1"/>
  <c r="AR39" i="71"/>
  <c r="AS39" i="71" s="1"/>
  <c r="AR41" i="71"/>
  <c r="AX41" i="71" s="1"/>
  <c r="AR43" i="71"/>
  <c r="AW43" i="71" s="1"/>
  <c r="AR45" i="71"/>
  <c r="AV45" i="71" s="1"/>
  <c r="AR47" i="71"/>
  <c r="AS47" i="71" s="1"/>
  <c r="AR49" i="71"/>
  <c r="AS49" i="71" s="1"/>
  <c r="AR51" i="71"/>
  <c r="AU51" i="71" s="1"/>
  <c r="AR59" i="71"/>
  <c r="AX59" i="71" s="1"/>
  <c r="AR66" i="71"/>
  <c r="AX66" i="71" s="1"/>
  <c r="AR74" i="71"/>
  <c r="AW74" i="71" s="1"/>
  <c r="AR82" i="71"/>
  <c r="AX82" i="71" s="1"/>
  <c r="AR90" i="71"/>
  <c r="AX90" i="71" s="1"/>
  <c r="AR98" i="71"/>
  <c r="AV98" i="71" s="1"/>
  <c r="AR106" i="71"/>
  <c r="AV106" i="71" s="1"/>
  <c r="AR114" i="71"/>
  <c r="AT114" i="71" s="1"/>
  <c r="AR122" i="71"/>
  <c r="AX122" i="71" s="1"/>
  <c r="AR130" i="71"/>
  <c r="AV130" i="71" s="1"/>
  <c r="AR138" i="71"/>
  <c r="AT138" i="71" s="1"/>
  <c r="AR146" i="71"/>
  <c r="AT146" i="71" s="1"/>
  <c r="AR154" i="71"/>
  <c r="AS154" i="71" s="1"/>
  <c r="AR162" i="71"/>
  <c r="AT162" i="71" s="1"/>
  <c r="AR170" i="71"/>
  <c r="AS170" i="71" s="1"/>
  <c r="AR178" i="71"/>
  <c r="AX178" i="71" s="1"/>
  <c r="AR186" i="71"/>
  <c r="AX186" i="71" s="1"/>
  <c r="AR194" i="71"/>
  <c r="AX194" i="71" s="1"/>
  <c r="AR202" i="71"/>
  <c r="AT202" i="71" s="1"/>
  <c r="AR210" i="71"/>
  <c r="AU210" i="71" s="1"/>
  <c r="AR218" i="71"/>
  <c r="AU218" i="71" s="1"/>
  <c r="AR63" i="71"/>
  <c r="AS63" i="71" s="1"/>
  <c r="AR65" i="71"/>
  <c r="AT65" i="71" s="1"/>
  <c r="AR67" i="71"/>
  <c r="AT67" i="71" s="1"/>
  <c r="AR69" i="71"/>
  <c r="AV69" i="71" s="1"/>
  <c r="AR71" i="71"/>
  <c r="AT71" i="71" s="1"/>
  <c r="AR73" i="71"/>
  <c r="AX73" i="71" s="1"/>
  <c r="AR75" i="71"/>
  <c r="AS75" i="71" s="1"/>
  <c r="AR77" i="71"/>
  <c r="AX77" i="71" s="1"/>
  <c r="AR79" i="71"/>
  <c r="AV79" i="71" s="1"/>
  <c r="AR81" i="71"/>
  <c r="AT81" i="71" s="1"/>
  <c r="AR83" i="71"/>
  <c r="AV83" i="71" s="1"/>
  <c r="AR85" i="71"/>
  <c r="AV85" i="71" s="1"/>
  <c r="AR87" i="71"/>
  <c r="AW87" i="71" s="1"/>
  <c r="AR89" i="71"/>
  <c r="AX89" i="71" s="1"/>
  <c r="AR91" i="71"/>
  <c r="AT91" i="71" s="1"/>
  <c r="AR93" i="71"/>
  <c r="AT93" i="71" s="1"/>
  <c r="AR95" i="71"/>
  <c r="AS95" i="71" s="1"/>
  <c r="AR97" i="71"/>
  <c r="AS97" i="71" s="1"/>
  <c r="AR99" i="71"/>
  <c r="AV99" i="71" s="1"/>
  <c r="AR101" i="71"/>
  <c r="AV101" i="71" s="1"/>
  <c r="AR103" i="71"/>
  <c r="AT103" i="71" s="1"/>
  <c r="AR105" i="71"/>
  <c r="AT105" i="71" s="1"/>
  <c r="AR107" i="71"/>
  <c r="AX107" i="71" s="1"/>
  <c r="AR109" i="71"/>
  <c r="AT109" i="71" s="1"/>
  <c r="AR111" i="71"/>
  <c r="AS111" i="71" s="1"/>
  <c r="AR113" i="71"/>
  <c r="AW113" i="71" s="1"/>
  <c r="AR115" i="71"/>
  <c r="AV115" i="71" s="1"/>
  <c r="AR117" i="71"/>
  <c r="AV117" i="71" s="1"/>
  <c r="AR119" i="71"/>
  <c r="AU119" i="71" s="1"/>
  <c r="AR121" i="71"/>
  <c r="AU121" i="71" s="1"/>
  <c r="AR123" i="71"/>
  <c r="AT123" i="71" s="1"/>
  <c r="AR125" i="71"/>
  <c r="AS125" i="71" s="1"/>
  <c r="AR127" i="71"/>
  <c r="AW127" i="71" s="1"/>
  <c r="AR129" i="71"/>
  <c r="AU129" i="71" s="1"/>
  <c r="AR131" i="71"/>
  <c r="AS131" i="71" s="1"/>
  <c r="AR133" i="71"/>
  <c r="AW133" i="71" s="1"/>
  <c r="AR135" i="71"/>
  <c r="AX135" i="71" s="1"/>
  <c r="AR137" i="71"/>
  <c r="AT137" i="71" s="1"/>
  <c r="AR139" i="71"/>
  <c r="AU139" i="71" s="1"/>
  <c r="AR141" i="71"/>
  <c r="AX141" i="71" s="1"/>
  <c r="AR143" i="71"/>
  <c r="AW143" i="71" s="1"/>
  <c r="AR145" i="71"/>
  <c r="AU145" i="71" s="1"/>
  <c r="AR147" i="71"/>
  <c r="AW147" i="71" s="1"/>
  <c r="AR149" i="71"/>
  <c r="AW149" i="71" s="1"/>
  <c r="AR151" i="71"/>
  <c r="AX151" i="71" s="1"/>
  <c r="AR153" i="71"/>
  <c r="AT153" i="71" s="1"/>
  <c r="AR155" i="71"/>
  <c r="AV155" i="71" s="1"/>
  <c r="AR157" i="71"/>
  <c r="AX157" i="71" s="1"/>
  <c r="AR159" i="71"/>
  <c r="AW159" i="71" s="1"/>
  <c r="AR161" i="71"/>
  <c r="AW161" i="71" s="1"/>
  <c r="AR163" i="71"/>
  <c r="AW163" i="71" s="1"/>
  <c r="AR165" i="71"/>
  <c r="AW165" i="71" s="1"/>
  <c r="AR167" i="71"/>
  <c r="AX167" i="71" s="1"/>
  <c r="AR169" i="71"/>
  <c r="AV169" i="71" s="1"/>
  <c r="AR171" i="71"/>
  <c r="AV171" i="71" s="1"/>
  <c r="AR173" i="71"/>
  <c r="AX173" i="71" s="1"/>
  <c r="AR175" i="71"/>
  <c r="AW175" i="71" s="1"/>
  <c r="AR177" i="71"/>
  <c r="AW177" i="71" s="1"/>
  <c r="AR179" i="71"/>
  <c r="AW179" i="71" s="1"/>
  <c r="AR181" i="71"/>
  <c r="AW181" i="71" s="1"/>
  <c r="AR183" i="71"/>
  <c r="AX183" i="71" s="1"/>
  <c r="AR185" i="71"/>
  <c r="AT185" i="71" s="1"/>
  <c r="AR187" i="71"/>
  <c r="AV187" i="71" s="1"/>
  <c r="AR189" i="71"/>
  <c r="AX189" i="71" s="1"/>
  <c r="AR191" i="71"/>
  <c r="AW191" i="71" s="1"/>
  <c r="AR193" i="71"/>
  <c r="AV193" i="71" s="1"/>
  <c r="AR195" i="71"/>
  <c r="AU195" i="71" s="1"/>
  <c r="AR197" i="71"/>
  <c r="AX197" i="71" s="1"/>
  <c r="AR199" i="71"/>
  <c r="AS199" i="71" s="1"/>
  <c r="AR201" i="71"/>
  <c r="AS201" i="71" s="1"/>
  <c r="AR203" i="71"/>
  <c r="AX203" i="71" s="1"/>
  <c r="AR205" i="71"/>
  <c r="AT205" i="71" s="1"/>
  <c r="AR207" i="71"/>
  <c r="AU207" i="71" s="1"/>
  <c r="AR209" i="71"/>
  <c r="AV209" i="71" s="1"/>
  <c r="AR211" i="71"/>
  <c r="AT211" i="71" s="1"/>
  <c r="AR213" i="71"/>
  <c r="AX213" i="71" s="1"/>
  <c r="AR215" i="71"/>
  <c r="AS215" i="71" s="1"/>
  <c r="AR217" i="71"/>
  <c r="AS217" i="71" s="1"/>
  <c r="AR219" i="71"/>
  <c r="AX219" i="71" s="1"/>
  <c r="AR221" i="71"/>
  <c r="AT221" i="71" s="1"/>
  <c r="AR223" i="71"/>
  <c r="AW223" i="71" s="1"/>
  <c r="O72" i="49"/>
  <c r="G72" i="49"/>
  <c r="Q85" i="49" s="1"/>
  <c r="K36" i="49"/>
  <c r="B57" i="3"/>
  <c r="C57" i="3"/>
  <c r="C59" i="3"/>
  <c r="C39" i="49"/>
  <c r="Y51" i="3"/>
  <c r="B59" i="3"/>
  <c r="C47" i="3"/>
  <c r="B38" i="113" s="1"/>
  <c r="AI13" i="3"/>
  <c r="C37" i="49"/>
  <c r="B56" i="3"/>
  <c r="Y60" i="3"/>
  <c r="C48" i="3"/>
  <c r="B39" i="113" s="1"/>
  <c r="C56" i="3"/>
  <c r="C38" i="49"/>
  <c r="AI14" i="3"/>
  <c r="C49" i="3"/>
  <c r="B40" i="113" s="1"/>
  <c r="B58" i="3"/>
  <c r="C58" i="3"/>
  <c r="AI15" i="3"/>
  <c r="BY43" i="71"/>
  <c r="BX46" i="71"/>
  <c r="BY42" i="71"/>
  <c r="CE46" i="71"/>
  <c r="BW46" i="71"/>
  <c r="BW42" i="71"/>
  <c r="BX45" i="71"/>
  <c r="BZ45" i="71"/>
  <c r="BZ47" i="71"/>
  <c r="BW43" i="71"/>
  <c r="CF47" i="71"/>
  <c r="BX47" i="71"/>
  <c r="BX43" i="71"/>
  <c r="BW44" i="71"/>
  <c r="BY46" i="71"/>
  <c r="CA45" i="71"/>
  <c r="BW47" i="71"/>
  <c r="CA42" i="71"/>
  <c r="BW45" i="71"/>
  <c r="CH42" i="71"/>
  <c r="BZ42" i="71"/>
  <c r="CH44" i="71"/>
  <c r="BZ44" i="71"/>
  <c r="CH46" i="71"/>
  <c r="BZ46" i="71"/>
  <c r="AK26" i="71"/>
  <c r="AK28" i="71"/>
  <c r="AK30" i="71"/>
  <c r="AK32" i="71"/>
  <c r="AK34" i="71"/>
  <c r="AK36" i="71"/>
  <c r="AK38" i="71"/>
  <c r="AK40" i="71"/>
  <c r="AK42" i="71"/>
  <c r="AK44" i="71"/>
  <c r="AK46" i="71"/>
  <c r="AK48" i="71"/>
  <c r="AK50" i="71"/>
  <c r="AK52" i="71"/>
  <c r="AK54" i="71"/>
  <c r="AK56" i="71"/>
  <c r="AK58" i="71"/>
  <c r="AK60" i="71"/>
  <c r="AK62" i="71"/>
  <c r="AK64" i="71"/>
  <c r="AK66" i="71"/>
  <c r="AK68" i="71"/>
  <c r="AK70" i="71"/>
  <c r="AK72" i="71"/>
  <c r="AK74" i="71"/>
  <c r="AK76" i="71"/>
  <c r="AK78" i="71"/>
  <c r="AK80" i="71"/>
  <c r="AK82" i="71"/>
  <c r="AK84" i="71"/>
  <c r="AK86" i="71"/>
  <c r="AK88" i="71"/>
  <c r="AK90" i="71"/>
  <c r="AK92" i="71"/>
  <c r="AK94" i="71"/>
  <c r="AK96" i="71"/>
  <c r="AK98" i="71"/>
  <c r="AK100" i="71"/>
  <c r="AK102" i="71"/>
  <c r="AK104" i="71"/>
  <c r="AK106" i="71"/>
  <c r="AK108" i="71"/>
  <c r="AK110" i="71"/>
  <c r="AK112" i="71"/>
  <c r="AK114" i="71"/>
  <c r="AK116" i="71"/>
  <c r="AK118" i="71"/>
  <c r="AK120" i="71"/>
  <c r="AK122" i="71"/>
  <c r="AK124" i="71"/>
  <c r="AK126" i="71"/>
  <c r="AK128" i="71"/>
  <c r="AK130" i="71"/>
  <c r="AK132" i="71"/>
  <c r="AK134" i="71"/>
  <c r="AK136" i="71"/>
  <c r="AK138" i="71"/>
  <c r="AK140" i="71"/>
  <c r="AK142" i="71"/>
  <c r="AK144" i="71"/>
  <c r="AK146" i="71"/>
  <c r="AK148" i="71"/>
  <c r="AK150" i="71"/>
  <c r="AK152" i="71"/>
  <c r="AK154" i="71"/>
  <c r="AK156" i="71"/>
  <c r="AK158" i="71"/>
  <c r="AK160" i="71"/>
  <c r="AK162" i="71"/>
  <c r="AK164" i="71"/>
  <c r="AK166" i="71"/>
  <c r="AK168" i="71"/>
  <c r="AK170" i="71"/>
  <c r="AK172" i="71"/>
  <c r="AK174" i="71"/>
  <c r="AK176" i="71"/>
  <c r="AK178" i="71"/>
  <c r="AK180" i="71"/>
  <c r="AK182" i="71"/>
  <c r="AK184" i="71"/>
  <c r="AK186" i="71"/>
  <c r="AK188" i="71"/>
  <c r="AK190" i="71"/>
  <c r="AK192" i="71"/>
  <c r="AK194" i="71"/>
  <c r="AK196" i="71"/>
  <c r="AK198" i="71"/>
  <c r="AK200" i="71"/>
  <c r="AK202" i="71"/>
  <c r="AK204" i="71"/>
  <c r="AK206" i="71"/>
  <c r="AK208" i="71"/>
  <c r="AK210" i="71"/>
  <c r="AK212" i="71"/>
  <c r="AK214" i="71"/>
  <c r="AK216" i="71"/>
  <c r="AK218" i="71"/>
  <c r="AK220" i="71"/>
  <c r="AK222" i="71"/>
  <c r="CA47" i="71"/>
  <c r="BX42" i="71"/>
  <c r="CA43" i="71"/>
  <c r="BZ43" i="71"/>
  <c r="BY47" i="71"/>
  <c r="BY45" i="71"/>
  <c r="CA46" i="71"/>
  <c r="AK27" i="71"/>
  <c r="AK29" i="71"/>
  <c r="AK33" i="71"/>
  <c r="AK35" i="71"/>
  <c r="AK37" i="71"/>
  <c r="AK39" i="71"/>
  <c r="AK41" i="71"/>
  <c r="AK43" i="71"/>
  <c r="AK45" i="71"/>
  <c r="AK47" i="71"/>
  <c r="AK49" i="71"/>
  <c r="AK51" i="71"/>
  <c r="AK53" i="71"/>
  <c r="AK55" i="71"/>
  <c r="AK57" i="71"/>
  <c r="AK59" i="71"/>
  <c r="AK61" i="71"/>
  <c r="AK63" i="71"/>
  <c r="AK65" i="71"/>
  <c r="AK67" i="71"/>
  <c r="AK69" i="71"/>
  <c r="AK71" i="71"/>
  <c r="AK73" i="71"/>
  <c r="AK75" i="71"/>
  <c r="AK77" i="71"/>
  <c r="AK79" i="71"/>
  <c r="AK81" i="71"/>
  <c r="AK83" i="71"/>
  <c r="AK85" i="71"/>
  <c r="AK87" i="71"/>
  <c r="AK89" i="71"/>
  <c r="AK91" i="71"/>
  <c r="AK93" i="71"/>
  <c r="AK95" i="71"/>
  <c r="AK97" i="71"/>
  <c r="AK99" i="71"/>
  <c r="AK101" i="71"/>
  <c r="AK103" i="71"/>
  <c r="AK105" i="71"/>
  <c r="AK107" i="71"/>
  <c r="AK109" i="71"/>
  <c r="AK111" i="71"/>
  <c r="AK113" i="71"/>
  <c r="AK115" i="71"/>
  <c r="AK117" i="71"/>
  <c r="AK119" i="71"/>
  <c r="AK121" i="71"/>
  <c r="AK123" i="71"/>
  <c r="AK125" i="71"/>
  <c r="AK127" i="71"/>
  <c r="AK129" i="71"/>
  <c r="AK131" i="71"/>
  <c r="AK133" i="71"/>
  <c r="AK135" i="71"/>
  <c r="AK137" i="71"/>
  <c r="AK139" i="71"/>
  <c r="AK141" i="71"/>
  <c r="AK143" i="71"/>
  <c r="AK145" i="71"/>
  <c r="AK147" i="71"/>
  <c r="AK149" i="71"/>
  <c r="AK151" i="71"/>
  <c r="AK153" i="71"/>
  <c r="AK155" i="71"/>
  <c r="AK157" i="71"/>
  <c r="AK159" i="71"/>
  <c r="AK161" i="71"/>
  <c r="AK163" i="71"/>
  <c r="AK165" i="71"/>
  <c r="AK167" i="71"/>
  <c r="AK169" i="71"/>
  <c r="AK171" i="71"/>
  <c r="AK173" i="71"/>
  <c r="AK175" i="71"/>
  <c r="AK177" i="71"/>
  <c r="AK179" i="71"/>
  <c r="AK181" i="71"/>
  <c r="AK183" i="71"/>
  <c r="AK185" i="71"/>
  <c r="AK187" i="71"/>
  <c r="AK189" i="71"/>
  <c r="AK191" i="71"/>
  <c r="AK193" i="71"/>
  <c r="AK195" i="71"/>
  <c r="AK197" i="71"/>
  <c r="AK199" i="71"/>
  <c r="AK201" i="71"/>
  <c r="AK203" i="71"/>
  <c r="AK205" i="71"/>
  <c r="AK207" i="71"/>
  <c r="AK209" i="71"/>
  <c r="AK211" i="71"/>
  <c r="AK213" i="71"/>
  <c r="AK215" i="71"/>
  <c r="AK217" i="71"/>
  <c r="AK219" i="71"/>
  <c r="AK221" i="71"/>
  <c r="AK223" i="71"/>
  <c r="CA44" i="71"/>
  <c r="BY44" i="71"/>
  <c r="BX44" i="71"/>
  <c r="DV7" i="71"/>
  <c r="EC7" i="71" s="1"/>
  <c r="CT8" i="71"/>
  <c r="CV7" i="71"/>
  <c r="CW8" i="71" s="1"/>
  <c r="AD27" i="71"/>
  <c r="AJ27" i="71" s="1"/>
  <c r="W27" i="71"/>
  <c r="P27" i="71"/>
  <c r="T27" i="71" s="1"/>
  <c r="AD29" i="71"/>
  <c r="AI29" i="71" s="1"/>
  <c r="W29" i="71"/>
  <c r="P29" i="71"/>
  <c r="R29" i="71" s="1"/>
  <c r="AD33" i="71"/>
  <c r="AF33" i="71" s="1"/>
  <c r="W33" i="71"/>
  <c r="P33" i="71"/>
  <c r="S33" i="71" s="1"/>
  <c r="AD35" i="71"/>
  <c r="AG35" i="71" s="1"/>
  <c r="W35" i="71"/>
  <c r="P35" i="71"/>
  <c r="AD37" i="71"/>
  <c r="W37" i="71"/>
  <c r="AC37" i="71" s="1"/>
  <c r="P37" i="71"/>
  <c r="V37" i="71" s="1"/>
  <c r="W39" i="71"/>
  <c r="AD39" i="71"/>
  <c r="AH39" i="71" s="1"/>
  <c r="P39" i="71"/>
  <c r="AD41" i="71"/>
  <c r="AH41" i="71" s="1"/>
  <c r="P41" i="71"/>
  <c r="U41" i="71" s="1"/>
  <c r="W41" i="71"/>
  <c r="X41" i="71" s="1"/>
  <c r="AD43" i="71"/>
  <c r="AJ43" i="71" s="1"/>
  <c r="W43" i="71"/>
  <c r="P43" i="71"/>
  <c r="AD45" i="71"/>
  <c r="AE45" i="71" s="1"/>
  <c r="W45" i="71"/>
  <c r="P45" i="71"/>
  <c r="S45" i="71" s="1"/>
  <c r="AD47" i="71"/>
  <c r="W47" i="71"/>
  <c r="Y47" i="71" s="1"/>
  <c r="P47" i="71"/>
  <c r="R47" i="71" s="1"/>
  <c r="AD49" i="71"/>
  <c r="AE49" i="71" s="1"/>
  <c r="W49" i="71"/>
  <c r="P49" i="71"/>
  <c r="AD51" i="71"/>
  <c r="W51" i="71"/>
  <c r="P51" i="71"/>
  <c r="AD53" i="71"/>
  <c r="W53" i="71"/>
  <c r="AA53" i="71" s="1"/>
  <c r="P53" i="71"/>
  <c r="T53" i="71" s="1"/>
  <c r="W55" i="71"/>
  <c r="AD55" i="71"/>
  <c r="P55" i="71"/>
  <c r="R55" i="71" s="1"/>
  <c r="AD57" i="71"/>
  <c r="W57" i="71"/>
  <c r="P57" i="71"/>
  <c r="AD59" i="71"/>
  <c r="AJ59" i="71" s="1"/>
  <c r="W59" i="71"/>
  <c r="AC59" i="71" s="1"/>
  <c r="P59" i="71"/>
  <c r="AD61" i="71"/>
  <c r="AE61" i="71" s="1"/>
  <c r="W61" i="71"/>
  <c r="Z61" i="71" s="1"/>
  <c r="P61" i="71"/>
  <c r="Q61" i="71" s="1"/>
  <c r="AD63" i="71"/>
  <c r="AJ63" i="71" s="1"/>
  <c r="W63" i="71"/>
  <c r="P63" i="71"/>
  <c r="Q63" i="71" s="1"/>
  <c r="AD65" i="71"/>
  <c r="AG65" i="71" s="1"/>
  <c r="W65" i="71"/>
  <c r="P65" i="71"/>
  <c r="AD67" i="71"/>
  <c r="W67" i="71"/>
  <c r="X67" i="71" s="1"/>
  <c r="P67" i="71"/>
  <c r="Q67" i="71" s="1"/>
  <c r="AD69" i="71"/>
  <c r="W69" i="71"/>
  <c r="AB69" i="71" s="1"/>
  <c r="P69" i="71"/>
  <c r="Q69" i="71" s="1"/>
  <c r="W71" i="71"/>
  <c r="AC71" i="71" s="1"/>
  <c r="AD71" i="71"/>
  <c r="AI71" i="71" s="1"/>
  <c r="P71" i="71"/>
  <c r="AD73" i="71"/>
  <c r="P73" i="71"/>
  <c r="V73" i="71" s="1"/>
  <c r="W73" i="71"/>
  <c r="X73" i="71" s="1"/>
  <c r="AD75" i="71"/>
  <c r="W75" i="71"/>
  <c r="AB75" i="71" s="1"/>
  <c r="P75" i="71"/>
  <c r="R75" i="71" s="1"/>
  <c r="AD77" i="71"/>
  <c r="AE77" i="71" s="1"/>
  <c r="W77" i="71"/>
  <c r="P77" i="71"/>
  <c r="Q77" i="71" s="1"/>
  <c r="AD79" i="71"/>
  <c r="W79" i="71"/>
  <c r="Z79" i="71" s="1"/>
  <c r="P79" i="71"/>
  <c r="R79" i="71" s="1"/>
  <c r="AD81" i="71"/>
  <c r="AG81" i="71" s="1"/>
  <c r="W81" i="71"/>
  <c r="P81" i="71"/>
  <c r="AD83" i="71"/>
  <c r="W83" i="71"/>
  <c r="P83" i="71"/>
  <c r="AD85" i="71"/>
  <c r="W85" i="71"/>
  <c r="AB85" i="71" s="1"/>
  <c r="P85" i="71"/>
  <c r="R85" i="71" s="1"/>
  <c r="AD87" i="71"/>
  <c r="AF87" i="71" s="1"/>
  <c r="W87" i="71"/>
  <c r="AB87" i="71" s="1"/>
  <c r="P87" i="71"/>
  <c r="U87" i="71" s="1"/>
  <c r="AD89" i="71"/>
  <c r="AI89" i="71" s="1"/>
  <c r="W89" i="71"/>
  <c r="P89" i="71"/>
  <c r="AD91" i="71"/>
  <c r="W91" i="71"/>
  <c r="AC91" i="71" s="1"/>
  <c r="P91" i="71"/>
  <c r="T91" i="71" s="1"/>
  <c r="AD93" i="71"/>
  <c r="W93" i="71"/>
  <c r="AA93" i="71" s="1"/>
  <c r="P93" i="71"/>
  <c r="S93" i="71" s="1"/>
  <c r="AD95" i="71"/>
  <c r="AE95" i="71" s="1"/>
  <c r="W95" i="71"/>
  <c r="P95" i="71"/>
  <c r="R95" i="71" s="1"/>
  <c r="AD97" i="71"/>
  <c r="W97" i="71"/>
  <c r="AB97" i="71" s="1"/>
  <c r="P97" i="71"/>
  <c r="U97" i="71" s="1"/>
  <c r="AD99" i="71"/>
  <c r="AH99" i="71" s="1"/>
  <c r="W99" i="71"/>
  <c r="AB99" i="71" s="1"/>
  <c r="P99" i="71"/>
  <c r="U99" i="71" s="1"/>
  <c r="AD101" i="71"/>
  <c r="AJ101" i="71" s="1"/>
  <c r="W101" i="71"/>
  <c r="AA101" i="71" s="1"/>
  <c r="P101" i="71"/>
  <c r="T101" i="71" s="1"/>
  <c r="AD103" i="71"/>
  <c r="AI103" i="71" s="1"/>
  <c r="W103" i="71"/>
  <c r="P103" i="71"/>
  <c r="Q103" i="71" s="1"/>
  <c r="AD105" i="71"/>
  <c r="AG105" i="71" s="1"/>
  <c r="W105" i="71"/>
  <c r="P105" i="71"/>
  <c r="AD107" i="71"/>
  <c r="W107" i="71"/>
  <c r="P107" i="71"/>
  <c r="Q107" i="71" s="1"/>
  <c r="AD109" i="71"/>
  <c r="AF109" i="71" s="1"/>
  <c r="W109" i="71"/>
  <c r="P109" i="71"/>
  <c r="V109" i="71" s="1"/>
  <c r="AD111" i="71"/>
  <c r="W111" i="71"/>
  <c r="AA111" i="71" s="1"/>
  <c r="P111" i="71"/>
  <c r="AD113" i="71"/>
  <c r="W113" i="71"/>
  <c r="AA113" i="71" s="1"/>
  <c r="P113" i="71"/>
  <c r="R113" i="71" s="1"/>
  <c r="AD115" i="71"/>
  <c r="W115" i="71"/>
  <c r="Z115" i="71" s="1"/>
  <c r="P115" i="71"/>
  <c r="U115" i="71" s="1"/>
  <c r="AD117" i="71"/>
  <c r="W117" i="71"/>
  <c r="Z117" i="71" s="1"/>
  <c r="P117" i="71"/>
  <c r="AD119" i="71"/>
  <c r="W119" i="71"/>
  <c r="Y119" i="71" s="1"/>
  <c r="P119" i="71"/>
  <c r="V119" i="71" s="1"/>
  <c r="AD121" i="71"/>
  <c r="AH121" i="71" s="1"/>
  <c r="W121" i="71"/>
  <c r="Z121" i="71" s="1"/>
  <c r="P121" i="71"/>
  <c r="R121" i="71" s="1"/>
  <c r="AD123" i="71"/>
  <c r="W123" i="71"/>
  <c r="AA123" i="71" s="1"/>
  <c r="P123" i="71"/>
  <c r="Q123" i="71" s="1"/>
  <c r="AD125" i="71"/>
  <c r="AJ125" i="71" s="1"/>
  <c r="W125" i="71"/>
  <c r="Z125" i="71" s="1"/>
  <c r="P125" i="71"/>
  <c r="S125" i="71" s="1"/>
  <c r="AD127" i="71"/>
  <c r="W127" i="71"/>
  <c r="P127" i="71"/>
  <c r="V127" i="71" s="1"/>
  <c r="AD129" i="71"/>
  <c r="W129" i="71"/>
  <c r="P129" i="71"/>
  <c r="AD131" i="71"/>
  <c r="W131" i="71"/>
  <c r="AB131" i="71" s="1"/>
  <c r="P131" i="71"/>
  <c r="U131" i="71" s="1"/>
  <c r="W133" i="71"/>
  <c r="AD133" i="71"/>
  <c r="P133" i="71"/>
  <c r="Q133" i="71" s="1"/>
  <c r="AD135" i="71"/>
  <c r="AE135" i="71" s="1"/>
  <c r="W135" i="71"/>
  <c r="AC135" i="71" s="1"/>
  <c r="P135" i="71"/>
  <c r="AD137" i="71"/>
  <c r="AH137" i="71" s="1"/>
  <c r="W137" i="71"/>
  <c r="AA137" i="71" s="1"/>
  <c r="P137" i="71"/>
  <c r="R137" i="71" s="1"/>
  <c r="AD139" i="71"/>
  <c r="AH139" i="71" s="1"/>
  <c r="W139" i="71"/>
  <c r="Z139" i="71" s="1"/>
  <c r="P139" i="71"/>
  <c r="S139" i="71" s="1"/>
  <c r="AD141" i="71"/>
  <c r="AJ141" i="71" s="1"/>
  <c r="W141" i="71"/>
  <c r="Y141" i="71" s="1"/>
  <c r="P141" i="71"/>
  <c r="T141" i="71" s="1"/>
  <c r="AD143" i="71"/>
  <c r="AI143" i="71" s="1"/>
  <c r="W143" i="71"/>
  <c r="Z143" i="71" s="1"/>
  <c r="P143" i="71"/>
  <c r="AD145" i="71"/>
  <c r="AE145" i="71" s="1"/>
  <c r="W145" i="71"/>
  <c r="P145" i="71"/>
  <c r="U145" i="71" s="1"/>
  <c r="AD147" i="71"/>
  <c r="W147" i="71"/>
  <c r="X147" i="71" s="1"/>
  <c r="P147" i="71"/>
  <c r="S147" i="71" s="1"/>
  <c r="AD149" i="71"/>
  <c r="AH149" i="71" s="1"/>
  <c r="W149" i="71"/>
  <c r="X149" i="71" s="1"/>
  <c r="P149" i="71"/>
  <c r="Q149" i="71" s="1"/>
  <c r="AD151" i="71"/>
  <c r="W151" i="71"/>
  <c r="P151" i="71"/>
  <c r="AD153" i="71"/>
  <c r="AH153" i="71" s="1"/>
  <c r="W153" i="71"/>
  <c r="P153" i="71"/>
  <c r="R153" i="71" s="1"/>
  <c r="AD155" i="71"/>
  <c r="AG155" i="71" s="1"/>
  <c r="W155" i="71"/>
  <c r="AC155" i="71" s="1"/>
  <c r="P155" i="71"/>
  <c r="S155" i="71" s="1"/>
  <c r="AD157" i="71"/>
  <c r="W157" i="71"/>
  <c r="Z157" i="71" s="1"/>
  <c r="P157" i="71"/>
  <c r="AD159" i="71"/>
  <c r="W159" i="71"/>
  <c r="X159" i="71" s="1"/>
  <c r="P159" i="71"/>
  <c r="R159" i="71" s="1"/>
  <c r="AD161" i="71"/>
  <c r="W161" i="71"/>
  <c r="P161" i="71"/>
  <c r="AD163" i="71"/>
  <c r="W163" i="71"/>
  <c r="Y163" i="71" s="1"/>
  <c r="P163" i="71"/>
  <c r="Q163" i="71" s="1"/>
  <c r="AD165" i="71"/>
  <c r="W165" i="71"/>
  <c r="P165" i="71"/>
  <c r="AD167" i="71"/>
  <c r="AE167" i="71" s="1"/>
  <c r="W167" i="71"/>
  <c r="AA167" i="71" s="1"/>
  <c r="P167" i="71"/>
  <c r="AD169" i="71"/>
  <c r="P169" i="71"/>
  <c r="S169" i="71" s="1"/>
  <c r="W169" i="71"/>
  <c r="AD171" i="71"/>
  <c r="W171" i="71"/>
  <c r="P171" i="71"/>
  <c r="AD173" i="71"/>
  <c r="AJ173" i="71" s="1"/>
  <c r="W173" i="71"/>
  <c r="AB173" i="71" s="1"/>
  <c r="P173" i="71"/>
  <c r="R173" i="71" s="1"/>
  <c r="AD175" i="71"/>
  <c r="W175" i="71"/>
  <c r="AC175" i="71" s="1"/>
  <c r="P175" i="71"/>
  <c r="AD177" i="71"/>
  <c r="W177" i="71"/>
  <c r="Z177" i="71" s="1"/>
  <c r="P177" i="71"/>
  <c r="AD179" i="71"/>
  <c r="AH179" i="71" s="1"/>
  <c r="W179" i="71"/>
  <c r="X179" i="71" s="1"/>
  <c r="P179" i="71"/>
  <c r="Q179" i="71" s="1"/>
  <c r="AD181" i="71"/>
  <c r="W181" i="71"/>
  <c r="X181" i="71" s="1"/>
  <c r="P181" i="71"/>
  <c r="S181" i="71" s="1"/>
  <c r="AD183" i="71"/>
  <c r="AJ183" i="71" s="1"/>
  <c r="W183" i="71"/>
  <c r="AA183" i="71" s="1"/>
  <c r="P183" i="71"/>
  <c r="U183" i="71" s="1"/>
  <c r="AD185" i="71"/>
  <c r="AG185" i="71" s="1"/>
  <c r="W185" i="71"/>
  <c r="Y185" i="71" s="1"/>
  <c r="P185" i="71"/>
  <c r="AD187" i="71"/>
  <c r="AH187" i="71" s="1"/>
  <c r="W187" i="71"/>
  <c r="X187" i="71" s="1"/>
  <c r="P187" i="71"/>
  <c r="AD189" i="71"/>
  <c r="AH189" i="71" s="1"/>
  <c r="W189" i="71"/>
  <c r="Y189" i="71" s="1"/>
  <c r="P189" i="71"/>
  <c r="R189" i="71" s="1"/>
  <c r="AD191" i="71"/>
  <c r="AI191" i="71" s="1"/>
  <c r="W191" i="71"/>
  <c r="AA191" i="71" s="1"/>
  <c r="P191" i="71"/>
  <c r="Q191" i="71" s="1"/>
  <c r="AD193" i="71"/>
  <c r="W193" i="71"/>
  <c r="P193" i="71"/>
  <c r="V193" i="71" s="1"/>
  <c r="AD195" i="71"/>
  <c r="AJ195" i="71" s="1"/>
  <c r="W195" i="71"/>
  <c r="Z195" i="71" s="1"/>
  <c r="P195" i="71"/>
  <c r="Q195" i="71" s="1"/>
  <c r="AD197" i="71"/>
  <c r="AJ197" i="71" s="1"/>
  <c r="W197" i="71"/>
  <c r="P197" i="71"/>
  <c r="U197" i="71" s="1"/>
  <c r="AD199" i="71"/>
  <c r="W199" i="71"/>
  <c r="P199" i="71"/>
  <c r="T199" i="71" s="1"/>
  <c r="AD201" i="71"/>
  <c r="AH201" i="71" s="1"/>
  <c r="W201" i="71"/>
  <c r="P201" i="71"/>
  <c r="AD203" i="71"/>
  <c r="AE203" i="71" s="1"/>
  <c r="W203" i="71"/>
  <c r="X203" i="71" s="1"/>
  <c r="P203" i="71"/>
  <c r="Q203" i="71" s="1"/>
  <c r="AD205" i="71"/>
  <c r="W205" i="71"/>
  <c r="P205" i="71"/>
  <c r="AD207" i="71"/>
  <c r="AJ207" i="71" s="1"/>
  <c r="W207" i="71"/>
  <c r="P207" i="71"/>
  <c r="V207" i="71" s="1"/>
  <c r="AD209" i="71"/>
  <c r="W209" i="71"/>
  <c r="P209" i="71"/>
  <c r="S209" i="71" s="1"/>
  <c r="AD211" i="71"/>
  <c r="AJ211" i="71" s="1"/>
  <c r="W211" i="71"/>
  <c r="P211" i="71"/>
  <c r="R211" i="71" s="1"/>
  <c r="AD213" i="71"/>
  <c r="AJ213" i="71" s="1"/>
  <c r="W213" i="71"/>
  <c r="P213" i="71"/>
  <c r="AD215" i="71"/>
  <c r="W215" i="71"/>
  <c r="Z215" i="71" s="1"/>
  <c r="P215" i="71"/>
  <c r="S215" i="71" s="1"/>
  <c r="AD217" i="71"/>
  <c r="AH217" i="71" s="1"/>
  <c r="W217" i="71"/>
  <c r="P217" i="71"/>
  <c r="AD219" i="71"/>
  <c r="W219" i="71"/>
  <c r="P219" i="71"/>
  <c r="W221" i="71"/>
  <c r="X221" i="71" s="1"/>
  <c r="AD221" i="71"/>
  <c r="P221" i="71"/>
  <c r="AD223" i="71"/>
  <c r="AJ223" i="71" s="1"/>
  <c r="W223" i="71"/>
  <c r="Z223" i="71" s="1"/>
  <c r="P223" i="71"/>
  <c r="S223" i="71" s="1"/>
  <c r="AD26" i="71"/>
  <c r="AE26" i="71" s="1"/>
  <c r="W26" i="71"/>
  <c r="P26" i="71"/>
  <c r="S26" i="71" s="1"/>
  <c r="AD28" i="71"/>
  <c r="AF28" i="71" s="1"/>
  <c r="W28" i="71"/>
  <c r="Z28" i="71" s="1"/>
  <c r="P28" i="71"/>
  <c r="R28" i="71" s="1"/>
  <c r="AD30" i="71"/>
  <c r="AF30" i="71" s="1"/>
  <c r="W30" i="71"/>
  <c r="AA30" i="71" s="1"/>
  <c r="P30" i="71"/>
  <c r="AD32" i="71"/>
  <c r="AF32" i="71" s="1"/>
  <c r="W32" i="71"/>
  <c r="Y32" i="71" s="1"/>
  <c r="P32" i="71"/>
  <c r="T32" i="71" s="1"/>
  <c r="AD34" i="71"/>
  <c r="W34" i="71"/>
  <c r="Y34" i="71" s="1"/>
  <c r="P34" i="71"/>
  <c r="Q34" i="71" s="1"/>
  <c r="AD36" i="71"/>
  <c r="AG36" i="71" s="1"/>
  <c r="W36" i="71"/>
  <c r="AB36" i="71" s="1"/>
  <c r="P36" i="71"/>
  <c r="R36" i="71" s="1"/>
  <c r="AD38" i="71"/>
  <c r="AE38" i="71" s="1"/>
  <c r="W38" i="71"/>
  <c r="Z38" i="71" s="1"/>
  <c r="P38" i="71"/>
  <c r="S38" i="71" s="1"/>
  <c r="AD40" i="71"/>
  <c r="AH40" i="71" s="1"/>
  <c r="W40" i="71"/>
  <c r="X40" i="71" s="1"/>
  <c r="P40" i="71"/>
  <c r="AD42" i="71"/>
  <c r="AI42" i="71" s="1"/>
  <c r="W42" i="71"/>
  <c r="X42" i="71" s="1"/>
  <c r="P42" i="71"/>
  <c r="S42" i="71" s="1"/>
  <c r="W44" i="71"/>
  <c r="AD44" i="71"/>
  <c r="AJ44" i="71" s="1"/>
  <c r="P44" i="71"/>
  <c r="U44" i="71" s="1"/>
  <c r="AD46" i="71"/>
  <c r="AJ46" i="71" s="1"/>
  <c r="W46" i="71"/>
  <c r="P46" i="71"/>
  <c r="AD48" i="71"/>
  <c r="W48" i="71"/>
  <c r="X48" i="71" s="1"/>
  <c r="P48" i="71"/>
  <c r="T48" i="71" s="1"/>
  <c r="AD50" i="71"/>
  <c r="W50" i="71"/>
  <c r="Y50" i="71" s="1"/>
  <c r="P50" i="71"/>
  <c r="T50" i="71" s="1"/>
  <c r="AD52" i="71"/>
  <c r="AE52" i="71" s="1"/>
  <c r="W52" i="71"/>
  <c r="Z52" i="71" s="1"/>
  <c r="P52" i="71"/>
  <c r="AD54" i="71"/>
  <c r="AJ54" i="71" s="1"/>
  <c r="W54" i="71"/>
  <c r="Y54" i="71" s="1"/>
  <c r="P54" i="71"/>
  <c r="AD56" i="71"/>
  <c r="AH56" i="71" s="1"/>
  <c r="W56" i="71"/>
  <c r="AC56" i="71" s="1"/>
  <c r="P56" i="71"/>
  <c r="R56" i="71" s="1"/>
  <c r="AD58" i="71"/>
  <c r="AG58" i="71" s="1"/>
  <c r="W58" i="71"/>
  <c r="AA58" i="71" s="1"/>
  <c r="P58" i="71"/>
  <c r="Q58" i="71" s="1"/>
  <c r="AD60" i="71"/>
  <c r="AH60" i="71" s="1"/>
  <c r="W60" i="71"/>
  <c r="AA60" i="71" s="1"/>
  <c r="P60" i="71"/>
  <c r="V60" i="71" s="1"/>
  <c r="AD62" i="71"/>
  <c r="AG62" i="71" s="1"/>
  <c r="W62" i="71"/>
  <c r="X62" i="71" s="1"/>
  <c r="P62" i="71"/>
  <c r="AD64" i="71"/>
  <c r="AJ64" i="71" s="1"/>
  <c r="W64" i="71"/>
  <c r="X64" i="71" s="1"/>
  <c r="P64" i="71"/>
  <c r="Q64" i="71" s="1"/>
  <c r="AD66" i="71"/>
  <c r="AI66" i="71" s="1"/>
  <c r="W66" i="71"/>
  <c r="AC66" i="71" s="1"/>
  <c r="P66" i="71"/>
  <c r="Q66" i="71" s="1"/>
  <c r="AD68" i="71"/>
  <c r="AH68" i="71" s="1"/>
  <c r="W68" i="71"/>
  <c r="AB68" i="71" s="1"/>
  <c r="P68" i="71"/>
  <c r="AD70" i="71"/>
  <c r="AJ70" i="71" s="1"/>
  <c r="W70" i="71"/>
  <c r="AA70" i="71" s="1"/>
  <c r="P70" i="71"/>
  <c r="V70" i="71" s="1"/>
  <c r="AD72" i="71"/>
  <c r="AE72" i="71" s="1"/>
  <c r="W72" i="71"/>
  <c r="Z72" i="71" s="1"/>
  <c r="P72" i="71"/>
  <c r="V72" i="71" s="1"/>
  <c r="AD74" i="71"/>
  <c r="AJ74" i="71" s="1"/>
  <c r="W74" i="71"/>
  <c r="AC74" i="71" s="1"/>
  <c r="P74" i="71"/>
  <c r="Q74" i="71" s="1"/>
  <c r="AD76" i="71"/>
  <c r="AI76" i="71" s="1"/>
  <c r="W76" i="71"/>
  <c r="P76" i="71"/>
  <c r="V76" i="71" s="1"/>
  <c r="AD78" i="71"/>
  <c r="AJ78" i="71" s="1"/>
  <c r="W78" i="71"/>
  <c r="AA78" i="71" s="1"/>
  <c r="P78" i="71"/>
  <c r="AD80" i="71"/>
  <c r="AH80" i="71" s="1"/>
  <c r="W80" i="71"/>
  <c r="P80" i="71"/>
  <c r="AD82" i="71"/>
  <c r="AJ82" i="71" s="1"/>
  <c r="W82" i="71"/>
  <c r="AA82" i="71" s="1"/>
  <c r="P82" i="71"/>
  <c r="T82" i="71" s="1"/>
  <c r="AD84" i="71"/>
  <c r="AJ84" i="71" s="1"/>
  <c r="W84" i="71"/>
  <c r="Z84" i="71" s="1"/>
  <c r="P84" i="71"/>
  <c r="S84" i="71" s="1"/>
  <c r="AD86" i="71"/>
  <c r="W86" i="71"/>
  <c r="X86" i="71" s="1"/>
  <c r="P86" i="71"/>
  <c r="R86" i="71" s="1"/>
  <c r="AD88" i="71"/>
  <c r="AH88" i="71" s="1"/>
  <c r="W88" i="71"/>
  <c r="AC88" i="71" s="1"/>
  <c r="P88" i="71"/>
  <c r="S88" i="71" s="1"/>
  <c r="AD90" i="71"/>
  <c r="AH90" i="71" s="1"/>
  <c r="W90" i="71"/>
  <c r="Y90" i="71" s="1"/>
  <c r="P90" i="71"/>
  <c r="R90" i="71" s="1"/>
  <c r="AD92" i="71"/>
  <c r="W92" i="71"/>
  <c r="Y92" i="71" s="1"/>
  <c r="P92" i="71"/>
  <c r="R92" i="71" s="1"/>
  <c r="AD94" i="71"/>
  <c r="AI94" i="71" s="1"/>
  <c r="W94" i="71"/>
  <c r="Z94" i="71" s="1"/>
  <c r="P94" i="71"/>
  <c r="S94" i="71" s="1"/>
  <c r="AD96" i="71"/>
  <c r="AE96" i="71" s="1"/>
  <c r="W96" i="71"/>
  <c r="Y96" i="71" s="1"/>
  <c r="P96" i="71"/>
  <c r="S96" i="71" s="1"/>
  <c r="AD98" i="71"/>
  <c r="AI98" i="71" s="1"/>
  <c r="W98" i="71"/>
  <c r="P98" i="71"/>
  <c r="AD100" i="71"/>
  <c r="AH100" i="71" s="1"/>
  <c r="W100" i="71"/>
  <c r="P100" i="71"/>
  <c r="V100" i="71" s="1"/>
  <c r="AD102" i="71"/>
  <c r="AE102" i="71" s="1"/>
  <c r="W102" i="71"/>
  <c r="Z102" i="71" s="1"/>
  <c r="P102" i="71"/>
  <c r="R102" i="71" s="1"/>
  <c r="AD104" i="71"/>
  <c r="W104" i="71"/>
  <c r="AB104" i="71" s="1"/>
  <c r="P104" i="71"/>
  <c r="R104" i="71" s="1"/>
  <c r="AD106" i="71"/>
  <c r="W106" i="71"/>
  <c r="AA106" i="71" s="1"/>
  <c r="P106" i="71"/>
  <c r="U106" i="71" s="1"/>
  <c r="AD108" i="71"/>
  <c r="W108" i="71"/>
  <c r="P108" i="71"/>
  <c r="W110" i="71"/>
  <c r="Z110" i="71" s="1"/>
  <c r="AD110" i="71"/>
  <c r="AF110" i="71" s="1"/>
  <c r="P110" i="71"/>
  <c r="V110" i="71" s="1"/>
  <c r="AD112" i="71"/>
  <c r="W112" i="71"/>
  <c r="X112" i="71" s="1"/>
  <c r="P112" i="71"/>
  <c r="Q112" i="71" s="1"/>
  <c r="AD114" i="71"/>
  <c r="AH114" i="71" s="1"/>
  <c r="W114" i="71"/>
  <c r="P114" i="71"/>
  <c r="V114" i="71" s="1"/>
  <c r="W116" i="71"/>
  <c r="Z116" i="71" s="1"/>
  <c r="AD116" i="71"/>
  <c r="AJ116" i="71" s="1"/>
  <c r="P116" i="71"/>
  <c r="V116" i="71" s="1"/>
  <c r="AD118" i="71"/>
  <c r="AJ118" i="71" s="1"/>
  <c r="W118" i="71"/>
  <c r="AC118" i="71" s="1"/>
  <c r="P118" i="71"/>
  <c r="S118" i="71" s="1"/>
  <c r="AD120" i="71"/>
  <c r="W120" i="71"/>
  <c r="X120" i="71" s="1"/>
  <c r="P120" i="71"/>
  <c r="U120" i="71" s="1"/>
  <c r="AD122" i="71"/>
  <c r="AE122" i="71" s="1"/>
  <c r="W122" i="71"/>
  <c r="AA122" i="71" s="1"/>
  <c r="P122" i="71"/>
  <c r="T122" i="71" s="1"/>
  <c r="AD124" i="71"/>
  <c r="AG124" i="71" s="1"/>
  <c r="W124" i="71"/>
  <c r="AA124" i="71" s="1"/>
  <c r="P124" i="71"/>
  <c r="Q124" i="71" s="1"/>
  <c r="AD126" i="71"/>
  <c r="AI126" i="71" s="1"/>
  <c r="W126" i="71"/>
  <c r="AA126" i="71" s="1"/>
  <c r="P126" i="71"/>
  <c r="AD128" i="71"/>
  <c r="AG128" i="71" s="1"/>
  <c r="W128" i="71"/>
  <c r="AB128" i="71" s="1"/>
  <c r="P128" i="71"/>
  <c r="S128" i="71" s="1"/>
  <c r="AD130" i="71"/>
  <c r="AJ130" i="71" s="1"/>
  <c r="W130" i="71"/>
  <c r="AC130" i="71" s="1"/>
  <c r="P130" i="71"/>
  <c r="U130" i="71" s="1"/>
  <c r="AD132" i="71"/>
  <c r="W132" i="71"/>
  <c r="AB132" i="71" s="1"/>
  <c r="P132" i="71"/>
  <c r="W134" i="71"/>
  <c r="X134" i="71" s="1"/>
  <c r="AD134" i="71"/>
  <c r="AJ134" i="71" s="1"/>
  <c r="P134" i="71"/>
  <c r="R134" i="71" s="1"/>
  <c r="AD136" i="71"/>
  <c r="W136" i="71"/>
  <c r="Y136" i="71" s="1"/>
  <c r="P136" i="71"/>
  <c r="U136" i="71" s="1"/>
  <c r="AD138" i="71"/>
  <c r="AH138" i="71" s="1"/>
  <c r="W138" i="71"/>
  <c r="AA138" i="71" s="1"/>
  <c r="P138" i="71"/>
  <c r="S138" i="71" s="1"/>
  <c r="AD140" i="71"/>
  <c r="AI140" i="71" s="1"/>
  <c r="W140" i="71"/>
  <c r="AA140" i="71" s="1"/>
  <c r="P140" i="71"/>
  <c r="Q140" i="71" s="1"/>
  <c r="AD142" i="71"/>
  <c r="AI142" i="71" s="1"/>
  <c r="W142" i="71"/>
  <c r="P142" i="71"/>
  <c r="AD144" i="71"/>
  <c r="W144" i="71"/>
  <c r="AB144" i="71" s="1"/>
  <c r="P144" i="71"/>
  <c r="S144" i="71" s="1"/>
  <c r="AD146" i="71"/>
  <c r="AI146" i="71" s="1"/>
  <c r="W146" i="71"/>
  <c r="AC146" i="71" s="1"/>
  <c r="P146" i="71"/>
  <c r="AD148" i="71"/>
  <c r="W148" i="71"/>
  <c r="Y148" i="71" s="1"/>
  <c r="P148" i="71"/>
  <c r="R148" i="71" s="1"/>
  <c r="AD150" i="71"/>
  <c r="W150" i="71"/>
  <c r="AB150" i="71" s="1"/>
  <c r="P150" i="71"/>
  <c r="S150" i="71" s="1"/>
  <c r="AD152" i="71"/>
  <c r="AH152" i="71" s="1"/>
  <c r="W152" i="71"/>
  <c r="Y152" i="71" s="1"/>
  <c r="P152" i="71"/>
  <c r="S152" i="71" s="1"/>
  <c r="AD154" i="71"/>
  <c r="AI154" i="71" s="1"/>
  <c r="W154" i="71"/>
  <c r="Z154" i="71" s="1"/>
  <c r="P154" i="71"/>
  <c r="V154" i="71" s="1"/>
  <c r="AD156" i="71"/>
  <c r="W156" i="71"/>
  <c r="P156" i="71"/>
  <c r="AD158" i="71"/>
  <c r="W158" i="71"/>
  <c r="X158" i="71" s="1"/>
  <c r="P158" i="71"/>
  <c r="V158" i="71" s="1"/>
  <c r="AD160" i="71"/>
  <c r="AH160" i="71" s="1"/>
  <c r="W160" i="71"/>
  <c r="AA160" i="71" s="1"/>
  <c r="P160" i="71"/>
  <c r="V160" i="71" s="1"/>
  <c r="AD162" i="71"/>
  <c r="AG162" i="71" s="1"/>
  <c r="W162" i="71"/>
  <c r="P162" i="71"/>
  <c r="S162" i="71" s="1"/>
  <c r="AD164" i="71"/>
  <c r="AI164" i="71" s="1"/>
  <c r="W164" i="71"/>
  <c r="AB164" i="71" s="1"/>
  <c r="P164" i="71"/>
  <c r="T164" i="71" s="1"/>
  <c r="AD166" i="71"/>
  <c r="AJ166" i="71" s="1"/>
  <c r="W166" i="71"/>
  <c r="Z166" i="71" s="1"/>
  <c r="P166" i="71"/>
  <c r="V166" i="71" s="1"/>
  <c r="AD168" i="71"/>
  <c r="AJ168" i="71" s="1"/>
  <c r="W168" i="71"/>
  <c r="Y168" i="71" s="1"/>
  <c r="P168" i="71"/>
  <c r="R168" i="71" s="1"/>
  <c r="AD170" i="71"/>
  <c r="AE170" i="71" s="1"/>
  <c r="P170" i="71"/>
  <c r="T170" i="71" s="1"/>
  <c r="W170" i="71"/>
  <c r="AC170" i="71" s="1"/>
  <c r="AD172" i="71"/>
  <c r="AF172" i="71" s="1"/>
  <c r="W172" i="71"/>
  <c r="Y172" i="71" s="1"/>
  <c r="P172" i="71"/>
  <c r="T172" i="71" s="1"/>
  <c r="AD174" i="71"/>
  <c r="AJ174" i="71" s="1"/>
  <c r="W174" i="71"/>
  <c r="AA174" i="71" s="1"/>
  <c r="P174" i="71"/>
  <c r="R174" i="71" s="1"/>
  <c r="AD176" i="71"/>
  <c r="AH176" i="71" s="1"/>
  <c r="W176" i="71"/>
  <c r="AA176" i="71" s="1"/>
  <c r="P176" i="71"/>
  <c r="T176" i="71" s="1"/>
  <c r="AD178" i="71"/>
  <c r="AH178" i="71" s="1"/>
  <c r="W178" i="71"/>
  <c r="P178" i="71"/>
  <c r="T178" i="71" s="1"/>
  <c r="AD180" i="71"/>
  <c r="W180" i="71"/>
  <c r="AB180" i="71" s="1"/>
  <c r="P180" i="71"/>
  <c r="AD182" i="71"/>
  <c r="AJ182" i="71" s="1"/>
  <c r="W182" i="71"/>
  <c r="AB182" i="71" s="1"/>
  <c r="P182" i="71"/>
  <c r="AD184" i="71"/>
  <c r="AJ184" i="71" s="1"/>
  <c r="W184" i="71"/>
  <c r="AC184" i="71" s="1"/>
  <c r="P184" i="71"/>
  <c r="AD186" i="71"/>
  <c r="AE186" i="71" s="1"/>
  <c r="W186" i="71"/>
  <c r="AC186" i="71" s="1"/>
  <c r="P186" i="71"/>
  <c r="Q186" i="71" s="1"/>
  <c r="AD188" i="71"/>
  <c r="AG188" i="71" s="1"/>
  <c r="W188" i="71"/>
  <c r="Y188" i="71" s="1"/>
  <c r="P188" i="71"/>
  <c r="S188" i="71" s="1"/>
  <c r="AD190" i="71"/>
  <c r="AH190" i="71" s="1"/>
  <c r="W190" i="71"/>
  <c r="X190" i="71" s="1"/>
  <c r="P190" i="71"/>
  <c r="S190" i="71" s="1"/>
  <c r="AD192" i="71"/>
  <c r="AH192" i="71" s="1"/>
  <c r="W192" i="71"/>
  <c r="AA192" i="71" s="1"/>
  <c r="P192" i="71"/>
  <c r="U192" i="71" s="1"/>
  <c r="AD194" i="71"/>
  <c r="AH194" i="71" s="1"/>
  <c r="W194" i="71"/>
  <c r="Z194" i="71" s="1"/>
  <c r="P194" i="71"/>
  <c r="AD196" i="71"/>
  <c r="AI196" i="71" s="1"/>
  <c r="W196" i="71"/>
  <c r="P196" i="71"/>
  <c r="AD198" i="71"/>
  <c r="AJ198" i="71" s="1"/>
  <c r="W198" i="71"/>
  <c r="Z198" i="71" s="1"/>
  <c r="P198" i="71"/>
  <c r="T198" i="71" s="1"/>
  <c r="AD200" i="71"/>
  <c r="AG200" i="71" s="1"/>
  <c r="W200" i="71"/>
  <c r="AC200" i="71" s="1"/>
  <c r="P200" i="71"/>
  <c r="T200" i="71" s="1"/>
  <c r="AD202" i="71"/>
  <c r="AE202" i="71" s="1"/>
  <c r="W202" i="71"/>
  <c r="Z202" i="71" s="1"/>
  <c r="P202" i="71"/>
  <c r="S202" i="71" s="1"/>
  <c r="AD204" i="71"/>
  <c r="AF204" i="71" s="1"/>
  <c r="W204" i="71"/>
  <c r="AC204" i="71" s="1"/>
  <c r="P204" i="71"/>
  <c r="S204" i="71" s="1"/>
  <c r="AD206" i="71"/>
  <c r="W206" i="71"/>
  <c r="Z206" i="71" s="1"/>
  <c r="P206" i="71"/>
  <c r="T206" i="71" s="1"/>
  <c r="AD208" i="71"/>
  <c r="AH208" i="71" s="1"/>
  <c r="W208" i="71"/>
  <c r="AC208" i="71" s="1"/>
  <c r="P208" i="71"/>
  <c r="R208" i="71" s="1"/>
  <c r="AD210" i="71"/>
  <c r="AH210" i="71" s="1"/>
  <c r="W210" i="71"/>
  <c r="Y210" i="71" s="1"/>
  <c r="P210" i="71"/>
  <c r="V210" i="71" s="1"/>
  <c r="AD212" i="71"/>
  <c r="AI212" i="71" s="1"/>
  <c r="W212" i="71"/>
  <c r="AA212" i="71" s="1"/>
  <c r="P212" i="71"/>
  <c r="S212" i="71" s="1"/>
  <c r="AD214" i="71"/>
  <c r="W214" i="71"/>
  <c r="Y214" i="71" s="1"/>
  <c r="P214" i="71"/>
  <c r="R214" i="71" s="1"/>
  <c r="AD216" i="71"/>
  <c r="AF216" i="71" s="1"/>
  <c r="W216" i="71"/>
  <c r="AB216" i="71" s="1"/>
  <c r="P216" i="71"/>
  <c r="R216" i="71" s="1"/>
  <c r="AD218" i="71"/>
  <c r="AG218" i="71" s="1"/>
  <c r="W218" i="71"/>
  <c r="P218" i="71"/>
  <c r="Q218" i="71" s="1"/>
  <c r="W220" i="71"/>
  <c r="AD220" i="71"/>
  <c r="AG220" i="71" s="1"/>
  <c r="P220" i="71"/>
  <c r="V220" i="71" s="1"/>
  <c r="AD222" i="71"/>
  <c r="W222" i="71"/>
  <c r="AB222" i="71" s="1"/>
  <c r="P222" i="71"/>
  <c r="V222" i="71" s="1"/>
  <c r="P49" i="3"/>
  <c r="AO17" i="3"/>
  <c r="R46" i="3"/>
  <c r="S46" i="3" s="1"/>
  <c r="V50" i="3"/>
  <c r="W50" i="3" s="1"/>
  <c r="R54" i="3"/>
  <c r="S54" i="3" s="1"/>
  <c r="AO20" i="3"/>
  <c r="AO15" i="3"/>
  <c r="R53" i="3"/>
  <c r="S53" i="3" s="1"/>
  <c r="P47" i="3"/>
  <c r="P51" i="3"/>
  <c r="Q51" i="3" s="1"/>
  <c r="P55" i="3"/>
  <c r="Q55" i="3" s="1"/>
  <c r="V59" i="3"/>
  <c r="AO18" i="3"/>
  <c r="AO13" i="3"/>
  <c r="P48" i="3"/>
  <c r="V52" i="3"/>
  <c r="W52" i="3" s="1"/>
  <c r="P56" i="3"/>
  <c r="V60" i="3"/>
  <c r="W60" i="3" s="1"/>
  <c r="AO16" i="3"/>
  <c r="AO14" i="3"/>
  <c r="AO19" i="3"/>
  <c r="AM13" i="3"/>
  <c r="AM20" i="3"/>
  <c r="AM15" i="3"/>
  <c r="AM16" i="3"/>
  <c r="AN16" i="3"/>
  <c r="AM19" i="3"/>
  <c r="AM17" i="3"/>
  <c r="AM14" i="3"/>
  <c r="AM18" i="3"/>
  <c r="R48" i="3"/>
  <c r="R49" i="3"/>
  <c r="R56" i="3"/>
  <c r="V46" i="3"/>
  <c r="W46" i="3" s="1"/>
  <c r="V53" i="3"/>
  <c r="W53" i="3" s="1"/>
  <c r="P50" i="3"/>
  <c r="Q50" i="3" s="1"/>
  <c r="V54" i="3"/>
  <c r="W54" i="3" s="1"/>
  <c r="P52" i="3"/>
  <c r="Q52" i="3" s="1"/>
  <c r="P60" i="3"/>
  <c r="Q60" i="3" s="1"/>
  <c r="V47" i="3"/>
  <c r="V55" i="3"/>
  <c r="W55" i="3" s="1"/>
  <c r="P53" i="3"/>
  <c r="Q53" i="3" s="1"/>
  <c r="R50" i="3"/>
  <c r="S50" i="3" s="1"/>
  <c r="V48" i="3"/>
  <c r="V56" i="3"/>
  <c r="P46" i="3"/>
  <c r="Q46" i="3" s="1"/>
  <c r="P54" i="3"/>
  <c r="Q54" i="3" s="1"/>
  <c r="R51" i="3"/>
  <c r="S51" i="3" s="1"/>
  <c r="R59" i="3"/>
  <c r="V49" i="3"/>
  <c r="R47" i="3"/>
  <c r="R55" i="3"/>
  <c r="S55" i="3" s="1"/>
  <c r="R52" i="3"/>
  <c r="S52" i="3" s="1"/>
  <c r="R60" i="3"/>
  <c r="S60" i="3" s="1"/>
  <c r="V51" i="3"/>
  <c r="W51" i="3" s="1"/>
  <c r="L48" i="3"/>
  <c r="N46" i="3"/>
  <c r="O46" i="3" s="1"/>
  <c r="N54" i="3"/>
  <c r="O54" i="3" s="1"/>
  <c r="L50" i="3"/>
  <c r="M50" i="3" s="1"/>
  <c r="N47" i="3"/>
  <c r="N55" i="3"/>
  <c r="O55" i="3" s="1"/>
  <c r="L56" i="3"/>
  <c r="N48" i="3"/>
  <c r="N56" i="3"/>
  <c r="N49" i="3"/>
  <c r="N50" i="3"/>
  <c r="O50" i="3" s="1"/>
  <c r="J51" i="3"/>
  <c r="K51" i="3" s="1"/>
  <c r="N51" i="3"/>
  <c r="O51" i="3" s="1"/>
  <c r="N59" i="3"/>
  <c r="J53" i="3"/>
  <c r="K53" i="3" s="1"/>
  <c r="N52" i="3"/>
  <c r="O52" i="3" s="1"/>
  <c r="N60" i="3"/>
  <c r="O60" i="3" s="1"/>
  <c r="N53" i="3"/>
  <c r="O53" i="3" s="1"/>
  <c r="J52" i="3"/>
  <c r="K52" i="3" s="1"/>
  <c r="J60" i="3"/>
  <c r="K60" i="3" s="1"/>
  <c r="L49" i="3"/>
  <c r="J46" i="3"/>
  <c r="K46" i="3" s="1"/>
  <c r="J54" i="3"/>
  <c r="K54" i="3" s="1"/>
  <c r="L51" i="3"/>
  <c r="M51" i="3" s="1"/>
  <c r="J47" i="3"/>
  <c r="J55" i="3"/>
  <c r="K55" i="3" s="1"/>
  <c r="L52" i="3"/>
  <c r="M52" i="3" s="1"/>
  <c r="L60" i="3"/>
  <c r="M60" i="3" s="1"/>
  <c r="J48" i="3"/>
  <c r="J56" i="3"/>
  <c r="L53" i="3"/>
  <c r="M53" i="3" s="1"/>
  <c r="J49" i="3"/>
  <c r="L46" i="3"/>
  <c r="M46" i="3" s="1"/>
  <c r="L54" i="3"/>
  <c r="M54" i="3" s="1"/>
  <c r="J50" i="3"/>
  <c r="K50" i="3" s="1"/>
  <c r="L47" i="3"/>
  <c r="L55" i="3"/>
  <c r="M55" i="3" s="1"/>
  <c r="H4" i="80"/>
  <c r="I5" i="80" s="1"/>
  <c r="I6" i="80"/>
  <c r="A43" i="123" l="1"/>
  <c r="A22" i="123"/>
  <c r="H40" i="123"/>
  <c r="G40" i="123"/>
  <c r="E40" i="123"/>
  <c r="F40" i="123"/>
  <c r="H19" i="123"/>
  <c r="G19" i="123"/>
  <c r="F19" i="123"/>
  <c r="E19" i="123"/>
  <c r="B41" i="123"/>
  <c r="B20" i="123"/>
  <c r="A43" i="120"/>
  <c r="A43" i="117"/>
  <c r="M49" i="3"/>
  <c r="AQ2" i="3"/>
  <c r="AQ13" i="3" s="1"/>
  <c r="AT18" i="3"/>
  <c r="AT6" i="3"/>
  <c r="AT17" i="3"/>
  <c r="AT5" i="3"/>
  <c r="AT7" i="3"/>
  <c r="AT16" i="3"/>
  <c r="AT4" i="3"/>
  <c r="AT15" i="3"/>
  <c r="AT14" i="3"/>
  <c r="AT24" i="3"/>
  <c r="AT12" i="3"/>
  <c r="AT23" i="3"/>
  <c r="AT11" i="3"/>
  <c r="AT22" i="3"/>
  <c r="AT10" i="3"/>
  <c r="AT19" i="3"/>
  <c r="AT21" i="3"/>
  <c r="AT9" i="3"/>
  <c r="AT20" i="3"/>
  <c r="AT8" i="3"/>
  <c r="AZ167" i="71"/>
  <c r="BB59" i="71"/>
  <c r="BE213" i="71"/>
  <c r="BN74" i="71"/>
  <c r="BD118" i="71"/>
  <c r="BP46" i="71"/>
  <c r="BS189" i="71"/>
  <c r="BR182" i="71"/>
  <c r="BE62" i="71"/>
  <c r="BD62" i="71"/>
  <c r="BQ176" i="71"/>
  <c r="BC152" i="71"/>
  <c r="BB152" i="71"/>
  <c r="BA152" i="71"/>
  <c r="BL140" i="71"/>
  <c r="BS218" i="71"/>
  <c r="BN218" i="71"/>
  <c r="BS103" i="71"/>
  <c r="BN222" i="71"/>
  <c r="BQ222" i="71"/>
  <c r="BN162" i="71"/>
  <c r="BK90" i="71"/>
  <c r="BI90" i="71"/>
  <c r="BE123" i="71"/>
  <c r="AZ123" i="71"/>
  <c r="BC123" i="71"/>
  <c r="BK51" i="71"/>
  <c r="BI51" i="71"/>
  <c r="BH51" i="71"/>
  <c r="AZ53" i="71"/>
  <c r="BD53" i="71"/>
  <c r="BA53" i="71"/>
  <c r="BC53" i="71"/>
  <c r="BE53" i="71"/>
  <c r="BJ28" i="71"/>
  <c r="BH28" i="71"/>
  <c r="BI184" i="71"/>
  <c r="BG184" i="71"/>
  <c r="BJ184" i="71"/>
  <c r="BH136" i="71"/>
  <c r="BG136" i="71"/>
  <c r="BL136" i="71"/>
  <c r="BJ136" i="71"/>
  <c r="BK136" i="71"/>
  <c r="BH108" i="71"/>
  <c r="BL108" i="71"/>
  <c r="BK108" i="71"/>
  <c r="BG108" i="71"/>
  <c r="BJ108" i="71"/>
  <c r="BI108" i="71"/>
  <c r="BE203" i="71"/>
  <c r="BA155" i="71"/>
  <c r="BL107" i="71"/>
  <c r="BK71" i="71"/>
  <c r="BQ35" i="71"/>
  <c r="BK213" i="71"/>
  <c r="BR166" i="71"/>
  <c r="BP99" i="71"/>
  <c r="BN203" i="71"/>
  <c r="BC191" i="71"/>
  <c r="BP179" i="71"/>
  <c r="BA167" i="71"/>
  <c r="BB155" i="71"/>
  <c r="BD143" i="71"/>
  <c r="BD131" i="71"/>
  <c r="BO131" i="71"/>
  <c r="BD119" i="71"/>
  <c r="BB119" i="71"/>
  <c r="BK107" i="71"/>
  <c r="BQ95" i="71"/>
  <c r="BI83" i="71"/>
  <c r="BG71" i="71"/>
  <c r="BS71" i="71"/>
  <c r="BD59" i="71"/>
  <c r="BC35" i="71"/>
  <c r="AZ213" i="71"/>
  <c r="BR213" i="71"/>
  <c r="BG177" i="71"/>
  <c r="BL129" i="71"/>
  <c r="BA33" i="71"/>
  <c r="BO33" i="71"/>
  <c r="BI206" i="71"/>
  <c r="BC74" i="71"/>
  <c r="BR74" i="71"/>
  <c r="BH214" i="71"/>
  <c r="BO190" i="71"/>
  <c r="BJ166" i="71"/>
  <c r="BN166" i="71"/>
  <c r="BL154" i="71"/>
  <c r="BJ142" i="71"/>
  <c r="BA118" i="71"/>
  <c r="AZ118" i="71"/>
  <c r="BD106" i="71"/>
  <c r="BH106" i="71"/>
  <c r="BA82" i="71"/>
  <c r="BO82" i="71"/>
  <c r="BR70" i="71"/>
  <c r="BE46" i="71"/>
  <c r="BR46" i="71"/>
  <c r="BL34" i="71"/>
  <c r="BK34" i="71"/>
  <c r="BP189" i="71"/>
  <c r="BE141" i="71"/>
  <c r="BG141" i="71"/>
  <c r="BL141" i="71"/>
  <c r="BA182" i="71"/>
  <c r="BI182" i="71"/>
  <c r="BG182" i="71"/>
  <c r="AZ62" i="71"/>
  <c r="BH38" i="71"/>
  <c r="BJ38" i="71"/>
  <c r="BI212" i="71"/>
  <c r="BI152" i="71"/>
  <c r="AZ152" i="71"/>
  <c r="BC116" i="71"/>
  <c r="BG68" i="71"/>
  <c r="BS44" i="71"/>
  <c r="BE171" i="71"/>
  <c r="BB171" i="71"/>
  <c r="BO26" i="71"/>
  <c r="BQ26" i="71"/>
  <c r="BP26" i="71"/>
  <c r="BJ218" i="71"/>
  <c r="BH218" i="71"/>
  <c r="BK218" i="71"/>
  <c r="BS151" i="71"/>
  <c r="BD139" i="71"/>
  <c r="BR103" i="71"/>
  <c r="BD79" i="71"/>
  <c r="BR67" i="71"/>
  <c r="BN67" i="71"/>
  <c r="BS67" i="71"/>
  <c r="BD111" i="71"/>
  <c r="BP75" i="71"/>
  <c r="BS75" i="71"/>
  <c r="BQ75" i="71"/>
  <c r="BB198" i="71"/>
  <c r="BB138" i="71"/>
  <c r="BA138" i="71"/>
  <c r="AZ138" i="71"/>
  <c r="BC138" i="71"/>
  <c r="BD90" i="71"/>
  <c r="BC90" i="71"/>
  <c r="BI78" i="71"/>
  <c r="BG78" i="71"/>
  <c r="BH78" i="71"/>
  <c r="BK78" i="71"/>
  <c r="BS51" i="71"/>
  <c r="BP51" i="71"/>
  <c r="BQ51" i="71"/>
  <c r="BR51" i="71"/>
  <c r="BN51" i="71"/>
  <c r="BG158" i="71"/>
  <c r="BH158" i="71"/>
  <c r="BL137" i="71"/>
  <c r="BG137" i="71"/>
  <c r="BB53" i="71"/>
  <c r="BI28" i="71"/>
  <c r="BG146" i="71"/>
  <c r="BJ146" i="71"/>
  <c r="BN184" i="71"/>
  <c r="BR184" i="71"/>
  <c r="BP184" i="71"/>
  <c r="BO184" i="71"/>
  <c r="BS184" i="71"/>
  <c r="BE172" i="71"/>
  <c r="BB172" i="71"/>
  <c r="BD172" i="71"/>
  <c r="BC172" i="71"/>
  <c r="BA172" i="71"/>
  <c r="BI136" i="71"/>
  <c r="BJ97" i="71"/>
  <c r="BH97" i="71"/>
  <c r="BK97" i="71"/>
  <c r="BL97" i="71"/>
  <c r="BG97" i="71"/>
  <c r="AZ61" i="71"/>
  <c r="BD61" i="71"/>
  <c r="BB61" i="71"/>
  <c r="BN182" i="71"/>
  <c r="BS139" i="71"/>
  <c r="BQ139" i="71"/>
  <c r="BN139" i="71"/>
  <c r="BD159" i="71"/>
  <c r="BE159" i="71"/>
  <c r="BE181" i="71"/>
  <c r="BD181" i="71"/>
  <c r="BC181" i="71"/>
  <c r="AZ181" i="71"/>
  <c r="BA181" i="71"/>
  <c r="BE97" i="71"/>
  <c r="BA97" i="71"/>
  <c r="BB167" i="71"/>
  <c r="BP143" i="71"/>
  <c r="BN119" i="71"/>
  <c r="AZ119" i="71"/>
  <c r="BN107" i="71"/>
  <c r="BR95" i="71"/>
  <c r="BP95" i="71"/>
  <c r="BA59" i="71"/>
  <c r="BJ213" i="71"/>
  <c r="BB213" i="71"/>
  <c r="BK81" i="71"/>
  <c r="BJ33" i="71"/>
  <c r="BJ206" i="71"/>
  <c r="BG74" i="71"/>
  <c r="BS74" i="71"/>
  <c r="BR190" i="71"/>
  <c r="BG166" i="71"/>
  <c r="BL142" i="71"/>
  <c r="BG106" i="71"/>
  <c r="BC82" i="71"/>
  <c r="BN70" i="71"/>
  <c r="BS46" i="71"/>
  <c r="BB62" i="71"/>
  <c r="BP62" i="71"/>
  <c r="BI200" i="71"/>
  <c r="BK200" i="71"/>
  <c r="BS140" i="71"/>
  <c r="BP140" i="71"/>
  <c r="BO140" i="71"/>
  <c r="BN128" i="71"/>
  <c r="BC92" i="71"/>
  <c r="BE92" i="71"/>
  <c r="BI56" i="71"/>
  <c r="BK56" i="71"/>
  <c r="BA139" i="71"/>
  <c r="BH127" i="71"/>
  <c r="BK127" i="71"/>
  <c r="BB79" i="71"/>
  <c r="BJ55" i="71"/>
  <c r="BI55" i="71"/>
  <c r="AZ159" i="71"/>
  <c r="BA159" i="71"/>
  <c r="BP111" i="71"/>
  <c r="BG50" i="71"/>
  <c r="BK50" i="71"/>
  <c r="BH50" i="71"/>
  <c r="BI50" i="71"/>
  <c r="BL50" i="71"/>
  <c r="BO222" i="71"/>
  <c r="BA198" i="71"/>
  <c r="BH138" i="71"/>
  <c r="BQ42" i="71"/>
  <c r="BO42" i="71"/>
  <c r="BN42" i="71"/>
  <c r="BS42" i="71"/>
  <c r="BE41" i="71"/>
  <c r="AZ41" i="71"/>
  <c r="BG219" i="71"/>
  <c r="BL124" i="71"/>
  <c r="BG124" i="71"/>
  <c r="BK124" i="71"/>
  <c r="BH124" i="71"/>
  <c r="BC64" i="71"/>
  <c r="BB64" i="71"/>
  <c r="AZ64" i="71"/>
  <c r="BB52" i="71"/>
  <c r="BC52" i="71"/>
  <c r="BD52" i="71"/>
  <c r="AZ52" i="71"/>
  <c r="BA52" i="71"/>
  <c r="BG181" i="71"/>
  <c r="BI181" i="71"/>
  <c r="BK181" i="71"/>
  <c r="BH181" i="71"/>
  <c r="BB203" i="71"/>
  <c r="BH213" i="71"/>
  <c r="BJ62" i="71"/>
  <c r="AZ140" i="71"/>
  <c r="BO103" i="71"/>
  <c r="BN103" i="71"/>
  <c r="BA113" i="71"/>
  <c r="BD113" i="71"/>
  <c r="BB113" i="71"/>
  <c r="BE113" i="71"/>
  <c r="BC113" i="71"/>
  <c r="BD203" i="71"/>
  <c r="BO155" i="71"/>
  <c r="BS143" i="71"/>
  <c r="BG119" i="71"/>
  <c r="BH119" i="71"/>
  <c r="BD95" i="71"/>
  <c r="BO95" i="71"/>
  <c r="BE59" i="71"/>
  <c r="BC177" i="71"/>
  <c r="BN177" i="71"/>
  <c r="BI81" i="71"/>
  <c r="BO81" i="71"/>
  <c r="BQ33" i="71"/>
  <c r="BN190" i="71"/>
  <c r="BH166" i="71"/>
  <c r="BC166" i="71"/>
  <c r="AZ142" i="71"/>
  <c r="BJ118" i="71"/>
  <c r="BL106" i="71"/>
  <c r="BG82" i="71"/>
  <c r="BG70" i="71"/>
  <c r="BQ34" i="71"/>
  <c r="BP141" i="71"/>
  <c r="BR93" i="71"/>
  <c r="BO182" i="71"/>
  <c r="BH62" i="71"/>
  <c r="BL62" i="71"/>
  <c r="BS153" i="71"/>
  <c r="BA200" i="71"/>
  <c r="AZ200" i="71"/>
  <c r="BS152" i="71"/>
  <c r="BP128" i="71"/>
  <c r="BN104" i="71"/>
  <c r="BP68" i="71"/>
  <c r="BH56" i="71"/>
  <c r="BI163" i="71"/>
  <c r="BK163" i="71"/>
  <c r="BJ163" i="71"/>
  <c r="BE127" i="71"/>
  <c r="AZ127" i="71"/>
  <c r="BC127" i="71"/>
  <c r="BD127" i="71"/>
  <c r="BQ115" i="71"/>
  <c r="BO115" i="71"/>
  <c r="BN115" i="71"/>
  <c r="BR115" i="71"/>
  <c r="BJ43" i="71"/>
  <c r="BK43" i="71"/>
  <c r="BI43" i="71"/>
  <c r="BG43" i="71"/>
  <c r="BC159" i="71"/>
  <c r="BB159" i="71"/>
  <c r="BE50" i="71"/>
  <c r="BS222" i="71"/>
  <c r="BD162" i="71"/>
  <c r="BB162" i="71"/>
  <c r="BI138" i="71"/>
  <c r="BL126" i="71"/>
  <c r="BI126" i="71"/>
  <c r="BL90" i="71"/>
  <c r="BD42" i="71"/>
  <c r="BC42" i="71"/>
  <c r="AZ42" i="71"/>
  <c r="BL51" i="71"/>
  <c r="BH113" i="71"/>
  <c r="BK113" i="71"/>
  <c r="BL113" i="71"/>
  <c r="BI219" i="71"/>
  <c r="BK52" i="71"/>
  <c r="BG52" i="71"/>
  <c r="BH52" i="71"/>
  <c r="BS181" i="71"/>
  <c r="BP181" i="71"/>
  <c r="BN181" i="71"/>
  <c r="BO181" i="71"/>
  <c r="BR181" i="71"/>
  <c r="BL61" i="71"/>
  <c r="BH139" i="71"/>
  <c r="BI139" i="71"/>
  <c r="BG139" i="71"/>
  <c r="BL139" i="71"/>
  <c r="BG222" i="71"/>
  <c r="BK222" i="71"/>
  <c r="BH222" i="71"/>
  <c r="BJ222" i="71"/>
  <c r="BI222" i="71"/>
  <c r="BS162" i="71"/>
  <c r="BO162" i="71"/>
  <c r="BR158" i="71"/>
  <c r="BO158" i="71"/>
  <c r="BP158" i="71"/>
  <c r="BN158" i="71"/>
  <c r="BS158" i="71"/>
  <c r="BQ146" i="71"/>
  <c r="BN146" i="71"/>
  <c r="BP146" i="71"/>
  <c r="BO146" i="71"/>
  <c r="AZ184" i="71"/>
  <c r="BD184" i="71"/>
  <c r="BA184" i="71"/>
  <c r="BE184" i="71"/>
  <c r="BE115" i="71"/>
  <c r="AZ115" i="71"/>
  <c r="BB115" i="71"/>
  <c r="BA115" i="71"/>
  <c r="BI170" i="71"/>
  <c r="BH170" i="71"/>
  <c r="BJ170" i="71"/>
  <c r="BO52" i="71"/>
  <c r="BQ52" i="71"/>
  <c r="BR52" i="71"/>
  <c r="BS52" i="71"/>
  <c r="BN52" i="71"/>
  <c r="BI203" i="71"/>
  <c r="BJ191" i="71"/>
  <c r="BP191" i="71"/>
  <c r="BC179" i="71"/>
  <c r="BH167" i="71"/>
  <c r="BR155" i="71"/>
  <c r="BA131" i="71"/>
  <c r="BR119" i="71"/>
  <c r="BJ95" i="71"/>
  <c r="AZ95" i="71"/>
  <c r="BJ71" i="71"/>
  <c r="BB71" i="71"/>
  <c r="BP59" i="71"/>
  <c r="BB47" i="71"/>
  <c r="BP47" i="71"/>
  <c r="BS35" i="71"/>
  <c r="BG35" i="71"/>
  <c r="BN213" i="71"/>
  <c r="BD177" i="71"/>
  <c r="BR177" i="71"/>
  <c r="BJ81" i="71"/>
  <c r="BP81" i="71"/>
  <c r="BK33" i="71"/>
  <c r="BK206" i="71"/>
  <c r="BE74" i="71"/>
  <c r="BG214" i="71"/>
  <c r="BR202" i="71"/>
  <c r="BB190" i="71"/>
  <c r="BL166" i="71"/>
  <c r="BC142" i="71"/>
  <c r="BN142" i="71"/>
  <c r="BK130" i="71"/>
  <c r="BP118" i="71"/>
  <c r="BR106" i="71"/>
  <c r="BD82" i="71"/>
  <c r="BP82" i="71"/>
  <c r="BJ70" i="71"/>
  <c r="BC46" i="71"/>
  <c r="BO34" i="71"/>
  <c r="BA189" i="71"/>
  <c r="BK141" i="71"/>
  <c r="BP182" i="71"/>
  <c r="BC62" i="71"/>
  <c r="BH153" i="71"/>
  <c r="BA212" i="71"/>
  <c r="BK212" i="71"/>
  <c r="BJ200" i="71"/>
  <c r="BB188" i="71"/>
  <c r="BA188" i="71"/>
  <c r="BS176" i="71"/>
  <c r="BE164" i="71"/>
  <c r="BB164" i="71"/>
  <c r="BJ152" i="71"/>
  <c r="BE140" i="71"/>
  <c r="BO128" i="71"/>
  <c r="BA116" i="71"/>
  <c r="BC68" i="71"/>
  <c r="BR44" i="71"/>
  <c r="BD99" i="71"/>
  <c r="BA99" i="71"/>
  <c r="BG218" i="71"/>
  <c r="BL134" i="71"/>
  <c r="BO175" i="71"/>
  <c r="BN175" i="71"/>
  <c r="BP175" i="71"/>
  <c r="BO139" i="71"/>
  <c r="BA127" i="71"/>
  <c r="BA91" i="71"/>
  <c r="AZ91" i="71"/>
  <c r="BL55" i="71"/>
  <c r="BP43" i="71"/>
  <c r="BS43" i="71"/>
  <c r="BN43" i="71"/>
  <c r="BK159" i="71"/>
  <c r="BH159" i="71"/>
  <c r="BA50" i="71"/>
  <c r="BP222" i="71"/>
  <c r="BN210" i="71"/>
  <c r="BQ186" i="71"/>
  <c r="BP186" i="71"/>
  <c r="BR186" i="71"/>
  <c r="BS174" i="71"/>
  <c r="BO150" i="71"/>
  <c r="BN150" i="71"/>
  <c r="BR126" i="71"/>
  <c r="BN126" i="71"/>
  <c r="BO126" i="71"/>
  <c r="BJ90" i="71"/>
  <c r="BP42" i="71"/>
  <c r="BB51" i="71"/>
  <c r="BQ158" i="71"/>
  <c r="BK221" i="71"/>
  <c r="BJ221" i="71"/>
  <c r="BH221" i="71"/>
  <c r="BG221" i="71"/>
  <c r="BD173" i="71"/>
  <c r="BB173" i="71"/>
  <c r="BJ125" i="71"/>
  <c r="BH125" i="71"/>
  <c r="BK125" i="71"/>
  <c r="BI125" i="71"/>
  <c r="BN147" i="71"/>
  <c r="BP147" i="71"/>
  <c r="BQ63" i="71"/>
  <c r="BR146" i="71"/>
  <c r="BK220" i="71"/>
  <c r="BK184" i="71"/>
  <c r="BD136" i="71"/>
  <c r="BI124" i="71"/>
  <c r="BD64" i="71"/>
  <c r="BA64" i="71"/>
  <c r="BA217" i="71"/>
  <c r="BC217" i="71"/>
  <c r="BE217" i="71"/>
  <c r="AZ217" i="71"/>
  <c r="BB217" i="71"/>
  <c r="BD217" i="71"/>
  <c r="BE133" i="71"/>
  <c r="BD133" i="71"/>
  <c r="AZ133" i="71"/>
  <c r="BB133" i="71"/>
  <c r="BA133" i="71"/>
  <c r="BG61" i="71"/>
  <c r="BC49" i="71"/>
  <c r="BB49" i="71"/>
  <c r="BE49" i="71"/>
  <c r="BD49" i="71"/>
  <c r="BS127" i="71"/>
  <c r="BR127" i="71"/>
  <c r="BO127" i="71"/>
  <c r="BK103" i="71"/>
  <c r="BI103" i="71"/>
  <c r="BH103" i="71"/>
  <c r="BJ103" i="71"/>
  <c r="BL138" i="71"/>
  <c r="BJ138" i="71"/>
  <c r="BC203" i="71"/>
  <c r="AZ59" i="71"/>
  <c r="BH74" i="71"/>
  <c r="BL191" i="71"/>
  <c r="BO179" i="71"/>
  <c r="BD179" i="71"/>
  <c r="AZ155" i="71"/>
  <c r="BS155" i="71"/>
  <c r="BQ143" i="71"/>
  <c r="BO143" i="71"/>
  <c r="BO119" i="71"/>
  <c r="BH107" i="71"/>
  <c r="BA95" i="71"/>
  <c r="BL71" i="71"/>
  <c r="BK59" i="71"/>
  <c r="BN47" i="71"/>
  <c r="BS47" i="71"/>
  <c r="BK35" i="71"/>
  <c r="BG213" i="71"/>
  <c r="BE177" i="71"/>
  <c r="BS177" i="71"/>
  <c r="BG129" i="71"/>
  <c r="BH81" i="71"/>
  <c r="BB33" i="71"/>
  <c r="BC206" i="71"/>
  <c r="BQ74" i="71"/>
  <c r="BP74" i="71"/>
  <c r="BB214" i="71"/>
  <c r="BA202" i="71"/>
  <c r="BS202" i="71"/>
  <c r="BB166" i="71"/>
  <c r="BI154" i="71"/>
  <c r="BO142" i="71"/>
  <c r="BK118" i="71"/>
  <c r="BE106" i="71"/>
  <c r="BN106" i="71"/>
  <c r="BE82" i="71"/>
  <c r="BS82" i="71"/>
  <c r="BO70" i="71"/>
  <c r="BS58" i="71"/>
  <c r="BO46" i="71"/>
  <c r="BB34" i="71"/>
  <c r="BN34" i="71"/>
  <c r="BL189" i="71"/>
  <c r="BI141" i="71"/>
  <c r="BO93" i="71"/>
  <c r="BC182" i="71"/>
  <c r="BS182" i="71"/>
  <c r="BA62" i="71"/>
  <c r="AZ153" i="71"/>
  <c r="BB212" i="71"/>
  <c r="BN212" i="71"/>
  <c r="BE200" i="71"/>
  <c r="BO176" i="71"/>
  <c r="BO164" i="71"/>
  <c r="BR152" i="71"/>
  <c r="BA140" i="71"/>
  <c r="BS128" i="71"/>
  <c r="BP80" i="71"/>
  <c r="BN80" i="71"/>
  <c r="BJ68" i="71"/>
  <c r="BL56" i="71"/>
  <c r="BS56" i="71"/>
  <c r="BP44" i="71"/>
  <c r="AZ99" i="71"/>
  <c r="BE99" i="71"/>
  <c r="BH134" i="71"/>
  <c r="BN134" i="71"/>
  <c r="BQ134" i="71"/>
  <c r="BD223" i="71"/>
  <c r="BA223" i="71"/>
  <c r="BK187" i="71"/>
  <c r="BH187" i="71"/>
  <c r="BI187" i="71"/>
  <c r="BE139" i="71"/>
  <c r="BJ127" i="71"/>
  <c r="BC115" i="71"/>
  <c r="AZ43" i="71"/>
  <c r="BB43" i="71"/>
  <c r="BO75" i="71"/>
  <c r="BG170" i="71"/>
  <c r="BB50" i="71"/>
  <c r="BR222" i="71"/>
  <c r="BD186" i="71"/>
  <c r="BB186" i="71"/>
  <c r="BA186" i="71"/>
  <c r="BR174" i="71"/>
  <c r="BA162" i="71"/>
  <c r="BC162" i="71"/>
  <c r="BG90" i="71"/>
  <c r="BR42" i="71"/>
  <c r="BK158" i="71"/>
  <c r="BJ173" i="71"/>
  <c r="BL173" i="71"/>
  <c r="BH173" i="71"/>
  <c r="BG173" i="71"/>
  <c r="BK173" i="71"/>
  <c r="BS125" i="71"/>
  <c r="BO125" i="71"/>
  <c r="BQ125" i="71"/>
  <c r="BD77" i="71"/>
  <c r="BE77" i="71"/>
  <c r="BC77" i="71"/>
  <c r="BO63" i="71"/>
  <c r="BB184" i="71"/>
  <c r="BC136" i="71"/>
  <c r="BI133" i="71"/>
  <c r="BG133" i="71"/>
  <c r="BJ133" i="71"/>
  <c r="BI97" i="71"/>
  <c r="BK201" i="71"/>
  <c r="AZ117" i="71"/>
  <c r="BE117" i="71"/>
  <c r="BB117" i="71"/>
  <c r="BR216" i="71"/>
  <c r="BP216" i="71"/>
  <c r="BO216" i="71"/>
  <c r="BS216" i="71"/>
  <c r="BC36" i="71"/>
  <c r="BE36" i="71"/>
  <c r="BD36" i="71"/>
  <c r="BB36" i="71"/>
  <c r="BH140" i="71"/>
  <c r="BJ140" i="71"/>
  <c r="BJ219" i="71"/>
  <c r="BH219" i="71"/>
  <c r="BL219" i="71"/>
  <c r="BK61" i="71"/>
  <c r="BH61" i="71"/>
  <c r="BJ61" i="71"/>
  <c r="AZ203" i="71"/>
  <c r="BD155" i="71"/>
  <c r="BN155" i="71"/>
  <c r="BQ119" i="71"/>
  <c r="BG107" i="71"/>
  <c r="BI95" i="71"/>
  <c r="BB95" i="71"/>
  <c r="BJ83" i="71"/>
  <c r="BS59" i="71"/>
  <c r="BN59" i="71"/>
  <c r="BO47" i="71"/>
  <c r="BO35" i="71"/>
  <c r="BC213" i="71"/>
  <c r="BO177" i="71"/>
  <c r="BL81" i="71"/>
  <c r="BH33" i="71"/>
  <c r="BS33" i="71"/>
  <c r="BH206" i="71"/>
  <c r="BI74" i="71"/>
  <c r="AZ214" i="71"/>
  <c r="BC202" i="71"/>
  <c r="BO202" i="71"/>
  <c r="BK166" i="71"/>
  <c r="BK154" i="71"/>
  <c r="BE142" i="71"/>
  <c r="BN118" i="71"/>
  <c r="AZ106" i="71"/>
  <c r="BQ70" i="71"/>
  <c r="BN46" i="71"/>
  <c r="BI34" i="71"/>
  <c r="BR34" i="71"/>
  <c r="BQ189" i="71"/>
  <c r="BQ141" i="71"/>
  <c r="BP93" i="71"/>
  <c r="BD182" i="71"/>
  <c r="BG62" i="71"/>
  <c r="BN153" i="71"/>
  <c r="BH212" i="71"/>
  <c r="BG200" i="71"/>
  <c r="BO188" i="71"/>
  <c r="BN188" i="71"/>
  <c r="BR188" i="71"/>
  <c r="BP152" i="71"/>
  <c r="BG140" i="71"/>
  <c r="BJ56" i="71"/>
  <c r="BR171" i="71"/>
  <c r="BH99" i="71"/>
  <c r="BG99" i="71"/>
  <c r="BQ218" i="71"/>
  <c r="BK223" i="71"/>
  <c r="BJ223" i="71"/>
  <c r="BL223" i="71"/>
  <c r="BH163" i="71"/>
  <c r="BG163" i="71"/>
  <c r="BK139" i="71"/>
  <c r="BQ127" i="71"/>
  <c r="BD115" i="71"/>
  <c r="BQ103" i="71"/>
  <c r="BR111" i="71"/>
  <c r="BN111" i="71"/>
  <c r="BK170" i="71"/>
  <c r="BC50" i="71"/>
  <c r="BE222" i="71"/>
  <c r="AZ222" i="71"/>
  <c r="BJ150" i="71"/>
  <c r="BI150" i="71"/>
  <c r="BL150" i="71"/>
  <c r="BJ126" i="71"/>
  <c r="BH90" i="71"/>
  <c r="AZ209" i="71"/>
  <c r="BB209" i="71"/>
  <c r="BE209" i="71"/>
  <c r="BD209" i="71"/>
  <c r="BA209" i="71"/>
  <c r="BJ161" i="71"/>
  <c r="BI161" i="71"/>
  <c r="BK161" i="71"/>
  <c r="BK77" i="71"/>
  <c r="BJ77" i="71"/>
  <c r="BH77" i="71"/>
  <c r="BG77" i="71"/>
  <c r="BC184" i="71"/>
  <c r="BJ100" i="71"/>
  <c r="BI100" i="71"/>
  <c r="BH100" i="71"/>
  <c r="BG100" i="71"/>
  <c r="BQ87" i="71"/>
  <c r="BR87" i="71"/>
  <c r="BP87" i="71"/>
  <c r="BO87" i="71"/>
  <c r="BG110" i="71"/>
  <c r="BL110" i="71"/>
  <c r="BK110" i="71"/>
  <c r="BH110" i="71"/>
  <c r="BB193" i="71"/>
  <c r="BA193" i="71"/>
  <c r="AZ193" i="71"/>
  <c r="BD193" i="71"/>
  <c r="BR133" i="71"/>
  <c r="BP133" i="71"/>
  <c r="BS133" i="71"/>
  <c r="BO133" i="71"/>
  <c r="BN133" i="71"/>
  <c r="BQ133" i="71"/>
  <c r="BC97" i="71"/>
  <c r="BQ216" i="71"/>
  <c r="BD96" i="71"/>
  <c r="BC96" i="71"/>
  <c r="BA96" i="71"/>
  <c r="AZ36" i="71"/>
  <c r="BA36" i="71"/>
  <c r="BK203" i="71"/>
  <c r="BP119" i="71"/>
  <c r="BQ107" i="71"/>
  <c r="BP107" i="71"/>
  <c r="BL83" i="71"/>
  <c r="BR59" i="71"/>
  <c r="BD47" i="71"/>
  <c r="BN35" i="71"/>
  <c r="BL213" i="71"/>
  <c r="AZ177" i="71"/>
  <c r="BL33" i="71"/>
  <c r="BE206" i="71"/>
  <c r="BK74" i="71"/>
  <c r="BJ74" i="71"/>
  <c r="BP202" i="71"/>
  <c r="BO166" i="71"/>
  <c r="BH154" i="71"/>
  <c r="BQ106" i="71"/>
  <c r="BL82" i="71"/>
  <c r="BD58" i="71"/>
  <c r="BP58" i="71"/>
  <c r="BS34" i="71"/>
  <c r="BN189" i="71"/>
  <c r="BO141" i="71"/>
  <c r="BH182" i="71"/>
  <c r="BI38" i="71"/>
  <c r="BO152" i="71"/>
  <c r="BR140" i="71"/>
  <c r="BJ104" i="71"/>
  <c r="BL104" i="71"/>
  <c r="BN68" i="71"/>
  <c r="BS171" i="71"/>
  <c r="BK99" i="71"/>
  <c r="BR218" i="71"/>
  <c r="BR223" i="71"/>
  <c r="BP223" i="71"/>
  <c r="BQ223" i="71"/>
  <c r="BN223" i="71"/>
  <c r="BE211" i="71"/>
  <c r="BD211" i="71"/>
  <c r="AZ211" i="71"/>
  <c r="BL163" i="71"/>
  <c r="BN151" i="71"/>
  <c r="BO151" i="71"/>
  <c r="BJ139" i="71"/>
  <c r="BI127" i="71"/>
  <c r="BA79" i="71"/>
  <c r="BO67" i="71"/>
  <c r="BG55" i="71"/>
  <c r="BL43" i="71"/>
  <c r="BA111" i="71"/>
  <c r="BH75" i="71"/>
  <c r="BJ75" i="71"/>
  <c r="BL170" i="71"/>
  <c r="AZ50" i="71"/>
  <c r="BD222" i="71"/>
  <c r="BQ210" i="71"/>
  <c r="BS210" i="71"/>
  <c r="BR210" i="71"/>
  <c r="BG51" i="71"/>
  <c r="BJ158" i="71"/>
  <c r="BC209" i="71"/>
  <c r="BK209" i="71"/>
  <c r="BH209" i="71"/>
  <c r="BR161" i="71"/>
  <c r="BQ161" i="71"/>
  <c r="BO161" i="71"/>
  <c r="BS161" i="71"/>
  <c r="BN161" i="71"/>
  <c r="BG113" i="71"/>
  <c r="BQ77" i="71"/>
  <c r="BN77" i="71"/>
  <c r="BR77" i="71"/>
  <c r="BP77" i="71"/>
  <c r="BB41" i="71"/>
  <c r="BI220" i="71"/>
  <c r="BL220" i="71"/>
  <c r="BR208" i="71"/>
  <c r="BO208" i="71"/>
  <c r="BS208" i="71"/>
  <c r="BN208" i="71"/>
  <c r="BH184" i="71"/>
  <c r="BJ135" i="71"/>
  <c r="BG135" i="71"/>
  <c r="BK135" i="71"/>
  <c r="BP110" i="71"/>
  <c r="BS110" i="71"/>
  <c r="BO110" i="71"/>
  <c r="BN110" i="71"/>
  <c r="BR110" i="71"/>
  <c r="AZ97" i="71"/>
  <c r="BN216" i="71"/>
  <c r="BB204" i="71"/>
  <c r="BD204" i="71"/>
  <c r="BC204" i="71"/>
  <c r="BA204" i="71"/>
  <c r="BE204" i="71"/>
  <c r="AZ204" i="71"/>
  <c r="BC168" i="71"/>
  <c r="BD168" i="71"/>
  <c r="BA168" i="71"/>
  <c r="AZ105" i="71"/>
  <c r="BE105" i="71"/>
  <c r="BD105" i="71"/>
  <c r="BB105" i="71"/>
  <c r="BS62" i="71"/>
  <c r="BO62" i="71"/>
  <c r="BN99" i="71"/>
  <c r="BQ99" i="71"/>
  <c r="BL42" i="71"/>
  <c r="BG42" i="71"/>
  <c r="BK42" i="71"/>
  <c r="BJ42" i="71"/>
  <c r="BL119" i="71"/>
  <c r="BI107" i="71"/>
  <c r="BO59" i="71"/>
  <c r="BR35" i="71"/>
  <c r="AZ202" i="71"/>
  <c r="BQ166" i="71"/>
  <c r="BJ154" i="71"/>
  <c r="BE118" i="71"/>
  <c r="BR141" i="71"/>
  <c r="BN62" i="71"/>
  <c r="BE212" i="71"/>
  <c r="AZ212" i="71"/>
  <c r="BN176" i="71"/>
  <c r="BE152" i="71"/>
  <c r="BB140" i="71"/>
  <c r="BR104" i="71"/>
  <c r="BQ104" i="71"/>
  <c r="BD92" i="71"/>
  <c r="BO68" i="71"/>
  <c r="BR99" i="71"/>
  <c r="BO218" i="71"/>
  <c r="BQ187" i="71"/>
  <c r="BO187" i="71"/>
  <c r="BP151" i="71"/>
  <c r="BR139" i="71"/>
  <c r="BL127" i="71"/>
  <c r="BG103" i="71"/>
  <c r="BJ79" i="71"/>
  <c r="BK79" i="71"/>
  <c r="BG79" i="71"/>
  <c r="BE43" i="71"/>
  <c r="BP30" i="71"/>
  <c r="BN30" i="71"/>
  <c r="BQ30" i="71"/>
  <c r="BO207" i="71"/>
  <c r="BR207" i="71"/>
  <c r="BJ50" i="71"/>
  <c r="BA222" i="71"/>
  <c r="BP162" i="71"/>
  <c r="BG150" i="71"/>
  <c r="BH42" i="71"/>
  <c r="BA123" i="71"/>
  <c r="BI113" i="71"/>
  <c r="BS63" i="71"/>
  <c r="BP63" i="71"/>
  <c r="BA220" i="71"/>
  <c r="BE220" i="71"/>
  <c r="AZ220" i="71"/>
  <c r="BD220" i="71"/>
  <c r="BC220" i="71"/>
  <c r="BB220" i="71"/>
  <c r="BL184" i="71"/>
  <c r="BG88" i="71"/>
  <c r="BI88" i="71"/>
  <c r="BK88" i="71"/>
  <c r="BL88" i="71"/>
  <c r="BH88" i="71"/>
  <c r="BJ52" i="71"/>
  <c r="BN145" i="71"/>
  <c r="BQ145" i="71"/>
  <c r="BO145" i="71"/>
  <c r="BR145" i="71"/>
  <c r="BS145" i="71"/>
  <c r="BD97" i="71"/>
  <c r="BS108" i="71"/>
  <c r="BO108" i="71"/>
  <c r="BQ108" i="71"/>
  <c r="BN108" i="71"/>
  <c r="BR108" i="71"/>
  <c r="BO84" i="71"/>
  <c r="BP84" i="71"/>
  <c r="BR84" i="71"/>
  <c r="BQ84" i="71"/>
  <c r="BN84" i="71"/>
  <c r="BS84" i="71"/>
  <c r="BI201" i="71"/>
  <c r="BH201" i="71"/>
  <c r="BG201" i="71"/>
  <c r="BJ201" i="71"/>
  <c r="BK96" i="71"/>
  <c r="BJ96" i="71"/>
  <c r="BH96" i="71"/>
  <c r="BG96" i="71"/>
  <c r="BI96" i="71"/>
  <c r="BI105" i="71"/>
  <c r="BG105" i="71"/>
  <c r="BH105" i="71"/>
  <c r="BK105" i="71"/>
  <c r="BJ105" i="71"/>
  <c r="BE167" i="71"/>
  <c r="BO189" i="71"/>
  <c r="AZ141" i="71"/>
  <c r="BN141" i="71"/>
  <c r="BQ62" i="71"/>
  <c r="BR153" i="71"/>
  <c r="BQ153" i="71"/>
  <c r="BP153" i="71"/>
  <c r="BR176" i="71"/>
  <c r="BI140" i="71"/>
  <c r="BI68" i="71"/>
  <c r="BH68" i="71"/>
  <c r="BK68" i="71"/>
  <c r="BS99" i="71"/>
  <c r="BP218" i="71"/>
  <c r="BP139" i="71"/>
  <c r="BN127" i="71"/>
  <c r="BL103" i="71"/>
  <c r="BR91" i="71"/>
  <c r="BP91" i="71"/>
  <c r="BO91" i="71"/>
  <c r="BN91" i="71"/>
  <c r="BQ79" i="71"/>
  <c r="BP79" i="71"/>
  <c r="BN79" i="71"/>
  <c r="BR79" i="71"/>
  <c r="BO79" i="71"/>
  <c r="BC111" i="71"/>
  <c r="BE111" i="71"/>
  <c r="BR162" i="71"/>
  <c r="BK150" i="71"/>
  <c r="BH126" i="71"/>
  <c r="BA42" i="71"/>
  <c r="BB123" i="71"/>
  <c r="BA51" i="71"/>
  <c r="BE51" i="71"/>
  <c r="BC51" i="71"/>
  <c r="BJ113" i="71"/>
  <c r="BD65" i="71"/>
  <c r="BA65" i="71"/>
  <c r="BB65" i="71"/>
  <c r="AZ65" i="71"/>
  <c r="BS146" i="71"/>
  <c r="BQ208" i="71"/>
  <c r="BQ184" i="71"/>
  <c r="BE136" i="71"/>
  <c r="BK100" i="71"/>
  <c r="BO88" i="71"/>
  <c r="BQ88" i="71"/>
  <c r="BL52" i="71"/>
  <c r="BP183" i="71"/>
  <c r="BQ183" i="71"/>
  <c r="BR183" i="71"/>
  <c r="BI135" i="71"/>
  <c r="BE193" i="71"/>
  <c r="BB181" i="71"/>
  <c r="BD85" i="71"/>
  <c r="AZ85" i="71"/>
  <c r="BE85" i="71"/>
  <c r="BB85" i="71"/>
  <c r="BC85" i="71"/>
  <c r="BD108" i="71"/>
  <c r="BB108" i="71"/>
  <c r="BO201" i="71"/>
  <c r="BN201" i="71"/>
  <c r="BQ201" i="71"/>
  <c r="BS201" i="71"/>
  <c r="BR201" i="71"/>
  <c r="BL168" i="71"/>
  <c r="BK168" i="71"/>
  <c r="BJ168" i="71"/>
  <c r="BH168" i="71"/>
  <c r="BG168" i="71"/>
  <c r="BL217" i="71"/>
  <c r="BR193" i="71"/>
  <c r="BG169" i="71"/>
  <c r="BD109" i="71"/>
  <c r="BP97" i="71"/>
  <c r="BP49" i="71"/>
  <c r="BH117" i="71"/>
  <c r="BI156" i="71"/>
  <c r="BN96" i="71"/>
  <c r="BQ165" i="71"/>
  <c r="BR105" i="71"/>
  <c r="BB44" i="71"/>
  <c r="BP211" i="71"/>
  <c r="BB163" i="71"/>
  <c r="BQ163" i="71"/>
  <c r="BE67" i="71"/>
  <c r="BB30" i="71"/>
  <c r="BC207" i="71"/>
  <c r="BB207" i="71"/>
  <c r="BD75" i="71"/>
  <c r="BD170" i="71"/>
  <c r="AZ210" i="71"/>
  <c r="BL198" i="71"/>
  <c r="BK114" i="71"/>
  <c r="BN102" i="71"/>
  <c r="BS90" i="71"/>
  <c r="BB66" i="71"/>
  <c r="BP66" i="71"/>
  <c r="BI54" i="71"/>
  <c r="BA158" i="71"/>
  <c r="BC221" i="71"/>
  <c r="BD197" i="71"/>
  <c r="BS197" i="71"/>
  <c r="AZ149" i="71"/>
  <c r="BN149" i="71"/>
  <c r="BC101" i="71"/>
  <c r="BS101" i="71"/>
  <c r="BN41" i="71"/>
  <c r="BC219" i="71"/>
  <c r="BH196" i="71"/>
  <c r="BG172" i="71"/>
  <c r="BN172" i="71"/>
  <c r="BR148" i="71"/>
  <c r="BS136" i="71"/>
  <c r="AZ124" i="71"/>
  <c r="AZ112" i="71"/>
  <c r="BO112" i="71"/>
  <c r="BB76" i="71"/>
  <c r="BO40" i="71"/>
  <c r="BI27" i="71"/>
  <c r="BO27" i="71"/>
  <c r="BS217" i="71"/>
  <c r="BR205" i="71"/>
  <c r="BI169" i="71"/>
  <c r="BQ169" i="71"/>
  <c r="BD157" i="71"/>
  <c r="BL145" i="71"/>
  <c r="BO121" i="71"/>
  <c r="BS85" i="71"/>
  <c r="BP73" i="71"/>
  <c r="BK37" i="71"/>
  <c r="BD37" i="71"/>
  <c r="BN144" i="71"/>
  <c r="BO72" i="71"/>
  <c r="BG48" i="71"/>
  <c r="BP192" i="71"/>
  <c r="BL156" i="71"/>
  <c r="BP117" i="71"/>
  <c r="BI216" i="71"/>
  <c r="BH204" i="71"/>
  <c r="BQ192" i="71"/>
  <c r="BJ156" i="71"/>
  <c r="BS156" i="71"/>
  <c r="BQ57" i="71"/>
  <c r="BO57" i="71"/>
  <c r="BN211" i="71"/>
  <c r="BI67" i="71"/>
  <c r="BC75" i="71"/>
  <c r="BA210" i="71"/>
  <c r="BJ114" i="71"/>
  <c r="BO114" i="71"/>
  <c r="BO90" i="71"/>
  <c r="BO78" i="71"/>
  <c r="BE66" i="71"/>
  <c r="BD66" i="71"/>
  <c r="BE86" i="71"/>
  <c r="AZ86" i="71"/>
  <c r="AZ197" i="71"/>
  <c r="BQ197" i="71"/>
  <c r="AZ185" i="71"/>
  <c r="BQ149" i="71"/>
  <c r="BN113" i="71"/>
  <c r="BE101" i="71"/>
  <c r="AZ101" i="71"/>
  <c r="BD89" i="71"/>
  <c r="BN65" i="71"/>
  <c r="AZ219" i="71"/>
  <c r="BC147" i="71"/>
  <c r="BQ220" i="71"/>
  <c r="BP172" i="71"/>
  <c r="BQ136" i="71"/>
  <c r="BB112" i="71"/>
  <c r="AZ100" i="71"/>
  <c r="AZ76" i="71"/>
  <c r="BC27" i="71"/>
  <c r="BN27" i="71"/>
  <c r="BL87" i="71"/>
  <c r="BN217" i="71"/>
  <c r="BA205" i="71"/>
  <c r="BE169" i="71"/>
  <c r="BO169" i="71"/>
  <c r="BR97" i="71"/>
  <c r="BQ85" i="71"/>
  <c r="BA73" i="71"/>
  <c r="BD73" i="71"/>
  <c r="BB37" i="71"/>
  <c r="BA37" i="71"/>
  <c r="BR144" i="71"/>
  <c r="AZ84" i="71"/>
  <c r="BI117" i="71"/>
  <c r="BL117" i="71"/>
  <c r="BP69" i="71"/>
  <c r="BD98" i="71"/>
  <c r="BO192" i="71"/>
  <c r="BP156" i="71"/>
  <c r="BO132" i="71"/>
  <c r="BS57" i="71"/>
  <c r="BS114" i="71"/>
  <c r="BQ90" i="71"/>
  <c r="BN78" i="71"/>
  <c r="BJ54" i="71"/>
  <c r="BL54" i="71"/>
  <c r="BB86" i="71"/>
  <c r="BO113" i="71"/>
  <c r="BA101" i="71"/>
  <c r="BR41" i="71"/>
  <c r="BB219" i="71"/>
  <c r="BK63" i="71"/>
  <c r="BN220" i="71"/>
  <c r="BI208" i="71"/>
  <c r="BI196" i="71"/>
  <c r="BN136" i="71"/>
  <c r="AZ27" i="71"/>
  <c r="BI87" i="71"/>
  <c r="BB87" i="71"/>
  <c r="BI194" i="71"/>
  <c r="BO205" i="71"/>
  <c r="BS193" i="71"/>
  <c r="BO97" i="71"/>
  <c r="BR85" i="71"/>
  <c r="BB73" i="71"/>
  <c r="BS117" i="71"/>
  <c r="BB98" i="71"/>
  <c r="BK216" i="71"/>
  <c r="BI204" i="71"/>
  <c r="BO156" i="71"/>
  <c r="BS113" i="71"/>
  <c r="BI63" i="71"/>
  <c r="BP220" i="71"/>
  <c r="BJ196" i="71"/>
  <c r="BJ27" i="71"/>
  <c r="BK194" i="71"/>
  <c r="BH217" i="71"/>
  <c r="BQ205" i="71"/>
  <c r="AZ109" i="71"/>
  <c r="BS97" i="71"/>
  <c r="BL85" i="71"/>
  <c r="BO85" i="71"/>
  <c r="BK117" i="71"/>
  <c r="BO117" i="71"/>
  <c r="BR96" i="71"/>
  <c r="BR90" i="71"/>
  <c r="BB78" i="71"/>
  <c r="BR66" i="71"/>
  <c r="BR220" i="71"/>
  <c r="BL196" i="71"/>
  <c r="BC112" i="71"/>
  <c r="BO193" i="71"/>
  <c r="AZ145" i="71"/>
  <c r="BA109" i="71"/>
  <c r="BG117" i="71"/>
  <c r="BR117" i="71"/>
  <c r="BG120" i="71"/>
  <c r="BS96" i="71"/>
  <c r="BO165" i="71"/>
  <c r="BP105" i="71"/>
  <c r="BQ105" i="71"/>
  <c r="BJ122" i="71"/>
  <c r="BN90" i="71"/>
  <c r="AZ221" i="71"/>
  <c r="BJ204" i="71"/>
  <c r="BP96" i="71"/>
  <c r="BQ36" i="71"/>
  <c r="AV63" i="71"/>
  <c r="E28" i="110"/>
  <c r="E8" i="110"/>
  <c r="F7" i="110"/>
  <c r="E7" i="110"/>
  <c r="F6" i="110"/>
  <c r="E6" i="110"/>
  <c r="E5" i="110"/>
  <c r="F5" i="110"/>
  <c r="F4" i="110"/>
  <c r="E4" i="110"/>
  <c r="F24" i="110"/>
  <c r="E24" i="110"/>
  <c r="F3" i="110"/>
  <c r="E3" i="110"/>
  <c r="F23" i="110"/>
  <c r="E23" i="110"/>
  <c r="E26" i="110"/>
  <c r="F26" i="110"/>
  <c r="F25" i="110"/>
  <c r="E25" i="110"/>
  <c r="F27" i="110"/>
  <c r="E27" i="110"/>
  <c r="O49" i="3"/>
  <c r="K49" i="3"/>
  <c r="W59" i="3"/>
  <c r="W49" i="3"/>
  <c r="Q49" i="3"/>
  <c r="S49" i="3"/>
  <c r="EA8" i="71"/>
  <c r="EF8" i="71"/>
  <c r="EE8" i="71"/>
  <c r="DZ8" i="71"/>
  <c r="ED8" i="71"/>
  <c r="DJ8" i="71"/>
  <c r="DK9" i="71" s="1"/>
  <c r="DH8" i="71"/>
  <c r="DI9" i="71" s="1"/>
  <c r="DF8" i="71"/>
  <c r="DG9" i="71" s="1"/>
  <c r="CZ8" i="71"/>
  <c r="DA9" i="71" s="1"/>
  <c r="DD8" i="71"/>
  <c r="DE9" i="71" s="1"/>
  <c r="DB8" i="71"/>
  <c r="DC9" i="71" s="1"/>
  <c r="CX8" i="71"/>
  <c r="CY9" i="71" s="1"/>
  <c r="DY8" i="71"/>
  <c r="EB8" i="71"/>
  <c r="J11" i="110"/>
  <c r="I11" i="110"/>
  <c r="P11" i="110"/>
  <c r="D11" i="110"/>
  <c r="O11" i="110"/>
  <c r="C11" i="110"/>
  <c r="L11" i="110"/>
  <c r="N11" i="110"/>
  <c r="M11" i="110"/>
  <c r="K11" i="110"/>
  <c r="B30" i="110"/>
  <c r="F29" i="110"/>
  <c r="E29" i="110"/>
  <c r="J31" i="110"/>
  <c r="I31" i="110"/>
  <c r="K31" i="110"/>
  <c r="P31" i="110"/>
  <c r="D31" i="110"/>
  <c r="L31" i="110"/>
  <c r="O31" i="110"/>
  <c r="C31" i="110"/>
  <c r="N31" i="110"/>
  <c r="M31" i="110"/>
  <c r="A32" i="110"/>
  <c r="B10" i="110"/>
  <c r="A12" i="110"/>
  <c r="F9" i="110"/>
  <c r="E9" i="110"/>
  <c r="Y9" i="109"/>
  <c r="Y7" i="109" s="1"/>
  <c r="G4" i="110" s="1"/>
  <c r="AS100" i="71"/>
  <c r="AT28" i="71"/>
  <c r="AT206" i="71"/>
  <c r="X59" i="3"/>
  <c r="Y59" i="3" s="1"/>
  <c r="Y48" i="3"/>
  <c r="X56" i="3"/>
  <c r="Y56" i="3" s="1"/>
  <c r="Y47" i="3"/>
  <c r="X58" i="3"/>
  <c r="Y58" i="3" s="1"/>
  <c r="Y49" i="3"/>
  <c r="X57" i="3"/>
  <c r="Y57" i="3" s="1"/>
  <c r="F12" i="98"/>
  <c r="B89" i="95"/>
  <c r="B105" i="95"/>
  <c r="B89" i="94"/>
  <c r="B105" i="94"/>
  <c r="B105" i="93"/>
  <c r="B90" i="93"/>
  <c r="B104" i="92"/>
  <c r="I103" i="92"/>
  <c r="B89" i="92"/>
  <c r="I88" i="92"/>
  <c r="AU63" i="71"/>
  <c r="AT34" i="71"/>
  <c r="AT47" i="71"/>
  <c r="AW193" i="71"/>
  <c r="AT99" i="71"/>
  <c r="AU43" i="71"/>
  <c r="AU175" i="71"/>
  <c r="AT119" i="71"/>
  <c r="AS218" i="71"/>
  <c r="AX218" i="71"/>
  <c r="AU98" i="71"/>
  <c r="AW136" i="71"/>
  <c r="AU35" i="71"/>
  <c r="AT167" i="71"/>
  <c r="AV153" i="71"/>
  <c r="AS123" i="71"/>
  <c r="AW105" i="71"/>
  <c r="AU138" i="71"/>
  <c r="AV134" i="71"/>
  <c r="AU78" i="71"/>
  <c r="AV57" i="71"/>
  <c r="AV105" i="71"/>
  <c r="AW185" i="71"/>
  <c r="AW42" i="71"/>
  <c r="AV207" i="71"/>
  <c r="AX171" i="71"/>
  <c r="AT75" i="71"/>
  <c r="AX74" i="71"/>
  <c r="AW164" i="71"/>
  <c r="AU60" i="71"/>
  <c r="AW198" i="71"/>
  <c r="AS43" i="71"/>
  <c r="AV29" i="71"/>
  <c r="AV176" i="71"/>
  <c r="AV28" i="71"/>
  <c r="AS198" i="71"/>
  <c r="AV60" i="71"/>
  <c r="AW27" i="71"/>
  <c r="AU64" i="71"/>
  <c r="AV140" i="71"/>
  <c r="AS206" i="71"/>
  <c r="AT198" i="71"/>
  <c r="AT158" i="71"/>
  <c r="AX64" i="71"/>
  <c r="AW140" i="71"/>
  <c r="AX196" i="71"/>
  <c r="AV206" i="71"/>
  <c r="AV198" i="71"/>
  <c r="AS180" i="71"/>
  <c r="AT207" i="71"/>
  <c r="AU27" i="71"/>
  <c r="AS54" i="71"/>
  <c r="AW30" i="71"/>
  <c r="AT208" i="71"/>
  <c r="AT160" i="71"/>
  <c r="AX34" i="71"/>
  <c r="AW206" i="71"/>
  <c r="AX198" i="71"/>
  <c r="AW171" i="71"/>
  <c r="AS27" i="71"/>
  <c r="AS34" i="71"/>
  <c r="AT40" i="71"/>
  <c r="AX206" i="71"/>
  <c r="AS175" i="71"/>
  <c r="AT141" i="71"/>
  <c r="AW131" i="71"/>
  <c r="AX121" i="71"/>
  <c r="AU178" i="71"/>
  <c r="AU130" i="71"/>
  <c r="AU39" i="71"/>
  <c r="AU29" i="71"/>
  <c r="AS88" i="71"/>
  <c r="AU44" i="71"/>
  <c r="AW174" i="71"/>
  <c r="AW142" i="71"/>
  <c r="AU110" i="71"/>
  <c r="AS62" i="71"/>
  <c r="AW121" i="71"/>
  <c r="AX109" i="71"/>
  <c r="AS130" i="71"/>
  <c r="AX39" i="71"/>
  <c r="AT29" i="71"/>
  <c r="AW40" i="71"/>
  <c r="AV174" i="71"/>
  <c r="AV121" i="71"/>
  <c r="AU209" i="71"/>
  <c r="AU201" i="71"/>
  <c r="AS177" i="71"/>
  <c r="AS161" i="71"/>
  <c r="AV137" i="71"/>
  <c r="AT127" i="71"/>
  <c r="AW108" i="71"/>
  <c r="AS124" i="71"/>
  <c r="AV96" i="71"/>
  <c r="AX40" i="71"/>
  <c r="AT148" i="71"/>
  <c r="AU158" i="71"/>
  <c r="AU126" i="71"/>
  <c r="AU32" i="71"/>
  <c r="AT209" i="71"/>
  <c r="AV201" i="71"/>
  <c r="AT177" i="71"/>
  <c r="AU161" i="71"/>
  <c r="AW137" i="71"/>
  <c r="AU148" i="71"/>
  <c r="AV177" i="71"/>
  <c r="AS30" i="71"/>
  <c r="AX84" i="71"/>
  <c r="AV136" i="71"/>
  <c r="AV88" i="71"/>
  <c r="AW50" i="71"/>
  <c r="AT126" i="71"/>
  <c r="AU49" i="71"/>
  <c r="AS56" i="71"/>
  <c r="AW88" i="71"/>
  <c r="AW215" i="71"/>
  <c r="AS203" i="71"/>
  <c r="AW199" i="71"/>
  <c r="AX193" i="71"/>
  <c r="AV111" i="71"/>
  <c r="AS91" i="71"/>
  <c r="AS81" i="71"/>
  <c r="AW202" i="71"/>
  <c r="AT154" i="71"/>
  <c r="AX220" i="71"/>
  <c r="AS188" i="71"/>
  <c r="AU112" i="71"/>
  <c r="AV80" i="71"/>
  <c r="AU150" i="71"/>
  <c r="AW172" i="71"/>
  <c r="AX212" i="71"/>
  <c r="AX215" i="71"/>
  <c r="AW209" i="71"/>
  <c r="AT199" i="71"/>
  <c r="AW169" i="71"/>
  <c r="AX161" i="71"/>
  <c r="AX125" i="71"/>
  <c r="AU91" i="71"/>
  <c r="AV71" i="71"/>
  <c r="AT220" i="71"/>
  <c r="AV124" i="71"/>
  <c r="AU84" i="71"/>
  <c r="AT200" i="71"/>
  <c r="AV168" i="71"/>
  <c r="AS152" i="71"/>
  <c r="AX136" i="71"/>
  <c r="AV112" i="71"/>
  <c r="AW96" i="71"/>
  <c r="AS80" i="71"/>
  <c r="AX58" i="71"/>
  <c r="AX116" i="71"/>
  <c r="AX174" i="71"/>
  <c r="AS126" i="71"/>
  <c r="AV102" i="71"/>
  <c r="AU172" i="71"/>
  <c r="AT215" i="71"/>
  <c r="AT201" i="71"/>
  <c r="AT161" i="71"/>
  <c r="AU153" i="71"/>
  <c r="AT125" i="71"/>
  <c r="AW71" i="71"/>
  <c r="AV146" i="71"/>
  <c r="AW114" i="71"/>
  <c r="AV47" i="71"/>
  <c r="AT39" i="71"/>
  <c r="AW53" i="71"/>
  <c r="AS36" i="71"/>
  <c r="AS164" i="71"/>
  <c r="AW124" i="71"/>
  <c r="AV84" i="71"/>
  <c r="AV200" i="71"/>
  <c r="AW168" i="71"/>
  <c r="AU136" i="71"/>
  <c r="AT96" i="71"/>
  <c r="AT80" i="71"/>
  <c r="AV58" i="71"/>
  <c r="AT102" i="71"/>
  <c r="AW219" i="71"/>
  <c r="AV161" i="71"/>
  <c r="AX153" i="71"/>
  <c r="AX114" i="71"/>
  <c r="AW47" i="71"/>
  <c r="AX33" i="71"/>
  <c r="AW48" i="71"/>
  <c r="AU36" i="71"/>
  <c r="AV164" i="71"/>
  <c r="AX124" i="71"/>
  <c r="AS84" i="71"/>
  <c r="AS160" i="71"/>
  <c r="AS144" i="71"/>
  <c r="AS128" i="71"/>
  <c r="AU104" i="71"/>
  <c r="AT190" i="71"/>
  <c r="AS166" i="71"/>
  <c r="AV126" i="71"/>
  <c r="AT124" i="71"/>
  <c r="AT84" i="71"/>
  <c r="AV144" i="71"/>
  <c r="AW104" i="71"/>
  <c r="AW72" i="71"/>
  <c r="AW34" i="71"/>
  <c r="AS60" i="71"/>
  <c r="AS40" i="71"/>
  <c r="AS148" i="71"/>
  <c r="AV190" i="71"/>
  <c r="AS134" i="71"/>
  <c r="AS46" i="71"/>
  <c r="AT132" i="71"/>
  <c r="AS219" i="71"/>
  <c r="AW201" i="71"/>
  <c r="AS193" i="71"/>
  <c r="AS185" i="71"/>
  <c r="AU177" i="71"/>
  <c r="AU159" i="71"/>
  <c r="AS129" i="71"/>
  <c r="AT115" i="71"/>
  <c r="AU75" i="71"/>
  <c r="AW210" i="71"/>
  <c r="AS106" i="71"/>
  <c r="AV39" i="71"/>
  <c r="AT42" i="71"/>
  <c r="AX164" i="71"/>
  <c r="AS184" i="71"/>
  <c r="AW160" i="71"/>
  <c r="AS136" i="71"/>
  <c r="AX128" i="71"/>
  <c r="AS104" i="71"/>
  <c r="AX60" i="71"/>
  <c r="AU40" i="71"/>
  <c r="AX148" i="71"/>
  <c r="AT134" i="71"/>
  <c r="AS118" i="71"/>
  <c r="AS86" i="71"/>
  <c r="AU132" i="71"/>
  <c r="AS209" i="71"/>
  <c r="AW203" i="71"/>
  <c r="AX201" i="71"/>
  <c r="AT193" i="71"/>
  <c r="AX185" i="71"/>
  <c r="AX177" i="71"/>
  <c r="AS159" i="71"/>
  <c r="AU105" i="71"/>
  <c r="AS83" i="71"/>
  <c r="AT73" i="71"/>
  <c r="AV210" i="71"/>
  <c r="AW39" i="71"/>
  <c r="AU42" i="71"/>
  <c r="AT164" i="71"/>
  <c r="AX160" i="71"/>
  <c r="AX104" i="71"/>
  <c r="AV221" i="71"/>
  <c r="AW217" i="71"/>
  <c r="AU211" i="71"/>
  <c r="AX209" i="71"/>
  <c r="AU193" i="71"/>
  <c r="AS191" i="71"/>
  <c r="AU185" i="71"/>
  <c r="AX155" i="71"/>
  <c r="AT151" i="71"/>
  <c r="AT143" i="71"/>
  <c r="AX139" i="71"/>
  <c r="AS135" i="71"/>
  <c r="AU127" i="71"/>
  <c r="AU123" i="71"/>
  <c r="AV119" i="71"/>
  <c r="AU111" i="71"/>
  <c r="AS109" i="71"/>
  <c r="AS105" i="71"/>
  <c r="AV103" i="71"/>
  <c r="AV95" i="71"/>
  <c r="AS89" i="71"/>
  <c r="AV87" i="71"/>
  <c r="AT77" i="71"/>
  <c r="AU73" i="71"/>
  <c r="AS202" i="71"/>
  <c r="AS194" i="71"/>
  <c r="AT170" i="71"/>
  <c r="AV162" i="71"/>
  <c r="AV138" i="71"/>
  <c r="AT90" i="71"/>
  <c r="AX49" i="71"/>
  <c r="AX47" i="71"/>
  <c r="AT41" i="71"/>
  <c r="AV27" i="71"/>
  <c r="AV38" i="71"/>
  <c r="AX56" i="71"/>
  <c r="AT48" i="71"/>
  <c r="AS42" i="71"/>
  <c r="AS216" i="71"/>
  <c r="AU208" i="71"/>
  <c r="AU168" i="71"/>
  <c r="AX152" i="71"/>
  <c r="AU144" i="71"/>
  <c r="AT112" i="71"/>
  <c r="AT88" i="71"/>
  <c r="AT72" i="71"/>
  <c r="AW204" i="71"/>
  <c r="AT58" i="71"/>
  <c r="AU116" i="71"/>
  <c r="AU190" i="71"/>
  <c r="AV182" i="71"/>
  <c r="AX166" i="71"/>
  <c r="AW134" i="71"/>
  <c r="AX110" i="71"/>
  <c r="AX62" i="71"/>
  <c r="AS57" i="71"/>
  <c r="AU52" i="71"/>
  <c r="AU180" i="71"/>
  <c r="AX217" i="71"/>
  <c r="AW211" i="71"/>
  <c r="AU151" i="71"/>
  <c r="AU143" i="71"/>
  <c r="AS127" i="71"/>
  <c r="AV123" i="71"/>
  <c r="AX111" i="71"/>
  <c r="AW109" i="71"/>
  <c r="AU89" i="71"/>
  <c r="AV73" i="71"/>
  <c r="AU202" i="71"/>
  <c r="AV170" i="71"/>
  <c r="AX162" i="71"/>
  <c r="AX138" i="71"/>
  <c r="AS114" i="71"/>
  <c r="AS82" i="71"/>
  <c r="AT49" i="71"/>
  <c r="AU56" i="71"/>
  <c r="AU48" i="71"/>
  <c r="AV42" i="71"/>
  <c r="AX216" i="71"/>
  <c r="AV208" i="71"/>
  <c r="AT152" i="71"/>
  <c r="AX112" i="71"/>
  <c r="AX88" i="71"/>
  <c r="AV64" i="71"/>
  <c r="AU204" i="71"/>
  <c r="AU58" i="71"/>
  <c r="AW44" i="71"/>
  <c r="AV116" i="71"/>
  <c r="AX182" i="71"/>
  <c r="AT110" i="71"/>
  <c r="AU46" i="71"/>
  <c r="AV52" i="71"/>
  <c r="AW207" i="71"/>
  <c r="AX199" i="71"/>
  <c r="AT189" i="71"/>
  <c r="AV185" i="71"/>
  <c r="AT175" i="71"/>
  <c r="AT159" i="71"/>
  <c r="AS153" i="71"/>
  <c r="AS151" i="71"/>
  <c r="AS143" i="71"/>
  <c r="AU137" i="71"/>
  <c r="AU125" i="71"/>
  <c r="AT111" i="71"/>
  <c r="AU109" i="71"/>
  <c r="AW93" i="71"/>
  <c r="AV89" i="71"/>
  <c r="AW75" i="71"/>
  <c r="AU71" i="71"/>
  <c r="AT218" i="71"/>
  <c r="AX202" i="71"/>
  <c r="AX170" i="71"/>
  <c r="AW130" i="71"/>
  <c r="AU114" i="71"/>
  <c r="AS90" i="71"/>
  <c r="AT82" i="71"/>
  <c r="AU47" i="71"/>
  <c r="AW45" i="71"/>
  <c r="AU33" i="71"/>
  <c r="AS29" i="71"/>
  <c r="AX38" i="71"/>
  <c r="AV26" i="71"/>
  <c r="AV56" i="71"/>
  <c r="AV48" i="71"/>
  <c r="AU216" i="71"/>
  <c r="AS168" i="71"/>
  <c r="AU152" i="71"/>
  <c r="AS96" i="71"/>
  <c r="AW64" i="71"/>
  <c r="AV204" i="71"/>
  <c r="AW58" i="71"/>
  <c r="AX44" i="71"/>
  <c r="AW116" i="71"/>
  <c r="AW190" i="71"/>
  <c r="AU134" i="71"/>
  <c r="AW46" i="71"/>
  <c r="AT57" i="71"/>
  <c r="AV132" i="71"/>
  <c r="AW187" i="71"/>
  <c r="AW111" i="71"/>
  <c r="AV109" i="71"/>
  <c r="AX87" i="71"/>
  <c r="AV202" i="71"/>
  <c r="AW162" i="71"/>
  <c r="AV90" i="71"/>
  <c r="AU82" i="71"/>
  <c r="AV33" i="71"/>
  <c r="AU38" i="71"/>
  <c r="AV216" i="71"/>
  <c r="AT116" i="71"/>
  <c r="AU62" i="71"/>
  <c r="AX46" i="71"/>
  <c r="AX52" i="71"/>
  <c r="AW38" i="71"/>
  <c r="AV223" i="71"/>
  <c r="AT217" i="71"/>
  <c r="AX187" i="71"/>
  <c r="AT183" i="71"/>
  <c r="AS113" i="71"/>
  <c r="AT107" i="71"/>
  <c r="AU87" i="71"/>
  <c r="AW170" i="71"/>
  <c r="AU162" i="71"/>
  <c r="AU90" i="71"/>
  <c r="AV82" i="71"/>
  <c r="AS204" i="71"/>
  <c r="AS52" i="71"/>
  <c r="AT223" i="71"/>
  <c r="AU217" i="71"/>
  <c r="AV205" i="71"/>
  <c r="AT191" i="71"/>
  <c r="AU183" i="71"/>
  <c r="AT173" i="71"/>
  <c r="AU167" i="71"/>
  <c r="AT157" i="71"/>
  <c r="AW153" i="71"/>
  <c r="AS145" i="71"/>
  <c r="AW139" i="71"/>
  <c r="AT135" i="71"/>
  <c r="AS107" i="71"/>
  <c r="AU103" i="71"/>
  <c r="AT95" i="71"/>
  <c r="AX91" i="71"/>
  <c r="AS87" i="71"/>
  <c r="AW73" i="71"/>
  <c r="AS71" i="71"/>
  <c r="AT63" i="71"/>
  <c r="AX210" i="71"/>
  <c r="AT194" i="71"/>
  <c r="AU170" i="71"/>
  <c r="AS162" i="71"/>
  <c r="AT130" i="71"/>
  <c r="AW90" i="71"/>
  <c r="AW82" i="71"/>
  <c r="AV49" i="71"/>
  <c r="AT43" i="71"/>
  <c r="AW33" i="71"/>
  <c r="AS38" i="71"/>
  <c r="AV220" i="71"/>
  <c r="AT56" i="71"/>
  <c r="AX48" i="71"/>
  <c r="AW208" i="71"/>
  <c r="AX168" i="71"/>
  <c r="AW144" i="71"/>
  <c r="AW112" i="71"/>
  <c r="AS64" i="71"/>
  <c r="AX204" i="71"/>
  <c r="AX140" i="71"/>
  <c r="AW28" i="71"/>
  <c r="AX68" i="71"/>
  <c r="AU182" i="71"/>
  <c r="AT62" i="71"/>
  <c r="AT46" i="71"/>
  <c r="AT52" i="71"/>
  <c r="AX180" i="71"/>
  <c r="AV92" i="71"/>
  <c r="AV217" i="71"/>
  <c r="AU191" i="71"/>
  <c r="AS183" i="71"/>
  <c r="AS167" i="71"/>
  <c r="AV139" i="71"/>
  <c r="AU135" i="71"/>
  <c r="AU107" i="71"/>
  <c r="AW103" i="71"/>
  <c r="AX95" i="71"/>
  <c r="AT87" i="71"/>
  <c r="AX71" i="71"/>
  <c r="AU194" i="71"/>
  <c r="AX130" i="71"/>
  <c r="AT33" i="71"/>
  <c r="AX208" i="71"/>
  <c r="AT144" i="71"/>
  <c r="AU140" i="71"/>
  <c r="AU28" i="71"/>
  <c r="AT68" i="71"/>
  <c r="AT182" i="71"/>
  <c r="AW62" i="71"/>
  <c r="AT180" i="71"/>
  <c r="AX92" i="71"/>
  <c r="AX223" i="71"/>
  <c r="AW221" i="71"/>
  <c r="AT219" i="71"/>
  <c r="AS213" i="71"/>
  <c r="AX211" i="71"/>
  <c r="AX207" i="71"/>
  <c r="AW205" i="71"/>
  <c r="AT203" i="71"/>
  <c r="AS197" i="71"/>
  <c r="AX195" i="71"/>
  <c r="AV191" i="71"/>
  <c r="AV189" i="71"/>
  <c r="AS187" i="71"/>
  <c r="AS181" i="71"/>
  <c r="AT179" i="71"/>
  <c r="AV175" i="71"/>
  <c r="AV173" i="71"/>
  <c r="AS171" i="71"/>
  <c r="AU165" i="71"/>
  <c r="AT163" i="71"/>
  <c r="AV159" i="71"/>
  <c r="AV157" i="71"/>
  <c r="AS155" i="71"/>
  <c r="AU149" i="71"/>
  <c r="AT147" i="71"/>
  <c r="AX145" i="71"/>
  <c r="AV143" i="71"/>
  <c r="AV141" i="71"/>
  <c r="AS139" i="71"/>
  <c r="AU133" i="71"/>
  <c r="AT131" i="71"/>
  <c r="AX129" i="71"/>
  <c r="AV127" i="71"/>
  <c r="AV125" i="71"/>
  <c r="AX123" i="71"/>
  <c r="AS119" i="71"/>
  <c r="AX117" i="71"/>
  <c r="AW115" i="71"/>
  <c r="AT113" i="71"/>
  <c r="AV107" i="71"/>
  <c r="AT101" i="71"/>
  <c r="AU99" i="71"/>
  <c r="AW97" i="71"/>
  <c r="AU95" i="71"/>
  <c r="AU93" i="71"/>
  <c r="AV91" i="71"/>
  <c r="AW85" i="71"/>
  <c r="AT83" i="71"/>
  <c r="AW81" i="71"/>
  <c r="AW79" i="71"/>
  <c r="AU77" i="71"/>
  <c r="AV75" i="71"/>
  <c r="AW69" i="71"/>
  <c r="AW67" i="71"/>
  <c r="AW65" i="71"/>
  <c r="AW63" i="71"/>
  <c r="AV218" i="71"/>
  <c r="AS210" i="71"/>
  <c r="AW186" i="71"/>
  <c r="AW178" i="71"/>
  <c r="AV154" i="71"/>
  <c r="AX146" i="71"/>
  <c r="AS122" i="71"/>
  <c r="AU106" i="71"/>
  <c r="AW98" i="71"/>
  <c r="AS66" i="71"/>
  <c r="AU59" i="71"/>
  <c r="AV51" i="71"/>
  <c r="AX45" i="71"/>
  <c r="AX43" i="71"/>
  <c r="AS37" i="71"/>
  <c r="AT35" i="71"/>
  <c r="AS156" i="71"/>
  <c r="AU108" i="71"/>
  <c r="AT54" i="71"/>
  <c r="AX53" i="71"/>
  <c r="AV188" i="71"/>
  <c r="AS192" i="71"/>
  <c r="AV184" i="71"/>
  <c r="AW176" i="71"/>
  <c r="AU120" i="71"/>
  <c r="AT100" i="71"/>
  <c r="AV55" i="71"/>
  <c r="AX50" i="71"/>
  <c r="AU196" i="71"/>
  <c r="AS222" i="71"/>
  <c r="AS214" i="71"/>
  <c r="AW150" i="71"/>
  <c r="AS142" i="71"/>
  <c r="AT118" i="71"/>
  <c r="AU94" i="71"/>
  <c r="AU86" i="71"/>
  <c r="AS78" i="71"/>
  <c r="AT70" i="71"/>
  <c r="AW76" i="71"/>
  <c r="AW61" i="71"/>
  <c r="AU212" i="71"/>
  <c r="AS223" i="71"/>
  <c r="AX221" i="71"/>
  <c r="AV215" i="71"/>
  <c r="AV213" i="71"/>
  <c r="AV211" i="71"/>
  <c r="AS207" i="71"/>
  <c r="AX205" i="71"/>
  <c r="AV199" i="71"/>
  <c r="AV197" i="71"/>
  <c r="AV195" i="71"/>
  <c r="AX191" i="71"/>
  <c r="AW189" i="71"/>
  <c r="AW183" i="71"/>
  <c r="AU181" i="71"/>
  <c r="AU179" i="71"/>
  <c r="AX175" i="71"/>
  <c r="AW173" i="71"/>
  <c r="AS169" i="71"/>
  <c r="AW167" i="71"/>
  <c r="AS165" i="71"/>
  <c r="AU163" i="71"/>
  <c r="AX159" i="71"/>
  <c r="AW157" i="71"/>
  <c r="AW151" i="71"/>
  <c r="AS149" i="71"/>
  <c r="AU147" i="71"/>
  <c r="AT145" i="71"/>
  <c r="AX143" i="71"/>
  <c r="AW141" i="71"/>
  <c r="AS137" i="71"/>
  <c r="AW135" i="71"/>
  <c r="AS133" i="71"/>
  <c r="AU131" i="71"/>
  <c r="AT129" i="71"/>
  <c r="AX127" i="71"/>
  <c r="AW125" i="71"/>
  <c r="AT121" i="71"/>
  <c r="AX119" i="71"/>
  <c r="AT117" i="71"/>
  <c r="AS115" i="71"/>
  <c r="AX113" i="71"/>
  <c r="AX105" i="71"/>
  <c r="AS103" i="71"/>
  <c r="AW101" i="71"/>
  <c r="AW99" i="71"/>
  <c r="AX97" i="71"/>
  <c r="AW95" i="71"/>
  <c r="AV93" i="71"/>
  <c r="AW89" i="71"/>
  <c r="AS85" i="71"/>
  <c r="AW83" i="71"/>
  <c r="AX81" i="71"/>
  <c r="AX79" i="71"/>
  <c r="AV77" i="71"/>
  <c r="AS73" i="71"/>
  <c r="AX69" i="71"/>
  <c r="AX67" i="71"/>
  <c r="AX65" i="71"/>
  <c r="AX63" i="71"/>
  <c r="AW218" i="71"/>
  <c r="AW194" i="71"/>
  <c r="AU186" i="71"/>
  <c r="AS178" i="71"/>
  <c r="AX154" i="71"/>
  <c r="AW138" i="71"/>
  <c r="AW122" i="71"/>
  <c r="AV114" i="71"/>
  <c r="AW106" i="71"/>
  <c r="AX98" i="71"/>
  <c r="AS74" i="71"/>
  <c r="AT66" i="71"/>
  <c r="AV59" i="71"/>
  <c r="AW51" i="71"/>
  <c r="AW49" i="71"/>
  <c r="AT45" i="71"/>
  <c r="AS41" i="71"/>
  <c r="AU37" i="71"/>
  <c r="AV35" i="71"/>
  <c r="AW29" i="71"/>
  <c r="AX27" i="71"/>
  <c r="AT26" i="71"/>
  <c r="AS220" i="71"/>
  <c r="AV156" i="71"/>
  <c r="AV108" i="71"/>
  <c r="AU54" i="71"/>
  <c r="AT53" i="71"/>
  <c r="AW36" i="71"/>
  <c r="AT30" i="71"/>
  <c r="AW188" i="71"/>
  <c r="AS200" i="71"/>
  <c r="AV192" i="71"/>
  <c r="AW184" i="71"/>
  <c r="AX176" i="71"/>
  <c r="AU160" i="71"/>
  <c r="AV128" i="71"/>
  <c r="AS120" i="71"/>
  <c r="AT104" i="71"/>
  <c r="AX96" i="71"/>
  <c r="AU80" i="71"/>
  <c r="AU72" i="71"/>
  <c r="AU34" i="71"/>
  <c r="AT140" i="71"/>
  <c r="AX100" i="71"/>
  <c r="AU55" i="71"/>
  <c r="AS50" i="71"/>
  <c r="AT44" i="71"/>
  <c r="AX28" i="71"/>
  <c r="AV196" i="71"/>
  <c r="AU68" i="71"/>
  <c r="AV222" i="71"/>
  <c r="AW214" i="71"/>
  <c r="AX190" i="71"/>
  <c r="AU174" i="71"/>
  <c r="AU166" i="71"/>
  <c r="AW158" i="71"/>
  <c r="AS150" i="71"/>
  <c r="AT142" i="71"/>
  <c r="AX126" i="71"/>
  <c r="AS110" i="71"/>
  <c r="AU102" i="71"/>
  <c r="AS94" i="71"/>
  <c r="AV86" i="71"/>
  <c r="AT78" i="71"/>
  <c r="AW70" i="71"/>
  <c r="AS32" i="71"/>
  <c r="AS172" i="71"/>
  <c r="AX76" i="71"/>
  <c r="AS61" i="71"/>
  <c r="AW57" i="71"/>
  <c r="AV212" i="71"/>
  <c r="AU92" i="71"/>
  <c r="AT213" i="71"/>
  <c r="AT197" i="71"/>
  <c r="AW195" i="71"/>
  <c r="AX181" i="71"/>
  <c r="AV179" i="71"/>
  <c r="AX165" i="71"/>
  <c r="AV163" i="71"/>
  <c r="AW155" i="71"/>
  <c r="AX149" i="71"/>
  <c r="AV147" i="71"/>
  <c r="AV145" i="71"/>
  <c r="AX133" i="71"/>
  <c r="AV131" i="71"/>
  <c r="AV129" i="71"/>
  <c r="AS117" i="71"/>
  <c r="AU115" i="71"/>
  <c r="AU113" i="71"/>
  <c r="AX101" i="71"/>
  <c r="AX99" i="71"/>
  <c r="AU97" i="71"/>
  <c r="AT85" i="71"/>
  <c r="AX83" i="71"/>
  <c r="AU81" i="71"/>
  <c r="AT79" i="71"/>
  <c r="AS69" i="71"/>
  <c r="AS67" i="71"/>
  <c r="AU65" i="71"/>
  <c r="AS186" i="71"/>
  <c r="AT178" i="71"/>
  <c r="AW146" i="71"/>
  <c r="AU122" i="71"/>
  <c r="AX106" i="71"/>
  <c r="AT98" i="71"/>
  <c r="AT74" i="71"/>
  <c r="AU66" i="71"/>
  <c r="AW59" i="71"/>
  <c r="AS51" i="71"/>
  <c r="AU41" i="71"/>
  <c r="AV37" i="71"/>
  <c r="AW35" i="71"/>
  <c r="AU26" i="71"/>
  <c r="AW156" i="71"/>
  <c r="AS108" i="71"/>
  <c r="AW54" i="71"/>
  <c r="AX36" i="71"/>
  <c r="AU30" i="71"/>
  <c r="AX188" i="71"/>
  <c r="AW200" i="71"/>
  <c r="AW192" i="71"/>
  <c r="AX184" i="71"/>
  <c r="AT176" i="71"/>
  <c r="AW128" i="71"/>
  <c r="AT120" i="71"/>
  <c r="AV72" i="71"/>
  <c r="AW55" i="71"/>
  <c r="AT50" i="71"/>
  <c r="AS44" i="71"/>
  <c r="AW68" i="71"/>
  <c r="AW222" i="71"/>
  <c r="AT214" i="71"/>
  <c r="AW166" i="71"/>
  <c r="AS158" i="71"/>
  <c r="AT150" i="71"/>
  <c r="AV142" i="71"/>
  <c r="AV118" i="71"/>
  <c r="AS102" i="71"/>
  <c r="AV94" i="71"/>
  <c r="AT86" i="71"/>
  <c r="AW78" i="71"/>
  <c r="AX70" i="71"/>
  <c r="AT32" i="71"/>
  <c r="AV172" i="71"/>
  <c r="AU76" i="71"/>
  <c r="AT61" i="71"/>
  <c r="AX57" i="71"/>
  <c r="AS132" i="71"/>
  <c r="AW92" i="71"/>
  <c r="AU213" i="71"/>
  <c r="AS211" i="71"/>
  <c r="AU197" i="71"/>
  <c r="AS195" i="71"/>
  <c r="AT181" i="71"/>
  <c r="AX179" i="71"/>
  <c r="AU169" i="71"/>
  <c r="AT165" i="71"/>
  <c r="AX163" i="71"/>
  <c r="AT149" i="71"/>
  <c r="AX147" i="71"/>
  <c r="AW145" i="71"/>
  <c r="AT133" i="71"/>
  <c r="AX131" i="71"/>
  <c r="AW129" i="71"/>
  <c r="AW117" i="71"/>
  <c r="AX115" i="71"/>
  <c r="AV113" i="71"/>
  <c r="AS101" i="71"/>
  <c r="AS99" i="71"/>
  <c r="AV97" i="71"/>
  <c r="AX85" i="71"/>
  <c r="AU83" i="71"/>
  <c r="AV81" i="71"/>
  <c r="AT69" i="71"/>
  <c r="AU67" i="71"/>
  <c r="AV65" i="71"/>
  <c r="AT186" i="71"/>
  <c r="AV178" i="71"/>
  <c r="AV122" i="71"/>
  <c r="AT106" i="71"/>
  <c r="AS59" i="71"/>
  <c r="AT51" i="71"/>
  <c r="AX37" i="71"/>
  <c r="AS35" i="71"/>
  <c r="AS26" i="71"/>
  <c r="AX156" i="71"/>
  <c r="AT108" i="71"/>
  <c r="AV54" i="71"/>
  <c r="AT188" i="71"/>
  <c r="AX192" i="71"/>
  <c r="AT184" i="71"/>
  <c r="AU176" i="71"/>
  <c r="AW120" i="71"/>
  <c r="AX222" i="71"/>
  <c r="AV214" i="71"/>
  <c r="AV150" i="71"/>
  <c r="AX142" i="71"/>
  <c r="AW94" i="71"/>
  <c r="AW86" i="71"/>
  <c r="AX78" i="71"/>
  <c r="AV76" i="71"/>
  <c r="AU61" i="71"/>
  <c r="AU223" i="71"/>
  <c r="AU221" i="71"/>
  <c r="AU219" i="71"/>
  <c r="AU215" i="71"/>
  <c r="AW213" i="71"/>
  <c r="AU205" i="71"/>
  <c r="AU203" i="71"/>
  <c r="AU199" i="71"/>
  <c r="AW197" i="71"/>
  <c r="AT195" i="71"/>
  <c r="AS189" i="71"/>
  <c r="AT187" i="71"/>
  <c r="AV183" i="71"/>
  <c r="AV181" i="71"/>
  <c r="AS179" i="71"/>
  <c r="AU173" i="71"/>
  <c r="AT171" i="71"/>
  <c r="AX169" i="71"/>
  <c r="AV167" i="71"/>
  <c r="AV165" i="71"/>
  <c r="AS163" i="71"/>
  <c r="AU157" i="71"/>
  <c r="AT155" i="71"/>
  <c r="AV151" i="71"/>
  <c r="AV149" i="71"/>
  <c r="AS147" i="71"/>
  <c r="AU141" i="71"/>
  <c r="AT139" i="71"/>
  <c r="AX137" i="71"/>
  <c r="AV135" i="71"/>
  <c r="AV133" i="71"/>
  <c r="AW123" i="71"/>
  <c r="AS121" i="71"/>
  <c r="AW119" i="71"/>
  <c r="AU117" i="71"/>
  <c r="AW107" i="71"/>
  <c r="AX103" i="71"/>
  <c r="AU101" i="71"/>
  <c r="AS93" i="71"/>
  <c r="AW91" i="71"/>
  <c r="AT89" i="71"/>
  <c r="AU85" i="71"/>
  <c r="AS79" i="71"/>
  <c r="AS77" i="71"/>
  <c r="AX75" i="71"/>
  <c r="AU69" i="71"/>
  <c r="AV67" i="71"/>
  <c r="AT210" i="71"/>
  <c r="AV194" i="71"/>
  <c r="AV186" i="71"/>
  <c r="AW154" i="71"/>
  <c r="AU146" i="71"/>
  <c r="AS138" i="71"/>
  <c r="AT122" i="71"/>
  <c r="AS98" i="71"/>
  <c r="AU74" i="71"/>
  <c r="AV66" i="71"/>
  <c r="AT59" i="71"/>
  <c r="AX51" i="71"/>
  <c r="AS45" i="71"/>
  <c r="AV43" i="71"/>
  <c r="AV41" i="71"/>
  <c r="AW37" i="71"/>
  <c r="AW26" i="71"/>
  <c r="AW220" i="71"/>
  <c r="AT156" i="71"/>
  <c r="AS53" i="71"/>
  <c r="AT36" i="71"/>
  <c r="AX30" i="71"/>
  <c r="AW216" i="71"/>
  <c r="AX200" i="71"/>
  <c r="AT192" i="71"/>
  <c r="AV152" i="71"/>
  <c r="AT128" i="71"/>
  <c r="AX120" i="71"/>
  <c r="AW80" i="71"/>
  <c r="AX72" i="71"/>
  <c r="AW100" i="71"/>
  <c r="AT60" i="71"/>
  <c r="AS55" i="71"/>
  <c r="AU50" i="71"/>
  <c r="AW196" i="71"/>
  <c r="AV148" i="71"/>
  <c r="AV68" i="71"/>
  <c r="AT222" i="71"/>
  <c r="AX214" i="71"/>
  <c r="AS182" i="71"/>
  <c r="AS174" i="71"/>
  <c r="AT166" i="71"/>
  <c r="AV158" i="71"/>
  <c r="AU118" i="71"/>
  <c r="AV110" i="71"/>
  <c r="AW102" i="71"/>
  <c r="AX94" i="71"/>
  <c r="AV70" i="71"/>
  <c r="AV32" i="71"/>
  <c r="AX172" i="71"/>
  <c r="AS76" i="71"/>
  <c r="AV61" i="71"/>
  <c r="AW212" i="71"/>
  <c r="AV180" i="71"/>
  <c r="AW132" i="71"/>
  <c r="AS92" i="71"/>
  <c r="AS221" i="71"/>
  <c r="AV219" i="71"/>
  <c r="AS205" i="71"/>
  <c r="AV203" i="71"/>
  <c r="AU189" i="71"/>
  <c r="AU187" i="71"/>
  <c r="AS173" i="71"/>
  <c r="AU171" i="71"/>
  <c r="AT169" i="71"/>
  <c r="AS157" i="71"/>
  <c r="AU155" i="71"/>
  <c r="AS141" i="71"/>
  <c r="AT97" i="71"/>
  <c r="AX93" i="71"/>
  <c r="AU79" i="71"/>
  <c r="AW77" i="71"/>
  <c r="AS65" i="71"/>
  <c r="AU154" i="71"/>
  <c r="AS146" i="71"/>
  <c r="AV74" i="71"/>
  <c r="AW66" i="71"/>
  <c r="AU45" i="71"/>
  <c r="AW41" i="71"/>
  <c r="AU53" i="71"/>
  <c r="AU100" i="71"/>
  <c r="AT55" i="71"/>
  <c r="AS196" i="71"/>
  <c r="AW118" i="71"/>
  <c r="AU70" i="71"/>
  <c r="AW32" i="71"/>
  <c r="AS212" i="71"/>
  <c r="AN209" i="71"/>
  <c r="AN193" i="71"/>
  <c r="AN177" i="71"/>
  <c r="AN161" i="71"/>
  <c r="AN145" i="71"/>
  <c r="AM97" i="71"/>
  <c r="AN81" i="71"/>
  <c r="AQ65" i="71"/>
  <c r="AQ33" i="71"/>
  <c r="AN212" i="71"/>
  <c r="AO180" i="71"/>
  <c r="AO164" i="71"/>
  <c r="AO132" i="71"/>
  <c r="AM116" i="71"/>
  <c r="AN100" i="71"/>
  <c r="AN84" i="71"/>
  <c r="AQ223" i="71"/>
  <c r="AO207" i="71"/>
  <c r="AO191" i="71"/>
  <c r="AO175" i="71"/>
  <c r="AP159" i="71"/>
  <c r="AQ143" i="71"/>
  <c r="AQ127" i="71"/>
  <c r="AP111" i="71"/>
  <c r="AN79" i="71"/>
  <c r="AP63" i="71"/>
  <c r="AN47" i="71"/>
  <c r="AQ210" i="71"/>
  <c r="AN194" i="71"/>
  <c r="AQ178" i="71"/>
  <c r="AQ146" i="71"/>
  <c r="AQ130" i="71"/>
  <c r="AQ114" i="71"/>
  <c r="AQ98" i="71"/>
  <c r="AQ82" i="71"/>
  <c r="AQ50" i="71"/>
  <c r="AN189" i="71"/>
  <c r="AN157" i="71"/>
  <c r="AO93" i="71"/>
  <c r="AM219" i="71"/>
  <c r="AP203" i="71"/>
  <c r="AM187" i="71"/>
  <c r="AM171" i="71"/>
  <c r="AM155" i="71"/>
  <c r="AM139" i="71"/>
  <c r="AM123" i="71"/>
  <c r="AL107" i="71"/>
  <c r="AL91" i="71"/>
  <c r="AP75" i="71"/>
  <c r="AP59" i="71"/>
  <c r="AL43" i="71"/>
  <c r="AQ222" i="71"/>
  <c r="AN206" i="71"/>
  <c r="AQ174" i="71"/>
  <c r="AQ158" i="71"/>
  <c r="AN142" i="71"/>
  <c r="AO126" i="71"/>
  <c r="AP110" i="71"/>
  <c r="AL94" i="71"/>
  <c r="AQ78" i="71"/>
  <c r="AN62" i="71"/>
  <c r="AM46" i="71"/>
  <c r="AN30" i="71"/>
  <c r="AQ144" i="71"/>
  <c r="AQ217" i="71"/>
  <c r="AQ201" i="71"/>
  <c r="AQ185" i="71"/>
  <c r="AQ169" i="71"/>
  <c r="AQ153" i="71"/>
  <c r="AQ105" i="71"/>
  <c r="AP89" i="71"/>
  <c r="AO73" i="71"/>
  <c r="AQ41" i="71"/>
  <c r="AP220" i="71"/>
  <c r="AL204" i="71"/>
  <c r="AP188" i="71"/>
  <c r="AP172" i="71"/>
  <c r="AP156" i="71"/>
  <c r="AP140" i="71"/>
  <c r="AO92" i="71"/>
  <c r="AO76" i="71"/>
  <c r="AO60" i="71"/>
  <c r="AO44" i="71"/>
  <c r="AM125" i="71"/>
  <c r="AP64" i="71"/>
  <c r="AM199" i="71"/>
  <c r="AM183" i="71"/>
  <c r="AM167" i="71"/>
  <c r="AM151" i="71"/>
  <c r="AN135" i="71"/>
  <c r="AP119" i="71"/>
  <c r="AN103" i="71"/>
  <c r="AM87" i="71"/>
  <c r="AN71" i="71"/>
  <c r="AM55" i="71"/>
  <c r="AO39" i="71"/>
  <c r="AO218" i="71"/>
  <c r="AM202" i="71"/>
  <c r="AO186" i="71"/>
  <c r="AM170" i="71"/>
  <c r="AO154" i="71"/>
  <c r="AO122" i="71"/>
  <c r="AO106" i="71"/>
  <c r="AO90" i="71"/>
  <c r="AO74" i="71"/>
  <c r="AL42" i="71"/>
  <c r="AO26" i="71"/>
  <c r="AL221" i="71"/>
  <c r="AN173" i="71"/>
  <c r="AM45" i="71"/>
  <c r="AM29" i="71"/>
  <c r="AQ192" i="71"/>
  <c r="AQ160" i="71"/>
  <c r="AO112" i="71"/>
  <c r="AN48" i="71"/>
  <c r="AP213" i="71"/>
  <c r="AM181" i="71"/>
  <c r="AL149" i="71"/>
  <c r="AM133" i="71"/>
  <c r="AM117" i="71"/>
  <c r="AQ101" i="71"/>
  <c r="AQ85" i="71"/>
  <c r="AQ69" i="71"/>
  <c r="AQ37" i="71"/>
  <c r="AO216" i="71"/>
  <c r="AO200" i="71"/>
  <c r="AO184" i="71"/>
  <c r="AN168" i="71"/>
  <c r="AN152" i="71"/>
  <c r="AN136" i="71"/>
  <c r="AN120" i="71"/>
  <c r="AM104" i="71"/>
  <c r="AO88" i="71"/>
  <c r="AM72" i="71"/>
  <c r="AM56" i="71"/>
  <c r="AP40" i="71"/>
  <c r="AO77" i="71"/>
  <c r="AQ32" i="71"/>
  <c r="AN211" i="71"/>
  <c r="AN195" i="71"/>
  <c r="AN179" i="71"/>
  <c r="AM163" i="71"/>
  <c r="AL147" i="71"/>
  <c r="AP131" i="71"/>
  <c r="AN115" i="71"/>
  <c r="AN83" i="71"/>
  <c r="AN67" i="71"/>
  <c r="AN51" i="71"/>
  <c r="AL35" i="71"/>
  <c r="AP214" i="71"/>
  <c r="AP198" i="71"/>
  <c r="AO166" i="71"/>
  <c r="AM118" i="71"/>
  <c r="AO102" i="71"/>
  <c r="AO86" i="71"/>
  <c r="AO70" i="71"/>
  <c r="AQ38" i="71"/>
  <c r="AQ123" i="71"/>
  <c r="AL123" i="71"/>
  <c r="AM59" i="71"/>
  <c r="AM35" i="71"/>
  <c r="AO157" i="71"/>
  <c r="AO56" i="71"/>
  <c r="AM42" i="71"/>
  <c r="AM91" i="71"/>
  <c r="AM131" i="71"/>
  <c r="O59" i="3"/>
  <c r="S59" i="3"/>
  <c r="V57" i="3"/>
  <c r="W57" i="3" s="1"/>
  <c r="M47" i="3"/>
  <c r="L58" i="3"/>
  <c r="M58" i="3" s="1"/>
  <c r="R58" i="3"/>
  <c r="S58" i="3" s="1"/>
  <c r="J58" i="3"/>
  <c r="K58" i="3" s="1"/>
  <c r="L57" i="3"/>
  <c r="M57" i="3" s="1"/>
  <c r="V58" i="3"/>
  <c r="W58" i="3" s="1"/>
  <c r="N58" i="3"/>
  <c r="O58" i="3" s="1"/>
  <c r="Q47" i="3"/>
  <c r="R57" i="3"/>
  <c r="S57" i="3" s="1"/>
  <c r="W47" i="3"/>
  <c r="J57" i="3"/>
  <c r="K57" i="3" s="1"/>
  <c r="K47" i="3"/>
  <c r="O47" i="3"/>
  <c r="P57" i="3"/>
  <c r="Q57" i="3" s="1"/>
  <c r="N57" i="3"/>
  <c r="O57" i="3" s="1"/>
  <c r="S47" i="3"/>
  <c r="P58" i="3"/>
  <c r="Q58" i="3" s="1"/>
  <c r="K48" i="3"/>
  <c r="M48" i="3"/>
  <c r="O48" i="3"/>
  <c r="S48" i="3"/>
  <c r="O56" i="3"/>
  <c r="Q48" i="3"/>
  <c r="W48" i="3"/>
  <c r="M56" i="3"/>
  <c r="L59" i="3"/>
  <c r="M59" i="3" s="1"/>
  <c r="S56" i="3"/>
  <c r="J59" i="3"/>
  <c r="K59" i="3" s="1"/>
  <c r="P59" i="3"/>
  <c r="Q59" i="3" s="1"/>
  <c r="Q56" i="3"/>
  <c r="K56" i="3"/>
  <c r="W56" i="3"/>
  <c r="AP19" i="3"/>
  <c r="AN131" i="71"/>
  <c r="AN123" i="71"/>
  <c r="AQ131" i="71"/>
  <c r="AP123" i="71"/>
  <c r="AP157" i="71"/>
  <c r="AL131" i="71"/>
  <c r="AO123" i="71"/>
  <c r="AM51" i="71"/>
  <c r="AL167" i="71"/>
  <c r="AL174" i="71"/>
  <c r="AQ151" i="71"/>
  <c r="AN174" i="71"/>
  <c r="AM179" i="71"/>
  <c r="AM174" i="71"/>
  <c r="AO174" i="71"/>
  <c r="AO167" i="71"/>
  <c r="AO43" i="71"/>
  <c r="AO48" i="71"/>
  <c r="AO220" i="71"/>
  <c r="AQ213" i="71"/>
  <c r="AL183" i="71"/>
  <c r="AN151" i="71"/>
  <c r="AM145" i="71"/>
  <c r="AL29" i="71"/>
  <c r="AQ188" i="71"/>
  <c r="AL156" i="71"/>
  <c r="AP69" i="71"/>
  <c r="AQ220" i="71"/>
  <c r="AL220" i="71"/>
  <c r="AM76" i="71"/>
  <c r="AN183" i="71"/>
  <c r="AL145" i="71"/>
  <c r="AN76" i="71"/>
  <c r="AL157" i="71"/>
  <c r="AO151" i="71"/>
  <c r="AP145" i="71"/>
  <c r="AL39" i="71"/>
  <c r="AL188" i="71"/>
  <c r="AO156" i="71"/>
  <c r="AP126" i="71"/>
  <c r="AQ46" i="71"/>
  <c r="AQ83" i="71"/>
  <c r="AL213" i="71"/>
  <c r="AL76" i="71"/>
  <c r="AN213" i="71"/>
  <c r="AQ156" i="71"/>
  <c r="AM157" i="71"/>
  <c r="AP151" i="71"/>
  <c r="AQ145" i="71"/>
  <c r="AP212" i="71"/>
  <c r="AO188" i="71"/>
  <c r="AQ126" i="71"/>
  <c r="AL50" i="71"/>
  <c r="AQ93" i="71"/>
  <c r="AP206" i="71"/>
  <c r="AO105" i="71"/>
  <c r="AO136" i="71"/>
  <c r="AN50" i="71"/>
  <c r="AO195" i="71"/>
  <c r="AL163" i="71"/>
  <c r="AQ157" i="71"/>
  <c r="AL151" i="71"/>
  <c r="AP105" i="71"/>
  <c r="AN93" i="71"/>
  <c r="AO35" i="71"/>
  <c r="AL98" i="71"/>
  <c r="AP195" i="71"/>
  <c r="AP93" i="71"/>
  <c r="AM223" i="71"/>
  <c r="AQ63" i="71"/>
  <c r="AQ195" i="71"/>
  <c r="AN39" i="71"/>
  <c r="AN106" i="71"/>
  <c r="AL63" i="71"/>
  <c r="V120" i="71"/>
  <c r="AQ139" i="71"/>
  <c r="AP39" i="71"/>
  <c r="AM220" i="71"/>
  <c r="AM188" i="71"/>
  <c r="AM156" i="71"/>
  <c r="AQ118" i="71"/>
  <c r="AP106" i="71"/>
  <c r="AE43" i="71"/>
  <c r="AJ33" i="71"/>
  <c r="AL139" i="71"/>
  <c r="AM43" i="71"/>
  <c r="AQ39" i="71"/>
  <c r="AN199" i="71"/>
  <c r="AL189" i="71"/>
  <c r="AM173" i="71"/>
  <c r="AL222" i="71"/>
  <c r="AN170" i="71"/>
  <c r="AN60" i="71"/>
  <c r="AO177" i="71"/>
  <c r="AM222" i="71"/>
  <c r="AQ212" i="71"/>
  <c r="AL158" i="71"/>
  <c r="AM140" i="71"/>
  <c r="AN26" i="71"/>
  <c r="AP189" i="71"/>
  <c r="AQ97" i="71"/>
  <c r="AN85" i="71"/>
  <c r="AO59" i="71"/>
  <c r="AN43" i="71"/>
  <c r="AN222" i="71"/>
  <c r="AO212" i="71"/>
  <c r="AN186" i="71"/>
  <c r="AQ172" i="71"/>
  <c r="AM158" i="71"/>
  <c r="AL130" i="71"/>
  <c r="AN78" i="71"/>
  <c r="AP26" i="71"/>
  <c r="AM207" i="71"/>
  <c r="AQ189" i="71"/>
  <c r="AN175" i="71"/>
  <c r="AN163" i="71"/>
  <c r="AO103" i="71"/>
  <c r="AL97" i="71"/>
  <c r="AP85" i="71"/>
  <c r="AL77" i="71"/>
  <c r="AQ51" i="71"/>
  <c r="AO222" i="71"/>
  <c r="AM216" i="71"/>
  <c r="AO202" i="71"/>
  <c r="AN158" i="71"/>
  <c r="AM142" i="71"/>
  <c r="AO140" i="71"/>
  <c r="AP102" i="71"/>
  <c r="AO78" i="71"/>
  <c r="AF43" i="71"/>
  <c r="AQ191" i="71"/>
  <c r="AP179" i="71"/>
  <c r="AP175" i="71"/>
  <c r="AO163" i="71"/>
  <c r="AO149" i="71"/>
  <c r="AN133" i="71"/>
  <c r="AL105" i="71"/>
  <c r="AP103" i="71"/>
  <c r="AP97" i="71"/>
  <c r="AM77" i="71"/>
  <c r="AL69" i="71"/>
  <c r="AL37" i="71"/>
  <c r="AP202" i="71"/>
  <c r="AM184" i="71"/>
  <c r="AM172" i="71"/>
  <c r="AQ166" i="71"/>
  <c r="AO158" i="71"/>
  <c r="AM152" i="71"/>
  <c r="AO142" i="71"/>
  <c r="AL118" i="71"/>
  <c r="AQ110" i="71"/>
  <c r="AQ102" i="71"/>
  <c r="AQ92" i="71"/>
  <c r="AL72" i="71"/>
  <c r="AO62" i="71"/>
  <c r="AN46" i="71"/>
  <c r="Q155" i="71"/>
  <c r="AL85" i="71"/>
  <c r="AO75" i="71"/>
  <c r="AQ180" i="71"/>
  <c r="AQ140" i="71"/>
  <c r="AL78" i="71"/>
  <c r="AO199" i="71"/>
  <c r="AO189" i="71"/>
  <c r="AO173" i="71"/>
  <c r="AM85" i="71"/>
  <c r="AQ67" i="71"/>
  <c r="AP170" i="71"/>
  <c r="AM44" i="71"/>
  <c r="AL199" i="71"/>
  <c r="AP173" i="71"/>
  <c r="AM103" i="71"/>
  <c r="AP51" i="71"/>
  <c r="AN202" i="71"/>
  <c r="AN140" i="71"/>
  <c r="AN44" i="71"/>
  <c r="V209" i="71"/>
  <c r="AL191" i="71"/>
  <c r="AQ179" i="71"/>
  <c r="AQ175" i="71"/>
  <c r="AP163" i="71"/>
  <c r="AM105" i="71"/>
  <c r="AQ103" i="71"/>
  <c r="AP77" i="71"/>
  <c r="AM69" i="71"/>
  <c r="AN37" i="71"/>
  <c r="AO172" i="71"/>
  <c r="AO152" i="71"/>
  <c r="AP142" i="71"/>
  <c r="AN118" i="71"/>
  <c r="AL92" i="71"/>
  <c r="AP76" i="71"/>
  <c r="AN72" i="71"/>
  <c r="AP62" i="71"/>
  <c r="AO46" i="71"/>
  <c r="AO40" i="71"/>
  <c r="AP161" i="71"/>
  <c r="AO51" i="71"/>
  <c r="AM78" i="71"/>
  <c r="AP38" i="71"/>
  <c r="AN191" i="71"/>
  <c r="AP191" i="71"/>
  <c r="AO179" i="71"/>
  <c r="AQ173" i="71"/>
  <c r="AN149" i="71"/>
  <c r="AP43" i="71"/>
  <c r="AL172" i="71"/>
  <c r="AM130" i="71"/>
  <c r="AP92" i="71"/>
  <c r="AQ86" i="71"/>
  <c r="AL62" i="71"/>
  <c r="AM191" i="71"/>
  <c r="AL179" i="71"/>
  <c r="AL175" i="71"/>
  <c r="AQ163" i="71"/>
  <c r="AN105" i="71"/>
  <c r="AL103" i="71"/>
  <c r="AM75" i="71"/>
  <c r="AN69" i="71"/>
  <c r="AP37" i="71"/>
  <c r="AL170" i="71"/>
  <c r="AQ142" i="71"/>
  <c r="AP118" i="71"/>
  <c r="AM92" i="71"/>
  <c r="AQ76" i="71"/>
  <c r="AQ62" i="71"/>
  <c r="AP46" i="71"/>
  <c r="AQ40" i="71"/>
  <c r="Q182" i="71"/>
  <c r="R182" i="71"/>
  <c r="AP141" i="71"/>
  <c r="AN141" i="71"/>
  <c r="AL141" i="71"/>
  <c r="AM141" i="71"/>
  <c r="AO150" i="71"/>
  <c r="AQ150" i="71"/>
  <c r="AP150" i="71"/>
  <c r="AM150" i="71"/>
  <c r="AN150" i="71"/>
  <c r="AO54" i="71"/>
  <c r="AP54" i="71"/>
  <c r="AQ54" i="71"/>
  <c r="AM54" i="71"/>
  <c r="AL181" i="71"/>
  <c r="AQ53" i="71"/>
  <c r="AP53" i="71"/>
  <c r="AN53" i="71"/>
  <c r="AQ190" i="71"/>
  <c r="AP190" i="71"/>
  <c r="AN190" i="71"/>
  <c r="AO190" i="71"/>
  <c r="AL150" i="71"/>
  <c r="AL54" i="71"/>
  <c r="AF169" i="71"/>
  <c r="AG169" i="71"/>
  <c r="AM215" i="71"/>
  <c r="AL215" i="71"/>
  <c r="AM121" i="71"/>
  <c r="AQ121" i="71"/>
  <c r="AP121" i="71"/>
  <c r="AO121" i="71"/>
  <c r="AN121" i="71"/>
  <c r="AL121" i="71"/>
  <c r="AN215" i="71"/>
  <c r="AO203" i="71"/>
  <c r="AO109" i="71"/>
  <c r="AQ109" i="71"/>
  <c r="AP109" i="71"/>
  <c r="AP95" i="71"/>
  <c r="AL95" i="71"/>
  <c r="AO95" i="71"/>
  <c r="AQ95" i="71"/>
  <c r="AM53" i="71"/>
  <c r="AN196" i="71"/>
  <c r="AP196" i="71"/>
  <c r="AM196" i="71"/>
  <c r="AO196" i="71"/>
  <c r="AQ66" i="71"/>
  <c r="AN66" i="71"/>
  <c r="AO215" i="71"/>
  <c r="AO209" i="71"/>
  <c r="AO159" i="71"/>
  <c r="AQ159" i="71"/>
  <c r="AM159" i="71"/>
  <c r="AL159" i="71"/>
  <c r="AN137" i="71"/>
  <c r="AM137" i="71"/>
  <c r="AQ137" i="71"/>
  <c r="AP137" i="71"/>
  <c r="AO137" i="71"/>
  <c r="AL109" i="71"/>
  <c r="AN99" i="71"/>
  <c r="AM99" i="71"/>
  <c r="AL99" i="71"/>
  <c r="AM95" i="71"/>
  <c r="AM71" i="71"/>
  <c r="AL45" i="71"/>
  <c r="AL41" i="71"/>
  <c r="AN41" i="71"/>
  <c r="AL210" i="71"/>
  <c r="AQ196" i="71"/>
  <c r="AO168" i="71"/>
  <c r="AL146" i="71"/>
  <c r="AO134" i="71"/>
  <c r="AP134" i="71"/>
  <c r="AQ134" i="71"/>
  <c r="AM88" i="71"/>
  <c r="AN88" i="71"/>
  <c r="AL88" i="71"/>
  <c r="AL66" i="71"/>
  <c r="AO28" i="71"/>
  <c r="AQ28" i="71"/>
  <c r="AN28" i="71"/>
  <c r="AL28" i="71"/>
  <c r="AM28" i="71"/>
  <c r="AL119" i="71"/>
  <c r="AM119" i="71"/>
  <c r="AO119" i="71"/>
  <c r="AN119" i="71"/>
  <c r="AQ94" i="71"/>
  <c r="AP94" i="71"/>
  <c r="AN94" i="71"/>
  <c r="AO94" i="71"/>
  <c r="AM94" i="71"/>
  <c r="AN221" i="71"/>
  <c r="AQ221" i="71"/>
  <c r="AP221" i="71"/>
  <c r="AO221" i="71"/>
  <c r="AP209" i="71"/>
  <c r="AN159" i="71"/>
  <c r="AL137" i="71"/>
  <c r="AQ119" i="71"/>
  <c r="AM109" i="71"/>
  <c r="AO99" i="71"/>
  <c r="AN95" i="71"/>
  <c r="AO87" i="71"/>
  <c r="AL87" i="71"/>
  <c r="AQ87" i="71"/>
  <c r="AP87" i="71"/>
  <c r="AP65" i="71"/>
  <c r="AN65" i="71"/>
  <c r="AO65" i="71"/>
  <c r="AN210" i="71"/>
  <c r="AL196" i="71"/>
  <c r="AN146" i="71"/>
  <c r="AL134" i="71"/>
  <c r="AO58" i="71"/>
  <c r="AP58" i="71"/>
  <c r="AN58" i="71"/>
  <c r="AP28" i="71"/>
  <c r="AN205" i="71"/>
  <c r="AQ205" i="71"/>
  <c r="AM205" i="71"/>
  <c r="AP205" i="71"/>
  <c r="AO205" i="71"/>
  <c r="AP113" i="71"/>
  <c r="AQ113" i="71"/>
  <c r="AN113" i="71"/>
  <c r="AQ162" i="71"/>
  <c r="AL162" i="71"/>
  <c r="AN162" i="71"/>
  <c r="AL205" i="71"/>
  <c r="AP125" i="71"/>
  <c r="AQ125" i="71"/>
  <c r="AM113" i="71"/>
  <c r="AQ49" i="71"/>
  <c r="AN49" i="71"/>
  <c r="AO49" i="71"/>
  <c r="AO138" i="71"/>
  <c r="AM138" i="71"/>
  <c r="AP138" i="71"/>
  <c r="AP197" i="71"/>
  <c r="AQ197" i="71"/>
  <c r="AN197" i="71"/>
  <c r="AL197" i="71"/>
  <c r="AM197" i="71"/>
  <c r="AP204" i="71"/>
  <c r="AM204" i="71"/>
  <c r="AO204" i="71"/>
  <c r="AN204" i="71"/>
  <c r="AP122" i="71"/>
  <c r="AL71" i="71"/>
  <c r="AQ71" i="71"/>
  <c r="AP71" i="71"/>
  <c r="AO71" i="71"/>
  <c r="AO45" i="71"/>
  <c r="AQ45" i="71"/>
  <c r="AP45" i="71"/>
  <c r="AQ204" i="71"/>
  <c r="AM190" i="71"/>
  <c r="AM168" i="71"/>
  <c r="AP99" i="71"/>
  <c r="AO57" i="71"/>
  <c r="AQ57" i="71"/>
  <c r="AO182" i="71"/>
  <c r="AQ182" i="71"/>
  <c r="AP182" i="71"/>
  <c r="AL182" i="71"/>
  <c r="AN182" i="71"/>
  <c r="AM182" i="71"/>
  <c r="AN134" i="71"/>
  <c r="AP181" i="71"/>
  <c r="AQ181" i="71"/>
  <c r="AN181" i="71"/>
  <c r="AO147" i="71"/>
  <c r="AM147" i="71"/>
  <c r="AQ34" i="71"/>
  <c r="AN34" i="71"/>
  <c r="AM34" i="71"/>
  <c r="AM211" i="71"/>
  <c r="AL211" i="71"/>
  <c r="AQ211" i="71"/>
  <c r="AP211" i="71"/>
  <c r="AO211" i="71"/>
  <c r="AM122" i="71"/>
  <c r="AQ203" i="71"/>
  <c r="AN203" i="71"/>
  <c r="AM203" i="71"/>
  <c r="AL203" i="71"/>
  <c r="AP165" i="71"/>
  <c r="AM165" i="71"/>
  <c r="AQ165" i="71"/>
  <c r="AN165" i="71"/>
  <c r="AL125" i="71"/>
  <c r="AL53" i="71"/>
  <c r="AL190" i="71"/>
  <c r="AL165" i="71"/>
  <c r="AM221" i="71"/>
  <c r="AL133" i="71"/>
  <c r="AQ133" i="71"/>
  <c r="AN129" i="71"/>
  <c r="AQ129" i="71"/>
  <c r="AP129" i="71"/>
  <c r="AO129" i="71"/>
  <c r="AL129" i="71"/>
  <c r="AN87" i="71"/>
  <c r="AQ81" i="71"/>
  <c r="AO81" i="71"/>
  <c r="AL55" i="71"/>
  <c r="AQ55" i="71"/>
  <c r="AN55" i="71"/>
  <c r="AP55" i="71"/>
  <c r="AO55" i="71"/>
  <c r="AP124" i="71"/>
  <c r="AO124" i="71"/>
  <c r="AQ124" i="71"/>
  <c r="AN124" i="71"/>
  <c r="AM124" i="71"/>
  <c r="AL124" i="71"/>
  <c r="AO108" i="71"/>
  <c r="AN108" i="71"/>
  <c r="AQ108" i="71"/>
  <c r="AP108" i="71"/>
  <c r="AM108" i="71"/>
  <c r="AL108" i="71"/>
  <c r="AL104" i="71"/>
  <c r="AN207" i="71"/>
  <c r="AO193" i="71"/>
  <c r="AM175" i="71"/>
  <c r="AL101" i="71"/>
  <c r="AN91" i="71"/>
  <c r="AM83" i="71"/>
  <c r="AM67" i="71"/>
  <c r="AN35" i="71"/>
  <c r="AP222" i="71"/>
  <c r="AN218" i="71"/>
  <c r="AM200" i="71"/>
  <c r="AL178" i="71"/>
  <c r="AP174" i="71"/>
  <c r="AL166" i="71"/>
  <c r="AP158" i="71"/>
  <c r="AN154" i="71"/>
  <c r="AL126" i="71"/>
  <c r="AM120" i="71"/>
  <c r="AM110" i="71"/>
  <c r="AN104" i="71"/>
  <c r="AN92" i="71"/>
  <c r="AL82" i="71"/>
  <c r="AP78" i="71"/>
  <c r="AM70" i="71"/>
  <c r="AP60" i="71"/>
  <c r="AL48" i="71"/>
  <c r="AN42" i="71"/>
  <c r="AM40" i="71"/>
  <c r="AL110" i="71"/>
  <c r="AP48" i="71"/>
  <c r="AL40" i="71"/>
  <c r="AP207" i="71"/>
  <c r="AP193" i="71"/>
  <c r="AO101" i="71"/>
  <c r="AO91" i="71"/>
  <c r="AP35" i="71"/>
  <c r="AP218" i="71"/>
  <c r="AN178" i="71"/>
  <c r="AM166" i="71"/>
  <c r="AP154" i="71"/>
  <c r="AN126" i="71"/>
  <c r="AO120" i="71"/>
  <c r="AN110" i="71"/>
  <c r="AL86" i="71"/>
  <c r="AN82" i="71"/>
  <c r="AN74" i="71"/>
  <c r="AP70" i="71"/>
  <c r="AQ60" i="71"/>
  <c r="AQ44" i="71"/>
  <c r="AO42" i="71"/>
  <c r="AN40" i="71"/>
  <c r="AL70" i="71"/>
  <c r="AL223" i="71"/>
  <c r="AM213" i="71"/>
  <c r="AQ207" i="71"/>
  <c r="AM189" i="71"/>
  <c r="AO183" i="71"/>
  <c r="AP177" i="71"/>
  <c r="AL173" i="71"/>
  <c r="AN167" i="71"/>
  <c r="AO161" i="71"/>
  <c r="AM149" i="71"/>
  <c r="AO131" i="71"/>
  <c r="AL111" i="71"/>
  <c r="AP101" i="71"/>
  <c r="AQ91" i="71"/>
  <c r="AO83" i="71"/>
  <c r="AQ77" i="71"/>
  <c r="AO67" i="71"/>
  <c r="AM63" i="71"/>
  <c r="AM39" i="71"/>
  <c r="AM37" i="71"/>
  <c r="AQ35" i="71"/>
  <c r="AL212" i="71"/>
  <c r="AL202" i="71"/>
  <c r="AP186" i="71"/>
  <c r="AO170" i="71"/>
  <c r="AN166" i="71"/>
  <c r="AL142" i="71"/>
  <c r="AL140" i="71"/>
  <c r="AM136" i="71"/>
  <c r="AM126" i="71"/>
  <c r="AL114" i="71"/>
  <c r="AO110" i="71"/>
  <c r="AL102" i="71"/>
  <c r="AN98" i="71"/>
  <c r="AN90" i="71"/>
  <c r="AM86" i="71"/>
  <c r="AP74" i="71"/>
  <c r="AQ70" i="71"/>
  <c r="AM62" i="71"/>
  <c r="AL60" i="71"/>
  <c r="AL56" i="71"/>
  <c r="AL46" i="71"/>
  <c r="AP44" i="71"/>
  <c r="AP42" i="71"/>
  <c r="AL207" i="71"/>
  <c r="AP83" i="71"/>
  <c r="AP67" i="71"/>
  <c r="AN63" i="71"/>
  <c r="AP166" i="71"/>
  <c r="AO114" i="71"/>
  <c r="AM102" i="71"/>
  <c r="AP90" i="71"/>
  <c r="AP86" i="71"/>
  <c r="AM60" i="71"/>
  <c r="AN56" i="71"/>
  <c r="AL44" i="71"/>
  <c r="AQ42" i="71"/>
  <c r="AO61" i="71"/>
  <c r="AN61" i="71"/>
  <c r="AQ61" i="71"/>
  <c r="AL201" i="71"/>
  <c r="R152" i="71"/>
  <c r="AF128" i="71"/>
  <c r="Z34" i="71"/>
  <c r="AN219" i="71"/>
  <c r="AM217" i="71"/>
  <c r="AP215" i="71"/>
  <c r="AO213" i="71"/>
  <c r="AQ209" i="71"/>
  <c r="AM201" i="71"/>
  <c r="AP199" i="71"/>
  <c r="AO197" i="71"/>
  <c r="AL195" i="71"/>
  <c r="AQ193" i="71"/>
  <c r="AN187" i="71"/>
  <c r="AM185" i="71"/>
  <c r="AP183" i="71"/>
  <c r="AO181" i="71"/>
  <c r="AQ177" i="71"/>
  <c r="AN171" i="71"/>
  <c r="AM169" i="71"/>
  <c r="AP167" i="71"/>
  <c r="AO165" i="71"/>
  <c r="AQ161" i="71"/>
  <c r="AN155" i="71"/>
  <c r="AM153" i="71"/>
  <c r="AP149" i="71"/>
  <c r="AO143" i="71"/>
  <c r="AO141" i="71"/>
  <c r="AP135" i="71"/>
  <c r="AO133" i="71"/>
  <c r="AN127" i="71"/>
  <c r="AN125" i="71"/>
  <c r="AP117" i="71"/>
  <c r="AQ115" i="71"/>
  <c r="AO113" i="71"/>
  <c r="AO107" i="71"/>
  <c r="AN97" i="71"/>
  <c r="AM89" i="71"/>
  <c r="AP81" i="71"/>
  <c r="AL73" i="71"/>
  <c r="AM61" i="71"/>
  <c r="AL57" i="71"/>
  <c r="AP49" i="71"/>
  <c r="AP41" i="71"/>
  <c r="AM41" i="71"/>
  <c r="AO29" i="71"/>
  <c r="AN29" i="71"/>
  <c r="AQ29" i="71"/>
  <c r="AQ214" i="71"/>
  <c r="AO214" i="71"/>
  <c r="AN214" i="71"/>
  <c r="AM214" i="71"/>
  <c r="AL214" i="71"/>
  <c r="AO96" i="71"/>
  <c r="AN96" i="71"/>
  <c r="AM96" i="71"/>
  <c r="AL96" i="71"/>
  <c r="AQ96" i="71"/>
  <c r="AO80" i="71"/>
  <c r="AN80" i="71"/>
  <c r="AM80" i="71"/>
  <c r="AL80" i="71"/>
  <c r="AQ80" i="71"/>
  <c r="AN148" i="71"/>
  <c r="AM148" i="71"/>
  <c r="AL148" i="71"/>
  <c r="AQ148" i="71"/>
  <c r="AP148" i="71"/>
  <c r="AL217" i="71"/>
  <c r="AL89" i="71"/>
  <c r="AM33" i="71"/>
  <c r="AL33" i="71"/>
  <c r="AN164" i="71"/>
  <c r="AM164" i="71"/>
  <c r="AL164" i="71"/>
  <c r="AQ164" i="71"/>
  <c r="AP164" i="71"/>
  <c r="AO148" i="71"/>
  <c r="AO64" i="71"/>
  <c r="AN64" i="71"/>
  <c r="AM64" i="71"/>
  <c r="AL64" i="71"/>
  <c r="AQ64" i="71"/>
  <c r="T55" i="71"/>
  <c r="AN223" i="71"/>
  <c r="AO219" i="71"/>
  <c r="AN217" i="71"/>
  <c r="AQ215" i="71"/>
  <c r="AN201" i="71"/>
  <c r="AQ199" i="71"/>
  <c r="AM195" i="71"/>
  <c r="AO187" i="71"/>
  <c r="AN185" i="71"/>
  <c r="AQ183" i="71"/>
  <c r="AO171" i="71"/>
  <c r="AN169" i="71"/>
  <c r="AQ167" i="71"/>
  <c r="AO155" i="71"/>
  <c r="AN153" i="71"/>
  <c r="AQ149" i="71"/>
  <c r="AP143" i="71"/>
  <c r="AQ141" i="71"/>
  <c r="AO135" i="71"/>
  <c r="AP133" i="71"/>
  <c r="AP127" i="71"/>
  <c r="AO125" i="71"/>
  <c r="AQ117" i="71"/>
  <c r="AL115" i="71"/>
  <c r="AM111" i="71"/>
  <c r="AP107" i="71"/>
  <c r="AO97" i="71"/>
  <c r="AN89" i="71"/>
  <c r="AP79" i="71"/>
  <c r="AO79" i="71"/>
  <c r="AM79" i="71"/>
  <c r="AN73" i="71"/>
  <c r="AP61" i="71"/>
  <c r="AN57" i="71"/>
  <c r="AP47" i="71"/>
  <c r="AO47" i="71"/>
  <c r="AM47" i="71"/>
  <c r="AN33" i="71"/>
  <c r="AP192" i="71"/>
  <c r="AO192" i="71"/>
  <c r="AN192" i="71"/>
  <c r="AL192" i="71"/>
  <c r="AN112" i="71"/>
  <c r="AM112" i="71"/>
  <c r="AL112" i="71"/>
  <c r="AQ112" i="71"/>
  <c r="AP112" i="71"/>
  <c r="AP96" i="71"/>
  <c r="AP80" i="71"/>
  <c r="AL61" i="71"/>
  <c r="AL194" i="71"/>
  <c r="AQ194" i="71"/>
  <c r="AP194" i="71"/>
  <c r="AO194" i="71"/>
  <c r="AM194" i="71"/>
  <c r="AP219" i="71"/>
  <c r="AO201" i="71"/>
  <c r="AP187" i="71"/>
  <c r="AO185" i="71"/>
  <c r="AO169" i="71"/>
  <c r="AP155" i="71"/>
  <c r="AO153" i="71"/>
  <c r="AL143" i="71"/>
  <c r="AQ135" i="71"/>
  <c r="AO127" i="71"/>
  <c r="AL117" i="71"/>
  <c r="AO115" i="71"/>
  <c r="AQ107" i="71"/>
  <c r="AO89" i="71"/>
  <c r="AO33" i="71"/>
  <c r="AP208" i="71"/>
  <c r="AO208" i="71"/>
  <c r="AN208" i="71"/>
  <c r="AL208" i="71"/>
  <c r="AP176" i="71"/>
  <c r="AO176" i="71"/>
  <c r="AN176" i="71"/>
  <c r="AL176" i="71"/>
  <c r="AP128" i="71"/>
  <c r="AO128" i="71"/>
  <c r="AN128" i="71"/>
  <c r="AM128" i="71"/>
  <c r="AL128" i="71"/>
  <c r="AM68" i="71"/>
  <c r="AL68" i="71"/>
  <c r="AQ68" i="71"/>
  <c r="AP68" i="71"/>
  <c r="AO68" i="71"/>
  <c r="AM52" i="71"/>
  <c r="AL52" i="71"/>
  <c r="AQ52" i="71"/>
  <c r="AP52" i="71"/>
  <c r="AO52" i="71"/>
  <c r="AP73" i="71"/>
  <c r="AM73" i="71"/>
  <c r="AL27" i="71"/>
  <c r="AQ27" i="71"/>
  <c r="AP27" i="71"/>
  <c r="AO27" i="71"/>
  <c r="AM36" i="71"/>
  <c r="AL36" i="71"/>
  <c r="AP36" i="71"/>
  <c r="AQ36" i="71"/>
  <c r="AO36" i="71"/>
  <c r="AL185" i="71"/>
  <c r="AL169" i="71"/>
  <c r="AL153" i="71"/>
  <c r="AN143" i="71"/>
  <c r="AQ198" i="71"/>
  <c r="AO198" i="71"/>
  <c r="AN198" i="71"/>
  <c r="AM198" i="71"/>
  <c r="AL198" i="71"/>
  <c r="AO217" i="71"/>
  <c r="AP171" i="71"/>
  <c r="T120" i="71"/>
  <c r="AO223" i="71"/>
  <c r="AQ219" i="71"/>
  <c r="AP217" i="71"/>
  <c r="AL209" i="71"/>
  <c r="AP201" i="71"/>
  <c r="AL193" i="71"/>
  <c r="AQ187" i="71"/>
  <c r="AP185" i="71"/>
  <c r="AL177" i="71"/>
  <c r="AQ171" i="71"/>
  <c r="AP169" i="71"/>
  <c r="AL161" i="71"/>
  <c r="AQ155" i="71"/>
  <c r="AP153" i="71"/>
  <c r="AN147" i="71"/>
  <c r="AO145" i="71"/>
  <c r="AM143" i="71"/>
  <c r="AN139" i="71"/>
  <c r="AL135" i="71"/>
  <c r="AM129" i="71"/>
  <c r="AL127" i="71"/>
  <c r="AN117" i="71"/>
  <c r="AL113" i="71"/>
  <c r="AN111" i="71"/>
  <c r="AN109" i="71"/>
  <c r="AM101" i="71"/>
  <c r="AQ99" i="71"/>
  <c r="AL93" i="71"/>
  <c r="AP91" i="71"/>
  <c r="AQ79" i="71"/>
  <c r="AL75" i="71"/>
  <c r="AQ75" i="71"/>
  <c r="AN75" i="71"/>
  <c r="AL59" i="71"/>
  <c r="AQ59" i="71"/>
  <c r="AN59" i="71"/>
  <c r="AQ47" i="71"/>
  <c r="AO41" i="71"/>
  <c r="AP33" i="71"/>
  <c r="AP29" i="71"/>
  <c r="AQ208" i="71"/>
  <c r="AM192" i="71"/>
  <c r="AN184" i="71"/>
  <c r="AL184" i="71"/>
  <c r="AQ184" i="71"/>
  <c r="AP184" i="71"/>
  <c r="AQ176" i="71"/>
  <c r="AP144" i="71"/>
  <c r="AO144" i="71"/>
  <c r="AN144" i="71"/>
  <c r="AM144" i="71"/>
  <c r="AL144" i="71"/>
  <c r="AQ128" i="71"/>
  <c r="AM100" i="71"/>
  <c r="AL100" i="71"/>
  <c r="AQ100" i="71"/>
  <c r="AP100" i="71"/>
  <c r="AO100" i="71"/>
  <c r="AM84" i="71"/>
  <c r="AL84" i="71"/>
  <c r="AQ84" i="71"/>
  <c r="AP84" i="71"/>
  <c r="AO84" i="71"/>
  <c r="AN68" i="71"/>
  <c r="AN52" i="71"/>
  <c r="AO32" i="71"/>
  <c r="AN32" i="71"/>
  <c r="AM32" i="71"/>
  <c r="AL32" i="71"/>
  <c r="AP32" i="71"/>
  <c r="AP115" i="71"/>
  <c r="AN107" i="71"/>
  <c r="AQ73" i="71"/>
  <c r="AP57" i="71"/>
  <c r="AM57" i="71"/>
  <c r="AN36" i="71"/>
  <c r="T88" i="71"/>
  <c r="X32" i="71"/>
  <c r="AP223" i="71"/>
  <c r="AL219" i="71"/>
  <c r="AM209" i="71"/>
  <c r="AM193" i="71"/>
  <c r="AL187" i="71"/>
  <c r="AM177" i="71"/>
  <c r="AL171" i="71"/>
  <c r="AM161" i="71"/>
  <c r="AL155" i="71"/>
  <c r="AP147" i="71"/>
  <c r="AP139" i="71"/>
  <c r="AM135" i="71"/>
  <c r="AM127" i="71"/>
  <c r="AO117" i="71"/>
  <c r="AO111" i="71"/>
  <c r="AN101" i="71"/>
  <c r="AM93" i="71"/>
  <c r="AL79" i="71"/>
  <c r="AM65" i="71"/>
  <c r="AL65" i="71"/>
  <c r="AL47" i="71"/>
  <c r="AM27" i="71"/>
  <c r="AM208" i="71"/>
  <c r="AN200" i="71"/>
  <c r="AL200" i="71"/>
  <c r="AQ200" i="71"/>
  <c r="AP200" i="71"/>
  <c r="AN180" i="71"/>
  <c r="AM180" i="71"/>
  <c r="AL180" i="71"/>
  <c r="AP180" i="71"/>
  <c r="AM176" i="71"/>
  <c r="AP160" i="71"/>
  <c r="AO160" i="71"/>
  <c r="AN160" i="71"/>
  <c r="AM160" i="71"/>
  <c r="AL160" i="71"/>
  <c r="AL116" i="71"/>
  <c r="AQ116" i="71"/>
  <c r="AP116" i="71"/>
  <c r="AO116" i="71"/>
  <c r="AN116" i="71"/>
  <c r="AC72" i="71"/>
  <c r="Z32" i="71"/>
  <c r="AQ147" i="71"/>
  <c r="AO139" i="71"/>
  <c r="AM115" i="71"/>
  <c r="AQ111" i="71"/>
  <c r="AM107" i="71"/>
  <c r="AQ89" i="71"/>
  <c r="AM81" i="71"/>
  <c r="AL81" i="71"/>
  <c r="AM49" i="71"/>
  <c r="AL49" i="71"/>
  <c r="AN27" i="71"/>
  <c r="AN216" i="71"/>
  <c r="AL216" i="71"/>
  <c r="AQ216" i="71"/>
  <c r="AP216" i="71"/>
  <c r="AM206" i="71"/>
  <c r="AL206" i="71"/>
  <c r="AQ206" i="71"/>
  <c r="AO206" i="71"/>
  <c r="AN132" i="71"/>
  <c r="AM132" i="71"/>
  <c r="AL132" i="71"/>
  <c r="AQ132" i="71"/>
  <c r="AP132" i="71"/>
  <c r="AL30" i="71"/>
  <c r="AM30" i="71"/>
  <c r="AQ30" i="71"/>
  <c r="AP30" i="71"/>
  <c r="AO30" i="71"/>
  <c r="AO85" i="71"/>
  <c r="AL83" i="71"/>
  <c r="AO69" i="71"/>
  <c r="AL67" i="71"/>
  <c r="AO53" i="71"/>
  <c r="AL51" i="71"/>
  <c r="AO37" i="71"/>
  <c r="AN220" i="71"/>
  <c r="AQ218" i="71"/>
  <c r="AM210" i="71"/>
  <c r="AQ202" i="71"/>
  <c r="AN188" i="71"/>
  <c r="AQ186" i="71"/>
  <c r="AM178" i="71"/>
  <c r="AN172" i="71"/>
  <c r="AQ170" i="71"/>
  <c r="AM162" i="71"/>
  <c r="AN156" i="71"/>
  <c r="AQ154" i="71"/>
  <c r="AM146" i="71"/>
  <c r="AQ138" i="71"/>
  <c r="AN130" i="71"/>
  <c r="AQ122" i="71"/>
  <c r="AN114" i="71"/>
  <c r="AQ106" i="71"/>
  <c r="AM98" i="71"/>
  <c r="AQ90" i="71"/>
  <c r="AM82" i="71"/>
  <c r="AQ74" i="71"/>
  <c r="AM66" i="71"/>
  <c r="AQ58" i="71"/>
  <c r="AM50" i="71"/>
  <c r="AQ48" i="71"/>
  <c r="AM38" i="71"/>
  <c r="AL34" i="71"/>
  <c r="AQ26" i="71"/>
  <c r="AO210" i="71"/>
  <c r="AO178" i="71"/>
  <c r="AP168" i="71"/>
  <c r="AO162" i="71"/>
  <c r="AP152" i="71"/>
  <c r="AO146" i="71"/>
  <c r="AP136" i="71"/>
  <c r="AO130" i="71"/>
  <c r="AP120" i="71"/>
  <c r="AM114" i="71"/>
  <c r="AO104" i="71"/>
  <c r="AO98" i="71"/>
  <c r="AO82" i="71"/>
  <c r="AO72" i="71"/>
  <c r="AO66" i="71"/>
  <c r="AO50" i="71"/>
  <c r="AM48" i="71"/>
  <c r="AL38" i="71"/>
  <c r="AO34" i="71"/>
  <c r="AN77" i="71"/>
  <c r="AO63" i="71"/>
  <c r="AN45" i="71"/>
  <c r="AQ43" i="71"/>
  <c r="AL218" i="71"/>
  <c r="AM212" i="71"/>
  <c r="AP210" i="71"/>
  <c r="AL186" i="71"/>
  <c r="AP178" i="71"/>
  <c r="AQ168" i="71"/>
  <c r="AP162" i="71"/>
  <c r="AL154" i="71"/>
  <c r="AQ152" i="71"/>
  <c r="AP146" i="71"/>
  <c r="AL138" i="71"/>
  <c r="AQ136" i="71"/>
  <c r="AM134" i="71"/>
  <c r="AP130" i="71"/>
  <c r="AL122" i="71"/>
  <c r="AQ120" i="71"/>
  <c r="AO118" i="71"/>
  <c r="AP114" i="71"/>
  <c r="AL106" i="71"/>
  <c r="AP104" i="71"/>
  <c r="AN102" i="71"/>
  <c r="AP98" i="71"/>
  <c r="AL90" i="71"/>
  <c r="AP88" i="71"/>
  <c r="AN86" i="71"/>
  <c r="AP82" i="71"/>
  <c r="AL74" i="71"/>
  <c r="AP72" i="71"/>
  <c r="AN70" i="71"/>
  <c r="AP66" i="71"/>
  <c r="AL58" i="71"/>
  <c r="AP56" i="71"/>
  <c r="AN54" i="71"/>
  <c r="AP50" i="71"/>
  <c r="AN38" i="71"/>
  <c r="AP34" i="71"/>
  <c r="AL26" i="71"/>
  <c r="AM218" i="71"/>
  <c r="AM186" i="71"/>
  <c r="AL168" i="71"/>
  <c r="AM154" i="71"/>
  <c r="AL152" i="71"/>
  <c r="AN138" i="71"/>
  <c r="AL136" i="71"/>
  <c r="AN122" i="71"/>
  <c r="AL120" i="71"/>
  <c r="AM106" i="71"/>
  <c r="AQ104" i="71"/>
  <c r="AM90" i="71"/>
  <c r="AQ88" i="71"/>
  <c r="AM74" i="71"/>
  <c r="AQ72" i="71"/>
  <c r="AM58" i="71"/>
  <c r="AQ56" i="71"/>
  <c r="AO38" i="71"/>
  <c r="AM26" i="71"/>
  <c r="DV8" i="71"/>
  <c r="EC8" i="71" s="1"/>
  <c r="CT9" i="71"/>
  <c r="CV8" i="71"/>
  <c r="CW9" i="71" s="1"/>
  <c r="AC54" i="71"/>
  <c r="Z50" i="71"/>
  <c r="V195" i="71"/>
  <c r="AB183" i="71"/>
  <c r="Y53" i="71"/>
  <c r="V140" i="71"/>
  <c r="AE128" i="71"/>
  <c r="AJ100" i="71"/>
  <c r="AA94" i="71"/>
  <c r="AA50" i="71"/>
  <c r="X195" i="71"/>
  <c r="AC183" i="71"/>
  <c r="Z73" i="71"/>
  <c r="Z53" i="71"/>
  <c r="T29" i="71"/>
  <c r="AA150" i="71"/>
  <c r="T140" i="71"/>
  <c r="AH185" i="71"/>
  <c r="T79" i="71"/>
  <c r="S189" i="71"/>
  <c r="Z163" i="71"/>
  <c r="AA79" i="71"/>
  <c r="V27" i="71"/>
  <c r="T193" i="71"/>
  <c r="Z183" i="71"/>
  <c r="AB79" i="71"/>
  <c r="T116" i="71"/>
  <c r="X138" i="71"/>
  <c r="X116" i="71"/>
  <c r="AH183" i="71"/>
  <c r="X58" i="71"/>
  <c r="AC203" i="71"/>
  <c r="T173" i="71"/>
  <c r="T216" i="71"/>
  <c r="AC138" i="71"/>
  <c r="AE134" i="71"/>
  <c r="Z104" i="71"/>
  <c r="T94" i="71"/>
  <c r="AF78" i="71"/>
  <c r="U74" i="71"/>
  <c r="AB32" i="71"/>
  <c r="R26" i="71"/>
  <c r="T109" i="71"/>
  <c r="AA61" i="71"/>
  <c r="AG134" i="71"/>
  <c r="AC116" i="71"/>
  <c r="T86" i="71"/>
  <c r="AG78" i="71"/>
  <c r="AC53" i="71"/>
  <c r="AI134" i="71"/>
  <c r="AJ190" i="71"/>
  <c r="S116" i="71"/>
  <c r="AJ90" i="71"/>
  <c r="AH78" i="71"/>
  <c r="S74" i="71"/>
  <c r="AF56" i="71"/>
  <c r="R42" i="71"/>
  <c r="AJ26" i="71"/>
  <c r="R195" i="71"/>
  <c r="AJ189" i="71"/>
  <c r="AI185" i="71"/>
  <c r="X183" i="71"/>
  <c r="AB175" i="71"/>
  <c r="AI153" i="71"/>
  <c r="AE183" i="71"/>
  <c r="R88" i="71"/>
  <c r="Y42" i="71"/>
  <c r="Y183" i="71"/>
  <c r="AF143" i="71"/>
  <c r="AC93" i="71"/>
  <c r="AG59" i="71"/>
  <c r="T45" i="71"/>
  <c r="R206" i="71"/>
  <c r="AH200" i="71"/>
  <c r="U178" i="71"/>
  <c r="AH142" i="71"/>
  <c r="Y128" i="71"/>
  <c r="AH116" i="71"/>
  <c r="AH96" i="71"/>
  <c r="AF90" i="71"/>
  <c r="AI62" i="71"/>
  <c r="X56" i="71"/>
  <c r="U50" i="71"/>
  <c r="T36" i="71"/>
  <c r="V26" i="71"/>
  <c r="T195" i="71"/>
  <c r="AB163" i="71"/>
  <c r="AA159" i="71"/>
  <c r="Z119" i="71"/>
  <c r="S107" i="71"/>
  <c r="Y208" i="71"/>
  <c r="X208" i="71"/>
  <c r="S206" i="71"/>
  <c r="AB194" i="71"/>
  <c r="AG190" i="71"/>
  <c r="S182" i="71"/>
  <c r="R114" i="71"/>
  <c r="S102" i="71"/>
  <c r="AG90" i="71"/>
  <c r="AI74" i="71"/>
  <c r="Y56" i="71"/>
  <c r="U36" i="71"/>
  <c r="X163" i="71"/>
  <c r="V123" i="71"/>
  <c r="Y120" i="71"/>
  <c r="S114" i="71"/>
  <c r="T110" i="71"/>
  <c r="Q102" i="71"/>
  <c r="Y82" i="71"/>
  <c r="AB56" i="71"/>
  <c r="AF46" i="71"/>
  <c r="AA221" i="71"/>
  <c r="AI207" i="71"/>
  <c r="AC191" i="71"/>
  <c r="X173" i="71"/>
  <c r="R145" i="71"/>
  <c r="X115" i="71"/>
  <c r="AJ29" i="71"/>
  <c r="U152" i="71"/>
  <c r="AC82" i="71"/>
  <c r="AI46" i="71"/>
  <c r="U77" i="71"/>
  <c r="AH65" i="71"/>
  <c r="AB53" i="71"/>
  <c r="V216" i="71"/>
  <c r="AC160" i="71"/>
  <c r="Y126" i="71"/>
  <c r="AC94" i="71"/>
  <c r="AA62" i="71"/>
  <c r="X52" i="71"/>
  <c r="Q36" i="71"/>
  <c r="S34" i="71"/>
  <c r="AA32" i="71"/>
  <c r="Y179" i="71"/>
  <c r="Z175" i="71"/>
  <c r="Y157" i="71"/>
  <c r="AC149" i="71"/>
  <c r="S145" i="71"/>
  <c r="U55" i="71"/>
  <c r="U206" i="71"/>
  <c r="AJ200" i="71"/>
  <c r="AI188" i="71"/>
  <c r="AH184" i="71"/>
  <c r="V112" i="71"/>
  <c r="Q209" i="71"/>
  <c r="V206" i="71"/>
  <c r="AA204" i="71"/>
  <c r="AH188" i="71"/>
  <c r="AG140" i="71"/>
  <c r="AA118" i="71"/>
  <c r="X94" i="71"/>
  <c r="S36" i="71"/>
  <c r="Z210" i="71"/>
  <c r="Q204" i="71"/>
  <c r="AJ196" i="71"/>
  <c r="V182" i="71"/>
  <c r="Z182" i="71"/>
  <c r="Q152" i="71"/>
  <c r="Q120" i="71"/>
  <c r="U114" i="71"/>
  <c r="T112" i="71"/>
  <c r="Z106" i="71"/>
  <c r="U102" i="71"/>
  <c r="V86" i="71"/>
  <c r="R82" i="71"/>
  <c r="AC62" i="71"/>
  <c r="U199" i="71"/>
  <c r="AG191" i="71"/>
  <c r="Y187" i="71"/>
  <c r="V173" i="71"/>
  <c r="AB143" i="71"/>
  <c r="U127" i="71"/>
  <c r="X125" i="71"/>
  <c r="S123" i="71"/>
  <c r="AH105" i="71"/>
  <c r="Y97" i="71"/>
  <c r="AC79" i="71"/>
  <c r="V55" i="71"/>
  <c r="X53" i="71"/>
  <c r="V41" i="71"/>
  <c r="U33" i="71"/>
  <c r="AE29" i="71"/>
  <c r="V204" i="71"/>
  <c r="AA182" i="71"/>
  <c r="Q42" i="71"/>
  <c r="V199" i="71"/>
  <c r="AH191" i="71"/>
  <c r="Z189" i="71"/>
  <c r="AA125" i="71"/>
  <c r="X111" i="71"/>
  <c r="Z97" i="71"/>
  <c r="AA47" i="71"/>
  <c r="Z41" i="71"/>
  <c r="X37" i="71"/>
  <c r="V33" i="71"/>
  <c r="AF29" i="71"/>
  <c r="T220" i="71"/>
  <c r="U216" i="71"/>
  <c r="AI210" i="71"/>
  <c r="Q198" i="71"/>
  <c r="AA190" i="71"/>
  <c r="X182" i="71"/>
  <c r="AB176" i="71"/>
  <c r="AC168" i="71"/>
  <c r="Z160" i="71"/>
  <c r="R144" i="71"/>
  <c r="AH130" i="71"/>
  <c r="U116" i="71"/>
  <c r="U112" i="71"/>
  <c r="V102" i="71"/>
  <c r="AH52" i="71"/>
  <c r="T42" i="71"/>
  <c r="X36" i="71"/>
  <c r="AA34" i="71"/>
  <c r="AI213" i="71"/>
  <c r="AG207" i="71"/>
  <c r="S193" i="71"/>
  <c r="Z191" i="71"/>
  <c r="AJ191" i="71"/>
  <c r="AB189" i="71"/>
  <c r="Q173" i="71"/>
  <c r="T145" i="71"/>
  <c r="AJ143" i="71"/>
  <c r="AA131" i="71"/>
  <c r="AA41" i="71"/>
  <c r="Z200" i="71"/>
  <c r="S154" i="71"/>
  <c r="AI130" i="71"/>
  <c r="S122" i="71"/>
  <c r="T102" i="71"/>
  <c r="AI100" i="71"/>
  <c r="X82" i="71"/>
  <c r="AI78" i="71"/>
  <c r="AF62" i="71"/>
  <c r="Z56" i="71"/>
  <c r="AJ52" i="71"/>
  <c r="X50" i="71"/>
  <c r="V42" i="71"/>
  <c r="AB34" i="71"/>
  <c r="AC28" i="71"/>
  <c r="AH207" i="71"/>
  <c r="Y203" i="71"/>
  <c r="AB191" i="71"/>
  <c r="AE191" i="71"/>
  <c r="AG183" i="71"/>
  <c r="S173" i="71"/>
  <c r="V145" i="71"/>
  <c r="AE143" i="71"/>
  <c r="R139" i="71"/>
  <c r="AB125" i="71"/>
  <c r="AA97" i="71"/>
  <c r="X93" i="71"/>
  <c r="X79" i="71"/>
  <c r="Y79" i="71"/>
  <c r="Q55" i="71"/>
  <c r="AF191" i="71"/>
  <c r="Y125" i="71"/>
  <c r="AC125" i="71"/>
  <c r="X97" i="71"/>
  <c r="S79" i="71"/>
  <c r="AG49" i="71"/>
  <c r="S27" i="71"/>
  <c r="AJ212" i="71"/>
  <c r="AH204" i="71"/>
  <c r="AF190" i="71"/>
  <c r="AF188" i="71"/>
  <c r="AI184" i="71"/>
  <c r="T182" i="71"/>
  <c r="AH168" i="71"/>
  <c r="Y138" i="71"/>
  <c r="X128" i="71"/>
  <c r="Z120" i="71"/>
  <c r="Q116" i="71"/>
  <c r="Y116" i="71"/>
  <c r="R110" i="71"/>
  <c r="AJ96" i="71"/>
  <c r="Z82" i="71"/>
  <c r="Z66" i="71"/>
  <c r="Y62" i="71"/>
  <c r="Q60" i="71"/>
  <c r="Y58" i="71"/>
  <c r="R50" i="71"/>
  <c r="AC32" i="71"/>
  <c r="AB221" i="71"/>
  <c r="U209" i="71"/>
  <c r="Z203" i="71"/>
  <c r="R199" i="71"/>
  <c r="S197" i="71"/>
  <c r="R193" i="71"/>
  <c r="X191" i="71"/>
  <c r="AA175" i="71"/>
  <c r="AC167" i="71"/>
  <c r="Q145" i="71"/>
  <c r="T123" i="71"/>
  <c r="AC97" i="71"/>
  <c r="AH49" i="71"/>
  <c r="AF184" i="71"/>
  <c r="U182" i="71"/>
  <c r="R116" i="71"/>
  <c r="AB82" i="71"/>
  <c r="Z62" i="71"/>
  <c r="AB58" i="71"/>
  <c r="U42" i="71"/>
  <c r="Q32" i="71"/>
  <c r="AB203" i="71"/>
  <c r="S199" i="71"/>
  <c r="U193" i="71"/>
  <c r="Y191" i="71"/>
  <c r="AA187" i="71"/>
  <c r="U173" i="71"/>
  <c r="AB101" i="71"/>
  <c r="AP16" i="3"/>
  <c r="AP14" i="3"/>
  <c r="AP15" i="3"/>
  <c r="X198" i="71"/>
  <c r="Y174" i="71"/>
  <c r="AA158" i="71"/>
  <c r="AB158" i="71"/>
  <c r="AG88" i="71"/>
  <c r="AF42" i="71"/>
  <c r="AE42" i="71"/>
  <c r="AJ42" i="71"/>
  <c r="AJ32" i="71"/>
  <c r="AI32" i="71"/>
  <c r="Q219" i="71"/>
  <c r="V219" i="71"/>
  <c r="AF217" i="71"/>
  <c r="U213" i="71"/>
  <c r="Q213" i="71"/>
  <c r="AC211" i="71"/>
  <c r="AA211" i="71"/>
  <c r="Y177" i="71"/>
  <c r="AG115" i="71"/>
  <c r="AE115" i="71"/>
  <c r="AJ115" i="71"/>
  <c r="AF115" i="71"/>
  <c r="AH53" i="71"/>
  <c r="AG53" i="71"/>
  <c r="AF53" i="71"/>
  <c r="AE53" i="71"/>
  <c r="S214" i="71"/>
  <c r="S208" i="71"/>
  <c r="AA200" i="71"/>
  <c r="AC198" i="71"/>
  <c r="Y198" i="71"/>
  <c r="AJ178" i="71"/>
  <c r="AB174" i="71"/>
  <c r="AI172" i="71"/>
  <c r="U168" i="71"/>
  <c r="X166" i="71"/>
  <c r="AJ164" i="71"/>
  <c r="Y158" i="71"/>
  <c r="T154" i="71"/>
  <c r="U154" i="71"/>
  <c r="T150" i="71"/>
  <c r="AB148" i="71"/>
  <c r="AA144" i="71"/>
  <c r="R138" i="71"/>
  <c r="T130" i="71"/>
  <c r="Z126" i="71"/>
  <c r="AE124" i="71"/>
  <c r="Y106" i="71"/>
  <c r="AC106" i="71"/>
  <c r="X96" i="71"/>
  <c r="Q94" i="71"/>
  <c r="U94" i="71"/>
  <c r="X92" i="71"/>
  <c r="AC92" i="71"/>
  <c r="AG86" i="71"/>
  <c r="AJ86" i="71"/>
  <c r="AE86" i="71"/>
  <c r="AG42" i="71"/>
  <c r="AB38" i="71"/>
  <c r="X38" i="71"/>
  <c r="T219" i="71"/>
  <c r="S213" i="71"/>
  <c r="AB211" i="71"/>
  <c r="AB179" i="71"/>
  <c r="Z179" i="71"/>
  <c r="AJ169" i="71"/>
  <c r="AE169" i="71"/>
  <c r="AH169" i="71"/>
  <c r="AG157" i="71"/>
  <c r="AI157" i="71"/>
  <c r="AF157" i="71"/>
  <c r="AH115" i="71"/>
  <c r="AB107" i="71"/>
  <c r="Y107" i="71"/>
  <c r="Q91" i="71"/>
  <c r="R63" i="71"/>
  <c r="AJ53" i="71"/>
  <c r="Y43" i="71"/>
  <c r="AB43" i="71"/>
  <c r="AA43" i="71"/>
  <c r="Z43" i="71"/>
  <c r="AJ88" i="71"/>
  <c r="AE88" i="71"/>
  <c r="AJ172" i="71"/>
  <c r="T214" i="71"/>
  <c r="AB212" i="71"/>
  <c r="R210" i="71"/>
  <c r="T202" i="71"/>
  <c r="AB200" i="71"/>
  <c r="AE172" i="71"/>
  <c r="Y166" i="71"/>
  <c r="AE164" i="71"/>
  <c r="Z158" i="71"/>
  <c r="AC148" i="71"/>
  <c r="X110" i="71"/>
  <c r="AI88" i="71"/>
  <c r="AH42" i="71"/>
  <c r="AH38" i="71"/>
  <c r="AJ38" i="71"/>
  <c r="AI38" i="71"/>
  <c r="AG38" i="71"/>
  <c r="AG211" i="71"/>
  <c r="AE211" i="71"/>
  <c r="AA185" i="71"/>
  <c r="X185" i="71"/>
  <c r="AJ177" i="71"/>
  <c r="AE177" i="71"/>
  <c r="U147" i="71"/>
  <c r="Q147" i="71"/>
  <c r="V147" i="71"/>
  <c r="T147" i="71"/>
  <c r="R99" i="71"/>
  <c r="S99" i="71"/>
  <c r="Q99" i="71"/>
  <c r="V99" i="71"/>
  <c r="T99" i="71"/>
  <c r="U73" i="71"/>
  <c r="S73" i="71"/>
  <c r="R73" i="71"/>
  <c r="Q73" i="71"/>
  <c r="Y63" i="71"/>
  <c r="X63" i="71"/>
  <c r="U53" i="71"/>
  <c r="V53" i="71"/>
  <c r="AA49" i="71"/>
  <c r="AB49" i="71"/>
  <c r="AJ47" i="71"/>
  <c r="AF47" i="71"/>
  <c r="AE47" i="71"/>
  <c r="X43" i="71"/>
  <c r="Y180" i="71"/>
  <c r="Y104" i="71"/>
  <c r="AC104" i="71"/>
  <c r="Z86" i="71"/>
  <c r="X148" i="71"/>
  <c r="T138" i="71"/>
  <c r="AA96" i="71"/>
  <c r="AC96" i="71"/>
  <c r="AF88" i="71"/>
  <c r="X72" i="71"/>
  <c r="Y72" i="71"/>
  <c r="U219" i="71"/>
  <c r="R215" i="71"/>
  <c r="Q215" i="71"/>
  <c r="U215" i="71"/>
  <c r="Y207" i="71"/>
  <c r="X207" i="71"/>
  <c r="AH163" i="71"/>
  <c r="AJ163" i="71"/>
  <c r="AI163" i="71"/>
  <c r="AG163" i="71"/>
  <c r="AC145" i="71"/>
  <c r="AB145" i="71"/>
  <c r="Y145" i="71"/>
  <c r="V85" i="71"/>
  <c r="T85" i="71"/>
  <c r="Q85" i="71"/>
  <c r="U69" i="71"/>
  <c r="V69" i="71"/>
  <c r="T69" i="71"/>
  <c r="R69" i="71"/>
  <c r="S65" i="71"/>
  <c r="V65" i="71"/>
  <c r="R65" i="71"/>
  <c r="AI53" i="71"/>
  <c r="AE218" i="71"/>
  <c r="AA216" i="71"/>
  <c r="AE212" i="71"/>
  <c r="AI204" i="71"/>
  <c r="V198" i="71"/>
  <c r="AI194" i="71"/>
  <c r="AC182" i="71"/>
  <c r="V178" i="71"/>
  <c r="T162" i="71"/>
  <c r="Q154" i="71"/>
  <c r="T152" i="71"/>
  <c r="V152" i="71"/>
  <c r="AG148" i="71"/>
  <c r="AE148" i="71"/>
  <c r="AE140" i="71"/>
  <c r="AH140" i="71"/>
  <c r="X106" i="71"/>
  <c r="AA92" i="71"/>
  <c r="T76" i="71"/>
  <c r="Q76" i="71"/>
  <c r="AE74" i="71"/>
  <c r="AB72" i="71"/>
  <c r="Y64" i="71"/>
  <c r="AC64" i="71"/>
  <c r="AF38" i="71"/>
  <c r="T215" i="71"/>
  <c r="AE197" i="71"/>
  <c r="AE195" i="71"/>
  <c r="AF195" i="71"/>
  <c r="AG195" i="71"/>
  <c r="AG179" i="71"/>
  <c r="AE179" i="71"/>
  <c r="AJ179" i="71"/>
  <c r="AI179" i="71"/>
  <c r="AI169" i="71"/>
  <c r="AE163" i="71"/>
  <c r="AC159" i="71"/>
  <c r="AH157" i="71"/>
  <c r="S153" i="71"/>
  <c r="Z147" i="71"/>
  <c r="AB147" i="71"/>
  <c r="T115" i="71"/>
  <c r="V115" i="71"/>
  <c r="Q101" i="71"/>
  <c r="S101" i="71"/>
  <c r="V101" i="71"/>
  <c r="R101" i="71"/>
  <c r="U85" i="71"/>
  <c r="U65" i="71"/>
  <c r="AB59" i="71"/>
  <c r="S51" i="71"/>
  <c r="R51" i="71"/>
  <c r="Q51" i="71"/>
  <c r="U51" i="71"/>
  <c r="AI124" i="71"/>
  <c r="AH124" i="71"/>
  <c r="Y100" i="71"/>
  <c r="AA100" i="71"/>
  <c r="X100" i="71"/>
  <c r="X46" i="71"/>
  <c r="Z46" i="71"/>
  <c r="Y46" i="71"/>
  <c r="T67" i="71"/>
  <c r="V67" i="71"/>
  <c r="AC100" i="71"/>
  <c r="AB193" i="71"/>
  <c r="X193" i="71"/>
  <c r="R220" i="71"/>
  <c r="AF218" i="71"/>
  <c r="AC216" i="71"/>
  <c r="X214" i="71"/>
  <c r="AF212" i="71"/>
  <c r="AE204" i="71"/>
  <c r="S198" i="71"/>
  <c r="AJ194" i="71"/>
  <c r="R186" i="71"/>
  <c r="V162" i="71"/>
  <c r="X154" i="71"/>
  <c r="AF150" i="71"/>
  <c r="AJ150" i="71"/>
  <c r="Z148" i="71"/>
  <c r="Z100" i="71"/>
  <c r="AC98" i="71"/>
  <c r="AA98" i="71"/>
  <c r="Z76" i="71"/>
  <c r="Y76" i="71"/>
  <c r="AB46" i="71"/>
  <c r="V215" i="71"/>
  <c r="AC199" i="71"/>
  <c r="AB199" i="71"/>
  <c r="V191" i="71"/>
  <c r="AF163" i="71"/>
  <c r="Y159" i="71"/>
  <c r="U155" i="71"/>
  <c r="T155" i="71"/>
  <c r="R155" i="71"/>
  <c r="AC153" i="71"/>
  <c r="AB153" i="71"/>
  <c r="AA153" i="71"/>
  <c r="X153" i="71"/>
  <c r="AA147" i="71"/>
  <c r="Z131" i="71"/>
  <c r="X131" i="71"/>
  <c r="Q115" i="71"/>
  <c r="AE109" i="71"/>
  <c r="AH109" i="71"/>
  <c r="AG109" i="71"/>
  <c r="AJ109" i="71"/>
  <c r="U101" i="71"/>
  <c r="T51" i="71"/>
  <c r="Z144" i="71"/>
  <c r="AC144" i="71"/>
  <c r="Y144" i="71"/>
  <c r="AE217" i="71"/>
  <c r="AJ217" i="71"/>
  <c r="AI217" i="71"/>
  <c r="AG217" i="71"/>
  <c r="AA177" i="71"/>
  <c r="AC177" i="71"/>
  <c r="T103" i="71"/>
  <c r="V103" i="71"/>
  <c r="U83" i="71"/>
  <c r="V83" i="71"/>
  <c r="AB198" i="71"/>
  <c r="AI178" i="71"/>
  <c r="S130" i="71"/>
  <c r="R130" i="71"/>
  <c r="X200" i="71"/>
  <c r="AA198" i="71"/>
  <c r="AB166" i="71"/>
  <c r="AA166" i="71"/>
  <c r="AC158" i="71"/>
  <c r="AH126" i="71"/>
  <c r="AF126" i="71"/>
  <c r="AA214" i="71"/>
  <c r="AG212" i="71"/>
  <c r="AJ210" i="71"/>
  <c r="Q206" i="71"/>
  <c r="Y200" i="71"/>
  <c r="AC192" i="71"/>
  <c r="X186" i="71"/>
  <c r="Y182" i="71"/>
  <c r="Q178" i="71"/>
  <c r="R170" i="71"/>
  <c r="AF168" i="71"/>
  <c r="Y154" i="71"/>
  <c r="AH150" i="71"/>
  <c r="AF148" i="71"/>
  <c r="X144" i="71"/>
  <c r="AF142" i="71"/>
  <c r="Q138" i="71"/>
  <c r="AF134" i="71"/>
  <c r="AH134" i="71"/>
  <c r="Z132" i="71"/>
  <c r="AC132" i="71"/>
  <c r="AG114" i="71"/>
  <c r="AA108" i="71"/>
  <c r="Y108" i="71"/>
  <c r="AB100" i="71"/>
  <c r="AH98" i="71"/>
  <c r="AG98" i="71"/>
  <c r="AG74" i="71"/>
  <c r="AC46" i="71"/>
  <c r="Y44" i="71"/>
  <c r="AA44" i="71"/>
  <c r="Y38" i="71"/>
  <c r="AE32" i="71"/>
  <c r="Y28" i="71"/>
  <c r="AB28" i="71"/>
  <c r="AA28" i="71"/>
  <c r="X28" i="71"/>
  <c r="Q211" i="71"/>
  <c r="V211" i="71"/>
  <c r="U211" i="71"/>
  <c r="S211" i="71"/>
  <c r="AA199" i="71"/>
  <c r="U191" i="71"/>
  <c r="Y173" i="71"/>
  <c r="AA173" i="71"/>
  <c r="Z173" i="71"/>
  <c r="S161" i="71"/>
  <c r="V161" i="71"/>
  <c r="V155" i="71"/>
  <c r="Y153" i="71"/>
  <c r="U67" i="71"/>
  <c r="V51" i="71"/>
  <c r="AG45" i="71"/>
  <c r="AF45" i="71"/>
  <c r="AH45" i="71"/>
  <c r="R120" i="71"/>
  <c r="V88" i="71"/>
  <c r="AB62" i="71"/>
  <c r="AC40" i="71"/>
  <c r="AA203" i="71"/>
  <c r="Q193" i="71"/>
  <c r="Y175" i="71"/>
  <c r="AF59" i="71"/>
  <c r="S29" i="71"/>
  <c r="Q27" i="71"/>
  <c r="X70" i="71"/>
  <c r="Z40" i="71"/>
  <c r="V36" i="71"/>
  <c r="Q110" i="71"/>
  <c r="AE90" i="71"/>
  <c r="AE78" i="71"/>
  <c r="AA56" i="71"/>
  <c r="AF52" i="71"/>
  <c r="AB50" i="71"/>
  <c r="AG46" i="71"/>
  <c r="AA40" i="71"/>
  <c r="AC34" i="71"/>
  <c r="AF183" i="71"/>
  <c r="Z167" i="71"/>
  <c r="V149" i="71"/>
  <c r="AG143" i="71"/>
  <c r="AA115" i="71"/>
  <c r="V95" i="71"/>
  <c r="Z93" i="71"/>
  <c r="Z67" i="71"/>
  <c r="AE63" i="71"/>
  <c r="S55" i="71"/>
  <c r="AB215" i="71"/>
  <c r="T209" i="71"/>
  <c r="AH143" i="71"/>
  <c r="AB115" i="71"/>
  <c r="T95" i="71"/>
  <c r="AB93" i="71"/>
  <c r="AI87" i="71"/>
  <c r="AH81" i="71"/>
  <c r="AA67" i="71"/>
  <c r="AG63" i="71"/>
  <c r="AH61" i="71"/>
  <c r="AF49" i="71"/>
  <c r="AE27" i="71"/>
  <c r="AC115" i="71"/>
  <c r="R107" i="71"/>
  <c r="AF77" i="71"/>
  <c r="Y71" i="71"/>
  <c r="AB67" i="71"/>
  <c r="AH63" i="71"/>
  <c r="AJ214" i="71"/>
  <c r="AI214" i="71"/>
  <c r="AF214" i="71"/>
  <c r="AH214" i="71"/>
  <c r="AG214" i="71"/>
  <c r="AE214" i="71"/>
  <c r="Z162" i="71"/>
  <c r="X162" i="71"/>
  <c r="AC162" i="71"/>
  <c r="AB162" i="71"/>
  <c r="AA162" i="71"/>
  <c r="Y162" i="71"/>
  <c r="Y219" i="71"/>
  <c r="X219" i="71"/>
  <c r="AC219" i="71"/>
  <c r="AB219" i="71"/>
  <c r="AA219" i="71"/>
  <c r="Z219" i="71"/>
  <c r="AB151" i="71"/>
  <c r="AC151" i="71"/>
  <c r="Y151" i="71"/>
  <c r="X151" i="71"/>
  <c r="R111" i="71"/>
  <c r="S111" i="71"/>
  <c r="U111" i="71"/>
  <c r="AA218" i="71"/>
  <c r="AB218" i="71"/>
  <c r="Y218" i="71"/>
  <c r="Z218" i="71"/>
  <c r="T212" i="71"/>
  <c r="AH186" i="71"/>
  <c r="AJ186" i="71"/>
  <c r="AI186" i="71"/>
  <c r="AG186" i="71"/>
  <c r="AI170" i="71"/>
  <c r="AF170" i="71"/>
  <c r="AJ170" i="71"/>
  <c r="AH162" i="71"/>
  <c r="AE162" i="71"/>
  <c r="AF162" i="71"/>
  <c r="AJ162" i="71"/>
  <c r="AE158" i="71"/>
  <c r="AH158" i="71"/>
  <c r="AF158" i="71"/>
  <c r="AH108" i="71"/>
  <c r="AF108" i="71"/>
  <c r="AE108" i="71"/>
  <c r="Q92" i="71"/>
  <c r="U92" i="71"/>
  <c r="S92" i="71"/>
  <c r="V30" i="71"/>
  <c r="R30" i="71"/>
  <c r="Q30" i="71"/>
  <c r="T30" i="71"/>
  <c r="S30" i="71"/>
  <c r="Z205" i="71"/>
  <c r="AB205" i="71"/>
  <c r="AA205" i="71"/>
  <c r="X205" i="71"/>
  <c r="AC205" i="71"/>
  <c r="AE175" i="71"/>
  <c r="AH175" i="71"/>
  <c r="AJ175" i="71"/>
  <c r="AI175" i="71"/>
  <c r="AF175" i="71"/>
  <c r="AG175" i="71"/>
  <c r="Z222" i="71"/>
  <c r="AC222" i="71"/>
  <c r="AA222" i="71"/>
  <c r="X222" i="71"/>
  <c r="AA142" i="71"/>
  <c r="Z142" i="71"/>
  <c r="T54" i="71"/>
  <c r="V54" i="71"/>
  <c r="U54" i="71"/>
  <c r="R54" i="71"/>
  <c r="AE216" i="71"/>
  <c r="AI216" i="71"/>
  <c r="AH216" i="71"/>
  <c r="AG216" i="71"/>
  <c r="AA184" i="71"/>
  <c r="X184" i="71"/>
  <c r="Z184" i="71"/>
  <c r="X152" i="71"/>
  <c r="V124" i="71"/>
  <c r="AE222" i="71"/>
  <c r="AH222" i="71"/>
  <c r="AF222" i="71"/>
  <c r="U90" i="71"/>
  <c r="T158" i="71"/>
  <c r="U158" i="71"/>
  <c r="Q158" i="71"/>
  <c r="AC196" i="71"/>
  <c r="X196" i="71"/>
  <c r="AF186" i="71"/>
  <c r="Z178" i="71"/>
  <c r="Y178" i="71"/>
  <c r="AB178" i="71"/>
  <c r="AA178" i="71"/>
  <c r="U172" i="71"/>
  <c r="R172" i="71"/>
  <c r="S172" i="71"/>
  <c r="Q172" i="71"/>
  <c r="AG170" i="71"/>
  <c r="AI162" i="71"/>
  <c r="X156" i="71"/>
  <c r="Z156" i="71"/>
  <c r="AH64" i="71"/>
  <c r="AG64" i="71"/>
  <c r="AI64" i="71"/>
  <c r="AE64" i="71"/>
  <c r="AF64" i="71"/>
  <c r="AA152" i="71"/>
  <c r="AB152" i="71"/>
  <c r="AC152" i="71"/>
  <c r="T136" i="71"/>
  <c r="Q136" i="71"/>
  <c r="R136" i="71"/>
  <c r="V136" i="71"/>
  <c r="AJ216" i="71"/>
  <c r="X168" i="71"/>
  <c r="AB168" i="71"/>
  <c r="AA168" i="71"/>
  <c r="Z168" i="71"/>
  <c r="AE144" i="71"/>
  <c r="AG144" i="71"/>
  <c r="AH144" i="71"/>
  <c r="AJ144" i="71"/>
  <c r="AI144" i="71"/>
  <c r="AH221" i="71"/>
  <c r="AF221" i="71"/>
  <c r="AC190" i="71"/>
  <c r="Z190" i="71"/>
  <c r="AB190" i="71"/>
  <c r="T188" i="71"/>
  <c r="Q188" i="71"/>
  <c r="V188" i="71"/>
  <c r="U188" i="71"/>
  <c r="AH170" i="71"/>
  <c r="AI156" i="71"/>
  <c r="AJ156" i="71"/>
  <c r="AG156" i="71"/>
  <c r="V146" i="71"/>
  <c r="Q146" i="71"/>
  <c r="Y142" i="71"/>
  <c r="AF120" i="71"/>
  <c r="AG120" i="71"/>
  <c r="AE120" i="71"/>
  <c r="AJ120" i="71"/>
  <c r="Y70" i="71"/>
  <c r="Z70" i="71"/>
  <c r="AC70" i="71"/>
  <c r="AB70" i="71"/>
  <c r="AE34" i="71"/>
  <c r="AH34" i="71"/>
  <c r="AG34" i="71"/>
  <c r="AI180" i="71"/>
  <c r="AE180" i="71"/>
  <c r="AG180" i="71"/>
  <c r="AF180" i="71"/>
  <c r="AJ180" i="71"/>
  <c r="U126" i="71"/>
  <c r="V126" i="71"/>
  <c r="R126" i="71"/>
  <c r="R218" i="71"/>
  <c r="S218" i="71"/>
  <c r="AF206" i="71"/>
  <c r="AE206" i="71"/>
  <c r="AJ206" i="71"/>
  <c r="AG206" i="71"/>
  <c r="AI206" i="71"/>
  <c r="AH206" i="71"/>
  <c r="AJ202" i="71"/>
  <c r="AG202" i="71"/>
  <c r="AH202" i="71"/>
  <c r="Y184" i="71"/>
  <c r="AC164" i="71"/>
  <c r="T124" i="71"/>
  <c r="T218" i="71"/>
  <c r="AF202" i="71"/>
  <c r="AC212" i="71"/>
  <c r="Z212" i="71"/>
  <c r="Y212" i="71"/>
  <c r="X212" i="71"/>
  <c r="Z196" i="71"/>
  <c r="Y190" i="71"/>
  <c r="R188" i="71"/>
  <c r="AB184" i="71"/>
  <c r="AC180" i="71"/>
  <c r="AC174" i="71"/>
  <c r="Z174" i="71"/>
  <c r="X174" i="71"/>
  <c r="V172" i="71"/>
  <c r="Y156" i="71"/>
  <c r="Z150" i="71"/>
  <c r="Y150" i="71"/>
  <c r="T146" i="71"/>
  <c r="AB142" i="71"/>
  <c r="X140" i="71"/>
  <c r="Z140" i="71"/>
  <c r="Y140" i="71"/>
  <c r="AC140" i="71"/>
  <c r="AB140" i="71"/>
  <c r="S136" i="71"/>
  <c r="AJ114" i="71"/>
  <c r="AI112" i="71"/>
  <c r="AE112" i="71"/>
  <c r="AC84" i="71"/>
  <c r="X84" i="71"/>
  <c r="AF76" i="71"/>
  <c r="AE76" i="71"/>
  <c r="Y52" i="71"/>
  <c r="AC52" i="71"/>
  <c r="AF50" i="71"/>
  <c r="AI50" i="71"/>
  <c r="AH50" i="71"/>
  <c r="AG132" i="71"/>
  <c r="AJ132" i="71"/>
  <c r="AH104" i="71"/>
  <c r="AE104" i="71"/>
  <c r="AG104" i="71"/>
  <c r="AF104" i="71"/>
  <c r="V98" i="71"/>
  <c r="Q98" i="71"/>
  <c r="R98" i="71"/>
  <c r="U98" i="71"/>
  <c r="S98" i="71"/>
  <c r="U194" i="71"/>
  <c r="V194" i="71"/>
  <c r="T156" i="71"/>
  <c r="R156" i="71"/>
  <c r="S156" i="71"/>
  <c r="AE146" i="71"/>
  <c r="AJ146" i="71"/>
  <c r="AI132" i="71"/>
  <c r="Q108" i="71"/>
  <c r="T108" i="71"/>
  <c r="AI104" i="71"/>
  <c r="Y48" i="71"/>
  <c r="AC48" i="71"/>
  <c r="AB48" i="71"/>
  <c r="Z48" i="71"/>
  <c r="AA48" i="71"/>
  <c r="U28" i="71"/>
  <c r="Q28" i="71"/>
  <c r="T28" i="71"/>
  <c r="V28" i="71"/>
  <c r="S28" i="71"/>
  <c r="AI26" i="71"/>
  <c r="AH26" i="71"/>
  <c r="AF26" i="71"/>
  <c r="AG26" i="71"/>
  <c r="V175" i="71"/>
  <c r="Q175" i="71"/>
  <c r="S175" i="71"/>
  <c r="U175" i="71"/>
  <c r="T175" i="71"/>
  <c r="R175" i="71"/>
  <c r="S129" i="71"/>
  <c r="V129" i="71"/>
  <c r="U129" i="71"/>
  <c r="T129" i="71"/>
  <c r="R129" i="71"/>
  <c r="AI119" i="71"/>
  <c r="AJ119" i="71"/>
  <c r="AC124" i="71"/>
  <c r="X124" i="71"/>
  <c r="Q106" i="71"/>
  <c r="V106" i="71"/>
  <c r="R78" i="71"/>
  <c r="U78" i="71"/>
  <c r="AJ60" i="71"/>
  <c r="AI60" i="71"/>
  <c r="AE60" i="71"/>
  <c r="AH28" i="71"/>
  <c r="AJ28" i="71"/>
  <c r="AI28" i="71"/>
  <c r="AG28" i="71"/>
  <c r="Z220" i="71"/>
  <c r="AC220" i="71"/>
  <c r="AB204" i="71"/>
  <c r="Y204" i="71"/>
  <c r="AF174" i="71"/>
  <c r="AI174" i="71"/>
  <c r="Q144" i="71"/>
  <c r="T144" i="71"/>
  <c r="AJ136" i="71"/>
  <c r="AF136" i="71"/>
  <c r="AB124" i="71"/>
  <c r="AC114" i="71"/>
  <c r="Z114" i="71"/>
  <c r="X114" i="71"/>
  <c r="S106" i="71"/>
  <c r="AH106" i="71"/>
  <c r="AF106" i="71"/>
  <c r="T98" i="71"/>
  <c r="AA220" i="71"/>
  <c r="AJ218" i="71"/>
  <c r="AH218" i="71"/>
  <c r="Z216" i="71"/>
  <c r="X216" i="71"/>
  <c r="U210" i="71"/>
  <c r="Q210" i="71"/>
  <c r="X204" i="71"/>
  <c r="U198" i="71"/>
  <c r="R198" i="71"/>
  <c r="AE190" i="71"/>
  <c r="AI190" i="71"/>
  <c r="AE184" i="71"/>
  <c r="AG184" i="71"/>
  <c r="AE174" i="71"/>
  <c r="X172" i="71"/>
  <c r="Z172" i="71"/>
  <c r="S170" i="71"/>
  <c r="U170" i="71"/>
  <c r="T168" i="71"/>
  <c r="AE168" i="71"/>
  <c r="AG168" i="71"/>
  <c r="AI168" i="71"/>
  <c r="Q156" i="71"/>
  <c r="R154" i="71"/>
  <c r="AA148" i="71"/>
  <c r="AF146" i="71"/>
  <c r="U144" i="71"/>
  <c r="AH136" i="71"/>
  <c r="AE132" i="71"/>
  <c r="R122" i="71"/>
  <c r="Q122" i="71"/>
  <c r="V122" i="71"/>
  <c r="AF116" i="71"/>
  <c r="AG116" i="71"/>
  <c r="AI116" i="71"/>
  <c r="AA114" i="71"/>
  <c r="V108" i="71"/>
  <c r="R106" i="71"/>
  <c r="AG106" i="71"/>
  <c r="AJ104" i="71"/>
  <c r="Y102" i="71"/>
  <c r="X102" i="71"/>
  <c r="AB102" i="71"/>
  <c r="AC102" i="71"/>
  <c r="AA102" i="71"/>
  <c r="V84" i="71"/>
  <c r="U84" i="71"/>
  <c r="R84" i="71"/>
  <c r="Q84" i="71"/>
  <c r="S82" i="71"/>
  <c r="AF82" i="71"/>
  <c r="AH82" i="71"/>
  <c r="U76" i="71"/>
  <c r="R76" i="71"/>
  <c r="S76" i="71"/>
  <c r="R74" i="71"/>
  <c r="V74" i="71"/>
  <c r="AF60" i="71"/>
  <c r="AH54" i="71"/>
  <c r="AE54" i="71"/>
  <c r="Q177" i="71"/>
  <c r="U177" i="71"/>
  <c r="V177" i="71"/>
  <c r="T177" i="71"/>
  <c r="R177" i="71"/>
  <c r="S177" i="71"/>
  <c r="T131" i="71"/>
  <c r="S131" i="71"/>
  <c r="Q131" i="71"/>
  <c r="V131" i="71"/>
  <c r="R131" i="71"/>
  <c r="AA129" i="71"/>
  <c r="AB129" i="71"/>
  <c r="Y129" i="71"/>
  <c r="Z129" i="71"/>
  <c r="AC129" i="71"/>
  <c r="AB65" i="71"/>
  <c r="X65" i="71"/>
  <c r="V208" i="71"/>
  <c r="Q208" i="71"/>
  <c r="AG204" i="71"/>
  <c r="AJ204" i="71"/>
  <c r="AA202" i="71"/>
  <c r="X202" i="71"/>
  <c r="R200" i="71"/>
  <c r="U200" i="71"/>
  <c r="AE200" i="71"/>
  <c r="AF200" i="71"/>
  <c r="X188" i="71"/>
  <c r="Z188" i="71"/>
  <c r="Q174" i="71"/>
  <c r="S174" i="71"/>
  <c r="AG174" i="71"/>
  <c r="AG172" i="71"/>
  <c r="AH172" i="71"/>
  <c r="R162" i="71"/>
  <c r="U162" i="71"/>
  <c r="U156" i="71"/>
  <c r="AH154" i="71"/>
  <c r="AJ154" i="71"/>
  <c r="AE154" i="71"/>
  <c r="AG146" i="71"/>
  <c r="AB138" i="71"/>
  <c r="Z138" i="71"/>
  <c r="R132" i="71"/>
  <c r="V132" i="71"/>
  <c r="AF132" i="71"/>
  <c r="Y124" i="71"/>
  <c r="AB114" i="71"/>
  <c r="S108" i="71"/>
  <c r="AB98" i="71"/>
  <c r="Z98" i="71"/>
  <c r="Y98" i="71"/>
  <c r="Z68" i="71"/>
  <c r="X68" i="71"/>
  <c r="T58" i="71"/>
  <c r="S58" i="71"/>
  <c r="R58" i="71"/>
  <c r="V58" i="71"/>
  <c r="U58" i="71"/>
  <c r="V46" i="71"/>
  <c r="T46" i="71"/>
  <c r="U46" i="71"/>
  <c r="Q46" i="71"/>
  <c r="R40" i="71"/>
  <c r="Q40" i="71"/>
  <c r="V40" i="71"/>
  <c r="AB220" i="71"/>
  <c r="Q220" i="71"/>
  <c r="U220" i="71"/>
  <c r="S220" i="71"/>
  <c r="Z204" i="71"/>
  <c r="V200" i="71"/>
  <c r="AI200" i="71"/>
  <c r="S196" i="71"/>
  <c r="T196" i="71"/>
  <c r="Q190" i="71"/>
  <c r="T190" i="71"/>
  <c r="U184" i="71"/>
  <c r="Q184" i="71"/>
  <c r="V180" i="71"/>
  <c r="S180" i="71"/>
  <c r="Q180" i="71"/>
  <c r="AH174" i="71"/>
  <c r="Q162" i="71"/>
  <c r="V156" i="71"/>
  <c r="AG154" i="71"/>
  <c r="AH146" i="71"/>
  <c r="R142" i="71"/>
  <c r="V142" i="71"/>
  <c r="T132" i="71"/>
  <c r="AH132" i="71"/>
  <c r="Z124" i="71"/>
  <c r="U122" i="71"/>
  <c r="AE116" i="71"/>
  <c r="Y114" i="71"/>
  <c r="AE110" i="71"/>
  <c r="AI110" i="71"/>
  <c r="AH110" i="71"/>
  <c r="AG110" i="71"/>
  <c r="T106" i="71"/>
  <c r="X98" i="71"/>
  <c r="T84" i="71"/>
  <c r="R80" i="71"/>
  <c r="Q80" i="71"/>
  <c r="T74" i="71"/>
  <c r="AE68" i="71"/>
  <c r="AI68" i="71"/>
  <c r="AJ56" i="71"/>
  <c r="AE56" i="71"/>
  <c r="AG56" i="71"/>
  <c r="AI56" i="71"/>
  <c r="R46" i="71"/>
  <c r="U40" i="71"/>
  <c r="Z201" i="71"/>
  <c r="X201" i="71"/>
  <c r="AF117" i="71"/>
  <c r="AH117" i="71"/>
  <c r="AG117" i="71"/>
  <c r="AI117" i="71"/>
  <c r="AJ117" i="71"/>
  <c r="AE117" i="71"/>
  <c r="AF171" i="71"/>
  <c r="AH171" i="71"/>
  <c r="AG171" i="71"/>
  <c r="AI165" i="71"/>
  <c r="AF165" i="71"/>
  <c r="AG165" i="71"/>
  <c r="AE165" i="71"/>
  <c r="AE149" i="71"/>
  <c r="AJ149" i="71"/>
  <c r="AG149" i="71"/>
  <c r="AF149" i="71"/>
  <c r="X135" i="71"/>
  <c r="AB135" i="71"/>
  <c r="AA135" i="71"/>
  <c r="Z135" i="71"/>
  <c r="Y135" i="71"/>
  <c r="AJ75" i="71"/>
  <c r="AH75" i="71"/>
  <c r="AG75" i="71"/>
  <c r="AF75" i="71"/>
  <c r="AI75" i="71"/>
  <c r="AA33" i="71"/>
  <c r="X33" i="71"/>
  <c r="AC33" i="71"/>
  <c r="AB33" i="71"/>
  <c r="U138" i="71"/>
  <c r="S120" i="71"/>
  <c r="Y94" i="71"/>
  <c r="AB94" i="71"/>
  <c r="Q86" i="71"/>
  <c r="S86" i="71"/>
  <c r="AH74" i="71"/>
  <c r="AF74" i="71"/>
  <c r="V62" i="71"/>
  <c r="U62" i="71"/>
  <c r="T62" i="71"/>
  <c r="Q62" i="71"/>
  <c r="R44" i="71"/>
  <c r="V44" i="71"/>
  <c r="AG201" i="71"/>
  <c r="AF201" i="71"/>
  <c r="AE201" i="71"/>
  <c r="AJ201" i="71"/>
  <c r="R167" i="71"/>
  <c r="T167" i="71"/>
  <c r="S167" i="71"/>
  <c r="AJ165" i="71"/>
  <c r="AA161" i="71"/>
  <c r="AB161" i="71"/>
  <c r="V151" i="71"/>
  <c r="Q151" i="71"/>
  <c r="S151" i="71"/>
  <c r="R151" i="71"/>
  <c r="S143" i="71"/>
  <c r="V143" i="71"/>
  <c r="T143" i="71"/>
  <c r="U143" i="71"/>
  <c r="X105" i="71"/>
  <c r="Z105" i="71"/>
  <c r="Z85" i="71"/>
  <c r="AC85" i="71"/>
  <c r="AA85" i="71"/>
  <c r="Y85" i="71"/>
  <c r="AA81" i="71"/>
  <c r="AB81" i="71"/>
  <c r="AF37" i="71"/>
  <c r="AG37" i="71"/>
  <c r="AJ98" i="71"/>
  <c r="AF98" i="71"/>
  <c r="AE84" i="71"/>
  <c r="AH84" i="71"/>
  <c r="Z80" i="71"/>
  <c r="X80" i="71"/>
  <c r="V68" i="71"/>
  <c r="Q68" i="71"/>
  <c r="AB66" i="71"/>
  <c r="AA66" i="71"/>
  <c r="X66" i="71"/>
  <c r="Z64" i="71"/>
  <c r="AA64" i="71"/>
  <c r="AB64" i="71"/>
  <c r="S52" i="71"/>
  <c r="Q52" i="71"/>
  <c r="AF48" i="71"/>
  <c r="AE48" i="71"/>
  <c r="AI48" i="71"/>
  <c r="AC223" i="71"/>
  <c r="AB223" i="71"/>
  <c r="AA223" i="71"/>
  <c r="Y223" i="71"/>
  <c r="AH213" i="71"/>
  <c r="AG213" i="71"/>
  <c r="AF213" i="71"/>
  <c r="AJ205" i="71"/>
  <c r="AI205" i="71"/>
  <c r="AI201" i="71"/>
  <c r="T179" i="71"/>
  <c r="S179" i="71"/>
  <c r="AJ159" i="71"/>
  <c r="AG159" i="71"/>
  <c r="AE159" i="71"/>
  <c r="AI159" i="71"/>
  <c r="AH159" i="71"/>
  <c r="AI149" i="71"/>
  <c r="X99" i="71"/>
  <c r="AA99" i="71"/>
  <c r="Z99" i="71"/>
  <c r="AC99" i="71"/>
  <c r="Z89" i="71"/>
  <c r="Y89" i="71"/>
  <c r="X89" i="71"/>
  <c r="AB89" i="71"/>
  <c r="AA89" i="71"/>
  <c r="AC89" i="71"/>
  <c r="U57" i="71"/>
  <c r="S57" i="71"/>
  <c r="T57" i="71"/>
  <c r="V43" i="71"/>
  <c r="R43" i="71"/>
  <c r="Y27" i="71"/>
  <c r="AB27" i="71"/>
  <c r="Z27" i="71"/>
  <c r="R204" i="71"/>
  <c r="Z186" i="71"/>
  <c r="AC166" i="71"/>
  <c r="AG164" i="71"/>
  <c r="AI148" i="71"/>
  <c r="Q130" i="71"/>
  <c r="S110" i="71"/>
  <c r="AE100" i="71"/>
  <c r="AG100" i="71"/>
  <c r="AF100" i="71"/>
  <c r="AE98" i="71"/>
  <c r="Z96" i="71"/>
  <c r="AB96" i="71"/>
  <c r="V94" i="71"/>
  <c r="R94" i="71"/>
  <c r="AF92" i="71"/>
  <c r="AH92" i="71"/>
  <c r="U86" i="71"/>
  <c r="AG84" i="71"/>
  <c r="Q70" i="71"/>
  <c r="U70" i="71"/>
  <c r="T68" i="71"/>
  <c r="Y66" i="71"/>
  <c r="AH58" i="71"/>
  <c r="AI58" i="71"/>
  <c r="T52" i="71"/>
  <c r="AH48" i="71"/>
  <c r="T26" i="71"/>
  <c r="Q26" i="71"/>
  <c r="U26" i="71"/>
  <c r="X223" i="71"/>
  <c r="AE213" i="71"/>
  <c r="AF159" i="71"/>
  <c r="AE137" i="71"/>
  <c r="AJ137" i="71"/>
  <c r="AI137" i="71"/>
  <c r="AG137" i="71"/>
  <c r="AF137" i="71"/>
  <c r="X85" i="71"/>
  <c r="Q59" i="71"/>
  <c r="S59" i="71"/>
  <c r="R59" i="71"/>
  <c r="V59" i="71"/>
  <c r="AC57" i="71"/>
  <c r="Z57" i="71"/>
  <c r="Y57" i="71"/>
  <c r="X57" i="71"/>
  <c r="AB57" i="71"/>
  <c r="AA57" i="71"/>
  <c r="AH55" i="71"/>
  <c r="AJ55" i="71"/>
  <c r="AI55" i="71"/>
  <c r="AG55" i="71"/>
  <c r="AC39" i="71"/>
  <c r="AA39" i="71"/>
  <c r="Z39" i="71"/>
  <c r="Y39" i="71"/>
  <c r="X39" i="71"/>
  <c r="AB39" i="71"/>
  <c r="U203" i="71"/>
  <c r="T203" i="71"/>
  <c r="T159" i="71"/>
  <c r="Q159" i="71"/>
  <c r="V159" i="71"/>
  <c r="U159" i="71"/>
  <c r="S159" i="71"/>
  <c r="AG147" i="71"/>
  <c r="AF147" i="71"/>
  <c r="AE147" i="71"/>
  <c r="AJ147" i="71"/>
  <c r="AH147" i="71"/>
  <c r="X141" i="71"/>
  <c r="Z141" i="71"/>
  <c r="AB141" i="71"/>
  <c r="AA141" i="71"/>
  <c r="AH131" i="71"/>
  <c r="AF131" i="71"/>
  <c r="AJ131" i="71"/>
  <c r="AI131" i="71"/>
  <c r="AE131" i="71"/>
  <c r="AG131" i="71"/>
  <c r="AF123" i="71"/>
  <c r="AH123" i="71"/>
  <c r="AG123" i="71"/>
  <c r="T87" i="71"/>
  <c r="S87" i="71"/>
  <c r="R87" i="71"/>
  <c r="Q87" i="71"/>
  <c r="AE79" i="71"/>
  <c r="AJ79" i="71"/>
  <c r="AI79" i="71"/>
  <c r="AF79" i="71"/>
  <c r="AH79" i="71"/>
  <c r="AG79" i="71"/>
  <c r="T61" i="71"/>
  <c r="U61" i="71"/>
  <c r="S61" i="71"/>
  <c r="R61" i="71"/>
  <c r="T59" i="71"/>
  <c r="AC110" i="71"/>
  <c r="AB92" i="71"/>
  <c r="AI90" i="71"/>
  <c r="Z74" i="71"/>
  <c r="AC50" i="71"/>
  <c r="AA46" i="71"/>
  <c r="Y40" i="71"/>
  <c r="Y211" i="71"/>
  <c r="Q199" i="71"/>
  <c r="V189" i="71"/>
  <c r="T189" i="71"/>
  <c r="Q189" i="71"/>
  <c r="AC185" i="71"/>
  <c r="Z185" i="71"/>
  <c r="Q161" i="71"/>
  <c r="R161" i="71"/>
  <c r="X157" i="71"/>
  <c r="AA157" i="71"/>
  <c r="X155" i="71"/>
  <c r="Y155" i="71"/>
  <c r="AB149" i="71"/>
  <c r="Y149" i="71"/>
  <c r="AA145" i="71"/>
  <c r="X145" i="71"/>
  <c r="AG141" i="71"/>
  <c r="AH141" i="71"/>
  <c r="T113" i="71"/>
  <c r="U113" i="71"/>
  <c r="AB95" i="71"/>
  <c r="X95" i="71"/>
  <c r="Y61" i="71"/>
  <c r="X61" i="71"/>
  <c r="AC61" i="71"/>
  <c r="AB61" i="71"/>
  <c r="AE33" i="71"/>
  <c r="AI33" i="71"/>
  <c r="AH33" i="71"/>
  <c r="AG33" i="71"/>
  <c r="AB167" i="71"/>
  <c r="X167" i="71"/>
  <c r="AF139" i="71"/>
  <c r="AG139" i="71"/>
  <c r="AC121" i="71"/>
  <c r="AB121" i="71"/>
  <c r="AA121" i="71"/>
  <c r="Y121" i="71"/>
  <c r="X121" i="71"/>
  <c r="Y111" i="71"/>
  <c r="AC111" i="71"/>
  <c r="AB111" i="71"/>
  <c r="Z111" i="71"/>
  <c r="AF99" i="71"/>
  <c r="AJ99" i="71"/>
  <c r="AI99" i="71"/>
  <c r="AG99" i="71"/>
  <c r="AE99" i="71"/>
  <c r="AJ95" i="71"/>
  <c r="AI95" i="71"/>
  <c r="AH95" i="71"/>
  <c r="AG95" i="71"/>
  <c r="AF95" i="71"/>
  <c r="AE93" i="71"/>
  <c r="AH93" i="71"/>
  <c r="AA87" i="71"/>
  <c r="Z87" i="71"/>
  <c r="X87" i="71"/>
  <c r="Y87" i="71"/>
  <c r="Q47" i="71"/>
  <c r="U47" i="71"/>
  <c r="T47" i="71"/>
  <c r="S47" i="71"/>
  <c r="AC42" i="71"/>
  <c r="X211" i="71"/>
  <c r="AF197" i="71"/>
  <c r="Z193" i="71"/>
  <c r="X189" i="71"/>
  <c r="AA189" i="71"/>
  <c r="Y167" i="71"/>
  <c r="AE153" i="71"/>
  <c r="AG153" i="71"/>
  <c r="Q139" i="71"/>
  <c r="T139" i="71"/>
  <c r="AE121" i="71"/>
  <c r="AI121" i="71"/>
  <c r="AF121" i="71"/>
  <c r="T117" i="71"/>
  <c r="U117" i="71"/>
  <c r="S117" i="71"/>
  <c r="V113" i="71"/>
  <c r="AE105" i="71"/>
  <c r="AJ105" i="71"/>
  <c r="AI105" i="71"/>
  <c r="AH103" i="71"/>
  <c r="AE103" i="71"/>
  <c r="AJ103" i="71"/>
  <c r="S97" i="71"/>
  <c r="T97" i="71"/>
  <c r="AF93" i="71"/>
  <c r="AC87" i="71"/>
  <c r="V75" i="71"/>
  <c r="T75" i="71"/>
  <c r="S75" i="71"/>
  <c r="U37" i="71"/>
  <c r="R37" i="71"/>
  <c r="Q37" i="71"/>
  <c r="S60" i="71"/>
  <c r="AG52" i="71"/>
  <c r="X34" i="71"/>
  <c r="U32" i="71"/>
  <c r="R223" i="71"/>
  <c r="T211" i="71"/>
  <c r="AH211" i="71"/>
  <c r="R209" i="71"/>
  <c r="AG197" i="71"/>
  <c r="Y195" i="71"/>
  <c r="AG189" i="71"/>
  <c r="AI189" i="71"/>
  <c r="AE185" i="71"/>
  <c r="AF185" i="71"/>
  <c r="AA179" i="71"/>
  <c r="AC179" i="71"/>
  <c r="X175" i="71"/>
  <c r="AA163" i="71"/>
  <c r="AC163" i="71"/>
  <c r="U161" i="71"/>
  <c r="AB159" i="71"/>
  <c r="Z159" i="71"/>
  <c r="AB157" i="71"/>
  <c r="AA155" i="71"/>
  <c r="AF153" i="71"/>
  <c r="R147" i="71"/>
  <c r="Z145" i="71"/>
  <c r="Q141" i="71"/>
  <c r="S141" i="71"/>
  <c r="R141" i="71"/>
  <c r="V139" i="71"/>
  <c r="AC137" i="71"/>
  <c r="Y137" i="71"/>
  <c r="Z137" i="71"/>
  <c r="R135" i="71"/>
  <c r="V135" i="71"/>
  <c r="AJ133" i="71"/>
  <c r="AG133" i="71"/>
  <c r="AF133" i="71"/>
  <c r="AG121" i="71"/>
  <c r="AF105" i="71"/>
  <c r="AG103" i="71"/>
  <c r="R97" i="71"/>
  <c r="V91" i="71"/>
  <c r="U91" i="71"/>
  <c r="S91" i="71"/>
  <c r="R91" i="71"/>
  <c r="Q75" i="71"/>
  <c r="U195" i="71"/>
  <c r="S195" i="71"/>
  <c r="AH195" i="71"/>
  <c r="AI195" i="71"/>
  <c r="AA193" i="71"/>
  <c r="AC193" i="71"/>
  <c r="Y193" i="71"/>
  <c r="X123" i="71"/>
  <c r="Z123" i="71"/>
  <c r="Y123" i="71"/>
  <c r="AC123" i="71"/>
  <c r="AB117" i="71"/>
  <c r="Y117" i="71"/>
  <c r="AC117" i="71"/>
  <c r="AA117" i="71"/>
  <c r="AH89" i="71"/>
  <c r="AG89" i="71"/>
  <c r="AF89" i="71"/>
  <c r="AE89" i="71"/>
  <c r="AJ89" i="71"/>
  <c r="S77" i="71"/>
  <c r="T77" i="71"/>
  <c r="AF179" i="71"/>
  <c r="X177" i="71"/>
  <c r="AJ157" i="71"/>
  <c r="U123" i="71"/>
  <c r="Q109" i="71"/>
  <c r="Y93" i="71"/>
  <c r="Z71" i="71"/>
  <c r="S69" i="71"/>
  <c r="Q65" i="71"/>
  <c r="AI65" i="71"/>
  <c r="Y59" i="71"/>
  <c r="AG43" i="71"/>
  <c r="AI41" i="71"/>
  <c r="Y37" i="71"/>
  <c r="AH35" i="71"/>
  <c r="AF27" i="71"/>
  <c r="X91" i="71"/>
  <c r="AJ65" i="71"/>
  <c r="X59" i="71"/>
  <c r="AH59" i="71"/>
  <c r="AB47" i="71"/>
  <c r="Z37" i="71"/>
  <c r="AG27" i="71"/>
  <c r="Q41" i="71"/>
  <c r="AI39" i="71"/>
  <c r="AH27" i="71"/>
  <c r="AB177" i="71"/>
  <c r="Z153" i="71"/>
  <c r="AC147" i="71"/>
  <c r="AC131" i="71"/>
  <c r="R123" i="71"/>
  <c r="R119" i="71"/>
  <c r="AI115" i="71"/>
  <c r="AB113" i="71"/>
  <c r="S95" i="71"/>
  <c r="AB91" i="71"/>
  <c r="S85" i="71"/>
  <c r="AH77" i="71"/>
  <c r="X71" i="71"/>
  <c r="T65" i="71"/>
  <c r="AF65" i="71"/>
  <c r="AF63" i="71"/>
  <c r="AF61" i="71"/>
  <c r="Z59" i="71"/>
  <c r="AI59" i="71"/>
  <c r="AG47" i="71"/>
  <c r="Z47" i="71"/>
  <c r="AJ45" i="71"/>
  <c r="AB37" i="71"/>
  <c r="R27" i="71"/>
  <c r="AI27" i="71"/>
  <c r="Z91" i="71"/>
  <c r="Y91" i="71"/>
  <c r="T33" i="71"/>
  <c r="AI44" i="71"/>
  <c r="AB133" i="71"/>
  <c r="AA133" i="71"/>
  <c r="X133" i="71"/>
  <c r="Z133" i="71"/>
  <c r="AC133" i="71"/>
  <c r="V192" i="71"/>
  <c r="AI176" i="71"/>
  <c r="T118" i="71"/>
  <c r="R118" i="71"/>
  <c r="S222" i="71"/>
  <c r="AG222" i="71"/>
  <c r="AI222" i="71"/>
  <c r="Z214" i="71"/>
  <c r="U212" i="71"/>
  <c r="AC210" i="71"/>
  <c r="AJ208" i="71"/>
  <c r="AC206" i="71"/>
  <c r="Y202" i="71"/>
  <c r="U196" i="71"/>
  <c r="Y196" i="71"/>
  <c r="AF196" i="71"/>
  <c r="R194" i="71"/>
  <c r="AF194" i="71"/>
  <c r="AB192" i="71"/>
  <c r="S192" i="71"/>
  <c r="AJ192" i="71"/>
  <c r="U190" i="71"/>
  <c r="AB188" i="71"/>
  <c r="AA188" i="71"/>
  <c r="S186" i="71"/>
  <c r="Y186" i="71"/>
  <c r="R184" i="71"/>
  <c r="AE182" i="71"/>
  <c r="R180" i="71"/>
  <c r="X180" i="71"/>
  <c r="AC178" i="71"/>
  <c r="V176" i="71"/>
  <c r="S176" i="71"/>
  <c r="AJ176" i="71"/>
  <c r="T174" i="71"/>
  <c r="AB172" i="71"/>
  <c r="AA172" i="71"/>
  <c r="Y170" i="71"/>
  <c r="V168" i="71"/>
  <c r="Q166" i="71"/>
  <c r="AE166" i="71"/>
  <c r="V164" i="71"/>
  <c r="AF164" i="71"/>
  <c r="Q160" i="71"/>
  <c r="S160" i="71"/>
  <c r="AJ160" i="71"/>
  <c r="AI158" i="71"/>
  <c r="AB156" i="71"/>
  <c r="AA156" i="71"/>
  <c r="AA154" i="71"/>
  <c r="AJ152" i="71"/>
  <c r="Q150" i="71"/>
  <c r="R150" i="71"/>
  <c r="AC150" i="71"/>
  <c r="V148" i="71"/>
  <c r="AH148" i="71"/>
  <c r="X146" i="71"/>
  <c r="AE138" i="71"/>
  <c r="Z136" i="71"/>
  <c r="S134" i="71"/>
  <c r="AA134" i="71"/>
  <c r="X132" i="71"/>
  <c r="Y132" i="71"/>
  <c r="AA130" i="71"/>
  <c r="Z128" i="71"/>
  <c r="AC128" i="71"/>
  <c r="X126" i="71"/>
  <c r="AB126" i="71"/>
  <c r="AC122" i="71"/>
  <c r="Z122" i="71"/>
  <c r="AG122" i="71"/>
  <c r="AB118" i="71"/>
  <c r="Z112" i="71"/>
  <c r="Y110" i="71"/>
  <c r="AB108" i="71"/>
  <c r="AI106" i="71"/>
  <c r="AG102" i="71"/>
  <c r="AG94" i="71"/>
  <c r="AI92" i="71"/>
  <c r="Q90" i="71"/>
  <c r="U88" i="71"/>
  <c r="Q88" i="71"/>
  <c r="AI86" i="71"/>
  <c r="AF86" i="71"/>
  <c r="V80" i="71"/>
  <c r="AA80" i="71"/>
  <c r="AB76" i="71"/>
  <c r="AA74" i="71"/>
  <c r="AH70" i="71"/>
  <c r="U68" i="71"/>
  <c r="AJ68" i="71"/>
  <c r="AH66" i="71"/>
  <c r="R62" i="71"/>
  <c r="AB60" i="71"/>
  <c r="X60" i="71"/>
  <c r="AJ58" i="71"/>
  <c r="X54" i="71"/>
  <c r="AB54" i="71"/>
  <c r="U52" i="71"/>
  <c r="V52" i="71"/>
  <c r="Q50" i="71"/>
  <c r="V50" i="71"/>
  <c r="Q48" i="71"/>
  <c r="X44" i="71"/>
  <c r="AB44" i="71"/>
  <c r="AE30" i="71"/>
  <c r="X26" i="71"/>
  <c r="AC26" i="71"/>
  <c r="AB26" i="71"/>
  <c r="AA26" i="71"/>
  <c r="Z26" i="71"/>
  <c r="AJ215" i="71"/>
  <c r="AI215" i="71"/>
  <c r="AH215" i="71"/>
  <c r="AF215" i="71"/>
  <c r="AE215" i="71"/>
  <c r="AG215" i="71"/>
  <c r="AJ72" i="71"/>
  <c r="AH72" i="71"/>
  <c r="AI208" i="71"/>
  <c r="AE196" i="71"/>
  <c r="AI192" i="71"/>
  <c r="U164" i="71"/>
  <c r="AI160" i="71"/>
  <c r="AI152" i="71"/>
  <c r="Q78" i="71"/>
  <c r="V78" i="71"/>
  <c r="U72" i="71"/>
  <c r="AG70" i="71"/>
  <c r="R66" i="71"/>
  <c r="S66" i="71"/>
  <c r="AJ36" i="71"/>
  <c r="AI36" i="71"/>
  <c r="AE36" i="71"/>
  <c r="AH36" i="71"/>
  <c r="AB217" i="71"/>
  <c r="AA217" i="71"/>
  <c r="AC217" i="71"/>
  <c r="Z217" i="71"/>
  <c r="X217" i="71"/>
  <c r="AI220" i="71"/>
  <c r="Q212" i="71"/>
  <c r="AA210" i="71"/>
  <c r="AE208" i="71"/>
  <c r="X206" i="71"/>
  <c r="Q202" i="71"/>
  <c r="AF198" i="71"/>
  <c r="Q196" i="71"/>
  <c r="AG196" i="71"/>
  <c r="X194" i="71"/>
  <c r="AE192" i="71"/>
  <c r="T186" i="71"/>
  <c r="V184" i="71"/>
  <c r="AF182" i="71"/>
  <c r="T180" i="71"/>
  <c r="AE176" i="71"/>
  <c r="Z170" i="71"/>
  <c r="S166" i="71"/>
  <c r="AF166" i="71"/>
  <c r="Q164" i="71"/>
  <c r="X164" i="71"/>
  <c r="R160" i="71"/>
  <c r="AE160" i="71"/>
  <c r="AJ158" i="71"/>
  <c r="AB154" i="71"/>
  <c r="AE152" i="71"/>
  <c r="Q148" i="71"/>
  <c r="Y146" i="71"/>
  <c r="Q142" i="71"/>
  <c r="U142" i="71"/>
  <c r="AF138" i="71"/>
  <c r="T134" i="71"/>
  <c r="Z134" i="71"/>
  <c r="AB130" i="71"/>
  <c r="V128" i="71"/>
  <c r="AI122" i="71"/>
  <c r="U118" i="71"/>
  <c r="AF118" i="71"/>
  <c r="Y112" i="71"/>
  <c r="AC108" i="71"/>
  <c r="AJ106" i="71"/>
  <c r="AH102" i="71"/>
  <c r="T100" i="71"/>
  <c r="R96" i="71"/>
  <c r="AH94" i="71"/>
  <c r="AE92" i="71"/>
  <c r="X90" i="71"/>
  <c r="Z88" i="71"/>
  <c r="AA86" i="71"/>
  <c r="Q82" i="71"/>
  <c r="V82" i="71"/>
  <c r="AF80" i="71"/>
  <c r="AJ80" i="71"/>
  <c r="AC78" i="71"/>
  <c r="AB78" i="71"/>
  <c r="AC76" i="71"/>
  <c r="AF72" i="71"/>
  <c r="AF68" i="71"/>
  <c r="AC60" i="71"/>
  <c r="Y60" i="71"/>
  <c r="V38" i="71"/>
  <c r="U38" i="71"/>
  <c r="Q38" i="71"/>
  <c r="T38" i="71"/>
  <c r="R38" i="71"/>
  <c r="T34" i="71"/>
  <c r="V34" i="71"/>
  <c r="Y26" i="71"/>
  <c r="Y217" i="71"/>
  <c r="AI193" i="71"/>
  <c r="AH193" i="71"/>
  <c r="AG193" i="71"/>
  <c r="AF193" i="71"/>
  <c r="AJ193" i="71"/>
  <c r="S171" i="71"/>
  <c r="R171" i="71"/>
  <c r="Q171" i="71"/>
  <c r="U171" i="71"/>
  <c r="V171" i="71"/>
  <c r="T171" i="71"/>
  <c r="Y127" i="71"/>
  <c r="X127" i="71"/>
  <c r="AB127" i="71"/>
  <c r="Z127" i="71"/>
  <c r="AA127" i="71"/>
  <c r="AC127" i="71"/>
  <c r="S164" i="71"/>
  <c r="AG66" i="71"/>
  <c r="AE66" i="71"/>
  <c r="U56" i="71"/>
  <c r="Q56" i="71"/>
  <c r="S56" i="71"/>
  <c r="AH44" i="71"/>
  <c r="AE44" i="71"/>
  <c r="AC209" i="71"/>
  <c r="AA209" i="71"/>
  <c r="AB209" i="71"/>
  <c r="Z209" i="71"/>
  <c r="Y209" i="71"/>
  <c r="AG97" i="71"/>
  <c r="AF97" i="71"/>
  <c r="AE97" i="71"/>
  <c r="AJ97" i="71"/>
  <c r="AI97" i="71"/>
  <c r="U222" i="71"/>
  <c r="Y222" i="71"/>
  <c r="X220" i="71"/>
  <c r="AJ220" i="71"/>
  <c r="U218" i="71"/>
  <c r="AC218" i="71"/>
  <c r="AI218" i="71"/>
  <c r="Y216" i="71"/>
  <c r="Q214" i="71"/>
  <c r="AB214" i="71"/>
  <c r="R212" i="71"/>
  <c r="AH212" i="71"/>
  <c r="S210" i="71"/>
  <c r="AE210" i="71"/>
  <c r="T208" i="71"/>
  <c r="Z208" i="71"/>
  <c r="AF208" i="71"/>
  <c r="Y206" i="71"/>
  <c r="T204" i="71"/>
  <c r="U202" i="71"/>
  <c r="AB202" i="71"/>
  <c r="AI202" i="71"/>
  <c r="AG198" i="71"/>
  <c r="R196" i="71"/>
  <c r="AA196" i="71"/>
  <c r="AH196" i="71"/>
  <c r="S194" i="71"/>
  <c r="AA194" i="71"/>
  <c r="Q192" i="71"/>
  <c r="X192" i="71"/>
  <c r="AF192" i="71"/>
  <c r="V190" i="71"/>
  <c r="AC188" i="71"/>
  <c r="AJ188" i="71"/>
  <c r="U186" i="71"/>
  <c r="AA186" i="71"/>
  <c r="AG182" i="71"/>
  <c r="U180" i="71"/>
  <c r="Z180" i="71"/>
  <c r="AH180" i="71"/>
  <c r="R178" i="71"/>
  <c r="AE178" i="71"/>
  <c r="AC176" i="71"/>
  <c r="X176" i="71"/>
  <c r="AF176" i="71"/>
  <c r="U174" i="71"/>
  <c r="AC172" i="71"/>
  <c r="V170" i="71"/>
  <c r="AA170" i="71"/>
  <c r="R166" i="71"/>
  <c r="AG166" i="71"/>
  <c r="R164" i="71"/>
  <c r="Y164" i="71"/>
  <c r="AH164" i="71"/>
  <c r="T160" i="71"/>
  <c r="X160" i="71"/>
  <c r="AF160" i="71"/>
  <c r="R158" i="71"/>
  <c r="AC156" i="71"/>
  <c r="AE156" i="71"/>
  <c r="AC154" i="71"/>
  <c r="AF152" i="71"/>
  <c r="U150" i="71"/>
  <c r="AE150" i="71"/>
  <c r="S148" i="71"/>
  <c r="R146" i="71"/>
  <c r="Z146" i="71"/>
  <c r="S142" i="71"/>
  <c r="AE142" i="71"/>
  <c r="AJ142" i="71"/>
  <c r="R140" i="71"/>
  <c r="AF140" i="71"/>
  <c r="AJ140" i="71"/>
  <c r="V138" i="71"/>
  <c r="AG138" i="71"/>
  <c r="AI136" i="71"/>
  <c r="U134" i="71"/>
  <c r="AC134" i="71"/>
  <c r="Q132" i="71"/>
  <c r="AA132" i="71"/>
  <c r="Z130" i="71"/>
  <c r="R128" i="71"/>
  <c r="AA128" i="71"/>
  <c r="S126" i="71"/>
  <c r="AC126" i="71"/>
  <c r="R124" i="71"/>
  <c r="AF124" i="71"/>
  <c r="AJ124" i="71"/>
  <c r="X122" i="71"/>
  <c r="AH122" i="71"/>
  <c r="AI120" i="71"/>
  <c r="V118" i="71"/>
  <c r="AI118" i="71"/>
  <c r="T114" i="71"/>
  <c r="AB112" i="71"/>
  <c r="AA112" i="71"/>
  <c r="U110" i="71"/>
  <c r="AA110" i="71"/>
  <c r="R108" i="71"/>
  <c r="AJ108" i="71"/>
  <c r="AG108" i="71"/>
  <c r="X104" i="71"/>
  <c r="AA104" i="71"/>
  <c r="AJ102" i="71"/>
  <c r="U100" i="71"/>
  <c r="Q96" i="71"/>
  <c r="AB88" i="71"/>
  <c r="AB86" i="71"/>
  <c r="AH86" i="71"/>
  <c r="AI84" i="71"/>
  <c r="U82" i="71"/>
  <c r="S80" i="71"/>
  <c r="AG80" i="71"/>
  <c r="S78" i="71"/>
  <c r="AH76" i="71"/>
  <c r="AG76" i="71"/>
  <c r="T70" i="71"/>
  <c r="S70" i="71"/>
  <c r="AA68" i="71"/>
  <c r="AC68" i="71"/>
  <c r="T66" i="71"/>
  <c r="AJ66" i="71"/>
  <c r="AE62" i="71"/>
  <c r="AJ62" i="71"/>
  <c r="Z60" i="71"/>
  <c r="V56" i="71"/>
  <c r="S54" i="71"/>
  <c r="Q54" i="71"/>
  <c r="Z54" i="71"/>
  <c r="R52" i="71"/>
  <c r="S50" i="71"/>
  <c r="V48" i="71"/>
  <c r="S46" i="71"/>
  <c r="Q44" i="71"/>
  <c r="T44" i="71"/>
  <c r="S44" i="71"/>
  <c r="Z44" i="71"/>
  <c r="AF40" i="71"/>
  <c r="U34" i="71"/>
  <c r="Y30" i="71"/>
  <c r="U221" i="71"/>
  <c r="V221" i="71"/>
  <c r="S221" i="71"/>
  <c r="T221" i="71"/>
  <c r="R221" i="71"/>
  <c r="Q221" i="71"/>
  <c r="AE193" i="71"/>
  <c r="V165" i="71"/>
  <c r="T165" i="71"/>
  <c r="S165" i="71"/>
  <c r="R165" i="71"/>
  <c r="U165" i="71"/>
  <c r="Q165" i="71"/>
  <c r="AF127" i="71"/>
  <c r="AH127" i="71"/>
  <c r="AE127" i="71"/>
  <c r="AI127" i="71"/>
  <c r="AJ127" i="71"/>
  <c r="AG127" i="71"/>
  <c r="AH220" i="71"/>
  <c r="AB136" i="71"/>
  <c r="AA136" i="71"/>
  <c r="Q104" i="71"/>
  <c r="T104" i="71"/>
  <c r="AH83" i="71"/>
  <c r="AG83" i="71"/>
  <c r="AE83" i="71"/>
  <c r="AJ83" i="71"/>
  <c r="AI83" i="71"/>
  <c r="AF83" i="71"/>
  <c r="R222" i="71"/>
  <c r="AB206" i="71"/>
  <c r="AE198" i="71"/>
  <c r="U104" i="71"/>
  <c r="AC90" i="71"/>
  <c r="Z90" i="71"/>
  <c r="Z78" i="71"/>
  <c r="AG72" i="71"/>
  <c r="AF66" i="71"/>
  <c r="AH30" i="71"/>
  <c r="AJ30" i="71"/>
  <c r="AG30" i="71"/>
  <c r="AH97" i="71"/>
  <c r="T81" i="71"/>
  <c r="R81" i="71"/>
  <c r="S81" i="71"/>
  <c r="Q81" i="71"/>
  <c r="V81" i="71"/>
  <c r="U81" i="71"/>
  <c r="AJ73" i="71"/>
  <c r="AI73" i="71"/>
  <c r="AH73" i="71"/>
  <c r="AG73" i="71"/>
  <c r="AF73" i="71"/>
  <c r="AE73" i="71"/>
  <c r="AE220" i="71"/>
  <c r="V218" i="71"/>
  <c r="X218" i="71"/>
  <c r="S216" i="71"/>
  <c r="U214" i="71"/>
  <c r="AC214" i="71"/>
  <c r="V212" i="71"/>
  <c r="T210" i="71"/>
  <c r="AF210" i="71"/>
  <c r="U208" i="71"/>
  <c r="AA208" i="71"/>
  <c r="AG208" i="71"/>
  <c r="AA206" i="71"/>
  <c r="U204" i="71"/>
  <c r="V202" i="71"/>
  <c r="AC202" i="71"/>
  <c r="AH198" i="71"/>
  <c r="V196" i="71"/>
  <c r="AB196" i="71"/>
  <c r="Q194" i="71"/>
  <c r="Y194" i="71"/>
  <c r="AG194" i="71"/>
  <c r="R192" i="71"/>
  <c r="Y192" i="71"/>
  <c r="AG192" i="71"/>
  <c r="R190" i="71"/>
  <c r="AE188" i="71"/>
  <c r="V186" i="71"/>
  <c r="AB186" i="71"/>
  <c r="AH182" i="71"/>
  <c r="S178" i="71"/>
  <c r="X178" i="71"/>
  <c r="AF178" i="71"/>
  <c r="Q176" i="71"/>
  <c r="Y176" i="71"/>
  <c r="AG176" i="71"/>
  <c r="V174" i="71"/>
  <c r="Q170" i="71"/>
  <c r="AB170" i="71"/>
  <c r="T166" i="71"/>
  <c r="AH166" i="71"/>
  <c r="Z164" i="71"/>
  <c r="U160" i="71"/>
  <c r="Y160" i="71"/>
  <c r="AG160" i="71"/>
  <c r="S158" i="71"/>
  <c r="AG158" i="71"/>
  <c r="AF156" i="71"/>
  <c r="AG152" i="71"/>
  <c r="V150" i="71"/>
  <c r="AG150" i="71"/>
  <c r="T148" i="71"/>
  <c r="S146" i="71"/>
  <c r="AA146" i="71"/>
  <c r="T142" i="71"/>
  <c r="AC142" i="71"/>
  <c r="S140" i="71"/>
  <c r="AI138" i="71"/>
  <c r="AE136" i="71"/>
  <c r="V134" i="71"/>
  <c r="S132" i="71"/>
  <c r="AH128" i="71"/>
  <c r="AJ128" i="71"/>
  <c r="T126" i="71"/>
  <c r="AE126" i="71"/>
  <c r="AJ126" i="71"/>
  <c r="S124" i="71"/>
  <c r="Y122" i="71"/>
  <c r="AJ122" i="71"/>
  <c r="Q118" i="71"/>
  <c r="AE114" i="71"/>
  <c r="AI114" i="71"/>
  <c r="AC112" i="71"/>
  <c r="AG112" i="71"/>
  <c r="AJ112" i="71"/>
  <c r="AF112" i="71"/>
  <c r="AB110" i="71"/>
  <c r="V104" i="71"/>
  <c r="AA90" i="71"/>
  <c r="AC86" i="71"/>
  <c r="AA84" i="71"/>
  <c r="AB84" i="71"/>
  <c r="AG82" i="71"/>
  <c r="AE82" i="71"/>
  <c r="T80" i="71"/>
  <c r="AI80" i="71"/>
  <c r="T78" i="71"/>
  <c r="AA76" i="71"/>
  <c r="Y74" i="71"/>
  <c r="AB74" i="71"/>
  <c r="X74" i="71"/>
  <c r="S68" i="71"/>
  <c r="R68" i="71"/>
  <c r="U66" i="71"/>
  <c r="R60" i="71"/>
  <c r="T60" i="71"/>
  <c r="AE58" i="71"/>
  <c r="AI54" i="71"/>
  <c r="AF54" i="71"/>
  <c r="AC38" i="71"/>
  <c r="AA38" i="71"/>
  <c r="AA36" i="71"/>
  <c r="AC36" i="71"/>
  <c r="Z36" i="71"/>
  <c r="Y36" i="71"/>
  <c r="R34" i="71"/>
  <c r="S32" i="71"/>
  <c r="V32" i="71"/>
  <c r="R32" i="71"/>
  <c r="X209" i="71"/>
  <c r="Y134" i="71"/>
  <c r="AB134" i="71"/>
  <c r="AI102" i="71"/>
  <c r="AF102" i="71"/>
  <c r="AE94" i="71"/>
  <c r="AJ94" i="71"/>
  <c r="R72" i="71"/>
  <c r="T72" i="71"/>
  <c r="T64" i="71"/>
  <c r="R64" i="71"/>
  <c r="R217" i="71"/>
  <c r="T217" i="71"/>
  <c r="S217" i="71"/>
  <c r="V217" i="71"/>
  <c r="U217" i="71"/>
  <c r="Q217" i="71"/>
  <c r="AC169" i="71"/>
  <c r="AB169" i="71"/>
  <c r="Y169" i="71"/>
  <c r="AA169" i="71"/>
  <c r="Z169" i="71"/>
  <c r="X169" i="71"/>
  <c r="V89" i="71"/>
  <c r="U89" i="71"/>
  <c r="R89" i="71"/>
  <c r="S89" i="71"/>
  <c r="T89" i="71"/>
  <c r="X170" i="71"/>
  <c r="AE118" i="71"/>
  <c r="AG118" i="71"/>
  <c r="Z108" i="71"/>
  <c r="X108" i="71"/>
  <c r="AF94" i="71"/>
  <c r="AJ69" i="71"/>
  <c r="AH69" i="71"/>
  <c r="AG69" i="71"/>
  <c r="AF69" i="71"/>
  <c r="AE69" i="71"/>
  <c r="AI69" i="71"/>
  <c r="S35" i="71"/>
  <c r="T35" i="71"/>
  <c r="R35" i="71"/>
  <c r="Q35" i="71"/>
  <c r="V35" i="71"/>
  <c r="U35" i="71"/>
  <c r="AJ222" i="71"/>
  <c r="Q216" i="71"/>
  <c r="AG210" i="71"/>
  <c r="AB208" i="71"/>
  <c r="AE194" i="71"/>
  <c r="Z192" i="71"/>
  <c r="T184" i="71"/>
  <c r="S184" i="71"/>
  <c r="AI182" i="71"/>
  <c r="AA180" i="71"/>
  <c r="AG178" i="71"/>
  <c r="Z176" i="71"/>
  <c r="Q168" i="71"/>
  <c r="U166" i="71"/>
  <c r="AI166" i="71"/>
  <c r="U148" i="71"/>
  <c r="AB146" i="71"/>
  <c r="AJ138" i="71"/>
  <c r="X136" i="71"/>
  <c r="Q134" i="71"/>
  <c r="AE130" i="71"/>
  <c r="AF130" i="71"/>
  <c r="T128" i="71"/>
  <c r="Q128" i="71"/>
  <c r="AB120" i="71"/>
  <c r="AA120" i="71"/>
  <c r="Z118" i="71"/>
  <c r="X118" i="71"/>
  <c r="AH118" i="71"/>
  <c r="S100" i="71"/>
  <c r="R100" i="71"/>
  <c r="T96" i="71"/>
  <c r="V96" i="71"/>
  <c r="AF96" i="71"/>
  <c r="AI96" i="71"/>
  <c r="AJ92" i="71"/>
  <c r="AG92" i="71"/>
  <c r="V90" i="71"/>
  <c r="S90" i="71"/>
  <c r="AB90" i="71"/>
  <c r="AA88" i="71"/>
  <c r="Y88" i="71"/>
  <c r="X78" i="71"/>
  <c r="X76" i="71"/>
  <c r="Q72" i="71"/>
  <c r="AI72" i="71"/>
  <c r="V66" i="71"/>
  <c r="V64" i="71"/>
  <c r="AJ50" i="71"/>
  <c r="AE50" i="71"/>
  <c r="S48" i="71"/>
  <c r="R48" i="71"/>
  <c r="AF44" i="71"/>
  <c r="AG40" i="71"/>
  <c r="AE40" i="71"/>
  <c r="AJ40" i="71"/>
  <c r="AB213" i="71"/>
  <c r="AA213" i="71"/>
  <c r="Y213" i="71"/>
  <c r="AC213" i="71"/>
  <c r="Z213" i="71"/>
  <c r="X213" i="71"/>
  <c r="AI209" i="71"/>
  <c r="AG209" i="71"/>
  <c r="AF209" i="71"/>
  <c r="AJ209" i="71"/>
  <c r="AH209" i="71"/>
  <c r="AE209" i="71"/>
  <c r="Q201" i="71"/>
  <c r="T201" i="71"/>
  <c r="U201" i="71"/>
  <c r="R201" i="71"/>
  <c r="S201" i="71"/>
  <c r="V201" i="71"/>
  <c r="AC181" i="71"/>
  <c r="AB181" i="71"/>
  <c r="AA181" i="71"/>
  <c r="Z181" i="71"/>
  <c r="Y181" i="71"/>
  <c r="AI70" i="71"/>
  <c r="AF70" i="71"/>
  <c r="X30" i="71"/>
  <c r="Z30" i="71"/>
  <c r="AC30" i="71"/>
  <c r="AB30" i="71"/>
  <c r="AJ57" i="71"/>
  <c r="AI57" i="71"/>
  <c r="AH57" i="71"/>
  <c r="AG57" i="71"/>
  <c r="AF57" i="71"/>
  <c r="AE57" i="71"/>
  <c r="AB210" i="71"/>
  <c r="AC194" i="71"/>
  <c r="U176" i="71"/>
  <c r="Y130" i="71"/>
  <c r="X130" i="71"/>
  <c r="AF122" i="71"/>
  <c r="Y80" i="71"/>
  <c r="AB80" i="71"/>
  <c r="AC80" i="71"/>
  <c r="U64" i="71"/>
  <c r="Q89" i="71"/>
  <c r="AA55" i="71"/>
  <c r="Z55" i="71"/>
  <c r="X55" i="71"/>
  <c r="Y55" i="71"/>
  <c r="AC55" i="71"/>
  <c r="AB55" i="71"/>
  <c r="T222" i="71"/>
  <c r="Y220" i="71"/>
  <c r="AF220" i="71"/>
  <c r="V214" i="71"/>
  <c r="X210" i="71"/>
  <c r="R202" i="71"/>
  <c r="Q200" i="71"/>
  <c r="S200" i="71"/>
  <c r="AI198" i="71"/>
  <c r="T194" i="71"/>
  <c r="T192" i="71"/>
  <c r="R176" i="71"/>
  <c r="S168" i="71"/>
  <c r="AA164" i="71"/>
  <c r="Q222" i="71"/>
  <c r="AB160" i="71"/>
  <c r="AH156" i="71"/>
  <c r="AF154" i="71"/>
  <c r="Z152" i="71"/>
  <c r="X150" i="71"/>
  <c r="AI150" i="71"/>
  <c r="AJ148" i="71"/>
  <c r="U146" i="71"/>
  <c r="V144" i="71"/>
  <c r="AF144" i="71"/>
  <c r="X142" i="71"/>
  <c r="AG142" i="71"/>
  <c r="U140" i="71"/>
  <c r="AC136" i="71"/>
  <c r="AG136" i="71"/>
  <c r="U132" i="71"/>
  <c r="V130" i="71"/>
  <c r="AG130" i="71"/>
  <c r="U128" i="71"/>
  <c r="AI128" i="71"/>
  <c r="Q126" i="71"/>
  <c r="AG126" i="71"/>
  <c r="U124" i="71"/>
  <c r="AB122" i="71"/>
  <c r="AC120" i="71"/>
  <c r="AH120" i="71"/>
  <c r="Y118" i="71"/>
  <c r="AA116" i="71"/>
  <c r="AB116" i="71"/>
  <c r="Q114" i="71"/>
  <c r="AF114" i="71"/>
  <c r="S112" i="71"/>
  <c r="R112" i="71"/>
  <c r="AH112" i="71"/>
  <c r="U108" i="71"/>
  <c r="AI108" i="71"/>
  <c r="AE106" i="71"/>
  <c r="S104" i="71"/>
  <c r="Q100" i="71"/>
  <c r="U96" i="71"/>
  <c r="AG96" i="71"/>
  <c r="V92" i="71"/>
  <c r="T92" i="71"/>
  <c r="Z92" i="71"/>
  <c r="T90" i="71"/>
  <c r="X88" i="71"/>
  <c r="Y86" i="71"/>
  <c r="Y84" i="71"/>
  <c r="AF84" i="71"/>
  <c r="AI82" i="71"/>
  <c r="U80" i="71"/>
  <c r="AE80" i="71"/>
  <c r="Y78" i="71"/>
  <c r="AJ76" i="71"/>
  <c r="S72" i="71"/>
  <c r="AA72" i="71"/>
  <c r="R70" i="71"/>
  <c r="AE70" i="71"/>
  <c r="Y68" i="71"/>
  <c r="AG68" i="71"/>
  <c r="S64" i="71"/>
  <c r="S62" i="71"/>
  <c r="AH62" i="71"/>
  <c r="U60" i="71"/>
  <c r="AC58" i="71"/>
  <c r="Z58" i="71"/>
  <c r="AF58" i="71"/>
  <c r="T56" i="71"/>
  <c r="AA54" i="71"/>
  <c r="AG54" i="71"/>
  <c r="AA52" i="71"/>
  <c r="AB52" i="71"/>
  <c r="AI52" i="71"/>
  <c r="AG50" i="71"/>
  <c r="U48" i="71"/>
  <c r="AJ48" i="71"/>
  <c r="AG48" i="71"/>
  <c r="AE46" i="71"/>
  <c r="AH46" i="71"/>
  <c r="AC44" i="71"/>
  <c r="AG44" i="71"/>
  <c r="AI40" i="71"/>
  <c r="AF36" i="71"/>
  <c r="AF34" i="71"/>
  <c r="AJ34" i="71"/>
  <c r="AI34" i="71"/>
  <c r="AI30" i="71"/>
  <c r="AF223" i="71"/>
  <c r="AE223" i="71"/>
  <c r="AI223" i="71"/>
  <c r="AH223" i="71"/>
  <c r="AG223" i="71"/>
  <c r="U207" i="71"/>
  <c r="T207" i="71"/>
  <c r="S207" i="71"/>
  <c r="R207" i="71"/>
  <c r="Q207" i="71"/>
  <c r="AC197" i="71"/>
  <c r="AB197" i="71"/>
  <c r="AA197" i="71"/>
  <c r="Y197" i="71"/>
  <c r="Z197" i="71"/>
  <c r="X197" i="71"/>
  <c r="Y133" i="71"/>
  <c r="AI129" i="71"/>
  <c r="AH129" i="71"/>
  <c r="AF129" i="71"/>
  <c r="AG129" i="71"/>
  <c r="AJ129" i="71"/>
  <c r="AE129" i="71"/>
  <c r="AF111" i="71"/>
  <c r="AE111" i="71"/>
  <c r="AJ111" i="71"/>
  <c r="AI111" i="71"/>
  <c r="AG111" i="71"/>
  <c r="AH111" i="71"/>
  <c r="AG221" i="71"/>
  <c r="AE221" i="71"/>
  <c r="AC207" i="71"/>
  <c r="AB207" i="71"/>
  <c r="AA207" i="71"/>
  <c r="Z207" i="71"/>
  <c r="S203" i="71"/>
  <c r="R203" i="71"/>
  <c r="Y201" i="71"/>
  <c r="AB201" i="71"/>
  <c r="AA201" i="71"/>
  <c r="AF187" i="71"/>
  <c r="AE187" i="71"/>
  <c r="AJ187" i="71"/>
  <c r="AI187" i="71"/>
  <c r="AG187" i="71"/>
  <c r="Q183" i="71"/>
  <c r="T183" i="71"/>
  <c r="S183" i="71"/>
  <c r="R183" i="71"/>
  <c r="V183" i="71"/>
  <c r="AI177" i="71"/>
  <c r="AH177" i="71"/>
  <c r="AG177" i="71"/>
  <c r="AF177" i="71"/>
  <c r="AI145" i="71"/>
  <c r="AH145" i="71"/>
  <c r="AG145" i="71"/>
  <c r="AF145" i="71"/>
  <c r="Y143" i="71"/>
  <c r="X143" i="71"/>
  <c r="AC143" i="71"/>
  <c r="AA143" i="71"/>
  <c r="V137" i="71"/>
  <c r="U137" i="71"/>
  <c r="T137" i="71"/>
  <c r="S137" i="71"/>
  <c r="AJ135" i="71"/>
  <c r="AI135" i="71"/>
  <c r="AH135" i="71"/>
  <c r="AG135" i="71"/>
  <c r="AF135" i="71"/>
  <c r="AJ107" i="71"/>
  <c r="AI107" i="71"/>
  <c r="AH107" i="71"/>
  <c r="AG107" i="71"/>
  <c r="AF107" i="71"/>
  <c r="AE107" i="71"/>
  <c r="AI101" i="71"/>
  <c r="AH101" i="71"/>
  <c r="AG101" i="71"/>
  <c r="AF101" i="71"/>
  <c r="AE101" i="71"/>
  <c r="V71" i="71"/>
  <c r="U71" i="71"/>
  <c r="T71" i="71"/>
  <c r="S71" i="71"/>
  <c r="R71" i="71"/>
  <c r="Q71" i="71"/>
  <c r="AH67" i="71"/>
  <c r="AG67" i="71"/>
  <c r="AJ67" i="71"/>
  <c r="AI67" i="71"/>
  <c r="AF67" i="71"/>
  <c r="AE67" i="71"/>
  <c r="AB35" i="71"/>
  <c r="Z35" i="71"/>
  <c r="Y35" i="71"/>
  <c r="AA35" i="71"/>
  <c r="X35" i="71"/>
  <c r="AC35" i="71"/>
  <c r="Z42" i="71"/>
  <c r="S40" i="71"/>
  <c r="AG32" i="71"/>
  <c r="U30" i="71"/>
  <c r="U223" i="71"/>
  <c r="T223" i="71"/>
  <c r="AF219" i="71"/>
  <c r="AG219" i="71"/>
  <c r="AJ219" i="71"/>
  <c r="AI219" i="71"/>
  <c r="S205" i="71"/>
  <c r="U205" i="71"/>
  <c r="AJ199" i="71"/>
  <c r="AI199" i="71"/>
  <c r="AH199" i="71"/>
  <c r="AG199" i="71"/>
  <c r="U187" i="71"/>
  <c r="Q187" i="71"/>
  <c r="S187" i="71"/>
  <c r="R187" i="71"/>
  <c r="AJ181" i="71"/>
  <c r="AI181" i="71"/>
  <c r="AH181" i="71"/>
  <c r="AE181" i="71"/>
  <c r="U169" i="71"/>
  <c r="Q169" i="71"/>
  <c r="V169" i="71"/>
  <c r="T169" i="71"/>
  <c r="R169" i="71"/>
  <c r="AB165" i="71"/>
  <c r="AA165" i="71"/>
  <c r="Z165" i="71"/>
  <c r="AI161" i="71"/>
  <c r="AH161" i="71"/>
  <c r="AG161" i="71"/>
  <c r="AF161" i="71"/>
  <c r="R157" i="71"/>
  <c r="U157" i="71"/>
  <c r="Q157" i="71"/>
  <c r="S157" i="71"/>
  <c r="U135" i="71"/>
  <c r="T135" i="71"/>
  <c r="S135" i="71"/>
  <c r="Q135" i="71"/>
  <c r="U105" i="71"/>
  <c r="R105" i="71"/>
  <c r="T105" i="71"/>
  <c r="Q105" i="71"/>
  <c r="AC103" i="71"/>
  <c r="AB103" i="71"/>
  <c r="AA103" i="71"/>
  <c r="X103" i="71"/>
  <c r="AI85" i="71"/>
  <c r="AH85" i="71"/>
  <c r="AG85" i="71"/>
  <c r="AF85" i="71"/>
  <c r="AE85" i="71"/>
  <c r="AJ85" i="71"/>
  <c r="AB77" i="71"/>
  <c r="AA77" i="71"/>
  <c r="Z77" i="71"/>
  <c r="AC77" i="71"/>
  <c r="Y77" i="71"/>
  <c r="X77" i="71"/>
  <c r="AJ110" i="71"/>
  <c r="AB106" i="71"/>
  <c r="AG60" i="71"/>
  <c r="AA42" i="71"/>
  <c r="T40" i="71"/>
  <c r="AB40" i="71"/>
  <c r="AH32" i="71"/>
  <c r="AE28" i="71"/>
  <c r="V223" i="71"/>
  <c r="AH219" i="71"/>
  <c r="Y215" i="71"/>
  <c r="X215" i="71"/>
  <c r="AC215" i="71"/>
  <c r="T205" i="71"/>
  <c r="AG205" i="71"/>
  <c r="AE205" i="71"/>
  <c r="V187" i="71"/>
  <c r="U185" i="71"/>
  <c r="V185" i="71"/>
  <c r="T185" i="71"/>
  <c r="Q185" i="71"/>
  <c r="AF181" i="71"/>
  <c r="X171" i="71"/>
  <c r="AC171" i="71"/>
  <c r="AB171" i="71"/>
  <c r="AA171" i="71"/>
  <c r="Z171" i="71"/>
  <c r="X165" i="71"/>
  <c r="R163" i="71"/>
  <c r="V163" i="71"/>
  <c r="S163" i="71"/>
  <c r="AE161" i="71"/>
  <c r="T157" i="71"/>
  <c r="AF155" i="71"/>
  <c r="AE155" i="71"/>
  <c r="AJ155" i="71"/>
  <c r="AI155" i="71"/>
  <c r="AJ151" i="71"/>
  <c r="AG151" i="71"/>
  <c r="AI151" i="71"/>
  <c r="AH151" i="71"/>
  <c r="AF151" i="71"/>
  <c r="AJ145" i="71"/>
  <c r="X139" i="71"/>
  <c r="AC139" i="71"/>
  <c r="AB139" i="71"/>
  <c r="AA139" i="71"/>
  <c r="Q137" i="71"/>
  <c r="AF125" i="71"/>
  <c r="AG125" i="71"/>
  <c r="AE125" i="71"/>
  <c r="AI125" i="71"/>
  <c r="S105" i="71"/>
  <c r="Y103" i="71"/>
  <c r="AH71" i="71"/>
  <c r="AG71" i="71"/>
  <c r="AF71" i="71"/>
  <c r="AE71" i="71"/>
  <c r="AJ71" i="71"/>
  <c r="AB51" i="71"/>
  <c r="Z51" i="71"/>
  <c r="Y51" i="71"/>
  <c r="AA51" i="71"/>
  <c r="X51" i="71"/>
  <c r="AC51" i="71"/>
  <c r="Z45" i="71"/>
  <c r="Y45" i="71"/>
  <c r="AC45" i="71"/>
  <c r="X45" i="71"/>
  <c r="AB45" i="71"/>
  <c r="AA45" i="71"/>
  <c r="AB42" i="71"/>
  <c r="Y221" i="71"/>
  <c r="AC221" i="71"/>
  <c r="AI221" i="71"/>
  <c r="AE219" i="71"/>
  <c r="V205" i="71"/>
  <c r="AF203" i="71"/>
  <c r="AJ203" i="71"/>
  <c r="AI203" i="71"/>
  <c r="AE199" i="71"/>
  <c r="T191" i="71"/>
  <c r="S191" i="71"/>
  <c r="R191" i="71"/>
  <c r="R185" i="71"/>
  <c r="AG181" i="71"/>
  <c r="AG173" i="71"/>
  <c r="AF173" i="71"/>
  <c r="AE173" i="71"/>
  <c r="AI173" i="71"/>
  <c r="Y171" i="71"/>
  <c r="Y165" i="71"/>
  <c r="T163" i="71"/>
  <c r="AJ161" i="71"/>
  <c r="V157" i="71"/>
  <c r="AH155" i="71"/>
  <c r="AE151" i="71"/>
  <c r="U133" i="71"/>
  <c r="T133" i="71"/>
  <c r="S133" i="71"/>
  <c r="R133" i="71"/>
  <c r="V125" i="71"/>
  <c r="Q125" i="71"/>
  <c r="U125" i="71"/>
  <c r="T125" i="71"/>
  <c r="AH51" i="71"/>
  <c r="AG51" i="71"/>
  <c r="AF51" i="71"/>
  <c r="AJ51" i="71"/>
  <c r="AI51" i="71"/>
  <c r="AE51" i="71"/>
  <c r="V39" i="71"/>
  <c r="S39" i="71"/>
  <c r="U39" i="71"/>
  <c r="R39" i="71"/>
  <c r="T39" i="71"/>
  <c r="Q39" i="71"/>
  <c r="Z29" i="71"/>
  <c r="Y29" i="71"/>
  <c r="AC29" i="71"/>
  <c r="X29" i="71"/>
  <c r="AB29" i="71"/>
  <c r="AA29" i="71"/>
  <c r="Q223" i="71"/>
  <c r="AJ221" i="71"/>
  <c r="R213" i="71"/>
  <c r="V213" i="71"/>
  <c r="T213" i="71"/>
  <c r="AF211" i="71"/>
  <c r="AF207" i="71"/>
  <c r="AE207" i="71"/>
  <c r="Q205" i="71"/>
  <c r="AF205" i="71"/>
  <c r="V203" i="71"/>
  <c r="AG203" i="71"/>
  <c r="AC201" i="71"/>
  <c r="AF199" i="71"/>
  <c r="AB195" i="71"/>
  <c r="AA195" i="71"/>
  <c r="AC195" i="71"/>
  <c r="T187" i="71"/>
  <c r="S185" i="71"/>
  <c r="R181" i="71"/>
  <c r="Q181" i="71"/>
  <c r="V181" i="71"/>
  <c r="T181" i="71"/>
  <c r="U181" i="71"/>
  <c r="V179" i="71"/>
  <c r="U179" i="71"/>
  <c r="R179" i="71"/>
  <c r="U163" i="71"/>
  <c r="V153" i="71"/>
  <c r="U153" i="71"/>
  <c r="T153" i="71"/>
  <c r="Q153" i="71"/>
  <c r="Y139" i="71"/>
  <c r="V133" i="71"/>
  <c r="R127" i="71"/>
  <c r="Q127" i="71"/>
  <c r="S127" i="71"/>
  <c r="T127" i="71"/>
  <c r="AF113" i="71"/>
  <c r="AJ113" i="71"/>
  <c r="AH113" i="71"/>
  <c r="AG113" i="71"/>
  <c r="AE113" i="71"/>
  <c r="AB109" i="71"/>
  <c r="Z109" i="71"/>
  <c r="AC109" i="71"/>
  <c r="X109" i="71"/>
  <c r="AA109" i="71"/>
  <c r="V105" i="71"/>
  <c r="T49" i="71"/>
  <c r="R49" i="71"/>
  <c r="S49" i="71"/>
  <c r="V49" i="71"/>
  <c r="Q49" i="71"/>
  <c r="U49" i="71"/>
  <c r="Z221" i="71"/>
  <c r="S219" i="71"/>
  <c r="R219" i="71"/>
  <c r="AA215" i="71"/>
  <c r="AI211" i="71"/>
  <c r="R205" i="71"/>
  <c r="AH205" i="71"/>
  <c r="AH203" i="71"/>
  <c r="Z199" i="71"/>
  <c r="Y199" i="71"/>
  <c r="X199" i="71"/>
  <c r="R197" i="71"/>
  <c r="Q197" i="71"/>
  <c r="V197" i="71"/>
  <c r="T197" i="71"/>
  <c r="AC187" i="71"/>
  <c r="Z187" i="71"/>
  <c r="AB187" i="71"/>
  <c r="AH173" i="71"/>
  <c r="AJ167" i="71"/>
  <c r="AI167" i="71"/>
  <c r="AH167" i="71"/>
  <c r="AG167" i="71"/>
  <c r="AF167" i="71"/>
  <c r="AC165" i="71"/>
  <c r="U149" i="71"/>
  <c r="T149" i="71"/>
  <c r="S149" i="71"/>
  <c r="R149" i="71"/>
  <c r="R125" i="71"/>
  <c r="AH125" i="71"/>
  <c r="U121" i="71"/>
  <c r="T121" i="71"/>
  <c r="S121" i="71"/>
  <c r="V121" i="71"/>
  <c r="Q121" i="71"/>
  <c r="AC119" i="71"/>
  <c r="AB119" i="71"/>
  <c r="AA119" i="71"/>
  <c r="X119" i="71"/>
  <c r="AI113" i="71"/>
  <c r="Y109" i="71"/>
  <c r="Z103" i="71"/>
  <c r="Q93" i="71"/>
  <c r="T93" i="71"/>
  <c r="V93" i="71"/>
  <c r="U93" i="71"/>
  <c r="R93" i="71"/>
  <c r="AJ91" i="71"/>
  <c r="AI91" i="71"/>
  <c r="AH91" i="71"/>
  <c r="AG91" i="71"/>
  <c r="AF91" i="71"/>
  <c r="AE91" i="71"/>
  <c r="AB83" i="71"/>
  <c r="AA83" i="71"/>
  <c r="Y83" i="71"/>
  <c r="Z83" i="71"/>
  <c r="X83" i="71"/>
  <c r="AC83" i="71"/>
  <c r="AC161" i="71"/>
  <c r="AI141" i="71"/>
  <c r="X137" i="71"/>
  <c r="AE133" i="71"/>
  <c r="Q119" i="71"/>
  <c r="AE119" i="71"/>
  <c r="V117" i="71"/>
  <c r="AC113" i="71"/>
  <c r="T111" i="71"/>
  <c r="AC107" i="71"/>
  <c r="Y105" i="71"/>
  <c r="AC101" i="71"/>
  <c r="AC95" i="71"/>
  <c r="AG93" i="71"/>
  <c r="AJ87" i="71"/>
  <c r="T83" i="71"/>
  <c r="AC81" i="71"/>
  <c r="AG77" i="71"/>
  <c r="Y75" i="71"/>
  <c r="Y73" i="71"/>
  <c r="AC69" i="71"/>
  <c r="AC65" i="71"/>
  <c r="V63" i="71"/>
  <c r="S63" i="71"/>
  <c r="AG61" i="71"/>
  <c r="Q57" i="71"/>
  <c r="V57" i="71"/>
  <c r="X49" i="71"/>
  <c r="AC49" i="71"/>
  <c r="Q45" i="71"/>
  <c r="Q43" i="71"/>
  <c r="Y41" i="71"/>
  <c r="AJ41" i="71"/>
  <c r="AJ39" i="71"/>
  <c r="AH37" i="71"/>
  <c r="AI35" i="71"/>
  <c r="AA105" i="71"/>
  <c r="Q83" i="71"/>
  <c r="AI81" i="71"/>
  <c r="AA73" i="71"/>
  <c r="X69" i="71"/>
  <c r="T63" i="71"/>
  <c r="S43" i="71"/>
  <c r="R41" i="71"/>
  <c r="AE41" i="71"/>
  <c r="AI37" i="71"/>
  <c r="AJ35" i="71"/>
  <c r="Z211" i="71"/>
  <c r="Y205" i="71"/>
  <c r="AH197" i="71"/>
  <c r="AC189" i="71"/>
  <c r="AB185" i="71"/>
  <c r="AJ185" i="71"/>
  <c r="AC173" i="71"/>
  <c r="AI171" i="71"/>
  <c r="AH165" i="71"/>
  <c r="X161" i="71"/>
  <c r="AC157" i="71"/>
  <c r="AJ153" i="71"/>
  <c r="Z151" i="71"/>
  <c r="Z149" i="71"/>
  <c r="Y147" i="71"/>
  <c r="Q143" i="71"/>
  <c r="U141" i="71"/>
  <c r="AC141" i="71"/>
  <c r="AI139" i="71"/>
  <c r="AB137" i="71"/>
  <c r="AH133" i="71"/>
  <c r="Y131" i="71"/>
  <c r="AI123" i="71"/>
  <c r="AJ121" i="71"/>
  <c r="S119" i="71"/>
  <c r="AF119" i="71"/>
  <c r="Q117" i="71"/>
  <c r="R115" i="71"/>
  <c r="Y115" i="71"/>
  <c r="Q113" i="71"/>
  <c r="X113" i="71"/>
  <c r="V111" i="71"/>
  <c r="R109" i="71"/>
  <c r="T107" i="71"/>
  <c r="X107" i="71"/>
  <c r="AB105" i="71"/>
  <c r="R103" i="71"/>
  <c r="X101" i="71"/>
  <c r="Y99" i="71"/>
  <c r="V97" i="71"/>
  <c r="U95" i="71"/>
  <c r="Z95" i="71"/>
  <c r="AE87" i="71"/>
  <c r="R83" i="71"/>
  <c r="X81" i="71"/>
  <c r="AJ81" i="71"/>
  <c r="U79" i="71"/>
  <c r="V77" i="71"/>
  <c r="U75" i="71"/>
  <c r="X75" i="71"/>
  <c r="AB73" i="71"/>
  <c r="Y69" i="71"/>
  <c r="R67" i="71"/>
  <c r="Y65" i="71"/>
  <c r="U63" i="71"/>
  <c r="Z63" i="71"/>
  <c r="AI63" i="71"/>
  <c r="V61" i="71"/>
  <c r="AJ61" i="71"/>
  <c r="R57" i="71"/>
  <c r="AE55" i="71"/>
  <c r="R53" i="71"/>
  <c r="AI49" i="71"/>
  <c r="AH47" i="71"/>
  <c r="AC47" i="71"/>
  <c r="AI47" i="71"/>
  <c r="U45" i="71"/>
  <c r="T43" i="71"/>
  <c r="AH43" i="71"/>
  <c r="S41" i="71"/>
  <c r="AB41" i="71"/>
  <c r="AF41" i="71"/>
  <c r="AE39" i="71"/>
  <c r="S37" i="71"/>
  <c r="AJ37" i="71"/>
  <c r="Q33" i="71"/>
  <c r="U29" i="71"/>
  <c r="U27" i="71"/>
  <c r="AI197" i="71"/>
  <c r="U189" i="71"/>
  <c r="AE189" i="71"/>
  <c r="AI183" i="71"/>
  <c r="AJ171" i="71"/>
  <c r="U167" i="71"/>
  <c r="T161" i="71"/>
  <c r="Y161" i="71"/>
  <c r="AE157" i="71"/>
  <c r="AB155" i="71"/>
  <c r="T151" i="71"/>
  <c r="AA151" i="71"/>
  <c r="AA149" i="71"/>
  <c r="AI147" i="71"/>
  <c r="R143" i="71"/>
  <c r="V141" i="71"/>
  <c r="AE141" i="71"/>
  <c r="U139" i="71"/>
  <c r="AJ139" i="71"/>
  <c r="AI133" i="71"/>
  <c r="Q129" i="71"/>
  <c r="X129" i="71"/>
  <c r="AB123" i="71"/>
  <c r="AJ123" i="71"/>
  <c r="T119" i="71"/>
  <c r="AG119" i="71"/>
  <c r="X117" i="71"/>
  <c r="S115" i="71"/>
  <c r="S113" i="71"/>
  <c r="Y113" i="71"/>
  <c r="U109" i="71"/>
  <c r="AI109" i="71"/>
  <c r="U107" i="71"/>
  <c r="Z107" i="71"/>
  <c r="AC105" i="71"/>
  <c r="U103" i="71"/>
  <c r="S103" i="71"/>
  <c r="AF103" i="71"/>
  <c r="Y101" i="71"/>
  <c r="Q97" i="71"/>
  <c r="Q95" i="71"/>
  <c r="AA95" i="71"/>
  <c r="AI93" i="71"/>
  <c r="AA91" i="71"/>
  <c r="V87" i="71"/>
  <c r="AG87" i="71"/>
  <c r="Y81" i="71"/>
  <c r="AE81" i="71"/>
  <c r="V79" i="71"/>
  <c r="AI77" i="71"/>
  <c r="Z75" i="71"/>
  <c r="AE75" i="71"/>
  <c r="T73" i="71"/>
  <c r="AC73" i="71"/>
  <c r="AA71" i="71"/>
  <c r="Z69" i="71"/>
  <c r="S67" i="71"/>
  <c r="AC67" i="71"/>
  <c r="Z65" i="71"/>
  <c r="AE65" i="71"/>
  <c r="AB63" i="71"/>
  <c r="AA63" i="71"/>
  <c r="U59" i="71"/>
  <c r="AA59" i="71"/>
  <c r="AE59" i="71"/>
  <c r="AF55" i="71"/>
  <c r="S53" i="71"/>
  <c r="Y49" i="71"/>
  <c r="AJ49" i="71"/>
  <c r="V47" i="71"/>
  <c r="X47" i="71"/>
  <c r="V45" i="71"/>
  <c r="AI45" i="71"/>
  <c r="U43" i="71"/>
  <c r="AC43" i="71"/>
  <c r="AI43" i="71"/>
  <c r="T41" i="71"/>
  <c r="AC41" i="71"/>
  <c r="AF39" i="71"/>
  <c r="T37" i="71"/>
  <c r="AA37" i="71"/>
  <c r="AE37" i="71"/>
  <c r="AE35" i="71"/>
  <c r="Y33" i="71"/>
  <c r="V29" i="71"/>
  <c r="AG29" i="71"/>
  <c r="AC27" i="71"/>
  <c r="AF189" i="71"/>
  <c r="AE171" i="71"/>
  <c r="V167" i="71"/>
  <c r="Q167" i="71"/>
  <c r="Z161" i="71"/>
  <c r="U151" i="71"/>
  <c r="AF141" i="71"/>
  <c r="AE139" i="71"/>
  <c r="AE123" i="71"/>
  <c r="U119" i="71"/>
  <c r="AH119" i="71"/>
  <c r="R117" i="71"/>
  <c r="Z113" i="71"/>
  <c r="Q111" i="71"/>
  <c r="S109" i="71"/>
  <c r="V107" i="71"/>
  <c r="AA107" i="71"/>
  <c r="Z101" i="71"/>
  <c r="Y95" i="71"/>
  <c r="AJ93" i="71"/>
  <c r="AH87" i="71"/>
  <c r="S83" i="71"/>
  <c r="Z81" i="71"/>
  <c r="AF81" i="71"/>
  <c r="Q79" i="71"/>
  <c r="R77" i="71"/>
  <c r="AJ77" i="71"/>
  <c r="AA75" i="71"/>
  <c r="AB71" i="71"/>
  <c r="AA69" i="71"/>
  <c r="Y67" i="71"/>
  <c r="AA65" i="71"/>
  <c r="AI61" i="71"/>
  <c r="Q53" i="71"/>
  <c r="Z49" i="71"/>
  <c r="R45" i="71"/>
  <c r="AG41" i="71"/>
  <c r="AG39" i="71"/>
  <c r="AF35" i="71"/>
  <c r="R33" i="71"/>
  <c r="Z33" i="71"/>
  <c r="Q29" i="71"/>
  <c r="AH29" i="71"/>
  <c r="AA27" i="71"/>
  <c r="X27" i="71"/>
  <c r="Z155" i="71"/>
  <c r="AC75" i="71"/>
  <c r="AC63" i="71"/>
  <c r="AP17" i="3"/>
  <c r="AP18" i="3"/>
  <c r="AP13" i="3"/>
  <c r="AP20" i="3"/>
  <c r="I4" i="80"/>
  <c r="Q83" i="49"/>
  <c r="F20" i="123" l="1"/>
  <c r="E20" i="123"/>
  <c r="H20" i="123"/>
  <c r="G20" i="123"/>
  <c r="E41" i="123"/>
  <c r="H41" i="123"/>
  <c r="G41" i="123"/>
  <c r="F41" i="123"/>
  <c r="A44" i="123"/>
  <c r="B21" i="123"/>
  <c r="B42" i="123"/>
  <c r="A44" i="120"/>
  <c r="A44" i="117"/>
  <c r="AT1" i="3"/>
  <c r="AQ16" i="3"/>
  <c r="AQ4" i="3"/>
  <c r="AQ15" i="3"/>
  <c r="AQ14" i="3"/>
  <c r="AQ24" i="3"/>
  <c r="AQ12" i="3"/>
  <c r="AQ23" i="3"/>
  <c r="AQ11" i="3"/>
  <c r="AQ22" i="3"/>
  <c r="AQ10" i="3"/>
  <c r="AQ21" i="3"/>
  <c r="AQ9" i="3"/>
  <c r="AQ20" i="3"/>
  <c r="AQ8" i="3"/>
  <c r="AQ19" i="3"/>
  <c r="AQ7" i="3"/>
  <c r="AQ17" i="3"/>
  <c r="AQ18" i="3"/>
  <c r="AQ6" i="3"/>
  <c r="AQ5" i="3"/>
  <c r="G8" i="110"/>
  <c r="G6" i="110"/>
  <c r="H24" i="110"/>
  <c r="G26" i="110"/>
  <c r="H26" i="110"/>
  <c r="H9" i="110"/>
  <c r="H23" i="110"/>
  <c r="G29" i="110"/>
  <c r="H27" i="110"/>
  <c r="G3" i="110"/>
  <c r="G5" i="110"/>
  <c r="G9" i="110"/>
  <c r="H5" i="110"/>
  <c r="H8" i="110"/>
  <c r="G24" i="110"/>
  <c r="H6" i="110"/>
  <c r="G27" i="110"/>
  <c r="G23" i="110"/>
  <c r="G7" i="110"/>
  <c r="H10" i="110"/>
  <c r="G10" i="110"/>
  <c r="H30" i="110"/>
  <c r="G30" i="110"/>
  <c r="G25" i="110"/>
  <c r="Y8" i="109"/>
  <c r="H28" i="110"/>
  <c r="G28" i="110"/>
  <c r="H25" i="110"/>
  <c r="H4" i="110"/>
  <c r="H3" i="110"/>
  <c r="H29" i="110"/>
  <c r="H7" i="110"/>
  <c r="DI10" i="71"/>
  <c r="DY9" i="71"/>
  <c r="DZ9" i="71"/>
  <c r="EA9" i="71"/>
  <c r="DB9" i="71"/>
  <c r="DC10" i="71" s="1"/>
  <c r="CZ9" i="71"/>
  <c r="CX9" i="71"/>
  <c r="CY10" i="71" s="1"/>
  <c r="DJ9" i="71"/>
  <c r="DK10" i="71" s="1"/>
  <c r="DH9" i="71"/>
  <c r="DD9" i="71"/>
  <c r="DE10" i="71" s="1"/>
  <c r="DF9" i="71"/>
  <c r="DG10" i="71" s="1"/>
  <c r="EB9" i="71"/>
  <c r="ED9" i="71"/>
  <c r="EE9" i="71"/>
  <c r="DA10" i="71"/>
  <c r="EF9" i="71"/>
  <c r="B31" i="110"/>
  <c r="P12" i="110"/>
  <c r="D12" i="110"/>
  <c r="I12" i="110"/>
  <c r="O12" i="110"/>
  <c r="C12" i="110"/>
  <c r="N12" i="110"/>
  <c r="M12" i="110"/>
  <c r="L12" i="110"/>
  <c r="J12" i="110"/>
  <c r="K12" i="110"/>
  <c r="E30" i="110"/>
  <c r="F30" i="110"/>
  <c r="P32" i="110"/>
  <c r="D32" i="110"/>
  <c r="O32" i="110"/>
  <c r="C32" i="110"/>
  <c r="N32" i="110"/>
  <c r="M32" i="110"/>
  <c r="L32" i="110"/>
  <c r="I32" i="110"/>
  <c r="K32" i="110"/>
  <c r="J32" i="110"/>
  <c r="A33" i="110"/>
  <c r="A13" i="110"/>
  <c r="F10" i="110"/>
  <c r="E10" i="110"/>
  <c r="B11" i="110"/>
  <c r="B106" i="95"/>
  <c r="B90" i="95"/>
  <c r="B106" i="94"/>
  <c r="B90" i="94"/>
  <c r="B91" i="93"/>
  <c r="B106" i="93"/>
  <c r="B90" i="92"/>
  <c r="I89" i="92"/>
  <c r="B105" i="92"/>
  <c r="I104" i="92"/>
  <c r="DV9" i="71"/>
  <c r="EC9" i="71" s="1"/>
  <c r="CT10" i="71"/>
  <c r="CV9" i="71"/>
  <c r="CW10" i="71" s="1"/>
  <c r="T71" i="49"/>
  <c r="O96" i="49" s="1"/>
  <c r="S71" i="49"/>
  <c r="O95" i="49" s="1"/>
  <c r="B43" i="123" l="1"/>
  <c r="H21" i="123"/>
  <c r="G21" i="123"/>
  <c r="F21" i="123"/>
  <c r="E21" i="123"/>
  <c r="A45" i="123"/>
  <c r="B22" i="123"/>
  <c r="H42" i="123"/>
  <c r="G42" i="123"/>
  <c r="F42" i="123"/>
  <c r="E42" i="123"/>
  <c r="A45" i="120"/>
  <c r="A45" i="117"/>
  <c r="AQ1" i="3"/>
  <c r="H11" i="110"/>
  <c r="G11" i="110"/>
  <c r="H31" i="110"/>
  <c r="G31" i="110"/>
  <c r="EE10" i="71"/>
  <c r="EB10" i="71"/>
  <c r="DZ10" i="71"/>
  <c r="EA10" i="71"/>
  <c r="DC11" i="71"/>
  <c r="ED10" i="71"/>
  <c r="DJ10" i="71"/>
  <c r="DK11" i="71" s="1"/>
  <c r="DH10" i="71"/>
  <c r="DI11" i="71" s="1"/>
  <c r="DF10" i="71"/>
  <c r="DG11" i="71" s="1"/>
  <c r="DD10" i="71"/>
  <c r="DE11" i="71" s="1"/>
  <c r="DB10" i="71"/>
  <c r="CZ10" i="71"/>
  <c r="CX10" i="71"/>
  <c r="CY11" i="71" s="1"/>
  <c r="DA11" i="71"/>
  <c r="EF10" i="71"/>
  <c r="DY10" i="71"/>
  <c r="N33" i="110"/>
  <c r="D33" i="110"/>
  <c r="O33" i="110"/>
  <c r="M33" i="110"/>
  <c r="L33" i="110"/>
  <c r="C33" i="110"/>
  <c r="K33" i="110"/>
  <c r="P33" i="110"/>
  <c r="J33" i="110"/>
  <c r="I33" i="110"/>
  <c r="A34" i="110"/>
  <c r="B32" i="110"/>
  <c r="N13" i="110"/>
  <c r="M13" i="110"/>
  <c r="O13" i="110"/>
  <c r="L13" i="110"/>
  <c r="D13" i="110"/>
  <c r="C13" i="110"/>
  <c r="K13" i="110"/>
  <c r="J13" i="110"/>
  <c r="I13" i="110"/>
  <c r="P13" i="110"/>
  <c r="F31" i="110"/>
  <c r="E31" i="110"/>
  <c r="B12" i="110"/>
  <c r="F11" i="110"/>
  <c r="E11" i="110"/>
  <c r="A14" i="110"/>
  <c r="B107" i="95"/>
  <c r="B91" i="95"/>
  <c r="B91" i="94"/>
  <c r="B107" i="94"/>
  <c r="B92" i="93"/>
  <c r="B107" i="93"/>
  <c r="B91" i="92"/>
  <c r="I90" i="92"/>
  <c r="B106" i="92"/>
  <c r="I105" i="92"/>
  <c r="DV10" i="71"/>
  <c r="EC10" i="71" s="1"/>
  <c r="CT11" i="71"/>
  <c r="CV10" i="71"/>
  <c r="CW11" i="71" s="1"/>
  <c r="H22" i="123" l="1"/>
  <c r="G22" i="123"/>
  <c r="F22" i="123"/>
  <c r="E22" i="123"/>
  <c r="B44" i="123"/>
  <c r="A46" i="123"/>
  <c r="H43" i="123"/>
  <c r="G43" i="123"/>
  <c r="E43" i="123"/>
  <c r="F43" i="123"/>
  <c r="A46" i="120"/>
  <c r="A46" i="117"/>
  <c r="H12" i="110"/>
  <c r="G12" i="110"/>
  <c r="H32" i="110"/>
  <c r="G32" i="110"/>
  <c r="DY11" i="71"/>
  <c r="EE11" i="71"/>
  <c r="DZ11" i="71"/>
  <c r="ED11" i="71"/>
  <c r="EF11" i="71"/>
  <c r="EA11" i="71"/>
  <c r="EB11" i="71"/>
  <c r="CX11" i="71"/>
  <c r="CY12" i="71" s="1"/>
  <c r="DF11" i="71"/>
  <c r="DG12" i="71" s="1"/>
  <c r="DJ11" i="71"/>
  <c r="DK12" i="71" s="1"/>
  <c r="DH11" i="71"/>
  <c r="DI12" i="71" s="1"/>
  <c r="DD11" i="71"/>
  <c r="DE12" i="71" s="1"/>
  <c r="DB11" i="71"/>
  <c r="DC12" i="71" s="1"/>
  <c r="CZ11" i="71"/>
  <c r="DA12" i="71" s="1"/>
  <c r="L14" i="110"/>
  <c r="K14" i="110"/>
  <c r="N14" i="110"/>
  <c r="J14" i="110"/>
  <c r="I14" i="110"/>
  <c r="M14" i="110"/>
  <c r="P14" i="110"/>
  <c r="D14" i="110"/>
  <c r="O14" i="110"/>
  <c r="C14" i="110"/>
  <c r="F32" i="110"/>
  <c r="E32" i="110"/>
  <c r="L34" i="110"/>
  <c r="K34" i="110"/>
  <c r="J34" i="110"/>
  <c r="I34" i="110"/>
  <c r="P34" i="110"/>
  <c r="D34" i="110"/>
  <c r="N34" i="110"/>
  <c r="O34" i="110"/>
  <c r="C34" i="110"/>
  <c r="M34" i="110"/>
  <c r="A35" i="110"/>
  <c r="B33" i="110"/>
  <c r="A15" i="110"/>
  <c r="F12" i="110"/>
  <c r="E12" i="110"/>
  <c r="B13" i="110"/>
  <c r="B108" i="95"/>
  <c r="B92" i="95"/>
  <c r="B108" i="94"/>
  <c r="B92" i="94"/>
  <c r="B108" i="93"/>
  <c r="B93" i="93"/>
  <c r="I91" i="92"/>
  <c r="B92" i="92"/>
  <c r="B107" i="92"/>
  <c r="I106" i="92"/>
  <c r="CT12" i="71"/>
  <c r="CV11" i="71"/>
  <c r="CW12" i="71" s="1"/>
  <c r="DV11" i="71"/>
  <c r="EC11" i="71" s="1"/>
  <c r="AH12" i="3"/>
  <c r="AH11" i="3"/>
  <c r="B45" i="123" l="1"/>
  <c r="E44" i="123"/>
  <c r="F44" i="123"/>
  <c r="H44" i="123"/>
  <c r="G44" i="123"/>
  <c r="A47" i="123"/>
  <c r="A47" i="120"/>
  <c r="A47" i="117"/>
  <c r="B34" i="110"/>
  <c r="F34" i="110" s="1"/>
  <c r="H13" i="110"/>
  <c r="G13" i="110"/>
  <c r="H33" i="110"/>
  <c r="G33" i="110"/>
  <c r="DZ12" i="71"/>
  <c r="DI13" i="71"/>
  <c r="DY12" i="71"/>
  <c r="DG13" i="71"/>
  <c r="EE12" i="71"/>
  <c r="DA13" i="71"/>
  <c r="EF12" i="71"/>
  <c r="ED12" i="71"/>
  <c r="EB12" i="71"/>
  <c r="DH12" i="71"/>
  <c r="DF12" i="71"/>
  <c r="DD12" i="71"/>
  <c r="DE13" i="71" s="1"/>
  <c r="DB12" i="71"/>
  <c r="DC13" i="71" s="1"/>
  <c r="CZ12" i="71"/>
  <c r="CX12" i="71"/>
  <c r="DJ12" i="71"/>
  <c r="DK13" i="71" s="1"/>
  <c r="CY13" i="71"/>
  <c r="EA12" i="71"/>
  <c r="J35" i="110"/>
  <c r="I35" i="110"/>
  <c r="L35" i="110"/>
  <c r="P35" i="110"/>
  <c r="D35" i="110"/>
  <c r="O35" i="110"/>
  <c r="C35" i="110"/>
  <c r="K35" i="110"/>
  <c r="N35" i="110"/>
  <c r="M35" i="110"/>
  <c r="A36" i="110"/>
  <c r="F33" i="110"/>
  <c r="E33" i="110"/>
  <c r="J15" i="110"/>
  <c r="L15" i="110"/>
  <c r="I15" i="110"/>
  <c r="P15" i="110"/>
  <c r="D15" i="110"/>
  <c r="O15" i="110"/>
  <c r="C15" i="110"/>
  <c r="N15" i="110"/>
  <c r="M15" i="110"/>
  <c r="K15" i="110"/>
  <c r="B14" i="110"/>
  <c r="A16" i="110"/>
  <c r="F13" i="110"/>
  <c r="E13" i="110"/>
  <c r="B93" i="95"/>
  <c r="B109" i="95"/>
  <c r="B93" i="94"/>
  <c r="B109" i="94"/>
  <c r="B109" i="93"/>
  <c r="B94" i="93"/>
  <c r="I107" i="92"/>
  <c r="B108" i="92"/>
  <c r="I92" i="92"/>
  <c r="B93" i="92"/>
  <c r="CT13" i="71"/>
  <c r="CV12" i="71"/>
  <c r="CW13" i="71" s="1"/>
  <c r="DV12" i="71"/>
  <c r="EC12" i="71" s="1"/>
  <c r="AO12" i="3"/>
  <c r="AO11" i="3"/>
  <c r="G15" i="1"/>
  <c r="AJ12" i="3" s="1"/>
  <c r="AN12" i="3" s="1"/>
  <c r="G14" i="1"/>
  <c r="AJ11" i="3" s="1"/>
  <c r="AN11" i="3" s="1"/>
  <c r="A48" i="123" l="1"/>
  <c r="B47" i="123"/>
  <c r="B46" i="123"/>
  <c r="H45" i="123"/>
  <c r="G45" i="123"/>
  <c r="F45" i="123"/>
  <c r="E45" i="123"/>
  <c r="A48" i="120"/>
  <c r="A48" i="117"/>
  <c r="E34" i="110"/>
  <c r="H34" i="110"/>
  <c r="G34" i="110"/>
  <c r="H14" i="110"/>
  <c r="G14" i="110"/>
  <c r="DZ13" i="71"/>
  <c r="EE13" i="71"/>
  <c r="DJ13" i="71"/>
  <c r="DK14" i="71" s="1"/>
  <c r="DH13" i="71"/>
  <c r="DI14" i="71" s="1"/>
  <c r="DF13" i="71"/>
  <c r="DG14" i="71" s="1"/>
  <c r="DD13" i="71"/>
  <c r="DE14" i="71" s="1"/>
  <c r="DB13" i="71"/>
  <c r="DC14" i="71" s="1"/>
  <c r="CZ13" i="71"/>
  <c r="DA14" i="71" s="1"/>
  <c r="CX13" i="71"/>
  <c r="CY14" i="71" s="1"/>
  <c r="EA13" i="71"/>
  <c r="DY13" i="71"/>
  <c r="EB13" i="71"/>
  <c r="ED13" i="71"/>
  <c r="EF13" i="71"/>
  <c r="P16" i="110"/>
  <c r="D16" i="110"/>
  <c r="O16" i="110"/>
  <c r="C16" i="110"/>
  <c r="N16" i="110"/>
  <c r="J16" i="110"/>
  <c r="M16" i="110"/>
  <c r="L16" i="110"/>
  <c r="I16" i="110"/>
  <c r="K16" i="110"/>
  <c r="P36" i="110"/>
  <c r="D36" i="110"/>
  <c r="O36" i="110"/>
  <c r="C36" i="110"/>
  <c r="I36" i="110"/>
  <c r="N36" i="110"/>
  <c r="M36" i="110"/>
  <c r="L36" i="110"/>
  <c r="K36" i="110"/>
  <c r="J36" i="110"/>
  <c r="A37" i="110"/>
  <c r="B35" i="110"/>
  <c r="B15" i="110"/>
  <c r="A17" i="110"/>
  <c r="F14" i="110"/>
  <c r="E14" i="110"/>
  <c r="B94" i="95"/>
  <c r="B110" i="95"/>
  <c r="B110" i="94"/>
  <c r="B94" i="94"/>
  <c r="B95" i="93"/>
  <c r="B110" i="93"/>
  <c r="I108" i="92"/>
  <c r="B109" i="92"/>
  <c r="B94" i="92"/>
  <c r="I93" i="92"/>
  <c r="AM12" i="3"/>
  <c r="AP12" i="3" s="1"/>
  <c r="AM11" i="3"/>
  <c r="AP11" i="3" s="1"/>
  <c r="DV13" i="71"/>
  <c r="EC13" i="71" s="1"/>
  <c r="CT14" i="71"/>
  <c r="CV13" i="71"/>
  <c r="CW14" i="71" s="1"/>
  <c r="N3" i="2"/>
  <c r="M3" i="2"/>
  <c r="L3" i="2"/>
  <c r="K3" i="2"/>
  <c r="C40" i="3"/>
  <c r="C37" i="3"/>
  <c r="C35" i="3"/>
  <c r="C34" i="3"/>
  <c r="C33" i="3"/>
  <c r="C28" i="3"/>
  <c r="C27" i="3"/>
  <c r="C18" i="3"/>
  <c r="C17" i="3"/>
  <c r="C16" i="3"/>
  <c r="C15" i="3"/>
  <c r="C14" i="3"/>
  <c r="C13" i="3"/>
  <c r="C12" i="3"/>
  <c r="C11" i="3"/>
  <c r="H46" i="123" l="1"/>
  <c r="G46" i="123"/>
  <c r="E46" i="123"/>
  <c r="F46" i="123"/>
  <c r="E47" i="123"/>
  <c r="H47" i="123"/>
  <c r="G47" i="123"/>
  <c r="F47" i="123"/>
  <c r="B48" i="123"/>
  <c r="A49" i="123"/>
  <c r="A49" i="120"/>
  <c r="A49" i="117"/>
  <c r="H15" i="110"/>
  <c r="G15" i="110"/>
  <c r="H35" i="110"/>
  <c r="G35" i="110"/>
  <c r="ED14" i="71"/>
  <c r="EF14" i="71"/>
  <c r="DE15" i="71"/>
  <c r="EB14" i="71"/>
  <c r="EE14" i="71"/>
  <c r="DI15" i="71"/>
  <c r="DY14" i="71"/>
  <c r="DZ14" i="71"/>
  <c r="EA14" i="71"/>
  <c r="DD14" i="71"/>
  <c r="DB14" i="71"/>
  <c r="DC15" i="71" s="1"/>
  <c r="CZ14" i="71"/>
  <c r="DA15" i="71" s="1"/>
  <c r="CX14" i="71"/>
  <c r="CY15" i="71" s="1"/>
  <c r="DJ14" i="71"/>
  <c r="DK15" i="71" s="1"/>
  <c r="DH14" i="71"/>
  <c r="DF14" i="71"/>
  <c r="DG15" i="71" s="1"/>
  <c r="B36" i="110"/>
  <c r="E36" i="110" s="1"/>
  <c r="F35" i="110"/>
  <c r="E35" i="110"/>
  <c r="N17" i="110"/>
  <c r="C17" i="110"/>
  <c r="M17" i="110"/>
  <c r="P17" i="110"/>
  <c r="L17" i="110"/>
  <c r="O17" i="110"/>
  <c r="K17" i="110"/>
  <c r="J17" i="110"/>
  <c r="D17" i="110"/>
  <c r="I17" i="110"/>
  <c r="N37" i="110"/>
  <c r="P37" i="110"/>
  <c r="M37" i="110"/>
  <c r="L37" i="110"/>
  <c r="D37" i="110"/>
  <c r="C37" i="110"/>
  <c r="K37" i="110"/>
  <c r="J37" i="110"/>
  <c r="O37" i="110"/>
  <c r="I37" i="110"/>
  <c r="A38" i="110"/>
  <c r="B16" i="110"/>
  <c r="F15" i="110"/>
  <c r="E15" i="110"/>
  <c r="A18" i="110"/>
  <c r="B95" i="95"/>
  <c r="B111" i="95"/>
  <c r="B95" i="94"/>
  <c r="B111" i="94"/>
  <c r="B111" i="93"/>
  <c r="I109" i="92"/>
  <c r="B110" i="92"/>
  <c r="B95" i="92"/>
  <c r="I95" i="92" s="1"/>
  <c r="I94" i="92"/>
  <c r="DV14" i="71"/>
  <c r="EC14" i="71" s="1"/>
  <c r="CT15" i="71"/>
  <c r="CV14" i="71"/>
  <c r="CW15" i="71" s="1"/>
  <c r="B45" i="3"/>
  <c r="B44" i="3"/>
  <c r="B43" i="3"/>
  <c r="B42" i="3"/>
  <c r="B41" i="3"/>
  <c r="B26" i="3"/>
  <c r="B25" i="3"/>
  <c r="B24" i="3"/>
  <c r="B23" i="3"/>
  <c r="E19" i="1"/>
  <c r="E18" i="1"/>
  <c r="E17" i="1"/>
  <c r="E16" i="1"/>
  <c r="E14" i="1"/>
  <c r="E15" i="1"/>
  <c r="A504" i="74"/>
  <c r="A503" i="74"/>
  <c r="A502" i="74"/>
  <c r="A501" i="74"/>
  <c r="A500" i="74"/>
  <c r="A499" i="74"/>
  <c r="A498" i="74"/>
  <c r="A497" i="74"/>
  <c r="A496" i="74"/>
  <c r="A495" i="74"/>
  <c r="A494" i="74"/>
  <c r="A493" i="74"/>
  <c r="A492" i="74"/>
  <c r="A491" i="74"/>
  <c r="A490" i="74"/>
  <c r="A489" i="74"/>
  <c r="A488" i="74"/>
  <c r="A487" i="74"/>
  <c r="A486" i="74"/>
  <c r="A485" i="74"/>
  <c r="A484" i="74"/>
  <c r="A483" i="74"/>
  <c r="A482" i="74"/>
  <c r="A481" i="74"/>
  <c r="A480" i="74"/>
  <c r="A479" i="74"/>
  <c r="A478" i="74"/>
  <c r="A477" i="74"/>
  <c r="A476" i="74"/>
  <c r="A475" i="74"/>
  <c r="A474" i="74"/>
  <c r="A473" i="74"/>
  <c r="A472" i="74"/>
  <c r="A471" i="74"/>
  <c r="A470" i="74"/>
  <c r="A469" i="74"/>
  <c r="A468" i="74"/>
  <c r="A467" i="74"/>
  <c r="A466" i="74"/>
  <c r="A465" i="74"/>
  <c r="A464" i="74"/>
  <c r="A463" i="74"/>
  <c r="A462" i="74"/>
  <c r="A461" i="74"/>
  <c r="A460" i="74"/>
  <c r="A459" i="74"/>
  <c r="A458" i="74"/>
  <c r="A457" i="74"/>
  <c r="A456" i="74"/>
  <c r="A455" i="74"/>
  <c r="A454" i="74"/>
  <c r="A453" i="74"/>
  <c r="A452" i="74"/>
  <c r="A451" i="74"/>
  <c r="A450" i="74"/>
  <c r="A449" i="74"/>
  <c r="A448" i="74"/>
  <c r="A447" i="74"/>
  <c r="A446" i="74"/>
  <c r="A445" i="74"/>
  <c r="A444" i="74"/>
  <c r="A443" i="74"/>
  <c r="A442" i="74"/>
  <c r="A441" i="74"/>
  <c r="A440" i="74"/>
  <c r="A439" i="74"/>
  <c r="A438" i="74"/>
  <c r="A437" i="74"/>
  <c r="A436" i="74"/>
  <c r="A435" i="74"/>
  <c r="A434" i="74"/>
  <c r="A433" i="74"/>
  <c r="A432" i="74"/>
  <c r="A431" i="74"/>
  <c r="A430" i="74"/>
  <c r="A429" i="74"/>
  <c r="A428" i="74"/>
  <c r="A427" i="74"/>
  <c r="A426" i="74"/>
  <c r="A425" i="74"/>
  <c r="A424" i="74"/>
  <c r="A423" i="74"/>
  <c r="A422" i="74"/>
  <c r="A421" i="74"/>
  <c r="A420" i="74"/>
  <c r="A419" i="74"/>
  <c r="A418" i="74"/>
  <c r="A417" i="74"/>
  <c r="A416" i="74"/>
  <c r="A415" i="74"/>
  <c r="H48" i="123" l="1"/>
  <c r="G48" i="123"/>
  <c r="F48" i="123"/>
  <c r="E48" i="123"/>
  <c r="A50" i="123"/>
  <c r="A50" i="120"/>
  <c r="A50" i="117"/>
  <c r="B37" i="110"/>
  <c r="H37" i="110" s="1"/>
  <c r="H16" i="110"/>
  <c r="G16" i="110"/>
  <c r="F36" i="110"/>
  <c r="H36" i="110"/>
  <c r="G36" i="110"/>
  <c r="ED15" i="71"/>
  <c r="EA15" i="71"/>
  <c r="EE15" i="71"/>
  <c r="EF15" i="71"/>
  <c r="EB15" i="71"/>
  <c r="DZ15" i="71"/>
  <c r="DY15" i="71"/>
  <c r="DJ15" i="71"/>
  <c r="DK16" i="71" s="1"/>
  <c r="DH15" i="71"/>
  <c r="DI16" i="71" s="1"/>
  <c r="DF15" i="71"/>
  <c r="DG16" i="71" s="1"/>
  <c r="DD15" i="71"/>
  <c r="DE16" i="71" s="1"/>
  <c r="CX15" i="71"/>
  <c r="CY16" i="71" s="1"/>
  <c r="DB15" i="71"/>
  <c r="DC16" i="71" s="1"/>
  <c r="CZ15" i="71"/>
  <c r="DA16" i="71" s="1"/>
  <c r="B17" i="110"/>
  <c r="E17" i="110" s="1"/>
  <c r="L38" i="110"/>
  <c r="M38" i="110"/>
  <c r="K38" i="110"/>
  <c r="J38" i="110"/>
  <c r="I38" i="110"/>
  <c r="N38" i="110"/>
  <c r="P38" i="110"/>
  <c r="D38" i="110"/>
  <c r="O38" i="110"/>
  <c r="C38" i="110"/>
  <c r="A39" i="110"/>
  <c r="L18" i="110"/>
  <c r="K18" i="110"/>
  <c r="J18" i="110"/>
  <c r="I18" i="110"/>
  <c r="P18" i="110"/>
  <c r="D18" i="110"/>
  <c r="O18" i="110"/>
  <c r="C18" i="110"/>
  <c r="N18" i="110"/>
  <c r="M18" i="110"/>
  <c r="A19" i="110"/>
  <c r="F16" i="110"/>
  <c r="E16" i="110"/>
  <c r="X41" i="3"/>
  <c r="X43" i="3"/>
  <c r="X44" i="3"/>
  <c r="X45" i="3"/>
  <c r="X25" i="3"/>
  <c r="X42" i="3"/>
  <c r="X23" i="3"/>
  <c r="X24" i="3"/>
  <c r="X26" i="3"/>
  <c r="B112" i="95"/>
  <c r="B112" i="94"/>
  <c r="B112" i="93"/>
  <c r="B111" i="92"/>
  <c r="I110" i="92"/>
  <c r="AI12" i="3"/>
  <c r="C22" i="3"/>
  <c r="AI11" i="3"/>
  <c r="C21" i="3"/>
  <c r="C23" i="3"/>
  <c r="C24" i="3"/>
  <c r="C25" i="3"/>
  <c r="C26" i="3"/>
  <c r="DV15" i="71"/>
  <c r="EC15" i="71" s="1"/>
  <c r="CT16" i="71"/>
  <c r="CV15" i="71"/>
  <c r="CW16" i="71" s="1"/>
  <c r="N26" i="3"/>
  <c r="P26" i="3"/>
  <c r="V26" i="3"/>
  <c r="R26" i="3"/>
  <c r="N41" i="3"/>
  <c r="P41" i="3"/>
  <c r="V41" i="3"/>
  <c r="R41" i="3"/>
  <c r="N25" i="3"/>
  <c r="O25" i="3" s="1"/>
  <c r="P25" i="3"/>
  <c r="V25" i="3"/>
  <c r="R25" i="3"/>
  <c r="N42" i="3"/>
  <c r="P42" i="3"/>
  <c r="V42" i="3"/>
  <c r="R42" i="3"/>
  <c r="N43" i="3"/>
  <c r="V43" i="3"/>
  <c r="P43" i="3"/>
  <c r="R43" i="3"/>
  <c r="N44" i="3"/>
  <c r="V44" i="3"/>
  <c r="R44" i="3"/>
  <c r="P44" i="3"/>
  <c r="N23" i="3"/>
  <c r="P23" i="3"/>
  <c r="R23" i="3"/>
  <c r="V23" i="3"/>
  <c r="N45" i="3"/>
  <c r="R45" i="3"/>
  <c r="V45" i="3"/>
  <c r="P45" i="3"/>
  <c r="N24" i="3"/>
  <c r="P24" i="3"/>
  <c r="R24" i="3"/>
  <c r="V24" i="3"/>
  <c r="J26" i="3"/>
  <c r="L26" i="3"/>
  <c r="J25" i="3"/>
  <c r="L25" i="3"/>
  <c r="J41" i="3"/>
  <c r="L41" i="3"/>
  <c r="J42" i="3"/>
  <c r="L42" i="3"/>
  <c r="L43" i="3"/>
  <c r="J43" i="3"/>
  <c r="L44" i="3"/>
  <c r="J44" i="3"/>
  <c r="J23" i="3"/>
  <c r="L23" i="3"/>
  <c r="J45" i="3"/>
  <c r="L45" i="3"/>
  <c r="J24" i="3"/>
  <c r="L24" i="3"/>
  <c r="AD2" i="23"/>
  <c r="AE2" i="23"/>
  <c r="AC2" i="23"/>
  <c r="AB2" i="23"/>
  <c r="AE3" i="23"/>
  <c r="AD3" i="23"/>
  <c r="AC3" i="23"/>
  <c r="AB3" i="23"/>
  <c r="A414" i="74"/>
  <c r="A413" i="74"/>
  <c r="A412" i="74"/>
  <c r="A411" i="74"/>
  <c r="A410" i="74"/>
  <c r="A409" i="74"/>
  <c r="A408" i="74"/>
  <c r="A407" i="74"/>
  <c r="A406" i="74"/>
  <c r="A405" i="74"/>
  <c r="A404" i="74"/>
  <c r="A403" i="74"/>
  <c r="A402" i="74"/>
  <c r="A401" i="74"/>
  <c r="A400" i="74"/>
  <c r="A399" i="74"/>
  <c r="A398" i="74"/>
  <c r="A397" i="74"/>
  <c r="A396" i="74"/>
  <c r="A395" i="74"/>
  <c r="A394" i="74"/>
  <c r="A393" i="74"/>
  <c r="A392" i="74"/>
  <c r="A391" i="74"/>
  <c r="A390" i="74"/>
  <c r="A389" i="74"/>
  <c r="A388" i="74"/>
  <c r="A387" i="74"/>
  <c r="A386" i="74"/>
  <c r="A385" i="74"/>
  <c r="A384" i="74"/>
  <c r="A383" i="74"/>
  <c r="A382" i="74"/>
  <c r="A381" i="74"/>
  <c r="A380" i="74"/>
  <c r="A379" i="74"/>
  <c r="A378" i="74"/>
  <c r="A377" i="74"/>
  <c r="A376" i="74"/>
  <c r="A375" i="74"/>
  <c r="A374" i="74"/>
  <c r="A373" i="74"/>
  <c r="A372" i="74"/>
  <c r="A371" i="74"/>
  <c r="A370" i="74"/>
  <c r="A369" i="74"/>
  <c r="A368" i="74"/>
  <c r="A367" i="74"/>
  <c r="A366" i="74"/>
  <c r="A365" i="74"/>
  <c r="A364" i="74"/>
  <c r="A363" i="74"/>
  <c r="A362" i="74"/>
  <c r="A361" i="74"/>
  <c r="A360" i="74"/>
  <c r="A359" i="74"/>
  <c r="A358" i="74"/>
  <c r="A357" i="74"/>
  <c r="A356" i="74"/>
  <c r="A355" i="74"/>
  <c r="A354" i="74"/>
  <c r="A353" i="74"/>
  <c r="A352" i="74"/>
  <c r="A351" i="74"/>
  <c r="A350" i="74"/>
  <c r="A349" i="74"/>
  <c r="A348" i="74"/>
  <c r="A347" i="74"/>
  <c r="A346" i="74"/>
  <c r="A345" i="74"/>
  <c r="A344" i="74"/>
  <c r="A343" i="74"/>
  <c r="A342" i="74"/>
  <c r="A341" i="74"/>
  <c r="A340" i="74"/>
  <c r="A339" i="74"/>
  <c r="A338" i="74"/>
  <c r="A337" i="74"/>
  <c r="A336" i="74"/>
  <c r="A335" i="74"/>
  <c r="A334" i="74"/>
  <c r="A333" i="74"/>
  <c r="A332" i="74"/>
  <c r="A331" i="74"/>
  <c r="A330" i="74"/>
  <c r="A329" i="74"/>
  <c r="A328" i="74"/>
  <c r="A327" i="74"/>
  <c r="A326" i="74"/>
  <c r="A325" i="74"/>
  <c r="A324" i="74"/>
  <c r="A323" i="74"/>
  <c r="A322" i="74"/>
  <c r="A321" i="74"/>
  <c r="A320" i="74"/>
  <c r="A319" i="74"/>
  <c r="A318" i="74"/>
  <c r="A317" i="74"/>
  <c r="A316" i="74"/>
  <c r="A315" i="74"/>
  <c r="A314" i="74"/>
  <c r="A313" i="74"/>
  <c r="A312" i="74"/>
  <c r="A311" i="74"/>
  <c r="A310" i="74"/>
  <c r="A309" i="74"/>
  <c r="A308" i="74"/>
  <c r="A307" i="74"/>
  <c r="A306" i="74"/>
  <c r="A305" i="74"/>
  <c r="A304" i="74"/>
  <c r="A303" i="74"/>
  <c r="A302" i="74"/>
  <c r="A301" i="74"/>
  <c r="A300" i="74"/>
  <c r="A299" i="74"/>
  <c r="A298" i="74"/>
  <c r="A297" i="74"/>
  <c r="A296" i="74"/>
  <c r="N121" i="73"/>
  <c r="N120" i="73"/>
  <c r="N118" i="73"/>
  <c r="N117" i="73"/>
  <c r="N119" i="73"/>
  <c r="N115" i="73"/>
  <c r="N116" i="73"/>
  <c r="N114" i="73"/>
  <c r="N113" i="73"/>
  <c r="N112" i="73"/>
  <c r="N111" i="73"/>
  <c r="N110" i="73"/>
  <c r="N109" i="73"/>
  <c r="N108" i="73"/>
  <c r="N107" i="73"/>
  <c r="N106" i="73"/>
  <c r="N105" i="73"/>
  <c r="N103" i="73"/>
  <c r="N102" i="73"/>
  <c r="N101" i="73"/>
  <c r="N100" i="73"/>
  <c r="N99" i="73"/>
  <c r="N98" i="73"/>
  <c r="N97" i="73"/>
  <c r="N96" i="73"/>
  <c r="N95" i="73"/>
  <c r="N94" i="73"/>
  <c r="N93" i="73"/>
  <c r="N92" i="73"/>
  <c r="N91" i="73"/>
  <c r="N90" i="73"/>
  <c r="N89" i="73"/>
  <c r="N88" i="73"/>
  <c r="N87" i="73"/>
  <c r="N86" i="73"/>
  <c r="N85" i="73"/>
  <c r="N84" i="73"/>
  <c r="N83" i="73"/>
  <c r="N82" i="73"/>
  <c r="N81" i="73"/>
  <c r="N80" i="73"/>
  <c r="N79" i="73"/>
  <c r="N78" i="73"/>
  <c r="N77" i="73"/>
  <c r="N76" i="73"/>
  <c r="N75" i="73"/>
  <c r="N74" i="73"/>
  <c r="N73" i="73"/>
  <c r="N72" i="73"/>
  <c r="N71" i="73"/>
  <c r="N70" i="73"/>
  <c r="N69" i="73"/>
  <c r="N68" i="73"/>
  <c r="N67" i="73"/>
  <c r="N66" i="73"/>
  <c r="N65" i="73"/>
  <c r="N64" i="73"/>
  <c r="N63" i="73"/>
  <c r="N62" i="73"/>
  <c r="N61" i="73"/>
  <c r="N60" i="73"/>
  <c r="N59" i="73"/>
  <c r="N58" i="73"/>
  <c r="N57" i="73"/>
  <c r="N56" i="73"/>
  <c r="N55" i="73"/>
  <c r="N54" i="73"/>
  <c r="N53" i="73"/>
  <c r="N52" i="73"/>
  <c r="N51" i="73"/>
  <c r="N50" i="73"/>
  <c r="N49" i="73"/>
  <c r="N48" i="73"/>
  <c r="N47" i="73"/>
  <c r="N46" i="73"/>
  <c r="N45" i="73"/>
  <c r="N44" i="73"/>
  <c r="N43" i="73"/>
  <c r="N42" i="73"/>
  <c r="N41" i="73"/>
  <c r="N40" i="73"/>
  <c r="N39" i="73"/>
  <c r="N38" i="73"/>
  <c r="N37" i="73"/>
  <c r="N36" i="73"/>
  <c r="N35" i="73"/>
  <c r="N34" i="73"/>
  <c r="N33" i="73"/>
  <c r="N32" i="73"/>
  <c r="N31" i="73"/>
  <c r="N30" i="73"/>
  <c r="N29" i="73"/>
  <c r="N28" i="73"/>
  <c r="N27" i="73"/>
  <c r="N26" i="73"/>
  <c r="N24" i="73"/>
  <c r="N23" i="73"/>
  <c r="N22" i="73"/>
  <c r="N21" i="73"/>
  <c r="N20" i="73"/>
  <c r="N19" i="73"/>
  <c r="N18" i="73"/>
  <c r="N25" i="73"/>
  <c r="N17" i="73"/>
  <c r="N16" i="73"/>
  <c r="N15" i="73"/>
  <c r="N14" i="73"/>
  <c r="N13" i="73"/>
  <c r="N12" i="73"/>
  <c r="N11" i="73"/>
  <c r="N10" i="73"/>
  <c r="N9" i="73"/>
  <c r="N8" i="73"/>
  <c r="N7" i="73"/>
  <c r="N6" i="73"/>
  <c r="N5" i="73"/>
  <c r="N4" i="73"/>
  <c r="N3" i="73"/>
  <c r="N2" i="73"/>
  <c r="A295" i="74"/>
  <c r="A294" i="74"/>
  <c r="A293" i="74"/>
  <c r="A292" i="74"/>
  <c r="A291" i="74"/>
  <c r="A290" i="74"/>
  <c r="A289" i="74"/>
  <c r="A288" i="74"/>
  <c r="A287" i="74"/>
  <c r="A286" i="74"/>
  <c r="A285" i="74"/>
  <c r="A284" i="74"/>
  <c r="A283" i="74"/>
  <c r="A282" i="74"/>
  <c r="A281" i="74"/>
  <c r="A280" i="74"/>
  <c r="A279" i="74"/>
  <c r="A278" i="74"/>
  <c r="A277" i="74"/>
  <c r="A276" i="74"/>
  <c r="A275" i="74"/>
  <c r="A274" i="74"/>
  <c r="A273" i="74"/>
  <c r="A272" i="74"/>
  <c r="A271" i="74"/>
  <c r="A270" i="74"/>
  <c r="A269" i="74"/>
  <c r="A268" i="74"/>
  <c r="A267" i="74"/>
  <c r="A266" i="74"/>
  <c r="A265" i="74"/>
  <c r="A264" i="74"/>
  <c r="A263" i="74"/>
  <c r="A262" i="74"/>
  <c r="A261" i="74"/>
  <c r="A260" i="74"/>
  <c r="A259" i="74"/>
  <c r="A258" i="74"/>
  <c r="A257" i="74"/>
  <c r="A256" i="74"/>
  <c r="A255" i="74"/>
  <c r="A254" i="74"/>
  <c r="A253" i="74"/>
  <c r="A252" i="74"/>
  <c r="A251" i="74"/>
  <c r="A250" i="74"/>
  <c r="A249" i="74"/>
  <c r="A248" i="74"/>
  <c r="A247" i="74"/>
  <c r="A246" i="74"/>
  <c r="A245" i="74"/>
  <c r="A244" i="74"/>
  <c r="A243" i="74"/>
  <c r="A242" i="74"/>
  <c r="A241" i="74"/>
  <c r="A240" i="74"/>
  <c r="A239" i="74"/>
  <c r="A238" i="74"/>
  <c r="A237" i="74"/>
  <c r="A236" i="74"/>
  <c r="A235" i="74"/>
  <c r="A234" i="74"/>
  <c r="A233" i="74"/>
  <c r="A232" i="74"/>
  <c r="A231" i="74"/>
  <c r="A230" i="74"/>
  <c r="A229" i="74"/>
  <c r="A228" i="74"/>
  <c r="A227" i="74"/>
  <c r="A226" i="74"/>
  <c r="A225" i="74"/>
  <c r="A224" i="74"/>
  <c r="A223" i="74"/>
  <c r="A222" i="74"/>
  <c r="A221" i="74"/>
  <c r="A220" i="74"/>
  <c r="A219" i="74"/>
  <c r="A218" i="74"/>
  <c r="A217" i="74"/>
  <c r="A216" i="74"/>
  <c r="A215" i="74"/>
  <c r="A214" i="74"/>
  <c r="A213" i="74"/>
  <c r="A212" i="74"/>
  <c r="A211" i="74"/>
  <c r="A210" i="74"/>
  <c r="A209" i="74"/>
  <c r="A208" i="74"/>
  <c r="A207" i="74"/>
  <c r="A206" i="74"/>
  <c r="A205" i="74"/>
  <c r="A204" i="74"/>
  <c r="A203" i="74"/>
  <c r="A202" i="74"/>
  <c r="A201" i="74"/>
  <c r="A200" i="74"/>
  <c r="A199" i="74"/>
  <c r="A198" i="74"/>
  <c r="A197" i="74"/>
  <c r="A196" i="74"/>
  <c r="A195" i="74"/>
  <c r="A194" i="74"/>
  <c r="A193" i="74"/>
  <c r="A192" i="74"/>
  <c r="A191" i="74"/>
  <c r="A190" i="74"/>
  <c r="A189" i="74"/>
  <c r="A188" i="74"/>
  <c r="A187" i="74"/>
  <c r="A186" i="74"/>
  <c r="A185" i="74"/>
  <c r="A184" i="74"/>
  <c r="A183" i="74"/>
  <c r="A182" i="74"/>
  <c r="A181" i="74"/>
  <c r="A180" i="74"/>
  <c r="A179" i="74"/>
  <c r="A178" i="74"/>
  <c r="A177" i="74"/>
  <c r="T121" i="72"/>
  <c r="T120" i="72"/>
  <c r="T119" i="72"/>
  <c r="T118" i="72"/>
  <c r="T116" i="72"/>
  <c r="T117" i="72"/>
  <c r="T115" i="72"/>
  <c r="T114" i="72"/>
  <c r="T113" i="72"/>
  <c r="T112" i="72"/>
  <c r="T111" i="72"/>
  <c r="T110" i="72"/>
  <c r="T109" i="72"/>
  <c r="T108" i="72"/>
  <c r="T107" i="72"/>
  <c r="T26" i="72"/>
  <c r="T106" i="72"/>
  <c r="T104" i="72"/>
  <c r="T103" i="72"/>
  <c r="T102" i="72"/>
  <c r="T101" i="72"/>
  <c r="T100" i="72"/>
  <c r="T99" i="72"/>
  <c r="T98" i="72"/>
  <c r="T97" i="72"/>
  <c r="T96" i="72"/>
  <c r="T95" i="72"/>
  <c r="T94" i="72"/>
  <c r="T93" i="72"/>
  <c r="T92" i="72"/>
  <c r="T91" i="72"/>
  <c r="T90" i="72"/>
  <c r="T89" i="72"/>
  <c r="T88" i="72"/>
  <c r="T87" i="72"/>
  <c r="T86" i="72"/>
  <c r="T85" i="72"/>
  <c r="T84" i="72"/>
  <c r="T83" i="72"/>
  <c r="T82" i="72"/>
  <c r="T81" i="72"/>
  <c r="T80" i="72"/>
  <c r="T79" i="72"/>
  <c r="T78" i="72"/>
  <c r="T77" i="72"/>
  <c r="T76" i="72"/>
  <c r="T75" i="72"/>
  <c r="T74" i="72"/>
  <c r="T73" i="72"/>
  <c r="T72" i="72"/>
  <c r="T71" i="72"/>
  <c r="T70" i="72"/>
  <c r="T69" i="72"/>
  <c r="T68" i="72"/>
  <c r="T67" i="72"/>
  <c r="T66" i="72"/>
  <c r="T65" i="72"/>
  <c r="T64" i="72"/>
  <c r="T63" i="72"/>
  <c r="T62" i="72"/>
  <c r="T61" i="72"/>
  <c r="T60" i="72"/>
  <c r="T59" i="72"/>
  <c r="T58" i="72"/>
  <c r="T57" i="72"/>
  <c r="T56" i="72"/>
  <c r="T55" i="72"/>
  <c r="T54" i="72"/>
  <c r="T53" i="72"/>
  <c r="T52" i="72"/>
  <c r="T51" i="72"/>
  <c r="T50" i="72"/>
  <c r="T49" i="72"/>
  <c r="T48" i="72"/>
  <c r="T47" i="72"/>
  <c r="T46" i="72"/>
  <c r="T45" i="72"/>
  <c r="T44" i="72"/>
  <c r="T43" i="72"/>
  <c r="T42" i="72"/>
  <c r="T41" i="72"/>
  <c r="T40" i="72"/>
  <c r="T39" i="72"/>
  <c r="T38" i="72"/>
  <c r="T37" i="72"/>
  <c r="T36" i="72"/>
  <c r="T35" i="72"/>
  <c r="T34" i="72"/>
  <c r="T33" i="72"/>
  <c r="T32" i="72"/>
  <c r="T31" i="72"/>
  <c r="T30" i="72"/>
  <c r="T29" i="72"/>
  <c r="T28" i="72"/>
  <c r="T27" i="72"/>
  <c r="T25" i="72"/>
  <c r="T24" i="72"/>
  <c r="T23" i="72"/>
  <c r="T22" i="72"/>
  <c r="T21" i="72"/>
  <c r="T20" i="72"/>
  <c r="T19" i="72"/>
  <c r="T18" i="72"/>
  <c r="T17" i="72"/>
  <c r="T16" i="72"/>
  <c r="T15" i="72"/>
  <c r="T14" i="72"/>
  <c r="T13" i="72"/>
  <c r="T12" i="72"/>
  <c r="T11" i="72"/>
  <c r="T10" i="72"/>
  <c r="T9" i="72"/>
  <c r="T8" i="72"/>
  <c r="T7" i="72"/>
  <c r="T6" i="72"/>
  <c r="T5" i="72"/>
  <c r="T4" i="72"/>
  <c r="T3" i="72"/>
  <c r="T2" i="72"/>
  <c r="B176" i="74"/>
  <c r="B175" i="74"/>
  <c r="B174" i="74"/>
  <c r="B173" i="74"/>
  <c r="B172" i="74"/>
  <c r="B171" i="74"/>
  <c r="B170" i="74"/>
  <c r="B169" i="74"/>
  <c r="B168" i="74"/>
  <c r="B167" i="74"/>
  <c r="B166" i="74"/>
  <c r="B165" i="74"/>
  <c r="B164" i="74"/>
  <c r="B163" i="74"/>
  <c r="B162" i="74"/>
  <c r="B161" i="74"/>
  <c r="B160" i="74"/>
  <c r="B159" i="74"/>
  <c r="B158" i="74"/>
  <c r="B157" i="74"/>
  <c r="B156" i="74"/>
  <c r="B155" i="74"/>
  <c r="B154" i="74"/>
  <c r="B153" i="74"/>
  <c r="B152" i="74"/>
  <c r="B151" i="74"/>
  <c r="B150" i="74"/>
  <c r="B149" i="74"/>
  <c r="B148" i="74"/>
  <c r="B147" i="74"/>
  <c r="B146" i="74"/>
  <c r="B145" i="74"/>
  <c r="B144" i="74"/>
  <c r="B143" i="74"/>
  <c r="B142" i="74"/>
  <c r="B141" i="74"/>
  <c r="B140" i="74"/>
  <c r="B139" i="74"/>
  <c r="B138" i="74"/>
  <c r="B137" i="74"/>
  <c r="B136" i="74"/>
  <c r="B135" i="74"/>
  <c r="B134" i="74"/>
  <c r="B133" i="74"/>
  <c r="B132" i="74"/>
  <c r="B131" i="74"/>
  <c r="B130" i="74"/>
  <c r="B129" i="74"/>
  <c r="B128" i="74"/>
  <c r="B127" i="74"/>
  <c r="B126" i="74"/>
  <c r="B125" i="74"/>
  <c r="B124" i="74"/>
  <c r="B123" i="74"/>
  <c r="B122" i="74"/>
  <c r="B121" i="74"/>
  <c r="B120" i="74"/>
  <c r="B119" i="74"/>
  <c r="B118" i="74"/>
  <c r="B117" i="74"/>
  <c r="B116" i="74"/>
  <c r="B115" i="74"/>
  <c r="B114" i="74"/>
  <c r="B113" i="74"/>
  <c r="B112" i="74"/>
  <c r="B111" i="74"/>
  <c r="B110" i="74"/>
  <c r="B109" i="74"/>
  <c r="B108" i="74"/>
  <c r="B107" i="74"/>
  <c r="B106" i="74"/>
  <c r="B105" i="74"/>
  <c r="B104" i="74"/>
  <c r="B103" i="74"/>
  <c r="B102" i="74"/>
  <c r="B101" i="74"/>
  <c r="B100" i="74"/>
  <c r="B99" i="74"/>
  <c r="B98" i="74"/>
  <c r="B97" i="7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J3" i="14"/>
  <c r="A176" i="74"/>
  <c r="A175" i="74"/>
  <c r="A174" i="74"/>
  <c r="A173" i="74"/>
  <c r="A172" i="74"/>
  <c r="A171" i="74"/>
  <c r="A170" i="74"/>
  <c r="A169" i="74"/>
  <c r="A168" i="74"/>
  <c r="A167" i="74"/>
  <c r="A166" i="74"/>
  <c r="A165" i="74"/>
  <c r="A164" i="74"/>
  <c r="A163" i="74"/>
  <c r="A162" i="74"/>
  <c r="A161" i="74"/>
  <c r="A160" i="74"/>
  <c r="A159" i="74"/>
  <c r="A158" i="74"/>
  <c r="A157" i="74"/>
  <c r="A156" i="74"/>
  <c r="A155" i="74"/>
  <c r="A154" i="74"/>
  <c r="A153" i="74"/>
  <c r="A152" i="74"/>
  <c r="A151" i="74"/>
  <c r="A150" i="74"/>
  <c r="A149" i="74"/>
  <c r="A148" i="74"/>
  <c r="A147" i="74"/>
  <c r="A146" i="74"/>
  <c r="A145" i="74"/>
  <c r="A144" i="74"/>
  <c r="A143" i="74"/>
  <c r="A142" i="74"/>
  <c r="A141" i="74"/>
  <c r="A140" i="74"/>
  <c r="A139" i="74"/>
  <c r="A138" i="74"/>
  <c r="A137" i="74"/>
  <c r="A136" i="74"/>
  <c r="A135" i="74"/>
  <c r="A134" i="74"/>
  <c r="A133" i="74"/>
  <c r="A132" i="74"/>
  <c r="A131" i="74"/>
  <c r="A130" i="74"/>
  <c r="A129" i="74"/>
  <c r="A128" i="74"/>
  <c r="A127" i="74"/>
  <c r="A126" i="74"/>
  <c r="A125" i="74"/>
  <c r="A124" i="74"/>
  <c r="A123" i="74"/>
  <c r="A122" i="74"/>
  <c r="A121" i="74"/>
  <c r="A120" i="74"/>
  <c r="A119" i="74"/>
  <c r="A118" i="74"/>
  <c r="A117" i="74"/>
  <c r="A116" i="74"/>
  <c r="A115" i="74"/>
  <c r="A114" i="74"/>
  <c r="A113" i="74"/>
  <c r="A112" i="74"/>
  <c r="A111" i="74"/>
  <c r="A110" i="74"/>
  <c r="A109" i="74"/>
  <c r="A108" i="74"/>
  <c r="A107" i="74"/>
  <c r="A106" i="74"/>
  <c r="A105" i="74"/>
  <c r="A104" i="74"/>
  <c r="A103" i="74"/>
  <c r="A102" i="74"/>
  <c r="A101" i="74"/>
  <c r="A100" i="74"/>
  <c r="A99" i="74"/>
  <c r="A98" i="74"/>
  <c r="A97" i="74"/>
  <c r="A96" i="74"/>
  <c r="A95" i="74"/>
  <c r="A94" i="74"/>
  <c r="A93" i="74"/>
  <c r="A92" i="74"/>
  <c r="A91" i="74"/>
  <c r="D29" i="18"/>
  <c r="E29" i="18"/>
  <c r="A90" i="74"/>
  <c r="A89" i="74"/>
  <c r="A88" i="74"/>
  <c r="A87" i="74"/>
  <c r="A86" i="74"/>
  <c r="A85" i="74"/>
  <c r="A84" i="74"/>
  <c r="A83" i="74"/>
  <c r="A82" i="74"/>
  <c r="A81" i="74"/>
  <c r="A80" i="74"/>
  <c r="A79" i="74"/>
  <c r="A78" i="74"/>
  <c r="A77" i="74"/>
  <c r="A76" i="74"/>
  <c r="A75" i="74"/>
  <c r="A74" i="74"/>
  <c r="A73" i="74"/>
  <c r="A72" i="74"/>
  <c r="A71" i="74"/>
  <c r="A70" i="74"/>
  <c r="A69" i="74"/>
  <c r="A68" i="74"/>
  <c r="A67" i="74"/>
  <c r="A66" i="74"/>
  <c r="A65" i="74"/>
  <c r="A64" i="74"/>
  <c r="A63" i="74"/>
  <c r="A51" i="123" l="1"/>
  <c r="B50" i="123"/>
  <c r="B49" i="123"/>
  <c r="A51" i="120"/>
  <c r="A51" i="117"/>
  <c r="F37" i="110"/>
  <c r="G37" i="110"/>
  <c r="E37" i="110"/>
  <c r="H17" i="110"/>
  <c r="G17" i="110"/>
  <c r="F17" i="110"/>
  <c r="DY16" i="71"/>
  <c r="EE16" i="71"/>
  <c r="DA17" i="71"/>
  <c r="EF16" i="71"/>
  <c r="ED16" i="71"/>
  <c r="CY17" i="71"/>
  <c r="EA16" i="71"/>
  <c r="DZ16" i="71"/>
  <c r="EB16" i="71"/>
  <c r="CZ16" i="71"/>
  <c r="CX16" i="71"/>
  <c r="DJ16" i="71"/>
  <c r="DK17" i="71" s="1"/>
  <c r="DH16" i="71"/>
  <c r="DI17" i="71" s="1"/>
  <c r="DF16" i="71"/>
  <c r="DG17" i="71" s="1"/>
  <c r="DB16" i="71"/>
  <c r="DC17" i="71" s="1"/>
  <c r="DD16" i="71"/>
  <c r="DE17" i="71" s="1"/>
  <c r="B18" i="110"/>
  <c r="F18" i="110" s="1"/>
  <c r="B38" i="110"/>
  <c r="J19" i="110"/>
  <c r="I19" i="110"/>
  <c r="P19" i="110"/>
  <c r="D19" i="110"/>
  <c r="L19" i="110"/>
  <c r="O19" i="110"/>
  <c r="C19" i="110"/>
  <c r="K19" i="110"/>
  <c r="N19" i="110"/>
  <c r="M19" i="110"/>
  <c r="J39" i="110"/>
  <c r="I39" i="110"/>
  <c r="P39" i="110"/>
  <c r="D39" i="110"/>
  <c r="O39" i="110"/>
  <c r="C39" i="110"/>
  <c r="N39" i="110"/>
  <c r="L39" i="110"/>
  <c r="M39" i="110"/>
  <c r="K39" i="110"/>
  <c r="A40" i="110"/>
  <c r="A20" i="110"/>
  <c r="Y26" i="3"/>
  <c r="Y25" i="3"/>
  <c r="Y24" i="3"/>
  <c r="Q25" i="3"/>
  <c r="Y23" i="3"/>
  <c r="B113" i="95"/>
  <c r="B113" i="94"/>
  <c r="B113" i="93"/>
  <c r="B112" i="92"/>
  <c r="I111" i="92"/>
  <c r="M25" i="3"/>
  <c r="Q26" i="3"/>
  <c r="W24" i="3"/>
  <c r="S24" i="3"/>
  <c r="Q24" i="3"/>
  <c r="M24" i="3"/>
  <c r="M23" i="3"/>
  <c r="Q23" i="3"/>
  <c r="K25" i="3"/>
  <c r="O24" i="3"/>
  <c r="K24" i="3"/>
  <c r="K23" i="3"/>
  <c r="O23" i="3"/>
  <c r="O26" i="3"/>
  <c r="M26" i="3"/>
  <c r="K26" i="3"/>
  <c r="W23" i="3"/>
  <c r="S25" i="3"/>
  <c r="S26" i="3"/>
  <c r="S23" i="3"/>
  <c r="W25" i="3"/>
  <c r="W26" i="3"/>
  <c r="DV16" i="71"/>
  <c r="EC16" i="71" s="1"/>
  <c r="CT17" i="71"/>
  <c r="CV16" i="71"/>
  <c r="CW17" i="71" s="1"/>
  <c r="A62" i="74"/>
  <c r="A61" i="74"/>
  <c r="A60" i="74"/>
  <c r="A59" i="74"/>
  <c r="A58" i="74"/>
  <c r="A57" i="74"/>
  <c r="A56" i="74"/>
  <c r="A55" i="74"/>
  <c r="A54" i="74"/>
  <c r="A53" i="74"/>
  <c r="A52" i="74"/>
  <c r="A51" i="74"/>
  <c r="A50" i="74"/>
  <c r="A49" i="74"/>
  <c r="A48" i="74"/>
  <c r="A47" i="74"/>
  <c r="A46" i="74"/>
  <c r="A45" i="74"/>
  <c r="A44" i="74"/>
  <c r="A43" i="74"/>
  <c r="A42" i="74"/>
  <c r="A41" i="74"/>
  <c r="A40" i="74"/>
  <c r="A39" i="74"/>
  <c r="A38" i="74"/>
  <c r="A37" i="74"/>
  <c r="A36" i="74"/>
  <c r="A35" i="74"/>
  <c r="A34" i="74"/>
  <c r="A33" i="74"/>
  <c r="A32" i="74"/>
  <c r="CJ3" i="23"/>
  <c r="CI3" i="23"/>
  <c r="CH3" i="23"/>
  <c r="CG3" i="23"/>
  <c r="CF3" i="23"/>
  <c r="CE3" i="23"/>
  <c r="CD3" i="23"/>
  <c r="CC3" i="23"/>
  <c r="CB3" i="23"/>
  <c r="CA3" i="23"/>
  <c r="BZ3" i="23"/>
  <c r="BY3" i="23"/>
  <c r="BX3" i="23"/>
  <c r="A31" i="74"/>
  <c r="A30" i="74"/>
  <c r="A29" i="74"/>
  <c r="A28" i="74"/>
  <c r="A27" i="74"/>
  <c r="A26" i="74"/>
  <c r="A25" i="74"/>
  <c r="A24" i="74"/>
  <c r="A23" i="74"/>
  <c r="A22" i="74"/>
  <c r="A21" i="74"/>
  <c r="A20" i="74"/>
  <c r="A19" i="74"/>
  <c r="A18" i="74"/>
  <c r="A17" i="74"/>
  <c r="A16" i="74"/>
  <c r="A15" i="74"/>
  <c r="A14" i="74"/>
  <c r="A13" i="74"/>
  <c r="A12" i="74"/>
  <c r="A11" i="74"/>
  <c r="A10" i="74"/>
  <c r="A9" i="74"/>
  <c r="A8" i="74"/>
  <c r="A7" i="74"/>
  <c r="A6" i="74"/>
  <c r="A5" i="74"/>
  <c r="A4" i="74"/>
  <c r="A3" i="74"/>
  <c r="F21" i="73"/>
  <c r="E21" i="73"/>
  <c r="AK24" i="31" s="1"/>
  <c r="D21" i="73"/>
  <c r="C21" i="73"/>
  <c r="B21" i="73"/>
  <c r="F20" i="73"/>
  <c r="E20" i="73"/>
  <c r="AK23" i="31" s="1"/>
  <c r="D20" i="73"/>
  <c r="C20" i="73"/>
  <c r="B20" i="73"/>
  <c r="F6" i="73"/>
  <c r="E6" i="73"/>
  <c r="AK9" i="31" s="1"/>
  <c r="D6" i="73"/>
  <c r="C6" i="73"/>
  <c r="B6" i="73"/>
  <c r="F43" i="73"/>
  <c r="E43" i="73"/>
  <c r="AK46" i="31" s="1"/>
  <c r="D43" i="73"/>
  <c r="C43" i="73"/>
  <c r="B43" i="73"/>
  <c r="F22" i="73"/>
  <c r="E22" i="73"/>
  <c r="AK25" i="31" s="1"/>
  <c r="D22" i="73"/>
  <c r="C22" i="73"/>
  <c r="B22" i="73"/>
  <c r="F71" i="73"/>
  <c r="E71" i="73"/>
  <c r="AK74" i="31" s="1"/>
  <c r="D71" i="73"/>
  <c r="C71" i="73"/>
  <c r="B71" i="73"/>
  <c r="F81" i="73"/>
  <c r="E81" i="73"/>
  <c r="AK84" i="31" s="1"/>
  <c r="D81" i="73"/>
  <c r="C81" i="73"/>
  <c r="B81" i="73"/>
  <c r="F105" i="73"/>
  <c r="E105" i="73"/>
  <c r="AK108" i="31" s="1"/>
  <c r="D105" i="73"/>
  <c r="C105" i="73"/>
  <c r="B105" i="73"/>
  <c r="F108" i="73"/>
  <c r="E108" i="73"/>
  <c r="AK111" i="31" s="1"/>
  <c r="D108" i="73"/>
  <c r="C108" i="73"/>
  <c r="B108" i="73"/>
  <c r="F121" i="73"/>
  <c r="E121" i="73"/>
  <c r="AK124" i="31" s="1"/>
  <c r="D121" i="73"/>
  <c r="C121" i="73"/>
  <c r="B121" i="73"/>
  <c r="F65" i="73"/>
  <c r="E65" i="73"/>
  <c r="AK68" i="31" s="1"/>
  <c r="D65" i="73"/>
  <c r="C65" i="73"/>
  <c r="B65" i="73"/>
  <c r="F57" i="73"/>
  <c r="E57" i="73"/>
  <c r="AK60" i="31" s="1"/>
  <c r="D57" i="73"/>
  <c r="C57" i="73"/>
  <c r="B57" i="73"/>
  <c r="F44" i="73"/>
  <c r="E44" i="73"/>
  <c r="AK47" i="31" s="1"/>
  <c r="D44" i="73"/>
  <c r="C44" i="73"/>
  <c r="B44" i="73"/>
  <c r="F38" i="73"/>
  <c r="E38" i="73"/>
  <c r="AK41" i="31" s="1"/>
  <c r="D38" i="73"/>
  <c r="C38" i="73"/>
  <c r="B38" i="73"/>
  <c r="F37" i="73"/>
  <c r="E37" i="73"/>
  <c r="AK40" i="31" s="1"/>
  <c r="D37" i="73"/>
  <c r="C37" i="73"/>
  <c r="B37" i="73"/>
  <c r="F151" i="73"/>
  <c r="E151" i="73"/>
  <c r="AK154" i="31" s="1"/>
  <c r="D151" i="73"/>
  <c r="C151" i="73"/>
  <c r="B151" i="73"/>
  <c r="F7" i="73"/>
  <c r="E7" i="73"/>
  <c r="AK10" i="31" s="1"/>
  <c r="D7" i="73"/>
  <c r="C7" i="73"/>
  <c r="B7" i="73"/>
  <c r="F10" i="73"/>
  <c r="E10" i="73"/>
  <c r="AK13" i="31" s="1"/>
  <c r="D10" i="73"/>
  <c r="C10" i="73"/>
  <c r="B10" i="73"/>
  <c r="F14" i="73"/>
  <c r="E14" i="73"/>
  <c r="AK17" i="31" s="1"/>
  <c r="D14" i="73"/>
  <c r="C14" i="73"/>
  <c r="B14" i="73"/>
  <c r="F17" i="73"/>
  <c r="E17" i="73"/>
  <c r="AK20" i="31" s="1"/>
  <c r="D17" i="73"/>
  <c r="C17" i="73"/>
  <c r="B17" i="73"/>
  <c r="F47" i="73"/>
  <c r="E47" i="73"/>
  <c r="AK50" i="31" s="1"/>
  <c r="D47" i="73"/>
  <c r="C47" i="73"/>
  <c r="B47" i="73"/>
  <c r="F52" i="73"/>
  <c r="E52" i="73"/>
  <c r="AK55" i="31" s="1"/>
  <c r="D52" i="73"/>
  <c r="C52" i="73"/>
  <c r="B52" i="73"/>
  <c r="F72" i="73"/>
  <c r="E72" i="73"/>
  <c r="AK75" i="31" s="1"/>
  <c r="D72" i="73"/>
  <c r="C72" i="73"/>
  <c r="B72" i="73"/>
  <c r="F77" i="73"/>
  <c r="E77" i="73"/>
  <c r="AK80" i="31" s="1"/>
  <c r="D77" i="73"/>
  <c r="C77" i="73"/>
  <c r="B77" i="73"/>
  <c r="F152" i="73"/>
  <c r="E152" i="73"/>
  <c r="AK155" i="31" s="1"/>
  <c r="D152" i="73"/>
  <c r="C152" i="73"/>
  <c r="B152" i="73"/>
  <c r="F153" i="73"/>
  <c r="E153" i="73"/>
  <c r="AK156" i="31" s="1"/>
  <c r="D153" i="73"/>
  <c r="C153" i="73"/>
  <c r="B153" i="73"/>
  <c r="F154" i="73"/>
  <c r="E154" i="73"/>
  <c r="AK157" i="31" s="1"/>
  <c r="D154" i="73"/>
  <c r="C154" i="73"/>
  <c r="B154" i="73"/>
  <c r="F5" i="73"/>
  <c r="E5" i="73"/>
  <c r="AK8" i="31" s="1"/>
  <c r="D5" i="73"/>
  <c r="C5" i="73"/>
  <c r="B5" i="73"/>
  <c r="F25" i="73"/>
  <c r="E25" i="73"/>
  <c r="AK28" i="31" s="1"/>
  <c r="D25" i="73"/>
  <c r="C25" i="73"/>
  <c r="B25" i="73"/>
  <c r="F61" i="73"/>
  <c r="E61" i="73"/>
  <c r="AK64" i="31" s="1"/>
  <c r="D61" i="73"/>
  <c r="C61" i="73"/>
  <c r="B61" i="73"/>
  <c r="F87" i="73"/>
  <c r="E87" i="73"/>
  <c r="AK90" i="31" s="1"/>
  <c r="D87" i="73"/>
  <c r="C87" i="73"/>
  <c r="B87" i="73"/>
  <c r="F96" i="73"/>
  <c r="E96" i="73"/>
  <c r="AK99" i="31" s="1"/>
  <c r="D96" i="73"/>
  <c r="C96" i="73"/>
  <c r="B96" i="73"/>
  <c r="F109" i="73"/>
  <c r="E109" i="73"/>
  <c r="AK112" i="31" s="1"/>
  <c r="D109" i="73"/>
  <c r="C109" i="73"/>
  <c r="B109" i="73"/>
  <c r="F122" i="73"/>
  <c r="E122" i="73"/>
  <c r="AK125" i="31" s="1"/>
  <c r="D122" i="73"/>
  <c r="C122" i="73"/>
  <c r="B122" i="73"/>
  <c r="F124" i="73"/>
  <c r="E124" i="73"/>
  <c r="AK127" i="31" s="1"/>
  <c r="D124" i="73"/>
  <c r="C124" i="73"/>
  <c r="B124" i="73"/>
  <c r="F156" i="73"/>
  <c r="E156" i="73"/>
  <c r="AK159" i="31" s="1"/>
  <c r="D156" i="73"/>
  <c r="C156" i="73"/>
  <c r="B156" i="73"/>
  <c r="F159" i="73"/>
  <c r="E159" i="73"/>
  <c r="AK162" i="31" s="1"/>
  <c r="D159" i="73"/>
  <c r="C159" i="73"/>
  <c r="B159" i="73"/>
  <c r="F36" i="73"/>
  <c r="E36" i="73"/>
  <c r="AK39" i="31" s="1"/>
  <c r="D36" i="73"/>
  <c r="C36" i="73"/>
  <c r="B36" i="73"/>
  <c r="F75" i="73"/>
  <c r="E75" i="73"/>
  <c r="AK78" i="31" s="1"/>
  <c r="D75" i="73"/>
  <c r="C75" i="73"/>
  <c r="B75" i="73"/>
  <c r="F66" i="73"/>
  <c r="E66" i="73"/>
  <c r="AK69" i="31" s="1"/>
  <c r="D66" i="73"/>
  <c r="C66" i="73"/>
  <c r="B66" i="73"/>
  <c r="F103" i="73"/>
  <c r="E103" i="73"/>
  <c r="AK106" i="31" s="1"/>
  <c r="D103" i="73"/>
  <c r="C103" i="73"/>
  <c r="B103" i="73"/>
  <c r="F114" i="73"/>
  <c r="E114" i="73"/>
  <c r="AK117" i="31" s="1"/>
  <c r="D114" i="73"/>
  <c r="C114" i="73"/>
  <c r="B114" i="73"/>
  <c r="F117" i="73"/>
  <c r="E117" i="73"/>
  <c r="AK120" i="31" s="1"/>
  <c r="D117" i="73"/>
  <c r="C117" i="73"/>
  <c r="B117" i="73"/>
  <c r="F132" i="73"/>
  <c r="E132" i="73"/>
  <c r="AK135" i="31" s="1"/>
  <c r="D132" i="73"/>
  <c r="C132" i="73"/>
  <c r="B132" i="73"/>
  <c r="F161" i="73"/>
  <c r="E161" i="73"/>
  <c r="AK164" i="31" s="1"/>
  <c r="D161" i="73"/>
  <c r="C161" i="73"/>
  <c r="B161" i="73"/>
  <c r="F160" i="73"/>
  <c r="E160" i="73"/>
  <c r="AK163" i="31" s="1"/>
  <c r="D160" i="73"/>
  <c r="C160" i="73"/>
  <c r="B160" i="73"/>
  <c r="F58" i="73"/>
  <c r="E58" i="73"/>
  <c r="AK61" i="31" s="1"/>
  <c r="D58" i="73"/>
  <c r="C58" i="73"/>
  <c r="B58" i="73"/>
  <c r="F51" i="73"/>
  <c r="E51" i="73"/>
  <c r="AK54" i="31" s="1"/>
  <c r="D51" i="73"/>
  <c r="C51" i="73"/>
  <c r="B51" i="73"/>
  <c r="F42" i="73"/>
  <c r="E42" i="73"/>
  <c r="AK45" i="31" s="1"/>
  <c r="D42" i="73"/>
  <c r="C42" i="73"/>
  <c r="B42" i="73"/>
  <c r="F31" i="73"/>
  <c r="E31" i="73"/>
  <c r="AK34" i="31" s="1"/>
  <c r="D31" i="73"/>
  <c r="C31" i="73"/>
  <c r="B31" i="73"/>
  <c r="F170" i="73"/>
  <c r="E170" i="73"/>
  <c r="AK173" i="31" s="1"/>
  <c r="D170" i="73"/>
  <c r="C170" i="73"/>
  <c r="B170" i="73"/>
  <c r="F76" i="73"/>
  <c r="E76" i="73"/>
  <c r="AK79" i="31" s="1"/>
  <c r="D76" i="73"/>
  <c r="C76" i="73"/>
  <c r="B76" i="73"/>
  <c r="F171" i="73"/>
  <c r="E171" i="73"/>
  <c r="AK174" i="31" s="1"/>
  <c r="D171" i="73"/>
  <c r="C171" i="73"/>
  <c r="B171" i="73"/>
  <c r="F102" i="73"/>
  <c r="E102" i="73"/>
  <c r="AK105" i="31" s="1"/>
  <c r="D102" i="73"/>
  <c r="C102" i="73"/>
  <c r="B102" i="73"/>
  <c r="B90" i="73"/>
  <c r="C90" i="73"/>
  <c r="D90" i="73"/>
  <c r="E90" i="73"/>
  <c r="AK93" i="31" s="1"/>
  <c r="F172" i="73"/>
  <c r="E172" i="73"/>
  <c r="AK175" i="31" s="1"/>
  <c r="D172" i="73"/>
  <c r="C172" i="73"/>
  <c r="B172" i="73"/>
  <c r="F104" i="73"/>
  <c r="E104" i="73"/>
  <c r="AK107" i="31" s="1"/>
  <c r="D104" i="73"/>
  <c r="C104" i="73"/>
  <c r="B104" i="73"/>
  <c r="F4" i="73"/>
  <c r="E4" i="73"/>
  <c r="AK7" i="31" s="1"/>
  <c r="D4" i="73"/>
  <c r="C4" i="73"/>
  <c r="B4" i="73"/>
  <c r="F179" i="73"/>
  <c r="E179" i="73"/>
  <c r="AK182" i="31" s="1"/>
  <c r="D179" i="73"/>
  <c r="C179" i="73"/>
  <c r="B179" i="73"/>
  <c r="F176" i="73"/>
  <c r="E176" i="73"/>
  <c r="AK179" i="31" s="1"/>
  <c r="D176" i="73"/>
  <c r="C176" i="73"/>
  <c r="B176" i="73"/>
  <c r="F185" i="73"/>
  <c r="E185" i="73"/>
  <c r="AK188" i="31" s="1"/>
  <c r="D185" i="73"/>
  <c r="C185" i="73"/>
  <c r="B185" i="73"/>
  <c r="F193" i="73"/>
  <c r="E193" i="73"/>
  <c r="AK196" i="31" s="1"/>
  <c r="D193" i="73"/>
  <c r="C193" i="73"/>
  <c r="B193" i="73"/>
  <c r="F113" i="73"/>
  <c r="E113" i="73"/>
  <c r="AK116" i="31" s="1"/>
  <c r="D113" i="73"/>
  <c r="C113" i="73"/>
  <c r="B113" i="73"/>
  <c r="F23" i="73"/>
  <c r="E23" i="73"/>
  <c r="AK26" i="31" s="1"/>
  <c r="D23" i="73"/>
  <c r="C23" i="73"/>
  <c r="B23" i="73"/>
  <c r="F2" i="73"/>
  <c r="E2" i="73"/>
  <c r="AK5" i="31" s="1"/>
  <c r="D2" i="73"/>
  <c r="C2" i="73"/>
  <c r="B2" i="73"/>
  <c r="F62" i="73"/>
  <c r="E62" i="73"/>
  <c r="AK65" i="31" s="1"/>
  <c r="D62" i="73"/>
  <c r="C62" i="73"/>
  <c r="B62" i="73"/>
  <c r="F95" i="73"/>
  <c r="E95" i="73"/>
  <c r="AK98" i="31" s="1"/>
  <c r="D95" i="73"/>
  <c r="C95" i="73"/>
  <c r="B95" i="73"/>
  <c r="F116" i="73"/>
  <c r="E116" i="73"/>
  <c r="AK119" i="31" s="1"/>
  <c r="D116" i="73"/>
  <c r="C116" i="73"/>
  <c r="B116" i="73"/>
  <c r="F120" i="73"/>
  <c r="E120" i="73"/>
  <c r="AK123" i="31" s="1"/>
  <c r="D120" i="73"/>
  <c r="C120" i="73"/>
  <c r="B120" i="73"/>
  <c r="F137" i="73"/>
  <c r="E137" i="73"/>
  <c r="AK140" i="31" s="1"/>
  <c r="D137" i="73"/>
  <c r="C137" i="73"/>
  <c r="B137" i="73"/>
  <c r="F140" i="73"/>
  <c r="E140" i="73"/>
  <c r="AK143" i="31" s="1"/>
  <c r="D140" i="73"/>
  <c r="C140" i="73"/>
  <c r="B140" i="73"/>
  <c r="F155" i="73"/>
  <c r="E155" i="73"/>
  <c r="AK158" i="31" s="1"/>
  <c r="D155" i="73"/>
  <c r="C155" i="73"/>
  <c r="B155" i="73"/>
  <c r="F165" i="73"/>
  <c r="E165" i="73"/>
  <c r="AK168" i="31" s="1"/>
  <c r="D165" i="73"/>
  <c r="C165" i="73"/>
  <c r="B165" i="73"/>
  <c r="F181" i="73"/>
  <c r="E181" i="73"/>
  <c r="AK184" i="31" s="1"/>
  <c r="D181" i="73"/>
  <c r="C181" i="73"/>
  <c r="B181" i="73"/>
  <c r="F186" i="73"/>
  <c r="E186" i="73"/>
  <c r="AK189" i="31" s="1"/>
  <c r="D186" i="73"/>
  <c r="C186" i="73"/>
  <c r="B186" i="73"/>
  <c r="F194" i="73"/>
  <c r="E194" i="73"/>
  <c r="AK197" i="31" s="1"/>
  <c r="D194" i="73"/>
  <c r="C194" i="73"/>
  <c r="B194" i="73"/>
  <c r="F85" i="73"/>
  <c r="E85" i="73"/>
  <c r="AK88" i="31" s="1"/>
  <c r="D85" i="73"/>
  <c r="C85" i="73"/>
  <c r="B85" i="73"/>
  <c r="F101" i="73"/>
  <c r="E101" i="73"/>
  <c r="AK104" i="31" s="1"/>
  <c r="D101" i="73"/>
  <c r="C101" i="73"/>
  <c r="B101" i="73"/>
  <c r="F138" i="73"/>
  <c r="E138" i="73"/>
  <c r="AK141" i="31" s="1"/>
  <c r="D138" i="73"/>
  <c r="C138" i="73"/>
  <c r="B138" i="73"/>
  <c r="F175" i="73"/>
  <c r="E175" i="73"/>
  <c r="AK178" i="31" s="1"/>
  <c r="D175" i="73"/>
  <c r="C175" i="73"/>
  <c r="B175" i="73"/>
  <c r="F197" i="73"/>
  <c r="E197" i="73"/>
  <c r="AK200" i="31" s="1"/>
  <c r="D197" i="73"/>
  <c r="C197" i="73"/>
  <c r="B197" i="73"/>
  <c r="C47" i="72"/>
  <c r="AJ50" i="31" s="1"/>
  <c r="B47" i="72"/>
  <c r="C108" i="72"/>
  <c r="AJ111" i="31" s="1"/>
  <c r="B108" i="72"/>
  <c r="C116" i="72"/>
  <c r="AJ119" i="31" s="1"/>
  <c r="B116" i="72"/>
  <c r="C104" i="72"/>
  <c r="AJ107" i="31" s="1"/>
  <c r="B104" i="72"/>
  <c r="C4" i="72"/>
  <c r="AJ7" i="31" s="1"/>
  <c r="B4" i="72"/>
  <c r="C20" i="72"/>
  <c r="AJ23" i="31" s="1"/>
  <c r="B20" i="72"/>
  <c r="C7" i="72"/>
  <c r="AJ10" i="31" s="1"/>
  <c r="B7" i="72"/>
  <c r="C10" i="72"/>
  <c r="AJ13" i="31" s="1"/>
  <c r="B10" i="72"/>
  <c r="C17" i="72"/>
  <c r="AJ20" i="31" s="1"/>
  <c r="B17" i="72"/>
  <c r="C14" i="72"/>
  <c r="AJ17" i="31" s="1"/>
  <c r="B14" i="72"/>
  <c r="C52" i="72"/>
  <c r="AJ55" i="31" s="1"/>
  <c r="B52" i="72"/>
  <c r="C72" i="72"/>
  <c r="AJ75" i="31" s="1"/>
  <c r="B72" i="72"/>
  <c r="C77" i="72"/>
  <c r="AJ80" i="31" s="1"/>
  <c r="B77" i="72"/>
  <c r="C154" i="72"/>
  <c r="AJ157" i="31" s="1"/>
  <c r="B154" i="72"/>
  <c r="C153" i="72"/>
  <c r="AJ156" i="31" s="1"/>
  <c r="B153" i="72"/>
  <c r="C152" i="72"/>
  <c r="AJ155" i="31" s="1"/>
  <c r="B152" i="72"/>
  <c r="C71" i="72"/>
  <c r="AJ74" i="31" s="1"/>
  <c r="B71" i="72"/>
  <c r="C22" i="72"/>
  <c r="AJ25" i="31" s="1"/>
  <c r="B22" i="72"/>
  <c r="C81" i="72"/>
  <c r="AJ84" i="31" s="1"/>
  <c r="B81" i="72"/>
  <c r="C105" i="72"/>
  <c r="AJ108" i="31" s="1"/>
  <c r="B105" i="72"/>
  <c r="C96" i="72"/>
  <c r="AJ99" i="31" s="1"/>
  <c r="B96" i="72"/>
  <c r="C109" i="72"/>
  <c r="AJ112" i="31" s="1"/>
  <c r="B109" i="72"/>
  <c r="C87" i="72"/>
  <c r="AJ90" i="31" s="1"/>
  <c r="B87" i="72"/>
  <c r="C61" i="72"/>
  <c r="AJ64" i="31" s="1"/>
  <c r="B61" i="72"/>
  <c r="C25" i="72"/>
  <c r="AJ28" i="31" s="1"/>
  <c r="B25" i="72"/>
  <c r="C5" i="72"/>
  <c r="AJ8" i="31" s="1"/>
  <c r="B5" i="72"/>
  <c r="C159" i="72"/>
  <c r="AJ162" i="31" s="1"/>
  <c r="B159" i="72"/>
  <c r="C156" i="72"/>
  <c r="AJ159" i="31" s="1"/>
  <c r="B156" i="72"/>
  <c r="C124" i="72"/>
  <c r="AJ127" i="31" s="1"/>
  <c r="B124" i="72"/>
  <c r="C122" i="72"/>
  <c r="AJ125" i="31" s="1"/>
  <c r="B122" i="72"/>
  <c r="C121" i="72"/>
  <c r="AJ124" i="31" s="1"/>
  <c r="B121" i="72"/>
  <c r="C76" i="72"/>
  <c r="AJ79" i="31" s="1"/>
  <c r="B76" i="72"/>
  <c r="C171" i="72"/>
  <c r="AJ174" i="31" s="1"/>
  <c r="B171" i="72"/>
  <c r="C161" i="72"/>
  <c r="AJ164" i="31" s="1"/>
  <c r="B161" i="72"/>
  <c r="C117" i="72"/>
  <c r="AJ120" i="31" s="1"/>
  <c r="B117" i="72"/>
  <c r="C114" i="72"/>
  <c r="AJ117" i="31" s="1"/>
  <c r="B114" i="72"/>
  <c r="C103" i="72"/>
  <c r="AJ106" i="31" s="1"/>
  <c r="B103" i="72"/>
  <c r="C75" i="72"/>
  <c r="AJ78" i="31" s="1"/>
  <c r="B75" i="72"/>
  <c r="C66" i="72"/>
  <c r="AJ69" i="31" s="1"/>
  <c r="B66" i="72"/>
  <c r="C36" i="72"/>
  <c r="AJ39" i="31" s="1"/>
  <c r="B36" i="72"/>
  <c r="C132" i="72"/>
  <c r="AJ135" i="31" s="1"/>
  <c r="B132" i="72"/>
  <c r="C65" i="72"/>
  <c r="AJ68" i="31" s="1"/>
  <c r="B65" i="72"/>
  <c r="C57" i="72"/>
  <c r="AJ60" i="31" s="1"/>
  <c r="B57" i="72"/>
  <c r="C44" i="72"/>
  <c r="AJ47" i="31" s="1"/>
  <c r="B44" i="72"/>
  <c r="C38" i="72"/>
  <c r="AJ41" i="31" s="1"/>
  <c r="B38" i="72"/>
  <c r="C37" i="72"/>
  <c r="AJ40" i="31" s="1"/>
  <c r="B37" i="72"/>
  <c r="C151" i="72"/>
  <c r="AJ154" i="31" s="1"/>
  <c r="B151" i="72"/>
  <c r="C176" i="72"/>
  <c r="AJ179" i="31" s="1"/>
  <c r="B176" i="72"/>
  <c r="C185" i="72"/>
  <c r="AJ188" i="31" s="1"/>
  <c r="B185" i="72"/>
  <c r="C193" i="72"/>
  <c r="AJ196" i="31" s="1"/>
  <c r="B193" i="72"/>
  <c r="C85" i="72"/>
  <c r="AJ88" i="31" s="1"/>
  <c r="B85" i="72"/>
  <c r="C101" i="72"/>
  <c r="AJ104" i="31" s="1"/>
  <c r="B101" i="72"/>
  <c r="C138" i="72"/>
  <c r="AJ141" i="31" s="1"/>
  <c r="B138" i="72"/>
  <c r="C175" i="72"/>
  <c r="AJ178" i="31" s="1"/>
  <c r="B175" i="72"/>
  <c r="C197" i="72"/>
  <c r="AJ200" i="31" s="1"/>
  <c r="B197" i="72"/>
  <c r="C198" i="72"/>
  <c r="AJ201" i="31" s="1"/>
  <c r="B198" i="72"/>
  <c r="C31" i="72"/>
  <c r="AJ34" i="31" s="1"/>
  <c r="B31" i="72"/>
  <c r="C113" i="72"/>
  <c r="AJ116" i="31" s="1"/>
  <c r="B113" i="72"/>
  <c r="C23" i="72"/>
  <c r="AJ26" i="31" s="1"/>
  <c r="B23" i="72"/>
  <c r="C2" i="72"/>
  <c r="B2" i="72"/>
  <c r="C179" i="72"/>
  <c r="AJ182" i="31" s="1"/>
  <c r="B179" i="72"/>
  <c r="E50" i="123" l="1"/>
  <c r="H50" i="123"/>
  <c r="G50" i="123"/>
  <c r="F50" i="123"/>
  <c r="H49" i="123"/>
  <c r="G49" i="123"/>
  <c r="F49" i="123"/>
  <c r="E49" i="123"/>
  <c r="A52" i="123"/>
  <c r="A52" i="120"/>
  <c r="A52" i="117"/>
  <c r="E18" i="110"/>
  <c r="H38" i="110"/>
  <c r="G38" i="110"/>
  <c r="H18" i="110"/>
  <c r="G18" i="110"/>
  <c r="EB17" i="71"/>
  <c r="ED17" i="71"/>
  <c r="EE17" i="71"/>
  <c r="DI18" i="71"/>
  <c r="DY17" i="71"/>
  <c r="DK18" i="71"/>
  <c r="DZ17" i="71"/>
  <c r="EA17" i="71"/>
  <c r="EF17" i="71"/>
  <c r="DJ17" i="71"/>
  <c r="DH17" i="71"/>
  <c r="DF17" i="71"/>
  <c r="DG18" i="71" s="1"/>
  <c r="DD17" i="71"/>
  <c r="DE18" i="71" s="1"/>
  <c r="DB17" i="71"/>
  <c r="DC18" i="71" s="1"/>
  <c r="CZ17" i="71"/>
  <c r="DA18" i="71" s="1"/>
  <c r="CX17" i="71"/>
  <c r="CY18" i="71" s="1"/>
  <c r="P40" i="110"/>
  <c r="D40" i="110"/>
  <c r="O40" i="110"/>
  <c r="C40" i="110"/>
  <c r="J40" i="110"/>
  <c r="I40" i="110"/>
  <c r="N40" i="110"/>
  <c r="M40" i="110"/>
  <c r="L40" i="110"/>
  <c r="K40" i="110"/>
  <c r="A41" i="110"/>
  <c r="B39" i="110"/>
  <c r="P20" i="110"/>
  <c r="D20" i="110"/>
  <c r="O20" i="110"/>
  <c r="C20" i="110"/>
  <c r="N20" i="110"/>
  <c r="M20" i="110"/>
  <c r="L20" i="110"/>
  <c r="J20" i="110"/>
  <c r="I20" i="110"/>
  <c r="K20" i="110"/>
  <c r="F38" i="110"/>
  <c r="E38" i="110"/>
  <c r="B19" i="110"/>
  <c r="A21" i="110"/>
  <c r="B114" i="95"/>
  <c r="B114" i="94"/>
  <c r="B114" i="93"/>
  <c r="B113" i="92"/>
  <c r="I112" i="92"/>
  <c r="AJ5" i="31"/>
  <c r="DV17" i="71"/>
  <c r="EC17" i="71" s="1"/>
  <c r="CT18" i="71"/>
  <c r="CV17" i="71"/>
  <c r="CW18" i="71" s="1"/>
  <c r="C43" i="72"/>
  <c r="AJ46" i="31" s="1"/>
  <c r="B43" i="72"/>
  <c r="C6" i="72"/>
  <c r="AJ9" i="31" s="1"/>
  <c r="B6" i="72"/>
  <c r="C170" i="72"/>
  <c r="AJ173" i="31" s="1"/>
  <c r="B170" i="72"/>
  <c r="C160" i="72"/>
  <c r="AJ163" i="31" s="1"/>
  <c r="B160" i="72"/>
  <c r="C58" i="72"/>
  <c r="AJ61" i="31" s="1"/>
  <c r="B58" i="72"/>
  <c r="C51" i="72"/>
  <c r="AJ54" i="31" s="1"/>
  <c r="B51" i="72"/>
  <c r="C42" i="72"/>
  <c r="AJ45" i="31" s="1"/>
  <c r="B42" i="72"/>
  <c r="C102" i="72"/>
  <c r="AJ105" i="31" s="1"/>
  <c r="B102" i="72"/>
  <c r="C172" i="72"/>
  <c r="AJ175" i="31" s="1"/>
  <c r="B172" i="72"/>
  <c r="C194" i="72"/>
  <c r="AJ197" i="31" s="1"/>
  <c r="B194" i="72"/>
  <c r="C186" i="72"/>
  <c r="AJ189" i="31" s="1"/>
  <c r="B186" i="72"/>
  <c r="C181" i="72"/>
  <c r="AJ184" i="31" s="1"/>
  <c r="B181" i="72"/>
  <c r="C165" i="72"/>
  <c r="AJ168" i="31" s="1"/>
  <c r="B165" i="72"/>
  <c r="C155" i="72"/>
  <c r="AJ158" i="31" s="1"/>
  <c r="B155" i="72"/>
  <c r="C140" i="72"/>
  <c r="AJ143" i="31" s="1"/>
  <c r="B140" i="72"/>
  <c r="C137" i="72"/>
  <c r="AJ140" i="31" s="1"/>
  <c r="B137" i="72"/>
  <c r="C120" i="72"/>
  <c r="AJ123" i="31" s="1"/>
  <c r="B120" i="72"/>
  <c r="C95" i="72"/>
  <c r="AJ98" i="31" s="1"/>
  <c r="B95" i="72"/>
  <c r="B62" i="72"/>
  <c r="C62" i="72"/>
  <c r="AJ65" i="31" s="1"/>
  <c r="F199" i="73"/>
  <c r="E199" i="73"/>
  <c r="AK202" i="31" s="1"/>
  <c r="D199" i="73"/>
  <c r="C199" i="73"/>
  <c r="B199" i="73"/>
  <c r="F198" i="73"/>
  <c r="E198" i="73"/>
  <c r="AK201" i="31" s="1"/>
  <c r="D198" i="73"/>
  <c r="C198" i="73"/>
  <c r="B198" i="73"/>
  <c r="F196" i="73"/>
  <c r="E196" i="73"/>
  <c r="AK199" i="31" s="1"/>
  <c r="D196" i="73"/>
  <c r="C196" i="73"/>
  <c r="B196" i="73"/>
  <c r="F195" i="73"/>
  <c r="E195" i="73"/>
  <c r="AK198" i="31" s="1"/>
  <c r="D195" i="73"/>
  <c r="C195" i="73"/>
  <c r="B195" i="73"/>
  <c r="F191" i="73"/>
  <c r="E191" i="73"/>
  <c r="AK194" i="31" s="1"/>
  <c r="D191" i="73"/>
  <c r="C191" i="73"/>
  <c r="B191" i="73"/>
  <c r="F192" i="73"/>
  <c r="E192" i="73"/>
  <c r="AK195" i="31" s="1"/>
  <c r="D192" i="73"/>
  <c r="C192" i="73"/>
  <c r="B192" i="73"/>
  <c r="F190" i="73"/>
  <c r="E190" i="73"/>
  <c r="AK193" i="31" s="1"/>
  <c r="D190" i="73"/>
  <c r="C190" i="73"/>
  <c r="B190" i="73"/>
  <c r="F189" i="73"/>
  <c r="E189" i="73"/>
  <c r="AK192" i="31" s="1"/>
  <c r="D189" i="73"/>
  <c r="C189" i="73"/>
  <c r="B189" i="73"/>
  <c r="F188" i="73"/>
  <c r="E188" i="73"/>
  <c r="AK191" i="31" s="1"/>
  <c r="D188" i="73"/>
  <c r="C188" i="73"/>
  <c r="B188" i="73"/>
  <c r="F187" i="73"/>
  <c r="E187" i="73"/>
  <c r="AK190" i="31" s="1"/>
  <c r="D187" i="73"/>
  <c r="C187" i="73"/>
  <c r="B187" i="73"/>
  <c r="F184" i="73"/>
  <c r="E184" i="73"/>
  <c r="AK187" i="31" s="1"/>
  <c r="D184" i="73"/>
  <c r="C184" i="73"/>
  <c r="B184" i="73"/>
  <c r="F183" i="73"/>
  <c r="E183" i="73"/>
  <c r="AK186" i="31" s="1"/>
  <c r="D183" i="73"/>
  <c r="C183" i="73"/>
  <c r="B183" i="73"/>
  <c r="F182" i="73"/>
  <c r="E182" i="73"/>
  <c r="AK185" i="31" s="1"/>
  <c r="D182" i="73"/>
  <c r="C182" i="73"/>
  <c r="B182" i="73"/>
  <c r="F180" i="73"/>
  <c r="E180" i="73"/>
  <c r="AK183" i="31" s="1"/>
  <c r="D180" i="73"/>
  <c r="C180" i="73"/>
  <c r="B180" i="73"/>
  <c r="F178" i="73"/>
  <c r="E178" i="73"/>
  <c r="AK181" i="31" s="1"/>
  <c r="D178" i="73"/>
  <c r="C178" i="73"/>
  <c r="B178" i="73"/>
  <c r="F177" i="73"/>
  <c r="E177" i="73"/>
  <c r="AK180" i="31" s="1"/>
  <c r="D177" i="73"/>
  <c r="C177" i="73"/>
  <c r="B177" i="73"/>
  <c r="F174" i="73"/>
  <c r="E174" i="73"/>
  <c r="AK177" i="31" s="1"/>
  <c r="D174" i="73"/>
  <c r="C174" i="73"/>
  <c r="B174" i="73"/>
  <c r="F173" i="73"/>
  <c r="E173" i="73"/>
  <c r="AK176" i="31" s="1"/>
  <c r="D173" i="73"/>
  <c r="C173" i="73"/>
  <c r="B173" i="73"/>
  <c r="F169" i="73"/>
  <c r="E169" i="73"/>
  <c r="AK172" i="31" s="1"/>
  <c r="D169" i="73"/>
  <c r="C169" i="73"/>
  <c r="B169" i="73"/>
  <c r="F168" i="73"/>
  <c r="E168" i="73"/>
  <c r="AK171" i="31" s="1"/>
  <c r="D168" i="73"/>
  <c r="C168" i="73"/>
  <c r="B168" i="73"/>
  <c r="F167" i="73"/>
  <c r="E167" i="73"/>
  <c r="AK170" i="31" s="1"/>
  <c r="D167" i="73"/>
  <c r="C167" i="73"/>
  <c r="B167" i="73"/>
  <c r="F166" i="73"/>
  <c r="E166" i="73"/>
  <c r="AK169" i="31" s="1"/>
  <c r="D166" i="73"/>
  <c r="C166" i="73"/>
  <c r="B166" i="73"/>
  <c r="F164" i="73"/>
  <c r="E164" i="73"/>
  <c r="AK167" i="31" s="1"/>
  <c r="D164" i="73"/>
  <c r="C164" i="73"/>
  <c r="B164" i="73"/>
  <c r="F163" i="73"/>
  <c r="E163" i="73"/>
  <c r="AK166" i="31" s="1"/>
  <c r="D163" i="73"/>
  <c r="C163" i="73"/>
  <c r="B163" i="73"/>
  <c r="F162" i="73"/>
  <c r="E162" i="73"/>
  <c r="AK165" i="31" s="1"/>
  <c r="D162" i="73"/>
  <c r="C162" i="73"/>
  <c r="B162" i="73"/>
  <c r="F158" i="73"/>
  <c r="E158" i="73"/>
  <c r="AK161" i="31" s="1"/>
  <c r="D158" i="73"/>
  <c r="C158" i="73"/>
  <c r="B158" i="73"/>
  <c r="F157" i="73"/>
  <c r="E157" i="73"/>
  <c r="AK160" i="31" s="1"/>
  <c r="D157" i="73"/>
  <c r="C157" i="73"/>
  <c r="B157" i="73"/>
  <c r="F150" i="73"/>
  <c r="E150" i="73"/>
  <c r="AK153" i="31" s="1"/>
  <c r="D150" i="73"/>
  <c r="C150" i="73"/>
  <c r="B150" i="73"/>
  <c r="F149" i="73"/>
  <c r="E149" i="73"/>
  <c r="AK152" i="31" s="1"/>
  <c r="D149" i="73"/>
  <c r="C149" i="73"/>
  <c r="B149" i="73"/>
  <c r="F148" i="73"/>
  <c r="E148" i="73"/>
  <c r="AK151" i="31" s="1"/>
  <c r="D148" i="73"/>
  <c r="C148" i="73"/>
  <c r="B148" i="73"/>
  <c r="F147" i="73"/>
  <c r="E147" i="73"/>
  <c r="AK150" i="31" s="1"/>
  <c r="D147" i="73"/>
  <c r="C147" i="73"/>
  <c r="B147" i="73"/>
  <c r="F146" i="73"/>
  <c r="E146" i="73"/>
  <c r="AK149" i="31" s="1"/>
  <c r="D146" i="73"/>
  <c r="C146" i="73"/>
  <c r="B146" i="73"/>
  <c r="F145" i="73"/>
  <c r="E145" i="73"/>
  <c r="AK148" i="31" s="1"/>
  <c r="D145" i="73"/>
  <c r="C145" i="73"/>
  <c r="B145" i="73"/>
  <c r="F144" i="73"/>
  <c r="E144" i="73"/>
  <c r="AK147" i="31" s="1"/>
  <c r="D144" i="73"/>
  <c r="C144" i="73"/>
  <c r="B144" i="73"/>
  <c r="F143" i="73"/>
  <c r="E143" i="73"/>
  <c r="AK146" i="31" s="1"/>
  <c r="D143" i="73"/>
  <c r="C143" i="73"/>
  <c r="B143" i="73"/>
  <c r="F142" i="73"/>
  <c r="E142" i="73"/>
  <c r="AK145" i="31" s="1"/>
  <c r="D142" i="73"/>
  <c r="C142" i="73"/>
  <c r="B142" i="73"/>
  <c r="F141" i="73"/>
  <c r="E141" i="73"/>
  <c r="AK144" i="31" s="1"/>
  <c r="D141" i="73"/>
  <c r="C141" i="73"/>
  <c r="B141" i="73"/>
  <c r="F139" i="73"/>
  <c r="E139" i="73"/>
  <c r="AK142" i="31" s="1"/>
  <c r="D139" i="73"/>
  <c r="C139" i="73"/>
  <c r="B139" i="73"/>
  <c r="F136" i="73"/>
  <c r="E136" i="73"/>
  <c r="AK139" i="31" s="1"/>
  <c r="D136" i="73"/>
  <c r="C136" i="73"/>
  <c r="B136" i="73"/>
  <c r="F135" i="73"/>
  <c r="E135" i="73"/>
  <c r="AK138" i="31" s="1"/>
  <c r="D135" i="73"/>
  <c r="C135" i="73"/>
  <c r="B135" i="73"/>
  <c r="F134" i="73"/>
  <c r="E134" i="73"/>
  <c r="AK137" i="31" s="1"/>
  <c r="D134" i="73"/>
  <c r="C134" i="73"/>
  <c r="B134" i="73"/>
  <c r="F133" i="73"/>
  <c r="E133" i="73"/>
  <c r="AK136" i="31" s="1"/>
  <c r="D133" i="73"/>
  <c r="C133" i="73"/>
  <c r="B133" i="73"/>
  <c r="F131" i="73"/>
  <c r="E131" i="73"/>
  <c r="AK134" i="31" s="1"/>
  <c r="D131" i="73"/>
  <c r="C131" i="73"/>
  <c r="B131" i="73"/>
  <c r="F130" i="73"/>
  <c r="E130" i="73"/>
  <c r="AK133" i="31" s="1"/>
  <c r="D130" i="73"/>
  <c r="C130" i="73"/>
  <c r="B130" i="73"/>
  <c r="F129" i="73"/>
  <c r="E129" i="73"/>
  <c r="AK132" i="31" s="1"/>
  <c r="D129" i="73"/>
  <c r="C129" i="73"/>
  <c r="B129" i="73"/>
  <c r="F128" i="73"/>
  <c r="E128" i="73"/>
  <c r="AK131" i="31" s="1"/>
  <c r="D128" i="73"/>
  <c r="C128" i="73"/>
  <c r="B128" i="73"/>
  <c r="F127" i="73"/>
  <c r="E127" i="73"/>
  <c r="AK130" i="31" s="1"/>
  <c r="D127" i="73"/>
  <c r="C127" i="73"/>
  <c r="B127" i="73"/>
  <c r="F126" i="73"/>
  <c r="E126" i="73"/>
  <c r="AK129" i="31" s="1"/>
  <c r="D126" i="73"/>
  <c r="C126" i="73"/>
  <c r="B126" i="73"/>
  <c r="F125" i="73"/>
  <c r="E125" i="73"/>
  <c r="AK128" i="31" s="1"/>
  <c r="D125" i="73"/>
  <c r="C125" i="73"/>
  <c r="B125" i="73"/>
  <c r="F123" i="73"/>
  <c r="E123" i="73"/>
  <c r="AK126" i="31" s="1"/>
  <c r="D123" i="73"/>
  <c r="C123" i="73"/>
  <c r="B123" i="73"/>
  <c r="F119" i="73"/>
  <c r="E119" i="73"/>
  <c r="AK122" i="31" s="1"/>
  <c r="D119" i="73"/>
  <c r="C119" i="73"/>
  <c r="B119" i="73"/>
  <c r="F118" i="73"/>
  <c r="E118" i="73"/>
  <c r="AK121" i="31" s="1"/>
  <c r="D118" i="73"/>
  <c r="C118" i="73"/>
  <c r="B118" i="73"/>
  <c r="F115" i="73"/>
  <c r="E115" i="73"/>
  <c r="AK118" i="31" s="1"/>
  <c r="D115" i="73"/>
  <c r="C115" i="73"/>
  <c r="B115" i="73"/>
  <c r="F112" i="73"/>
  <c r="E112" i="73"/>
  <c r="AK115" i="31" s="1"/>
  <c r="D112" i="73"/>
  <c r="C112" i="73"/>
  <c r="B112" i="73"/>
  <c r="F111" i="73"/>
  <c r="E111" i="73"/>
  <c r="AK114" i="31" s="1"/>
  <c r="D111" i="73"/>
  <c r="C111" i="73"/>
  <c r="B111" i="73"/>
  <c r="F110" i="73"/>
  <c r="E110" i="73"/>
  <c r="AK113" i="31" s="1"/>
  <c r="D110" i="73"/>
  <c r="C110" i="73"/>
  <c r="B110" i="73"/>
  <c r="F107" i="73"/>
  <c r="E107" i="73"/>
  <c r="AK110" i="31" s="1"/>
  <c r="D107" i="73"/>
  <c r="C107" i="73"/>
  <c r="B107" i="73"/>
  <c r="F106" i="73"/>
  <c r="E106" i="73"/>
  <c r="AK109" i="31" s="1"/>
  <c r="D106" i="73"/>
  <c r="C106" i="73"/>
  <c r="B106" i="73"/>
  <c r="F100" i="73"/>
  <c r="E100" i="73"/>
  <c r="AK103" i="31" s="1"/>
  <c r="D100" i="73"/>
  <c r="C100" i="73"/>
  <c r="B100" i="73"/>
  <c r="F99" i="73"/>
  <c r="E99" i="73"/>
  <c r="AK102" i="31" s="1"/>
  <c r="D99" i="73"/>
  <c r="C99" i="73"/>
  <c r="B99" i="73"/>
  <c r="F98" i="73"/>
  <c r="E98" i="73"/>
  <c r="AK101" i="31" s="1"/>
  <c r="D98" i="73"/>
  <c r="C98" i="73"/>
  <c r="B98" i="73"/>
  <c r="F97" i="73"/>
  <c r="E97" i="73"/>
  <c r="AK100" i="31" s="1"/>
  <c r="D97" i="73"/>
  <c r="C97" i="73"/>
  <c r="B97" i="73"/>
  <c r="F94" i="73"/>
  <c r="E94" i="73"/>
  <c r="AK97" i="31" s="1"/>
  <c r="D94" i="73"/>
  <c r="C94" i="73"/>
  <c r="B94" i="73"/>
  <c r="F93" i="73"/>
  <c r="E93" i="73"/>
  <c r="AK96" i="31" s="1"/>
  <c r="D93" i="73"/>
  <c r="C93" i="73"/>
  <c r="B93" i="73"/>
  <c r="F92" i="73"/>
  <c r="E92" i="73"/>
  <c r="AK95" i="31" s="1"/>
  <c r="D92" i="73"/>
  <c r="C92" i="73"/>
  <c r="B92" i="73"/>
  <c r="F91" i="73"/>
  <c r="E91" i="73"/>
  <c r="AK94" i="31" s="1"/>
  <c r="D91" i="73"/>
  <c r="C91" i="73"/>
  <c r="B91" i="73"/>
  <c r="F90" i="73"/>
  <c r="F89" i="73"/>
  <c r="E89" i="73"/>
  <c r="AK92" i="31" s="1"/>
  <c r="D89" i="73"/>
  <c r="C89" i="73"/>
  <c r="B89" i="73"/>
  <c r="F88" i="73"/>
  <c r="E88" i="73"/>
  <c r="AK91" i="31" s="1"/>
  <c r="D88" i="73"/>
  <c r="C88" i="73"/>
  <c r="B88" i="73"/>
  <c r="F86" i="73"/>
  <c r="E86" i="73"/>
  <c r="AK89" i="31" s="1"/>
  <c r="D86" i="73"/>
  <c r="C86" i="73"/>
  <c r="B86" i="73"/>
  <c r="F84" i="73"/>
  <c r="E84" i="73"/>
  <c r="AK87" i="31" s="1"/>
  <c r="D84" i="73"/>
  <c r="C84" i="73"/>
  <c r="B84" i="73"/>
  <c r="F83" i="73"/>
  <c r="E83" i="73"/>
  <c r="AK86" i="31" s="1"/>
  <c r="D83" i="73"/>
  <c r="C83" i="73"/>
  <c r="B83" i="73"/>
  <c r="F82" i="73"/>
  <c r="E82" i="73"/>
  <c r="AK85" i="31" s="1"/>
  <c r="D82" i="73"/>
  <c r="C82" i="73"/>
  <c r="B82" i="73"/>
  <c r="F80" i="73"/>
  <c r="E80" i="73"/>
  <c r="AK83" i="31" s="1"/>
  <c r="D80" i="73"/>
  <c r="C80" i="73"/>
  <c r="B80" i="73"/>
  <c r="F79" i="73"/>
  <c r="E79" i="73"/>
  <c r="AK82" i="31" s="1"/>
  <c r="D79" i="73"/>
  <c r="C79" i="73"/>
  <c r="B79" i="73"/>
  <c r="F78" i="73"/>
  <c r="E78" i="73"/>
  <c r="AK81" i="31" s="1"/>
  <c r="D78" i="73"/>
  <c r="C78" i="73"/>
  <c r="B78" i="73"/>
  <c r="F74" i="73"/>
  <c r="E74" i="73"/>
  <c r="AK77" i="31" s="1"/>
  <c r="D74" i="73"/>
  <c r="C74" i="73"/>
  <c r="B74" i="73"/>
  <c r="F73" i="73"/>
  <c r="E73" i="73"/>
  <c r="AK76" i="31" s="1"/>
  <c r="D73" i="73"/>
  <c r="C73" i="73"/>
  <c r="B73" i="73"/>
  <c r="F70" i="73"/>
  <c r="E70" i="73"/>
  <c r="AK73" i="31" s="1"/>
  <c r="D70" i="73"/>
  <c r="C70" i="73"/>
  <c r="B70" i="73"/>
  <c r="F69" i="73"/>
  <c r="E69" i="73"/>
  <c r="AK72" i="31" s="1"/>
  <c r="D69" i="73"/>
  <c r="C69" i="73"/>
  <c r="B69" i="73"/>
  <c r="F68" i="73"/>
  <c r="E68" i="73"/>
  <c r="AK71" i="31" s="1"/>
  <c r="D68" i="73"/>
  <c r="C68" i="73"/>
  <c r="B68" i="73"/>
  <c r="F67" i="73"/>
  <c r="E67" i="73"/>
  <c r="AK70" i="31" s="1"/>
  <c r="D67" i="73"/>
  <c r="C67" i="73"/>
  <c r="B67" i="73"/>
  <c r="F64" i="73"/>
  <c r="E64" i="73"/>
  <c r="AK67" i="31" s="1"/>
  <c r="D64" i="73"/>
  <c r="C64" i="73"/>
  <c r="B64" i="73"/>
  <c r="F63" i="73"/>
  <c r="E63" i="73"/>
  <c r="AK66" i="31" s="1"/>
  <c r="D63" i="73"/>
  <c r="C63" i="73"/>
  <c r="B63" i="73"/>
  <c r="F60" i="73"/>
  <c r="E60" i="73"/>
  <c r="AK63" i="31" s="1"/>
  <c r="D60" i="73"/>
  <c r="C60" i="73"/>
  <c r="B60" i="73"/>
  <c r="F59" i="73"/>
  <c r="E59" i="73"/>
  <c r="AK62" i="31" s="1"/>
  <c r="D59" i="73"/>
  <c r="C59" i="73"/>
  <c r="B59" i="73"/>
  <c r="F56" i="73"/>
  <c r="E56" i="73"/>
  <c r="AK59" i="31" s="1"/>
  <c r="D56" i="73"/>
  <c r="C56" i="73"/>
  <c r="B56" i="73"/>
  <c r="F55" i="73"/>
  <c r="E55" i="73"/>
  <c r="AK58" i="31" s="1"/>
  <c r="D55" i="73"/>
  <c r="C55" i="73"/>
  <c r="B55" i="73"/>
  <c r="F54" i="73"/>
  <c r="E54" i="73"/>
  <c r="AK57" i="31" s="1"/>
  <c r="D54" i="73"/>
  <c r="C54" i="73"/>
  <c r="B54" i="73"/>
  <c r="F53" i="73"/>
  <c r="E53" i="73"/>
  <c r="AK56" i="31" s="1"/>
  <c r="D53" i="73"/>
  <c r="C53" i="73"/>
  <c r="B53" i="73"/>
  <c r="F50" i="73"/>
  <c r="E50" i="73"/>
  <c r="AK53" i="31" s="1"/>
  <c r="D50" i="73"/>
  <c r="C50" i="73"/>
  <c r="B50" i="73"/>
  <c r="F49" i="73"/>
  <c r="E49" i="73"/>
  <c r="AK52" i="31" s="1"/>
  <c r="D49" i="73"/>
  <c r="C49" i="73"/>
  <c r="B49" i="73"/>
  <c r="F48" i="73"/>
  <c r="E48" i="73"/>
  <c r="AK51" i="31" s="1"/>
  <c r="D48" i="73"/>
  <c r="C48" i="73"/>
  <c r="B48" i="73"/>
  <c r="F46" i="73"/>
  <c r="E46" i="73"/>
  <c r="AK49" i="31" s="1"/>
  <c r="D46" i="73"/>
  <c r="C46" i="73"/>
  <c r="B46" i="73"/>
  <c r="F32" i="73"/>
  <c r="E32" i="73"/>
  <c r="AK35" i="31" s="1"/>
  <c r="D32" i="73"/>
  <c r="C32" i="73"/>
  <c r="B32" i="73"/>
  <c r="F45" i="73"/>
  <c r="E45" i="73"/>
  <c r="AK48" i="31" s="1"/>
  <c r="D45" i="73"/>
  <c r="C45" i="73"/>
  <c r="B45" i="73"/>
  <c r="F41" i="73"/>
  <c r="E41" i="73"/>
  <c r="AK44" i="31" s="1"/>
  <c r="D41" i="73"/>
  <c r="C41" i="73"/>
  <c r="B41" i="73"/>
  <c r="F40" i="73"/>
  <c r="E40" i="73"/>
  <c r="AK43" i="31" s="1"/>
  <c r="D40" i="73"/>
  <c r="C40" i="73"/>
  <c r="B40" i="73"/>
  <c r="F39" i="73"/>
  <c r="E39" i="73"/>
  <c r="AK42" i="31" s="1"/>
  <c r="D39" i="73"/>
  <c r="C39" i="73"/>
  <c r="B39" i="73"/>
  <c r="F35" i="73"/>
  <c r="E35" i="73"/>
  <c r="AK38" i="31" s="1"/>
  <c r="D35" i="73"/>
  <c r="C35" i="73"/>
  <c r="B35" i="73"/>
  <c r="F34" i="73"/>
  <c r="E34" i="73"/>
  <c r="AK37" i="31" s="1"/>
  <c r="D34" i="73"/>
  <c r="C34" i="73"/>
  <c r="B34" i="73"/>
  <c r="F33" i="73"/>
  <c r="E33" i="73"/>
  <c r="AK36" i="31" s="1"/>
  <c r="D33" i="73"/>
  <c r="C33" i="73"/>
  <c r="B33" i="73"/>
  <c r="F30" i="73"/>
  <c r="E30" i="73"/>
  <c r="AK33" i="31" s="1"/>
  <c r="D30" i="73"/>
  <c r="C30" i="73"/>
  <c r="B30" i="73"/>
  <c r="F29" i="73"/>
  <c r="E29" i="73"/>
  <c r="AK32" i="31" s="1"/>
  <c r="D29" i="73"/>
  <c r="C29" i="73"/>
  <c r="B29" i="73"/>
  <c r="F28" i="73"/>
  <c r="E28" i="73"/>
  <c r="AK31" i="31" s="1"/>
  <c r="D28" i="73"/>
  <c r="C28" i="73"/>
  <c r="B28" i="73"/>
  <c r="F27" i="73"/>
  <c r="E27" i="73"/>
  <c r="AK30" i="31" s="1"/>
  <c r="D27" i="73"/>
  <c r="C27" i="73"/>
  <c r="B27" i="73"/>
  <c r="F26" i="73"/>
  <c r="E26" i="73"/>
  <c r="AK29" i="31" s="1"/>
  <c r="D26" i="73"/>
  <c r="C26" i="73"/>
  <c r="B26" i="73"/>
  <c r="F24" i="73"/>
  <c r="E24" i="73"/>
  <c r="AK27" i="31" s="1"/>
  <c r="D24" i="73"/>
  <c r="C24" i="73"/>
  <c r="B24" i="73"/>
  <c r="F19" i="73"/>
  <c r="E19" i="73"/>
  <c r="AK22" i="31" s="1"/>
  <c r="D19" i="73"/>
  <c r="C19" i="73"/>
  <c r="B19" i="73"/>
  <c r="F18" i="73"/>
  <c r="E18" i="73"/>
  <c r="AK21" i="31" s="1"/>
  <c r="D18" i="73"/>
  <c r="C18" i="73"/>
  <c r="B18" i="73"/>
  <c r="F16" i="73"/>
  <c r="E16" i="73"/>
  <c r="AK19" i="31" s="1"/>
  <c r="D16" i="73"/>
  <c r="C16" i="73"/>
  <c r="B16" i="73"/>
  <c r="F15" i="73"/>
  <c r="E15" i="73"/>
  <c r="AK18" i="31" s="1"/>
  <c r="D15" i="73"/>
  <c r="C15" i="73"/>
  <c r="B15" i="73"/>
  <c r="F13" i="73"/>
  <c r="E13" i="73"/>
  <c r="AK16" i="31" s="1"/>
  <c r="D13" i="73"/>
  <c r="C13" i="73"/>
  <c r="B13" i="73"/>
  <c r="F12" i="73"/>
  <c r="E12" i="73"/>
  <c r="AK15" i="31" s="1"/>
  <c r="D12" i="73"/>
  <c r="C12" i="73"/>
  <c r="B12" i="73"/>
  <c r="F11" i="73"/>
  <c r="E11" i="73"/>
  <c r="AK14" i="31" s="1"/>
  <c r="D11" i="73"/>
  <c r="C11" i="73"/>
  <c r="B11" i="73"/>
  <c r="F9" i="73"/>
  <c r="E9" i="73"/>
  <c r="AK12" i="31" s="1"/>
  <c r="D9" i="73"/>
  <c r="C9" i="73"/>
  <c r="B9" i="73"/>
  <c r="F8" i="73"/>
  <c r="E8" i="73"/>
  <c r="AK11" i="31" s="1"/>
  <c r="D8" i="73"/>
  <c r="C8" i="73"/>
  <c r="B8" i="73"/>
  <c r="F3" i="73"/>
  <c r="E3" i="73"/>
  <c r="AK6" i="31" s="1"/>
  <c r="D3" i="73"/>
  <c r="C3" i="73"/>
  <c r="B3" i="73"/>
  <c r="C199" i="72"/>
  <c r="AJ202" i="31" s="1"/>
  <c r="B199" i="72"/>
  <c r="C196" i="72"/>
  <c r="AJ199" i="31" s="1"/>
  <c r="B196" i="72"/>
  <c r="C195" i="72"/>
  <c r="AJ198" i="31" s="1"/>
  <c r="B195" i="72"/>
  <c r="C191" i="72"/>
  <c r="AJ194" i="31" s="1"/>
  <c r="B191" i="72"/>
  <c r="C192" i="72"/>
  <c r="AJ195" i="31" s="1"/>
  <c r="B192" i="72"/>
  <c r="C190" i="72"/>
  <c r="AJ193" i="31" s="1"/>
  <c r="B190" i="72"/>
  <c r="C189" i="72"/>
  <c r="AJ192" i="31" s="1"/>
  <c r="B189" i="72"/>
  <c r="C188" i="72"/>
  <c r="AJ191" i="31" s="1"/>
  <c r="B188" i="72"/>
  <c r="C187" i="72"/>
  <c r="AJ190" i="31" s="1"/>
  <c r="B187" i="72"/>
  <c r="C184" i="72"/>
  <c r="AJ187" i="31" s="1"/>
  <c r="B184" i="72"/>
  <c r="C183" i="72"/>
  <c r="AJ186" i="31" s="1"/>
  <c r="B183" i="72"/>
  <c r="C182" i="72"/>
  <c r="AJ185" i="31" s="1"/>
  <c r="B182" i="72"/>
  <c r="C180" i="72"/>
  <c r="AJ183" i="31" s="1"/>
  <c r="B180" i="72"/>
  <c r="C178" i="72"/>
  <c r="AJ181" i="31" s="1"/>
  <c r="B178" i="72"/>
  <c r="C177" i="72"/>
  <c r="AJ180" i="31" s="1"/>
  <c r="B177" i="72"/>
  <c r="C174" i="72"/>
  <c r="AJ177" i="31" s="1"/>
  <c r="B174" i="72"/>
  <c r="C173" i="72"/>
  <c r="AJ176" i="31" s="1"/>
  <c r="B173" i="72"/>
  <c r="C169" i="72"/>
  <c r="AJ172" i="31" s="1"/>
  <c r="B169" i="72"/>
  <c r="C168" i="72"/>
  <c r="AJ171" i="31" s="1"/>
  <c r="B168" i="72"/>
  <c r="C167" i="72"/>
  <c r="AJ170" i="31" s="1"/>
  <c r="B167" i="72"/>
  <c r="C166" i="72"/>
  <c r="AJ169" i="31" s="1"/>
  <c r="B166" i="72"/>
  <c r="C164" i="72"/>
  <c r="AJ167" i="31" s="1"/>
  <c r="B164" i="72"/>
  <c r="C163" i="72"/>
  <c r="AJ166" i="31" s="1"/>
  <c r="B163" i="72"/>
  <c r="C162" i="72"/>
  <c r="AJ165" i="31" s="1"/>
  <c r="B162" i="72"/>
  <c r="C158" i="72"/>
  <c r="AJ161" i="31" s="1"/>
  <c r="B158" i="72"/>
  <c r="C157" i="72"/>
  <c r="AJ160" i="31" s="1"/>
  <c r="B157" i="72"/>
  <c r="C150" i="72"/>
  <c r="AJ153" i="31" s="1"/>
  <c r="B150" i="72"/>
  <c r="C149" i="72"/>
  <c r="AJ152" i="31" s="1"/>
  <c r="B149" i="72"/>
  <c r="C148" i="72"/>
  <c r="AJ151" i="31" s="1"/>
  <c r="B148" i="72"/>
  <c r="C147" i="72"/>
  <c r="AJ150" i="31" s="1"/>
  <c r="B147" i="72"/>
  <c r="C146" i="72"/>
  <c r="AJ149" i="31" s="1"/>
  <c r="B146" i="72"/>
  <c r="C145" i="72"/>
  <c r="AJ148" i="31" s="1"/>
  <c r="B145" i="72"/>
  <c r="C144" i="72"/>
  <c r="AJ147" i="31" s="1"/>
  <c r="B144" i="72"/>
  <c r="C143" i="72"/>
  <c r="AJ146" i="31" s="1"/>
  <c r="B143" i="72"/>
  <c r="C142" i="72"/>
  <c r="AJ145" i="31" s="1"/>
  <c r="B142" i="72"/>
  <c r="C141" i="72"/>
  <c r="AJ144" i="31" s="1"/>
  <c r="B141" i="72"/>
  <c r="C139" i="72"/>
  <c r="AJ142" i="31" s="1"/>
  <c r="B139" i="72"/>
  <c r="C136" i="72"/>
  <c r="AJ139" i="31" s="1"/>
  <c r="B136" i="72"/>
  <c r="C135" i="72"/>
  <c r="AJ138" i="31" s="1"/>
  <c r="B135" i="72"/>
  <c r="C134" i="72"/>
  <c r="AJ137" i="31" s="1"/>
  <c r="B134" i="72"/>
  <c r="C133" i="72"/>
  <c r="AJ136" i="31" s="1"/>
  <c r="B133" i="72"/>
  <c r="C131" i="72"/>
  <c r="AJ134" i="31" s="1"/>
  <c r="B131" i="72"/>
  <c r="C130" i="72"/>
  <c r="AJ133" i="31" s="1"/>
  <c r="B130" i="72"/>
  <c r="C129" i="72"/>
  <c r="AJ132" i="31" s="1"/>
  <c r="B129" i="72"/>
  <c r="C128" i="72"/>
  <c r="AJ131" i="31" s="1"/>
  <c r="B128" i="72"/>
  <c r="C127" i="72"/>
  <c r="AJ130" i="31" s="1"/>
  <c r="B127" i="72"/>
  <c r="C126" i="72"/>
  <c r="AJ129" i="31" s="1"/>
  <c r="B126" i="72"/>
  <c r="C125" i="72"/>
  <c r="AJ128" i="31" s="1"/>
  <c r="B125" i="72"/>
  <c r="C123" i="72"/>
  <c r="AJ126" i="31" s="1"/>
  <c r="B123" i="72"/>
  <c r="C119" i="72"/>
  <c r="AJ122" i="31" s="1"/>
  <c r="B119" i="72"/>
  <c r="C118" i="72"/>
  <c r="AJ121" i="31" s="1"/>
  <c r="B118" i="72"/>
  <c r="C115" i="72"/>
  <c r="AJ118" i="31" s="1"/>
  <c r="B115" i="72"/>
  <c r="C112" i="72"/>
  <c r="AJ115" i="31" s="1"/>
  <c r="B112" i="72"/>
  <c r="C111" i="72"/>
  <c r="AJ114" i="31" s="1"/>
  <c r="B111" i="72"/>
  <c r="C110" i="72"/>
  <c r="AJ113" i="31" s="1"/>
  <c r="B110" i="72"/>
  <c r="C107" i="72"/>
  <c r="AJ110" i="31" s="1"/>
  <c r="B107" i="72"/>
  <c r="C106" i="72"/>
  <c r="AJ109" i="31" s="1"/>
  <c r="B106" i="72"/>
  <c r="C100" i="72"/>
  <c r="AJ103" i="31" s="1"/>
  <c r="B100" i="72"/>
  <c r="C99" i="72"/>
  <c r="AJ102" i="31" s="1"/>
  <c r="B99" i="72"/>
  <c r="C98" i="72"/>
  <c r="AJ101" i="31" s="1"/>
  <c r="B98" i="72"/>
  <c r="C97" i="72"/>
  <c r="AJ100" i="31" s="1"/>
  <c r="B97" i="72"/>
  <c r="C94" i="72"/>
  <c r="AJ97" i="31" s="1"/>
  <c r="B94" i="72"/>
  <c r="C93" i="72"/>
  <c r="AJ96" i="31" s="1"/>
  <c r="B93" i="72"/>
  <c r="C92" i="72"/>
  <c r="AJ95" i="31" s="1"/>
  <c r="B92" i="72"/>
  <c r="C91" i="72"/>
  <c r="AJ94" i="31" s="1"/>
  <c r="B91" i="72"/>
  <c r="C90" i="72"/>
  <c r="AJ93" i="31" s="1"/>
  <c r="B90" i="72"/>
  <c r="C89" i="72"/>
  <c r="AJ92" i="31" s="1"/>
  <c r="B89" i="72"/>
  <c r="C88" i="72"/>
  <c r="AJ91" i="31" s="1"/>
  <c r="B88" i="72"/>
  <c r="C86" i="72"/>
  <c r="AJ89" i="31" s="1"/>
  <c r="B86" i="72"/>
  <c r="C84" i="72"/>
  <c r="AJ87" i="31" s="1"/>
  <c r="B84" i="72"/>
  <c r="C83" i="72"/>
  <c r="AJ86" i="31" s="1"/>
  <c r="B83" i="72"/>
  <c r="C82" i="72"/>
  <c r="AJ85" i="31" s="1"/>
  <c r="B82" i="72"/>
  <c r="C80" i="72"/>
  <c r="AJ83" i="31" s="1"/>
  <c r="B80" i="72"/>
  <c r="C79" i="72"/>
  <c r="AJ82" i="31" s="1"/>
  <c r="B79" i="72"/>
  <c r="C78" i="72"/>
  <c r="AJ81" i="31" s="1"/>
  <c r="B78" i="72"/>
  <c r="C74" i="72"/>
  <c r="AJ77" i="31" s="1"/>
  <c r="B74" i="72"/>
  <c r="C73" i="72"/>
  <c r="AJ76" i="31" s="1"/>
  <c r="B73" i="72"/>
  <c r="C70" i="72"/>
  <c r="AJ73" i="31" s="1"/>
  <c r="B70" i="72"/>
  <c r="C69" i="72"/>
  <c r="AJ72" i="31" s="1"/>
  <c r="B69" i="72"/>
  <c r="C68" i="72"/>
  <c r="AJ71" i="31" s="1"/>
  <c r="B68" i="72"/>
  <c r="C67" i="72"/>
  <c r="AJ70" i="31" s="1"/>
  <c r="B67" i="72"/>
  <c r="C64" i="72"/>
  <c r="AJ67" i="31" s="1"/>
  <c r="B64" i="72"/>
  <c r="C63" i="72"/>
  <c r="AJ66" i="31" s="1"/>
  <c r="B63" i="72"/>
  <c r="C60" i="72"/>
  <c r="AJ63" i="31" s="1"/>
  <c r="B60" i="72"/>
  <c r="C59" i="72"/>
  <c r="AJ62" i="31" s="1"/>
  <c r="B59" i="72"/>
  <c r="C56" i="72"/>
  <c r="AJ59" i="31" s="1"/>
  <c r="B56" i="72"/>
  <c r="C55" i="72"/>
  <c r="AJ58" i="31" s="1"/>
  <c r="B55" i="72"/>
  <c r="C54" i="72"/>
  <c r="AJ57" i="31" s="1"/>
  <c r="B54" i="72"/>
  <c r="C53" i="72"/>
  <c r="AJ56" i="31" s="1"/>
  <c r="B53" i="72"/>
  <c r="C50" i="72"/>
  <c r="AJ53" i="31" s="1"/>
  <c r="B50" i="72"/>
  <c r="C49" i="72"/>
  <c r="AJ52" i="31" s="1"/>
  <c r="B49" i="72"/>
  <c r="C48" i="72"/>
  <c r="AJ51" i="31" s="1"/>
  <c r="B48" i="72"/>
  <c r="C46" i="72"/>
  <c r="AJ49" i="31" s="1"/>
  <c r="B46" i="72"/>
  <c r="C32" i="72"/>
  <c r="AJ35" i="31" s="1"/>
  <c r="B32" i="72"/>
  <c r="C45" i="72"/>
  <c r="AJ48" i="31" s="1"/>
  <c r="B45" i="72"/>
  <c r="C41" i="72"/>
  <c r="AJ44" i="31" s="1"/>
  <c r="B41" i="72"/>
  <c r="C40" i="72"/>
  <c r="AJ43" i="31" s="1"/>
  <c r="B40" i="72"/>
  <c r="C39" i="72"/>
  <c r="AJ42" i="31" s="1"/>
  <c r="B39" i="72"/>
  <c r="C35" i="72"/>
  <c r="AJ38" i="31" s="1"/>
  <c r="B35" i="72"/>
  <c r="C34" i="72"/>
  <c r="AJ37" i="31" s="1"/>
  <c r="B34" i="72"/>
  <c r="C33" i="72"/>
  <c r="AJ36" i="31" s="1"/>
  <c r="B33" i="72"/>
  <c r="C30" i="72"/>
  <c r="AJ33" i="31" s="1"/>
  <c r="B30" i="72"/>
  <c r="C29" i="72"/>
  <c r="AJ32" i="31" s="1"/>
  <c r="B29" i="72"/>
  <c r="C28" i="72"/>
  <c r="AJ31" i="31" s="1"/>
  <c r="B28" i="72"/>
  <c r="C27" i="72"/>
  <c r="AJ30" i="31" s="1"/>
  <c r="B27" i="72"/>
  <c r="C26" i="72"/>
  <c r="AJ29" i="31" s="1"/>
  <c r="B26" i="72"/>
  <c r="C24" i="72"/>
  <c r="AJ27" i="31" s="1"/>
  <c r="B24" i="72"/>
  <c r="C21" i="72"/>
  <c r="AJ24" i="31" s="1"/>
  <c r="B21" i="72"/>
  <c r="C19" i="72"/>
  <c r="AJ22" i="31" s="1"/>
  <c r="B19" i="72"/>
  <c r="C18" i="72"/>
  <c r="AJ21" i="31" s="1"/>
  <c r="B18" i="72"/>
  <c r="C16" i="72"/>
  <c r="AJ19" i="31" s="1"/>
  <c r="B16" i="72"/>
  <c r="C15" i="72"/>
  <c r="AJ18" i="31" s="1"/>
  <c r="B15" i="72"/>
  <c r="C13" i="72"/>
  <c r="AJ16" i="31" s="1"/>
  <c r="B13" i="72"/>
  <c r="C12" i="72"/>
  <c r="AJ15" i="31" s="1"/>
  <c r="B12" i="72"/>
  <c r="C11" i="72"/>
  <c r="AJ14" i="31" s="1"/>
  <c r="B11" i="72"/>
  <c r="C9" i="72"/>
  <c r="AJ12" i="31" s="1"/>
  <c r="B9" i="72"/>
  <c r="C8" i="72"/>
  <c r="AJ11" i="31" s="1"/>
  <c r="B8" i="72"/>
  <c r="C3" i="72"/>
  <c r="AJ6" i="31" s="1"/>
  <c r="B3" i="72"/>
  <c r="A53" i="123" l="1"/>
  <c r="B51" i="123"/>
  <c r="A53" i="120"/>
  <c r="A53" i="117"/>
  <c r="H19" i="110"/>
  <c r="G19" i="110"/>
  <c r="H39" i="110"/>
  <c r="G39" i="110"/>
  <c r="EE18" i="71"/>
  <c r="EA18" i="71"/>
  <c r="EF18" i="71"/>
  <c r="ED18" i="71"/>
  <c r="DE19" i="71"/>
  <c r="EB18" i="71"/>
  <c r="DK19" i="71"/>
  <c r="DZ18" i="71"/>
  <c r="DY18" i="71"/>
  <c r="DJ18" i="71"/>
  <c r="DD18" i="71"/>
  <c r="DH18" i="71"/>
  <c r="DI19" i="71" s="1"/>
  <c r="DF18" i="71"/>
  <c r="DG19" i="71" s="1"/>
  <c r="DB18" i="71"/>
  <c r="DC19" i="71" s="1"/>
  <c r="CZ18" i="71"/>
  <c r="DA19" i="71" s="1"/>
  <c r="CX18" i="71"/>
  <c r="CY19" i="71" s="1"/>
  <c r="B40" i="110"/>
  <c r="F39" i="110"/>
  <c r="E39" i="110"/>
  <c r="N21" i="110"/>
  <c r="M21" i="110"/>
  <c r="D21" i="110"/>
  <c r="L21" i="110"/>
  <c r="P21" i="110"/>
  <c r="O21" i="110"/>
  <c r="K21" i="110"/>
  <c r="J21" i="110"/>
  <c r="I21" i="110"/>
  <c r="C21" i="110"/>
  <c r="N41" i="110"/>
  <c r="M41" i="110"/>
  <c r="L41" i="110"/>
  <c r="D41" i="110"/>
  <c r="C41" i="110"/>
  <c r="K41" i="110"/>
  <c r="O41" i="110"/>
  <c r="J41" i="110"/>
  <c r="I41" i="110"/>
  <c r="P41" i="110"/>
  <c r="A42" i="110"/>
  <c r="B20" i="110"/>
  <c r="A22" i="110"/>
  <c r="F19" i="110"/>
  <c r="E19" i="110"/>
  <c r="B115" i="95"/>
  <c r="B115" i="94"/>
  <c r="B115" i="93"/>
  <c r="B114" i="92"/>
  <c r="I113" i="92"/>
  <c r="DV18" i="71"/>
  <c r="EC18" i="71" s="1"/>
  <c r="CT19" i="71"/>
  <c r="CV18" i="71"/>
  <c r="CW19" i="71" s="1"/>
  <c r="S35" i="39"/>
  <c r="S34" i="39"/>
  <c r="S33" i="39"/>
  <c r="S32" i="39"/>
  <c r="G32" i="39"/>
  <c r="D32" i="39"/>
  <c r="S30" i="39"/>
  <c r="N30" i="39"/>
  <c r="K30" i="39"/>
  <c r="G30" i="39"/>
  <c r="D30" i="39"/>
  <c r="N29" i="39"/>
  <c r="K29" i="39"/>
  <c r="G29" i="39"/>
  <c r="D29" i="39"/>
  <c r="N28" i="39"/>
  <c r="K28" i="39"/>
  <c r="G28" i="39"/>
  <c r="D28" i="39"/>
  <c r="S26" i="39"/>
  <c r="G26" i="39"/>
  <c r="D26" i="39"/>
  <c r="S25" i="39"/>
  <c r="G25" i="39"/>
  <c r="D25" i="39"/>
  <c r="S24" i="39"/>
  <c r="G24" i="39"/>
  <c r="D24" i="39"/>
  <c r="S23" i="39"/>
  <c r="S22" i="39"/>
  <c r="G22" i="39"/>
  <c r="D22" i="39"/>
  <c r="S21" i="39"/>
  <c r="G21" i="39"/>
  <c r="D21" i="39"/>
  <c r="S20" i="39"/>
  <c r="P20" i="39"/>
  <c r="O20" i="39"/>
  <c r="M20" i="39"/>
  <c r="L20" i="39"/>
  <c r="I20" i="39"/>
  <c r="H20" i="39"/>
  <c r="G20" i="39"/>
  <c r="F20" i="39"/>
  <c r="E20" i="39"/>
  <c r="D20" i="39"/>
  <c r="S19" i="39"/>
  <c r="S18" i="39"/>
  <c r="S17" i="39"/>
  <c r="S16" i="39"/>
  <c r="S15" i="39"/>
  <c r="S14" i="39"/>
  <c r="S13" i="39"/>
  <c r="G13" i="39"/>
  <c r="S12" i="39"/>
  <c r="S11" i="39"/>
  <c r="N11" i="39"/>
  <c r="K11" i="39"/>
  <c r="S10" i="39"/>
  <c r="G10" i="39"/>
  <c r="S9" i="39"/>
  <c r="S8" i="39"/>
  <c r="S7" i="39"/>
  <c r="G7" i="39"/>
  <c r="C7" i="39"/>
  <c r="C12" i="39" s="1"/>
  <c r="S6" i="39"/>
  <c r="N6" i="39"/>
  <c r="K6" i="39"/>
  <c r="G6" i="39"/>
  <c r="S5" i="39"/>
  <c r="N5" i="39"/>
  <c r="K5" i="39"/>
  <c r="G5" i="39"/>
  <c r="S4" i="39"/>
  <c r="N4" i="39"/>
  <c r="K4" i="39"/>
  <c r="S3" i="39"/>
  <c r="N3" i="39"/>
  <c r="K3" i="39"/>
  <c r="P2" i="39"/>
  <c r="O2" i="39"/>
  <c r="N2" i="39"/>
  <c r="M2" i="39"/>
  <c r="L2" i="39"/>
  <c r="K2" i="39"/>
  <c r="S1" i="39"/>
  <c r="P1" i="39"/>
  <c r="O1" i="39"/>
  <c r="N1" i="39"/>
  <c r="M1" i="39"/>
  <c r="L1" i="39"/>
  <c r="K1" i="39"/>
  <c r="C7" i="18"/>
  <c r="I6" i="18"/>
  <c r="E6" i="18"/>
  <c r="D6" i="18"/>
  <c r="I5" i="18"/>
  <c r="E5" i="18"/>
  <c r="D5" i="18"/>
  <c r="C4" i="18"/>
  <c r="I3" i="18"/>
  <c r="E3" i="18"/>
  <c r="D3" i="18"/>
  <c r="F3" i="18" s="1"/>
  <c r="I2" i="18"/>
  <c r="E2" i="18"/>
  <c r="F2" i="18" s="1"/>
  <c r="D2" i="18"/>
  <c r="H85" i="14"/>
  <c r="G85" i="14"/>
  <c r="L83" i="14"/>
  <c r="C176" i="74" s="1"/>
  <c r="K83" i="14"/>
  <c r="L82" i="14"/>
  <c r="C175" i="74" s="1"/>
  <c r="K82" i="14"/>
  <c r="L81" i="14"/>
  <c r="C174" i="74" s="1"/>
  <c r="K81" i="14"/>
  <c r="L80" i="14"/>
  <c r="C173" i="74" s="1"/>
  <c r="K80" i="14"/>
  <c r="L79" i="14"/>
  <c r="C172" i="74" s="1"/>
  <c r="K79" i="14"/>
  <c r="L78" i="14"/>
  <c r="C171" i="74" s="1"/>
  <c r="K78" i="14"/>
  <c r="L77" i="14"/>
  <c r="C170" i="74" s="1"/>
  <c r="K77" i="14"/>
  <c r="L76" i="14"/>
  <c r="C169" i="74" s="1"/>
  <c r="K76" i="14"/>
  <c r="L75" i="14"/>
  <c r="C168" i="74" s="1"/>
  <c r="K75" i="14"/>
  <c r="L74" i="14"/>
  <c r="C167" i="74" s="1"/>
  <c r="K74" i="14"/>
  <c r="L73" i="14"/>
  <c r="C166" i="74" s="1"/>
  <c r="K73" i="14"/>
  <c r="L72" i="14"/>
  <c r="C165" i="74" s="1"/>
  <c r="K72" i="14"/>
  <c r="L71" i="14"/>
  <c r="C164" i="74" s="1"/>
  <c r="K71" i="14"/>
  <c r="L70" i="14"/>
  <c r="C163" i="74" s="1"/>
  <c r="K70" i="14"/>
  <c r="L69" i="14"/>
  <c r="K69" i="14"/>
  <c r="L68" i="14"/>
  <c r="C162" i="74" s="1"/>
  <c r="K68" i="14"/>
  <c r="L67" i="14"/>
  <c r="C161" i="74" s="1"/>
  <c r="K67" i="14"/>
  <c r="L66" i="14"/>
  <c r="C160" i="74" s="1"/>
  <c r="K66" i="14"/>
  <c r="L65" i="14"/>
  <c r="C159" i="74" s="1"/>
  <c r="K65" i="14"/>
  <c r="L64" i="14"/>
  <c r="C158" i="74" s="1"/>
  <c r="K64" i="14"/>
  <c r="L63" i="14"/>
  <c r="C157" i="74" s="1"/>
  <c r="K63" i="14"/>
  <c r="L62" i="14"/>
  <c r="C156" i="74" s="1"/>
  <c r="K62" i="14"/>
  <c r="L61" i="14"/>
  <c r="C155" i="74" s="1"/>
  <c r="K61" i="14"/>
  <c r="L60" i="14"/>
  <c r="C154" i="74" s="1"/>
  <c r="K60" i="14"/>
  <c r="L59" i="14"/>
  <c r="C153" i="74" s="1"/>
  <c r="K59" i="14"/>
  <c r="L58" i="14"/>
  <c r="C152" i="74" s="1"/>
  <c r="K58" i="14"/>
  <c r="L57" i="14"/>
  <c r="C151" i="74" s="1"/>
  <c r="K57" i="14"/>
  <c r="L56" i="14"/>
  <c r="C150" i="74" s="1"/>
  <c r="K56" i="14"/>
  <c r="L55" i="14"/>
  <c r="C149" i="74" s="1"/>
  <c r="K55" i="14"/>
  <c r="L54" i="14"/>
  <c r="C148" i="74" s="1"/>
  <c r="K54" i="14"/>
  <c r="L53" i="14"/>
  <c r="C147" i="74" s="1"/>
  <c r="K53" i="14"/>
  <c r="L52" i="14"/>
  <c r="C146" i="74" s="1"/>
  <c r="K52" i="14"/>
  <c r="L51" i="14"/>
  <c r="C145" i="74" s="1"/>
  <c r="K51" i="14"/>
  <c r="L50" i="14"/>
  <c r="C144" i="74" s="1"/>
  <c r="K50" i="14"/>
  <c r="L49" i="14"/>
  <c r="C143" i="74" s="1"/>
  <c r="K49" i="14"/>
  <c r="L48" i="14"/>
  <c r="C142" i="74" s="1"/>
  <c r="K48" i="14"/>
  <c r="L47" i="14"/>
  <c r="C141" i="74" s="1"/>
  <c r="K47" i="14"/>
  <c r="L46" i="14"/>
  <c r="C140" i="74" s="1"/>
  <c r="K46" i="14"/>
  <c r="L45" i="14"/>
  <c r="C139" i="74" s="1"/>
  <c r="K45" i="14"/>
  <c r="L44" i="14"/>
  <c r="C138" i="74" s="1"/>
  <c r="K44" i="14"/>
  <c r="L43" i="14"/>
  <c r="C137" i="74" s="1"/>
  <c r="K43" i="14"/>
  <c r="L42" i="14"/>
  <c r="C136" i="74" s="1"/>
  <c r="K42" i="14"/>
  <c r="L41" i="14"/>
  <c r="C135" i="74" s="1"/>
  <c r="K41" i="14"/>
  <c r="L40" i="14"/>
  <c r="C134" i="74" s="1"/>
  <c r="K40" i="14"/>
  <c r="L39" i="14"/>
  <c r="C133" i="74" s="1"/>
  <c r="K39" i="14"/>
  <c r="L38" i="14"/>
  <c r="C132" i="74" s="1"/>
  <c r="K38" i="14"/>
  <c r="L37" i="14"/>
  <c r="C131" i="74" s="1"/>
  <c r="K37" i="14"/>
  <c r="L36" i="14"/>
  <c r="C130" i="74" s="1"/>
  <c r="K36" i="14"/>
  <c r="L35" i="14"/>
  <c r="C129" i="74" s="1"/>
  <c r="K35" i="14"/>
  <c r="L34" i="14"/>
  <c r="C128" i="74" s="1"/>
  <c r="K34" i="14"/>
  <c r="L33" i="14"/>
  <c r="C127" i="74" s="1"/>
  <c r="K33" i="14"/>
  <c r="L32" i="14"/>
  <c r="C126" i="74" s="1"/>
  <c r="K32" i="14"/>
  <c r="L31" i="14"/>
  <c r="C125" i="74" s="1"/>
  <c r="K31" i="14"/>
  <c r="L30" i="14"/>
  <c r="C124" i="74" s="1"/>
  <c r="K30" i="14"/>
  <c r="L29" i="14"/>
  <c r="C123" i="74" s="1"/>
  <c r="K29" i="14"/>
  <c r="L28" i="14"/>
  <c r="C122" i="74" s="1"/>
  <c r="K28" i="14"/>
  <c r="L27" i="14"/>
  <c r="C121" i="74" s="1"/>
  <c r="K27" i="14"/>
  <c r="L26" i="14"/>
  <c r="C120" i="74" s="1"/>
  <c r="K26" i="14"/>
  <c r="L25" i="14"/>
  <c r="C119" i="74" s="1"/>
  <c r="K25" i="14"/>
  <c r="L24" i="14"/>
  <c r="C118" i="74" s="1"/>
  <c r="K24" i="14"/>
  <c r="L23" i="14"/>
  <c r="C117" i="74" s="1"/>
  <c r="K23" i="14"/>
  <c r="L22" i="14"/>
  <c r="C116" i="74" s="1"/>
  <c r="K22" i="14"/>
  <c r="L21" i="14"/>
  <c r="C115" i="74" s="1"/>
  <c r="K21" i="14"/>
  <c r="L20" i="14"/>
  <c r="C114" i="74" s="1"/>
  <c r="K20" i="14"/>
  <c r="L19" i="14"/>
  <c r="C113" i="74" s="1"/>
  <c r="K19" i="14"/>
  <c r="L18" i="14"/>
  <c r="C112" i="74" s="1"/>
  <c r="K18" i="14"/>
  <c r="L17" i="14"/>
  <c r="C111" i="74" s="1"/>
  <c r="K17" i="14"/>
  <c r="L16" i="14"/>
  <c r="C110" i="74" s="1"/>
  <c r="K16" i="14"/>
  <c r="L15" i="14"/>
  <c r="C109" i="74" s="1"/>
  <c r="K15" i="14"/>
  <c r="L14" i="14"/>
  <c r="C108" i="74" s="1"/>
  <c r="K14" i="14"/>
  <c r="L13" i="14"/>
  <c r="C107" i="74" s="1"/>
  <c r="K13" i="14"/>
  <c r="L12" i="14"/>
  <c r="C106" i="74" s="1"/>
  <c r="K12" i="14"/>
  <c r="L11" i="14"/>
  <c r="C105" i="74" s="1"/>
  <c r="K11" i="14"/>
  <c r="L10" i="14"/>
  <c r="C104" i="74" s="1"/>
  <c r="K10" i="14"/>
  <c r="L9" i="14"/>
  <c r="C103" i="74" s="1"/>
  <c r="K9" i="14"/>
  <c r="L8" i="14"/>
  <c r="C102" i="74" s="1"/>
  <c r="K8" i="14"/>
  <c r="L7" i="14"/>
  <c r="C101" i="74" s="1"/>
  <c r="K7" i="14"/>
  <c r="L6" i="14"/>
  <c r="C100" i="74" s="1"/>
  <c r="K6" i="14"/>
  <c r="L5" i="14"/>
  <c r="C99" i="74" s="1"/>
  <c r="K5" i="14"/>
  <c r="L4" i="14"/>
  <c r="C98" i="74" s="1"/>
  <c r="K4" i="14"/>
  <c r="L3" i="14"/>
  <c r="C97" i="74" s="1"/>
  <c r="K3" i="14"/>
  <c r="T69" i="13"/>
  <c r="C569" i="74" s="1"/>
  <c r="P69" i="13"/>
  <c r="M69" i="13"/>
  <c r="N69" i="13" s="1"/>
  <c r="L69" i="13"/>
  <c r="J69" i="13"/>
  <c r="T68" i="13"/>
  <c r="C568" i="74" s="1"/>
  <c r="P68" i="13"/>
  <c r="BE195" i="31" s="1"/>
  <c r="N68" i="13"/>
  <c r="M68" i="13"/>
  <c r="L68" i="13"/>
  <c r="J68" i="13"/>
  <c r="T67" i="13"/>
  <c r="C567" i="74" s="1"/>
  <c r="P67" i="13"/>
  <c r="BE191" i="31" s="1"/>
  <c r="N67" i="13"/>
  <c r="M67" i="13"/>
  <c r="L67" i="13"/>
  <c r="J67" i="13"/>
  <c r="T66" i="13"/>
  <c r="C566" i="74" s="1"/>
  <c r="P66" i="13"/>
  <c r="BE194" i="31" s="1"/>
  <c r="M66" i="13"/>
  <c r="N66" i="13" s="1"/>
  <c r="L66" i="13"/>
  <c r="J66" i="13"/>
  <c r="T65" i="13"/>
  <c r="C565" i="74" s="1"/>
  <c r="P65" i="13"/>
  <c r="BE187" i="31" s="1"/>
  <c r="N65" i="13"/>
  <c r="M65" i="13"/>
  <c r="L65" i="13"/>
  <c r="J65" i="13"/>
  <c r="T64" i="13"/>
  <c r="C564" i="74" s="1"/>
  <c r="P64" i="13"/>
  <c r="M64" i="13"/>
  <c r="N64" i="13" s="1"/>
  <c r="L64" i="13"/>
  <c r="J64" i="13"/>
  <c r="T63" i="13"/>
  <c r="C563" i="74" s="1"/>
  <c r="P63" i="13"/>
  <c r="BE176" i="31" s="1"/>
  <c r="M63" i="13"/>
  <c r="N63" i="13" s="1"/>
  <c r="L63" i="13"/>
  <c r="J63" i="13"/>
  <c r="T62" i="13"/>
  <c r="C562" i="74" s="1"/>
  <c r="P62" i="13"/>
  <c r="BE171" i="31" s="1"/>
  <c r="M62" i="13"/>
  <c r="N62" i="13" s="1"/>
  <c r="L62" i="13"/>
  <c r="J62" i="13"/>
  <c r="T61" i="13"/>
  <c r="C561" i="74" s="1"/>
  <c r="P61" i="13"/>
  <c r="BE170" i="31" s="1"/>
  <c r="M61" i="13"/>
  <c r="N61" i="13" s="1"/>
  <c r="L61" i="13"/>
  <c r="J61" i="13"/>
  <c r="T60" i="13"/>
  <c r="C560" i="74" s="1"/>
  <c r="P60" i="13"/>
  <c r="N60" i="13"/>
  <c r="M60" i="13"/>
  <c r="L60" i="13"/>
  <c r="J60" i="13"/>
  <c r="T59" i="13"/>
  <c r="C559" i="74" s="1"/>
  <c r="P59" i="13"/>
  <c r="BE167" i="31" s="1"/>
  <c r="N59" i="13"/>
  <c r="M59" i="13"/>
  <c r="L59" i="13"/>
  <c r="J59" i="13"/>
  <c r="T58" i="13"/>
  <c r="C558" i="74" s="1"/>
  <c r="P58" i="13"/>
  <c r="M58" i="13"/>
  <c r="N58" i="13" s="1"/>
  <c r="L58" i="13"/>
  <c r="J58" i="13"/>
  <c r="T57" i="13"/>
  <c r="C557" i="74" s="1"/>
  <c r="P57" i="13"/>
  <c r="BE162" i="31" s="1"/>
  <c r="N57" i="13"/>
  <c r="M57" i="13"/>
  <c r="L57" i="13"/>
  <c r="H57" i="13"/>
  <c r="J57" i="13" s="1"/>
  <c r="T56" i="13"/>
  <c r="C556" i="74" s="1"/>
  <c r="P56" i="13"/>
  <c r="M56" i="13"/>
  <c r="N56" i="13" s="1"/>
  <c r="L56" i="13"/>
  <c r="J56" i="13"/>
  <c r="T55" i="13"/>
  <c r="C555" i="74" s="1"/>
  <c r="P55" i="13"/>
  <c r="M55" i="13"/>
  <c r="N55" i="13" s="1"/>
  <c r="L55" i="13"/>
  <c r="J55" i="13"/>
  <c r="T54" i="13"/>
  <c r="C554" i="74" s="1"/>
  <c r="P54" i="13"/>
  <c r="BE149" i="31" s="1"/>
  <c r="M54" i="13"/>
  <c r="N54" i="13" s="1"/>
  <c r="L54" i="13"/>
  <c r="J54" i="13"/>
  <c r="T53" i="13"/>
  <c r="C553" i="74" s="1"/>
  <c r="P53" i="13"/>
  <c r="BE148" i="31" s="1"/>
  <c r="N53" i="13"/>
  <c r="M53" i="13"/>
  <c r="L53" i="13"/>
  <c r="J53" i="13"/>
  <c r="T52" i="13"/>
  <c r="C552" i="74" s="1"/>
  <c r="P52" i="13"/>
  <c r="BE147" i="31" s="1"/>
  <c r="N52" i="13"/>
  <c r="M52" i="13"/>
  <c r="L52" i="13"/>
  <c r="J52" i="13"/>
  <c r="T51" i="13"/>
  <c r="C551" i="74" s="1"/>
  <c r="P51" i="13"/>
  <c r="BE146" i="31" s="1"/>
  <c r="M51" i="13"/>
  <c r="N51" i="13" s="1"/>
  <c r="L51" i="13"/>
  <c r="J51" i="13"/>
  <c r="T50" i="13"/>
  <c r="C550" i="74" s="1"/>
  <c r="P50" i="13"/>
  <c r="N50" i="13"/>
  <c r="M50" i="13"/>
  <c r="L50" i="13"/>
  <c r="J50" i="13"/>
  <c r="T49" i="13"/>
  <c r="C549" i="74" s="1"/>
  <c r="P49" i="13"/>
  <c r="BE137" i="31" s="1"/>
  <c r="M49" i="13"/>
  <c r="N49" i="13" s="1"/>
  <c r="L49" i="13"/>
  <c r="J49" i="13"/>
  <c r="T48" i="13"/>
  <c r="C548" i="74" s="1"/>
  <c r="P48" i="13"/>
  <c r="M48" i="13"/>
  <c r="N48" i="13" s="1"/>
  <c r="L48" i="13"/>
  <c r="J48" i="13"/>
  <c r="I48" i="13"/>
  <c r="H48" i="13"/>
  <c r="T47" i="13"/>
  <c r="C547" i="74" s="1"/>
  <c r="P47" i="13"/>
  <c r="BE136" i="31" s="1"/>
  <c r="N47" i="13"/>
  <c r="M47" i="13"/>
  <c r="L47" i="13"/>
  <c r="J47" i="13"/>
  <c r="T46" i="13"/>
  <c r="C546" i="74" s="1"/>
  <c r="P46" i="13"/>
  <c r="BE133" i="31" s="1"/>
  <c r="N46" i="13"/>
  <c r="M46" i="13"/>
  <c r="L46" i="13"/>
  <c r="J46" i="13"/>
  <c r="T45" i="13"/>
  <c r="C545" i="74" s="1"/>
  <c r="P45" i="13"/>
  <c r="BE132" i="31" s="1"/>
  <c r="M45" i="13"/>
  <c r="N45" i="13" s="1"/>
  <c r="L45" i="13"/>
  <c r="J45" i="13"/>
  <c r="T44" i="13"/>
  <c r="C544" i="74" s="1"/>
  <c r="P44" i="13"/>
  <c r="BE127" i="31" s="1"/>
  <c r="M44" i="13"/>
  <c r="I44" i="13"/>
  <c r="L44" i="13" s="1"/>
  <c r="N44" i="13" s="1"/>
  <c r="H44" i="13"/>
  <c r="I75" i="13" s="1"/>
  <c r="T43" i="13"/>
  <c r="C543" i="74" s="1"/>
  <c r="P43" i="13"/>
  <c r="M43" i="13"/>
  <c r="N43" i="13" s="1"/>
  <c r="L43" i="13"/>
  <c r="J43" i="13"/>
  <c r="T42" i="13"/>
  <c r="C542" i="74" s="1"/>
  <c r="P42" i="13"/>
  <c r="M42" i="13"/>
  <c r="N42" i="13" s="1"/>
  <c r="L42" i="13"/>
  <c r="J42" i="13"/>
  <c r="T41" i="13"/>
  <c r="C541" i="74" s="1"/>
  <c r="P41" i="13"/>
  <c r="BE112" i="31" s="1"/>
  <c r="N41" i="13"/>
  <c r="M41" i="13"/>
  <c r="L41" i="13"/>
  <c r="J41" i="13"/>
  <c r="T40" i="13"/>
  <c r="C540" i="74" s="1"/>
  <c r="P40" i="13"/>
  <c r="BE109" i="31" s="1"/>
  <c r="N40" i="13"/>
  <c r="M40" i="13"/>
  <c r="L40" i="13"/>
  <c r="J40" i="13"/>
  <c r="T39" i="13"/>
  <c r="C539" i="74" s="1"/>
  <c r="P39" i="13"/>
  <c r="BE103" i="31" s="1"/>
  <c r="M39" i="13"/>
  <c r="N39" i="13" s="1"/>
  <c r="L39" i="13"/>
  <c r="J39" i="13"/>
  <c r="T38" i="13"/>
  <c r="C538" i="74" s="1"/>
  <c r="P38" i="13"/>
  <c r="BE94" i="31" s="1"/>
  <c r="M38" i="13"/>
  <c r="L38" i="13"/>
  <c r="N38" i="13" s="1"/>
  <c r="J38" i="13"/>
  <c r="T37" i="13"/>
  <c r="C537" i="74" s="1"/>
  <c r="P37" i="13"/>
  <c r="M37" i="13"/>
  <c r="N37" i="13" s="1"/>
  <c r="L37" i="13"/>
  <c r="J37" i="13"/>
  <c r="T36" i="13"/>
  <c r="C536" i="74" s="1"/>
  <c r="P36" i="13"/>
  <c r="M36" i="13"/>
  <c r="N36" i="13" s="1"/>
  <c r="L36" i="13"/>
  <c r="J36" i="13"/>
  <c r="T35" i="13"/>
  <c r="C535" i="74" s="1"/>
  <c r="P35" i="13"/>
  <c r="BE89" i="31" s="1"/>
  <c r="M35" i="13"/>
  <c r="N35" i="13" s="1"/>
  <c r="L35" i="13"/>
  <c r="J35" i="13"/>
  <c r="T34" i="13"/>
  <c r="C534" i="74" s="1"/>
  <c r="P34" i="13"/>
  <c r="BE85" i="31" s="1"/>
  <c r="M34" i="13"/>
  <c r="N34" i="13" s="1"/>
  <c r="L34" i="13"/>
  <c r="J34" i="13"/>
  <c r="T33" i="13"/>
  <c r="C533" i="74" s="1"/>
  <c r="P33" i="13"/>
  <c r="BE84" i="31" s="1"/>
  <c r="N33" i="13"/>
  <c r="M33" i="13"/>
  <c r="L33" i="13"/>
  <c r="J33" i="13"/>
  <c r="T32" i="13"/>
  <c r="C532" i="74" s="1"/>
  <c r="P32" i="13"/>
  <c r="BE83" i="31" s="1"/>
  <c r="N32" i="13"/>
  <c r="M32" i="13"/>
  <c r="L32" i="13"/>
  <c r="J32" i="13"/>
  <c r="T31" i="13"/>
  <c r="C531" i="74" s="1"/>
  <c r="P31" i="13"/>
  <c r="M31" i="13"/>
  <c r="N31" i="13" s="1"/>
  <c r="L31" i="13"/>
  <c r="H31" i="13"/>
  <c r="I73" i="13" s="1"/>
  <c r="T30" i="13"/>
  <c r="C530" i="74" s="1"/>
  <c r="P30" i="13"/>
  <c r="M30" i="13"/>
  <c r="N30" i="13" s="1"/>
  <c r="L30" i="13"/>
  <c r="J30" i="13"/>
  <c r="T29" i="13"/>
  <c r="C529" i="74" s="1"/>
  <c r="P29" i="13"/>
  <c r="BE71" i="31" s="1"/>
  <c r="M29" i="13"/>
  <c r="N29" i="13" s="1"/>
  <c r="L29" i="13"/>
  <c r="J29" i="13"/>
  <c r="T28" i="13"/>
  <c r="C528" i="74" s="1"/>
  <c r="P28" i="13"/>
  <c r="BE70" i="31" s="1"/>
  <c r="M28" i="13"/>
  <c r="N28" i="13" s="1"/>
  <c r="L28" i="13"/>
  <c r="J28" i="13"/>
  <c r="T27" i="13"/>
  <c r="C527" i="74" s="1"/>
  <c r="P27" i="13"/>
  <c r="BE67" i="31" s="1"/>
  <c r="M27" i="13"/>
  <c r="N27" i="13" s="1"/>
  <c r="L27" i="13"/>
  <c r="J27" i="13"/>
  <c r="T26" i="13"/>
  <c r="C526" i="74" s="1"/>
  <c r="P26" i="13"/>
  <c r="BE66" i="31" s="1"/>
  <c r="N26" i="13"/>
  <c r="M26" i="13"/>
  <c r="L26" i="13"/>
  <c r="J26" i="13"/>
  <c r="T25" i="13"/>
  <c r="C525" i="74" s="1"/>
  <c r="P25" i="13"/>
  <c r="BE62" i="31" s="1"/>
  <c r="N25" i="13"/>
  <c r="M25" i="13"/>
  <c r="L25" i="13"/>
  <c r="J25" i="13"/>
  <c r="T24" i="13"/>
  <c r="C524" i="74" s="1"/>
  <c r="P24" i="13"/>
  <c r="M24" i="13"/>
  <c r="N24" i="13" s="1"/>
  <c r="L24" i="13"/>
  <c r="J24" i="13"/>
  <c r="T23" i="13"/>
  <c r="C523" i="74" s="1"/>
  <c r="P23" i="13"/>
  <c r="BE53" i="31" s="1"/>
  <c r="M23" i="13"/>
  <c r="L23" i="13"/>
  <c r="N23" i="13" s="1"/>
  <c r="J23" i="13"/>
  <c r="M22" i="13"/>
  <c r="L22" i="13"/>
  <c r="N22" i="13" s="1"/>
  <c r="J22" i="13"/>
  <c r="T21" i="13"/>
  <c r="C521" i="74" s="1"/>
  <c r="P21" i="13"/>
  <c r="BE52" i="31" s="1"/>
  <c r="M21" i="13"/>
  <c r="N21" i="13" s="1"/>
  <c r="L21" i="13"/>
  <c r="J21" i="13"/>
  <c r="T20" i="13"/>
  <c r="C520" i="74" s="1"/>
  <c r="P20" i="13"/>
  <c r="BE49" i="31" s="1"/>
  <c r="M20" i="13"/>
  <c r="N20" i="13" s="1"/>
  <c r="L20" i="13"/>
  <c r="J20" i="13"/>
  <c r="T19" i="13"/>
  <c r="C519" i="74" s="1"/>
  <c r="P19" i="13"/>
  <c r="BE44" i="31" s="1"/>
  <c r="M19" i="13"/>
  <c r="N19" i="13" s="1"/>
  <c r="L19" i="13"/>
  <c r="J19" i="13"/>
  <c r="T18" i="13"/>
  <c r="C518" i="74" s="1"/>
  <c r="P18" i="13"/>
  <c r="M18" i="13"/>
  <c r="N18" i="13" s="1"/>
  <c r="L18" i="13"/>
  <c r="J18" i="13"/>
  <c r="T17" i="13"/>
  <c r="C517" i="74" s="1"/>
  <c r="P17" i="13"/>
  <c r="BE42" i="31" s="1"/>
  <c r="N17" i="13"/>
  <c r="M17" i="13"/>
  <c r="L17" i="13"/>
  <c r="J17" i="13"/>
  <c r="T16" i="13"/>
  <c r="C516" i="74" s="1"/>
  <c r="P16" i="13"/>
  <c r="BE38" i="31" s="1"/>
  <c r="N16" i="13"/>
  <c r="M16" i="13"/>
  <c r="L16" i="13"/>
  <c r="J16" i="13"/>
  <c r="T15" i="13"/>
  <c r="C515" i="74" s="1"/>
  <c r="P15" i="13"/>
  <c r="BE32" i="31" s="1"/>
  <c r="M15" i="13"/>
  <c r="N15" i="13" s="1"/>
  <c r="L15" i="13"/>
  <c r="J15" i="13"/>
  <c r="T14" i="13"/>
  <c r="C514" i="74" s="1"/>
  <c r="P14" i="13"/>
  <c r="BE30" i="31" s="1"/>
  <c r="M14" i="13"/>
  <c r="L14" i="13"/>
  <c r="N14" i="13" s="1"/>
  <c r="J14" i="13"/>
  <c r="T13" i="13"/>
  <c r="C513" i="74" s="1"/>
  <c r="P13" i="13"/>
  <c r="BE28" i="31" s="1"/>
  <c r="M13" i="13"/>
  <c r="N13" i="13" s="1"/>
  <c r="L13" i="13"/>
  <c r="J13" i="13"/>
  <c r="T12" i="13"/>
  <c r="C512" i="74" s="1"/>
  <c r="P12" i="13"/>
  <c r="M12" i="13"/>
  <c r="L12" i="13"/>
  <c r="N12" i="13" s="1"/>
  <c r="J12" i="13"/>
  <c r="T11" i="13"/>
  <c r="C511" i="74" s="1"/>
  <c r="P11" i="13"/>
  <c r="BE21" i="31" s="1"/>
  <c r="M11" i="13"/>
  <c r="N11" i="13" s="1"/>
  <c r="L11" i="13"/>
  <c r="J11" i="13"/>
  <c r="T10" i="13"/>
  <c r="C510" i="74" s="1"/>
  <c r="P10" i="13"/>
  <c r="BE19" i="31" s="1"/>
  <c r="M10" i="13"/>
  <c r="N10" i="13" s="1"/>
  <c r="L10" i="13"/>
  <c r="J10" i="13"/>
  <c r="T9" i="13"/>
  <c r="C509" i="74" s="1"/>
  <c r="P9" i="13"/>
  <c r="M9" i="13"/>
  <c r="N9" i="13" s="1"/>
  <c r="L9" i="13"/>
  <c r="J9" i="13"/>
  <c r="T8" i="13"/>
  <c r="C508" i="74" s="1"/>
  <c r="P8" i="13"/>
  <c r="BE15" i="31" s="1"/>
  <c r="M8" i="13"/>
  <c r="L8" i="13"/>
  <c r="N8" i="13" s="1"/>
  <c r="J8" i="13"/>
  <c r="T7" i="13"/>
  <c r="C507" i="74" s="1"/>
  <c r="P7" i="13"/>
  <c r="BE14" i="31" s="1"/>
  <c r="M7" i="13"/>
  <c r="N7" i="13" s="1"/>
  <c r="L7" i="13"/>
  <c r="J7" i="13"/>
  <c r="T6" i="13"/>
  <c r="C506" i="74" s="1"/>
  <c r="P6" i="13"/>
  <c r="BE12" i="31" s="1"/>
  <c r="M6" i="13"/>
  <c r="L6" i="13"/>
  <c r="N6" i="13" s="1"/>
  <c r="J6" i="13"/>
  <c r="T5" i="13"/>
  <c r="C505" i="74" s="1"/>
  <c r="P5" i="13"/>
  <c r="BE11" i="31" s="1"/>
  <c r="M5" i="13"/>
  <c r="N5" i="13" s="1"/>
  <c r="L5" i="13"/>
  <c r="J5" i="13"/>
  <c r="J90" i="12"/>
  <c r="I90" i="12"/>
  <c r="C504" i="74" s="1"/>
  <c r="E90" i="12"/>
  <c r="J89" i="12"/>
  <c r="I89" i="12"/>
  <c r="C503" i="74" s="1"/>
  <c r="E89" i="12"/>
  <c r="J88" i="12"/>
  <c r="I88" i="12"/>
  <c r="C502" i="74" s="1"/>
  <c r="E88" i="12"/>
  <c r="J87" i="12"/>
  <c r="I87" i="12"/>
  <c r="C501" i="74" s="1"/>
  <c r="E87" i="12"/>
  <c r="J86" i="12"/>
  <c r="I86" i="12"/>
  <c r="C500" i="74" s="1"/>
  <c r="E86" i="12"/>
  <c r="J85" i="12"/>
  <c r="I85" i="12"/>
  <c r="C499" i="74" s="1"/>
  <c r="E85" i="12"/>
  <c r="J84" i="12"/>
  <c r="I84" i="12"/>
  <c r="C498" i="74" s="1"/>
  <c r="E84" i="12"/>
  <c r="J83" i="12"/>
  <c r="I83" i="12"/>
  <c r="C497" i="74" s="1"/>
  <c r="E83" i="12"/>
  <c r="J82" i="12"/>
  <c r="I82" i="12"/>
  <c r="C496" i="74" s="1"/>
  <c r="E82" i="12"/>
  <c r="J81" i="12"/>
  <c r="I81" i="12"/>
  <c r="C495" i="74" s="1"/>
  <c r="E81" i="12"/>
  <c r="J80" i="12"/>
  <c r="I80" i="12"/>
  <c r="C494" i="74" s="1"/>
  <c r="E80" i="12"/>
  <c r="J79" i="12"/>
  <c r="I79" i="12"/>
  <c r="C493" i="74" s="1"/>
  <c r="E79" i="12"/>
  <c r="J78" i="12"/>
  <c r="J77" i="12"/>
  <c r="I77" i="12"/>
  <c r="C492" i="74" s="1"/>
  <c r="E77" i="12"/>
  <c r="J76" i="12"/>
  <c r="I76" i="12"/>
  <c r="C491" i="74" s="1"/>
  <c r="E76" i="12"/>
  <c r="J75" i="12"/>
  <c r="I75" i="12"/>
  <c r="C490" i="74" s="1"/>
  <c r="E75" i="12"/>
  <c r="J74" i="12"/>
  <c r="I74" i="12"/>
  <c r="C489" i="74" s="1"/>
  <c r="E74" i="12"/>
  <c r="J73" i="12"/>
  <c r="I73" i="12"/>
  <c r="C488" i="74" s="1"/>
  <c r="E73" i="12"/>
  <c r="J72" i="12"/>
  <c r="I72" i="12"/>
  <c r="C487" i="74" s="1"/>
  <c r="E72" i="12"/>
  <c r="J71" i="12"/>
  <c r="I71" i="12"/>
  <c r="C486" i="74" s="1"/>
  <c r="E71" i="12"/>
  <c r="J70" i="12"/>
  <c r="I70" i="12"/>
  <c r="C485" i="74" s="1"/>
  <c r="E70" i="12"/>
  <c r="J69" i="12"/>
  <c r="I69" i="12"/>
  <c r="C484" i="74" s="1"/>
  <c r="E69" i="12"/>
  <c r="J68" i="12"/>
  <c r="I68" i="12"/>
  <c r="C483" i="74" s="1"/>
  <c r="E68" i="12"/>
  <c r="J67" i="12"/>
  <c r="I67" i="12"/>
  <c r="C482" i="74" s="1"/>
  <c r="E67" i="12"/>
  <c r="J66" i="12"/>
  <c r="I66" i="12"/>
  <c r="C481" i="74" s="1"/>
  <c r="E66" i="12"/>
  <c r="J65" i="12"/>
  <c r="I65" i="12"/>
  <c r="C480" i="74" s="1"/>
  <c r="E65" i="12"/>
  <c r="J64" i="12"/>
  <c r="I64" i="12"/>
  <c r="C479" i="74" s="1"/>
  <c r="E64" i="12"/>
  <c r="J63" i="12"/>
  <c r="I63" i="12"/>
  <c r="C478" i="74" s="1"/>
  <c r="E63" i="12"/>
  <c r="J62" i="12"/>
  <c r="I62" i="12"/>
  <c r="C477" i="74" s="1"/>
  <c r="E62" i="12"/>
  <c r="J61" i="12"/>
  <c r="I61" i="12"/>
  <c r="C476" i="74" s="1"/>
  <c r="E61" i="12"/>
  <c r="J60" i="12"/>
  <c r="I60" i="12"/>
  <c r="C475" i="74" s="1"/>
  <c r="E60" i="12"/>
  <c r="J59" i="12"/>
  <c r="I59" i="12"/>
  <c r="C474" i="74" s="1"/>
  <c r="E59" i="12"/>
  <c r="J58" i="12"/>
  <c r="I58" i="12"/>
  <c r="C473" i="74" s="1"/>
  <c r="E58" i="12"/>
  <c r="J57" i="12"/>
  <c r="I57" i="12"/>
  <c r="C472" i="74" s="1"/>
  <c r="E57" i="12"/>
  <c r="J56" i="12"/>
  <c r="I56" i="12"/>
  <c r="C471" i="74" s="1"/>
  <c r="E56" i="12"/>
  <c r="J55" i="12"/>
  <c r="I55" i="12"/>
  <c r="C470" i="74" s="1"/>
  <c r="E55" i="12"/>
  <c r="J54" i="12"/>
  <c r="I54" i="12"/>
  <c r="C469" i="74" s="1"/>
  <c r="E54" i="12"/>
  <c r="J53" i="12"/>
  <c r="I53" i="12"/>
  <c r="C468" i="74" s="1"/>
  <c r="E53" i="12"/>
  <c r="J52" i="12"/>
  <c r="I52" i="12"/>
  <c r="C467" i="74" s="1"/>
  <c r="E52" i="12"/>
  <c r="J51" i="12"/>
  <c r="I51" i="12"/>
  <c r="C466" i="74" s="1"/>
  <c r="E51" i="12"/>
  <c r="J50" i="12"/>
  <c r="I50" i="12"/>
  <c r="C465" i="74" s="1"/>
  <c r="E50" i="12"/>
  <c r="J49" i="12"/>
  <c r="I49" i="12"/>
  <c r="C464" i="74" s="1"/>
  <c r="E49" i="12"/>
  <c r="J48" i="12"/>
  <c r="I48" i="12"/>
  <c r="C463" i="74" s="1"/>
  <c r="E48" i="12"/>
  <c r="J47" i="12"/>
  <c r="I47" i="12"/>
  <c r="C462" i="74" s="1"/>
  <c r="E47" i="12"/>
  <c r="J46" i="12"/>
  <c r="I46" i="12"/>
  <c r="C461" i="74" s="1"/>
  <c r="E46" i="12"/>
  <c r="J45" i="12"/>
  <c r="I45" i="12"/>
  <c r="C460" i="74" s="1"/>
  <c r="E45" i="12"/>
  <c r="J44" i="12"/>
  <c r="I44" i="12"/>
  <c r="C459" i="74" s="1"/>
  <c r="E44" i="12"/>
  <c r="J43" i="12"/>
  <c r="J42" i="12"/>
  <c r="I42" i="12"/>
  <c r="C458" i="74" s="1"/>
  <c r="E42" i="12"/>
  <c r="J41" i="12"/>
  <c r="I41" i="12"/>
  <c r="C457" i="74" s="1"/>
  <c r="E41" i="12"/>
  <c r="J40" i="12"/>
  <c r="I40" i="12"/>
  <c r="C456" i="74" s="1"/>
  <c r="E40" i="12"/>
  <c r="J39" i="12"/>
  <c r="I39" i="12"/>
  <c r="C455" i="74" s="1"/>
  <c r="E39" i="12"/>
  <c r="J38" i="12"/>
  <c r="I38" i="12"/>
  <c r="C454" i="74" s="1"/>
  <c r="E38" i="12"/>
  <c r="J37" i="12"/>
  <c r="I37" i="12"/>
  <c r="C453" i="74" s="1"/>
  <c r="E37" i="12"/>
  <c r="J36" i="12"/>
  <c r="I36" i="12"/>
  <c r="C452" i="74" s="1"/>
  <c r="E36" i="12"/>
  <c r="J35" i="12"/>
  <c r="I35" i="12"/>
  <c r="C451" i="74" s="1"/>
  <c r="E35" i="12"/>
  <c r="J34" i="12"/>
  <c r="I34" i="12"/>
  <c r="C450" i="74" s="1"/>
  <c r="E34" i="12"/>
  <c r="J33" i="12"/>
  <c r="I33" i="12"/>
  <c r="C449" i="74" s="1"/>
  <c r="E33" i="12"/>
  <c r="J32" i="12"/>
  <c r="I32" i="12"/>
  <c r="C448" i="74" s="1"/>
  <c r="E32" i="12"/>
  <c r="J31" i="12"/>
  <c r="I31" i="12"/>
  <c r="C447" i="74" s="1"/>
  <c r="E31" i="12"/>
  <c r="J30" i="12"/>
  <c r="J29" i="12"/>
  <c r="I29" i="12"/>
  <c r="C446" i="74" s="1"/>
  <c r="E29" i="12"/>
  <c r="J28" i="12"/>
  <c r="I28" i="12"/>
  <c r="C445" i="74" s="1"/>
  <c r="E28" i="12"/>
  <c r="J27" i="12"/>
  <c r="I27" i="12"/>
  <c r="C444" i="74" s="1"/>
  <c r="E27" i="12"/>
  <c r="J26" i="12"/>
  <c r="I26" i="12"/>
  <c r="C443" i="74" s="1"/>
  <c r="E26" i="12"/>
  <c r="J25" i="12"/>
  <c r="I25" i="12"/>
  <c r="E25" i="12"/>
  <c r="J24" i="12"/>
  <c r="I24" i="12"/>
  <c r="C442" i="74" s="1"/>
  <c r="E24" i="12"/>
  <c r="J23" i="12"/>
  <c r="I23" i="12"/>
  <c r="C441" i="74" s="1"/>
  <c r="E23" i="12"/>
  <c r="J22" i="12"/>
  <c r="I22" i="12"/>
  <c r="C440" i="74" s="1"/>
  <c r="E22" i="12"/>
  <c r="J21" i="12"/>
  <c r="I21" i="12"/>
  <c r="C439" i="74" s="1"/>
  <c r="E21" i="12"/>
  <c r="J20" i="12"/>
  <c r="I20" i="12"/>
  <c r="C438" i="74" s="1"/>
  <c r="E20" i="12"/>
  <c r="J19" i="12"/>
  <c r="I19" i="12"/>
  <c r="C437" i="74" s="1"/>
  <c r="E19" i="12"/>
  <c r="J18" i="12"/>
  <c r="I18" i="12"/>
  <c r="C436" i="74" s="1"/>
  <c r="E18" i="12"/>
  <c r="J17" i="12"/>
  <c r="I17" i="12"/>
  <c r="E17" i="12"/>
  <c r="J16" i="12"/>
  <c r="I16" i="12"/>
  <c r="C435" i="74" s="1"/>
  <c r="E16" i="12"/>
  <c r="J15" i="12"/>
  <c r="I15" i="12"/>
  <c r="C434" i="74" s="1"/>
  <c r="E15" i="12"/>
  <c r="J14" i="12"/>
  <c r="I14" i="12"/>
  <c r="C433" i="74" s="1"/>
  <c r="E14" i="12"/>
  <c r="J13" i="12"/>
  <c r="I13" i="12"/>
  <c r="C432" i="74" s="1"/>
  <c r="E13" i="12"/>
  <c r="J12" i="12"/>
  <c r="I12" i="12"/>
  <c r="C431" i="74" s="1"/>
  <c r="E12" i="12"/>
  <c r="J11" i="12"/>
  <c r="I11" i="12"/>
  <c r="E11" i="12"/>
  <c r="J10" i="12"/>
  <c r="I10" i="12"/>
  <c r="C430" i="74" s="1"/>
  <c r="E10" i="12"/>
  <c r="J9" i="12"/>
  <c r="I9" i="12"/>
  <c r="C429" i="74" s="1"/>
  <c r="E9" i="12"/>
  <c r="J8" i="12"/>
  <c r="I8" i="12"/>
  <c r="C428" i="74" s="1"/>
  <c r="E8" i="12"/>
  <c r="J7" i="12"/>
  <c r="I7" i="12"/>
  <c r="C427" i="74" s="1"/>
  <c r="E7" i="12"/>
  <c r="J6" i="12"/>
  <c r="I6" i="12"/>
  <c r="C426" i="74" s="1"/>
  <c r="E6" i="12"/>
  <c r="J5" i="12"/>
  <c r="I5" i="12"/>
  <c r="C425" i="74" s="1"/>
  <c r="E5" i="12"/>
  <c r="J4" i="12"/>
  <c r="I4" i="12"/>
  <c r="C424" i="74" s="1"/>
  <c r="E4" i="12"/>
  <c r="J3" i="12"/>
  <c r="I3" i="12"/>
  <c r="C423" i="74" s="1"/>
  <c r="E3" i="12"/>
  <c r="C33" i="15"/>
  <c r="C11" i="15"/>
  <c r="B11" i="15"/>
  <c r="C10" i="15"/>
  <c r="B10" i="15"/>
  <c r="P9" i="15"/>
  <c r="X7" i="15" s="1"/>
  <c r="C9" i="15"/>
  <c r="B9" i="15"/>
  <c r="C8" i="15"/>
  <c r="B8" i="15"/>
  <c r="P7" i="15"/>
  <c r="X5" i="15" s="1"/>
  <c r="C7" i="15"/>
  <c r="B7" i="15"/>
  <c r="C6" i="15"/>
  <c r="B6" i="15"/>
  <c r="R5" i="15"/>
  <c r="Z3" i="15" s="1"/>
  <c r="P5" i="15"/>
  <c r="X3" i="15" s="1"/>
  <c r="C5" i="15"/>
  <c r="U5" i="15" s="1"/>
  <c r="B5" i="15"/>
  <c r="R4" i="15"/>
  <c r="L4" i="15"/>
  <c r="R8" i="15" s="1"/>
  <c r="K4" i="15"/>
  <c r="Q8" i="15" s="1"/>
  <c r="J4" i="15"/>
  <c r="P8" i="15" s="1"/>
  <c r="C4" i="15"/>
  <c r="B4" i="15"/>
  <c r="B13" i="15" s="1"/>
  <c r="Z2" i="15"/>
  <c r="C33" i="11"/>
  <c r="B13" i="11"/>
  <c r="T11" i="11"/>
  <c r="R11" i="11"/>
  <c r="Z9" i="11" s="1"/>
  <c r="Q11" i="11"/>
  <c r="Y9" i="11" s="1"/>
  <c r="C11" i="11"/>
  <c r="B11" i="11"/>
  <c r="T10" i="11"/>
  <c r="R10" i="11"/>
  <c r="Z8" i="11" s="1"/>
  <c r="Q10" i="11"/>
  <c r="Y8" i="11" s="1"/>
  <c r="C10" i="11"/>
  <c r="B10" i="11"/>
  <c r="U9" i="11"/>
  <c r="T9" i="11"/>
  <c r="R9" i="11"/>
  <c r="Z7" i="11" s="1"/>
  <c r="Q9" i="11"/>
  <c r="Y7" i="11" s="1"/>
  <c r="C9" i="11"/>
  <c r="B9" i="11"/>
  <c r="U8" i="11"/>
  <c r="R8" i="11"/>
  <c r="Z6" i="11" s="1"/>
  <c r="Q8" i="11"/>
  <c r="Y6" i="11" s="1"/>
  <c r="C8" i="11"/>
  <c r="B8" i="11"/>
  <c r="U7" i="11"/>
  <c r="R7" i="11"/>
  <c r="Z5" i="11" s="1"/>
  <c r="Q7" i="11"/>
  <c r="Y5" i="11" s="1"/>
  <c r="C7" i="11"/>
  <c r="B7" i="11"/>
  <c r="R6" i="11"/>
  <c r="Z4" i="11" s="1"/>
  <c r="Q6" i="11"/>
  <c r="Y4" i="11" s="1"/>
  <c r="C6" i="11"/>
  <c r="B6" i="11"/>
  <c r="U5" i="11"/>
  <c r="R5" i="11"/>
  <c r="Q5" i="11"/>
  <c r="DQ3" i="23" s="1"/>
  <c r="C5" i="11"/>
  <c r="B5" i="11"/>
  <c r="U4" i="11"/>
  <c r="R4" i="11"/>
  <c r="Q4" i="11"/>
  <c r="Y2" i="11" s="1"/>
  <c r="L4" i="11"/>
  <c r="K4" i="11"/>
  <c r="J4" i="11"/>
  <c r="P11" i="11" s="1"/>
  <c r="X9" i="11" s="1"/>
  <c r="C4" i="11"/>
  <c r="C13" i="11" s="1"/>
  <c r="B4" i="11"/>
  <c r="Z3" i="11"/>
  <c r="Z2" i="11"/>
  <c r="C11" i="10"/>
  <c r="I9" i="10"/>
  <c r="F9" i="10"/>
  <c r="D9" i="10"/>
  <c r="I8" i="10"/>
  <c r="F8" i="10"/>
  <c r="D8" i="10"/>
  <c r="T7" i="10"/>
  <c r="M7" i="10"/>
  <c r="I7" i="10"/>
  <c r="J7" i="10" s="1"/>
  <c r="F7" i="10"/>
  <c r="D7" i="10"/>
  <c r="M6" i="10"/>
  <c r="T6" i="10" s="1"/>
  <c r="I6" i="10"/>
  <c r="F6" i="10"/>
  <c r="D6" i="10"/>
  <c r="M5" i="10"/>
  <c r="T5" i="10" s="1"/>
  <c r="I5" i="10"/>
  <c r="J5" i="10" s="1"/>
  <c r="F5" i="10"/>
  <c r="D5" i="10"/>
  <c r="M4" i="10"/>
  <c r="T4" i="10" s="1"/>
  <c r="J4" i="10"/>
  <c r="I4" i="10"/>
  <c r="F4" i="10"/>
  <c r="D4" i="10"/>
  <c r="M3" i="10"/>
  <c r="T3" i="10" s="1"/>
  <c r="M2" i="10"/>
  <c r="T2" i="10" s="1"/>
  <c r="I9" i="20"/>
  <c r="I8" i="20"/>
  <c r="I7" i="20"/>
  <c r="I6" i="20"/>
  <c r="I5" i="20"/>
  <c r="I4" i="20"/>
  <c r="I3" i="20"/>
  <c r="I2" i="20"/>
  <c r="BC202" i="31"/>
  <c r="AA202" i="31" s="1"/>
  <c r="BB202" i="31"/>
  <c r="G202" i="31"/>
  <c r="F202" i="31"/>
  <c r="E202" i="31"/>
  <c r="BK201" i="31"/>
  <c r="AF201" i="31" s="1"/>
  <c r="BJ201" i="31"/>
  <c r="BC201" i="31"/>
  <c r="AA201" i="31" s="1"/>
  <c r="BB201" i="31"/>
  <c r="G201" i="31"/>
  <c r="F201" i="31"/>
  <c r="E201" i="31"/>
  <c r="G200" i="31"/>
  <c r="F200" i="31"/>
  <c r="E200" i="31"/>
  <c r="BK199" i="31"/>
  <c r="AF199" i="31" s="1"/>
  <c r="BJ199" i="31"/>
  <c r="G199" i="31"/>
  <c r="F199" i="31"/>
  <c r="E199" i="31"/>
  <c r="BK198" i="31"/>
  <c r="AF198" i="31" s="1"/>
  <c r="BJ198" i="31"/>
  <c r="BE198" i="31"/>
  <c r="BC198" i="31"/>
  <c r="AA198" i="31" s="1"/>
  <c r="BB198" i="31"/>
  <c r="G198" i="31"/>
  <c r="F198" i="31"/>
  <c r="E198" i="31"/>
  <c r="G197" i="31"/>
  <c r="F197" i="31"/>
  <c r="E197" i="31"/>
  <c r="G196" i="31"/>
  <c r="F196" i="31"/>
  <c r="E196" i="31"/>
  <c r="BK195" i="31"/>
  <c r="AF195" i="31" s="1"/>
  <c r="BJ195" i="31"/>
  <c r="BC195" i="31"/>
  <c r="AA195" i="31" s="1"/>
  <c r="BB195" i="31"/>
  <c r="G195" i="31"/>
  <c r="F195" i="31"/>
  <c r="E195" i="31"/>
  <c r="BK194" i="31"/>
  <c r="AF194" i="31" s="1"/>
  <c r="BJ194" i="31"/>
  <c r="BC194" i="31"/>
  <c r="AA194" i="31" s="1"/>
  <c r="BB194" i="31"/>
  <c r="G194" i="31"/>
  <c r="F194" i="31"/>
  <c r="E194" i="31"/>
  <c r="BK193" i="31"/>
  <c r="AF193" i="31" s="1"/>
  <c r="BJ193" i="31"/>
  <c r="BE193" i="31"/>
  <c r="BC193" i="31"/>
  <c r="AA193" i="31" s="1"/>
  <c r="BB193" i="31"/>
  <c r="G193" i="31"/>
  <c r="F193" i="31"/>
  <c r="E193" i="31"/>
  <c r="G192" i="31"/>
  <c r="F192" i="31"/>
  <c r="E192" i="31"/>
  <c r="BK191" i="31"/>
  <c r="AF191" i="31" s="1"/>
  <c r="BJ191" i="31"/>
  <c r="G191" i="31"/>
  <c r="F191" i="31"/>
  <c r="E191" i="31"/>
  <c r="BK190" i="31"/>
  <c r="AF190" i="31" s="1"/>
  <c r="BJ190" i="31"/>
  <c r="G190" i="31"/>
  <c r="F190" i="31"/>
  <c r="E190" i="31"/>
  <c r="G189" i="31"/>
  <c r="F189" i="31"/>
  <c r="E189" i="31"/>
  <c r="G188" i="31"/>
  <c r="F188" i="31"/>
  <c r="E188" i="31"/>
  <c r="BK187" i="31"/>
  <c r="AF187" i="31" s="1"/>
  <c r="BJ187" i="31"/>
  <c r="BC187" i="31"/>
  <c r="AA187" i="31" s="1"/>
  <c r="BB187" i="31"/>
  <c r="G187" i="31"/>
  <c r="F187" i="31"/>
  <c r="E187" i="31"/>
  <c r="BC186" i="31"/>
  <c r="AA186" i="31" s="1"/>
  <c r="BB186" i="31"/>
  <c r="G186" i="31"/>
  <c r="F186" i="31"/>
  <c r="E186" i="31"/>
  <c r="BK185" i="31"/>
  <c r="AF185" i="31" s="1"/>
  <c r="BJ185" i="31"/>
  <c r="BC185" i="31"/>
  <c r="AA185" i="31" s="1"/>
  <c r="BB185" i="31"/>
  <c r="G185" i="31"/>
  <c r="F185" i="31"/>
  <c r="E185" i="31"/>
  <c r="G184" i="31"/>
  <c r="F184" i="31"/>
  <c r="E184" i="31"/>
  <c r="G183" i="31"/>
  <c r="F183" i="31"/>
  <c r="E183" i="31"/>
  <c r="G182" i="31"/>
  <c r="F182" i="31"/>
  <c r="E182" i="31"/>
  <c r="BK181" i="31"/>
  <c r="AF181" i="31" s="1"/>
  <c r="BJ181" i="31"/>
  <c r="BC181" i="31"/>
  <c r="AA181" i="31" s="1"/>
  <c r="BB181" i="31"/>
  <c r="G181" i="31"/>
  <c r="F181" i="31"/>
  <c r="E181" i="31"/>
  <c r="BK180" i="31"/>
  <c r="AF180" i="31" s="1"/>
  <c r="BJ180" i="31"/>
  <c r="BC180" i="31"/>
  <c r="AA180" i="31" s="1"/>
  <c r="BB180" i="31"/>
  <c r="G180" i="31"/>
  <c r="F180" i="31"/>
  <c r="E180" i="31"/>
  <c r="G179" i="31"/>
  <c r="F179" i="31"/>
  <c r="E179" i="31"/>
  <c r="G178" i="31"/>
  <c r="F178" i="31"/>
  <c r="E178" i="31"/>
  <c r="BK177" i="31"/>
  <c r="AF177" i="31" s="1"/>
  <c r="BJ177" i="31"/>
  <c r="BE177" i="31"/>
  <c r="BC177" i="31"/>
  <c r="AA177" i="31" s="1"/>
  <c r="BB177" i="31"/>
  <c r="G177" i="31"/>
  <c r="F177" i="31"/>
  <c r="E177" i="31"/>
  <c r="BK176" i="31"/>
  <c r="AF176" i="31" s="1"/>
  <c r="BJ176" i="31"/>
  <c r="BC176" i="31"/>
  <c r="AA176" i="31" s="1"/>
  <c r="BB176" i="31"/>
  <c r="G176" i="31"/>
  <c r="F176" i="31"/>
  <c r="E176" i="31"/>
  <c r="BC175" i="31"/>
  <c r="AA175" i="31" s="1"/>
  <c r="BB175" i="31"/>
  <c r="G175" i="31"/>
  <c r="F175" i="31"/>
  <c r="E175" i="31"/>
  <c r="BC174" i="31"/>
  <c r="AA174" i="31" s="1"/>
  <c r="BB174" i="31"/>
  <c r="G174" i="31"/>
  <c r="F174" i="31"/>
  <c r="E174" i="31"/>
  <c r="G173" i="31"/>
  <c r="F173" i="31"/>
  <c r="E173" i="31"/>
  <c r="BC172" i="31"/>
  <c r="AA172" i="31" s="1"/>
  <c r="BB172" i="31"/>
  <c r="G172" i="31"/>
  <c r="F172" i="31"/>
  <c r="E172" i="31"/>
  <c r="BK171" i="31"/>
  <c r="AF171" i="31" s="1"/>
  <c r="BJ171" i="31"/>
  <c r="BC171" i="31"/>
  <c r="AA171" i="31" s="1"/>
  <c r="BB171" i="31"/>
  <c r="G171" i="31"/>
  <c r="F171" i="31"/>
  <c r="E171" i="31"/>
  <c r="BK170" i="31"/>
  <c r="AF170" i="31" s="1"/>
  <c r="BJ170" i="31"/>
  <c r="BC170" i="31"/>
  <c r="AA170" i="31" s="1"/>
  <c r="BB170" i="31"/>
  <c r="G170" i="31"/>
  <c r="F170" i="31"/>
  <c r="E170" i="31"/>
  <c r="BK169" i="31"/>
  <c r="AF169" i="31" s="1"/>
  <c r="BJ169" i="31"/>
  <c r="BE169" i="31"/>
  <c r="G169" i="31"/>
  <c r="F169" i="31"/>
  <c r="E169" i="31"/>
  <c r="G168" i="31"/>
  <c r="F168" i="31"/>
  <c r="E168" i="31"/>
  <c r="BK167" i="31"/>
  <c r="AF167" i="31" s="1"/>
  <c r="BJ167" i="31"/>
  <c r="G167" i="31"/>
  <c r="F167" i="31"/>
  <c r="E167" i="31"/>
  <c r="BK166" i="31"/>
  <c r="AF166" i="31" s="1"/>
  <c r="BJ166" i="31"/>
  <c r="BE166" i="31"/>
  <c r="G166" i="31"/>
  <c r="F166" i="31"/>
  <c r="E166" i="31"/>
  <c r="BK165" i="31"/>
  <c r="AF165" i="31" s="1"/>
  <c r="BJ165" i="31"/>
  <c r="G165" i="31"/>
  <c r="F165" i="31"/>
  <c r="E165" i="31"/>
  <c r="BC164" i="31"/>
  <c r="AA164" i="31" s="1"/>
  <c r="BB164" i="31"/>
  <c r="G164" i="31"/>
  <c r="F164" i="31"/>
  <c r="E164" i="31"/>
  <c r="G163" i="31"/>
  <c r="F163" i="31"/>
  <c r="E163" i="31"/>
  <c r="BC162" i="31"/>
  <c r="AA162" i="31" s="1"/>
  <c r="BB162" i="31"/>
  <c r="G162" i="31"/>
  <c r="F162" i="31"/>
  <c r="E162" i="31"/>
  <c r="BC161" i="31"/>
  <c r="AA161" i="31" s="1"/>
  <c r="BB161" i="31"/>
  <c r="G161" i="31"/>
  <c r="F161" i="31"/>
  <c r="E161" i="31"/>
  <c r="BK160" i="31"/>
  <c r="AF160" i="31" s="1"/>
  <c r="BJ160" i="31"/>
  <c r="G160" i="31"/>
  <c r="F160" i="31"/>
  <c r="E160" i="31"/>
  <c r="G159" i="31"/>
  <c r="F159" i="31"/>
  <c r="E159" i="31"/>
  <c r="G158" i="31"/>
  <c r="F158" i="31"/>
  <c r="E158" i="31"/>
  <c r="G157" i="31"/>
  <c r="F157" i="31"/>
  <c r="E157" i="31"/>
  <c r="BC156" i="31"/>
  <c r="AA156" i="31" s="1"/>
  <c r="BB156" i="31"/>
  <c r="G156" i="31"/>
  <c r="F156" i="31"/>
  <c r="E156" i="31"/>
  <c r="G155" i="31"/>
  <c r="F155" i="31"/>
  <c r="E155" i="31"/>
  <c r="G154" i="31"/>
  <c r="F154" i="31"/>
  <c r="E154" i="31"/>
  <c r="BK153" i="31"/>
  <c r="AF153" i="31" s="1"/>
  <c r="BJ153" i="31"/>
  <c r="BC153" i="31"/>
  <c r="AA153" i="31" s="1"/>
  <c r="BB153" i="31"/>
  <c r="G153" i="31"/>
  <c r="F153" i="31"/>
  <c r="E153" i="31"/>
  <c r="BK152" i="31"/>
  <c r="AF152" i="31" s="1"/>
  <c r="BJ152" i="31"/>
  <c r="BE152" i="31"/>
  <c r="G152" i="31"/>
  <c r="F152" i="31"/>
  <c r="E152" i="31"/>
  <c r="BK151" i="31"/>
  <c r="AF151" i="31" s="1"/>
  <c r="BJ151" i="31"/>
  <c r="BE151" i="31"/>
  <c r="BC151" i="31"/>
  <c r="AA151" i="31" s="1"/>
  <c r="BB151" i="31"/>
  <c r="G151" i="31"/>
  <c r="F151" i="31"/>
  <c r="E151" i="31"/>
  <c r="G150" i="31"/>
  <c r="F150" i="31"/>
  <c r="E150" i="31"/>
  <c r="G149" i="31"/>
  <c r="F149" i="31"/>
  <c r="E149" i="31"/>
  <c r="BC148" i="31"/>
  <c r="AA148" i="31" s="1"/>
  <c r="BB148" i="31"/>
  <c r="G148" i="31"/>
  <c r="F148" i="31"/>
  <c r="E148" i="31"/>
  <c r="BK147" i="31"/>
  <c r="AF147" i="31" s="1"/>
  <c r="BJ147" i="31"/>
  <c r="BC147" i="31"/>
  <c r="AA147" i="31" s="1"/>
  <c r="BB147" i="31"/>
  <c r="G147" i="31"/>
  <c r="F147" i="31"/>
  <c r="E147" i="31"/>
  <c r="BK146" i="31"/>
  <c r="AF146" i="31" s="1"/>
  <c r="BJ146" i="31"/>
  <c r="BC146" i="31"/>
  <c r="AA146" i="31" s="1"/>
  <c r="BB146" i="31"/>
  <c r="G146" i="31"/>
  <c r="F146" i="31"/>
  <c r="E146" i="31"/>
  <c r="BK145" i="31"/>
  <c r="AF145" i="31" s="1"/>
  <c r="BJ145" i="31"/>
  <c r="BE145" i="31"/>
  <c r="BC145" i="31"/>
  <c r="AA145" i="31" s="1"/>
  <c r="BB145" i="31"/>
  <c r="G145" i="31"/>
  <c r="F145" i="31"/>
  <c r="E145" i="31"/>
  <c r="BC144" i="31"/>
  <c r="AA144" i="31" s="1"/>
  <c r="BB144" i="31"/>
  <c r="G144" i="31"/>
  <c r="F144" i="31"/>
  <c r="E144" i="31"/>
  <c r="G143" i="31"/>
  <c r="F143" i="31"/>
  <c r="E143" i="31"/>
  <c r="BC142" i="31"/>
  <c r="AA142" i="31" s="1"/>
  <c r="BB142" i="31"/>
  <c r="G142" i="31"/>
  <c r="F142" i="31"/>
  <c r="E142" i="31"/>
  <c r="G141" i="31"/>
  <c r="F141" i="31"/>
  <c r="E141" i="31"/>
  <c r="G140" i="31"/>
  <c r="F140" i="31"/>
  <c r="E140" i="31"/>
  <c r="BK139" i="31"/>
  <c r="AF139" i="31" s="1"/>
  <c r="BJ139" i="31"/>
  <c r="BC139" i="31"/>
  <c r="AA139" i="31" s="1"/>
  <c r="BB139" i="31"/>
  <c r="G139" i="31"/>
  <c r="F139" i="31"/>
  <c r="E139" i="31"/>
  <c r="G138" i="31"/>
  <c r="F138" i="31"/>
  <c r="E138" i="31"/>
  <c r="BK137" i="31"/>
  <c r="AF137" i="31" s="1"/>
  <c r="BJ137" i="31"/>
  <c r="BC137" i="31"/>
  <c r="AA137" i="31" s="1"/>
  <c r="BB137" i="31"/>
  <c r="G137" i="31"/>
  <c r="F137" i="31"/>
  <c r="E137" i="31"/>
  <c r="BK136" i="31"/>
  <c r="AF136" i="31" s="1"/>
  <c r="BJ136" i="31"/>
  <c r="BC136" i="31"/>
  <c r="AA136" i="31" s="1"/>
  <c r="BB136" i="31"/>
  <c r="G136" i="31"/>
  <c r="F136" i="31"/>
  <c r="E136" i="31"/>
  <c r="G135" i="31"/>
  <c r="F135" i="31"/>
  <c r="E135" i="31"/>
  <c r="G134" i="31"/>
  <c r="F134" i="31"/>
  <c r="E134" i="31"/>
  <c r="BK133" i="31"/>
  <c r="AF133" i="31" s="1"/>
  <c r="BJ133" i="31"/>
  <c r="BC133" i="31"/>
  <c r="AA133" i="31" s="1"/>
  <c r="BB133" i="31"/>
  <c r="G133" i="31"/>
  <c r="F133" i="31"/>
  <c r="E133" i="31"/>
  <c r="BK132" i="31"/>
  <c r="AF132" i="31" s="1"/>
  <c r="BJ132" i="31"/>
  <c r="BC132" i="31"/>
  <c r="AA132" i="31" s="1"/>
  <c r="BB132" i="31"/>
  <c r="G132" i="31"/>
  <c r="F132" i="31"/>
  <c r="E132" i="31"/>
  <c r="BC131" i="31"/>
  <c r="AA131" i="31" s="1"/>
  <c r="BB131" i="31"/>
  <c r="G131" i="31"/>
  <c r="F131" i="31"/>
  <c r="E131" i="31"/>
  <c r="G130" i="31"/>
  <c r="F130" i="31"/>
  <c r="E130" i="31"/>
  <c r="G129" i="31"/>
  <c r="F129" i="31"/>
  <c r="E129" i="31"/>
  <c r="BK128" i="31"/>
  <c r="AF128" i="31" s="1"/>
  <c r="BJ128" i="31"/>
  <c r="BC128" i="31"/>
  <c r="AA128" i="31" s="1"/>
  <c r="BB128" i="31"/>
  <c r="G128" i="31"/>
  <c r="F128" i="31"/>
  <c r="E128" i="31"/>
  <c r="G127" i="31"/>
  <c r="F127" i="31"/>
  <c r="E127" i="31"/>
  <c r="G126" i="31"/>
  <c r="F126" i="31"/>
  <c r="E126" i="31"/>
  <c r="G125" i="31"/>
  <c r="F125" i="31"/>
  <c r="E125" i="31"/>
  <c r="BK124" i="31"/>
  <c r="AF124" i="31" s="1"/>
  <c r="BJ124" i="31"/>
  <c r="BE124" i="31"/>
  <c r="G124" i="31"/>
  <c r="F124" i="31"/>
  <c r="E124" i="31"/>
  <c r="G123" i="31"/>
  <c r="F123" i="31"/>
  <c r="E123" i="31"/>
  <c r="BK122" i="31"/>
  <c r="AF122" i="31" s="1"/>
  <c r="BJ122" i="31"/>
  <c r="BE122" i="31"/>
  <c r="BC122" i="31"/>
  <c r="AA122" i="31" s="1"/>
  <c r="BB122" i="31"/>
  <c r="G122" i="31"/>
  <c r="F122" i="31"/>
  <c r="E122" i="31"/>
  <c r="BC121" i="31"/>
  <c r="AA121" i="31" s="1"/>
  <c r="BB121" i="31"/>
  <c r="G121" i="31"/>
  <c r="F121" i="31"/>
  <c r="E121" i="31"/>
  <c r="G120" i="31"/>
  <c r="F120" i="31"/>
  <c r="E120" i="31"/>
  <c r="G119" i="31"/>
  <c r="F119" i="31"/>
  <c r="E119" i="31"/>
  <c r="G118" i="31"/>
  <c r="F118" i="31"/>
  <c r="E118" i="31"/>
  <c r="BK117" i="31"/>
  <c r="AF117" i="31" s="1"/>
  <c r="BJ117" i="31"/>
  <c r="BC117" i="31"/>
  <c r="AA117" i="31" s="1"/>
  <c r="BB117" i="31"/>
  <c r="G117" i="31"/>
  <c r="F117" i="31"/>
  <c r="E117" i="31"/>
  <c r="G116" i="31"/>
  <c r="F116" i="31"/>
  <c r="E116" i="31"/>
  <c r="BK115" i="31"/>
  <c r="AF115" i="31" s="1"/>
  <c r="BJ115" i="31"/>
  <c r="BC115" i="31"/>
  <c r="AA115" i="31" s="1"/>
  <c r="BB115" i="31"/>
  <c r="G115" i="31"/>
  <c r="F115" i="31"/>
  <c r="E115" i="31"/>
  <c r="BC114" i="31"/>
  <c r="AA114" i="31" s="1"/>
  <c r="BB114" i="31"/>
  <c r="G114" i="31"/>
  <c r="F114" i="31"/>
  <c r="E114" i="31"/>
  <c r="BC113" i="31"/>
  <c r="AA113" i="31" s="1"/>
  <c r="BB113" i="31"/>
  <c r="G113" i="31"/>
  <c r="F113" i="31"/>
  <c r="E113" i="31"/>
  <c r="BK112" i="31"/>
  <c r="AF112" i="31" s="1"/>
  <c r="BJ112" i="31"/>
  <c r="G112" i="31"/>
  <c r="F112" i="31"/>
  <c r="E112" i="31"/>
  <c r="G111" i="31"/>
  <c r="F111" i="31"/>
  <c r="E111" i="31"/>
  <c r="BC110" i="31"/>
  <c r="AA110" i="31" s="1"/>
  <c r="BB110" i="31"/>
  <c r="G110" i="31"/>
  <c r="F110" i="31"/>
  <c r="E110" i="31"/>
  <c r="BK109" i="31"/>
  <c r="AF109" i="31" s="1"/>
  <c r="BJ109" i="31"/>
  <c r="G109" i="31"/>
  <c r="F109" i="31"/>
  <c r="E109" i="31"/>
  <c r="G108" i="31"/>
  <c r="F108" i="31"/>
  <c r="E108" i="31"/>
  <c r="G107" i="31"/>
  <c r="F107" i="31"/>
  <c r="E107" i="31"/>
  <c r="G106" i="31"/>
  <c r="F106" i="31"/>
  <c r="E106" i="31"/>
  <c r="G105" i="31"/>
  <c r="F105" i="31"/>
  <c r="E105" i="31"/>
  <c r="G104" i="31"/>
  <c r="F104" i="31"/>
  <c r="E104" i="31"/>
  <c r="BK103" i="31"/>
  <c r="AF103" i="31" s="1"/>
  <c r="BJ103" i="31"/>
  <c r="G103" i="31"/>
  <c r="F103" i="31"/>
  <c r="E103" i="31"/>
  <c r="G102" i="31"/>
  <c r="F102" i="31"/>
  <c r="E102" i="31"/>
  <c r="BK101" i="31"/>
  <c r="AF101" i="31" s="1"/>
  <c r="BJ101" i="31"/>
  <c r="G101" i="31"/>
  <c r="F101" i="31"/>
  <c r="E101" i="31"/>
  <c r="G100" i="31"/>
  <c r="F100" i="31"/>
  <c r="E100" i="31"/>
  <c r="G99" i="31"/>
  <c r="F99" i="31"/>
  <c r="E99" i="31"/>
  <c r="G98" i="31"/>
  <c r="F98" i="31"/>
  <c r="E98" i="31"/>
  <c r="BC97" i="31"/>
  <c r="AA97" i="31" s="1"/>
  <c r="BB97" i="31"/>
  <c r="G97" i="31"/>
  <c r="F97" i="31"/>
  <c r="E97" i="31"/>
  <c r="G96" i="31"/>
  <c r="F96" i="31"/>
  <c r="E96" i="31"/>
  <c r="BK95" i="31"/>
  <c r="AF95" i="31" s="1"/>
  <c r="BJ95" i="31"/>
  <c r="G95" i="31"/>
  <c r="F95" i="31"/>
  <c r="E95" i="31"/>
  <c r="BK94" i="31"/>
  <c r="AF94" i="31" s="1"/>
  <c r="BJ94" i="31"/>
  <c r="BC94" i="31"/>
  <c r="AA94" i="31" s="1"/>
  <c r="BB94" i="31"/>
  <c r="G94" i="31"/>
  <c r="F94" i="31"/>
  <c r="E94" i="31"/>
  <c r="G93" i="31"/>
  <c r="F93" i="31"/>
  <c r="E93" i="31"/>
  <c r="BK92" i="31"/>
  <c r="AF92" i="31" s="1"/>
  <c r="BJ92" i="31"/>
  <c r="BE92" i="31"/>
  <c r="BC92" i="31"/>
  <c r="AA92" i="31" s="1"/>
  <c r="BB92" i="31"/>
  <c r="G92" i="31"/>
  <c r="F92" i="31"/>
  <c r="E92" i="31"/>
  <c r="BK91" i="31"/>
  <c r="AF91" i="31" s="1"/>
  <c r="BJ91" i="31"/>
  <c r="BE91" i="31"/>
  <c r="BC91" i="31"/>
  <c r="AA91" i="31" s="1"/>
  <c r="BB91" i="31"/>
  <c r="G91" i="31"/>
  <c r="F91" i="31"/>
  <c r="E91" i="31"/>
  <c r="G90" i="31"/>
  <c r="F90" i="31"/>
  <c r="E90" i="31"/>
  <c r="BC89" i="31"/>
  <c r="AA89" i="31" s="1"/>
  <c r="BB89" i="31"/>
  <c r="G89" i="31"/>
  <c r="F89" i="31"/>
  <c r="E89" i="31"/>
  <c r="BK88" i="31"/>
  <c r="AF88" i="31" s="1"/>
  <c r="BJ88" i="31"/>
  <c r="G88" i="31"/>
  <c r="F88" i="31"/>
  <c r="E88" i="31"/>
  <c r="BK87" i="31"/>
  <c r="AF87" i="31" s="1"/>
  <c r="BJ87" i="31"/>
  <c r="BC87" i="31"/>
  <c r="AA87" i="31" s="1"/>
  <c r="BB87" i="31"/>
  <c r="G87" i="31"/>
  <c r="F87" i="31"/>
  <c r="E87" i="31"/>
  <c r="BK86" i="31"/>
  <c r="AF86" i="31" s="1"/>
  <c r="BJ86" i="31"/>
  <c r="BC86" i="31"/>
  <c r="AA86" i="31" s="1"/>
  <c r="BB86" i="31"/>
  <c r="G86" i="31"/>
  <c r="F86" i="31"/>
  <c r="E86" i="31"/>
  <c r="BK85" i="31"/>
  <c r="AF85" i="31" s="1"/>
  <c r="BJ85" i="31"/>
  <c r="BC85" i="31"/>
  <c r="AA85" i="31" s="1"/>
  <c r="BB85" i="31"/>
  <c r="G85" i="31"/>
  <c r="F85" i="31"/>
  <c r="E85" i="31"/>
  <c r="BC84" i="31"/>
  <c r="AA84" i="31" s="1"/>
  <c r="BB84" i="31"/>
  <c r="G84" i="31"/>
  <c r="F84" i="31"/>
  <c r="E84" i="31"/>
  <c r="BK83" i="31"/>
  <c r="AF83" i="31" s="1"/>
  <c r="BJ83" i="31"/>
  <c r="BC83" i="31"/>
  <c r="AA83" i="31" s="1"/>
  <c r="BB83" i="31"/>
  <c r="G83" i="31"/>
  <c r="F83" i="31"/>
  <c r="E83" i="31"/>
  <c r="BK82" i="31"/>
  <c r="AF82" i="31" s="1"/>
  <c r="BJ82" i="31"/>
  <c r="BC82" i="31"/>
  <c r="AA82" i="31" s="1"/>
  <c r="BB82" i="31"/>
  <c r="G82" i="31"/>
  <c r="F82" i="31"/>
  <c r="E82" i="31"/>
  <c r="BC81" i="31"/>
  <c r="AA81" i="31" s="1"/>
  <c r="BB81" i="31"/>
  <c r="G81" i="31"/>
  <c r="F81" i="31"/>
  <c r="E81" i="31"/>
  <c r="G80" i="31"/>
  <c r="F80" i="31"/>
  <c r="E80" i="31"/>
  <c r="G79" i="31"/>
  <c r="F79" i="31"/>
  <c r="E79" i="31"/>
  <c r="G78" i="31"/>
  <c r="F78" i="31"/>
  <c r="E78" i="31"/>
  <c r="G77" i="31"/>
  <c r="F77" i="31"/>
  <c r="E77" i="31"/>
  <c r="BK76" i="31"/>
  <c r="AF76" i="31" s="1"/>
  <c r="BJ76" i="31"/>
  <c r="BC76" i="31"/>
  <c r="AA76" i="31" s="1"/>
  <c r="BB76" i="31"/>
  <c r="G76" i="31"/>
  <c r="F76" i="31"/>
  <c r="E76" i="31"/>
  <c r="BC75" i="31"/>
  <c r="AA75" i="31" s="1"/>
  <c r="BB75" i="31"/>
  <c r="G75" i="31"/>
  <c r="F75" i="31"/>
  <c r="E75" i="31"/>
  <c r="G74" i="31"/>
  <c r="F74" i="31"/>
  <c r="E74" i="31"/>
  <c r="BC73" i="31"/>
  <c r="AA73" i="31" s="1"/>
  <c r="BB73" i="31"/>
  <c r="G73" i="31"/>
  <c r="F73" i="31"/>
  <c r="E73" i="31"/>
  <c r="BK72" i="31"/>
  <c r="AF72" i="31" s="1"/>
  <c r="BJ72" i="31"/>
  <c r="BE72" i="31"/>
  <c r="G72" i="31"/>
  <c r="F72" i="31"/>
  <c r="E72" i="31"/>
  <c r="BK71" i="31"/>
  <c r="AF71" i="31" s="1"/>
  <c r="BJ71" i="31"/>
  <c r="BC71" i="31"/>
  <c r="AA71" i="31" s="1"/>
  <c r="BB71" i="31"/>
  <c r="G71" i="31"/>
  <c r="F71" i="31"/>
  <c r="E71" i="31"/>
  <c r="BK70" i="31"/>
  <c r="AF70" i="31" s="1"/>
  <c r="BJ70" i="31"/>
  <c r="G70" i="31"/>
  <c r="F70" i="31"/>
  <c r="E70" i="31"/>
  <c r="G69" i="31"/>
  <c r="F69" i="31"/>
  <c r="E69" i="31"/>
  <c r="G68" i="31"/>
  <c r="F68" i="31"/>
  <c r="E68" i="31"/>
  <c r="BK67" i="31"/>
  <c r="AF67" i="31" s="1"/>
  <c r="BJ67" i="31"/>
  <c r="BC67" i="31"/>
  <c r="AA67" i="31" s="1"/>
  <c r="BB67" i="31"/>
  <c r="G67" i="31"/>
  <c r="F67" i="31"/>
  <c r="E67" i="31"/>
  <c r="BK66" i="31"/>
  <c r="AF66" i="31" s="1"/>
  <c r="BJ66" i="31"/>
  <c r="BC66" i="31"/>
  <c r="AA66" i="31" s="1"/>
  <c r="BB66" i="31"/>
  <c r="G66" i="31"/>
  <c r="F66" i="31"/>
  <c r="E66" i="31"/>
  <c r="G65" i="31"/>
  <c r="F65" i="31"/>
  <c r="E65" i="31"/>
  <c r="G64" i="31"/>
  <c r="F64" i="31"/>
  <c r="E64" i="31"/>
  <c r="BK63" i="31"/>
  <c r="AF63" i="31" s="1"/>
  <c r="BJ63" i="31"/>
  <c r="G63" i="31"/>
  <c r="F63" i="31"/>
  <c r="E63" i="31"/>
  <c r="BK62" i="31"/>
  <c r="AF62" i="31" s="1"/>
  <c r="BJ62" i="31"/>
  <c r="G62" i="31"/>
  <c r="F62" i="31"/>
  <c r="E62" i="31"/>
  <c r="G61" i="31"/>
  <c r="F61" i="31"/>
  <c r="E61" i="31"/>
  <c r="G60" i="31"/>
  <c r="F60" i="31"/>
  <c r="E60" i="31"/>
  <c r="BK59" i="31"/>
  <c r="AF59" i="31" s="1"/>
  <c r="BJ59" i="31"/>
  <c r="BC59" i="31"/>
  <c r="AA59" i="31" s="1"/>
  <c r="BB59" i="31"/>
  <c r="G59" i="31"/>
  <c r="F59" i="31"/>
  <c r="E59" i="31"/>
  <c r="BK58" i="31"/>
  <c r="AF58" i="31" s="1"/>
  <c r="BJ58" i="31"/>
  <c r="BC58" i="31"/>
  <c r="AA58" i="31" s="1"/>
  <c r="BB58" i="31"/>
  <c r="G58" i="31"/>
  <c r="F58" i="31"/>
  <c r="E58" i="31"/>
  <c r="BC57" i="31"/>
  <c r="AA57" i="31" s="1"/>
  <c r="BB57" i="31"/>
  <c r="G57" i="31"/>
  <c r="F57" i="31"/>
  <c r="E57" i="31"/>
  <c r="BK56" i="31"/>
  <c r="AF56" i="31" s="1"/>
  <c r="BJ56" i="31"/>
  <c r="BE56" i="31"/>
  <c r="G56" i="31"/>
  <c r="F56" i="31"/>
  <c r="E56" i="31"/>
  <c r="BC55" i="31"/>
  <c r="AA55" i="31" s="1"/>
  <c r="BB55" i="31"/>
  <c r="G55" i="31"/>
  <c r="F55" i="31"/>
  <c r="E55" i="31"/>
  <c r="G54" i="31"/>
  <c r="F54" i="31"/>
  <c r="E54" i="31"/>
  <c r="BC53" i="31"/>
  <c r="AA53" i="31" s="1"/>
  <c r="BB53" i="31"/>
  <c r="G53" i="31"/>
  <c r="F53" i="31"/>
  <c r="E53" i="31"/>
  <c r="BK52" i="31"/>
  <c r="AF52" i="31" s="1"/>
  <c r="BJ52" i="31"/>
  <c r="G52" i="31"/>
  <c r="F52" i="31"/>
  <c r="E52" i="31"/>
  <c r="BK51" i="31"/>
  <c r="AF51" i="31" s="1"/>
  <c r="BJ51" i="31"/>
  <c r="G51" i="31"/>
  <c r="F51" i="31"/>
  <c r="E51" i="31"/>
  <c r="G50" i="31"/>
  <c r="F50" i="31"/>
  <c r="E50" i="31"/>
  <c r="BK49" i="31"/>
  <c r="AF49" i="31" s="1"/>
  <c r="BJ49" i="31"/>
  <c r="G49" i="31"/>
  <c r="F49" i="31"/>
  <c r="E49" i="31"/>
  <c r="BC48" i="31"/>
  <c r="AA48" i="31" s="1"/>
  <c r="BB48" i="31"/>
  <c r="G48" i="31"/>
  <c r="F48" i="31"/>
  <c r="E48" i="31"/>
  <c r="BC47" i="31"/>
  <c r="AA47" i="31" s="1"/>
  <c r="BB47" i="31"/>
  <c r="G47" i="31"/>
  <c r="F47" i="31"/>
  <c r="E47" i="31"/>
  <c r="G46" i="31"/>
  <c r="F46" i="31"/>
  <c r="E46" i="31"/>
  <c r="G45" i="31"/>
  <c r="F45" i="31"/>
  <c r="E45" i="31"/>
  <c r="BK44" i="31"/>
  <c r="AF44" i="31" s="1"/>
  <c r="BJ44" i="31"/>
  <c r="G44" i="31"/>
  <c r="F44" i="31"/>
  <c r="E44" i="31"/>
  <c r="BK43" i="31"/>
  <c r="AF43" i="31" s="1"/>
  <c r="BJ43" i="31"/>
  <c r="BE43" i="31"/>
  <c r="G43" i="31"/>
  <c r="F43" i="31"/>
  <c r="E43" i="31"/>
  <c r="BK42" i="31"/>
  <c r="AF42" i="31" s="1"/>
  <c r="BJ42" i="31"/>
  <c r="BC42" i="31"/>
  <c r="AA42" i="31" s="1"/>
  <c r="BB42" i="31"/>
  <c r="G42" i="31"/>
  <c r="F42" i="31"/>
  <c r="E42" i="31"/>
  <c r="G41" i="31"/>
  <c r="F41" i="31"/>
  <c r="E41" i="31"/>
  <c r="G40" i="31"/>
  <c r="F40" i="31"/>
  <c r="E40" i="31"/>
  <c r="G39" i="31"/>
  <c r="F39" i="31"/>
  <c r="E39" i="31"/>
  <c r="BK38" i="31"/>
  <c r="AF38" i="31" s="1"/>
  <c r="BJ38" i="31"/>
  <c r="BC38" i="31"/>
  <c r="AA38" i="31" s="1"/>
  <c r="BB38" i="31"/>
  <c r="G38" i="31"/>
  <c r="F38" i="31"/>
  <c r="E38" i="31"/>
  <c r="BC37" i="31"/>
  <c r="AA37" i="31" s="1"/>
  <c r="BB37" i="31"/>
  <c r="G37" i="31"/>
  <c r="F37" i="31"/>
  <c r="E37" i="31"/>
  <c r="G36" i="31"/>
  <c r="F36" i="31"/>
  <c r="E36" i="31"/>
  <c r="BC35" i="31"/>
  <c r="AA35" i="31" s="1"/>
  <c r="BB35" i="31"/>
  <c r="G35" i="31"/>
  <c r="F35" i="31"/>
  <c r="E35" i="31"/>
  <c r="G34" i="31"/>
  <c r="F34" i="31"/>
  <c r="E34" i="31"/>
  <c r="BK33" i="31"/>
  <c r="AF33" i="31" s="1"/>
  <c r="BJ33" i="31"/>
  <c r="G33" i="31"/>
  <c r="F33" i="31"/>
  <c r="E33" i="31"/>
  <c r="BK32" i="31"/>
  <c r="AF32" i="31" s="1"/>
  <c r="BJ32" i="31"/>
  <c r="G32" i="31"/>
  <c r="F32" i="31"/>
  <c r="E32" i="31"/>
  <c r="G31" i="31"/>
  <c r="F31" i="31"/>
  <c r="E31" i="31"/>
  <c r="BC30" i="31"/>
  <c r="AA30" i="31" s="1"/>
  <c r="BB30" i="31"/>
  <c r="G30" i="31"/>
  <c r="F30" i="31"/>
  <c r="E30" i="31"/>
  <c r="BK29" i="31"/>
  <c r="AF29" i="31" s="1"/>
  <c r="BJ29" i="31"/>
  <c r="BC29" i="31"/>
  <c r="AA29" i="31" s="1"/>
  <c r="BB29" i="31"/>
  <c r="G29" i="31"/>
  <c r="F29" i="31"/>
  <c r="E29" i="31"/>
  <c r="BK28" i="31"/>
  <c r="AF28" i="31" s="1"/>
  <c r="BJ28" i="31"/>
  <c r="G28" i="31"/>
  <c r="F28" i="31"/>
  <c r="E28" i="31"/>
  <c r="G27" i="31"/>
  <c r="F27" i="31"/>
  <c r="E27" i="31"/>
  <c r="G26" i="31"/>
  <c r="F26" i="31"/>
  <c r="E26" i="31"/>
  <c r="G25" i="31"/>
  <c r="F25" i="31"/>
  <c r="E25" i="31"/>
  <c r="BC24" i="31"/>
  <c r="AA24" i="31" s="1"/>
  <c r="BB24" i="31"/>
  <c r="G24" i="31"/>
  <c r="F24" i="31"/>
  <c r="E24" i="31"/>
  <c r="G23" i="31"/>
  <c r="F23" i="31"/>
  <c r="E23" i="31"/>
  <c r="BE22" i="31"/>
  <c r="BC22" i="31"/>
  <c r="AA22" i="31" s="1"/>
  <c r="BB22" i="31"/>
  <c r="G22" i="31"/>
  <c r="F22" i="31"/>
  <c r="E22" i="31"/>
  <c r="BK21" i="31"/>
  <c r="AF21" i="31" s="1"/>
  <c r="BJ21" i="31"/>
  <c r="G21" i="31"/>
  <c r="F21" i="31"/>
  <c r="E21" i="31"/>
  <c r="BC20" i="31"/>
  <c r="AA20" i="31" s="1"/>
  <c r="BB20" i="31"/>
  <c r="G20" i="31"/>
  <c r="F20" i="31"/>
  <c r="E20" i="31"/>
  <c r="BK19" i="31"/>
  <c r="AF19" i="31" s="1"/>
  <c r="BJ19" i="31"/>
  <c r="BC19" i="31"/>
  <c r="AA19" i="31" s="1"/>
  <c r="BB19" i="31"/>
  <c r="G19" i="31"/>
  <c r="F19" i="31"/>
  <c r="E19" i="31"/>
  <c r="G18" i="31"/>
  <c r="F18" i="31"/>
  <c r="E18" i="31"/>
  <c r="BC17" i="31"/>
  <c r="AA17" i="31" s="1"/>
  <c r="BB17" i="31"/>
  <c r="G17" i="31"/>
  <c r="F17" i="31"/>
  <c r="E17" i="31"/>
  <c r="BK16" i="31"/>
  <c r="AF16" i="31" s="1"/>
  <c r="BJ16" i="31"/>
  <c r="BE16" i="31"/>
  <c r="G16" i="31"/>
  <c r="F16" i="31"/>
  <c r="E16" i="31"/>
  <c r="BC15" i="31"/>
  <c r="AA15" i="31" s="1"/>
  <c r="BB15" i="31"/>
  <c r="G15" i="31"/>
  <c r="F15" i="31"/>
  <c r="E15" i="31"/>
  <c r="BK14" i="31"/>
  <c r="AF14" i="31" s="1"/>
  <c r="BJ14" i="31"/>
  <c r="BC14" i="31"/>
  <c r="AA14" i="31" s="1"/>
  <c r="BB14" i="31"/>
  <c r="G14" i="31"/>
  <c r="F14" i="31"/>
  <c r="E14" i="31"/>
  <c r="G13" i="31"/>
  <c r="F13" i="31"/>
  <c r="E13" i="31"/>
  <c r="BK12" i="31"/>
  <c r="AF12" i="31" s="1"/>
  <c r="BJ12" i="31"/>
  <c r="G12" i="31"/>
  <c r="F12" i="31"/>
  <c r="E12" i="31"/>
  <c r="BK11" i="31"/>
  <c r="AF11" i="31" s="1"/>
  <c r="BJ11" i="31"/>
  <c r="BC11" i="31"/>
  <c r="AA11" i="31" s="1"/>
  <c r="BB11" i="31"/>
  <c r="G11" i="31"/>
  <c r="F11" i="31"/>
  <c r="E11" i="31"/>
  <c r="F10" i="31"/>
  <c r="E10" i="31"/>
  <c r="G9" i="31"/>
  <c r="F9" i="31"/>
  <c r="E9" i="31"/>
  <c r="G8" i="31"/>
  <c r="F8" i="31"/>
  <c r="E8" i="31"/>
  <c r="BK7" i="31"/>
  <c r="AF7" i="31" s="1"/>
  <c r="BJ7" i="31"/>
  <c r="G7" i="31"/>
  <c r="F7" i="31"/>
  <c r="E7" i="31"/>
  <c r="BK6" i="31"/>
  <c r="AF6" i="31" s="1"/>
  <c r="BJ6" i="31"/>
  <c r="G6" i="31"/>
  <c r="F6" i="31"/>
  <c r="E6" i="31"/>
  <c r="G5" i="31"/>
  <c r="F5" i="31"/>
  <c r="E5" i="31"/>
  <c r="AF4" i="31"/>
  <c r="AB4" i="31"/>
  <c r="AA4" i="31"/>
  <c r="T4" i="31"/>
  <c r="S4" i="31"/>
  <c r="AI4" i="31"/>
  <c r="AH4" i="31"/>
  <c r="AG4" i="31"/>
  <c r="AE4" i="31"/>
  <c r="AD4" i="31"/>
  <c r="AC4" i="31"/>
  <c r="W4" i="31"/>
  <c r="V4" i="31"/>
  <c r="U4" i="31"/>
  <c r="Z4" i="31"/>
  <c r="Y4" i="31"/>
  <c r="X4" i="31"/>
  <c r="R4" i="31"/>
  <c r="Q4" i="31"/>
  <c r="P4" i="31"/>
  <c r="O4" i="31"/>
  <c r="N4" i="31"/>
  <c r="T3" i="31"/>
  <c r="S3" i="31"/>
  <c r="AI3" i="31"/>
  <c r="AG3" i="31"/>
  <c r="AE3" i="31"/>
  <c r="U3" i="31"/>
  <c r="Z3" i="31"/>
  <c r="Y3" i="31"/>
  <c r="R3" i="31"/>
  <c r="Q3" i="31"/>
  <c r="P3" i="31"/>
  <c r="O3" i="31"/>
  <c r="AF2" i="31"/>
  <c r="AB2" i="31"/>
  <c r="AA2" i="31"/>
  <c r="T2" i="31"/>
  <c r="S2" i="31"/>
  <c r="AI2" i="31"/>
  <c r="AG2" i="31"/>
  <c r="AE2" i="31"/>
  <c r="AD2" i="31"/>
  <c r="AC2" i="31"/>
  <c r="W2" i="31"/>
  <c r="V2" i="31"/>
  <c r="U2" i="31"/>
  <c r="Z2" i="31"/>
  <c r="Y2" i="31"/>
  <c r="X2" i="31"/>
  <c r="R2" i="31"/>
  <c r="Q2" i="31"/>
  <c r="P2" i="31"/>
  <c r="O2" i="31"/>
  <c r="N2" i="31"/>
  <c r="EU201" i="23"/>
  <c r="ET201" i="23"/>
  <c r="ES201" i="23"/>
  <c r="ER201" i="23"/>
  <c r="EQ201" i="23"/>
  <c r="EN201" i="23"/>
  <c r="EO201" i="23" s="1"/>
  <c r="EG201" i="23"/>
  <c r="EE201" i="23"/>
  <c r="ED201" i="23"/>
  <c r="EC201" i="23"/>
  <c r="EB201" i="23"/>
  <c r="EA201" i="23"/>
  <c r="DZ201" i="23"/>
  <c r="DX201" i="23"/>
  <c r="DV201" i="23"/>
  <c r="EF201" i="23" s="1"/>
  <c r="DM201" i="23"/>
  <c r="DN201" i="23" s="1"/>
  <c r="DF201" i="23"/>
  <c r="DE201" i="23"/>
  <c r="DD201" i="23"/>
  <c r="DC201" i="23"/>
  <c r="DB201" i="23"/>
  <c r="DA201" i="23"/>
  <c r="CZ201" i="23"/>
  <c r="CY201" i="23"/>
  <c r="CX201" i="23"/>
  <c r="CV201" i="23"/>
  <c r="CK201" i="23"/>
  <c r="BL201" i="23"/>
  <c r="AV201" i="23"/>
  <c r="D201" i="23"/>
  <c r="E223" i="71" s="1"/>
  <c r="C201" i="23"/>
  <c r="D223" i="71" s="1"/>
  <c r="B201" i="23"/>
  <c r="EU200" i="23"/>
  <c r="ET200" i="23"/>
  <c r="ES200" i="23"/>
  <c r="ER200" i="23"/>
  <c r="EQ200" i="23"/>
  <c r="EN200" i="23"/>
  <c r="EV200" i="23" s="1"/>
  <c r="EG200" i="23"/>
  <c r="EE200" i="23"/>
  <c r="ED200" i="23"/>
  <c r="EC200" i="23"/>
  <c r="EB200" i="23"/>
  <c r="EA200" i="23"/>
  <c r="DZ200" i="23"/>
  <c r="DV200" i="23"/>
  <c r="DX200" i="23" s="1"/>
  <c r="DM200" i="23"/>
  <c r="DN200" i="23" s="1"/>
  <c r="DF200" i="23"/>
  <c r="DE200" i="23"/>
  <c r="DD200" i="23"/>
  <c r="DC200" i="23"/>
  <c r="DB200" i="23"/>
  <c r="DA200" i="23"/>
  <c r="CZ200" i="23"/>
  <c r="CY200" i="23"/>
  <c r="CX200" i="23"/>
  <c r="CV200" i="23"/>
  <c r="CK200" i="23"/>
  <c r="BL200" i="23"/>
  <c r="AV200" i="23"/>
  <c r="D200" i="23"/>
  <c r="E222" i="71" s="1"/>
  <c r="C200" i="23"/>
  <c r="D222" i="71" s="1"/>
  <c r="B200" i="23"/>
  <c r="EU199" i="23"/>
  <c r="ET199" i="23"/>
  <c r="ES199" i="23"/>
  <c r="ER199" i="23"/>
  <c r="EQ199" i="23"/>
  <c r="EN199" i="23"/>
  <c r="EO199" i="23" s="1"/>
  <c r="EG199" i="23"/>
  <c r="EE199" i="23"/>
  <c r="ED199" i="23"/>
  <c r="EC199" i="23"/>
  <c r="EB199" i="23"/>
  <c r="EA199" i="23"/>
  <c r="DZ199" i="23"/>
  <c r="DV199" i="23"/>
  <c r="EF199" i="23" s="1"/>
  <c r="DM199" i="23"/>
  <c r="DN199" i="23" s="1"/>
  <c r="DF199" i="23"/>
  <c r="DE199" i="23"/>
  <c r="DD199" i="23"/>
  <c r="DC199" i="23"/>
  <c r="DB199" i="23"/>
  <c r="DA199" i="23"/>
  <c r="CZ199" i="23"/>
  <c r="CY199" i="23"/>
  <c r="CX199" i="23"/>
  <c r="CV199" i="23"/>
  <c r="CK199" i="23"/>
  <c r="BL199" i="23"/>
  <c r="AV199" i="23"/>
  <c r="D199" i="23"/>
  <c r="E221" i="71" s="1"/>
  <c r="C199" i="23"/>
  <c r="B199" i="23"/>
  <c r="EV198" i="23"/>
  <c r="EU198" i="23"/>
  <c r="ET198" i="23"/>
  <c r="ES198" i="23"/>
  <c r="ER198" i="23"/>
  <c r="EQ198" i="23"/>
  <c r="EN198" i="23"/>
  <c r="EO198" i="23" s="1"/>
  <c r="EG198" i="23"/>
  <c r="EE198" i="23"/>
  <c r="ED198" i="23"/>
  <c r="EC198" i="23"/>
  <c r="EB198" i="23"/>
  <c r="EA198" i="23"/>
  <c r="DZ198" i="23"/>
  <c r="DV198" i="23"/>
  <c r="EF198" i="23" s="1"/>
  <c r="DM198" i="23"/>
  <c r="DN198" i="23" s="1"/>
  <c r="DF198" i="23"/>
  <c r="DE198" i="23"/>
  <c r="DD198" i="23"/>
  <c r="DC198" i="23"/>
  <c r="DB198" i="23"/>
  <c r="DA198" i="23"/>
  <c r="CZ198" i="23"/>
  <c r="CY198" i="23"/>
  <c r="CX198" i="23"/>
  <c r="CV198" i="23"/>
  <c r="CK198" i="23"/>
  <c r="BL198" i="23"/>
  <c r="AV198" i="23"/>
  <c r="D198" i="23"/>
  <c r="E220" i="71" s="1"/>
  <c r="C198" i="23"/>
  <c r="B198" i="23"/>
  <c r="EU197" i="23"/>
  <c r="ET197" i="23"/>
  <c r="ES197" i="23"/>
  <c r="ER197" i="23"/>
  <c r="EQ197" i="23"/>
  <c r="EN197" i="23"/>
  <c r="EV197" i="23" s="1"/>
  <c r="EW197" i="23" s="1"/>
  <c r="EG197" i="23"/>
  <c r="EE197" i="23"/>
  <c r="ED197" i="23"/>
  <c r="EC197" i="23"/>
  <c r="EB197" i="23"/>
  <c r="EA197" i="23"/>
  <c r="DZ197" i="23"/>
  <c r="DV197" i="23"/>
  <c r="EF197" i="23" s="1"/>
  <c r="DM197" i="23"/>
  <c r="DN197" i="23" s="1"/>
  <c r="DF197" i="23"/>
  <c r="DE197" i="23"/>
  <c r="DD197" i="23"/>
  <c r="DC197" i="23"/>
  <c r="DB197" i="23"/>
  <c r="DA197" i="23"/>
  <c r="CZ197" i="23"/>
  <c r="CY197" i="23"/>
  <c r="CX197" i="23"/>
  <c r="CV197" i="23"/>
  <c r="CK197" i="23"/>
  <c r="BL197" i="23"/>
  <c r="AV197" i="23"/>
  <c r="D197" i="23"/>
  <c r="E219" i="71" s="1"/>
  <c r="C197" i="23"/>
  <c r="D219" i="71" s="1"/>
  <c r="B197" i="23"/>
  <c r="EU196" i="23"/>
  <c r="ET196" i="23"/>
  <c r="ES196" i="23"/>
  <c r="ER196" i="23"/>
  <c r="EQ196" i="23"/>
  <c r="EN196" i="23"/>
  <c r="EV196" i="23" s="1"/>
  <c r="EG196" i="23"/>
  <c r="EE196" i="23"/>
  <c r="ED196" i="23"/>
  <c r="EC196" i="23"/>
  <c r="EB196" i="23"/>
  <c r="EA196" i="23"/>
  <c r="DZ196" i="23"/>
  <c r="DV196" i="23"/>
  <c r="EF196" i="23" s="1"/>
  <c r="DN196" i="23"/>
  <c r="DM196" i="23"/>
  <c r="DF196" i="23"/>
  <c r="DE196" i="23"/>
  <c r="DD196" i="23"/>
  <c r="DC196" i="23"/>
  <c r="DB196" i="23"/>
  <c r="DA196" i="23"/>
  <c r="CZ196" i="23"/>
  <c r="CY196" i="23"/>
  <c r="CX196" i="23"/>
  <c r="CV196" i="23"/>
  <c r="CK196" i="23"/>
  <c r="BL196" i="23"/>
  <c r="AV196" i="23"/>
  <c r="D196" i="23"/>
  <c r="E218" i="71" s="1"/>
  <c r="C196" i="23"/>
  <c r="B196" i="23"/>
  <c r="EV195" i="23"/>
  <c r="EU195" i="23"/>
  <c r="ET195" i="23"/>
  <c r="ES195" i="23"/>
  <c r="ER195" i="23"/>
  <c r="EQ195" i="23"/>
  <c r="EW195" i="23" s="1"/>
  <c r="EO195" i="23"/>
  <c r="EN195" i="23"/>
  <c r="EG195" i="23"/>
  <c r="EE195" i="23"/>
  <c r="ED195" i="23"/>
  <c r="EC195" i="23"/>
  <c r="EB195" i="23"/>
  <c r="EA195" i="23"/>
  <c r="DZ195" i="23"/>
  <c r="DV195" i="23"/>
  <c r="DX195" i="23" s="1"/>
  <c r="DM195" i="23"/>
  <c r="DN195" i="23" s="1"/>
  <c r="DF195" i="23"/>
  <c r="DE195" i="23"/>
  <c r="DD195" i="23"/>
  <c r="DC195" i="23"/>
  <c r="DB195" i="23"/>
  <c r="DA195" i="23"/>
  <c r="CZ195" i="23"/>
  <c r="CY195" i="23"/>
  <c r="CX195" i="23"/>
  <c r="CV195" i="23"/>
  <c r="CK195" i="23"/>
  <c r="BL195" i="23"/>
  <c r="AV195" i="23"/>
  <c r="D195" i="23"/>
  <c r="E217" i="71" s="1"/>
  <c r="C195" i="23"/>
  <c r="B195" i="23"/>
  <c r="EU194" i="23"/>
  <c r="ET194" i="23"/>
  <c r="ES194" i="23"/>
  <c r="ER194" i="23"/>
  <c r="EQ194" i="23"/>
  <c r="EN194" i="23"/>
  <c r="EV194" i="23" s="1"/>
  <c r="EG194" i="23"/>
  <c r="EE194" i="23"/>
  <c r="ED194" i="23"/>
  <c r="EC194" i="23"/>
  <c r="EB194" i="23"/>
  <c r="EA194" i="23"/>
  <c r="DZ194" i="23"/>
  <c r="DX194" i="23"/>
  <c r="DV194" i="23"/>
  <c r="EF194" i="23" s="1"/>
  <c r="DM194" i="23"/>
  <c r="DN194" i="23" s="1"/>
  <c r="DF194" i="23"/>
  <c r="DE194" i="23"/>
  <c r="DD194" i="23"/>
  <c r="DC194" i="23"/>
  <c r="DB194" i="23"/>
  <c r="DA194" i="23"/>
  <c r="CZ194" i="23"/>
  <c r="CY194" i="23"/>
  <c r="CX194" i="23"/>
  <c r="CV194" i="23"/>
  <c r="CK194" i="23"/>
  <c r="BL194" i="23"/>
  <c r="AV194" i="23"/>
  <c r="D194" i="23"/>
  <c r="E216" i="71" s="1"/>
  <c r="C194" i="23"/>
  <c r="D216" i="71" s="1"/>
  <c r="B194" i="23"/>
  <c r="C216" i="71" s="1"/>
  <c r="EU193" i="23"/>
  <c r="ET193" i="23"/>
  <c r="ES193" i="23"/>
  <c r="ER193" i="23"/>
  <c r="EQ193" i="23"/>
  <c r="EN193" i="23"/>
  <c r="EO193" i="23" s="1"/>
  <c r="EG193" i="23"/>
  <c r="EE193" i="23"/>
  <c r="ED193" i="23"/>
  <c r="EC193" i="23"/>
  <c r="EB193" i="23"/>
  <c r="EA193" i="23"/>
  <c r="DZ193" i="23"/>
  <c r="DX193" i="23"/>
  <c r="DV193" i="23"/>
  <c r="EF193" i="23" s="1"/>
  <c r="DN193" i="23"/>
  <c r="DM193" i="23"/>
  <c r="DF193" i="23"/>
  <c r="DE193" i="23"/>
  <c r="DD193" i="23"/>
  <c r="DC193" i="23"/>
  <c r="DB193" i="23"/>
  <c r="DA193" i="23"/>
  <c r="CZ193" i="23"/>
  <c r="CY193" i="23"/>
  <c r="CX193" i="23"/>
  <c r="CV193" i="23"/>
  <c r="CK193" i="23"/>
  <c r="BL193" i="23"/>
  <c r="AV193" i="23"/>
  <c r="D193" i="23"/>
  <c r="E215" i="71" s="1"/>
  <c r="C193" i="23"/>
  <c r="D215" i="71" s="1"/>
  <c r="B193" i="23"/>
  <c r="C215" i="71" s="1"/>
  <c r="EU192" i="23"/>
  <c r="ET192" i="23"/>
  <c r="ES192" i="23"/>
  <c r="ER192" i="23"/>
  <c r="EQ192" i="23"/>
  <c r="EN192" i="23"/>
  <c r="EV192" i="23" s="1"/>
  <c r="EG192" i="23"/>
  <c r="EE192" i="23"/>
  <c r="ED192" i="23"/>
  <c r="EC192" i="23"/>
  <c r="EB192" i="23"/>
  <c r="EA192" i="23"/>
  <c r="DZ192" i="23"/>
  <c r="DV192" i="23"/>
  <c r="DX192" i="23" s="1"/>
  <c r="DM192" i="23"/>
  <c r="DN192" i="23" s="1"/>
  <c r="DF192" i="23"/>
  <c r="DE192" i="23"/>
  <c r="DD192" i="23"/>
  <c r="DC192" i="23"/>
  <c r="DB192" i="23"/>
  <c r="DA192" i="23"/>
  <c r="CZ192" i="23"/>
  <c r="CY192" i="23"/>
  <c r="CX192" i="23"/>
  <c r="CV192" i="23"/>
  <c r="CK192" i="23"/>
  <c r="BL192" i="23"/>
  <c r="AV192" i="23"/>
  <c r="D192" i="23"/>
  <c r="C192" i="23"/>
  <c r="D214" i="71" s="1"/>
  <c r="B192" i="23"/>
  <c r="EU191" i="23"/>
  <c r="ET191" i="23"/>
  <c r="ES191" i="23"/>
  <c r="ER191" i="23"/>
  <c r="EQ191" i="23"/>
  <c r="EN191" i="23"/>
  <c r="EO191" i="23" s="1"/>
  <c r="EG191" i="23"/>
  <c r="EE191" i="23"/>
  <c r="ED191" i="23"/>
  <c r="EC191" i="23"/>
  <c r="EB191" i="23"/>
  <c r="EA191" i="23"/>
  <c r="DZ191" i="23"/>
  <c r="DV191" i="23"/>
  <c r="EF191" i="23" s="1"/>
  <c r="DM191" i="23"/>
  <c r="DN191" i="23" s="1"/>
  <c r="DF191" i="23"/>
  <c r="DE191" i="23"/>
  <c r="DD191" i="23"/>
  <c r="DC191" i="23"/>
  <c r="DB191" i="23"/>
  <c r="DA191" i="23"/>
  <c r="CZ191" i="23"/>
  <c r="CY191" i="23"/>
  <c r="CX191" i="23"/>
  <c r="CV191" i="23"/>
  <c r="CK191" i="23"/>
  <c r="BL191" i="23"/>
  <c r="AV191" i="23"/>
  <c r="D191" i="23"/>
  <c r="E213" i="71" s="1"/>
  <c r="C191" i="23"/>
  <c r="B191" i="23"/>
  <c r="EV190" i="23"/>
  <c r="EU190" i="23"/>
  <c r="ET190" i="23"/>
  <c r="ES190" i="23"/>
  <c r="ER190" i="23"/>
  <c r="EQ190" i="23"/>
  <c r="EN190" i="23"/>
  <c r="EO190" i="23" s="1"/>
  <c r="EG190" i="23"/>
  <c r="EE190" i="23"/>
  <c r="ED190" i="23"/>
  <c r="EC190" i="23"/>
  <c r="EB190" i="23"/>
  <c r="EA190" i="23"/>
  <c r="DZ190" i="23"/>
  <c r="DV190" i="23"/>
  <c r="EF190" i="23" s="1"/>
  <c r="DM190" i="23"/>
  <c r="DN190" i="23" s="1"/>
  <c r="DF190" i="23"/>
  <c r="DE190" i="23"/>
  <c r="DD190" i="23"/>
  <c r="DC190" i="23"/>
  <c r="DB190" i="23"/>
  <c r="DA190" i="23"/>
  <c r="CZ190" i="23"/>
  <c r="CY190" i="23"/>
  <c r="CX190" i="23"/>
  <c r="CV190" i="23"/>
  <c r="CK190" i="23"/>
  <c r="BL190" i="23"/>
  <c r="AV190" i="23"/>
  <c r="D190" i="23"/>
  <c r="E212" i="71" s="1"/>
  <c r="C190" i="23"/>
  <c r="D212" i="71" s="1"/>
  <c r="B190" i="23"/>
  <c r="EU189" i="23"/>
  <c r="ET189" i="23"/>
  <c r="ES189" i="23"/>
  <c r="ER189" i="23"/>
  <c r="EQ189" i="23"/>
  <c r="EN189" i="23"/>
  <c r="EV189" i="23" s="1"/>
  <c r="EW189" i="23" s="1"/>
  <c r="EG189" i="23"/>
  <c r="EE189" i="23"/>
  <c r="ED189" i="23"/>
  <c r="EC189" i="23"/>
  <c r="EB189" i="23"/>
  <c r="EA189" i="23"/>
  <c r="DZ189" i="23"/>
  <c r="DX189" i="23"/>
  <c r="DV189" i="23"/>
  <c r="EF189" i="23" s="1"/>
  <c r="DM189" i="23"/>
  <c r="DN189" i="23" s="1"/>
  <c r="DF189" i="23"/>
  <c r="DE189" i="23"/>
  <c r="DD189" i="23"/>
  <c r="DC189" i="23"/>
  <c r="DB189" i="23"/>
  <c r="DA189" i="23"/>
  <c r="CZ189" i="23"/>
  <c r="CY189" i="23"/>
  <c r="CX189" i="23"/>
  <c r="CV189" i="23"/>
  <c r="CK189" i="23"/>
  <c r="BL189" i="23"/>
  <c r="AV189" i="23"/>
  <c r="D189" i="23"/>
  <c r="E211" i="71" s="1"/>
  <c r="C189" i="23"/>
  <c r="B189" i="23"/>
  <c r="EU188" i="23"/>
  <c r="ET188" i="23"/>
  <c r="ES188" i="23"/>
  <c r="ER188" i="23"/>
  <c r="EQ188" i="23"/>
  <c r="EO188" i="23"/>
  <c r="EN188" i="23"/>
  <c r="EV188" i="23" s="1"/>
  <c r="EG188" i="23"/>
  <c r="EE188" i="23"/>
  <c r="ED188" i="23"/>
  <c r="EC188" i="23"/>
  <c r="EB188" i="23"/>
  <c r="EA188" i="23"/>
  <c r="DZ188" i="23"/>
  <c r="DV188" i="23"/>
  <c r="EF188" i="23" s="1"/>
  <c r="DN188" i="23"/>
  <c r="DM188" i="23"/>
  <c r="DF188" i="23"/>
  <c r="DE188" i="23"/>
  <c r="DD188" i="23"/>
  <c r="DC188" i="23"/>
  <c r="DB188" i="23"/>
  <c r="DA188" i="23"/>
  <c r="CZ188" i="23"/>
  <c r="CY188" i="23"/>
  <c r="CX188" i="23"/>
  <c r="CV188" i="23"/>
  <c r="CK188" i="23"/>
  <c r="BL188" i="23"/>
  <c r="AV188" i="23"/>
  <c r="D188" i="23"/>
  <c r="C188" i="23"/>
  <c r="B188" i="23"/>
  <c r="EV187" i="23"/>
  <c r="EU187" i="23"/>
  <c r="ET187" i="23"/>
  <c r="ES187" i="23"/>
  <c r="ER187" i="23"/>
  <c r="EQ187" i="23"/>
  <c r="EW187" i="23" s="1"/>
  <c r="EO187" i="23"/>
  <c r="EN187" i="23"/>
  <c r="EG187" i="23"/>
  <c r="EE187" i="23"/>
  <c r="ED187" i="23"/>
  <c r="EC187" i="23"/>
  <c r="EB187" i="23"/>
  <c r="EA187" i="23"/>
  <c r="DZ187" i="23"/>
  <c r="DV187" i="23"/>
  <c r="DX187" i="23" s="1"/>
  <c r="DM187" i="23"/>
  <c r="DN187" i="23" s="1"/>
  <c r="DF187" i="23"/>
  <c r="DE187" i="23"/>
  <c r="DD187" i="23"/>
  <c r="DC187" i="23"/>
  <c r="DB187" i="23"/>
  <c r="DA187" i="23"/>
  <c r="CZ187" i="23"/>
  <c r="CY187" i="23"/>
  <c r="CX187" i="23"/>
  <c r="CV187" i="23"/>
  <c r="CK187" i="23"/>
  <c r="BL187" i="23"/>
  <c r="AV187" i="23"/>
  <c r="D187" i="23"/>
  <c r="E209" i="71" s="1"/>
  <c r="C187" i="23"/>
  <c r="B187" i="23"/>
  <c r="EU186" i="23"/>
  <c r="ET186" i="23"/>
  <c r="ES186" i="23"/>
  <c r="ER186" i="23"/>
  <c r="EQ186" i="23"/>
  <c r="EN186" i="23"/>
  <c r="EV186" i="23" s="1"/>
  <c r="EG186" i="23"/>
  <c r="EE186" i="23"/>
  <c r="ED186" i="23"/>
  <c r="EC186" i="23"/>
  <c r="EB186" i="23"/>
  <c r="EA186" i="23"/>
  <c r="DZ186" i="23"/>
  <c r="DX186" i="23"/>
  <c r="DV186" i="23"/>
  <c r="EF186" i="23" s="1"/>
  <c r="DM186" i="23"/>
  <c r="DN186" i="23" s="1"/>
  <c r="DF186" i="23"/>
  <c r="DE186" i="23"/>
  <c r="DD186" i="23"/>
  <c r="DC186" i="23"/>
  <c r="DB186" i="23"/>
  <c r="DA186" i="23"/>
  <c r="CZ186" i="23"/>
  <c r="CY186" i="23"/>
  <c r="CX186" i="23"/>
  <c r="CV186" i="23"/>
  <c r="CK186" i="23"/>
  <c r="BL186" i="23"/>
  <c r="AV186" i="23"/>
  <c r="D186" i="23"/>
  <c r="E208" i="71" s="1"/>
  <c r="C186" i="23"/>
  <c r="D208" i="71" s="1"/>
  <c r="B186" i="23"/>
  <c r="EU185" i="23"/>
  <c r="ET185" i="23"/>
  <c r="ES185" i="23"/>
  <c r="ER185" i="23"/>
  <c r="EQ185" i="23"/>
  <c r="EN185" i="23"/>
  <c r="EO185" i="23" s="1"/>
  <c r="EG185" i="23"/>
  <c r="EE185" i="23"/>
  <c r="ED185" i="23"/>
  <c r="EC185" i="23"/>
  <c r="EB185" i="23"/>
  <c r="EA185" i="23"/>
  <c r="DZ185" i="23"/>
  <c r="DV185" i="23"/>
  <c r="DX185" i="23" s="1"/>
  <c r="DM185" i="23"/>
  <c r="DN185" i="23" s="1"/>
  <c r="DF185" i="23"/>
  <c r="DE185" i="23"/>
  <c r="DD185" i="23"/>
  <c r="DC185" i="23"/>
  <c r="DB185" i="23"/>
  <c r="DA185" i="23"/>
  <c r="CZ185" i="23"/>
  <c r="CY185" i="23"/>
  <c r="CX185" i="23"/>
  <c r="CV185" i="23"/>
  <c r="CK185" i="23"/>
  <c r="BL185" i="23"/>
  <c r="AV185" i="23"/>
  <c r="D185" i="23"/>
  <c r="E207" i="71" s="1"/>
  <c r="C185" i="23"/>
  <c r="B185" i="23"/>
  <c r="C207" i="71" s="1"/>
  <c r="EU184" i="23"/>
  <c r="ET184" i="23"/>
  <c r="ES184" i="23"/>
  <c r="ER184" i="23"/>
  <c r="EQ184" i="23"/>
  <c r="EW184" i="23" s="1"/>
  <c r="EO184" i="23"/>
  <c r="EN184" i="23"/>
  <c r="EV184" i="23" s="1"/>
  <c r="EG184" i="23"/>
  <c r="EE184" i="23"/>
  <c r="ED184" i="23"/>
  <c r="EC184" i="23"/>
  <c r="EB184" i="23"/>
  <c r="EA184" i="23"/>
  <c r="DZ184" i="23"/>
  <c r="DV184" i="23"/>
  <c r="DX184" i="23" s="1"/>
  <c r="DN184" i="23"/>
  <c r="DM184" i="23"/>
  <c r="DF184" i="23"/>
  <c r="DE184" i="23"/>
  <c r="DD184" i="23"/>
  <c r="DC184" i="23"/>
  <c r="DB184" i="23"/>
  <c r="DA184" i="23"/>
  <c r="CZ184" i="23"/>
  <c r="CY184" i="23"/>
  <c r="CX184" i="23"/>
  <c r="CV184" i="23"/>
  <c r="CK184" i="23"/>
  <c r="BL184" i="23"/>
  <c r="AV184" i="23"/>
  <c r="D184" i="23"/>
  <c r="E206" i="71" s="1"/>
  <c r="C184" i="23"/>
  <c r="B184" i="23"/>
  <c r="EU183" i="23"/>
  <c r="ET183" i="23"/>
  <c r="ES183" i="23"/>
  <c r="ER183" i="23"/>
  <c r="EQ183" i="23"/>
  <c r="EN183" i="23"/>
  <c r="EO183" i="23" s="1"/>
  <c r="EG183" i="23"/>
  <c r="EE183" i="23"/>
  <c r="ED183" i="23"/>
  <c r="EC183" i="23"/>
  <c r="EB183" i="23"/>
  <c r="EA183" i="23"/>
  <c r="DZ183" i="23"/>
  <c r="DX183" i="23"/>
  <c r="DV183" i="23"/>
  <c r="EF183" i="23" s="1"/>
  <c r="DN183" i="23"/>
  <c r="DM183" i="23"/>
  <c r="DF183" i="23"/>
  <c r="DE183" i="23"/>
  <c r="DD183" i="23"/>
  <c r="DC183" i="23"/>
  <c r="DB183" i="23"/>
  <c r="DA183" i="23"/>
  <c r="CZ183" i="23"/>
  <c r="CY183" i="23"/>
  <c r="CX183" i="23"/>
  <c r="CV183" i="23"/>
  <c r="CK183" i="23"/>
  <c r="BL183" i="23"/>
  <c r="AV183" i="23"/>
  <c r="D183" i="23"/>
  <c r="E205" i="71" s="1"/>
  <c r="C183" i="23"/>
  <c r="B183" i="23"/>
  <c r="EV182" i="23"/>
  <c r="EU182" i="23"/>
  <c r="ET182" i="23"/>
  <c r="ES182" i="23"/>
  <c r="ER182" i="23"/>
  <c r="EQ182" i="23"/>
  <c r="EN182" i="23"/>
  <c r="EO182" i="23" s="1"/>
  <c r="EG182" i="23"/>
  <c r="EE182" i="23"/>
  <c r="ED182" i="23"/>
  <c r="EC182" i="23"/>
  <c r="EB182" i="23"/>
  <c r="EA182" i="23"/>
  <c r="DZ182" i="23"/>
  <c r="DX182" i="23"/>
  <c r="DV182" i="23"/>
  <c r="EF182" i="23" s="1"/>
  <c r="DM182" i="23"/>
  <c r="DN182" i="23" s="1"/>
  <c r="DF182" i="23"/>
  <c r="DE182" i="23"/>
  <c r="DD182" i="23"/>
  <c r="DC182" i="23"/>
  <c r="DB182" i="23"/>
  <c r="DA182" i="23"/>
  <c r="CZ182" i="23"/>
  <c r="CY182" i="23"/>
  <c r="CX182" i="23"/>
  <c r="CV182" i="23"/>
  <c r="CK182" i="23"/>
  <c r="BL182" i="23"/>
  <c r="AV182" i="23"/>
  <c r="D182" i="23"/>
  <c r="E204" i="71" s="1"/>
  <c r="C182" i="23"/>
  <c r="B182" i="23"/>
  <c r="EU181" i="23"/>
  <c r="ET181" i="23"/>
  <c r="ES181" i="23"/>
  <c r="ER181" i="23"/>
  <c r="EQ181" i="23"/>
  <c r="EO181" i="23"/>
  <c r="EN181" i="23"/>
  <c r="EV181" i="23" s="1"/>
  <c r="EG181" i="23"/>
  <c r="EE181" i="23"/>
  <c r="ED181" i="23"/>
  <c r="EC181" i="23"/>
  <c r="EB181" i="23"/>
  <c r="EA181" i="23"/>
  <c r="DZ181" i="23"/>
  <c r="DV181" i="23"/>
  <c r="EF181" i="23" s="1"/>
  <c r="DM181" i="23"/>
  <c r="DN181" i="23" s="1"/>
  <c r="DF181" i="23"/>
  <c r="DE181" i="23"/>
  <c r="DD181" i="23"/>
  <c r="DC181" i="23"/>
  <c r="DB181" i="23"/>
  <c r="DA181" i="23"/>
  <c r="CZ181" i="23"/>
  <c r="CY181" i="23"/>
  <c r="CX181" i="23"/>
  <c r="CV181" i="23"/>
  <c r="CK181" i="23"/>
  <c r="BL181" i="23"/>
  <c r="AV181" i="23"/>
  <c r="D181" i="23"/>
  <c r="E203" i="71" s="1"/>
  <c r="C181" i="23"/>
  <c r="B181" i="23"/>
  <c r="EU180" i="23"/>
  <c r="ET180" i="23"/>
  <c r="ES180" i="23"/>
  <c r="ER180" i="23"/>
  <c r="EQ180" i="23"/>
  <c r="EN180" i="23"/>
  <c r="EV180" i="23" s="1"/>
  <c r="EG180" i="23"/>
  <c r="EE180" i="23"/>
  <c r="ED180" i="23"/>
  <c r="EC180" i="23"/>
  <c r="EB180" i="23"/>
  <c r="EA180" i="23"/>
  <c r="DZ180" i="23"/>
  <c r="DV180" i="23"/>
  <c r="DX180" i="23" s="1"/>
  <c r="DN180" i="23"/>
  <c r="DM180" i="23"/>
  <c r="DF180" i="23"/>
  <c r="DE180" i="23"/>
  <c r="DD180" i="23"/>
  <c r="DC180" i="23"/>
  <c r="DB180" i="23"/>
  <c r="DA180" i="23"/>
  <c r="CZ180" i="23"/>
  <c r="CY180" i="23"/>
  <c r="CX180" i="23"/>
  <c r="CV180" i="23"/>
  <c r="CK180" i="23"/>
  <c r="BL180" i="23"/>
  <c r="AV180" i="23"/>
  <c r="D180" i="23"/>
  <c r="E202" i="71" s="1"/>
  <c r="C180" i="23"/>
  <c r="D202" i="71" s="1"/>
  <c r="B180" i="23"/>
  <c r="C202" i="71" s="1"/>
  <c r="EU179" i="23"/>
  <c r="ET179" i="23"/>
  <c r="ES179" i="23"/>
  <c r="ER179" i="23"/>
  <c r="EQ179" i="23"/>
  <c r="EO179" i="23"/>
  <c r="EN179" i="23"/>
  <c r="EV179" i="23" s="1"/>
  <c r="EG179" i="23"/>
  <c r="EE179" i="23"/>
  <c r="ED179" i="23"/>
  <c r="EC179" i="23"/>
  <c r="EB179" i="23"/>
  <c r="EA179" i="23"/>
  <c r="DZ179" i="23"/>
  <c r="DV179" i="23"/>
  <c r="DX179" i="23" s="1"/>
  <c r="DM179" i="23"/>
  <c r="DN179" i="23" s="1"/>
  <c r="DF179" i="23"/>
  <c r="DE179" i="23"/>
  <c r="DD179" i="23"/>
  <c r="DC179" i="23"/>
  <c r="DB179" i="23"/>
  <c r="DA179" i="23"/>
  <c r="CZ179" i="23"/>
  <c r="CY179" i="23"/>
  <c r="CX179" i="23"/>
  <c r="CV179" i="23"/>
  <c r="CK179" i="23"/>
  <c r="BL179" i="23"/>
  <c r="AV179" i="23"/>
  <c r="D179" i="23"/>
  <c r="E201" i="71" s="1"/>
  <c r="C179" i="23"/>
  <c r="B179" i="23"/>
  <c r="C201" i="71" s="1"/>
  <c r="EU178" i="23"/>
  <c r="ET178" i="23"/>
  <c r="ES178" i="23"/>
  <c r="ER178" i="23"/>
  <c r="EQ178" i="23"/>
  <c r="EN178" i="23"/>
  <c r="EV178" i="23" s="1"/>
  <c r="EW178" i="23" s="1"/>
  <c r="EG178" i="23"/>
  <c r="EE178" i="23"/>
  <c r="ED178" i="23"/>
  <c r="EC178" i="23"/>
  <c r="EB178" i="23"/>
  <c r="EA178" i="23"/>
  <c r="DZ178" i="23"/>
  <c r="DX178" i="23"/>
  <c r="DV178" i="23"/>
  <c r="EF178" i="23" s="1"/>
  <c r="DM178" i="23"/>
  <c r="DN178" i="23" s="1"/>
  <c r="DF178" i="23"/>
  <c r="DE178" i="23"/>
  <c r="DD178" i="23"/>
  <c r="DC178" i="23"/>
  <c r="DB178" i="23"/>
  <c r="DA178" i="23"/>
  <c r="CZ178" i="23"/>
  <c r="CY178" i="23"/>
  <c r="CX178" i="23"/>
  <c r="CV178" i="23"/>
  <c r="CK178" i="23"/>
  <c r="BL178" i="23"/>
  <c r="AV178" i="23"/>
  <c r="D178" i="23"/>
  <c r="E200" i="71" s="1"/>
  <c r="C178" i="23"/>
  <c r="B178" i="23"/>
  <c r="EU177" i="23"/>
  <c r="ET177" i="23"/>
  <c r="ES177" i="23"/>
  <c r="ER177" i="23"/>
  <c r="EQ177" i="23"/>
  <c r="EN177" i="23"/>
  <c r="EO177" i="23" s="1"/>
  <c r="EG177" i="23"/>
  <c r="EE177" i="23"/>
  <c r="ED177" i="23"/>
  <c r="EC177" i="23"/>
  <c r="EB177" i="23"/>
  <c r="EA177" i="23"/>
  <c r="DZ177" i="23"/>
  <c r="DV177" i="23"/>
  <c r="DX177" i="23" s="1"/>
  <c r="DN177" i="23"/>
  <c r="DF177" i="23"/>
  <c r="DE177" i="23"/>
  <c r="DD177" i="23"/>
  <c r="DC177" i="23"/>
  <c r="DB177" i="23"/>
  <c r="DA177" i="23"/>
  <c r="CZ177" i="23"/>
  <c r="CY177" i="23"/>
  <c r="CX177" i="23"/>
  <c r="CV177" i="23"/>
  <c r="CK177" i="23"/>
  <c r="BL177" i="23"/>
  <c r="AV177" i="23"/>
  <c r="D177" i="23"/>
  <c r="B177" i="23"/>
  <c r="EU176" i="23"/>
  <c r="ET176" i="23"/>
  <c r="ES176" i="23"/>
  <c r="ER176" i="23"/>
  <c r="EQ176" i="23"/>
  <c r="EN176" i="23"/>
  <c r="EV176" i="23" s="1"/>
  <c r="EG176" i="23"/>
  <c r="EE176" i="23"/>
  <c r="ED176" i="23"/>
  <c r="EC176" i="23"/>
  <c r="EB176" i="23"/>
  <c r="EA176" i="23"/>
  <c r="DZ176" i="23"/>
  <c r="DV176" i="23"/>
  <c r="EF176" i="23" s="1"/>
  <c r="DM176" i="23"/>
  <c r="DN176" i="23" s="1"/>
  <c r="DF176" i="23"/>
  <c r="DE176" i="23"/>
  <c r="DD176" i="23"/>
  <c r="DC176" i="23"/>
  <c r="DB176" i="23"/>
  <c r="DA176" i="23"/>
  <c r="CZ176" i="23"/>
  <c r="CY176" i="23"/>
  <c r="CX176" i="23"/>
  <c r="CV176" i="23"/>
  <c r="CK176" i="23"/>
  <c r="BL176" i="23"/>
  <c r="AV176" i="23"/>
  <c r="D176" i="23"/>
  <c r="E198" i="71" s="1"/>
  <c r="C176" i="23"/>
  <c r="D198" i="71" s="1"/>
  <c r="B176" i="23"/>
  <c r="EU175" i="23"/>
  <c r="ET175" i="23"/>
  <c r="ES175" i="23"/>
  <c r="ER175" i="23"/>
  <c r="EQ175" i="23"/>
  <c r="EN175" i="23"/>
  <c r="EO175" i="23" s="1"/>
  <c r="EG175" i="23"/>
  <c r="EE175" i="23"/>
  <c r="ED175" i="23"/>
  <c r="EC175" i="23"/>
  <c r="EB175" i="23"/>
  <c r="EA175" i="23"/>
  <c r="DZ175" i="23"/>
  <c r="DV175" i="23"/>
  <c r="DX175" i="23" s="1"/>
  <c r="DM175" i="23"/>
  <c r="DN175" i="23" s="1"/>
  <c r="DF175" i="23"/>
  <c r="DE175" i="23"/>
  <c r="DD175" i="23"/>
  <c r="DC175" i="23"/>
  <c r="DB175" i="23"/>
  <c r="DA175" i="23"/>
  <c r="CZ175" i="23"/>
  <c r="CY175" i="23"/>
  <c r="CX175" i="23"/>
  <c r="CV175" i="23"/>
  <c r="CK175" i="23"/>
  <c r="BL175" i="23"/>
  <c r="AV175" i="23"/>
  <c r="D175" i="23"/>
  <c r="E197" i="71" s="1"/>
  <c r="C175" i="23"/>
  <c r="D197" i="71" s="1"/>
  <c r="B175" i="23"/>
  <c r="C197" i="71" s="1"/>
  <c r="EU174" i="23"/>
  <c r="ET174" i="23"/>
  <c r="ES174" i="23"/>
  <c r="ER174" i="23"/>
  <c r="EQ174" i="23"/>
  <c r="EN174" i="23"/>
  <c r="EV174" i="23" s="1"/>
  <c r="EG174" i="23"/>
  <c r="EE174" i="23"/>
  <c r="ED174" i="23"/>
  <c r="EC174" i="23"/>
  <c r="EB174" i="23"/>
  <c r="EA174" i="23"/>
  <c r="DZ174" i="23"/>
  <c r="DV174" i="23"/>
  <c r="DX174" i="23" s="1"/>
  <c r="DN174" i="23"/>
  <c r="DM174" i="23"/>
  <c r="DF174" i="23"/>
  <c r="DE174" i="23"/>
  <c r="DD174" i="23"/>
  <c r="DC174" i="23"/>
  <c r="DB174" i="23"/>
  <c r="DA174" i="23"/>
  <c r="CZ174" i="23"/>
  <c r="CY174" i="23"/>
  <c r="CX174" i="23"/>
  <c r="CV174" i="23"/>
  <c r="CK174" i="23"/>
  <c r="BL174" i="23"/>
  <c r="AV174" i="23"/>
  <c r="D174" i="23"/>
  <c r="E196" i="71" s="1"/>
  <c r="C174" i="23"/>
  <c r="D196" i="71" s="1"/>
  <c r="B174" i="23"/>
  <c r="C196" i="71" s="1"/>
  <c r="EU173" i="23"/>
  <c r="ET173" i="23"/>
  <c r="ES173" i="23"/>
  <c r="ER173" i="23"/>
  <c r="EQ173" i="23"/>
  <c r="EO173" i="23"/>
  <c r="EN173" i="23"/>
  <c r="EV173" i="23" s="1"/>
  <c r="EG173" i="23"/>
  <c r="EE173" i="23"/>
  <c r="ED173" i="23"/>
  <c r="EC173" i="23"/>
  <c r="EB173" i="23"/>
  <c r="EA173" i="23"/>
  <c r="DZ173" i="23"/>
  <c r="DX173" i="23"/>
  <c r="DV173" i="23"/>
  <c r="EF173" i="23" s="1"/>
  <c r="DN173" i="23"/>
  <c r="DM173" i="23"/>
  <c r="DF173" i="23"/>
  <c r="DE173" i="23"/>
  <c r="DD173" i="23"/>
  <c r="DC173" i="23"/>
  <c r="DB173" i="23"/>
  <c r="DA173" i="23"/>
  <c r="CZ173" i="23"/>
  <c r="CY173" i="23"/>
  <c r="CX173" i="23"/>
  <c r="CV173" i="23"/>
  <c r="CK173" i="23"/>
  <c r="BL173" i="23"/>
  <c r="AV173" i="23"/>
  <c r="D173" i="23"/>
  <c r="C173" i="23"/>
  <c r="D195" i="71" s="1"/>
  <c r="B173" i="23"/>
  <c r="EV172" i="23"/>
  <c r="EU172" i="23"/>
  <c r="ET172" i="23"/>
  <c r="ES172" i="23"/>
  <c r="ER172" i="23"/>
  <c r="EQ172" i="23"/>
  <c r="EN172" i="23"/>
  <c r="EO172" i="23" s="1"/>
  <c r="EG172" i="23"/>
  <c r="EE172" i="23"/>
  <c r="ED172" i="23"/>
  <c r="EC172" i="23"/>
  <c r="EB172" i="23"/>
  <c r="EA172" i="23"/>
  <c r="DZ172" i="23"/>
  <c r="DX172" i="23"/>
  <c r="DV172" i="23"/>
  <c r="EF172" i="23" s="1"/>
  <c r="DM172" i="23"/>
  <c r="DN172" i="23" s="1"/>
  <c r="DF172" i="23"/>
  <c r="DE172" i="23"/>
  <c r="DD172" i="23"/>
  <c r="DC172" i="23"/>
  <c r="DB172" i="23"/>
  <c r="DA172" i="23"/>
  <c r="CZ172" i="23"/>
  <c r="CY172" i="23"/>
  <c r="CX172" i="23"/>
  <c r="CV172" i="23"/>
  <c r="CK172" i="23"/>
  <c r="BL172" i="23"/>
  <c r="AV172" i="23"/>
  <c r="D172" i="23"/>
  <c r="E194" i="71" s="1"/>
  <c r="C172" i="23"/>
  <c r="B172" i="23"/>
  <c r="EU171" i="23"/>
  <c r="ET171" i="23"/>
  <c r="ES171" i="23"/>
  <c r="ER171" i="23"/>
  <c r="EQ171" i="23"/>
  <c r="EO171" i="23"/>
  <c r="EN171" i="23"/>
  <c r="EV171" i="23" s="1"/>
  <c r="EG171" i="23"/>
  <c r="EE171" i="23"/>
  <c r="ED171" i="23"/>
  <c r="EC171" i="23"/>
  <c r="EB171" i="23"/>
  <c r="EA171" i="23"/>
  <c r="DZ171" i="23"/>
  <c r="DV171" i="23"/>
  <c r="EF171" i="23" s="1"/>
  <c r="DM171" i="23"/>
  <c r="DN171" i="23" s="1"/>
  <c r="DF171" i="23"/>
  <c r="DE171" i="23"/>
  <c r="DD171" i="23"/>
  <c r="DC171" i="23"/>
  <c r="DB171" i="23"/>
  <c r="DA171" i="23"/>
  <c r="CZ171" i="23"/>
  <c r="CY171" i="23"/>
  <c r="CX171" i="23"/>
  <c r="CV171" i="23"/>
  <c r="CK171" i="23"/>
  <c r="BL171" i="23"/>
  <c r="AV171" i="23"/>
  <c r="D171" i="23"/>
  <c r="C171" i="23"/>
  <c r="D193" i="71" s="1"/>
  <c r="B171" i="23"/>
  <c r="EU170" i="23"/>
  <c r="ET170" i="23"/>
  <c r="ES170" i="23"/>
  <c r="ER170" i="23"/>
  <c r="EQ170" i="23"/>
  <c r="EN170" i="23"/>
  <c r="EV170" i="23" s="1"/>
  <c r="EG170" i="23"/>
  <c r="EE170" i="23"/>
  <c r="ED170" i="23"/>
  <c r="EC170" i="23"/>
  <c r="EB170" i="23"/>
  <c r="EA170" i="23"/>
  <c r="DZ170" i="23"/>
  <c r="DV170" i="23"/>
  <c r="DX170" i="23" s="1"/>
  <c r="DM170" i="23"/>
  <c r="DN170" i="23" s="1"/>
  <c r="DF170" i="23"/>
  <c r="DE170" i="23"/>
  <c r="DD170" i="23"/>
  <c r="DC170" i="23"/>
  <c r="DB170" i="23"/>
  <c r="DA170" i="23"/>
  <c r="CZ170" i="23"/>
  <c r="CY170" i="23"/>
  <c r="CX170" i="23"/>
  <c r="CV170" i="23"/>
  <c r="CK170" i="23"/>
  <c r="BL170" i="23"/>
  <c r="AV170" i="23"/>
  <c r="D170" i="23"/>
  <c r="C170" i="23"/>
  <c r="D192" i="71" s="1"/>
  <c r="B170" i="23"/>
  <c r="C192" i="71" s="1"/>
  <c r="EU169" i="23"/>
  <c r="ET169" i="23"/>
  <c r="ES169" i="23"/>
  <c r="ER169" i="23"/>
  <c r="EQ169" i="23"/>
  <c r="EN169" i="23"/>
  <c r="EO169" i="23" s="1"/>
  <c r="EG169" i="23"/>
  <c r="EE169" i="23"/>
  <c r="ED169" i="23"/>
  <c r="EC169" i="23"/>
  <c r="EB169" i="23"/>
  <c r="EA169" i="23"/>
  <c r="DZ169" i="23"/>
  <c r="DV169" i="23"/>
  <c r="DX169" i="23" s="1"/>
  <c r="DN169" i="23"/>
  <c r="DM169" i="23"/>
  <c r="DF169" i="23"/>
  <c r="DE169" i="23"/>
  <c r="DD169" i="23"/>
  <c r="DC169" i="23"/>
  <c r="DB169" i="23"/>
  <c r="DA169" i="23"/>
  <c r="CZ169" i="23"/>
  <c r="CY169" i="23"/>
  <c r="CX169" i="23"/>
  <c r="CV169" i="23"/>
  <c r="CK169" i="23"/>
  <c r="BL169" i="23"/>
  <c r="AV169" i="23"/>
  <c r="D169" i="23"/>
  <c r="C169" i="23"/>
  <c r="D191" i="71" s="1"/>
  <c r="B169" i="23"/>
  <c r="C191" i="71" s="1"/>
  <c r="EU168" i="23"/>
  <c r="ET168" i="23"/>
  <c r="ES168" i="23"/>
  <c r="ER168" i="23"/>
  <c r="EQ168" i="23"/>
  <c r="EN168" i="23"/>
  <c r="EV168" i="23" s="1"/>
  <c r="EW168" i="23" s="1"/>
  <c r="EG168" i="23"/>
  <c r="EE168" i="23"/>
  <c r="ED168" i="23"/>
  <c r="EC168" i="23"/>
  <c r="EB168" i="23"/>
  <c r="EA168" i="23"/>
  <c r="DZ168" i="23"/>
  <c r="DV168" i="23"/>
  <c r="EF168" i="23" s="1"/>
  <c r="DM168" i="23"/>
  <c r="DN168" i="23" s="1"/>
  <c r="DF168" i="23"/>
  <c r="DE168" i="23"/>
  <c r="DD168" i="23"/>
  <c r="DC168" i="23"/>
  <c r="DB168" i="23"/>
  <c r="DA168" i="23"/>
  <c r="CZ168" i="23"/>
  <c r="CY168" i="23"/>
  <c r="CX168" i="23"/>
  <c r="CV168" i="23"/>
  <c r="CK168" i="23"/>
  <c r="BL168" i="23"/>
  <c r="AV168" i="23"/>
  <c r="D168" i="23"/>
  <c r="E190" i="71" s="1"/>
  <c r="C168" i="23"/>
  <c r="D190" i="71" s="1"/>
  <c r="B168" i="23"/>
  <c r="C190" i="71" s="1"/>
  <c r="EU167" i="23"/>
  <c r="ET167" i="23"/>
  <c r="ES167" i="23"/>
  <c r="ER167" i="23"/>
  <c r="EQ167" i="23"/>
  <c r="EN167" i="23"/>
  <c r="EO167" i="23" s="1"/>
  <c r="EG167" i="23"/>
  <c r="EE167" i="23"/>
  <c r="ED167" i="23"/>
  <c r="EC167" i="23"/>
  <c r="EB167" i="23"/>
  <c r="EA167" i="23"/>
  <c r="DZ167" i="23"/>
  <c r="DX167" i="23"/>
  <c r="DV167" i="23"/>
  <c r="EF167" i="23" s="1"/>
  <c r="DN167" i="23"/>
  <c r="DM167" i="23"/>
  <c r="DF167" i="23"/>
  <c r="DE167" i="23"/>
  <c r="DD167" i="23"/>
  <c r="DC167" i="23"/>
  <c r="DB167" i="23"/>
  <c r="DA167" i="23"/>
  <c r="CZ167" i="23"/>
  <c r="CY167" i="23"/>
  <c r="CX167" i="23"/>
  <c r="CV167" i="23"/>
  <c r="CK167" i="23"/>
  <c r="BL167" i="23"/>
  <c r="AV167" i="23"/>
  <c r="D167" i="23"/>
  <c r="E189" i="71" s="1"/>
  <c r="C167" i="23"/>
  <c r="B167" i="23"/>
  <c r="EU166" i="23"/>
  <c r="ET166" i="23"/>
  <c r="ES166" i="23"/>
  <c r="ER166" i="23"/>
  <c r="EQ166" i="23"/>
  <c r="EO166" i="23"/>
  <c r="EN166" i="23"/>
  <c r="EV166" i="23" s="1"/>
  <c r="EG166" i="23"/>
  <c r="EE166" i="23"/>
  <c r="ED166" i="23"/>
  <c r="EC166" i="23"/>
  <c r="EB166" i="23"/>
  <c r="EA166" i="23"/>
  <c r="DZ166" i="23"/>
  <c r="DV166" i="23"/>
  <c r="DX166" i="23" s="1"/>
  <c r="DM166" i="23"/>
  <c r="DN166" i="23" s="1"/>
  <c r="DF166" i="23"/>
  <c r="DE166" i="23"/>
  <c r="DD166" i="23"/>
  <c r="DC166" i="23"/>
  <c r="DB166" i="23"/>
  <c r="DA166" i="23"/>
  <c r="CZ166" i="23"/>
  <c r="CY166" i="23"/>
  <c r="CX166" i="23"/>
  <c r="CV166" i="23"/>
  <c r="CK166" i="23"/>
  <c r="BL166" i="23"/>
  <c r="AV166" i="23"/>
  <c r="D166" i="23"/>
  <c r="E188" i="71" s="1"/>
  <c r="C166" i="23"/>
  <c r="D188" i="71" s="1"/>
  <c r="B166" i="23"/>
  <c r="C188" i="71" s="1"/>
  <c r="EU165" i="23"/>
  <c r="ET165" i="23"/>
  <c r="ES165" i="23"/>
  <c r="ER165" i="23"/>
  <c r="EQ165" i="23"/>
  <c r="EN165" i="23"/>
  <c r="EO165" i="23" s="1"/>
  <c r="EG165" i="23"/>
  <c r="EE165" i="23"/>
  <c r="ED165" i="23"/>
  <c r="EC165" i="23"/>
  <c r="EB165" i="23"/>
  <c r="EA165" i="23"/>
  <c r="DZ165" i="23"/>
  <c r="DX165" i="23"/>
  <c r="DV165" i="23"/>
  <c r="EF165" i="23" s="1"/>
  <c r="DM165" i="23"/>
  <c r="DN165" i="23" s="1"/>
  <c r="DF165" i="23"/>
  <c r="DE165" i="23"/>
  <c r="DD165" i="23"/>
  <c r="DC165" i="23"/>
  <c r="DB165" i="23"/>
  <c r="DA165" i="23"/>
  <c r="CZ165" i="23"/>
  <c r="CY165" i="23"/>
  <c r="CX165" i="23"/>
  <c r="CV165" i="23"/>
  <c r="CK165" i="23"/>
  <c r="BL165" i="23"/>
  <c r="AV165" i="23"/>
  <c r="D165" i="23"/>
  <c r="E187" i="71" s="1"/>
  <c r="C165" i="23"/>
  <c r="B165" i="23"/>
  <c r="C187" i="71" s="1"/>
  <c r="EV164" i="23"/>
  <c r="EU164" i="23"/>
  <c r="ET164" i="23"/>
  <c r="ES164" i="23"/>
  <c r="ER164" i="23"/>
  <c r="EQ164" i="23"/>
  <c r="EN164" i="23"/>
  <c r="EO164" i="23" s="1"/>
  <c r="EG164" i="23"/>
  <c r="EE164" i="23"/>
  <c r="ED164" i="23"/>
  <c r="EC164" i="23"/>
  <c r="EB164" i="23"/>
  <c r="EA164" i="23"/>
  <c r="DZ164" i="23"/>
  <c r="DV164" i="23"/>
  <c r="EF164" i="23" s="1"/>
  <c r="DM164" i="23"/>
  <c r="DN164" i="23" s="1"/>
  <c r="DF164" i="23"/>
  <c r="DE164" i="23"/>
  <c r="DD164" i="23"/>
  <c r="DC164" i="23"/>
  <c r="DB164" i="23"/>
  <c r="DA164" i="23"/>
  <c r="CZ164" i="23"/>
  <c r="CY164" i="23"/>
  <c r="CX164" i="23"/>
  <c r="CV164" i="23"/>
  <c r="CK164" i="23"/>
  <c r="BL164" i="23"/>
  <c r="AV164" i="23"/>
  <c r="D164" i="23"/>
  <c r="E186" i="71" s="1"/>
  <c r="C164" i="23"/>
  <c r="B164" i="23"/>
  <c r="EU163" i="23"/>
  <c r="ET163" i="23"/>
  <c r="ES163" i="23"/>
  <c r="ER163" i="23"/>
  <c r="EQ163" i="23"/>
  <c r="EN163" i="23"/>
  <c r="EV163" i="23" s="1"/>
  <c r="EG163" i="23"/>
  <c r="EE163" i="23"/>
  <c r="ED163" i="23"/>
  <c r="EC163" i="23"/>
  <c r="EB163" i="23"/>
  <c r="EA163" i="23"/>
  <c r="DZ163" i="23"/>
  <c r="DV163" i="23"/>
  <c r="EF163" i="23" s="1"/>
  <c r="DM163" i="23"/>
  <c r="DN163" i="23" s="1"/>
  <c r="DF163" i="23"/>
  <c r="DE163" i="23"/>
  <c r="DD163" i="23"/>
  <c r="DC163" i="23"/>
  <c r="DB163" i="23"/>
  <c r="DA163" i="23"/>
  <c r="CZ163" i="23"/>
  <c r="CY163" i="23"/>
  <c r="CX163" i="23"/>
  <c r="CV163" i="23"/>
  <c r="CK163" i="23"/>
  <c r="BL163" i="23"/>
  <c r="AV163" i="23"/>
  <c r="D163" i="23"/>
  <c r="C163" i="23"/>
  <c r="D185" i="71" s="1"/>
  <c r="B163" i="23"/>
  <c r="EU162" i="23"/>
  <c r="ET162" i="23"/>
  <c r="ES162" i="23"/>
  <c r="ER162" i="23"/>
  <c r="EQ162" i="23"/>
  <c r="EN162" i="23"/>
  <c r="EV162" i="23" s="1"/>
  <c r="EG162" i="23"/>
  <c r="EE162" i="23"/>
  <c r="ED162" i="23"/>
  <c r="EC162" i="23"/>
  <c r="EB162" i="23"/>
  <c r="EA162" i="23"/>
  <c r="DZ162" i="23"/>
  <c r="DV162" i="23"/>
  <c r="DX162" i="23" s="1"/>
  <c r="DN162" i="23"/>
  <c r="DM162" i="23"/>
  <c r="DF162" i="23"/>
  <c r="DE162" i="23"/>
  <c r="DD162" i="23"/>
  <c r="DC162" i="23"/>
  <c r="DB162" i="23"/>
  <c r="DA162" i="23"/>
  <c r="CZ162" i="23"/>
  <c r="CY162" i="23"/>
  <c r="CX162" i="23"/>
  <c r="CV162" i="23"/>
  <c r="CK162" i="23"/>
  <c r="BL162" i="23"/>
  <c r="AV162" i="23"/>
  <c r="D162" i="23"/>
  <c r="E184" i="71" s="1"/>
  <c r="C162" i="23"/>
  <c r="B162" i="23"/>
  <c r="EU161" i="23"/>
  <c r="ET161" i="23"/>
  <c r="ES161" i="23"/>
  <c r="ER161" i="23"/>
  <c r="EQ161" i="23"/>
  <c r="EO161" i="23"/>
  <c r="EN161" i="23"/>
  <c r="EV161" i="23" s="1"/>
  <c r="EG161" i="23"/>
  <c r="EE161" i="23"/>
  <c r="ED161" i="23"/>
  <c r="EC161" i="23"/>
  <c r="EB161" i="23"/>
  <c r="EA161" i="23"/>
  <c r="DZ161" i="23"/>
  <c r="DV161" i="23"/>
  <c r="DX161" i="23" s="1"/>
  <c r="DM161" i="23"/>
  <c r="DN161" i="23" s="1"/>
  <c r="DF161" i="23"/>
  <c r="DE161" i="23"/>
  <c r="DD161" i="23"/>
  <c r="DC161" i="23"/>
  <c r="DB161" i="23"/>
  <c r="DA161" i="23"/>
  <c r="CZ161" i="23"/>
  <c r="CY161" i="23"/>
  <c r="CX161" i="23"/>
  <c r="CV161" i="23"/>
  <c r="CK161" i="23"/>
  <c r="BL161" i="23"/>
  <c r="AV161" i="23"/>
  <c r="D161" i="23"/>
  <c r="E183" i="71" s="1"/>
  <c r="C161" i="23"/>
  <c r="D183" i="71" s="1"/>
  <c r="B161" i="23"/>
  <c r="C183" i="71" s="1"/>
  <c r="EU160" i="23"/>
  <c r="ET160" i="23"/>
  <c r="ES160" i="23"/>
  <c r="ER160" i="23"/>
  <c r="EQ160" i="23"/>
  <c r="EN160" i="23"/>
  <c r="EV160" i="23" s="1"/>
  <c r="EG160" i="23"/>
  <c r="EE160" i="23"/>
  <c r="ED160" i="23"/>
  <c r="EC160" i="23"/>
  <c r="EB160" i="23"/>
  <c r="EA160" i="23"/>
  <c r="DZ160" i="23"/>
  <c r="DX160" i="23"/>
  <c r="DV160" i="23"/>
  <c r="EF160" i="23" s="1"/>
  <c r="DM160" i="23"/>
  <c r="DN160" i="23" s="1"/>
  <c r="DF160" i="23"/>
  <c r="DE160" i="23"/>
  <c r="DD160" i="23"/>
  <c r="DC160" i="23"/>
  <c r="DB160" i="23"/>
  <c r="DA160" i="23"/>
  <c r="CZ160" i="23"/>
  <c r="CY160" i="23"/>
  <c r="CX160" i="23"/>
  <c r="CV160" i="23"/>
  <c r="CK160" i="23"/>
  <c r="BL160" i="23"/>
  <c r="AV160" i="23"/>
  <c r="D160" i="23"/>
  <c r="E182" i="71" s="1"/>
  <c r="C160" i="23"/>
  <c r="D182" i="71" s="1"/>
  <c r="B160" i="23"/>
  <c r="EU159" i="23"/>
  <c r="ET159" i="23"/>
  <c r="ES159" i="23"/>
  <c r="ER159" i="23"/>
  <c r="EQ159" i="23"/>
  <c r="EN159" i="23"/>
  <c r="EO159" i="23" s="1"/>
  <c r="EG159" i="23"/>
  <c r="EE159" i="23"/>
  <c r="ED159" i="23"/>
  <c r="EC159" i="23"/>
  <c r="EB159" i="23"/>
  <c r="EA159" i="23"/>
  <c r="DZ159" i="23"/>
  <c r="DV159" i="23"/>
  <c r="DX159" i="23" s="1"/>
  <c r="DM159" i="23"/>
  <c r="DN159" i="23" s="1"/>
  <c r="DF159" i="23"/>
  <c r="DE159" i="23"/>
  <c r="DD159" i="23"/>
  <c r="DC159" i="23"/>
  <c r="DB159" i="23"/>
  <c r="DA159" i="23"/>
  <c r="CZ159" i="23"/>
  <c r="CY159" i="23"/>
  <c r="CX159" i="23"/>
  <c r="CV159" i="23"/>
  <c r="CK159" i="23"/>
  <c r="BL159" i="23"/>
  <c r="AV159" i="23"/>
  <c r="D159" i="23"/>
  <c r="C159" i="23"/>
  <c r="B159" i="23"/>
  <c r="EW158" i="23"/>
  <c r="EO158" i="23"/>
  <c r="DX158" i="23"/>
  <c r="DN158" i="23"/>
  <c r="CV158" i="23"/>
  <c r="CK158" i="23"/>
  <c r="BL158" i="23"/>
  <c r="AV158" i="23"/>
  <c r="D158" i="23"/>
  <c r="E180" i="71" s="1"/>
  <c r="B158" i="23"/>
  <c r="EV157" i="23"/>
  <c r="EU157" i="23"/>
  <c r="ET157" i="23"/>
  <c r="ES157" i="23"/>
  <c r="ER157" i="23"/>
  <c r="EQ157" i="23"/>
  <c r="EN157" i="23"/>
  <c r="EO157" i="23" s="1"/>
  <c r="EG157" i="23"/>
  <c r="EE157" i="23"/>
  <c r="ED157" i="23"/>
  <c r="EC157" i="23"/>
  <c r="EB157" i="23"/>
  <c r="EA157" i="23"/>
  <c r="DZ157" i="23"/>
  <c r="DV157" i="23"/>
  <c r="EF157" i="23" s="1"/>
  <c r="DM157" i="23"/>
  <c r="DN157" i="23" s="1"/>
  <c r="DF157" i="23"/>
  <c r="DE157" i="23"/>
  <c r="DD157" i="23"/>
  <c r="DC157" i="23"/>
  <c r="DB157" i="23"/>
  <c r="DA157" i="23"/>
  <c r="CZ157" i="23"/>
  <c r="CY157" i="23"/>
  <c r="CX157" i="23"/>
  <c r="CV157" i="23"/>
  <c r="CK157" i="23"/>
  <c r="BL157" i="23"/>
  <c r="AV157" i="23"/>
  <c r="D157" i="23"/>
  <c r="E179" i="71" s="1"/>
  <c r="C157" i="23"/>
  <c r="B157" i="23"/>
  <c r="EU156" i="23"/>
  <c r="ET156" i="23"/>
  <c r="ES156" i="23"/>
  <c r="ER156" i="23"/>
  <c r="EQ156" i="23"/>
  <c r="EN156" i="23"/>
  <c r="EV156" i="23" s="1"/>
  <c r="EG156" i="23"/>
  <c r="EE156" i="23"/>
  <c r="ED156" i="23"/>
  <c r="EC156" i="23"/>
  <c r="EB156" i="23"/>
  <c r="EA156" i="23"/>
  <c r="DZ156" i="23"/>
  <c r="DV156" i="23"/>
  <c r="EF156" i="23" s="1"/>
  <c r="DM156" i="23"/>
  <c r="DN156" i="23" s="1"/>
  <c r="DF156" i="23"/>
  <c r="DE156" i="23"/>
  <c r="DD156" i="23"/>
  <c r="DC156" i="23"/>
  <c r="DB156" i="23"/>
  <c r="DA156" i="23"/>
  <c r="CZ156" i="23"/>
  <c r="CY156" i="23"/>
  <c r="CX156" i="23"/>
  <c r="CV156" i="23"/>
  <c r="CK156" i="23"/>
  <c r="BL156" i="23"/>
  <c r="AV156" i="23"/>
  <c r="D156" i="23"/>
  <c r="E178" i="71" s="1"/>
  <c r="C156" i="23"/>
  <c r="B156" i="23"/>
  <c r="EU155" i="23"/>
  <c r="ET155" i="23"/>
  <c r="ES155" i="23"/>
  <c r="ER155" i="23"/>
  <c r="EQ155" i="23"/>
  <c r="EO155" i="23"/>
  <c r="EN155" i="23"/>
  <c r="EV155" i="23" s="1"/>
  <c r="EG155" i="23"/>
  <c r="EE155" i="23"/>
  <c r="ED155" i="23"/>
  <c r="EC155" i="23"/>
  <c r="EB155" i="23"/>
  <c r="EA155" i="23"/>
  <c r="DZ155" i="23"/>
  <c r="DV155" i="23"/>
  <c r="DX155" i="23" s="1"/>
  <c r="DN155" i="23"/>
  <c r="DM155" i="23"/>
  <c r="DF155" i="23"/>
  <c r="DE155" i="23"/>
  <c r="DD155" i="23"/>
  <c r="DC155" i="23"/>
  <c r="DB155" i="23"/>
  <c r="DA155" i="23"/>
  <c r="CZ155" i="23"/>
  <c r="CY155" i="23"/>
  <c r="CX155" i="23"/>
  <c r="CV155" i="23"/>
  <c r="CK155" i="23"/>
  <c r="BL155" i="23"/>
  <c r="AV155" i="23"/>
  <c r="D155" i="23"/>
  <c r="E177" i="71" s="1"/>
  <c r="C155" i="23"/>
  <c r="B155" i="23"/>
  <c r="C177" i="71" s="1"/>
  <c r="EU154" i="23"/>
  <c r="ET154" i="23"/>
  <c r="ES154" i="23"/>
  <c r="ER154" i="23"/>
  <c r="EQ154" i="23"/>
  <c r="EN154" i="23"/>
  <c r="EO154" i="23" s="1"/>
  <c r="EG154" i="23"/>
  <c r="EE154" i="23"/>
  <c r="ED154" i="23"/>
  <c r="EC154" i="23"/>
  <c r="EB154" i="23"/>
  <c r="EA154" i="23"/>
  <c r="DZ154" i="23"/>
  <c r="DV154" i="23"/>
  <c r="DX154" i="23" s="1"/>
  <c r="DM154" i="23"/>
  <c r="DN154" i="23" s="1"/>
  <c r="DF154" i="23"/>
  <c r="DE154" i="23"/>
  <c r="DD154" i="23"/>
  <c r="DC154" i="23"/>
  <c r="DB154" i="23"/>
  <c r="DA154" i="23"/>
  <c r="CZ154" i="23"/>
  <c r="CY154" i="23"/>
  <c r="CX154" i="23"/>
  <c r="CV154" i="23"/>
  <c r="CK154" i="23"/>
  <c r="BL154" i="23"/>
  <c r="AV154" i="23"/>
  <c r="D154" i="23"/>
  <c r="E176" i="71" s="1"/>
  <c r="C154" i="23"/>
  <c r="B154" i="23"/>
  <c r="EU153" i="23"/>
  <c r="ET153" i="23"/>
  <c r="ES153" i="23"/>
  <c r="ER153" i="23"/>
  <c r="EQ153" i="23"/>
  <c r="EN153" i="23"/>
  <c r="EV153" i="23" s="1"/>
  <c r="EW153" i="23" s="1"/>
  <c r="EG153" i="23"/>
  <c r="EE153" i="23"/>
  <c r="ED153" i="23"/>
  <c r="EC153" i="23"/>
  <c r="EB153" i="23"/>
  <c r="EA153" i="23"/>
  <c r="DZ153" i="23"/>
  <c r="DX153" i="23"/>
  <c r="DV153" i="23"/>
  <c r="EF153" i="23" s="1"/>
  <c r="DM153" i="23"/>
  <c r="DN153" i="23" s="1"/>
  <c r="DF153" i="23"/>
  <c r="DE153" i="23"/>
  <c r="DD153" i="23"/>
  <c r="DC153" i="23"/>
  <c r="DB153" i="23"/>
  <c r="DA153" i="23"/>
  <c r="CZ153" i="23"/>
  <c r="CY153" i="23"/>
  <c r="CX153" i="23"/>
  <c r="CV153" i="23"/>
  <c r="CK153" i="23"/>
  <c r="BL153" i="23"/>
  <c r="AV153" i="23"/>
  <c r="D153" i="23"/>
  <c r="C153" i="23"/>
  <c r="B153" i="23"/>
  <c r="EU152" i="23"/>
  <c r="ET152" i="23"/>
  <c r="ES152" i="23"/>
  <c r="ER152" i="23"/>
  <c r="EQ152" i="23"/>
  <c r="EN152" i="23"/>
  <c r="EO152" i="23" s="1"/>
  <c r="EG152" i="23"/>
  <c r="EE152" i="23"/>
  <c r="ED152" i="23"/>
  <c r="EC152" i="23"/>
  <c r="EB152" i="23"/>
  <c r="EA152" i="23"/>
  <c r="DZ152" i="23"/>
  <c r="DV152" i="23"/>
  <c r="DX152" i="23" s="1"/>
  <c r="DN152" i="23"/>
  <c r="DM152" i="23"/>
  <c r="DF152" i="23"/>
  <c r="DE152" i="23"/>
  <c r="DD152" i="23"/>
  <c r="DC152" i="23"/>
  <c r="DB152" i="23"/>
  <c r="DA152" i="23"/>
  <c r="CZ152" i="23"/>
  <c r="CY152" i="23"/>
  <c r="CX152" i="23"/>
  <c r="CV152" i="23"/>
  <c r="CK152" i="23"/>
  <c r="BL152" i="23"/>
  <c r="AV152" i="23"/>
  <c r="D152" i="23"/>
  <c r="E174" i="71" s="1"/>
  <c r="C152" i="23"/>
  <c r="B152" i="23"/>
  <c r="C174" i="71" s="1"/>
  <c r="EU151" i="23"/>
  <c r="ET151" i="23"/>
  <c r="ES151" i="23"/>
  <c r="ER151" i="23"/>
  <c r="EQ151" i="23"/>
  <c r="EO151" i="23"/>
  <c r="EN151" i="23"/>
  <c r="EV151" i="23" s="1"/>
  <c r="EG151" i="23"/>
  <c r="EE151" i="23"/>
  <c r="ED151" i="23"/>
  <c r="EC151" i="23"/>
  <c r="EB151" i="23"/>
  <c r="EA151" i="23"/>
  <c r="DZ151" i="23"/>
  <c r="DV151" i="23"/>
  <c r="DX151" i="23" s="1"/>
  <c r="DN151" i="23"/>
  <c r="DM151" i="23"/>
  <c r="DF151" i="23"/>
  <c r="DE151" i="23"/>
  <c r="DD151" i="23"/>
  <c r="DC151" i="23"/>
  <c r="DB151" i="23"/>
  <c r="DA151" i="23"/>
  <c r="CZ151" i="23"/>
  <c r="CY151" i="23"/>
  <c r="CX151" i="23"/>
  <c r="CV151" i="23"/>
  <c r="CK151" i="23"/>
  <c r="BL151" i="23"/>
  <c r="AV151" i="23"/>
  <c r="D151" i="23"/>
  <c r="C151" i="23"/>
  <c r="D173" i="71" s="1"/>
  <c r="B151" i="23"/>
  <c r="C173" i="71" s="1"/>
  <c r="EV150" i="23"/>
  <c r="EU150" i="23"/>
  <c r="ET150" i="23"/>
  <c r="ES150" i="23"/>
  <c r="ER150" i="23"/>
  <c r="EQ150" i="23"/>
  <c r="EO150" i="23"/>
  <c r="EN150" i="23"/>
  <c r="EG150" i="23"/>
  <c r="EE150" i="23"/>
  <c r="ED150" i="23"/>
  <c r="EC150" i="23"/>
  <c r="EB150" i="23"/>
  <c r="EA150" i="23"/>
  <c r="DZ150" i="23"/>
  <c r="DV150" i="23"/>
  <c r="EF150" i="23" s="1"/>
  <c r="DM150" i="23"/>
  <c r="DN150" i="23" s="1"/>
  <c r="DF150" i="23"/>
  <c r="DE150" i="23"/>
  <c r="DD150" i="23"/>
  <c r="DC150" i="23"/>
  <c r="DB150" i="23"/>
  <c r="DA150" i="23"/>
  <c r="CZ150" i="23"/>
  <c r="CY150" i="23"/>
  <c r="CX150" i="23"/>
  <c r="CV150" i="23"/>
  <c r="CK150" i="23"/>
  <c r="BL150" i="23"/>
  <c r="AV150" i="23"/>
  <c r="D150" i="23"/>
  <c r="E172" i="71" s="1"/>
  <c r="C150" i="23"/>
  <c r="B150" i="23"/>
  <c r="C172" i="71" s="1"/>
  <c r="EV149" i="23"/>
  <c r="EU149" i="23"/>
  <c r="ET149" i="23"/>
  <c r="ES149" i="23"/>
  <c r="ER149" i="23"/>
  <c r="EQ149" i="23"/>
  <c r="EN149" i="23"/>
  <c r="EO149" i="23" s="1"/>
  <c r="EG149" i="23"/>
  <c r="EE149" i="23"/>
  <c r="ED149" i="23"/>
  <c r="EC149" i="23"/>
  <c r="EB149" i="23"/>
  <c r="EA149" i="23"/>
  <c r="DZ149" i="23"/>
  <c r="DV149" i="23"/>
  <c r="EF149" i="23" s="1"/>
  <c r="DM149" i="23"/>
  <c r="DN149" i="23" s="1"/>
  <c r="DF149" i="23"/>
  <c r="DE149" i="23"/>
  <c r="DD149" i="23"/>
  <c r="DC149" i="23"/>
  <c r="DB149" i="23"/>
  <c r="DA149" i="23"/>
  <c r="CZ149" i="23"/>
  <c r="CY149" i="23"/>
  <c r="CX149" i="23"/>
  <c r="CV149" i="23"/>
  <c r="CK149" i="23"/>
  <c r="BL149" i="23"/>
  <c r="AV149" i="23"/>
  <c r="D149" i="23"/>
  <c r="E171" i="71" s="1"/>
  <c r="C149" i="23"/>
  <c r="B149" i="23"/>
  <c r="EU148" i="23"/>
  <c r="ET148" i="23"/>
  <c r="ES148" i="23"/>
  <c r="ER148" i="23"/>
  <c r="EQ148" i="23"/>
  <c r="EN148" i="23"/>
  <c r="EV148" i="23" s="1"/>
  <c r="EG148" i="23"/>
  <c r="EE148" i="23"/>
  <c r="ED148" i="23"/>
  <c r="EC148" i="23"/>
  <c r="EB148" i="23"/>
  <c r="EA148" i="23"/>
  <c r="DZ148" i="23"/>
  <c r="DV148" i="23"/>
  <c r="EF148" i="23" s="1"/>
  <c r="DM148" i="23"/>
  <c r="DN148" i="23" s="1"/>
  <c r="DF148" i="23"/>
  <c r="DE148" i="23"/>
  <c r="DD148" i="23"/>
  <c r="DC148" i="23"/>
  <c r="DB148" i="23"/>
  <c r="DA148" i="23"/>
  <c r="CZ148" i="23"/>
  <c r="CY148" i="23"/>
  <c r="CX148" i="23"/>
  <c r="CV148" i="23"/>
  <c r="CK148" i="23"/>
  <c r="BL148" i="23"/>
  <c r="AV148" i="23"/>
  <c r="D148" i="23"/>
  <c r="E170" i="71" s="1"/>
  <c r="C148" i="23"/>
  <c r="B148" i="23"/>
  <c r="C170" i="71" s="1"/>
  <c r="EU147" i="23"/>
  <c r="ET147" i="23"/>
  <c r="ES147" i="23"/>
  <c r="ER147" i="23"/>
  <c r="EQ147" i="23"/>
  <c r="EO147" i="23"/>
  <c r="EN147" i="23"/>
  <c r="EV147" i="23" s="1"/>
  <c r="EG147" i="23"/>
  <c r="EE147" i="23"/>
  <c r="ED147" i="23"/>
  <c r="EC147" i="23"/>
  <c r="EB147" i="23"/>
  <c r="EA147" i="23"/>
  <c r="DZ147" i="23"/>
  <c r="DV147" i="23"/>
  <c r="DX147" i="23" s="1"/>
  <c r="DN147" i="23"/>
  <c r="DM147" i="23"/>
  <c r="DF147" i="23"/>
  <c r="DE147" i="23"/>
  <c r="DD147" i="23"/>
  <c r="DC147" i="23"/>
  <c r="DB147" i="23"/>
  <c r="DA147" i="23"/>
  <c r="CZ147" i="23"/>
  <c r="CY147" i="23"/>
  <c r="CX147" i="23"/>
  <c r="CV147" i="23"/>
  <c r="CK147" i="23"/>
  <c r="BL147" i="23"/>
  <c r="AV147" i="23"/>
  <c r="D147" i="23"/>
  <c r="C147" i="23"/>
  <c r="D169" i="71" s="1"/>
  <c r="B147" i="23"/>
  <c r="EU146" i="23"/>
  <c r="ET146" i="23"/>
  <c r="ES146" i="23"/>
  <c r="ER146" i="23"/>
  <c r="EQ146" i="23"/>
  <c r="EN146" i="23"/>
  <c r="EV146" i="23" s="1"/>
  <c r="EG146" i="23"/>
  <c r="EE146" i="23"/>
  <c r="ED146" i="23"/>
  <c r="EC146" i="23"/>
  <c r="EB146" i="23"/>
  <c r="EA146" i="23"/>
  <c r="DZ146" i="23"/>
  <c r="DV146" i="23"/>
  <c r="DX146" i="23" s="1"/>
  <c r="DN146" i="23"/>
  <c r="DM146" i="23"/>
  <c r="DF146" i="23"/>
  <c r="DE146" i="23"/>
  <c r="DD146" i="23"/>
  <c r="DC146" i="23"/>
  <c r="DB146" i="23"/>
  <c r="DA146" i="23"/>
  <c r="CZ146" i="23"/>
  <c r="CY146" i="23"/>
  <c r="CX146" i="23"/>
  <c r="CV146" i="23"/>
  <c r="CK146" i="23"/>
  <c r="BL146" i="23"/>
  <c r="AV146" i="23"/>
  <c r="D146" i="23"/>
  <c r="E168" i="71" s="1"/>
  <c r="C146" i="23"/>
  <c r="B146" i="23"/>
  <c r="EU145" i="23"/>
  <c r="ET145" i="23"/>
  <c r="ES145" i="23"/>
  <c r="ER145" i="23"/>
  <c r="EQ145" i="23"/>
  <c r="EN145" i="23"/>
  <c r="EV145" i="23" s="1"/>
  <c r="EW145" i="23" s="1"/>
  <c r="EG145" i="23"/>
  <c r="EE145" i="23"/>
  <c r="ED145" i="23"/>
  <c r="EC145" i="23"/>
  <c r="EB145" i="23"/>
  <c r="EA145" i="23"/>
  <c r="DZ145" i="23"/>
  <c r="DX145" i="23"/>
  <c r="DV145" i="23"/>
  <c r="EF145" i="23" s="1"/>
  <c r="DM145" i="23"/>
  <c r="DN145" i="23" s="1"/>
  <c r="DF145" i="23"/>
  <c r="DE145" i="23"/>
  <c r="DD145" i="23"/>
  <c r="DC145" i="23"/>
  <c r="DB145" i="23"/>
  <c r="DA145" i="23"/>
  <c r="CZ145" i="23"/>
  <c r="CY145" i="23"/>
  <c r="CX145" i="23"/>
  <c r="CV145" i="23"/>
  <c r="CK145" i="23"/>
  <c r="BL145" i="23"/>
  <c r="AV145" i="23"/>
  <c r="D145" i="23"/>
  <c r="C145" i="23"/>
  <c r="D167" i="71" s="1"/>
  <c r="B145" i="23"/>
  <c r="C167" i="71" s="1"/>
  <c r="EU144" i="23"/>
  <c r="ET144" i="23"/>
  <c r="ES144" i="23"/>
  <c r="ER144" i="23"/>
  <c r="EQ144" i="23"/>
  <c r="EN144" i="23"/>
  <c r="EO144" i="23" s="1"/>
  <c r="EG144" i="23"/>
  <c r="EE144" i="23"/>
  <c r="ED144" i="23"/>
  <c r="EC144" i="23"/>
  <c r="EB144" i="23"/>
  <c r="EA144" i="23"/>
  <c r="DZ144" i="23"/>
  <c r="DV144" i="23"/>
  <c r="DX144" i="23" s="1"/>
  <c r="DN144" i="23"/>
  <c r="DM144" i="23"/>
  <c r="DF144" i="23"/>
  <c r="DE144" i="23"/>
  <c r="DD144" i="23"/>
  <c r="DC144" i="23"/>
  <c r="DB144" i="23"/>
  <c r="DA144" i="23"/>
  <c r="CZ144" i="23"/>
  <c r="CY144" i="23"/>
  <c r="CX144" i="23"/>
  <c r="CV144" i="23"/>
  <c r="CK144" i="23"/>
  <c r="BL144" i="23"/>
  <c r="AV144" i="23"/>
  <c r="D144" i="23"/>
  <c r="E166" i="71" s="1"/>
  <c r="C144" i="23"/>
  <c r="D166" i="71" s="1"/>
  <c r="B144" i="23"/>
  <c r="C166" i="71" s="1"/>
  <c r="EU143" i="23"/>
  <c r="ET143" i="23"/>
  <c r="ES143" i="23"/>
  <c r="ER143" i="23"/>
  <c r="EQ143" i="23"/>
  <c r="EO143" i="23"/>
  <c r="EN143" i="23"/>
  <c r="EV143" i="23" s="1"/>
  <c r="EG143" i="23"/>
  <c r="EE143" i="23"/>
  <c r="ED143" i="23"/>
  <c r="EC143" i="23"/>
  <c r="EB143" i="23"/>
  <c r="EA143" i="23"/>
  <c r="DZ143" i="23"/>
  <c r="DV143" i="23"/>
  <c r="DX143" i="23" s="1"/>
  <c r="DN143" i="23"/>
  <c r="DM143" i="23"/>
  <c r="DF143" i="23"/>
  <c r="DE143" i="23"/>
  <c r="DD143" i="23"/>
  <c r="DC143" i="23"/>
  <c r="DB143" i="23"/>
  <c r="DA143" i="23"/>
  <c r="CZ143" i="23"/>
  <c r="CY143" i="23"/>
  <c r="CX143" i="23"/>
  <c r="CV143" i="23"/>
  <c r="CK143" i="23"/>
  <c r="BL143" i="23"/>
  <c r="AV143" i="23"/>
  <c r="D143" i="23"/>
  <c r="E165" i="71" s="1"/>
  <c r="C143" i="23"/>
  <c r="D165" i="71" s="1"/>
  <c r="B143" i="23"/>
  <c r="EU142" i="23"/>
  <c r="ET142" i="23"/>
  <c r="ES142" i="23"/>
  <c r="ER142" i="23"/>
  <c r="EQ142" i="23"/>
  <c r="EN142" i="23"/>
  <c r="EO142" i="23" s="1"/>
  <c r="EG142" i="23"/>
  <c r="EE142" i="23"/>
  <c r="ED142" i="23"/>
  <c r="EC142" i="23"/>
  <c r="EB142" i="23"/>
  <c r="EA142" i="23"/>
  <c r="DZ142" i="23"/>
  <c r="DX142" i="23"/>
  <c r="DV142" i="23"/>
  <c r="EF142" i="23" s="1"/>
  <c r="DM142" i="23"/>
  <c r="DN142" i="23" s="1"/>
  <c r="DF142" i="23"/>
  <c r="DE142" i="23"/>
  <c r="DD142" i="23"/>
  <c r="DC142" i="23"/>
  <c r="DB142" i="23"/>
  <c r="DA142" i="23"/>
  <c r="CZ142" i="23"/>
  <c r="CY142" i="23"/>
  <c r="CX142" i="23"/>
  <c r="CV142" i="23"/>
  <c r="CK142" i="23"/>
  <c r="BL142" i="23"/>
  <c r="AV142" i="23"/>
  <c r="D142" i="23"/>
  <c r="E164" i="71" s="1"/>
  <c r="C142" i="23"/>
  <c r="B142" i="23"/>
  <c r="EU141" i="23"/>
  <c r="ET141" i="23"/>
  <c r="ES141" i="23"/>
  <c r="ER141" i="23"/>
  <c r="EQ141" i="23"/>
  <c r="EN141" i="23"/>
  <c r="EO141" i="23" s="1"/>
  <c r="EG141" i="23"/>
  <c r="EE141" i="23"/>
  <c r="ED141" i="23"/>
  <c r="EC141" i="23"/>
  <c r="EB141" i="23"/>
  <c r="EA141" i="23"/>
  <c r="DZ141" i="23"/>
  <c r="DV141" i="23"/>
  <c r="EF141" i="23" s="1"/>
  <c r="DM141" i="23"/>
  <c r="DN141" i="23" s="1"/>
  <c r="DF141" i="23"/>
  <c r="DE141" i="23"/>
  <c r="DD141" i="23"/>
  <c r="DC141" i="23"/>
  <c r="DB141" i="23"/>
  <c r="DA141" i="23"/>
  <c r="CZ141" i="23"/>
  <c r="CY141" i="23"/>
  <c r="CX141" i="23"/>
  <c r="CV141" i="23"/>
  <c r="CK141" i="23"/>
  <c r="BL141" i="23"/>
  <c r="AV141" i="23"/>
  <c r="D141" i="23"/>
  <c r="E163" i="71" s="1"/>
  <c r="C141" i="23"/>
  <c r="D163" i="71" s="1"/>
  <c r="B141" i="23"/>
  <c r="EU140" i="23"/>
  <c r="ET140" i="23"/>
  <c r="ES140" i="23"/>
  <c r="ER140" i="23"/>
  <c r="EQ140" i="23"/>
  <c r="EN140" i="23"/>
  <c r="EV140" i="23" s="1"/>
  <c r="EG140" i="23"/>
  <c r="EE140" i="23"/>
  <c r="ED140" i="23"/>
  <c r="EC140" i="23"/>
  <c r="EB140" i="23"/>
  <c r="EA140" i="23"/>
  <c r="DZ140" i="23"/>
  <c r="DV140" i="23"/>
  <c r="DX140" i="23" s="1"/>
  <c r="DM140" i="23"/>
  <c r="DN140" i="23" s="1"/>
  <c r="DF140" i="23"/>
  <c r="DE140" i="23"/>
  <c r="DD140" i="23"/>
  <c r="DC140" i="23"/>
  <c r="DB140" i="23"/>
  <c r="DA140" i="23"/>
  <c r="CZ140" i="23"/>
  <c r="CY140" i="23"/>
  <c r="CX140" i="23"/>
  <c r="CV140" i="23"/>
  <c r="CK140" i="23"/>
  <c r="BL140" i="23"/>
  <c r="AV140" i="23"/>
  <c r="D140" i="23"/>
  <c r="E162" i="71" s="1"/>
  <c r="C140" i="23"/>
  <c r="B140" i="23"/>
  <c r="EU139" i="23"/>
  <c r="ET139" i="23"/>
  <c r="ES139" i="23"/>
  <c r="ER139" i="23"/>
  <c r="EQ139" i="23"/>
  <c r="EN139" i="23"/>
  <c r="EV139" i="23" s="1"/>
  <c r="EG139" i="23"/>
  <c r="EE139" i="23"/>
  <c r="ED139" i="23"/>
  <c r="EC139" i="23"/>
  <c r="EB139" i="23"/>
  <c r="EA139" i="23"/>
  <c r="DZ139" i="23"/>
  <c r="DV139" i="23"/>
  <c r="EF139" i="23" s="1"/>
  <c r="DM139" i="23"/>
  <c r="DN139" i="23" s="1"/>
  <c r="DF139" i="23"/>
  <c r="DE139" i="23"/>
  <c r="DD139" i="23"/>
  <c r="DC139" i="23"/>
  <c r="DB139" i="23"/>
  <c r="DA139" i="23"/>
  <c r="CZ139" i="23"/>
  <c r="CY139" i="23"/>
  <c r="CX139" i="23"/>
  <c r="CV139" i="23"/>
  <c r="CK139" i="23"/>
  <c r="BL139" i="23"/>
  <c r="AV139" i="23"/>
  <c r="D139" i="23"/>
  <c r="E161" i="71" s="1"/>
  <c r="C139" i="23"/>
  <c r="B139" i="23"/>
  <c r="EU138" i="23"/>
  <c r="ET138" i="23"/>
  <c r="ES138" i="23"/>
  <c r="ER138" i="23"/>
  <c r="EQ138" i="23"/>
  <c r="EN138" i="23"/>
  <c r="EO138" i="23" s="1"/>
  <c r="EG138" i="23"/>
  <c r="EE138" i="23"/>
  <c r="ED138" i="23"/>
  <c r="EC138" i="23"/>
  <c r="EB138" i="23"/>
  <c r="EA138" i="23"/>
  <c r="DZ138" i="23"/>
  <c r="DV138" i="23"/>
  <c r="DX138" i="23" s="1"/>
  <c r="DM138" i="23"/>
  <c r="DN138" i="23" s="1"/>
  <c r="DF138" i="23"/>
  <c r="DE138" i="23"/>
  <c r="DD138" i="23"/>
  <c r="DC138" i="23"/>
  <c r="DB138" i="23"/>
  <c r="DA138" i="23"/>
  <c r="CZ138" i="23"/>
  <c r="CY138" i="23"/>
  <c r="CX138" i="23"/>
  <c r="CV138" i="23"/>
  <c r="CK138" i="23"/>
  <c r="BL138" i="23"/>
  <c r="AV138" i="23"/>
  <c r="D138" i="23"/>
  <c r="E160" i="71" s="1"/>
  <c r="C138" i="23"/>
  <c r="D160" i="71" s="1"/>
  <c r="B138" i="23"/>
  <c r="EU137" i="23"/>
  <c r="ET137" i="23"/>
  <c r="ES137" i="23"/>
  <c r="ER137" i="23"/>
  <c r="EQ137" i="23"/>
  <c r="EN137" i="23"/>
  <c r="EV137" i="23" s="1"/>
  <c r="EG137" i="23"/>
  <c r="EE137" i="23"/>
  <c r="ED137" i="23"/>
  <c r="EC137" i="23"/>
  <c r="EB137" i="23"/>
  <c r="EA137" i="23"/>
  <c r="DZ137" i="23"/>
  <c r="DV137" i="23"/>
  <c r="EF137" i="23" s="1"/>
  <c r="DM137" i="23"/>
  <c r="DN137" i="23" s="1"/>
  <c r="DF137" i="23"/>
  <c r="DE137" i="23"/>
  <c r="DD137" i="23"/>
  <c r="DC137" i="23"/>
  <c r="DB137" i="23"/>
  <c r="DA137" i="23"/>
  <c r="CZ137" i="23"/>
  <c r="CY137" i="23"/>
  <c r="CX137" i="23"/>
  <c r="CV137" i="23"/>
  <c r="CK137" i="23"/>
  <c r="BL137" i="23"/>
  <c r="AV137" i="23"/>
  <c r="D137" i="23"/>
  <c r="E159" i="71" s="1"/>
  <c r="C137" i="23"/>
  <c r="B137" i="23"/>
  <c r="EU136" i="23"/>
  <c r="ET136" i="23"/>
  <c r="ES136" i="23"/>
  <c r="ER136" i="23"/>
  <c r="EQ136" i="23"/>
  <c r="EN136" i="23"/>
  <c r="EO136" i="23" s="1"/>
  <c r="EG136" i="23"/>
  <c r="EE136" i="23"/>
  <c r="ED136" i="23"/>
  <c r="EC136" i="23"/>
  <c r="EB136" i="23"/>
  <c r="EA136" i="23"/>
  <c r="DZ136" i="23"/>
  <c r="DX136" i="23"/>
  <c r="DV136" i="23"/>
  <c r="EF136" i="23" s="1"/>
  <c r="DN136" i="23"/>
  <c r="DM136" i="23"/>
  <c r="DF136" i="23"/>
  <c r="DE136" i="23"/>
  <c r="DD136" i="23"/>
  <c r="DC136" i="23"/>
  <c r="DB136" i="23"/>
  <c r="DA136" i="23"/>
  <c r="CZ136" i="23"/>
  <c r="CY136" i="23"/>
  <c r="CX136" i="23"/>
  <c r="CV136" i="23"/>
  <c r="CK136" i="23"/>
  <c r="BL136" i="23"/>
  <c r="AV136" i="23"/>
  <c r="D136" i="23"/>
  <c r="E158" i="71" s="1"/>
  <c r="C136" i="23"/>
  <c r="D158" i="71" s="1"/>
  <c r="B136" i="23"/>
  <c r="C158" i="71" s="1"/>
  <c r="EV135" i="23"/>
  <c r="EU135" i="23"/>
  <c r="ET135" i="23"/>
  <c r="ES135" i="23"/>
  <c r="ER135" i="23"/>
  <c r="EQ135" i="23"/>
  <c r="EO135" i="23"/>
  <c r="EN135" i="23"/>
  <c r="EG135" i="23"/>
  <c r="EE135" i="23"/>
  <c r="ED135" i="23"/>
  <c r="EC135" i="23"/>
  <c r="EB135" i="23"/>
  <c r="EA135" i="23"/>
  <c r="DZ135" i="23"/>
  <c r="DV135" i="23"/>
  <c r="EF135" i="23" s="1"/>
  <c r="DN135" i="23"/>
  <c r="DM135" i="23"/>
  <c r="DF135" i="23"/>
  <c r="DE135" i="23"/>
  <c r="DD135" i="23"/>
  <c r="DC135" i="23"/>
  <c r="DB135" i="23"/>
  <c r="DA135" i="23"/>
  <c r="CZ135" i="23"/>
  <c r="CY135" i="23"/>
  <c r="CX135" i="23"/>
  <c r="CV135" i="23"/>
  <c r="CK135" i="23"/>
  <c r="BL135" i="23"/>
  <c r="AV135" i="23"/>
  <c r="D135" i="23"/>
  <c r="C135" i="23"/>
  <c r="D157" i="71" s="1"/>
  <c r="B135" i="23"/>
  <c r="C157" i="71" s="1"/>
  <c r="EU134" i="23"/>
  <c r="ET134" i="23"/>
  <c r="ES134" i="23"/>
  <c r="ER134" i="23"/>
  <c r="EQ134" i="23"/>
  <c r="EO134" i="23"/>
  <c r="EN134" i="23"/>
  <c r="EV134" i="23" s="1"/>
  <c r="EG134" i="23"/>
  <c r="EE134" i="23"/>
  <c r="ED134" i="23"/>
  <c r="EC134" i="23"/>
  <c r="EB134" i="23"/>
  <c r="EA134" i="23"/>
  <c r="DZ134" i="23"/>
  <c r="DX134" i="23"/>
  <c r="DV134" i="23"/>
  <c r="EF134" i="23" s="1"/>
  <c r="DM134" i="23"/>
  <c r="DN134" i="23" s="1"/>
  <c r="DF134" i="23"/>
  <c r="DE134" i="23"/>
  <c r="DD134" i="23"/>
  <c r="DC134" i="23"/>
  <c r="DB134" i="23"/>
  <c r="DA134" i="23"/>
  <c r="CZ134" i="23"/>
  <c r="CY134" i="23"/>
  <c r="CX134" i="23"/>
  <c r="CV134" i="23"/>
  <c r="CK134" i="23"/>
  <c r="BL134" i="23"/>
  <c r="AV134" i="23"/>
  <c r="D134" i="23"/>
  <c r="E156" i="71" s="1"/>
  <c r="C134" i="23"/>
  <c r="B134" i="23"/>
  <c r="EU133" i="23"/>
  <c r="ET133" i="23"/>
  <c r="ES133" i="23"/>
  <c r="ER133" i="23"/>
  <c r="EQ133" i="23"/>
  <c r="EN133" i="23"/>
  <c r="EO133" i="23" s="1"/>
  <c r="EG133" i="23"/>
  <c r="EE133" i="23"/>
  <c r="ED133" i="23"/>
  <c r="EC133" i="23"/>
  <c r="EB133" i="23"/>
  <c r="EA133" i="23"/>
  <c r="DZ133" i="23"/>
  <c r="DX133" i="23"/>
  <c r="DV133" i="23"/>
  <c r="EF133" i="23" s="1"/>
  <c r="DM133" i="23"/>
  <c r="DN133" i="23" s="1"/>
  <c r="DF133" i="23"/>
  <c r="DE133" i="23"/>
  <c r="DD133" i="23"/>
  <c r="DC133" i="23"/>
  <c r="DB133" i="23"/>
  <c r="DA133" i="23"/>
  <c r="CZ133" i="23"/>
  <c r="CY133" i="23"/>
  <c r="CX133" i="23"/>
  <c r="CV133" i="23"/>
  <c r="CK133" i="23"/>
  <c r="BL133" i="23"/>
  <c r="AV133" i="23"/>
  <c r="D133" i="23"/>
  <c r="E155" i="71" s="1"/>
  <c r="C133" i="23"/>
  <c r="B133" i="23"/>
  <c r="EU132" i="23"/>
  <c r="ET132" i="23"/>
  <c r="ES132" i="23"/>
  <c r="ER132" i="23"/>
  <c r="EQ132" i="23"/>
  <c r="EO132" i="23"/>
  <c r="EN132" i="23"/>
  <c r="EV132" i="23" s="1"/>
  <c r="EG132" i="23"/>
  <c r="EE132" i="23"/>
  <c r="ED132" i="23"/>
  <c r="EC132" i="23"/>
  <c r="EB132" i="23"/>
  <c r="EA132" i="23"/>
  <c r="DZ132" i="23"/>
  <c r="DV132" i="23"/>
  <c r="DX132" i="23" s="1"/>
  <c r="DM132" i="23"/>
  <c r="DN132" i="23" s="1"/>
  <c r="DF132" i="23"/>
  <c r="DE132" i="23"/>
  <c r="DD132" i="23"/>
  <c r="DC132" i="23"/>
  <c r="DB132" i="23"/>
  <c r="DA132" i="23"/>
  <c r="CZ132" i="23"/>
  <c r="CY132" i="23"/>
  <c r="CX132" i="23"/>
  <c r="CV132" i="23"/>
  <c r="CK132" i="23"/>
  <c r="BL132" i="23"/>
  <c r="AV132" i="23"/>
  <c r="D132" i="23"/>
  <c r="E154" i="71" s="1"/>
  <c r="C132" i="23"/>
  <c r="B132" i="23"/>
  <c r="C154" i="71" s="1"/>
  <c r="EU131" i="23"/>
  <c r="ET131" i="23"/>
  <c r="ES131" i="23"/>
  <c r="ER131" i="23"/>
  <c r="EQ131" i="23"/>
  <c r="EO131" i="23"/>
  <c r="EN131" i="23"/>
  <c r="EV131" i="23" s="1"/>
  <c r="EG131" i="23"/>
  <c r="EE131" i="23"/>
  <c r="ED131" i="23"/>
  <c r="EC131" i="23"/>
  <c r="EB131" i="23"/>
  <c r="EA131" i="23"/>
  <c r="DZ131" i="23"/>
  <c r="DV131" i="23"/>
  <c r="DX131" i="23" s="1"/>
  <c r="DN131" i="23"/>
  <c r="DM131" i="23"/>
  <c r="DF131" i="23"/>
  <c r="DE131" i="23"/>
  <c r="DD131" i="23"/>
  <c r="DC131" i="23"/>
  <c r="DB131" i="23"/>
  <c r="DA131" i="23"/>
  <c r="CZ131" i="23"/>
  <c r="CY131" i="23"/>
  <c r="CX131" i="23"/>
  <c r="CV131" i="23"/>
  <c r="CK131" i="23"/>
  <c r="BL131" i="23"/>
  <c r="AV131" i="23"/>
  <c r="D131" i="23"/>
  <c r="E153" i="71" s="1"/>
  <c r="C131" i="23"/>
  <c r="D153" i="71" s="1"/>
  <c r="B131" i="23"/>
  <c r="EU130" i="23"/>
  <c r="ET130" i="23"/>
  <c r="ES130" i="23"/>
  <c r="ER130" i="23"/>
  <c r="EQ130" i="23"/>
  <c r="EN130" i="23"/>
  <c r="EO130" i="23" s="1"/>
  <c r="EG130" i="23"/>
  <c r="EE130" i="23"/>
  <c r="ED130" i="23"/>
  <c r="EC130" i="23"/>
  <c r="EB130" i="23"/>
  <c r="EA130" i="23"/>
  <c r="DZ130" i="23"/>
  <c r="DV130" i="23"/>
  <c r="DX130" i="23" s="1"/>
  <c r="DM130" i="23"/>
  <c r="DN130" i="23" s="1"/>
  <c r="DF130" i="23"/>
  <c r="DE130" i="23"/>
  <c r="DD130" i="23"/>
  <c r="DC130" i="23"/>
  <c r="DB130" i="23"/>
  <c r="DA130" i="23"/>
  <c r="CZ130" i="23"/>
  <c r="CY130" i="23"/>
  <c r="CX130" i="23"/>
  <c r="CV130" i="23"/>
  <c r="CK130" i="23"/>
  <c r="BL130" i="23"/>
  <c r="AV130" i="23"/>
  <c r="D130" i="23"/>
  <c r="E152" i="71" s="1"/>
  <c r="C130" i="23"/>
  <c r="D152" i="71" s="1"/>
  <c r="B130" i="23"/>
  <c r="EU129" i="23"/>
  <c r="ET129" i="23"/>
  <c r="ES129" i="23"/>
  <c r="ER129" i="23"/>
  <c r="EQ129" i="23"/>
  <c r="EN129" i="23"/>
  <c r="EV129" i="23" s="1"/>
  <c r="EW129" i="23" s="1"/>
  <c r="EG129" i="23"/>
  <c r="EE129" i="23"/>
  <c r="ED129" i="23"/>
  <c r="EC129" i="23"/>
  <c r="EB129" i="23"/>
  <c r="EA129" i="23"/>
  <c r="DZ129" i="23"/>
  <c r="DX129" i="23"/>
  <c r="DV129" i="23"/>
  <c r="EF129" i="23" s="1"/>
  <c r="DN129" i="23"/>
  <c r="DM129" i="23"/>
  <c r="DF129" i="23"/>
  <c r="DE129" i="23"/>
  <c r="DD129" i="23"/>
  <c r="DC129" i="23"/>
  <c r="DB129" i="23"/>
  <c r="DA129" i="23"/>
  <c r="CZ129" i="23"/>
  <c r="CY129" i="23"/>
  <c r="CX129" i="23"/>
  <c r="CV129" i="23"/>
  <c r="CK129" i="23"/>
  <c r="BL129" i="23"/>
  <c r="AV129" i="23"/>
  <c r="D129" i="23"/>
  <c r="E151" i="71" s="1"/>
  <c r="C129" i="23"/>
  <c r="B129" i="23"/>
  <c r="EU128" i="23"/>
  <c r="ET128" i="23"/>
  <c r="ES128" i="23"/>
  <c r="ER128" i="23"/>
  <c r="EQ128" i="23"/>
  <c r="EN128" i="23"/>
  <c r="EO128" i="23" s="1"/>
  <c r="EG128" i="23"/>
  <c r="EE128" i="23"/>
  <c r="ED128" i="23"/>
  <c r="EC128" i="23"/>
  <c r="EB128" i="23"/>
  <c r="EA128" i="23"/>
  <c r="DZ128" i="23"/>
  <c r="DV128" i="23"/>
  <c r="EF128" i="23" s="1"/>
  <c r="DM128" i="23"/>
  <c r="DN128" i="23" s="1"/>
  <c r="DF128" i="23"/>
  <c r="DE128" i="23"/>
  <c r="DD128" i="23"/>
  <c r="DC128" i="23"/>
  <c r="DB128" i="23"/>
  <c r="DA128" i="23"/>
  <c r="CZ128" i="23"/>
  <c r="CY128" i="23"/>
  <c r="CX128" i="23"/>
  <c r="CV128" i="23"/>
  <c r="CK128" i="23"/>
  <c r="BL128" i="23"/>
  <c r="AV128" i="23"/>
  <c r="D128" i="23"/>
  <c r="E150" i="71" s="1"/>
  <c r="C128" i="23"/>
  <c r="B128" i="23"/>
  <c r="EU127" i="23"/>
  <c r="ET127" i="23"/>
  <c r="ES127" i="23"/>
  <c r="ER127" i="23"/>
  <c r="EQ127" i="23"/>
  <c r="EN127" i="23"/>
  <c r="EO127" i="23" s="1"/>
  <c r="EG127" i="23"/>
  <c r="EE127" i="23"/>
  <c r="ED127" i="23"/>
  <c r="EC127" i="23"/>
  <c r="EB127" i="23"/>
  <c r="EA127" i="23"/>
  <c r="DZ127" i="23"/>
  <c r="DV127" i="23"/>
  <c r="EF127" i="23" s="1"/>
  <c r="DN127" i="23"/>
  <c r="DM127" i="23"/>
  <c r="DF127" i="23"/>
  <c r="DE127" i="23"/>
  <c r="DD127" i="23"/>
  <c r="DC127" i="23"/>
  <c r="DB127" i="23"/>
  <c r="DA127" i="23"/>
  <c r="CZ127" i="23"/>
  <c r="CY127" i="23"/>
  <c r="CX127" i="23"/>
  <c r="CV127" i="23"/>
  <c r="CK127" i="23"/>
  <c r="BL127" i="23"/>
  <c r="AV127" i="23"/>
  <c r="D127" i="23"/>
  <c r="C127" i="23"/>
  <c r="D149" i="71" s="1"/>
  <c r="B127" i="23"/>
  <c r="EV126" i="23"/>
  <c r="EU126" i="23"/>
  <c r="ET126" i="23"/>
  <c r="ES126" i="23"/>
  <c r="ER126" i="23"/>
  <c r="EQ126" i="23"/>
  <c r="EN126" i="23"/>
  <c r="EO126" i="23" s="1"/>
  <c r="EG126" i="23"/>
  <c r="EE126" i="23"/>
  <c r="ED126" i="23"/>
  <c r="EC126" i="23"/>
  <c r="EB126" i="23"/>
  <c r="EA126" i="23"/>
  <c r="DZ126" i="23"/>
  <c r="DX126" i="23"/>
  <c r="DV126" i="23"/>
  <c r="EF126" i="23" s="1"/>
  <c r="DM126" i="23"/>
  <c r="DN126" i="23" s="1"/>
  <c r="DF126" i="23"/>
  <c r="DE126" i="23"/>
  <c r="DD126" i="23"/>
  <c r="DC126" i="23"/>
  <c r="DB126" i="23"/>
  <c r="DA126" i="23"/>
  <c r="CZ126" i="23"/>
  <c r="CY126" i="23"/>
  <c r="CX126" i="23"/>
  <c r="CV126" i="23"/>
  <c r="CK126" i="23"/>
  <c r="BL126" i="23"/>
  <c r="AV126" i="23"/>
  <c r="D126" i="23"/>
  <c r="E148" i="71" s="1"/>
  <c r="C126" i="23"/>
  <c r="B126" i="23"/>
  <c r="C148" i="71" s="1"/>
  <c r="EU125" i="23"/>
  <c r="ET125" i="23"/>
  <c r="ES125" i="23"/>
  <c r="ER125" i="23"/>
  <c r="EQ125" i="23"/>
  <c r="EN125" i="23"/>
  <c r="EO125" i="23" s="1"/>
  <c r="EG125" i="23"/>
  <c r="EE125" i="23"/>
  <c r="ED125" i="23"/>
  <c r="EC125" i="23"/>
  <c r="EB125" i="23"/>
  <c r="EA125" i="23"/>
  <c r="DZ125" i="23"/>
  <c r="DX125" i="23"/>
  <c r="DV125" i="23"/>
  <c r="EF125" i="23" s="1"/>
  <c r="DM125" i="23"/>
  <c r="DN125" i="23" s="1"/>
  <c r="DF125" i="23"/>
  <c r="DE125" i="23"/>
  <c r="DD125" i="23"/>
  <c r="DC125" i="23"/>
  <c r="DB125" i="23"/>
  <c r="DA125" i="23"/>
  <c r="CZ125" i="23"/>
  <c r="CY125" i="23"/>
  <c r="CX125" i="23"/>
  <c r="CV125" i="23"/>
  <c r="CK125" i="23"/>
  <c r="BL125" i="23"/>
  <c r="AV125" i="23"/>
  <c r="D125" i="23"/>
  <c r="E147" i="71" s="1"/>
  <c r="C125" i="23"/>
  <c r="B125" i="23"/>
  <c r="EW124" i="23"/>
  <c r="EO124" i="23"/>
  <c r="DX124" i="23"/>
  <c r="DN124" i="23"/>
  <c r="CV124" i="23"/>
  <c r="CK124" i="23"/>
  <c r="BL124" i="23"/>
  <c r="AV124" i="23"/>
  <c r="D124" i="23"/>
  <c r="E146" i="71" s="1"/>
  <c r="B124" i="23"/>
  <c r="EU123" i="23"/>
  <c r="ET123" i="23"/>
  <c r="ES123" i="23"/>
  <c r="ER123" i="23"/>
  <c r="EQ123" i="23"/>
  <c r="EN123" i="23"/>
  <c r="EO123" i="23" s="1"/>
  <c r="EG123" i="23"/>
  <c r="EE123" i="23"/>
  <c r="ED123" i="23"/>
  <c r="EC123" i="23"/>
  <c r="EB123" i="23"/>
  <c r="EA123" i="23"/>
  <c r="DZ123" i="23"/>
  <c r="DV123" i="23"/>
  <c r="DX123" i="23" s="1"/>
  <c r="DM123" i="23"/>
  <c r="DN123" i="23" s="1"/>
  <c r="DF123" i="23"/>
  <c r="DE123" i="23"/>
  <c r="DD123" i="23"/>
  <c r="DC123" i="23"/>
  <c r="DB123" i="23"/>
  <c r="DA123" i="23"/>
  <c r="CZ123" i="23"/>
  <c r="CY123" i="23"/>
  <c r="CX123" i="23"/>
  <c r="CV123" i="23"/>
  <c r="CK123" i="23"/>
  <c r="BL123" i="23"/>
  <c r="AV123" i="23"/>
  <c r="D123" i="23"/>
  <c r="C123" i="23"/>
  <c r="D145" i="71" s="1"/>
  <c r="B123" i="23"/>
  <c r="EU122" i="23"/>
  <c r="ET122" i="23"/>
  <c r="ES122" i="23"/>
  <c r="ER122" i="23"/>
  <c r="EQ122" i="23"/>
  <c r="EN122" i="23"/>
  <c r="EV122" i="23" s="1"/>
  <c r="EG122" i="23"/>
  <c r="EE122" i="23"/>
  <c r="ED122" i="23"/>
  <c r="EC122" i="23"/>
  <c r="EB122" i="23"/>
  <c r="EA122" i="23"/>
  <c r="DZ122" i="23"/>
  <c r="DV122" i="23"/>
  <c r="EF122" i="23" s="1"/>
  <c r="DM122" i="23"/>
  <c r="DN122" i="23" s="1"/>
  <c r="DF122" i="23"/>
  <c r="DE122" i="23"/>
  <c r="DD122" i="23"/>
  <c r="DC122" i="23"/>
  <c r="DB122" i="23"/>
  <c r="DA122" i="23"/>
  <c r="CZ122" i="23"/>
  <c r="CY122" i="23"/>
  <c r="CX122" i="23"/>
  <c r="CV122" i="23"/>
  <c r="CK122" i="23"/>
  <c r="BL122" i="23"/>
  <c r="AV122" i="23"/>
  <c r="D122" i="23"/>
  <c r="C122" i="23"/>
  <c r="B122" i="23"/>
  <c r="EU121" i="23"/>
  <c r="ET121" i="23"/>
  <c r="ES121" i="23"/>
  <c r="ER121" i="23"/>
  <c r="EQ121" i="23"/>
  <c r="EN121" i="23"/>
  <c r="EO121" i="23" s="1"/>
  <c r="EG121" i="23"/>
  <c r="EE121" i="23"/>
  <c r="ED121" i="23"/>
  <c r="EC121" i="23"/>
  <c r="EB121" i="23"/>
  <c r="EA121" i="23"/>
  <c r="DZ121" i="23"/>
  <c r="DX121" i="23"/>
  <c r="DV121" i="23"/>
  <c r="EF121" i="23" s="1"/>
  <c r="DM121" i="23"/>
  <c r="DN121" i="23" s="1"/>
  <c r="DF121" i="23"/>
  <c r="DE121" i="23"/>
  <c r="DD121" i="23"/>
  <c r="DC121" i="23"/>
  <c r="DB121" i="23"/>
  <c r="DA121" i="23"/>
  <c r="CZ121" i="23"/>
  <c r="CY121" i="23"/>
  <c r="CX121" i="23"/>
  <c r="CV121" i="23"/>
  <c r="CK121" i="23"/>
  <c r="BL121" i="23"/>
  <c r="AV121" i="23"/>
  <c r="D121" i="23"/>
  <c r="C121" i="23"/>
  <c r="D143" i="71" s="1"/>
  <c r="B121" i="23"/>
  <c r="C143" i="71" s="1"/>
  <c r="EU120" i="23"/>
  <c r="ET120" i="23"/>
  <c r="ES120" i="23"/>
  <c r="ER120" i="23"/>
  <c r="EQ120" i="23"/>
  <c r="EN120" i="23"/>
  <c r="EO120" i="23" s="1"/>
  <c r="EG120" i="23"/>
  <c r="EE120" i="23"/>
  <c r="ED120" i="23"/>
  <c r="EC120" i="23"/>
  <c r="EB120" i="23"/>
  <c r="EA120" i="23"/>
  <c r="DZ120" i="23"/>
  <c r="DX120" i="23"/>
  <c r="DV120" i="23"/>
  <c r="EF120" i="23" s="1"/>
  <c r="DM120" i="23"/>
  <c r="DN120" i="23" s="1"/>
  <c r="DF120" i="23"/>
  <c r="DE120" i="23"/>
  <c r="DD120" i="23"/>
  <c r="DC120" i="23"/>
  <c r="DB120" i="23"/>
  <c r="DA120" i="23"/>
  <c r="CZ120" i="23"/>
  <c r="CY120" i="23"/>
  <c r="CX120" i="23"/>
  <c r="CV120" i="23"/>
  <c r="CK120" i="23"/>
  <c r="BL120" i="23"/>
  <c r="AV120" i="23"/>
  <c r="D120" i="23"/>
  <c r="E142" i="71" s="1"/>
  <c r="C120" i="23"/>
  <c r="D142" i="71" s="1"/>
  <c r="B120" i="23"/>
  <c r="EV119" i="23"/>
  <c r="EU119" i="23"/>
  <c r="ET119" i="23"/>
  <c r="ES119" i="23"/>
  <c r="ER119" i="23"/>
  <c r="EQ119" i="23"/>
  <c r="EW119" i="23" s="1"/>
  <c r="EN119" i="23"/>
  <c r="EO119" i="23" s="1"/>
  <c r="EG119" i="23"/>
  <c r="EE119" i="23"/>
  <c r="ED119" i="23"/>
  <c r="EC119" i="23"/>
  <c r="EB119" i="23"/>
  <c r="EA119" i="23"/>
  <c r="DZ119" i="23"/>
  <c r="DV119" i="23"/>
  <c r="EF119" i="23" s="1"/>
  <c r="DM119" i="23"/>
  <c r="DN119" i="23" s="1"/>
  <c r="DF119" i="23"/>
  <c r="DE119" i="23"/>
  <c r="DD119" i="23"/>
  <c r="DC119" i="23"/>
  <c r="DB119" i="23"/>
  <c r="DA119" i="23"/>
  <c r="CZ119" i="23"/>
  <c r="CY119" i="23"/>
  <c r="CX119" i="23"/>
  <c r="CV119" i="23"/>
  <c r="CK119" i="23"/>
  <c r="BL119" i="23"/>
  <c r="AV119" i="23"/>
  <c r="D119" i="23"/>
  <c r="E141" i="71" s="1"/>
  <c r="C119" i="23"/>
  <c r="B119" i="23"/>
  <c r="EV118" i="23"/>
  <c r="EU118" i="23"/>
  <c r="ET118" i="23"/>
  <c r="ES118" i="23"/>
  <c r="ER118" i="23"/>
  <c r="EW118" i="23" s="1"/>
  <c r="EQ118" i="23"/>
  <c r="EO118" i="23"/>
  <c r="EN118" i="23"/>
  <c r="EG118" i="23"/>
  <c r="EE118" i="23"/>
  <c r="ED118" i="23"/>
  <c r="EC118" i="23"/>
  <c r="EB118" i="23"/>
  <c r="EA118" i="23"/>
  <c r="DZ118" i="23"/>
  <c r="DV118" i="23"/>
  <c r="EF118" i="23" s="1"/>
  <c r="DM118" i="23"/>
  <c r="DN118" i="23" s="1"/>
  <c r="DF118" i="23"/>
  <c r="DE118" i="23"/>
  <c r="DD118" i="23"/>
  <c r="DC118" i="23"/>
  <c r="DB118" i="23"/>
  <c r="DA118" i="23"/>
  <c r="CZ118" i="23"/>
  <c r="CY118" i="23"/>
  <c r="CX118" i="23"/>
  <c r="CV118" i="23"/>
  <c r="CK118" i="23"/>
  <c r="BL118" i="23"/>
  <c r="AV118" i="23"/>
  <c r="D118" i="23"/>
  <c r="C118" i="23"/>
  <c r="B118" i="23"/>
  <c r="EU117" i="23"/>
  <c r="ET117" i="23"/>
  <c r="ES117" i="23"/>
  <c r="ER117" i="23"/>
  <c r="EQ117" i="23"/>
  <c r="EN117" i="23"/>
  <c r="EV117" i="23" s="1"/>
  <c r="EG117" i="23"/>
  <c r="EE117" i="23"/>
  <c r="ED117" i="23"/>
  <c r="EC117" i="23"/>
  <c r="EB117" i="23"/>
  <c r="EA117" i="23"/>
  <c r="DZ117" i="23"/>
  <c r="DV117" i="23"/>
  <c r="DX117" i="23" s="1"/>
  <c r="DM117" i="23"/>
  <c r="DN117" i="23" s="1"/>
  <c r="DF117" i="23"/>
  <c r="DE117" i="23"/>
  <c r="DD117" i="23"/>
  <c r="DC117" i="23"/>
  <c r="DB117" i="23"/>
  <c r="DA117" i="23"/>
  <c r="CZ117" i="23"/>
  <c r="CY117" i="23"/>
  <c r="CX117" i="23"/>
  <c r="CV117" i="23"/>
  <c r="CK117" i="23"/>
  <c r="BL117" i="23"/>
  <c r="AV117" i="23"/>
  <c r="D117" i="23"/>
  <c r="E139" i="71" s="1"/>
  <c r="C117" i="23"/>
  <c r="B117" i="23"/>
  <c r="EU116" i="23"/>
  <c r="ET116" i="23"/>
  <c r="ES116" i="23"/>
  <c r="ER116" i="23"/>
  <c r="EQ116" i="23"/>
  <c r="EN116" i="23"/>
  <c r="EV116" i="23" s="1"/>
  <c r="EG116" i="23"/>
  <c r="EE116" i="23"/>
  <c r="ED116" i="23"/>
  <c r="EC116" i="23"/>
  <c r="EB116" i="23"/>
  <c r="EA116" i="23"/>
  <c r="DZ116" i="23"/>
  <c r="DV116" i="23"/>
  <c r="EF116" i="23" s="1"/>
  <c r="DN116" i="23"/>
  <c r="DM116" i="23"/>
  <c r="DF116" i="23"/>
  <c r="DE116" i="23"/>
  <c r="DD116" i="23"/>
  <c r="DC116" i="23"/>
  <c r="DB116" i="23"/>
  <c r="DA116" i="23"/>
  <c r="CZ116" i="23"/>
  <c r="CY116" i="23"/>
  <c r="CX116" i="23"/>
  <c r="CV116" i="23"/>
  <c r="CK116" i="23"/>
  <c r="BL116" i="23"/>
  <c r="AV116" i="23"/>
  <c r="D116" i="23"/>
  <c r="E138" i="71" s="1"/>
  <c r="C116" i="23"/>
  <c r="B116" i="23"/>
  <c r="C138" i="71" s="1"/>
  <c r="EU115" i="23"/>
  <c r="ET115" i="23"/>
  <c r="ES115" i="23"/>
  <c r="ER115" i="23"/>
  <c r="EQ115" i="23"/>
  <c r="EN115" i="23"/>
  <c r="EO115" i="23" s="1"/>
  <c r="EG115" i="23"/>
  <c r="EE115" i="23"/>
  <c r="ED115" i="23"/>
  <c r="EC115" i="23"/>
  <c r="EB115" i="23"/>
  <c r="EA115" i="23"/>
  <c r="DZ115" i="23"/>
  <c r="DV115" i="23"/>
  <c r="DX115" i="23" s="1"/>
  <c r="DM115" i="23"/>
  <c r="DN115" i="23" s="1"/>
  <c r="DF115" i="23"/>
  <c r="DE115" i="23"/>
  <c r="DD115" i="23"/>
  <c r="DC115" i="23"/>
  <c r="DB115" i="23"/>
  <c r="DA115" i="23"/>
  <c r="CZ115" i="23"/>
  <c r="CY115" i="23"/>
  <c r="CX115" i="23"/>
  <c r="CV115" i="23"/>
  <c r="CK115" i="23"/>
  <c r="BL115" i="23"/>
  <c r="AV115" i="23"/>
  <c r="D115" i="23"/>
  <c r="E137" i="71" s="1"/>
  <c r="C115" i="23"/>
  <c r="B115" i="23"/>
  <c r="EU114" i="23"/>
  <c r="ET114" i="23"/>
  <c r="ES114" i="23"/>
  <c r="ER114" i="23"/>
  <c r="EQ114" i="23"/>
  <c r="EN114" i="23"/>
  <c r="EV114" i="23" s="1"/>
  <c r="EG114" i="23"/>
  <c r="EE114" i="23"/>
  <c r="ED114" i="23"/>
  <c r="EC114" i="23"/>
  <c r="EB114" i="23"/>
  <c r="EA114" i="23"/>
  <c r="DZ114" i="23"/>
  <c r="DV114" i="23"/>
  <c r="EF114" i="23" s="1"/>
  <c r="DN114" i="23"/>
  <c r="DM114" i="23"/>
  <c r="DF114" i="23"/>
  <c r="DE114" i="23"/>
  <c r="DD114" i="23"/>
  <c r="DC114" i="23"/>
  <c r="DB114" i="23"/>
  <c r="DA114" i="23"/>
  <c r="CZ114" i="23"/>
  <c r="CY114" i="23"/>
  <c r="CX114" i="23"/>
  <c r="CV114" i="23"/>
  <c r="CK114" i="23"/>
  <c r="BL114" i="23"/>
  <c r="AV114" i="23"/>
  <c r="D114" i="23"/>
  <c r="C114" i="23"/>
  <c r="B114" i="23"/>
  <c r="C136" i="71" s="1"/>
  <c r="EU113" i="23"/>
  <c r="ET113" i="23"/>
  <c r="ES113" i="23"/>
  <c r="ER113" i="23"/>
  <c r="EQ113" i="23"/>
  <c r="EN113" i="23"/>
  <c r="EO113" i="23" s="1"/>
  <c r="EG113" i="23"/>
  <c r="EE113" i="23"/>
  <c r="ED113" i="23"/>
  <c r="EC113" i="23"/>
  <c r="EB113" i="23"/>
  <c r="EA113" i="23"/>
  <c r="DZ113" i="23"/>
  <c r="DV113" i="23"/>
  <c r="DX113" i="23" s="1"/>
  <c r="DN113" i="23"/>
  <c r="DM113" i="23"/>
  <c r="DF113" i="23"/>
  <c r="DE113" i="23"/>
  <c r="DD113" i="23"/>
  <c r="DC113" i="23"/>
  <c r="DB113" i="23"/>
  <c r="DA113" i="23"/>
  <c r="CZ113" i="23"/>
  <c r="CY113" i="23"/>
  <c r="CX113" i="23"/>
  <c r="CV113" i="23"/>
  <c r="CK113" i="23"/>
  <c r="BL113" i="23"/>
  <c r="AV113" i="23"/>
  <c r="D113" i="23"/>
  <c r="E135" i="71" s="1"/>
  <c r="C113" i="23"/>
  <c r="B113" i="23"/>
  <c r="C135" i="71" s="1"/>
  <c r="EV112" i="23"/>
  <c r="EU112" i="23"/>
  <c r="ET112" i="23"/>
  <c r="ES112" i="23"/>
  <c r="ER112" i="23"/>
  <c r="EQ112" i="23"/>
  <c r="EW112" i="23" s="1"/>
  <c r="EN112" i="23"/>
  <c r="EO112" i="23" s="1"/>
  <c r="EG112" i="23"/>
  <c r="EE112" i="23"/>
  <c r="ED112" i="23"/>
  <c r="EC112" i="23"/>
  <c r="EB112" i="23"/>
  <c r="EA112" i="23"/>
  <c r="DZ112" i="23"/>
  <c r="DV112" i="23"/>
  <c r="EF112" i="23" s="1"/>
  <c r="DN112" i="23"/>
  <c r="DM112" i="23"/>
  <c r="DF112" i="23"/>
  <c r="DE112" i="23"/>
  <c r="DD112" i="23"/>
  <c r="DC112" i="23"/>
  <c r="DB112" i="23"/>
  <c r="DA112" i="23"/>
  <c r="CZ112" i="23"/>
  <c r="CY112" i="23"/>
  <c r="CX112" i="23"/>
  <c r="CV112" i="23"/>
  <c r="CK112" i="23"/>
  <c r="BL112" i="23"/>
  <c r="AV112" i="23"/>
  <c r="D112" i="23"/>
  <c r="E134" i="71" s="1"/>
  <c r="C112" i="23"/>
  <c r="B112" i="23"/>
  <c r="C134" i="71" s="1"/>
  <c r="EV111" i="23"/>
  <c r="EU111" i="23"/>
  <c r="ET111" i="23"/>
  <c r="ES111" i="23"/>
  <c r="ER111" i="23"/>
  <c r="EQ111" i="23"/>
  <c r="EN111" i="23"/>
  <c r="EO111" i="23" s="1"/>
  <c r="EG111" i="23"/>
  <c r="EE111" i="23"/>
  <c r="ED111" i="23"/>
  <c r="EC111" i="23"/>
  <c r="EB111" i="23"/>
  <c r="EA111" i="23"/>
  <c r="DZ111" i="23"/>
  <c r="DX111" i="23"/>
  <c r="DV111" i="23"/>
  <c r="EF111" i="23" s="1"/>
  <c r="DM111" i="23"/>
  <c r="DN111" i="23" s="1"/>
  <c r="DF111" i="23"/>
  <c r="DE111" i="23"/>
  <c r="DD111" i="23"/>
  <c r="DC111" i="23"/>
  <c r="DB111" i="23"/>
  <c r="DA111" i="23"/>
  <c r="CZ111" i="23"/>
  <c r="CY111" i="23"/>
  <c r="CX111" i="23"/>
  <c r="CV111" i="23"/>
  <c r="CK111" i="23"/>
  <c r="BL111" i="23"/>
  <c r="AV111" i="23"/>
  <c r="D111" i="23"/>
  <c r="E133" i="71" s="1"/>
  <c r="C111" i="23"/>
  <c r="B111" i="23"/>
  <c r="C133" i="71" s="1"/>
  <c r="EU110" i="23"/>
  <c r="ET110" i="23"/>
  <c r="ES110" i="23"/>
  <c r="ER110" i="23"/>
  <c r="EQ110" i="23"/>
  <c r="EN110" i="23"/>
  <c r="EO110" i="23" s="1"/>
  <c r="EG110" i="23"/>
  <c r="EE110" i="23"/>
  <c r="ED110" i="23"/>
  <c r="EC110" i="23"/>
  <c r="EB110" i="23"/>
  <c r="EA110" i="23"/>
  <c r="DZ110" i="23"/>
  <c r="DX110" i="23"/>
  <c r="DV110" i="23"/>
  <c r="EF110" i="23" s="1"/>
  <c r="DM110" i="23"/>
  <c r="DN110" i="23" s="1"/>
  <c r="DF110" i="23"/>
  <c r="DE110" i="23"/>
  <c r="DD110" i="23"/>
  <c r="DC110" i="23"/>
  <c r="DB110" i="23"/>
  <c r="DA110" i="23"/>
  <c r="CZ110" i="23"/>
  <c r="CY110" i="23"/>
  <c r="CX110" i="23"/>
  <c r="CV110" i="23"/>
  <c r="CK110" i="23"/>
  <c r="BL110" i="23"/>
  <c r="AV110" i="23"/>
  <c r="D110" i="23"/>
  <c r="C110" i="23"/>
  <c r="B110" i="23"/>
  <c r="EU109" i="23"/>
  <c r="ET109" i="23"/>
  <c r="ES109" i="23"/>
  <c r="ER109" i="23"/>
  <c r="EQ109" i="23"/>
  <c r="EO109" i="23"/>
  <c r="EN109" i="23"/>
  <c r="EV109" i="23" s="1"/>
  <c r="EG109" i="23"/>
  <c r="EE109" i="23"/>
  <c r="ED109" i="23"/>
  <c r="EC109" i="23"/>
  <c r="EB109" i="23"/>
  <c r="EA109" i="23"/>
  <c r="DZ109" i="23"/>
  <c r="DV109" i="23"/>
  <c r="DX109" i="23" s="1"/>
  <c r="DM109" i="23"/>
  <c r="DN109" i="23" s="1"/>
  <c r="DF109" i="23"/>
  <c r="DE109" i="23"/>
  <c r="DD109" i="23"/>
  <c r="DC109" i="23"/>
  <c r="DB109" i="23"/>
  <c r="DA109" i="23"/>
  <c r="CZ109" i="23"/>
  <c r="CY109" i="23"/>
  <c r="CX109" i="23"/>
  <c r="CV109" i="23"/>
  <c r="CK109" i="23"/>
  <c r="BL109" i="23"/>
  <c r="AV109" i="23"/>
  <c r="D109" i="23"/>
  <c r="C109" i="23"/>
  <c r="D131" i="71" s="1"/>
  <c r="B109" i="23"/>
  <c r="EU108" i="23"/>
  <c r="ET108" i="23"/>
  <c r="ES108" i="23"/>
  <c r="ER108" i="23"/>
  <c r="EQ108" i="23"/>
  <c r="EO108" i="23"/>
  <c r="EN108" i="23"/>
  <c r="EV108" i="23" s="1"/>
  <c r="EG108" i="23"/>
  <c r="EE108" i="23"/>
  <c r="ED108" i="23"/>
  <c r="EC108" i="23"/>
  <c r="EB108" i="23"/>
  <c r="EA108" i="23"/>
  <c r="DZ108" i="23"/>
  <c r="DV108" i="23"/>
  <c r="EF108" i="23" s="1"/>
  <c r="DN108" i="23"/>
  <c r="DM108" i="23"/>
  <c r="DF108" i="23"/>
  <c r="DE108" i="23"/>
  <c r="DD108" i="23"/>
  <c r="DC108" i="23"/>
  <c r="DB108" i="23"/>
  <c r="DA108" i="23"/>
  <c r="CZ108" i="23"/>
  <c r="CY108" i="23"/>
  <c r="CX108" i="23"/>
  <c r="CV108" i="23"/>
  <c r="CK108" i="23"/>
  <c r="BL108" i="23"/>
  <c r="AV108" i="23"/>
  <c r="D108" i="23"/>
  <c r="E130" i="71" s="1"/>
  <c r="C108" i="23"/>
  <c r="D130" i="71" s="1"/>
  <c r="B108" i="23"/>
  <c r="EW107" i="23"/>
  <c r="EO107" i="23"/>
  <c r="DX107" i="23"/>
  <c r="DN107" i="23"/>
  <c r="CV107" i="23"/>
  <c r="CK107" i="23"/>
  <c r="BL107" i="23"/>
  <c r="AV107" i="23"/>
  <c r="D107" i="23"/>
  <c r="E129" i="71" s="1"/>
  <c r="B107" i="23"/>
  <c r="EU106" i="23"/>
  <c r="ET106" i="23"/>
  <c r="ES106" i="23"/>
  <c r="ER106" i="23"/>
  <c r="EQ106" i="23"/>
  <c r="EN106" i="23"/>
  <c r="EO106" i="23" s="1"/>
  <c r="EG106" i="23"/>
  <c r="EE106" i="23"/>
  <c r="ED106" i="23"/>
  <c r="EC106" i="23"/>
  <c r="EB106" i="23"/>
  <c r="EA106" i="23"/>
  <c r="DZ106" i="23"/>
  <c r="DV106" i="23"/>
  <c r="DX106" i="23" s="1"/>
  <c r="DM106" i="23"/>
  <c r="DN106" i="23" s="1"/>
  <c r="DF106" i="23"/>
  <c r="DE106" i="23"/>
  <c r="DD106" i="23"/>
  <c r="DC106" i="23"/>
  <c r="DB106" i="23"/>
  <c r="DA106" i="23"/>
  <c r="CZ106" i="23"/>
  <c r="CY106" i="23"/>
  <c r="CX106" i="23"/>
  <c r="CV106" i="23"/>
  <c r="CK106" i="23"/>
  <c r="BL106" i="23"/>
  <c r="AV106" i="23"/>
  <c r="D106" i="23"/>
  <c r="E128" i="71" s="1"/>
  <c r="C106" i="23"/>
  <c r="B106" i="23"/>
  <c r="EU105" i="23"/>
  <c r="ET105" i="23"/>
  <c r="ES105" i="23"/>
  <c r="ER105" i="23"/>
  <c r="EQ105" i="23"/>
  <c r="EN105" i="23"/>
  <c r="EO105" i="23" s="1"/>
  <c r="EG105" i="23"/>
  <c r="EE105" i="23"/>
  <c r="ED105" i="23"/>
  <c r="EC105" i="23"/>
  <c r="EB105" i="23"/>
  <c r="EA105" i="23"/>
  <c r="DZ105" i="23"/>
  <c r="DX105" i="23"/>
  <c r="DV105" i="23"/>
  <c r="EF105" i="23" s="1"/>
  <c r="DM105" i="23"/>
  <c r="DN105" i="23" s="1"/>
  <c r="DF105" i="23"/>
  <c r="DE105" i="23"/>
  <c r="DD105" i="23"/>
  <c r="DC105" i="23"/>
  <c r="DB105" i="23"/>
  <c r="DA105" i="23"/>
  <c r="CZ105" i="23"/>
  <c r="CY105" i="23"/>
  <c r="CX105" i="23"/>
  <c r="CV105" i="23"/>
  <c r="CK105" i="23"/>
  <c r="BL105" i="23"/>
  <c r="AV105" i="23"/>
  <c r="D105" i="23"/>
  <c r="C105" i="23"/>
  <c r="B105" i="23"/>
  <c r="EV104" i="23"/>
  <c r="EU104" i="23"/>
  <c r="ET104" i="23"/>
  <c r="ES104" i="23"/>
  <c r="ER104" i="23"/>
  <c r="EQ104" i="23"/>
  <c r="EN104" i="23"/>
  <c r="EO104" i="23" s="1"/>
  <c r="EG104" i="23"/>
  <c r="EE104" i="23"/>
  <c r="ED104" i="23"/>
  <c r="EC104" i="23"/>
  <c r="EB104" i="23"/>
  <c r="EA104" i="23"/>
  <c r="DZ104" i="23"/>
  <c r="DV104" i="23"/>
  <c r="EF104" i="23" s="1"/>
  <c r="DM104" i="23"/>
  <c r="DN104" i="23" s="1"/>
  <c r="DF104" i="23"/>
  <c r="DE104" i="23"/>
  <c r="DD104" i="23"/>
  <c r="DC104" i="23"/>
  <c r="DB104" i="23"/>
  <c r="DA104" i="23"/>
  <c r="CZ104" i="23"/>
  <c r="CY104" i="23"/>
  <c r="CX104" i="23"/>
  <c r="CV104" i="23"/>
  <c r="CK104" i="23"/>
  <c r="BL104" i="23"/>
  <c r="AV104" i="23"/>
  <c r="D104" i="23"/>
  <c r="E126" i="71" s="1"/>
  <c r="C104" i="23"/>
  <c r="B104" i="23"/>
  <c r="EV103" i="23"/>
  <c r="EU103" i="23"/>
  <c r="ET103" i="23"/>
  <c r="ES103" i="23"/>
  <c r="ER103" i="23"/>
  <c r="EQ103" i="23"/>
  <c r="EO103" i="23"/>
  <c r="EN103" i="23"/>
  <c r="EG103" i="23"/>
  <c r="EE103" i="23"/>
  <c r="ED103" i="23"/>
  <c r="EC103" i="23"/>
  <c r="EB103" i="23"/>
  <c r="EA103" i="23"/>
  <c r="DZ103" i="23"/>
  <c r="DV103" i="23"/>
  <c r="EF103" i="23" s="1"/>
  <c r="DM103" i="23"/>
  <c r="DN103" i="23" s="1"/>
  <c r="DF103" i="23"/>
  <c r="DE103" i="23"/>
  <c r="DD103" i="23"/>
  <c r="DC103" i="23"/>
  <c r="DB103" i="23"/>
  <c r="DA103" i="23"/>
  <c r="CZ103" i="23"/>
  <c r="CY103" i="23"/>
  <c r="CX103" i="23"/>
  <c r="CV103" i="23"/>
  <c r="CK103" i="23"/>
  <c r="BL103" i="23"/>
  <c r="AV103" i="23"/>
  <c r="D103" i="23"/>
  <c r="C103" i="23"/>
  <c r="B103" i="23"/>
  <c r="EU102" i="23"/>
  <c r="ET102" i="23"/>
  <c r="ES102" i="23"/>
  <c r="ER102" i="23"/>
  <c r="EQ102" i="23"/>
  <c r="EN102" i="23"/>
  <c r="EV102" i="23" s="1"/>
  <c r="EG102" i="23"/>
  <c r="EE102" i="23"/>
  <c r="ED102" i="23"/>
  <c r="EC102" i="23"/>
  <c r="EB102" i="23"/>
  <c r="EA102" i="23"/>
  <c r="DZ102" i="23"/>
  <c r="DV102" i="23"/>
  <c r="DX102" i="23" s="1"/>
  <c r="DM102" i="23"/>
  <c r="DN102" i="23" s="1"/>
  <c r="DF102" i="23"/>
  <c r="DE102" i="23"/>
  <c r="DD102" i="23"/>
  <c r="DC102" i="23"/>
  <c r="DB102" i="23"/>
  <c r="DA102" i="23"/>
  <c r="CZ102" i="23"/>
  <c r="CY102" i="23"/>
  <c r="CX102" i="23"/>
  <c r="CV102" i="23"/>
  <c r="CK102" i="23"/>
  <c r="BL102" i="23"/>
  <c r="AV102" i="23"/>
  <c r="D102" i="23"/>
  <c r="E124" i="71" s="1"/>
  <c r="C102" i="23"/>
  <c r="B102" i="23"/>
  <c r="C124" i="71" s="1"/>
  <c r="EU101" i="23"/>
  <c r="ET101" i="23"/>
  <c r="ES101" i="23"/>
  <c r="ER101" i="23"/>
  <c r="EQ101" i="23"/>
  <c r="EN101" i="23"/>
  <c r="EV101" i="23" s="1"/>
  <c r="EG101" i="23"/>
  <c r="EE101" i="23"/>
  <c r="ED101" i="23"/>
  <c r="EC101" i="23"/>
  <c r="EB101" i="23"/>
  <c r="EA101" i="23"/>
  <c r="DZ101" i="23"/>
  <c r="DV101" i="23"/>
  <c r="DX101" i="23" s="1"/>
  <c r="DN101" i="23"/>
  <c r="DM101" i="23"/>
  <c r="DF101" i="23"/>
  <c r="DE101" i="23"/>
  <c r="DD101" i="23"/>
  <c r="DC101" i="23"/>
  <c r="DB101" i="23"/>
  <c r="DA101" i="23"/>
  <c r="CZ101" i="23"/>
  <c r="CY101" i="23"/>
  <c r="CX101" i="23"/>
  <c r="CV101" i="23"/>
  <c r="CK101" i="23"/>
  <c r="BL101" i="23"/>
  <c r="AV101" i="23"/>
  <c r="D101" i="23"/>
  <c r="E123" i="71" s="1"/>
  <c r="C101" i="23"/>
  <c r="B101" i="23"/>
  <c r="EU100" i="23"/>
  <c r="ET100" i="23"/>
  <c r="ES100" i="23"/>
  <c r="ER100" i="23"/>
  <c r="EQ100" i="23"/>
  <c r="EN100" i="23"/>
  <c r="EO100" i="23" s="1"/>
  <c r="EG100" i="23"/>
  <c r="EE100" i="23"/>
  <c r="ED100" i="23"/>
  <c r="EC100" i="23"/>
  <c r="EB100" i="23"/>
  <c r="EA100" i="23"/>
  <c r="DZ100" i="23"/>
  <c r="DV100" i="23"/>
  <c r="DX100" i="23" s="1"/>
  <c r="DM100" i="23"/>
  <c r="DN100" i="23" s="1"/>
  <c r="DF100" i="23"/>
  <c r="DE100" i="23"/>
  <c r="DD100" i="23"/>
  <c r="DC100" i="23"/>
  <c r="DB100" i="23"/>
  <c r="DA100" i="23"/>
  <c r="CZ100" i="23"/>
  <c r="CY100" i="23"/>
  <c r="CX100" i="23"/>
  <c r="CV100" i="23"/>
  <c r="CK100" i="23"/>
  <c r="BL100" i="23"/>
  <c r="AV100" i="23"/>
  <c r="D100" i="23"/>
  <c r="E122" i="71" s="1"/>
  <c r="C100" i="23"/>
  <c r="B100" i="23"/>
  <c r="EU99" i="23"/>
  <c r="ET99" i="23"/>
  <c r="ES99" i="23"/>
  <c r="ER99" i="23"/>
  <c r="EQ99" i="23"/>
  <c r="EN99" i="23"/>
  <c r="EV99" i="23" s="1"/>
  <c r="EG99" i="23"/>
  <c r="EE99" i="23"/>
  <c r="ED99" i="23"/>
  <c r="EC99" i="23"/>
  <c r="EB99" i="23"/>
  <c r="EA99" i="23"/>
  <c r="DZ99" i="23"/>
  <c r="DV99" i="23"/>
  <c r="EF99" i="23" s="1"/>
  <c r="DN99" i="23"/>
  <c r="DM99" i="23"/>
  <c r="DF99" i="23"/>
  <c r="DE99" i="23"/>
  <c r="DD99" i="23"/>
  <c r="DC99" i="23"/>
  <c r="DB99" i="23"/>
  <c r="DA99" i="23"/>
  <c r="CZ99" i="23"/>
  <c r="CY99" i="23"/>
  <c r="CX99" i="23"/>
  <c r="CV99" i="23"/>
  <c r="CK99" i="23"/>
  <c r="BL99" i="23"/>
  <c r="AV99" i="23"/>
  <c r="D99" i="23"/>
  <c r="C99" i="23"/>
  <c r="B99" i="23"/>
  <c r="EU98" i="23"/>
  <c r="ET98" i="23"/>
  <c r="ES98" i="23"/>
  <c r="ER98" i="23"/>
  <c r="EQ98" i="23"/>
  <c r="EN98" i="23"/>
  <c r="EO98" i="23" s="1"/>
  <c r="EG98" i="23"/>
  <c r="EE98" i="23"/>
  <c r="ED98" i="23"/>
  <c r="EC98" i="23"/>
  <c r="EB98" i="23"/>
  <c r="EA98" i="23"/>
  <c r="DZ98" i="23"/>
  <c r="DV98" i="23"/>
  <c r="DX98" i="23" s="1"/>
  <c r="DN98" i="23"/>
  <c r="DM98" i="23"/>
  <c r="DF98" i="23"/>
  <c r="DE98" i="23"/>
  <c r="DD98" i="23"/>
  <c r="DC98" i="23"/>
  <c r="DB98" i="23"/>
  <c r="DA98" i="23"/>
  <c r="CZ98" i="23"/>
  <c r="CY98" i="23"/>
  <c r="CX98" i="23"/>
  <c r="CV98" i="23"/>
  <c r="CK98" i="23"/>
  <c r="BL98" i="23"/>
  <c r="AV98" i="23"/>
  <c r="D98" i="23"/>
  <c r="E120" i="71" s="1"/>
  <c r="C98" i="23"/>
  <c r="B98" i="23"/>
  <c r="EV97" i="23"/>
  <c r="EU97" i="23"/>
  <c r="ET97" i="23"/>
  <c r="ES97" i="23"/>
  <c r="ER97" i="23"/>
  <c r="EQ97" i="23"/>
  <c r="EW97" i="23" s="1"/>
  <c r="EO97" i="23"/>
  <c r="EN97" i="23"/>
  <c r="EG97" i="23"/>
  <c r="EE97" i="23"/>
  <c r="ED97" i="23"/>
  <c r="EC97" i="23"/>
  <c r="EB97" i="23"/>
  <c r="EA97" i="23"/>
  <c r="DZ97" i="23"/>
  <c r="DV97" i="23"/>
  <c r="EF97" i="23" s="1"/>
  <c r="DN97" i="23"/>
  <c r="DM97" i="23"/>
  <c r="DF97" i="23"/>
  <c r="DE97" i="23"/>
  <c r="DD97" i="23"/>
  <c r="DC97" i="23"/>
  <c r="DB97" i="23"/>
  <c r="DA97" i="23"/>
  <c r="CZ97" i="23"/>
  <c r="CY97" i="23"/>
  <c r="CX97" i="23"/>
  <c r="CV97" i="23"/>
  <c r="CK97" i="23"/>
  <c r="BL97" i="23"/>
  <c r="AV97" i="23"/>
  <c r="D97" i="23"/>
  <c r="E119" i="71" s="1"/>
  <c r="C97" i="23"/>
  <c r="B97" i="23"/>
  <c r="EV96" i="23"/>
  <c r="EU96" i="23"/>
  <c r="ET96" i="23"/>
  <c r="ES96" i="23"/>
  <c r="ER96" i="23"/>
  <c r="EQ96" i="23"/>
  <c r="EN96" i="23"/>
  <c r="EO96" i="23" s="1"/>
  <c r="EG96" i="23"/>
  <c r="EE96" i="23"/>
  <c r="ED96" i="23"/>
  <c r="EC96" i="23"/>
  <c r="EB96" i="23"/>
  <c r="EA96" i="23"/>
  <c r="DZ96" i="23"/>
  <c r="DX96" i="23"/>
  <c r="DV96" i="23"/>
  <c r="EF96" i="23" s="1"/>
  <c r="DM96" i="23"/>
  <c r="DN96" i="23" s="1"/>
  <c r="DF96" i="23"/>
  <c r="DE96" i="23"/>
  <c r="DD96" i="23"/>
  <c r="DC96" i="23"/>
  <c r="DB96" i="23"/>
  <c r="DA96" i="23"/>
  <c r="CZ96" i="23"/>
  <c r="CY96" i="23"/>
  <c r="CX96" i="23"/>
  <c r="CV96" i="23"/>
  <c r="CK96" i="23"/>
  <c r="BL96" i="23"/>
  <c r="AV96" i="23"/>
  <c r="D96" i="23"/>
  <c r="E118" i="71" s="1"/>
  <c r="C96" i="23"/>
  <c r="D118" i="71" s="1"/>
  <c r="B96" i="23"/>
  <c r="C118" i="71" s="1"/>
  <c r="EU95" i="23"/>
  <c r="ET95" i="23"/>
  <c r="ES95" i="23"/>
  <c r="ER95" i="23"/>
  <c r="EQ95" i="23"/>
  <c r="EN95" i="23"/>
  <c r="EO95" i="23" s="1"/>
  <c r="EG95" i="23"/>
  <c r="EE95" i="23"/>
  <c r="ED95" i="23"/>
  <c r="EC95" i="23"/>
  <c r="EB95" i="23"/>
  <c r="EA95" i="23"/>
  <c r="DZ95" i="23"/>
  <c r="DX95" i="23"/>
  <c r="DV95" i="23"/>
  <c r="EF95" i="23" s="1"/>
  <c r="DM95" i="23"/>
  <c r="DN95" i="23" s="1"/>
  <c r="DF95" i="23"/>
  <c r="DE95" i="23"/>
  <c r="DD95" i="23"/>
  <c r="DC95" i="23"/>
  <c r="DB95" i="23"/>
  <c r="DA95" i="23"/>
  <c r="CZ95" i="23"/>
  <c r="CY95" i="23"/>
  <c r="CX95" i="23"/>
  <c r="CV95" i="23"/>
  <c r="CK95" i="23"/>
  <c r="BL95" i="23"/>
  <c r="AV95" i="23"/>
  <c r="D95" i="23"/>
  <c r="E117" i="71" s="1"/>
  <c r="C95" i="23"/>
  <c r="B95" i="23"/>
  <c r="EU94" i="23"/>
  <c r="ET94" i="23"/>
  <c r="ES94" i="23"/>
  <c r="ER94" i="23"/>
  <c r="EQ94" i="23"/>
  <c r="EO94" i="23"/>
  <c r="EN94" i="23"/>
  <c r="EV94" i="23" s="1"/>
  <c r="EG94" i="23"/>
  <c r="EE94" i="23"/>
  <c r="ED94" i="23"/>
  <c r="EC94" i="23"/>
  <c r="EB94" i="23"/>
  <c r="EA94" i="23"/>
  <c r="DZ94" i="23"/>
  <c r="DV94" i="23"/>
  <c r="DX94" i="23" s="1"/>
  <c r="DM94" i="23"/>
  <c r="DN94" i="23" s="1"/>
  <c r="DF94" i="23"/>
  <c r="DE94" i="23"/>
  <c r="DD94" i="23"/>
  <c r="DC94" i="23"/>
  <c r="DB94" i="23"/>
  <c r="DA94" i="23"/>
  <c r="CZ94" i="23"/>
  <c r="CY94" i="23"/>
  <c r="CX94" i="23"/>
  <c r="CV94" i="23"/>
  <c r="CK94" i="23"/>
  <c r="BL94" i="23"/>
  <c r="AV94" i="23"/>
  <c r="D94" i="23"/>
  <c r="E116" i="71" s="1"/>
  <c r="C94" i="23"/>
  <c r="B94" i="23"/>
  <c r="EU93" i="23"/>
  <c r="ET93" i="23"/>
  <c r="ES93" i="23"/>
  <c r="ER93" i="23"/>
  <c r="EQ93" i="23"/>
  <c r="EO93" i="23"/>
  <c r="EN93" i="23"/>
  <c r="EV93" i="23" s="1"/>
  <c r="EG93" i="23"/>
  <c r="EE93" i="23"/>
  <c r="ED93" i="23"/>
  <c r="EC93" i="23"/>
  <c r="EB93" i="23"/>
  <c r="EA93" i="23"/>
  <c r="DZ93" i="23"/>
  <c r="DV93" i="23"/>
  <c r="DX93" i="23" s="1"/>
  <c r="DN93" i="23"/>
  <c r="DM93" i="23"/>
  <c r="DF93" i="23"/>
  <c r="DE93" i="23"/>
  <c r="DD93" i="23"/>
  <c r="DC93" i="23"/>
  <c r="DB93" i="23"/>
  <c r="DA93" i="23"/>
  <c r="CZ93" i="23"/>
  <c r="CY93" i="23"/>
  <c r="CX93" i="23"/>
  <c r="CV93" i="23"/>
  <c r="CK93" i="23"/>
  <c r="BL93" i="23"/>
  <c r="AV93" i="23"/>
  <c r="D93" i="23"/>
  <c r="E115" i="71" s="1"/>
  <c r="C93" i="23"/>
  <c r="D115" i="71" s="1"/>
  <c r="B93" i="23"/>
  <c r="C115" i="71" s="1"/>
  <c r="EU92" i="23"/>
  <c r="ET92" i="23"/>
  <c r="ES92" i="23"/>
  <c r="ER92" i="23"/>
  <c r="EQ92" i="23"/>
  <c r="EN92" i="23"/>
  <c r="EO92" i="23" s="1"/>
  <c r="EG92" i="23"/>
  <c r="EE92" i="23"/>
  <c r="ED92" i="23"/>
  <c r="EC92" i="23"/>
  <c r="EB92" i="23"/>
  <c r="EA92" i="23"/>
  <c r="DZ92" i="23"/>
  <c r="DV92" i="23"/>
  <c r="DX92" i="23" s="1"/>
  <c r="DN92" i="23"/>
  <c r="DM92" i="23"/>
  <c r="DF92" i="23"/>
  <c r="DE92" i="23"/>
  <c r="DD92" i="23"/>
  <c r="DC92" i="23"/>
  <c r="DB92" i="23"/>
  <c r="DA92" i="23"/>
  <c r="CZ92" i="23"/>
  <c r="CY92" i="23"/>
  <c r="CX92" i="23"/>
  <c r="CV92" i="23"/>
  <c r="CK92" i="23"/>
  <c r="BL92" i="23"/>
  <c r="AV92" i="23"/>
  <c r="D92" i="23"/>
  <c r="E114" i="71" s="1"/>
  <c r="B92" i="23"/>
  <c r="C114" i="71" s="1"/>
  <c r="EU91" i="23"/>
  <c r="ET91" i="23"/>
  <c r="ES91" i="23"/>
  <c r="ER91" i="23"/>
  <c r="EQ91" i="23"/>
  <c r="EO91" i="23"/>
  <c r="EN91" i="23"/>
  <c r="EV91" i="23" s="1"/>
  <c r="EG91" i="23"/>
  <c r="EE91" i="23"/>
  <c r="ED91" i="23"/>
  <c r="EC91" i="23"/>
  <c r="EB91" i="23"/>
  <c r="EA91" i="23"/>
  <c r="DZ91" i="23"/>
  <c r="DX91" i="23"/>
  <c r="DV91" i="23"/>
  <c r="EF91" i="23" s="1"/>
  <c r="DM91" i="23"/>
  <c r="DN91" i="23" s="1"/>
  <c r="DF91" i="23"/>
  <c r="DE91" i="23"/>
  <c r="DD91" i="23"/>
  <c r="DC91" i="23"/>
  <c r="DB91" i="23"/>
  <c r="DA91" i="23"/>
  <c r="CZ91" i="23"/>
  <c r="CY91" i="23"/>
  <c r="CX91" i="23"/>
  <c r="CV91" i="23"/>
  <c r="CK91" i="23"/>
  <c r="BL91" i="23"/>
  <c r="AV91" i="23"/>
  <c r="D91" i="23"/>
  <c r="E113" i="71" s="1"/>
  <c r="C91" i="23"/>
  <c r="D113" i="71" s="1"/>
  <c r="B91" i="23"/>
  <c r="C113" i="71" s="1"/>
  <c r="EU90" i="23"/>
  <c r="ET90" i="23"/>
  <c r="ES90" i="23"/>
  <c r="ER90" i="23"/>
  <c r="EQ90" i="23"/>
  <c r="EN90" i="23"/>
  <c r="EO90" i="23" s="1"/>
  <c r="EG90" i="23"/>
  <c r="EF90" i="23"/>
  <c r="EE90" i="23"/>
  <c r="ED90" i="23"/>
  <c r="EC90" i="23"/>
  <c r="EB90" i="23"/>
  <c r="EA90" i="23"/>
  <c r="DZ90" i="23"/>
  <c r="DX90" i="23"/>
  <c r="DM90" i="23"/>
  <c r="DN90" i="23" s="1"/>
  <c r="DF90" i="23"/>
  <c r="DE90" i="23"/>
  <c r="DD90" i="23"/>
  <c r="DC90" i="23"/>
  <c r="DB90" i="23"/>
  <c r="DA90" i="23"/>
  <c r="CZ90" i="23"/>
  <c r="CY90" i="23"/>
  <c r="CX90" i="23"/>
  <c r="CV90" i="23"/>
  <c r="CK90" i="23"/>
  <c r="BL90" i="23"/>
  <c r="AV90" i="23"/>
  <c r="D90" i="23"/>
  <c r="E112" i="71" s="1"/>
  <c r="C90" i="23"/>
  <c r="D112" i="71" s="1"/>
  <c r="B90" i="23"/>
  <c r="C112" i="71" s="1"/>
  <c r="EW89" i="23"/>
  <c r="EO89" i="23"/>
  <c r="DX89" i="23"/>
  <c r="DN89" i="23"/>
  <c r="CV89" i="23"/>
  <c r="CK89" i="23"/>
  <c r="BL89" i="23"/>
  <c r="AV89" i="23"/>
  <c r="D89" i="23"/>
  <c r="E111" i="71" s="1"/>
  <c r="B89" i="23"/>
  <c r="C111" i="71" s="1"/>
  <c r="EU88" i="23"/>
  <c r="ET88" i="23"/>
  <c r="ES88" i="23"/>
  <c r="ER88" i="23"/>
  <c r="EQ88" i="23"/>
  <c r="EN88" i="23"/>
  <c r="EV88" i="23" s="1"/>
  <c r="EG88" i="23"/>
  <c r="EE88" i="23"/>
  <c r="ED88" i="23"/>
  <c r="EC88" i="23"/>
  <c r="EB88" i="23"/>
  <c r="EA88" i="23"/>
  <c r="DZ88" i="23"/>
  <c r="DX88" i="23"/>
  <c r="DV88" i="23"/>
  <c r="EF88" i="23" s="1"/>
  <c r="DM88" i="23"/>
  <c r="DN88" i="23" s="1"/>
  <c r="DF88" i="23"/>
  <c r="DE88" i="23"/>
  <c r="DD88" i="23"/>
  <c r="DC88" i="23"/>
  <c r="DB88" i="23"/>
  <c r="DA88" i="23"/>
  <c r="CZ88" i="23"/>
  <c r="CY88" i="23"/>
  <c r="CX88" i="23"/>
  <c r="CV88" i="23"/>
  <c r="CK88" i="23"/>
  <c r="BL88" i="23"/>
  <c r="AV88" i="23"/>
  <c r="D88" i="23"/>
  <c r="E110" i="71" s="1"/>
  <c r="C88" i="23"/>
  <c r="D110" i="71" s="1"/>
  <c r="B88" i="23"/>
  <c r="EU87" i="23"/>
  <c r="ET87" i="23"/>
  <c r="ES87" i="23"/>
  <c r="ER87" i="23"/>
  <c r="EQ87" i="23"/>
  <c r="EN87" i="23"/>
  <c r="EO87" i="23" s="1"/>
  <c r="EG87" i="23"/>
  <c r="EE87" i="23"/>
  <c r="ED87" i="23"/>
  <c r="EC87" i="23"/>
  <c r="EB87" i="23"/>
  <c r="EA87" i="23"/>
  <c r="DZ87" i="23"/>
  <c r="DX87" i="23"/>
  <c r="DV87" i="23"/>
  <c r="EF87" i="23" s="1"/>
  <c r="DM87" i="23"/>
  <c r="DN87" i="23" s="1"/>
  <c r="DF87" i="23"/>
  <c r="DE87" i="23"/>
  <c r="DD87" i="23"/>
  <c r="DC87" i="23"/>
  <c r="DB87" i="23"/>
  <c r="DA87" i="23"/>
  <c r="CZ87" i="23"/>
  <c r="CY87" i="23"/>
  <c r="CX87" i="23"/>
  <c r="CV87" i="23"/>
  <c r="CK87" i="23"/>
  <c r="BL87" i="23"/>
  <c r="AV87" i="23"/>
  <c r="D87" i="23"/>
  <c r="E109" i="71" s="1"/>
  <c r="C87" i="23"/>
  <c r="B87" i="23"/>
  <c r="EV86" i="23"/>
  <c r="EU86" i="23"/>
  <c r="ET86" i="23"/>
  <c r="ES86" i="23"/>
  <c r="ER86" i="23"/>
  <c r="EQ86" i="23"/>
  <c r="EO86" i="23"/>
  <c r="EN86" i="23"/>
  <c r="EG86" i="23"/>
  <c r="EE86" i="23"/>
  <c r="ED86" i="23"/>
  <c r="EC86" i="23"/>
  <c r="EB86" i="23"/>
  <c r="EA86" i="23"/>
  <c r="DZ86" i="23"/>
  <c r="DV86" i="23"/>
  <c r="EF86" i="23" s="1"/>
  <c r="DM86" i="23"/>
  <c r="DN86" i="23" s="1"/>
  <c r="DF86" i="23"/>
  <c r="DE86" i="23"/>
  <c r="DD86" i="23"/>
  <c r="DC86" i="23"/>
  <c r="DB86" i="23"/>
  <c r="DA86" i="23"/>
  <c r="CZ86" i="23"/>
  <c r="CY86" i="23"/>
  <c r="CX86" i="23"/>
  <c r="CV86" i="23"/>
  <c r="CK86" i="23"/>
  <c r="BL86" i="23"/>
  <c r="AV86" i="23"/>
  <c r="D86" i="23"/>
  <c r="E108" i="71" s="1"/>
  <c r="C86" i="23"/>
  <c r="D108" i="71" s="1"/>
  <c r="B86" i="23"/>
  <c r="EU85" i="23"/>
  <c r="ET85" i="23"/>
  <c r="ES85" i="23"/>
  <c r="ER85" i="23"/>
  <c r="EQ85" i="23"/>
  <c r="EN85" i="23"/>
  <c r="EV85" i="23" s="1"/>
  <c r="EG85" i="23"/>
  <c r="EE85" i="23"/>
  <c r="ED85" i="23"/>
  <c r="EC85" i="23"/>
  <c r="EB85" i="23"/>
  <c r="EA85" i="23"/>
  <c r="DZ85" i="23"/>
  <c r="DV85" i="23"/>
  <c r="DX85" i="23" s="1"/>
  <c r="DM85" i="23"/>
  <c r="DN85" i="23" s="1"/>
  <c r="DF85" i="23"/>
  <c r="DE85" i="23"/>
  <c r="DD85" i="23"/>
  <c r="DC85" i="23"/>
  <c r="DB85" i="23"/>
  <c r="DA85" i="23"/>
  <c r="CZ85" i="23"/>
  <c r="CY85" i="23"/>
  <c r="CX85" i="23"/>
  <c r="CV85" i="23"/>
  <c r="CK85" i="23"/>
  <c r="BL85" i="23"/>
  <c r="AV85" i="23"/>
  <c r="D85" i="23"/>
  <c r="E107" i="71" s="1"/>
  <c r="C85" i="23"/>
  <c r="B85" i="23"/>
  <c r="EU84" i="23"/>
  <c r="ET84" i="23"/>
  <c r="ES84" i="23"/>
  <c r="ER84" i="23"/>
  <c r="EQ84" i="23"/>
  <c r="EN84" i="23"/>
  <c r="EV84" i="23" s="1"/>
  <c r="EG84" i="23"/>
  <c r="EE84" i="23"/>
  <c r="ED84" i="23"/>
  <c r="EC84" i="23"/>
  <c r="EB84" i="23"/>
  <c r="EA84" i="23"/>
  <c r="DZ84" i="23"/>
  <c r="DV84" i="23"/>
  <c r="DX84" i="23" s="1"/>
  <c r="DM84" i="23"/>
  <c r="DN84" i="23" s="1"/>
  <c r="DF84" i="23"/>
  <c r="DE84" i="23"/>
  <c r="DD84" i="23"/>
  <c r="DC84" i="23"/>
  <c r="DB84" i="23"/>
  <c r="DA84" i="23"/>
  <c r="CZ84" i="23"/>
  <c r="CY84" i="23"/>
  <c r="CX84" i="23"/>
  <c r="CV84" i="23"/>
  <c r="CK84" i="23"/>
  <c r="BL84" i="23"/>
  <c r="AV84" i="23"/>
  <c r="D84" i="23"/>
  <c r="E106" i="71" s="1"/>
  <c r="C84" i="23"/>
  <c r="D106" i="71" s="1"/>
  <c r="B84" i="23"/>
  <c r="C106" i="71" s="1"/>
  <c r="EU83" i="23"/>
  <c r="ET83" i="23"/>
  <c r="ES83" i="23"/>
  <c r="ER83" i="23"/>
  <c r="EQ83" i="23"/>
  <c r="EN83" i="23"/>
  <c r="EO83" i="23" s="1"/>
  <c r="EG83" i="23"/>
  <c r="EE83" i="23"/>
  <c r="ED83" i="23"/>
  <c r="EC83" i="23"/>
  <c r="EB83" i="23"/>
  <c r="EA83" i="23"/>
  <c r="DZ83" i="23"/>
  <c r="DV83" i="23"/>
  <c r="DX83" i="23" s="1"/>
  <c r="DM83" i="23"/>
  <c r="DN83" i="23" s="1"/>
  <c r="DF83" i="23"/>
  <c r="DE83" i="23"/>
  <c r="DD83" i="23"/>
  <c r="DC83" i="23"/>
  <c r="DB83" i="23"/>
  <c r="DA83" i="23"/>
  <c r="CZ83" i="23"/>
  <c r="CY83" i="23"/>
  <c r="CX83" i="23"/>
  <c r="CV83" i="23"/>
  <c r="CK83" i="23"/>
  <c r="BL83" i="23"/>
  <c r="AV83" i="23"/>
  <c r="D83" i="23"/>
  <c r="E105" i="71" s="1"/>
  <c r="C83" i="23"/>
  <c r="D105" i="71" s="1"/>
  <c r="B83" i="23"/>
  <c r="C105" i="71" s="1"/>
  <c r="EU82" i="23"/>
  <c r="ET82" i="23"/>
  <c r="ES82" i="23"/>
  <c r="ER82" i="23"/>
  <c r="EQ82" i="23"/>
  <c r="EN82" i="23"/>
  <c r="EV82" i="23" s="1"/>
  <c r="EG82" i="23"/>
  <c r="EE82" i="23"/>
  <c r="ED82" i="23"/>
  <c r="EC82" i="23"/>
  <c r="EB82" i="23"/>
  <c r="EA82" i="23"/>
  <c r="DZ82" i="23"/>
  <c r="DV82" i="23"/>
  <c r="EF82" i="23" s="1"/>
  <c r="DM82" i="23"/>
  <c r="DN82" i="23" s="1"/>
  <c r="DF82" i="23"/>
  <c r="DE82" i="23"/>
  <c r="DD82" i="23"/>
  <c r="DC82" i="23"/>
  <c r="DB82" i="23"/>
  <c r="DA82" i="23"/>
  <c r="CZ82" i="23"/>
  <c r="CY82" i="23"/>
  <c r="CX82" i="23"/>
  <c r="CV82" i="23"/>
  <c r="CK82" i="23"/>
  <c r="BL82" i="23"/>
  <c r="AV82" i="23"/>
  <c r="D82" i="23"/>
  <c r="E104" i="71" s="1"/>
  <c r="C82" i="23"/>
  <c r="B82" i="23"/>
  <c r="EU81" i="23"/>
  <c r="ET81" i="23"/>
  <c r="ES81" i="23"/>
  <c r="ER81" i="23"/>
  <c r="EQ81" i="23"/>
  <c r="EN81" i="23"/>
  <c r="EO81" i="23" s="1"/>
  <c r="EG81" i="23"/>
  <c r="EE81" i="23"/>
  <c r="ED81" i="23"/>
  <c r="EC81" i="23"/>
  <c r="EB81" i="23"/>
  <c r="EA81" i="23"/>
  <c r="DZ81" i="23"/>
  <c r="DV81" i="23"/>
  <c r="DX81" i="23" s="1"/>
  <c r="DM81" i="23"/>
  <c r="DN81" i="23" s="1"/>
  <c r="DF81" i="23"/>
  <c r="DE81" i="23"/>
  <c r="DD81" i="23"/>
  <c r="DC81" i="23"/>
  <c r="DB81" i="23"/>
  <c r="DA81" i="23"/>
  <c r="CZ81" i="23"/>
  <c r="CY81" i="23"/>
  <c r="CX81" i="23"/>
  <c r="CV81" i="23"/>
  <c r="CK81" i="23"/>
  <c r="BL81" i="23"/>
  <c r="AV81" i="23"/>
  <c r="D81" i="23"/>
  <c r="E103" i="71" s="1"/>
  <c r="C81" i="23"/>
  <c r="D103" i="71" s="1"/>
  <c r="B81" i="23"/>
  <c r="C103" i="71" s="1"/>
  <c r="EU80" i="23"/>
  <c r="ET80" i="23"/>
  <c r="ES80" i="23"/>
  <c r="ER80" i="23"/>
  <c r="EQ80" i="23"/>
  <c r="EN80" i="23"/>
  <c r="EV80" i="23" s="1"/>
  <c r="EG80" i="23"/>
  <c r="EE80" i="23"/>
  <c r="ED80" i="23"/>
  <c r="EC80" i="23"/>
  <c r="EB80" i="23"/>
  <c r="EA80" i="23"/>
  <c r="DZ80" i="23"/>
  <c r="DX80" i="23"/>
  <c r="DV80" i="23"/>
  <c r="EF80" i="23" s="1"/>
  <c r="DM80" i="23"/>
  <c r="DN80" i="23" s="1"/>
  <c r="DF80" i="23"/>
  <c r="DE80" i="23"/>
  <c r="DD80" i="23"/>
  <c r="DC80" i="23"/>
  <c r="DB80" i="23"/>
  <c r="DA80" i="23"/>
  <c r="CZ80" i="23"/>
  <c r="CY80" i="23"/>
  <c r="CX80" i="23"/>
  <c r="CV80" i="23"/>
  <c r="CK80" i="23"/>
  <c r="BL80" i="23"/>
  <c r="AV80" i="23"/>
  <c r="D80" i="23"/>
  <c r="C80" i="23"/>
  <c r="D102" i="71" s="1"/>
  <c r="B80" i="23"/>
  <c r="EV79" i="23"/>
  <c r="EU79" i="23"/>
  <c r="ET79" i="23"/>
  <c r="ES79" i="23"/>
  <c r="ER79" i="23"/>
  <c r="EQ79" i="23"/>
  <c r="EN79" i="23"/>
  <c r="EO79" i="23" s="1"/>
  <c r="EG79" i="23"/>
  <c r="EE79" i="23"/>
  <c r="ED79" i="23"/>
  <c r="EC79" i="23"/>
  <c r="EB79" i="23"/>
  <c r="EA79" i="23"/>
  <c r="DZ79" i="23"/>
  <c r="DV79" i="23"/>
  <c r="EF79" i="23" s="1"/>
  <c r="DM79" i="23"/>
  <c r="DN79" i="23" s="1"/>
  <c r="DF79" i="23"/>
  <c r="DE79" i="23"/>
  <c r="DD79" i="23"/>
  <c r="DC79" i="23"/>
  <c r="DB79" i="23"/>
  <c r="DA79" i="23"/>
  <c r="CZ79" i="23"/>
  <c r="CY79" i="23"/>
  <c r="CX79" i="23"/>
  <c r="CV79" i="23"/>
  <c r="CK79" i="23"/>
  <c r="BL79" i="23"/>
  <c r="AV79" i="23"/>
  <c r="D79" i="23"/>
  <c r="E101" i="71" s="1"/>
  <c r="C79" i="23"/>
  <c r="B79" i="23"/>
  <c r="EU78" i="23"/>
  <c r="ET78" i="23"/>
  <c r="ES78" i="23"/>
  <c r="ER78" i="23"/>
  <c r="EQ78" i="23"/>
  <c r="EO78" i="23"/>
  <c r="EN78" i="23"/>
  <c r="EV78" i="23" s="1"/>
  <c r="EG78" i="23"/>
  <c r="EE78" i="23"/>
  <c r="ED78" i="23"/>
  <c r="EC78" i="23"/>
  <c r="EB78" i="23"/>
  <c r="EA78" i="23"/>
  <c r="DZ78" i="23"/>
  <c r="DX78" i="23"/>
  <c r="DV78" i="23"/>
  <c r="EF78" i="23" s="1"/>
  <c r="DM78" i="23"/>
  <c r="DN78" i="23" s="1"/>
  <c r="DF78" i="23"/>
  <c r="DE78" i="23"/>
  <c r="DD78" i="23"/>
  <c r="DC78" i="23"/>
  <c r="DB78" i="23"/>
  <c r="DA78" i="23"/>
  <c r="CZ78" i="23"/>
  <c r="CY78" i="23"/>
  <c r="CX78" i="23"/>
  <c r="CV78" i="23"/>
  <c r="CK78" i="23"/>
  <c r="BL78" i="23"/>
  <c r="AV78" i="23"/>
  <c r="D78" i="23"/>
  <c r="C78" i="23"/>
  <c r="B78" i="23"/>
  <c r="EU77" i="23"/>
  <c r="ET77" i="23"/>
  <c r="ES77" i="23"/>
  <c r="ER77" i="23"/>
  <c r="EQ77" i="23"/>
  <c r="EO77" i="23"/>
  <c r="EN77" i="23"/>
  <c r="EV77" i="23" s="1"/>
  <c r="EG77" i="23"/>
  <c r="EE77" i="23"/>
  <c r="ED77" i="23"/>
  <c r="EC77" i="23"/>
  <c r="EB77" i="23"/>
  <c r="EA77" i="23"/>
  <c r="DZ77" i="23"/>
  <c r="DV77" i="23"/>
  <c r="DX77" i="23" s="1"/>
  <c r="DM77" i="23"/>
  <c r="DN77" i="23" s="1"/>
  <c r="DF77" i="23"/>
  <c r="DE77" i="23"/>
  <c r="DD77" i="23"/>
  <c r="DC77" i="23"/>
  <c r="DB77" i="23"/>
  <c r="DA77" i="23"/>
  <c r="CZ77" i="23"/>
  <c r="CY77" i="23"/>
  <c r="CX77" i="23"/>
  <c r="CV77" i="23"/>
  <c r="CK77" i="23"/>
  <c r="BL77" i="23"/>
  <c r="AV77" i="23"/>
  <c r="D77" i="23"/>
  <c r="C77" i="23"/>
  <c r="B77" i="23"/>
  <c r="EU76" i="23"/>
  <c r="ET76" i="23"/>
  <c r="ES76" i="23"/>
  <c r="ER76" i="23"/>
  <c r="EQ76" i="23"/>
  <c r="EO76" i="23"/>
  <c r="EN76" i="23"/>
  <c r="EV76" i="23" s="1"/>
  <c r="EG76" i="23"/>
  <c r="EE76" i="23"/>
  <c r="ED76" i="23"/>
  <c r="EC76" i="23"/>
  <c r="EB76" i="23"/>
  <c r="EA76" i="23"/>
  <c r="DZ76" i="23"/>
  <c r="DV76" i="23"/>
  <c r="DX76" i="23" s="1"/>
  <c r="DN76" i="23"/>
  <c r="DM76" i="23"/>
  <c r="DF76" i="23"/>
  <c r="DE76" i="23"/>
  <c r="DD76" i="23"/>
  <c r="DC76" i="23"/>
  <c r="DB76" i="23"/>
  <c r="DA76" i="23"/>
  <c r="CZ76" i="23"/>
  <c r="CY76" i="23"/>
  <c r="CX76" i="23"/>
  <c r="CV76" i="23"/>
  <c r="CK76" i="23"/>
  <c r="BL76" i="23"/>
  <c r="AV76" i="23"/>
  <c r="D76" i="23"/>
  <c r="C76" i="23"/>
  <c r="B76" i="23"/>
  <c r="EU75" i="23"/>
  <c r="ET75" i="23"/>
  <c r="ES75" i="23"/>
  <c r="ER75" i="23"/>
  <c r="EQ75" i="23"/>
  <c r="EN75" i="23"/>
  <c r="EO75" i="23" s="1"/>
  <c r="EG75" i="23"/>
  <c r="EE75" i="23"/>
  <c r="ED75" i="23"/>
  <c r="EC75" i="23"/>
  <c r="EB75" i="23"/>
  <c r="EA75" i="23"/>
  <c r="DZ75" i="23"/>
  <c r="DV75" i="23"/>
  <c r="DX75" i="23" s="1"/>
  <c r="DM75" i="23"/>
  <c r="DN75" i="23" s="1"/>
  <c r="DF75" i="23"/>
  <c r="DE75" i="23"/>
  <c r="DD75" i="23"/>
  <c r="DC75" i="23"/>
  <c r="DB75" i="23"/>
  <c r="DA75" i="23"/>
  <c r="CZ75" i="23"/>
  <c r="CY75" i="23"/>
  <c r="CX75" i="23"/>
  <c r="CV75" i="23"/>
  <c r="CK75" i="23"/>
  <c r="BL75" i="23"/>
  <c r="AV75" i="23"/>
  <c r="D75" i="23"/>
  <c r="E97" i="71" s="1"/>
  <c r="C75" i="23"/>
  <c r="B75" i="23"/>
  <c r="C97" i="71" s="1"/>
  <c r="EU74" i="23"/>
  <c r="ET74" i="23"/>
  <c r="ES74" i="23"/>
  <c r="ER74" i="23"/>
  <c r="EQ74" i="23"/>
  <c r="EN74" i="23"/>
  <c r="EV74" i="23" s="1"/>
  <c r="EG74" i="23"/>
  <c r="EE74" i="23"/>
  <c r="ED74" i="23"/>
  <c r="EC74" i="23"/>
  <c r="EB74" i="23"/>
  <c r="EA74" i="23"/>
  <c r="DZ74" i="23"/>
  <c r="DX74" i="23"/>
  <c r="DV74" i="23"/>
  <c r="EF74" i="23" s="1"/>
  <c r="DN74" i="23"/>
  <c r="DM74" i="23"/>
  <c r="DF74" i="23"/>
  <c r="DE74" i="23"/>
  <c r="DD74" i="23"/>
  <c r="DC74" i="23"/>
  <c r="DB74" i="23"/>
  <c r="DA74" i="23"/>
  <c r="CZ74" i="23"/>
  <c r="CY74" i="23"/>
  <c r="CX74" i="23"/>
  <c r="CV74" i="23"/>
  <c r="CK74" i="23"/>
  <c r="BL74" i="23"/>
  <c r="AV74" i="23"/>
  <c r="D74" i="23"/>
  <c r="E96" i="71" s="1"/>
  <c r="C74" i="23"/>
  <c r="B74" i="23"/>
  <c r="EW73" i="23"/>
  <c r="EO73" i="23"/>
  <c r="DX73" i="23"/>
  <c r="DN73" i="23"/>
  <c r="CV73" i="23"/>
  <c r="CK73" i="23"/>
  <c r="BL73" i="23"/>
  <c r="AV73" i="23"/>
  <c r="D73" i="23"/>
  <c r="E95" i="71" s="1"/>
  <c r="B73" i="23"/>
  <c r="C95" i="71" s="1"/>
  <c r="EV72" i="23"/>
  <c r="EU72" i="23"/>
  <c r="ET72" i="23"/>
  <c r="ES72" i="23"/>
  <c r="ER72" i="23"/>
  <c r="EQ72" i="23"/>
  <c r="EO72" i="23"/>
  <c r="EN72" i="23"/>
  <c r="EG72" i="23"/>
  <c r="EE72" i="23"/>
  <c r="ED72" i="23"/>
  <c r="EC72" i="23"/>
  <c r="EB72" i="23"/>
  <c r="EA72" i="23"/>
  <c r="DZ72" i="23"/>
  <c r="DV72" i="23"/>
  <c r="EF72" i="23" s="1"/>
  <c r="DM72" i="23"/>
  <c r="DN72" i="23" s="1"/>
  <c r="DF72" i="23"/>
  <c r="DE72" i="23"/>
  <c r="DD72" i="23"/>
  <c r="DC72" i="23"/>
  <c r="DB72" i="23"/>
  <c r="DA72" i="23"/>
  <c r="CZ72" i="23"/>
  <c r="CY72" i="23"/>
  <c r="CX72" i="23"/>
  <c r="CV72" i="23"/>
  <c r="CK72" i="23"/>
  <c r="BL72" i="23"/>
  <c r="AV72" i="23"/>
  <c r="D72" i="23"/>
  <c r="E94" i="71" s="1"/>
  <c r="C72" i="23"/>
  <c r="D94" i="71" s="1"/>
  <c r="B72" i="23"/>
  <c r="EU71" i="23"/>
  <c r="ET71" i="23"/>
  <c r="ES71" i="23"/>
  <c r="ER71" i="23"/>
  <c r="EQ71" i="23"/>
  <c r="EN71" i="23"/>
  <c r="EO71" i="23" s="1"/>
  <c r="EG71" i="23"/>
  <c r="EE71" i="23"/>
  <c r="ED71" i="23"/>
  <c r="EC71" i="23"/>
  <c r="EB71" i="23"/>
  <c r="EA71" i="23"/>
  <c r="DZ71" i="23"/>
  <c r="DX71" i="23"/>
  <c r="DV71" i="23"/>
  <c r="EF71" i="23" s="1"/>
  <c r="DM71" i="23"/>
  <c r="DN71" i="23" s="1"/>
  <c r="DF71" i="23"/>
  <c r="DE71" i="23"/>
  <c r="DD71" i="23"/>
  <c r="DC71" i="23"/>
  <c r="DB71" i="23"/>
  <c r="DA71" i="23"/>
  <c r="CZ71" i="23"/>
  <c r="CY71" i="23"/>
  <c r="CX71" i="23"/>
  <c r="CV71" i="23"/>
  <c r="CK71" i="23"/>
  <c r="BL71" i="23"/>
  <c r="AV71" i="23"/>
  <c r="D71" i="23"/>
  <c r="E93" i="71" s="1"/>
  <c r="C71" i="23"/>
  <c r="B71" i="23"/>
  <c r="C93" i="71" s="1"/>
  <c r="EU70" i="23"/>
  <c r="ET70" i="23"/>
  <c r="ES70" i="23"/>
  <c r="ER70" i="23"/>
  <c r="EQ70" i="23"/>
  <c r="EO70" i="23"/>
  <c r="EN70" i="23"/>
  <c r="EV70" i="23" s="1"/>
  <c r="EG70" i="23"/>
  <c r="EE70" i="23"/>
  <c r="ED70" i="23"/>
  <c r="EC70" i="23"/>
  <c r="EB70" i="23"/>
  <c r="EA70" i="23"/>
  <c r="DZ70" i="23"/>
  <c r="DV70" i="23"/>
  <c r="DX70" i="23" s="1"/>
  <c r="DM70" i="23"/>
  <c r="DN70" i="23" s="1"/>
  <c r="DF70" i="23"/>
  <c r="DE70" i="23"/>
  <c r="DD70" i="23"/>
  <c r="DC70" i="23"/>
  <c r="DB70" i="23"/>
  <c r="DA70" i="23"/>
  <c r="CZ70" i="23"/>
  <c r="CY70" i="23"/>
  <c r="CX70" i="23"/>
  <c r="CV70" i="23"/>
  <c r="CK70" i="23"/>
  <c r="BL70" i="23"/>
  <c r="AV70" i="23"/>
  <c r="D70" i="23"/>
  <c r="E92" i="71" s="1"/>
  <c r="C70" i="23"/>
  <c r="D92" i="71" s="1"/>
  <c r="B70" i="23"/>
  <c r="EU69" i="23"/>
  <c r="ET69" i="23"/>
  <c r="ES69" i="23"/>
  <c r="ER69" i="23"/>
  <c r="EQ69" i="23"/>
  <c r="EN69" i="23"/>
  <c r="EV69" i="23" s="1"/>
  <c r="EG69" i="23"/>
  <c r="EE69" i="23"/>
  <c r="ED69" i="23"/>
  <c r="EC69" i="23"/>
  <c r="EB69" i="23"/>
  <c r="EA69" i="23"/>
  <c r="DZ69" i="23"/>
  <c r="DV69" i="23"/>
  <c r="DX69" i="23" s="1"/>
  <c r="DM69" i="23"/>
  <c r="DN69" i="23" s="1"/>
  <c r="DF69" i="23"/>
  <c r="DE69" i="23"/>
  <c r="DD69" i="23"/>
  <c r="DC69" i="23"/>
  <c r="DB69" i="23"/>
  <c r="DA69" i="23"/>
  <c r="CZ69" i="23"/>
  <c r="CY69" i="23"/>
  <c r="CX69" i="23"/>
  <c r="CV69" i="23"/>
  <c r="CK69" i="23"/>
  <c r="BL69" i="23"/>
  <c r="AV69" i="23"/>
  <c r="D69" i="23"/>
  <c r="E91" i="71" s="1"/>
  <c r="C69" i="23"/>
  <c r="D91" i="71" s="1"/>
  <c r="B69" i="23"/>
  <c r="C91" i="71" s="1"/>
  <c r="EU68" i="23"/>
  <c r="ET68" i="23"/>
  <c r="ES68" i="23"/>
  <c r="ER68" i="23"/>
  <c r="EQ68" i="23"/>
  <c r="EN68" i="23"/>
  <c r="EO68" i="23" s="1"/>
  <c r="EG68" i="23"/>
  <c r="EE68" i="23"/>
  <c r="ED68" i="23"/>
  <c r="EC68" i="23"/>
  <c r="EB68" i="23"/>
  <c r="EA68" i="23"/>
  <c r="DZ68" i="23"/>
  <c r="DV68" i="23"/>
  <c r="DX68" i="23" s="1"/>
  <c r="DM68" i="23"/>
  <c r="DN68" i="23" s="1"/>
  <c r="DF68" i="23"/>
  <c r="DE68" i="23"/>
  <c r="DD68" i="23"/>
  <c r="DC68" i="23"/>
  <c r="DB68" i="23"/>
  <c r="DA68" i="23"/>
  <c r="CZ68" i="23"/>
  <c r="CY68" i="23"/>
  <c r="CX68" i="23"/>
  <c r="CV68" i="23"/>
  <c r="CK68" i="23"/>
  <c r="BL68" i="23"/>
  <c r="AV68" i="23"/>
  <c r="D68" i="23"/>
  <c r="E90" i="71" s="1"/>
  <c r="C68" i="23"/>
  <c r="B68" i="23"/>
  <c r="EV67" i="23"/>
  <c r="EW67" i="23" s="1"/>
  <c r="EU67" i="23"/>
  <c r="ET67" i="23"/>
  <c r="ES67" i="23"/>
  <c r="ER67" i="23"/>
  <c r="EQ67" i="23"/>
  <c r="EN67" i="23"/>
  <c r="EO67" i="23" s="1"/>
  <c r="EG67" i="23"/>
  <c r="EE67" i="23"/>
  <c r="ED67" i="23"/>
  <c r="EC67" i="23"/>
  <c r="EB67" i="23"/>
  <c r="EA67" i="23"/>
  <c r="DZ67" i="23"/>
  <c r="DX67" i="23"/>
  <c r="DV67" i="23"/>
  <c r="EF67" i="23" s="1"/>
  <c r="DN67" i="23"/>
  <c r="DM67" i="23"/>
  <c r="DF67" i="23"/>
  <c r="DE67" i="23"/>
  <c r="DD67" i="23"/>
  <c r="DC67" i="23"/>
  <c r="DB67" i="23"/>
  <c r="DA67" i="23"/>
  <c r="CZ67" i="23"/>
  <c r="CY67" i="23"/>
  <c r="CX67" i="23"/>
  <c r="CV67" i="23"/>
  <c r="CK67" i="23"/>
  <c r="BL67" i="23"/>
  <c r="AV67" i="23"/>
  <c r="D67" i="23"/>
  <c r="E89" i="71" s="1"/>
  <c r="C67" i="23"/>
  <c r="B67" i="23"/>
  <c r="EU66" i="23"/>
  <c r="ET66" i="23"/>
  <c r="ES66" i="23"/>
  <c r="ER66" i="23"/>
  <c r="EQ66" i="23"/>
  <c r="EN66" i="23"/>
  <c r="EO66" i="23" s="1"/>
  <c r="EG66" i="23"/>
  <c r="EE66" i="23"/>
  <c r="ED66" i="23"/>
  <c r="EC66" i="23"/>
  <c r="EB66" i="23"/>
  <c r="EA66" i="23"/>
  <c r="DZ66" i="23"/>
  <c r="DV66" i="23"/>
  <c r="DX66" i="23" s="1"/>
  <c r="DM66" i="23"/>
  <c r="DN66" i="23" s="1"/>
  <c r="DF66" i="23"/>
  <c r="DE66" i="23"/>
  <c r="DD66" i="23"/>
  <c r="DC66" i="23"/>
  <c r="DB66" i="23"/>
  <c r="DA66" i="23"/>
  <c r="CZ66" i="23"/>
  <c r="CY66" i="23"/>
  <c r="CX66" i="23"/>
  <c r="CV66" i="23"/>
  <c r="CK66" i="23"/>
  <c r="BL66" i="23"/>
  <c r="AV66" i="23"/>
  <c r="D66" i="23"/>
  <c r="E88" i="71" s="1"/>
  <c r="C66" i="23"/>
  <c r="D88" i="71" s="1"/>
  <c r="B66" i="23"/>
  <c r="C88" i="71" s="1"/>
  <c r="EU65" i="23"/>
  <c r="ET65" i="23"/>
  <c r="ES65" i="23"/>
  <c r="ER65" i="23"/>
  <c r="EQ65" i="23"/>
  <c r="EN65" i="23"/>
  <c r="EO65" i="23" s="1"/>
  <c r="EG65" i="23"/>
  <c r="EE65" i="23"/>
  <c r="ED65" i="23"/>
  <c r="EC65" i="23"/>
  <c r="EB65" i="23"/>
  <c r="EA65" i="23"/>
  <c r="DZ65" i="23"/>
  <c r="DX65" i="23"/>
  <c r="DV65" i="23"/>
  <c r="EF65" i="23" s="1"/>
  <c r="DN65" i="23"/>
  <c r="DM65" i="23"/>
  <c r="DF65" i="23"/>
  <c r="DE65" i="23"/>
  <c r="DD65" i="23"/>
  <c r="DC65" i="23"/>
  <c r="DB65" i="23"/>
  <c r="DA65" i="23"/>
  <c r="CZ65" i="23"/>
  <c r="CY65" i="23"/>
  <c r="CX65" i="23"/>
  <c r="CV65" i="23"/>
  <c r="CK65" i="23"/>
  <c r="BL65" i="23"/>
  <c r="AV65" i="23"/>
  <c r="D65" i="23"/>
  <c r="E87" i="71" s="1"/>
  <c r="C65" i="23"/>
  <c r="B65" i="23"/>
  <c r="C87" i="71" s="1"/>
  <c r="EU64" i="23"/>
  <c r="ET64" i="23"/>
  <c r="ES64" i="23"/>
  <c r="ER64" i="23"/>
  <c r="EQ64" i="23"/>
  <c r="EN64" i="23"/>
  <c r="EO64" i="23" s="1"/>
  <c r="EG64" i="23"/>
  <c r="EF64" i="23"/>
  <c r="EE64" i="23"/>
  <c r="ED64" i="23"/>
  <c r="EC64" i="23"/>
  <c r="EB64" i="23"/>
  <c r="EA64" i="23"/>
  <c r="DZ64" i="23"/>
  <c r="DV64" i="23"/>
  <c r="DX64" i="23" s="1"/>
  <c r="DM64" i="23"/>
  <c r="DN64" i="23" s="1"/>
  <c r="DF64" i="23"/>
  <c r="DE64" i="23"/>
  <c r="DD64" i="23"/>
  <c r="DC64" i="23"/>
  <c r="DB64" i="23"/>
  <c r="DA64" i="23"/>
  <c r="CZ64" i="23"/>
  <c r="CY64" i="23"/>
  <c r="CX64" i="23"/>
  <c r="CV64" i="23"/>
  <c r="CK64" i="23"/>
  <c r="BL64" i="23"/>
  <c r="AV64" i="23"/>
  <c r="D64" i="23"/>
  <c r="E86" i="71" s="1"/>
  <c r="C64" i="23"/>
  <c r="B64" i="23"/>
  <c r="EW63" i="23"/>
  <c r="EO63" i="23"/>
  <c r="DX63" i="23"/>
  <c r="DN63" i="23"/>
  <c r="CV63" i="23"/>
  <c r="CK63" i="23"/>
  <c r="BL63" i="23"/>
  <c r="AV63" i="23"/>
  <c r="D63" i="23"/>
  <c r="E85" i="71" s="1"/>
  <c r="B63" i="23"/>
  <c r="C85" i="71" s="1"/>
  <c r="EU62" i="23"/>
  <c r="ET62" i="23"/>
  <c r="ES62" i="23"/>
  <c r="ER62" i="23"/>
  <c r="EQ62" i="23"/>
  <c r="EN62" i="23"/>
  <c r="EV62" i="23" s="1"/>
  <c r="EG62" i="23"/>
  <c r="EE62" i="23"/>
  <c r="ED62" i="23"/>
  <c r="EC62" i="23"/>
  <c r="EB62" i="23"/>
  <c r="EA62" i="23"/>
  <c r="DZ62" i="23"/>
  <c r="DV62" i="23"/>
  <c r="DX62" i="23" s="1"/>
  <c r="DN62" i="23"/>
  <c r="DM62" i="23"/>
  <c r="DF62" i="23"/>
  <c r="DE62" i="23"/>
  <c r="DD62" i="23"/>
  <c r="DC62" i="23"/>
  <c r="DB62" i="23"/>
  <c r="DA62" i="23"/>
  <c r="CZ62" i="23"/>
  <c r="CY62" i="23"/>
  <c r="CX62" i="23"/>
  <c r="CV62" i="23"/>
  <c r="CK62" i="23"/>
  <c r="BL62" i="23"/>
  <c r="AV62" i="23"/>
  <c r="D62" i="23"/>
  <c r="C62" i="23"/>
  <c r="D84" i="71" s="1"/>
  <c r="B62" i="23"/>
  <c r="EU61" i="23"/>
  <c r="ET61" i="23"/>
  <c r="ES61" i="23"/>
  <c r="ER61" i="23"/>
  <c r="EQ61" i="23"/>
  <c r="EN61" i="23"/>
  <c r="EO61" i="23" s="1"/>
  <c r="EG61" i="23"/>
  <c r="EE61" i="23"/>
  <c r="ED61" i="23"/>
  <c r="EC61" i="23"/>
  <c r="EB61" i="23"/>
  <c r="EA61" i="23"/>
  <c r="DZ61" i="23"/>
  <c r="DV61" i="23"/>
  <c r="DX61" i="23" s="1"/>
  <c r="DM61" i="23"/>
  <c r="DN61" i="23" s="1"/>
  <c r="DF61" i="23"/>
  <c r="DE61" i="23"/>
  <c r="DD61" i="23"/>
  <c r="DC61" i="23"/>
  <c r="DB61" i="23"/>
  <c r="DA61" i="23"/>
  <c r="CZ61" i="23"/>
  <c r="CY61" i="23"/>
  <c r="CX61" i="23"/>
  <c r="CV61" i="23"/>
  <c r="CK61" i="23"/>
  <c r="BL61" i="23"/>
  <c r="AV61" i="23"/>
  <c r="D61" i="23"/>
  <c r="E83" i="71" s="1"/>
  <c r="C61" i="23"/>
  <c r="B61" i="23"/>
  <c r="C83" i="71" s="1"/>
  <c r="EU60" i="23"/>
  <c r="ET60" i="23"/>
  <c r="ES60" i="23"/>
  <c r="ER60" i="23"/>
  <c r="EQ60" i="23"/>
  <c r="EN60" i="23"/>
  <c r="EO60" i="23" s="1"/>
  <c r="EG60" i="23"/>
  <c r="EE60" i="23"/>
  <c r="ED60" i="23"/>
  <c r="EC60" i="23"/>
  <c r="EB60" i="23"/>
  <c r="EA60" i="23"/>
  <c r="DZ60" i="23"/>
  <c r="DV60" i="23"/>
  <c r="EF60" i="23" s="1"/>
  <c r="DN60" i="23"/>
  <c r="DM60" i="23"/>
  <c r="DF60" i="23"/>
  <c r="DE60" i="23"/>
  <c r="DD60" i="23"/>
  <c r="DC60" i="23"/>
  <c r="DB60" i="23"/>
  <c r="DA60" i="23"/>
  <c r="CZ60" i="23"/>
  <c r="CY60" i="23"/>
  <c r="CX60" i="23"/>
  <c r="CV60" i="23"/>
  <c r="CK60" i="23"/>
  <c r="BL60" i="23"/>
  <c r="AV60" i="23"/>
  <c r="D60" i="23"/>
  <c r="E82" i="71" s="1"/>
  <c r="C60" i="23"/>
  <c r="B60" i="23"/>
  <c r="EU59" i="23"/>
  <c r="ET59" i="23"/>
  <c r="ES59" i="23"/>
  <c r="ER59" i="23"/>
  <c r="EQ59" i="23"/>
  <c r="EN59" i="23"/>
  <c r="EO59" i="23" s="1"/>
  <c r="EG59" i="23"/>
  <c r="EE59" i="23"/>
  <c r="ED59" i="23"/>
  <c r="EC59" i="23"/>
  <c r="EB59" i="23"/>
  <c r="EA59" i="23"/>
  <c r="DZ59" i="23"/>
  <c r="DV59" i="23"/>
  <c r="DX59" i="23" s="1"/>
  <c r="DM59" i="23"/>
  <c r="DN59" i="23" s="1"/>
  <c r="DF59" i="23"/>
  <c r="DE59" i="23"/>
  <c r="DD59" i="23"/>
  <c r="DC59" i="23"/>
  <c r="DB59" i="23"/>
  <c r="DA59" i="23"/>
  <c r="CZ59" i="23"/>
  <c r="CY59" i="23"/>
  <c r="CX59" i="23"/>
  <c r="CV59" i="23"/>
  <c r="CK59" i="23"/>
  <c r="BL59" i="23"/>
  <c r="AV59" i="23"/>
  <c r="D59" i="23"/>
  <c r="C59" i="23"/>
  <c r="B59" i="23"/>
  <c r="EU58" i="23"/>
  <c r="ET58" i="23"/>
  <c r="ES58" i="23"/>
  <c r="ER58" i="23"/>
  <c r="EQ58" i="23"/>
  <c r="EN58" i="23"/>
  <c r="EO58" i="23" s="1"/>
  <c r="EG58" i="23"/>
  <c r="EE58" i="23"/>
  <c r="ED58" i="23"/>
  <c r="EC58" i="23"/>
  <c r="EB58" i="23"/>
  <c r="EA58" i="23"/>
  <c r="DZ58" i="23"/>
  <c r="DX58" i="23"/>
  <c r="DV58" i="23"/>
  <c r="EF58" i="23" s="1"/>
  <c r="DN58" i="23"/>
  <c r="DM58" i="23"/>
  <c r="DF58" i="23"/>
  <c r="DE58" i="23"/>
  <c r="DD58" i="23"/>
  <c r="DC58" i="23"/>
  <c r="DB58" i="23"/>
  <c r="DA58" i="23"/>
  <c r="CZ58" i="23"/>
  <c r="CY58" i="23"/>
  <c r="CX58" i="23"/>
  <c r="CV58" i="23"/>
  <c r="CK58" i="23"/>
  <c r="BL58" i="23"/>
  <c r="AV58" i="23"/>
  <c r="D58" i="23"/>
  <c r="C58" i="23"/>
  <c r="D80" i="71" s="1"/>
  <c r="B58" i="23"/>
  <c r="EU57" i="23"/>
  <c r="ET57" i="23"/>
  <c r="ES57" i="23"/>
  <c r="ER57" i="23"/>
  <c r="EQ57" i="23"/>
  <c r="EN57" i="23"/>
  <c r="EO57" i="23" s="1"/>
  <c r="EG57" i="23"/>
  <c r="EE57" i="23"/>
  <c r="ED57" i="23"/>
  <c r="EC57" i="23"/>
  <c r="EB57" i="23"/>
  <c r="EA57" i="23"/>
  <c r="DZ57" i="23"/>
  <c r="DV57" i="23"/>
  <c r="DX57" i="23" s="1"/>
  <c r="DM57" i="23"/>
  <c r="DN57" i="23" s="1"/>
  <c r="DF57" i="23"/>
  <c r="DE57" i="23"/>
  <c r="DD57" i="23"/>
  <c r="DC57" i="23"/>
  <c r="DB57" i="23"/>
  <c r="DA57" i="23"/>
  <c r="CZ57" i="23"/>
  <c r="CY57" i="23"/>
  <c r="CX57" i="23"/>
  <c r="CV57" i="23"/>
  <c r="CK57" i="23"/>
  <c r="BL57" i="23"/>
  <c r="AV57" i="23"/>
  <c r="D57" i="23"/>
  <c r="E79" i="71" s="1"/>
  <c r="C57" i="23"/>
  <c r="B57" i="23"/>
  <c r="C79" i="71" s="1"/>
  <c r="EV56" i="23"/>
  <c r="EU56" i="23"/>
  <c r="ET56" i="23"/>
  <c r="ES56" i="23"/>
  <c r="ER56" i="23"/>
  <c r="EQ56" i="23"/>
  <c r="EO56" i="23"/>
  <c r="EN56" i="23"/>
  <c r="EG56" i="23"/>
  <c r="EE56" i="23"/>
  <c r="ED56" i="23"/>
  <c r="EC56" i="23"/>
  <c r="EB56" i="23"/>
  <c r="EA56" i="23"/>
  <c r="DZ56" i="23"/>
  <c r="DV56" i="23"/>
  <c r="EF56" i="23" s="1"/>
  <c r="DM56" i="23"/>
  <c r="DN56" i="23" s="1"/>
  <c r="DF56" i="23"/>
  <c r="DE56" i="23"/>
  <c r="DD56" i="23"/>
  <c r="DC56" i="23"/>
  <c r="DB56" i="23"/>
  <c r="DA56" i="23"/>
  <c r="CZ56" i="23"/>
  <c r="CY56" i="23"/>
  <c r="CX56" i="23"/>
  <c r="CV56" i="23"/>
  <c r="CK56" i="23"/>
  <c r="BL56" i="23"/>
  <c r="AV56" i="23"/>
  <c r="D56" i="23"/>
  <c r="E78" i="71" s="1"/>
  <c r="C56" i="23"/>
  <c r="D78" i="71" s="1"/>
  <c r="B56" i="23"/>
  <c r="C78" i="71" s="1"/>
  <c r="EU55" i="23"/>
  <c r="ET55" i="23"/>
  <c r="ES55" i="23"/>
  <c r="ER55" i="23"/>
  <c r="EW55" i="23" s="1"/>
  <c r="EQ55" i="23"/>
  <c r="EN55" i="23"/>
  <c r="EV55" i="23" s="1"/>
  <c r="EG55" i="23"/>
  <c r="EE55" i="23"/>
  <c r="ED55" i="23"/>
  <c r="EC55" i="23"/>
  <c r="EB55" i="23"/>
  <c r="EA55" i="23"/>
  <c r="DZ55" i="23"/>
  <c r="DV55" i="23"/>
  <c r="DX55" i="23" s="1"/>
  <c r="DM55" i="23"/>
  <c r="DN55" i="23" s="1"/>
  <c r="DF55" i="23"/>
  <c r="DE55" i="23"/>
  <c r="DD55" i="23"/>
  <c r="DC55" i="23"/>
  <c r="DB55" i="23"/>
  <c r="DA55" i="23"/>
  <c r="CZ55" i="23"/>
  <c r="CY55" i="23"/>
  <c r="CX55" i="23"/>
  <c r="CV55" i="23"/>
  <c r="CK55" i="23"/>
  <c r="BL55" i="23"/>
  <c r="AV55" i="23"/>
  <c r="D55" i="23"/>
  <c r="E77" i="71" s="1"/>
  <c r="C55" i="23"/>
  <c r="B55" i="23"/>
  <c r="C77" i="71" s="1"/>
  <c r="EU54" i="23"/>
  <c r="ET54" i="23"/>
  <c r="ES54" i="23"/>
  <c r="ER54" i="23"/>
  <c r="EQ54" i="23"/>
  <c r="EW54" i="23" s="1"/>
  <c r="EN54" i="23"/>
  <c r="EV54" i="23" s="1"/>
  <c r="EG54" i="23"/>
  <c r="EE54" i="23"/>
  <c r="ED54" i="23"/>
  <c r="EC54" i="23"/>
  <c r="EB54" i="23"/>
  <c r="EA54" i="23"/>
  <c r="DZ54" i="23"/>
  <c r="DV54" i="23"/>
  <c r="DX54" i="23" s="1"/>
  <c r="DM54" i="23"/>
  <c r="DN54" i="23" s="1"/>
  <c r="DF54" i="23"/>
  <c r="DE54" i="23"/>
  <c r="DD54" i="23"/>
  <c r="DC54" i="23"/>
  <c r="DB54" i="23"/>
  <c r="DA54" i="23"/>
  <c r="CZ54" i="23"/>
  <c r="CY54" i="23"/>
  <c r="CX54" i="23"/>
  <c r="CV54" i="23"/>
  <c r="CK54" i="23"/>
  <c r="BL54" i="23"/>
  <c r="AV54" i="23"/>
  <c r="D54" i="23"/>
  <c r="E76" i="71" s="1"/>
  <c r="C54" i="23"/>
  <c r="D76" i="71" s="1"/>
  <c r="B54" i="23"/>
  <c r="C76" i="71" s="1"/>
  <c r="EU53" i="23"/>
  <c r="ET53" i="23"/>
  <c r="ES53" i="23"/>
  <c r="ER53" i="23"/>
  <c r="EQ53" i="23"/>
  <c r="EN53" i="23"/>
  <c r="EO53" i="23" s="1"/>
  <c r="EG53" i="23"/>
  <c r="EE53" i="23"/>
  <c r="ED53" i="23"/>
  <c r="EC53" i="23"/>
  <c r="EB53" i="23"/>
  <c r="EA53" i="23"/>
  <c r="DZ53" i="23"/>
  <c r="DV53" i="23"/>
  <c r="DX53" i="23" s="1"/>
  <c r="DM53" i="23"/>
  <c r="DN53" i="23" s="1"/>
  <c r="DF53" i="23"/>
  <c r="DE53" i="23"/>
  <c r="DD53" i="23"/>
  <c r="DC53" i="23"/>
  <c r="DB53" i="23"/>
  <c r="DA53" i="23"/>
  <c r="CZ53" i="23"/>
  <c r="CY53" i="23"/>
  <c r="CX53" i="23"/>
  <c r="CV53" i="23"/>
  <c r="CK53" i="23"/>
  <c r="BL53" i="23"/>
  <c r="AV53" i="23"/>
  <c r="D53" i="23"/>
  <c r="E75" i="71" s="1"/>
  <c r="C53" i="23"/>
  <c r="B53" i="23"/>
  <c r="EV52" i="23"/>
  <c r="EU52" i="23"/>
  <c r="ET52" i="23"/>
  <c r="ES52" i="23"/>
  <c r="ER52" i="23"/>
  <c r="EQ52" i="23"/>
  <c r="EN52" i="23"/>
  <c r="EO52" i="23" s="1"/>
  <c r="EG52" i="23"/>
  <c r="EE52" i="23"/>
  <c r="ED52" i="23"/>
  <c r="EC52" i="23"/>
  <c r="EB52" i="23"/>
  <c r="EA52" i="23"/>
  <c r="DZ52" i="23"/>
  <c r="DV52" i="23"/>
  <c r="EF52" i="23" s="1"/>
  <c r="DM52" i="23"/>
  <c r="DN52" i="23" s="1"/>
  <c r="DF52" i="23"/>
  <c r="DE52" i="23"/>
  <c r="DD52" i="23"/>
  <c r="DC52" i="23"/>
  <c r="DB52" i="23"/>
  <c r="DA52" i="23"/>
  <c r="CZ52" i="23"/>
  <c r="CY52" i="23"/>
  <c r="CX52" i="23"/>
  <c r="CV52" i="23"/>
  <c r="CK52" i="23"/>
  <c r="BL52" i="23"/>
  <c r="AV52" i="23"/>
  <c r="D52" i="23"/>
  <c r="E74" i="71" s="1"/>
  <c r="C52" i="23"/>
  <c r="D74" i="71" s="1"/>
  <c r="B52" i="23"/>
  <c r="EU51" i="23"/>
  <c r="ET51" i="23"/>
  <c r="ES51" i="23"/>
  <c r="ER51" i="23"/>
  <c r="EQ51" i="23"/>
  <c r="EN51" i="23"/>
  <c r="EO51" i="23" s="1"/>
  <c r="EG51" i="23"/>
  <c r="EE51" i="23"/>
  <c r="ED51" i="23"/>
  <c r="EC51" i="23"/>
  <c r="EB51" i="23"/>
  <c r="EA51" i="23"/>
  <c r="DZ51" i="23"/>
  <c r="DV51" i="23"/>
  <c r="EF51" i="23" s="1"/>
  <c r="DN51" i="23"/>
  <c r="DM51" i="23"/>
  <c r="DF51" i="23"/>
  <c r="DE51" i="23"/>
  <c r="DD51" i="23"/>
  <c r="DC51" i="23"/>
  <c r="DB51" i="23"/>
  <c r="DA51" i="23"/>
  <c r="CZ51" i="23"/>
  <c r="CY51" i="23"/>
  <c r="CX51" i="23"/>
  <c r="CV51" i="23"/>
  <c r="CK51" i="23"/>
  <c r="BL51" i="23"/>
  <c r="AV51" i="23"/>
  <c r="D51" i="23"/>
  <c r="E73" i="71" s="1"/>
  <c r="C51" i="23"/>
  <c r="D73" i="71" s="1"/>
  <c r="B51" i="23"/>
  <c r="C73" i="71" s="1"/>
  <c r="EV50" i="23"/>
  <c r="EU50" i="23"/>
  <c r="ET50" i="23"/>
  <c r="ES50" i="23"/>
  <c r="ER50" i="23"/>
  <c r="EQ50" i="23"/>
  <c r="EO50" i="23"/>
  <c r="EN50" i="23"/>
  <c r="EG50" i="23"/>
  <c r="EE50" i="23"/>
  <c r="ED50" i="23"/>
  <c r="EC50" i="23"/>
  <c r="EB50" i="23"/>
  <c r="EA50" i="23"/>
  <c r="DZ50" i="23"/>
  <c r="DV50" i="23"/>
  <c r="EF50" i="23" s="1"/>
  <c r="DM50" i="23"/>
  <c r="DN50" i="23" s="1"/>
  <c r="DF50" i="23"/>
  <c r="DE50" i="23"/>
  <c r="DD50" i="23"/>
  <c r="DC50" i="23"/>
  <c r="DB50" i="23"/>
  <c r="DA50" i="23"/>
  <c r="CZ50" i="23"/>
  <c r="CY50" i="23"/>
  <c r="CX50" i="23"/>
  <c r="CV50" i="23"/>
  <c r="CK50" i="23"/>
  <c r="BL50" i="23"/>
  <c r="AV50" i="23"/>
  <c r="D50" i="23"/>
  <c r="C50" i="23"/>
  <c r="B50" i="23"/>
  <c r="EU49" i="23"/>
  <c r="ET49" i="23"/>
  <c r="ES49" i="23"/>
  <c r="ER49" i="23"/>
  <c r="EQ49" i="23"/>
  <c r="EN49" i="23"/>
  <c r="EV49" i="23" s="1"/>
  <c r="EG49" i="23"/>
  <c r="EE49" i="23"/>
  <c r="ED49" i="23"/>
  <c r="EC49" i="23"/>
  <c r="EB49" i="23"/>
  <c r="EA49" i="23"/>
  <c r="DZ49" i="23"/>
  <c r="DV49" i="23"/>
  <c r="DX49" i="23" s="1"/>
  <c r="DM49" i="23"/>
  <c r="DN49" i="23" s="1"/>
  <c r="DF49" i="23"/>
  <c r="DE49" i="23"/>
  <c r="DD49" i="23"/>
  <c r="DC49" i="23"/>
  <c r="DB49" i="23"/>
  <c r="DA49" i="23"/>
  <c r="CZ49" i="23"/>
  <c r="CY49" i="23"/>
  <c r="CX49" i="23"/>
  <c r="CV49" i="23"/>
  <c r="CK49" i="23"/>
  <c r="BL49" i="23"/>
  <c r="AV49" i="23"/>
  <c r="D49" i="23"/>
  <c r="E71" i="71" s="1"/>
  <c r="C49" i="23"/>
  <c r="B49" i="23"/>
  <c r="EV48" i="23"/>
  <c r="EU48" i="23"/>
  <c r="ET48" i="23"/>
  <c r="ES48" i="23"/>
  <c r="ER48" i="23"/>
  <c r="EQ48" i="23"/>
  <c r="EO48" i="23"/>
  <c r="EN48" i="23"/>
  <c r="EG48" i="23"/>
  <c r="EE48" i="23"/>
  <c r="ED48" i="23"/>
  <c r="EC48" i="23"/>
  <c r="EB48" i="23"/>
  <c r="EA48" i="23"/>
  <c r="DZ48" i="23"/>
  <c r="DV48" i="23"/>
  <c r="EF48" i="23" s="1"/>
  <c r="DM48" i="23"/>
  <c r="DN48" i="23" s="1"/>
  <c r="DF48" i="23"/>
  <c r="DE48" i="23"/>
  <c r="DD48" i="23"/>
  <c r="DC48" i="23"/>
  <c r="DB48" i="23"/>
  <c r="DA48" i="23"/>
  <c r="CZ48" i="23"/>
  <c r="CY48" i="23"/>
  <c r="CX48" i="23"/>
  <c r="CV48" i="23"/>
  <c r="CK48" i="23"/>
  <c r="BL48" i="23"/>
  <c r="AV48" i="23"/>
  <c r="D48" i="23"/>
  <c r="C48" i="23"/>
  <c r="D70" i="71" s="1"/>
  <c r="B48" i="23"/>
  <c r="C70" i="71" s="1"/>
  <c r="EU47" i="23"/>
  <c r="ET47" i="23"/>
  <c r="ES47" i="23"/>
  <c r="ER47" i="23"/>
  <c r="EQ47" i="23"/>
  <c r="EN47" i="23"/>
  <c r="EV47" i="23" s="1"/>
  <c r="EG47" i="23"/>
  <c r="EE47" i="23"/>
  <c r="ED47" i="23"/>
  <c r="EC47" i="23"/>
  <c r="EB47" i="23"/>
  <c r="EA47" i="23"/>
  <c r="DZ47" i="23"/>
  <c r="DV47" i="23"/>
  <c r="DX47" i="23" s="1"/>
  <c r="DM47" i="23"/>
  <c r="DN47" i="23" s="1"/>
  <c r="DF47" i="23"/>
  <c r="DE47" i="23"/>
  <c r="DD47" i="23"/>
  <c r="DC47" i="23"/>
  <c r="DB47" i="23"/>
  <c r="DA47" i="23"/>
  <c r="CZ47" i="23"/>
  <c r="CY47" i="23"/>
  <c r="CX47" i="23"/>
  <c r="CV47" i="23"/>
  <c r="CK47" i="23"/>
  <c r="BL47" i="23"/>
  <c r="AV47" i="23"/>
  <c r="D47" i="23"/>
  <c r="E69" i="71" s="1"/>
  <c r="C47" i="23"/>
  <c r="B47" i="23"/>
  <c r="C69" i="71" s="1"/>
  <c r="EU46" i="23"/>
  <c r="ET46" i="23"/>
  <c r="ES46" i="23"/>
  <c r="ER46" i="23"/>
  <c r="EQ46" i="23"/>
  <c r="EN46" i="23"/>
  <c r="EV46" i="23" s="1"/>
  <c r="EG46" i="23"/>
  <c r="EE46" i="23"/>
  <c r="ED46" i="23"/>
  <c r="EC46" i="23"/>
  <c r="EB46" i="23"/>
  <c r="EA46" i="23"/>
  <c r="DZ46" i="23"/>
  <c r="DV46" i="23"/>
  <c r="DX46" i="23" s="1"/>
  <c r="DN46" i="23"/>
  <c r="DM46" i="23"/>
  <c r="DF46" i="23"/>
  <c r="DE46" i="23"/>
  <c r="DD46" i="23"/>
  <c r="DC46" i="23"/>
  <c r="DB46" i="23"/>
  <c r="DA46" i="23"/>
  <c r="CZ46" i="23"/>
  <c r="CY46" i="23"/>
  <c r="CX46" i="23"/>
  <c r="CV46" i="23"/>
  <c r="CK46" i="23"/>
  <c r="BL46" i="23"/>
  <c r="AV46" i="23"/>
  <c r="D46" i="23"/>
  <c r="E68" i="71" s="1"/>
  <c r="C46" i="23"/>
  <c r="D68" i="71" s="1"/>
  <c r="B46" i="23"/>
  <c r="C68" i="71" s="1"/>
  <c r="EU45" i="23"/>
  <c r="ET45" i="23"/>
  <c r="ES45" i="23"/>
  <c r="ER45" i="23"/>
  <c r="EQ45" i="23"/>
  <c r="EN45" i="23"/>
  <c r="EO45" i="23" s="1"/>
  <c r="EG45" i="23"/>
  <c r="EE45" i="23"/>
  <c r="ED45" i="23"/>
  <c r="EC45" i="23"/>
  <c r="EB45" i="23"/>
  <c r="EA45" i="23"/>
  <c r="DZ45" i="23"/>
  <c r="DV45" i="23"/>
  <c r="DX45" i="23" s="1"/>
  <c r="DN45" i="23"/>
  <c r="DM45" i="23"/>
  <c r="DF45" i="23"/>
  <c r="DE45" i="23"/>
  <c r="DD45" i="23"/>
  <c r="DC45" i="23"/>
  <c r="DB45" i="23"/>
  <c r="DA45" i="23"/>
  <c r="CZ45" i="23"/>
  <c r="CY45" i="23"/>
  <c r="CX45" i="23"/>
  <c r="CV45" i="23"/>
  <c r="CK45" i="23"/>
  <c r="BL45" i="23"/>
  <c r="AV45" i="23"/>
  <c r="D45" i="23"/>
  <c r="E67" i="71" s="1"/>
  <c r="C45" i="23"/>
  <c r="B45" i="23"/>
  <c r="EU44" i="23"/>
  <c r="ET44" i="23"/>
  <c r="ES44" i="23"/>
  <c r="ER44" i="23"/>
  <c r="EQ44" i="23"/>
  <c r="EN44" i="23"/>
  <c r="EO44" i="23" s="1"/>
  <c r="EG44" i="23"/>
  <c r="EE44" i="23"/>
  <c r="ED44" i="23"/>
  <c r="EC44" i="23"/>
  <c r="EB44" i="23"/>
  <c r="EA44" i="23"/>
  <c r="DZ44" i="23"/>
  <c r="DX44" i="23"/>
  <c r="DV44" i="23"/>
  <c r="EF44" i="23" s="1"/>
  <c r="DM44" i="23"/>
  <c r="DN44" i="23" s="1"/>
  <c r="DF44" i="23"/>
  <c r="DE44" i="23"/>
  <c r="DD44" i="23"/>
  <c r="DC44" i="23"/>
  <c r="DB44" i="23"/>
  <c r="DA44" i="23"/>
  <c r="CZ44" i="23"/>
  <c r="CY44" i="23"/>
  <c r="CX44" i="23"/>
  <c r="CV44" i="23"/>
  <c r="CK44" i="23"/>
  <c r="BL44" i="23"/>
  <c r="AV44" i="23"/>
  <c r="D44" i="23"/>
  <c r="E66" i="71" s="1"/>
  <c r="C44" i="23"/>
  <c r="B44" i="23"/>
  <c r="EU43" i="23"/>
  <c r="ET43" i="23"/>
  <c r="ES43" i="23"/>
  <c r="ER43" i="23"/>
  <c r="EQ43" i="23"/>
  <c r="EN43" i="23"/>
  <c r="EO43" i="23" s="1"/>
  <c r="EG43" i="23"/>
  <c r="EE43" i="23"/>
  <c r="ED43" i="23"/>
  <c r="EC43" i="23"/>
  <c r="EB43" i="23"/>
  <c r="EA43" i="23"/>
  <c r="DZ43" i="23"/>
  <c r="DX43" i="23"/>
  <c r="DV43" i="23"/>
  <c r="EF43" i="23" s="1"/>
  <c r="DM43" i="23"/>
  <c r="DN43" i="23" s="1"/>
  <c r="DF43" i="23"/>
  <c r="DE43" i="23"/>
  <c r="DD43" i="23"/>
  <c r="DC43" i="23"/>
  <c r="DB43" i="23"/>
  <c r="DA43" i="23"/>
  <c r="CZ43" i="23"/>
  <c r="CY43" i="23"/>
  <c r="CX43" i="23"/>
  <c r="CV43" i="23"/>
  <c r="CK43" i="23"/>
  <c r="BL43" i="23"/>
  <c r="AV43" i="23"/>
  <c r="D43" i="23"/>
  <c r="E65" i="71" s="1"/>
  <c r="C43" i="23"/>
  <c r="D65" i="71" s="1"/>
  <c r="B43" i="23"/>
  <c r="C65" i="71" s="1"/>
  <c r="EU42" i="23"/>
  <c r="ET42" i="23"/>
  <c r="ES42" i="23"/>
  <c r="ER42" i="23"/>
  <c r="EQ42" i="23"/>
  <c r="EN42" i="23"/>
  <c r="EO42" i="23" s="1"/>
  <c r="EG42" i="23"/>
  <c r="EE42" i="23"/>
  <c r="ED42" i="23"/>
  <c r="EC42" i="23"/>
  <c r="EB42" i="23"/>
  <c r="EA42" i="23"/>
  <c r="DZ42" i="23"/>
  <c r="DX42" i="23"/>
  <c r="DV42" i="23"/>
  <c r="EF42" i="23" s="1"/>
  <c r="DN42" i="23"/>
  <c r="DM42" i="23"/>
  <c r="DF42" i="23"/>
  <c r="DE42" i="23"/>
  <c r="DD42" i="23"/>
  <c r="DC42" i="23"/>
  <c r="DB42" i="23"/>
  <c r="DA42" i="23"/>
  <c r="CZ42" i="23"/>
  <c r="CY42" i="23"/>
  <c r="CX42" i="23"/>
  <c r="CV42" i="23"/>
  <c r="CK42" i="23"/>
  <c r="BL42" i="23"/>
  <c r="AV42" i="23"/>
  <c r="D42" i="23"/>
  <c r="E64" i="71" s="1"/>
  <c r="C42" i="23"/>
  <c r="D64" i="71" s="1"/>
  <c r="B42" i="23"/>
  <c r="EV41" i="23"/>
  <c r="EU41" i="23"/>
  <c r="ET41" i="23"/>
  <c r="ES41" i="23"/>
  <c r="ER41" i="23"/>
  <c r="EQ41" i="23"/>
  <c r="EO41" i="23"/>
  <c r="EN41" i="23"/>
  <c r="EG41" i="23"/>
  <c r="EE41" i="23"/>
  <c r="ED41" i="23"/>
  <c r="EC41" i="23"/>
  <c r="EB41" i="23"/>
  <c r="EA41" i="23"/>
  <c r="DZ41" i="23"/>
  <c r="DV41" i="23"/>
  <c r="EF41" i="23" s="1"/>
  <c r="DM41" i="23"/>
  <c r="DN41" i="23" s="1"/>
  <c r="DF41" i="23"/>
  <c r="DE41" i="23"/>
  <c r="DD41" i="23"/>
  <c r="DC41" i="23"/>
  <c r="DB41" i="23"/>
  <c r="DA41" i="23"/>
  <c r="CZ41" i="23"/>
  <c r="CY41" i="23"/>
  <c r="CX41" i="23"/>
  <c r="CV41" i="23"/>
  <c r="CK41" i="23"/>
  <c r="BL41" i="23"/>
  <c r="AV41" i="23"/>
  <c r="D41" i="23"/>
  <c r="E63" i="71" s="1"/>
  <c r="C41" i="23"/>
  <c r="D63" i="71" s="1"/>
  <c r="B41" i="23"/>
  <c r="C63" i="71" s="1"/>
  <c r="EU40" i="23"/>
  <c r="ET40" i="23"/>
  <c r="ES40" i="23"/>
  <c r="ER40" i="23"/>
  <c r="EQ40" i="23"/>
  <c r="EN40" i="23"/>
  <c r="EO40" i="23" s="1"/>
  <c r="EG40" i="23"/>
  <c r="EE40" i="23"/>
  <c r="ED40" i="23"/>
  <c r="EC40" i="23"/>
  <c r="EB40" i="23"/>
  <c r="EA40" i="23"/>
  <c r="DZ40" i="23"/>
  <c r="DX40" i="23"/>
  <c r="DV40" i="23"/>
  <c r="EF40" i="23" s="1"/>
  <c r="DM40" i="23"/>
  <c r="DN40" i="23" s="1"/>
  <c r="DF40" i="23"/>
  <c r="DE40" i="23"/>
  <c r="DD40" i="23"/>
  <c r="DC40" i="23"/>
  <c r="DB40" i="23"/>
  <c r="DA40" i="23"/>
  <c r="CZ40" i="23"/>
  <c r="CY40" i="23"/>
  <c r="CX40" i="23"/>
  <c r="CV40" i="23"/>
  <c r="CK40" i="23"/>
  <c r="BL40" i="23"/>
  <c r="AV40" i="23"/>
  <c r="D40" i="23"/>
  <c r="E62" i="71" s="1"/>
  <c r="C40" i="23"/>
  <c r="B40" i="23"/>
  <c r="EU39" i="23"/>
  <c r="ET39" i="23"/>
  <c r="ES39" i="23"/>
  <c r="ER39" i="23"/>
  <c r="EQ39" i="23"/>
  <c r="EN39" i="23"/>
  <c r="EV39" i="23" s="1"/>
  <c r="EW39" i="23" s="1"/>
  <c r="EG39" i="23"/>
  <c r="EE39" i="23"/>
  <c r="ED39" i="23"/>
  <c r="EC39" i="23"/>
  <c r="EB39" i="23"/>
  <c r="EA39" i="23"/>
  <c r="DZ39" i="23"/>
  <c r="DV39" i="23"/>
  <c r="DX39" i="23" s="1"/>
  <c r="DM39" i="23"/>
  <c r="DN39" i="23" s="1"/>
  <c r="DF39" i="23"/>
  <c r="DE39" i="23"/>
  <c r="DD39" i="23"/>
  <c r="DC39" i="23"/>
  <c r="DB39" i="23"/>
  <c r="DA39" i="23"/>
  <c r="CZ39" i="23"/>
  <c r="CY39" i="23"/>
  <c r="CX39" i="23"/>
  <c r="CV39" i="23"/>
  <c r="CK39" i="23"/>
  <c r="BL39" i="23"/>
  <c r="AV39" i="23"/>
  <c r="D39" i="23"/>
  <c r="E61" i="71" s="1"/>
  <c r="C39" i="23"/>
  <c r="B39" i="23"/>
  <c r="EU38" i="23"/>
  <c r="ET38" i="23"/>
  <c r="ES38" i="23"/>
  <c r="ER38" i="23"/>
  <c r="EQ38" i="23"/>
  <c r="EN38" i="23"/>
  <c r="EV38" i="23" s="1"/>
  <c r="EG38" i="23"/>
  <c r="EE38" i="23"/>
  <c r="ED38" i="23"/>
  <c r="EC38" i="23"/>
  <c r="EB38" i="23"/>
  <c r="EA38" i="23"/>
  <c r="DZ38" i="23"/>
  <c r="DV38" i="23"/>
  <c r="DX38" i="23" s="1"/>
  <c r="DN38" i="23"/>
  <c r="DM38" i="23"/>
  <c r="DF38" i="23"/>
  <c r="DE38" i="23"/>
  <c r="DD38" i="23"/>
  <c r="DC38" i="23"/>
  <c r="DB38" i="23"/>
  <c r="DA38" i="23"/>
  <c r="CZ38" i="23"/>
  <c r="CY38" i="23"/>
  <c r="CX38" i="23"/>
  <c r="CV38" i="23"/>
  <c r="CK38" i="23"/>
  <c r="BL38" i="23"/>
  <c r="AV38" i="23"/>
  <c r="D38" i="23"/>
  <c r="E60" i="71" s="1"/>
  <c r="C38" i="23"/>
  <c r="B38" i="23"/>
  <c r="EU37" i="23"/>
  <c r="ET37" i="23"/>
  <c r="ES37" i="23"/>
  <c r="ER37" i="23"/>
  <c r="EQ37" i="23"/>
  <c r="EN37" i="23"/>
  <c r="EO37" i="23" s="1"/>
  <c r="EG37" i="23"/>
  <c r="EE37" i="23"/>
  <c r="ED37" i="23"/>
  <c r="EC37" i="23"/>
  <c r="EB37" i="23"/>
  <c r="EA37" i="23"/>
  <c r="DZ37" i="23"/>
  <c r="DV37" i="23"/>
  <c r="DX37" i="23" s="1"/>
  <c r="DN37" i="23"/>
  <c r="DM37" i="23"/>
  <c r="DF37" i="23"/>
  <c r="DE37" i="23"/>
  <c r="DD37" i="23"/>
  <c r="DC37" i="23"/>
  <c r="DB37" i="23"/>
  <c r="DA37" i="23"/>
  <c r="CZ37" i="23"/>
  <c r="CY37" i="23"/>
  <c r="CX37" i="23"/>
  <c r="CV37" i="23"/>
  <c r="CK37" i="23"/>
  <c r="BL37" i="23"/>
  <c r="AV37" i="23"/>
  <c r="D37" i="23"/>
  <c r="E59" i="71" s="1"/>
  <c r="C37" i="23"/>
  <c r="B37" i="23"/>
  <c r="C59" i="71" s="1"/>
  <c r="EU36" i="23"/>
  <c r="ET36" i="23"/>
  <c r="ES36" i="23"/>
  <c r="ER36" i="23"/>
  <c r="EQ36" i="23"/>
  <c r="EN36" i="23"/>
  <c r="EO36" i="23" s="1"/>
  <c r="EG36" i="23"/>
  <c r="EE36" i="23"/>
  <c r="ED36" i="23"/>
  <c r="EC36" i="23"/>
  <c r="EB36" i="23"/>
  <c r="EA36" i="23"/>
  <c r="DZ36" i="23"/>
  <c r="DX36" i="23"/>
  <c r="DV36" i="23"/>
  <c r="EF36" i="23" s="1"/>
  <c r="DM36" i="23"/>
  <c r="DN36" i="23" s="1"/>
  <c r="DF36" i="23"/>
  <c r="DE36" i="23"/>
  <c r="DD36" i="23"/>
  <c r="DC36" i="23"/>
  <c r="DB36" i="23"/>
  <c r="DA36" i="23"/>
  <c r="CZ36" i="23"/>
  <c r="CY36" i="23"/>
  <c r="CX36" i="23"/>
  <c r="CV36" i="23"/>
  <c r="CK36" i="23"/>
  <c r="BL36" i="23"/>
  <c r="AV36" i="23"/>
  <c r="D36" i="23"/>
  <c r="E58" i="71" s="1"/>
  <c r="C36" i="23"/>
  <c r="D58" i="71" s="1"/>
  <c r="B36" i="23"/>
  <c r="C58" i="71" s="1"/>
  <c r="EU35" i="23"/>
  <c r="ET35" i="23"/>
  <c r="ES35" i="23"/>
  <c r="ER35" i="23"/>
  <c r="EQ35" i="23"/>
  <c r="EN35" i="23"/>
  <c r="EO35" i="23" s="1"/>
  <c r="EG35" i="23"/>
  <c r="EE35" i="23"/>
  <c r="ED35" i="23"/>
  <c r="EC35" i="23"/>
  <c r="EB35" i="23"/>
  <c r="EA35" i="23"/>
  <c r="DZ35" i="23"/>
  <c r="DX35" i="23"/>
  <c r="DV35" i="23"/>
  <c r="EF35" i="23" s="1"/>
  <c r="DM35" i="23"/>
  <c r="DN35" i="23" s="1"/>
  <c r="DF35" i="23"/>
  <c r="DE35" i="23"/>
  <c r="DD35" i="23"/>
  <c r="DC35" i="23"/>
  <c r="DB35" i="23"/>
  <c r="DA35" i="23"/>
  <c r="CZ35" i="23"/>
  <c r="CY35" i="23"/>
  <c r="CX35" i="23"/>
  <c r="CV35" i="23"/>
  <c r="CK35" i="23"/>
  <c r="BL35" i="23"/>
  <c r="AV35" i="23"/>
  <c r="D35" i="23"/>
  <c r="C35" i="23"/>
  <c r="B35" i="23"/>
  <c r="EU34" i="23"/>
  <c r="ET34" i="23"/>
  <c r="ES34" i="23"/>
  <c r="ER34" i="23"/>
  <c r="EQ34" i="23"/>
  <c r="EN34" i="23"/>
  <c r="EO34" i="23" s="1"/>
  <c r="EG34" i="23"/>
  <c r="EE34" i="23"/>
  <c r="ED34" i="23"/>
  <c r="EC34" i="23"/>
  <c r="EB34" i="23"/>
  <c r="EA34" i="23"/>
  <c r="DZ34" i="23"/>
  <c r="DX34" i="23"/>
  <c r="DV34" i="23"/>
  <c r="EF34" i="23" s="1"/>
  <c r="DN34" i="23"/>
  <c r="DM34" i="23"/>
  <c r="DF34" i="23"/>
  <c r="DE34" i="23"/>
  <c r="DD34" i="23"/>
  <c r="DC34" i="23"/>
  <c r="DB34" i="23"/>
  <c r="DA34" i="23"/>
  <c r="CZ34" i="23"/>
  <c r="CY34" i="23"/>
  <c r="CX34" i="23"/>
  <c r="CV34" i="23"/>
  <c r="CK34" i="23"/>
  <c r="BL34" i="23"/>
  <c r="AV34" i="23"/>
  <c r="D34" i="23"/>
  <c r="E56" i="71" s="1"/>
  <c r="C34" i="23"/>
  <c r="B34" i="23"/>
  <c r="C56" i="71" s="1"/>
  <c r="EV33" i="23"/>
  <c r="EU33" i="23"/>
  <c r="ET33" i="23"/>
  <c r="ES33" i="23"/>
  <c r="ER33" i="23"/>
  <c r="EQ33" i="23"/>
  <c r="EO33" i="23"/>
  <c r="EN33" i="23"/>
  <c r="EG33" i="23"/>
  <c r="EE33" i="23"/>
  <c r="ED33" i="23"/>
  <c r="EC33" i="23"/>
  <c r="EB33" i="23"/>
  <c r="EA33" i="23"/>
  <c r="DZ33" i="23"/>
  <c r="DV33" i="23"/>
  <c r="EF33" i="23" s="1"/>
  <c r="DM33" i="23"/>
  <c r="DN33" i="23" s="1"/>
  <c r="DF33" i="23"/>
  <c r="DE33" i="23"/>
  <c r="DD33" i="23"/>
  <c r="DC33" i="23"/>
  <c r="DB33" i="23"/>
  <c r="DA33" i="23"/>
  <c r="CZ33" i="23"/>
  <c r="CY33" i="23"/>
  <c r="CX33" i="23"/>
  <c r="CV33" i="23"/>
  <c r="CK33" i="23"/>
  <c r="BL33" i="23"/>
  <c r="AV33" i="23"/>
  <c r="D33" i="23"/>
  <c r="E55" i="71" s="1"/>
  <c r="C33" i="23"/>
  <c r="B33" i="23"/>
  <c r="EU32" i="23"/>
  <c r="ET32" i="23"/>
  <c r="ES32" i="23"/>
  <c r="ER32" i="23"/>
  <c r="EQ32" i="23"/>
  <c r="EN32" i="23"/>
  <c r="EO32" i="23" s="1"/>
  <c r="EG32" i="23"/>
  <c r="EE32" i="23"/>
  <c r="ED32" i="23"/>
  <c r="EC32" i="23"/>
  <c r="EB32" i="23"/>
  <c r="EA32" i="23"/>
  <c r="DZ32" i="23"/>
  <c r="DX32" i="23"/>
  <c r="DV32" i="23"/>
  <c r="EF32" i="23" s="1"/>
  <c r="DM32" i="23"/>
  <c r="DN32" i="23" s="1"/>
  <c r="DF32" i="23"/>
  <c r="DE32" i="23"/>
  <c r="DD32" i="23"/>
  <c r="DC32" i="23"/>
  <c r="DB32" i="23"/>
  <c r="DA32" i="23"/>
  <c r="CZ32" i="23"/>
  <c r="CY32" i="23"/>
  <c r="CX32" i="23"/>
  <c r="CV32" i="23"/>
  <c r="CK32" i="23"/>
  <c r="BL32" i="23"/>
  <c r="AV32" i="23"/>
  <c r="D32" i="23"/>
  <c r="C32" i="23"/>
  <c r="B32" i="23"/>
  <c r="EU31" i="23"/>
  <c r="ET31" i="23"/>
  <c r="ES31" i="23"/>
  <c r="ER31" i="23"/>
  <c r="EQ31" i="23"/>
  <c r="EW31" i="23" s="1"/>
  <c r="EN31" i="23"/>
  <c r="EV31" i="23" s="1"/>
  <c r="EG31" i="23"/>
  <c r="EE31" i="23"/>
  <c r="ED31" i="23"/>
  <c r="EC31" i="23"/>
  <c r="EB31" i="23"/>
  <c r="EA31" i="23"/>
  <c r="DZ31" i="23"/>
  <c r="DV31" i="23"/>
  <c r="DX31" i="23" s="1"/>
  <c r="DM31" i="23"/>
  <c r="DN31" i="23" s="1"/>
  <c r="DF31" i="23"/>
  <c r="DE31" i="23"/>
  <c r="DD31" i="23"/>
  <c r="DC31" i="23"/>
  <c r="DB31" i="23"/>
  <c r="DA31" i="23"/>
  <c r="CZ31" i="23"/>
  <c r="CY31" i="23"/>
  <c r="CX31" i="23"/>
  <c r="CV31" i="23"/>
  <c r="CK31" i="23"/>
  <c r="BL31" i="23"/>
  <c r="AV31" i="23"/>
  <c r="D31" i="23"/>
  <c r="E53" i="71" s="1"/>
  <c r="C31" i="23"/>
  <c r="D53" i="71" s="1"/>
  <c r="B31" i="23"/>
  <c r="C53" i="71" s="1"/>
  <c r="EU30" i="23"/>
  <c r="ET30" i="23"/>
  <c r="ES30" i="23"/>
  <c r="ER30" i="23"/>
  <c r="EQ30" i="23"/>
  <c r="EO30" i="23"/>
  <c r="EN30" i="23"/>
  <c r="EV30" i="23" s="1"/>
  <c r="EG30" i="23"/>
  <c r="EE30" i="23"/>
  <c r="ED30" i="23"/>
  <c r="EC30" i="23"/>
  <c r="EB30" i="23"/>
  <c r="EA30" i="23"/>
  <c r="DZ30" i="23"/>
  <c r="DV30" i="23"/>
  <c r="DX30" i="23" s="1"/>
  <c r="DM30" i="23"/>
  <c r="DN30" i="23" s="1"/>
  <c r="DF30" i="23"/>
  <c r="DE30" i="23"/>
  <c r="DD30" i="23"/>
  <c r="DC30" i="23"/>
  <c r="DB30" i="23"/>
  <c r="DA30" i="23"/>
  <c r="CZ30" i="23"/>
  <c r="CY30" i="23"/>
  <c r="CX30" i="23"/>
  <c r="CV30" i="23"/>
  <c r="CK30" i="23"/>
  <c r="BL30" i="23"/>
  <c r="AV30" i="23"/>
  <c r="D30" i="23"/>
  <c r="E52" i="71" s="1"/>
  <c r="C30" i="23"/>
  <c r="B30" i="23"/>
  <c r="EU29" i="23"/>
  <c r="ET29" i="23"/>
  <c r="ES29" i="23"/>
  <c r="ER29" i="23"/>
  <c r="EQ29" i="23"/>
  <c r="EN29" i="23"/>
  <c r="EO29" i="23" s="1"/>
  <c r="EG29" i="23"/>
  <c r="EE29" i="23"/>
  <c r="ED29" i="23"/>
  <c r="EC29" i="23"/>
  <c r="EB29" i="23"/>
  <c r="EA29" i="23"/>
  <c r="DZ29" i="23"/>
  <c r="DV29" i="23"/>
  <c r="DX29" i="23" s="1"/>
  <c r="DM29" i="23"/>
  <c r="DN29" i="23" s="1"/>
  <c r="DF29" i="23"/>
  <c r="DE29" i="23"/>
  <c r="DD29" i="23"/>
  <c r="DC29" i="23"/>
  <c r="DB29" i="23"/>
  <c r="DA29" i="23"/>
  <c r="CZ29" i="23"/>
  <c r="CY29" i="23"/>
  <c r="CX29" i="23"/>
  <c r="CV29" i="23"/>
  <c r="CK29" i="23"/>
  <c r="BL29" i="23"/>
  <c r="AV29" i="23"/>
  <c r="D29" i="23"/>
  <c r="E51" i="71" s="1"/>
  <c r="C29" i="23"/>
  <c r="D51" i="71" s="1"/>
  <c r="B29" i="23"/>
  <c r="C51" i="71" s="1"/>
  <c r="EU28" i="23"/>
  <c r="ET28" i="23"/>
  <c r="ES28" i="23"/>
  <c r="ER28" i="23"/>
  <c r="EQ28" i="23"/>
  <c r="EN28" i="23"/>
  <c r="EO28" i="23" s="1"/>
  <c r="EG28" i="23"/>
  <c r="EE28" i="23"/>
  <c r="ED28" i="23"/>
  <c r="EC28" i="23"/>
  <c r="EB28" i="23"/>
  <c r="EA28" i="23"/>
  <c r="DZ28" i="23"/>
  <c r="DX28" i="23"/>
  <c r="DV28" i="23"/>
  <c r="EF28" i="23" s="1"/>
  <c r="DN28" i="23"/>
  <c r="DM28" i="23"/>
  <c r="DF28" i="23"/>
  <c r="DE28" i="23"/>
  <c r="DD28" i="23"/>
  <c r="DC28" i="23"/>
  <c r="DB28" i="23"/>
  <c r="DA28" i="23"/>
  <c r="CZ28" i="23"/>
  <c r="CY28" i="23"/>
  <c r="CX28" i="23"/>
  <c r="CV28" i="23"/>
  <c r="CK28" i="23"/>
  <c r="BL28" i="23"/>
  <c r="AV28" i="23"/>
  <c r="D28" i="23"/>
  <c r="E50" i="71" s="1"/>
  <c r="C28" i="23"/>
  <c r="D50" i="71" s="1"/>
  <c r="B28" i="23"/>
  <c r="EU27" i="23"/>
  <c r="ET27" i="23"/>
  <c r="ES27" i="23"/>
  <c r="ER27" i="23"/>
  <c r="EQ27" i="23"/>
  <c r="EN27" i="23"/>
  <c r="EO27" i="23" s="1"/>
  <c r="EG27" i="23"/>
  <c r="EE27" i="23"/>
  <c r="ED27" i="23"/>
  <c r="EC27" i="23"/>
  <c r="EB27" i="23"/>
  <c r="EA27" i="23"/>
  <c r="DZ27" i="23"/>
  <c r="DV27" i="23"/>
  <c r="EF27" i="23" s="1"/>
  <c r="DM27" i="23"/>
  <c r="DN27" i="23" s="1"/>
  <c r="DF27" i="23"/>
  <c r="DE27" i="23"/>
  <c r="DD27" i="23"/>
  <c r="DC27" i="23"/>
  <c r="DB27" i="23"/>
  <c r="DA27" i="23"/>
  <c r="CZ27" i="23"/>
  <c r="CY27" i="23"/>
  <c r="CX27" i="23"/>
  <c r="CV27" i="23"/>
  <c r="CK27" i="23"/>
  <c r="BL27" i="23"/>
  <c r="AV27" i="23"/>
  <c r="D27" i="23"/>
  <c r="C27" i="23"/>
  <c r="D49" i="71" s="1"/>
  <c r="B27" i="23"/>
  <c r="C49" i="71" s="1"/>
  <c r="EV26" i="23"/>
  <c r="EU26" i="23"/>
  <c r="ET26" i="23"/>
  <c r="ES26" i="23"/>
  <c r="ER26" i="23"/>
  <c r="EQ26" i="23"/>
  <c r="EO26" i="23"/>
  <c r="EN26" i="23"/>
  <c r="EG26" i="23"/>
  <c r="EE26" i="23"/>
  <c r="ED26" i="23"/>
  <c r="EC26" i="23"/>
  <c r="EB26" i="23"/>
  <c r="EA26" i="23"/>
  <c r="DZ26" i="23"/>
  <c r="DV26" i="23"/>
  <c r="EF26" i="23" s="1"/>
  <c r="DM26" i="23"/>
  <c r="DN26" i="23" s="1"/>
  <c r="DF26" i="23"/>
  <c r="DE26" i="23"/>
  <c r="DD26" i="23"/>
  <c r="DC26" i="23"/>
  <c r="DB26" i="23"/>
  <c r="DA26" i="23"/>
  <c r="CZ26" i="23"/>
  <c r="CY26" i="23"/>
  <c r="CX26" i="23"/>
  <c r="CV26" i="23"/>
  <c r="CK26" i="23"/>
  <c r="BL26" i="23"/>
  <c r="AV26" i="23"/>
  <c r="D26" i="23"/>
  <c r="E48" i="71" s="1"/>
  <c r="C26" i="23"/>
  <c r="D48" i="71" s="1"/>
  <c r="B26" i="23"/>
  <c r="EV25" i="23"/>
  <c r="EU25" i="23"/>
  <c r="ET25" i="23"/>
  <c r="ES25" i="23"/>
  <c r="ER25" i="23"/>
  <c r="EQ25" i="23"/>
  <c r="EN25" i="23"/>
  <c r="EO25" i="23" s="1"/>
  <c r="EG25" i="23"/>
  <c r="EE25" i="23"/>
  <c r="ED25" i="23"/>
  <c r="EC25" i="23"/>
  <c r="EB25" i="23"/>
  <c r="EA25" i="23"/>
  <c r="DZ25" i="23"/>
  <c r="DV25" i="23"/>
  <c r="DX25" i="23" s="1"/>
  <c r="DM25" i="23"/>
  <c r="DN25" i="23" s="1"/>
  <c r="DF25" i="23"/>
  <c r="DE25" i="23"/>
  <c r="DD25" i="23"/>
  <c r="DC25" i="23"/>
  <c r="DB25" i="23"/>
  <c r="DA25" i="23"/>
  <c r="CZ25" i="23"/>
  <c r="CY25" i="23"/>
  <c r="CX25" i="23"/>
  <c r="CV25" i="23"/>
  <c r="CK25" i="23"/>
  <c r="BL25" i="23"/>
  <c r="AV25" i="23"/>
  <c r="D25" i="23"/>
  <c r="E47" i="71" s="1"/>
  <c r="C25" i="23"/>
  <c r="B25" i="23"/>
  <c r="EU24" i="23"/>
  <c r="ET24" i="23"/>
  <c r="ES24" i="23"/>
  <c r="ER24" i="23"/>
  <c r="EQ24" i="23"/>
  <c r="EO24" i="23"/>
  <c r="EN24" i="23"/>
  <c r="EV24" i="23" s="1"/>
  <c r="EG24" i="23"/>
  <c r="EE24" i="23"/>
  <c r="ED24" i="23"/>
  <c r="EC24" i="23"/>
  <c r="EB24" i="23"/>
  <c r="EA24" i="23"/>
  <c r="DZ24" i="23"/>
  <c r="DX24" i="23"/>
  <c r="DV24" i="23"/>
  <c r="EF24" i="23" s="1"/>
  <c r="DM24" i="23"/>
  <c r="DN24" i="23" s="1"/>
  <c r="DF24" i="23"/>
  <c r="DE24" i="23"/>
  <c r="DD24" i="23"/>
  <c r="DC24" i="23"/>
  <c r="DB24" i="23"/>
  <c r="DA24" i="23"/>
  <c r="CZ24" i="23"/>
  <c r="CY24" i="23"/>
  <c r="CX24" i="23"/>
  <c r="CV24" i="23"/>
  <c r="CK24" i="23"/>
  <c r="BL24" i="23"/>
  <c r="AV24" i="23"/>
  <c r="D24" i="23"/>
  <c r="C24" i="23"/>
  <c r="B24" i="23"/>
  <c r="EU23" i="23"/>
  <c r="ET23" i="23"/>
  <c r="ES23" i="23"/>
  <c r="ER23" i="23"/>
  <c r="EQ23" i="23"/>
  <c r="EW23" i="23" s="1"/>
  <c r="EN23" i="23"/>
  <c r="EV23" i="23" s="1"/>
  <c r="EG23" i="23"/>
  <c r="EE23" i="23"/>
  <c r="ED23" i="23"/>
  <c r="EC23" i="23"/>
  <c r="EB23" i="23"/>
  <c r="EA23" i="23"/>
  <c r="DZ23" i="23"/>
  <c r="DV23" i="23"/>
  <c r="DX23" i="23" s="1"/>
  <c r="DM23" i="23"/>
  <c r="DN23" i="23" s="1"/>
  <c r="DF23" i="23"/>
  <c r="DE23" i="23"/>
  <c r="DD23" i="23"/>
  <c r="DC23" i="23"/>
  <c r="DB23" i="23"/>
  <c r="DA23" i="23"/>
  <c r="CZ23" i="23"/>
  <c r="CY23" i="23"/>
  <c r="CX23" i="23"/>
  <c r="CV23" i="23"/>
  <c r="CK23" i="23"/>
  <c r="BL23" i="23"/>
  <c r="AV23" i="23"/>
  <c r="D23" i="23"/>
  <c r="C23" i="23"/>
  <c r="D45" i="71" s="1"/>
  <c r="B23" i="23"/>
  <c r="C45" i="71" s="1"/>
  <c r="EU22" i="23"/>
  <c r="ET22" i="23"/>
  <c r="ES22" i="23"/>
  <c r="ER22" i="23"/>
  <c r="EQ22" i="23"/>
  <c r="EO22" i="23"/>
  <c r="EN22" i="23"/>
  <c r="EV22" i="23" s="1"/>
  <c r="EG22" i="23"/>
  <c r="EE22" i="23"/>
  <c r="ED22" i="23"/>
  <c r="EC22" i="23"/>
  <c r="EB22" i="23"/>
  <c r="EA22" i="23"/>
  <c r="DZ22" i="23"/>
  <c r="DV22" i="23"/>
  <c r="DX22" i="23" s="1"/>
  <c r="DM22" i="23"/>
  <c r="DN22" i="23" s="1"/>
  <c r="DF22" i="23"/>
  <c r="DE22" i="23"/>
  <c r="DD22" i="23"/>
  <c r="DC22" i="23"/>
  <c r="DB22" i="23"/>
  <c r="DA22" i="23"/>
  <c r="CZ22" i="23"/>
  <c r="CY22" i="23"/>
  <c r="CX22" i="23"/>
  <c r="CV22" i="23"/>
  <c r="CK22" i="23"/>
  <c r="BL22" i="23"/>
  <c r="AV22" i="23"/>
  <c r="D22" i="23"/>
  <c r="E44" i="71" s="1"/>
  <c r="C22" i="23"/>
  <c r="B22" i="23"/>
  <c r="EU21" i="23"/>
  <c r="ET21" i="23"/>
  <c r="ES21" i="23"/>
  <c r="ER21" i="23"/>
  <c r="EQ21" i="23"/>
  <c r="EN21" i="23"/>
  <c r="EO21" i="23" s="1"/>
  <c r="EG21" i="23"/>
  <c r="EE21" i="23"/>
  <c r="ED21" i="23"/>
  <c r="EC21" i="23"/>
  <c r="EB21" i="23"/>
  <c r="EA21" i="23"/>
  <c r="DZ21" i="23"/>
  <c r="DV21" i="23"/>
  <c r="EF21" i="23" s="1"/>
  <c r="DM21" i="23"/>
  <c r="DN21" i="23" s="1"/>
  <c r="DF21" i="23"/>
  <c r="DE21" i="23"/>
  <c r="DD21" i="23"/>
  <c r="DC21" i="23"/>
  <c r="DB21" i="23"/>
  <c r="DA21" i="23"/>
  <c r="CZ21" i="23"/>
  <c r="CY21" i="23"/>
  <c r="CX21" i="23"/>
  <c r="CV21" i="23"/>
  <c r="CK21" i="23"/>
  <c r="BL21" i="23"/>
  <c r="AV21" i="23"/>
  <c r="D21" i="23"/>
  <c r="E43" i="71" s="1"/>
  <c r="C21" i="23"/>
  <c r="B21" i="23"/>
  <c r="C43" i="71" s="1"/>
  <c r="EV20" i="23"/>
  <c r="EU20" i="23"/>
  <c r="ET20" i="23"/>
  <c r="ES20" i="23"/>
  <c r="ER20" i="23"/>
  <c r="EQ20" i="23"/>
  <c r="EN20" i="23"/>
  <c r="EO20" i="23" s="1"/>
  <c r="EG20" i="23"/>
  <c r="EE20" i="23"/>
  <c r="ED20" i="23"/>
  <c r="EC20" i="23"/>
  <c r="EB20" i="23"/>
  <c r="EA20" i="23"/>
  <c r="DZ20" i="23"/>
  <c r="DV20" i="23"/>
  <c r="EF20" i="23" s="1"/>
  <c r="DM20" i="23"/>
  <c r="DN20" i="23" s="1"/>
  <c r="DF20" i="23"/>
  <c r="DE20" i="23"/>
  <c r="DD20" i="23"/>
  <c r="DC20" i="23"/>
  <c r="DB20" i="23"/>
  <c r="DA20" i="23"/>
  <c r="CZ20" i="23"/>
  <c r="CY20" i="23"/>
  <c r="CX20" i="23"/>
  <c r="CV20" i="23"/>
  <c r="CK20" i="23"/>
  <c r="BL20" i="23"/>
  <c r="AV20" i="23"/>
  <c r="D20" i="23"/>
  <c r="E42" i="71" s="1"/>
  <c r="C20" i="23"/>
  <c r="D42" i="71" s="1"/>
  <c r="B20" i="23"/>
  <c r="C42" i="71" s="1"/>
  <c r="EU19" i="23"/>
  <c r="ET19" i="23"/>
  <c r="ES19" i="23"/>
  <c r="ER19" i="23"/>
  <c r="EQ19" i="23"/>
  <c r="EN19" i="23"/>
  <c r="EO19" i="23" s="1"/>
  <c r="EG19" i="23"/>
  <c r="EE19" i="23"/>
  <c r="ED19" i="23"/>
  <c r="EC19" i="23"/>
  <c r="EB19" i="23"/>
  <c r="EA19" i="23"/>
  <c r="DZ19" i="23"/>
  <c r="DX19" i="23"/>
  <c r="DV19" i="23"/>
  <c r="EF19" i="23" s="1"/>
  <c r="DM19" i="23"/>
  <c r="DN19" i="23" s="1"/>
  <c r="DF19" i="23"/>
  <c r="DE19" i="23"/>
  <c r="DD19" i="23"/>
  <c r="DC19" i="23"/>
  <c r="DB19" i="23"/>
  <c r="DA19" i="23"/>
  <c r="CZ19" i="23"/>
  <c r="CY19" i="23"/>
  <c r="CX19" i="23"/>
  <c r="CV19" i="23"/>
  <c r="CK19" i="23"/>
  <c r="BL19" i="23"/>
  <c r="AV19" i="23"/>
  <c r="D19" i="23"/>
  <c r="E41" i="71" s="1"/>
  <c r="C19" i="23"/>
  <c r="D41" i="71" s="1"/>
  <c r="B19" i="23"/>
  <c r="C41" i="71" s="1"/>
  <c r="EU18" i="23"/>
  <c r="ET18" i="23"/>
  <c r="ES18" i="23"/>
  <c r="ER18" i="23"/>
  <c r="EQ18" i="23"/>
  <c r="EN18" i="23"/>
  <c r="EO18" i="23" s="1"/>
  <c r="EG18" i="23"/>
  <c r="EE18" i="23"/>
  <c r="ED18" i="23"/>
  <c r="EC18" i="23"/>
  <c r="EB18" i="23"/>
  <c r="EA18" i="23"/>
  <c r="DZ18" i="23"/>
  <c r="DX18" i="23"/>
  <c r="DV18" i="23"/>
  <c r="EF18" i="23" s="1"/>
  <c r="DM18" i="23"/>
  <c r="DN18" i="23" s="1"/>
  <c r="DF18" i="23"/>
  <c r="DE18" i="23"/>
  <c r="DD18" i="23"/>
  <c r="DC18" i="23"/>
  <c r="DB18" i="23"/>
  <c r="DA18" i="23"/>
  <c r="CZ18" i="23"/>
  <c r="CY18" i="23"/>
  <c r="CX18" i="23"/>
  <c r="CV18" i="23"/>
  <c r="CK18" i="23"/>
  <c r="BL18" i="23"/>
  <c r="AV18" i="23"/>
  <c r="D18" i="23"/>
  <c r="E40" i="71" s="1"/>
  <c r="C18" i="23"/>
  <c r="D40" i="71" s="1"/>
  <c r="B18" i="23"/>
  <c r="C40" i="71" s="1"/>
  <c r="EU17" i="23"/>
  <c r="ET17" i="23"/>
  <c r="ES17" i="23"/>
  <c r="ER17" i="23"/>
  <c r="EQ17" i="23"/>
  <c r="EN17" i="23"/>
  <c r="EO17" i="23" s="1"/>
  <c r="EG17" i="23"/>
  <c r="EE17" i="23"/>
  <c r="ED17" i="23"/>
  <c r="EC17" i="23"/>
  <c r="EB17" i="23"/>
  <c r="EA17" i="23"/>
  <c r="DZ17" i="23"/>
  <c r="DV17" i="23"/>
  <c r="DX17" i="23" s="1"/>
  <c r="DM17" i="23"/>
  <c r="DN17" i="23" s="1"/>
  <c r="DF17" i="23"/>
  <c r="DE17" i="23"/>
  <c r="DD17" i="23"/>
  <c r="DC17" i="23"/>
  <c r="DB17" i="23"/>
  <c r="DA17" i="23"/>
  <c r="CZ17" i="23"/>
  <c r="CY17" i="23"/>
  <c r="CX17" i="23"/>
  <c r="CV17" i="23"/>
  <c r="CK17" i="23"/>
  <c r="BL17" i="23"/>
  <c r="AV17" i="23"/>
  <c r="D17" i="23"/>
  <c r="E39" i="71" s="1"/>
  <c r="C17" i="23"/>
  <c r="B17" i="23"/>
  <c r="EV16" i="23"/>
  <c r="EU16" i="23"/>
  <c r="ET16" i="23"/>
  <c r="ES16" i="23"/>
  <c r="ER16" i="23"/>
  <c r="EQ16" i="23"/>
  <c r="EO16" i="23"/>
  <c r="EN16" i="23"/>
  <c r="EG16" i="23"/>
  <c r="EE16" i="23"/>
  <c r="ED16" i="23"/>
  <c r="EC16" i="23"/>
  <c r="EB16" i="23"/>
  <c r="EA16" i="23"/>
  <c r="DZ16" i="23"/>
  <c r="DV16" i="23"/>
  <c r="EF16" i="23" s="1"/>
  <c r="DM16" i="23"/>
  <c r="DN16" i="23" s="1"/>
  <c r="DF16" i="23"/>
  <c r="DE16" i="23"/>
  <c r="DD16" i="23"/>
  <c r="DC16" i="23"/>
  <c r="DB16" i="23"/>
  <c r="DA16" i="23"/>
  <c r="CZ16" i="23"/>
  <c r="CY16" i="23"/>
  <c r="CX16" i="23"/>
  <c r="CV16" i="23"/>
  <c r="CK16" i="23"/>
  <c r="BL16" i="23"/>
  <c r="AV16" i="23"/>
  <c r="D16" i="23"/>
  <c r="C16" i="23"/>
  <c r="D38" i="71" s="1"/>
  <c r="B16" i="23"/>
  <c r="C38" i="71" s="1"/>
  <c r="EU15" i="23"/>
  <c r="ET15" i="23"/>
  <c r="ES15" i="23"/>
  <c r="ER15" i="23"/>
  <c r="EW15" i="23" s="1"/>
  <c r="EQ15" i="23"/>
  <c r="EO15" i="23"/>
  <c r="EN15" i="23"/>
  <c r="EV15" i="23" s="1"/>
  <c r="EG15" i="23"/>
  <c r="EE15" i="23"/>
  <c r="ED15" i="23"/>
  <c r="EC15" i="23"/>
  <c r="EB15" i="23"/>
  <c r="EA15" i="23"/>
  <c r="DZ15" i="23"/>
  <c r="DV15" i="23"/>
  <c r="DX15" i="23" s="1"/>
  <c r="DM15" i="23"/>
  <c r="DN15" i="23" s="1"/>
  <c r="DF15" i="23"/>
  <c r="DE15" i="23"/>
  <c r="DD15" i="23"/>
  <c r="DC15" i="23"/>
  <c r="DB15" i="23"/>
  <c r="DA15" i="23"/>
  <c r="CZ15" i="23"/>
  <c r="CY15" i="23"/>
  <c r="CX15" i="23"/>
  <c r="CV15" i="23"/>
  <c r="CK15" i="23"/>
  <c r="BL15" i="23"/>
  <c r="AV15" i="23"/>
  <c r="D15" i="23"/>
  <c r="E37" i="71" s="1"/>
  <c r="C15" i="23"/>
  <c r="D37" i="71" s="1"/>
  <c r="B15" i="23"/>
  <c r="C37" i="71" s="1"/>
  <c r="EU14" i="23"/>
  <c r="ET14" i="23"/>
  <c r="ES14" i="23"/>
  <c r="ER14" i="23"/>
  <c r="EQ14" i="23"/>
  <c r="EO14" i="23"/>
  <c r="EN14" i="23"/>
  <c r="EV14" i="23" s="1"/>
  <c r="EG14" i="23"/>
  <c r="EF14" i="23"/>
  <c r="EE14" i="23"/>
  <c r="ED14" i="23"/>
  <c r="EC14" i="23"/>
  <c r="EB14" i="23"/>
  <c r="EA14" i="23"/>
  <c r="DZ14" i="23"/>
  <c r="DV14" i="23"/>
  <c r="DX14" i="23" s="1"/>
  <c r="DN14" i="23"/>
  <c r="DM14" i="23"/>
  <c r="DF14" i="23"/>
  <c r="DE14" i="23"/>
  <c r="DD14" i="23"/>
  <c r="DC14" i="23"/>
  <c r="DB14" i="23"/>
  <c r="DA14" i="23"/>
  <c r="CZ14" i="23"/>
  <c r="CY14" i="23"/>
  <c r="CX14" i="23"/>
  <c r="CV14" i="23"/>
  <c r="CK14" i="23"/>
  <c r="BL14" i="23"/>
  <c r="AV14" i="23"/>
  <c r="D14" i="23"/>
  <c r="E36" i="71" s="1"/>
  <c r="C14" i="23"/>
  <c r="D36" i="71" s="1"/>
  <c r="B14" i="23"/>
  <c r="C36" i="71" s="1"/>
  <c r="EU13" i="23"/>
  <c r="ET13" i="23"/>
  <c r="ES13" i="23"/>
  <c r="ER13" i="23"/>
  <c r="EQ13" i="23"/>
  <c r="EN13" i="23"/>
  <c r="EO13" i="23" s="1"/>
  <c r="EG13" i="23"/>
  <c r="EE13" i="23"/>
  <c r="ED13" i="23"/>
  <c r="EC13" i="23"/>
  <c r="EB13" i="23"/>
  <c r="EA13" i="23"/>
  <c r="DZ13" i="23"/>
  <c r="DV13" i="23"/>
  <c r="EF13" i="23" s="1"/>
  <c r="DM13" i="23"/>
  <c r="DN13" i="23" s="1"/>
  <c r="DF13" i="23"/>
  <c r="DE13" i="23"/>
  <c r="DD13" i="23"/>
  <c r="DC13" i="23"/>
  <c r="DB13" i="23"/>
  <c r="DA13" i="23"/>
  <c r="CZ13" i="23"/>
  <c r="CY13" i="23"/>
  <c r="CX13" i="23"/>
  <c r="CV13" i="23"/>
  <c r="CK13" i="23"/>
  <c r="BL13" i="23"/>
  <c r="AV13" i="23"/>
  <c r="D13" i="23"/>
  <c r="E35" i="71" s="1"/>
  <c r="C13" i="23"/>
  <c r="B13" i="23"/>
  <c r="C35" i="71" s="1"/>
  <c r="EU12" i="23"/>
  <c r="ET12" i="23"/>
  <c r="ES12" i="23"/>
  <c r="ER12" i="23"/>
  <c r="EQ12" i="23"/>
  <c r="EN12" i="23"/>
  <c r="EO12" i="23" s="1"/>
  <c r="EG12" i="23"/>
  <c r="EE12" i="23"/>
  <c r="ED12" i="23"/>
  <c r="EC12" i="23"/>
  <c r="EB12" i="23"/>
  <c r="EA12" i="23"/>
  <c r="DZ12" i="23"/>
  <c r="DX12" i="23"/>
  <c r="DV12" i="23"/>
  <c r="EF12" i="23" s="1"/>
  <c r="DM12" i="23"/>
  <c r="DN12" i="23" s="1"/>
  <c r="DF12" i="23"/>
  <c r="DE12" i="23"/>
  <c r="DD12" i="23"/>
  <c r="DC12" i="23"/>
  <c r="DB12" i="23"/>
  <c r="DA12" i="23"/>
  <c r="CZ12" i="23"/>
  <c r="CY12" i="23"/>
  <c r="CX12" i="23"/>
  <c r="CV12" i="23"/>
  <c r="CK12" i="23"/>
  <c r="BL12" i="23"/>
  <c r="AV12" i="23"/>
  <c r="D12" i="23"/>
  <c r="E34" i="71" s="1"/>
  <c r="B12" i="23"/>
  <c r="EV11" i="23"/>
  <c r="EU11" i="23"/>
  <c r="ET11" i="23"/>
  <c r="ES11" i="23"/>
  <c r="ER11" i="23"/>
  <c r="EQ11" i="23"/>
  <c r="EW11" i="23" s="1"/>
  <c r="EO11" i="23"/>
  <c r="EN11" i="23"/>
  <c r="EG11" i="23"/>
  <c r="EE11" i="23"/>
  <c r="ED11" i="23"/>
  <c r="EC11" i="23"/>
  <c r="EB11" i="23"/>
  <c r="EA11" i="23"/>
  <c r="DZ11" i="23"/>
  <c r="DV11" i="23"/>
  <c r="EF11" i="23" s="1"/>
  <c r="DM11" i="23"/>
  <c r="DN11" i="23" s="1"/>
  <c r="DF11" i="23"/>
  <c r="DE11" i="23"/>
  <c r="DD11" i="23"/>
  <c r="DC11" i="23"/>
  <c r="DB11" i="23"/>
  <c r="DA11" i="23"/>
  <c r="CZ11" i="23"/>
  <c r="CY11" i="23"/>
  <c r="CX11" i="23"/>
  <c r="CV11" i="23"/>
  <c r="CK11" i="23"/>
  <c r="BL11" i="23"/>
  <c r="AV11" i="23"/>
  <c r="D11" i="23"/>
  <c r="E33" i="71" s="1"/>
  <c r="C11" i="23"/>
  <c r="D33" i="71" s="1"/>
  <c r="B11" i="23"/>
  <c r="EU10" i="23"/>
  <c r="ET10" i="23"/>
  <c r="ES10" i="23"/>
  <c r="ER10" i="23"/>
  <c r="EQ10" i="23"/>
  <c r="EN10" i="23"/>
  <c r="EV10" i="23" s="1"/>
  <c r="EG10" i="23"/>
  <c r="EE10" i="23"/>
  <c r="ED10" i="23"/>
  <c r="EC10" i="23"/>
  <c r="EB10" i="23"/>
  <c r="EA10" i="23"/>
  <c r="DZ10" i="23"/>
  <c r="DV10" i="23"/>
  <c r="DX10" i="23" s="1"/>
  <c r="DM10" i="23"/>
  <c r="DN10" i="23" s="1"/>
  <c r="DF10" i="23"/>
  <c r="DE10" i="23"/>
  <c r="DD10" i="23"/>
  <c r="DC10" i="23"/>
  <c r="DB10" i="23"/>
  <c r="DA10" i="23"/>
  <c r="CZ10" i="23"/>
  <c r="CY10" i="23"/>
  <c r="CX10" i="23"/>
  <c r="CV10" i="23"/>
  <c r="CK10" i="23"/>
  <c r="BL10" i="23"/>
  <c r="AV10" i="23"/>
  <c r="D10" i="23"/>
  <c r="E32" i="71" s="1"/>
  <c r="C10" i="23"/>
  <c r="D32" i="71" s="1"/>
  <c r="B10" i="23"/>
  <c r="EU9" i="23"/>
  <c r="ET9" i="23"/>
  <c r="ES9" i="23"/>
  <c r="ER9" i="23"/>
  <c r="EQ9" i="23"/>
  <c r="EN9" i="23"/>
  <c r="EV9" i="23" s="1"/>
  <c r="EG9" i="23"/>
  <c r="EF9" i="23"/>
  <c r="EE9" i="23"/>
  <c r="ED9" i="23"/>
  <c r="EC9" i="23"/>
  <c r="EB9" i="23"/>
  <c r="EA9" i="23"/>
  <c r="DZ9" i="23"/>
  <c r="DV9" i="23"/>
  <c r="DX9" i="23" s="1"/>
  <c r="DN9" i="23"/>
  <c r="DM9" i="23"/>
  <c r="DF9" i="23"/>
  <c r="DE9" i="23"/>
  <c r="DD9" i="23"/>
  <c r="DC9" i="23"/>
  <c r="DB9" i="23"/>
  <c r="DA9" i="23"/>
  <c r="CZ9" i="23"/>
  <c r="CY9" i="23"/>
  <c r="CX9" i="23"/>
  <c r="CV9" i="23"/>
  <c r="CK9" i="23"/>
  <c r="BL9" i="23"/>
  <c r="AV9" i="23"/>
  <c r="Z9" i="23"/>
  <c r="F31" i="71" s="1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D9" i="23"/>
  <c r="E31" i="71" s="1"/>
  <c r="C9" i="23"/>
  <c r="B9" i="23"/>
  <c r="EV8" i="23"/>
  <c r="EU8" i="23"/>
  <c r="ET8" i="23"/>
  <c r="ES8" i="23"/>
  <c r="ER8" i="23"/>
  <c r="EQ8" i="23"/>
  <c r="EN8" i="23"/>
  <c r="EO8" i="23" s="1"/>
  <c r="EG8" i="23"/>
  <c r="EE8" i="23"/>
  <c r="ED8" i="23"/>
  <c r="EC8" i="23"/>
  <c r="EB8" i="23"/>
  <c r="EA8" i="23"/>
  <c r="DZ8" i="23"/>
  <c r="DV8" i="23"/>
  <c r="EF8" i="23" s="1"/>
  <c r="DM8" i="23"/>
  <c r="DN8" i="23" s="1"/>
  <c r="DF8" i="23"/>
  <c r="DE8" i="23"/>
  <c r="DD8" i="23"/>
  <c r="DC8" i="23"/>
  <c r="DB8" i="23"/>
  <c r="DA8" i="23"/>
  <c r="CZ8" i="23"/>
  <c r="CY8" i="23"/>
  <c r="CX8" i="23"/>
  <c r="CV8" i="23"/>
  <c r="CK8" i="23"/>
  <c r="BL8" i="23"/>
  <c r="AV8" i="23"/>
  <c r="D8" i="23"/>
  <c r="E30" i="71" s="1"/>
  <c r="C8" i="23"/>
  <c r="B8" i="23"/>
  <c r="EW7" i="23"/>
  <c r="EO7" i="23"/>
  <c r="DX7" i="23"/>
  <c r="DN7" i="23"/>
  <c r="CV7" i="23"/>
  <c r="CK7" i="23"/>
  <c r="BL7" i="23"/>
  <c r="AV7" i="23"/>
  <c r="D7" i="23"/>
  <c r="E29" i="71" s="1"/>
  <c r="B7" i="23"/>
  <c r="EU6" i="23"/>
  <c r="ET6" i="23"/>
  <c r="ES6" i="23"/>
  <c r="ER6" i="23"/>
  <c r="EQ6" i="23"/>
  <c r="EN6" i="23"/>
  <c r="EO6" i="23" s="1"/>
  <c r="EG6" i="23"/>
  <c r="EE6" i="23"/>
  <c r="ED6" i="23"/>
  <c r="EC6" i="23"/>
  <c r="EB6" i="23"/>
  <c r="EA6" i="23"/>
  <c r="DZ6" i="23"/>
  <c r="DV6" i="23"/>
  <c r="DX6" i="23" s="1"/>
  <c r="DM6" i="23"/>
  <c r="DN6" i="23" s="1"/>
  <c r="DF6" i="23"/>
  <c r="DE6" i="23"/>
  <c r="DD6" i="23"/>
  <c r="DC6" i="23"/>
  <c r="DB6" i="23"/>
  <c r="DA6" i="23"/>
  <c r="CZ6" i="23"/>
  <c r="CY6" i="23"/>
  <c r="CX6" i="23"/>
  <c r="CV6" i="23"/>
  <c r="CK6" i="23"/>
  <c r="BL6" i="23"/>
  <c r="AV6" i="23"/>
  <c r="D6" i="23"/>
  <c r="E28" i="71" s="1"/>
  <c r="C6" i="23"/>
  <c r="B6" i="23"/>
  <c r="EU5" i="23"/>
  <c r="ET5" i="23"/>
  <c r="ES5" i="23"/>
  <c r="ER5" i="23"/>
  <c r="EQ5" i="23"/>
  <c r="EN5" i="23"/>
  <c r="EO5" i="23" s="1"/>
  <c r="EG5" i="23"/>
  <c r="EE5" i="23"/>
  <c r="ED5" i="23"/>
  <c r="EC5" i="23"/>
  <c r="EB5" i="23"/>
  <c r="EA5" i="23"/>
  <c r="DZ5" i="23"/>
  <c r="DX5" i="23"/>
  <c r="DV5" i="23"/>
  <c r="EF5" i="23" s="1"/>
  <c r="DN5" i="23"/>
  <c r="DM5" i="23"/>
  <c r="DF5" i="23"/>
  <c r="DE5" i="23"/>
  <c r="DD5" i="23"/>
  <c r="DC5" i="23"/>
  <c r="DB5" i="23"/>
  <c r="DA5" i="23"/>
  <c r="CZ5" i="23"/>
  <c r="CY5" i="23"/>
  <c r="CX5" i="23"/>
  <c r="CV5" i="23"/>
  <c r="CK5" i="23"/>
  <c r="BL5" i="23"/>
  <c r="AV5" i="23"/>
  <c r="D5" i="23"/>
  <c r="E27" i="71" s="1"/>
  <c r="C5" i="23"/>
  <c r="B5" i="23"/>
  <c r="EU4" i="23"/>
  <c r="ET4" i="23"/>
  <c r="ES4" i="23"/>
  <c r="ER4" i="23"/>
  <c r="EQ4" i="23"/>
  <c r="EN4" i="23"/>
  <c r="EO4" i="23" s="1"/>
  <c r="EG4" i="23"/>
  <c r="EE4" i="23"/>
  <c r="ED4" i="23"/>
  <c r="EC4" i="23"/>
  <c r="EB4" i="23"/>
  <c r="EA4" i="23"/>
  <c r="DZ4" i="23"/>
  <c r="DV4" i="23"/>
  <c r="EF4" i="23" s="1"/>
  <c r="DM4" i="23"/>
  <c r="DN4" i="23" s="1"/>
  <c r="DF4" i="23"/>
  <c r="DE4" i="23"/>
  <c r="DD4" i="23"/>
  <c r="DC4" i="23"/>
  <c r="DB4" i="23"/>
  <c r="DA4" i="23"/>
  <c r="CZ4" i="23"/>
  <c r="CY4" i="23"/>
  <c r="CX4" i="23"/>
  <c r="CV4" i="23"/>
  <c r="CK4" i="23"/>
  <c r="BL4" i="23"/>
  <c r="AV4" i="23"/>
  <c r="D4" i="23"/>
  <c r="E26" i="71" s="1"/>
  <c r="C4" i="23"/>
  <c r="B4" i="23"/>
  <c r="EU3" i="23"/>
  <c r="ET3" i="23"/>
  <c r="ER3" i="23"/>
  <c r="EQ3" i="23"/>
  <c r="EN3" i="23"/>
  <c r="EM3" i="23"/>
  <c r="EL3" i="23"/>
  <c r="EK3" i="23"/>
  <c r="EJ3" i="23"/>
  <c r="EI3" i="23"/>
  <c r="DW3" i="23"/>
  <c r="DV3" i="23"/>
  <c r="DU3" i="23"/>
  <c r="DT3" i="23"/>
  <c r="DS3" i="23"/>
  <c r="DP3" i="23"/>
  <c r="DM3" i="23"/>
  <c r="DL3" i="23"/>
  <c r="DK3" i="23"/>
  <c r="DJ3" i="23"/>
  <c r="DI3" i="23"/>
  <c r="DH3" i="23"/>
  <c r="DF3" i="23"/>
  <c r="DE3" i="23"/>
  <c r="DD3" i="23"/>
  <c r="DC3" i="23"/>
  <c r="DB3" i="23"/>
  <c r="DA3" i="23"/>
  <c r="CZ3" i="23"/>
  <c r="CY3" i="23"/>
  <c r="CX3" i="23"/>
  <c r="CU3" i="23"/>
  <c r="CT3" i="23"/>
  <c r="CS3" i="23"/>
  <c r="CR3" i="23"/>
  <c r="CQ3" i="23"/>
  <c r="CP3" i="23"/>
  <c r="CO3" i="23"/>
  <c r="CN3" i="23"/>
  <c r="CM3" i="23"/>
  <c r="BK3" i="23"/>
  <c r="BJ3" i="23"/>
  <c r="BI3" i="23"/>
  <c r="BH3" i="23"/>
  <c r="BG3" i="23"/>
  <c r="BF3" i="23"/>
  <c r="BE3" i="23"/>
  <c r="BD3" i="23"/>
  <c r="BC3" i="23"/>
  <c r="BB3" i="23"/>
  <c r="BA3" i="23"/>
  <c r="AZ3" i="23"/>
  <c r="AY3" i="23"/>
  <c r="AX3" i="23"/>
  <c r="AU3" i="23"/>
  <c r="AT3" i="23"/>
  <c r="AS3" i="23"/>
  <c r="AR3" i="23"/>
  <c r="AQ3" i="23"/>
  <c r="AP3" i="23"/>
  <c r="AO3" i="23"/>
  <c r="AN3" i="23"/>
  <c r="AM3" i="23"/>
  <c r="AL3" i="23"/>
  <c r="AK3" i="23"/>
  <c r="AJ3" i="23"/>
  <c r="AI3" i="23"/>
  <c r="AH3" i="23"/>
  <c r="AG3" i="23"/>
  <c r="F21" i="60"/>
  <c r="E21" i="60"/>
  <c r="F19" i="60"/>
  <c r="E19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T9" i="60"/>
  <c r="S9" i="60"/>
  <c r="R9" i="60"/>
  <c r="Q9" i="60"/>
  <c r="P9" i="60"/>
  <c r="O9" i="60"/>
  <c r="N9" i="60"/>
  <c r="M9" i="60"/>
  <c r="L9" i="60"/>
  <c r="K9" i="60"/>
  <c r="J9" i="60"/>
  <c r="I9" i="60"/>
  <c r="T8" i="60"/>
  <c r="S8" i="60"/>
  <c r="R8" i="60"/>
  <c r="Q8" i="60"/>
  <c r="P8" i="60"/>
  <c r="O8" i="60"/>
  <c r="N8" i="60"/>
  <c r="M8" i="60"/>
  <c r="L8" i="60"/>
  <c r="K8" i="60"/>
  <c r="J8" i="60"/>
  <c r="I8" i="60"/>
  <c r="T7" i="60"/>
  <c r="S7" i="60"/>
  <c r="R7" i="60"/>
  <c r="Q7" i="60"/>
  <c r="P7" i="60"/>
  <c r="O7" i="60"/>
  <c r="N7" i="60"/>
  <c r="M7" i="60"/>
  <c r="L7" i="60"/>
  <c r="K7" i="60"/>
  <c r="J7" i="60"/>
  <c r="I7" i="60"/>
  <c r="T6" i="60"/>
  <c r="S6" i="60"/>
  <c r="R6" i="60"/>
  <c r="Q6" i="60"/>
  <c r="P6" i="60"/>
  <c r="O6" i="60"/>
  <c r="N6" i="60"/>
  <c r="M6" i="60"/>
  <c r="L6" i="60"/>
  <c r="K6" i="60"/>
  <c r="J6" i="60"/>
  <c r="I6" i="60"/>
  <c r="T5" i="60"/>
  <c r="S5" i="60"/>
  <c r="R5" i="60"/>
  <c r="Q5" i="60"/>
  <c r="P5" i="60"/>
  <c r="O5" i="60"/>
  <c r="N5" i="60"/>
  <c r="M5" i="60"/>
  <c r="L5" i="60"/>
  <c r="K5" i="60"/>
  <c r="J5" i="60"/>
  <c r="I5" i="60"/>
  <c r="T4" i="60"/>
  <c r="S4" i="60"/>
  <c r="R4" i="60"/>
  <c r="Q4" i="60"/>
  <c r="P4" i="60"/>
  <c r="O4" i="60"/>
  <c r="N4" i="60"/>
  <c r="M4" i="60"/>
  <c r="L4" i="60"/>
  <c r="K4" i="60"/>
  <c r="J4" i="60"/>
  <c r="I4" i="60"/>
  <c r="T3" i="60"/>
  <c r="S3" i="60"/>
  <c r="R3" i="60"/>
  <c r="Q3" i="60"/>
  <c r="P3" i="60"/>
  <c r="O3" i="60"/>
  <c r="N3" i="60"/>
  <c r="M3" i="60"/>
  <c r="L3" i="60"/>
  <c r="K3" i="60"/>
  <c r="J3" i="60"/>
  <c r="I3" i="60"/>
  <c r="T2" i="60"/>
  <c r="S2" i="60"/>
  <c r="R2" i="60"/>
  <c r="Q2" i="60"/>
  <c r="P2" i="60"/>
  <c r="O2" i="60"/>
  <c r="N2" i="60"/>
  <c r="M2" i="60"/>
  <c r="L2" i="60"/>
  <c r="K2" i="60"/>
  <c r="J2" i="60"/>
  <c r="I2" i="60"/>
  <c r="U70" i="49"/>
  <c r="M97" i="49" s="1"/>
  <c r="T70" i="49"/>
  <c r="M96" i="49" s="1"/>
  <c r="S70" i="49"/>
  <c r="M95" i="49" s="1"/>
  <c r="Q70" i="49"/>
  <c r="M93" i="49" s="1"/>
  <c r="O70" i="49"/>
  <c r="K70" i="49"/>
  <c r="E70" i="49"/>
  <c r="M83" i="49" s="1"/>
  <c r="T68" i="49"/>
  <c r="I96" i="49" s="1"/>
  <c r="S68" i="49"/>
  <c r="I95" i="49" s="1"/>
  <c r="C30" i="49"/>
  <c r="B30" i="49"/>
  <c r="A30" i="49"/>
  <c r="A28" i="49"/>
  <c r="C27" i="49"/>
  <c r="O101" i="49" s="1"/>
  <c r="B27" i="49"/>
  <c r="A27" i="49"/>
  <c r="B26" i="49"/>
  <c r="A26" i="49"/>
  <c r="C25" i="49"/>
  <c r="B25" i="49"/>
  <c r="A25" i="49"/>
  <c r="C24" i="49"/>
  <c r="B24" i="49"/>
  <c r="A24" i="49"/>
  <c r="C23" i="49"/>
  <c r="B23" i="49"/>
  <c r="A23" i="49"/>
  <c r="B22" i="49"/>
  <c r="A22" i="49"/>
  <c r="B21" i="49"/>
  <c r="A21" i="49"/>
  <c r="B20" i="49"/>
  <c r="A20" i="49"/>
  <c r="B19" i="49"/>
  <c r="A19" i="49"/>
  <c r="C18" i="49"/>
  <c r="B18" i="49"/>
  <c r="A18" i="49"/>
  <c r="C17" i="49"/>
  <c r="M101" i="49" s="1"/>
  <c r="B17" i="49"/>
  <c r="A17" i="49"/>
  <c r="B16" i="49"/>
  <c r="A16" i="49"/>
  <c r="B15" i="49"/>
  <c r="A15" i="49"/>
  <c r="B14" i="49"/>
  <c r="A14" i="49"/>
  <c r="B13" i="49"/>
  <c r="A13" i="49"/>
  <c r="AR12" i="49"/>
  <c r="C12" i="49"/>
  <c r="B12" i="49"/>
  <c r="A12" i="49"/>
  <c r="AR11" i="49"/>
  <c r="C11" i="49"/>
  <c r="B11" i="49"/>
  <c r="A11" i="49"/>
  <c r="AR10" i="49"/>
  <c r="C10" i="49"/>
  <c r="B10" i="49"/>
  <c r="A10" i="49"/>
  <c r="C9" i="49"/>
  <c r="B9" i="49"/>
  <c r="A9" i="49"/>
  <c r="C8" i="49"/>
  <c r="B8" i="49"/>
  <c r="A8" i="49"/>
  <c r="C7" i="49"/>
  <c r="B7" i="49"/>
  <c r="A7" i="49"/>
  <c r="C6" i="49"/>
  <c r="B6" i="49"/>
  <c r="A6" i="49"/>
  <c r="C5" i="49"/>
  <c r="B5" i="49"/>
  <c r="A5" i="49"/>
  <c r="B4" i="49"/>
  <c r="A4" i="49"/>
  <c r="C3" i="49"/>
  <c r="B3" i="49"/>
  <c r="B2" i="49"/>
  <c r="A2" i="49"/>
  <c r="AJ10" i="3"/>
  <c r="AN10" i="3" s="1"/>
  <c r="AI10" i="3"/>
  <c r="AH10" i="3"/>
  <c r="AJ9" i="3"/>
  <c r="AN9" i="3" s="1"/>
  <c r="AI9" i="3"/>
  <c r="AH9" i="3"/>
  <c r="AJ8" i="3"/>
  <c r="AH8" i="3"/>
  <c r="AJ7" i="3"/>
  <c r="AN7" i="3" s="1"/>
  <c r="AI7" i="3"/>
  <c r="AH7" i="3"/>
  <c r="AJ6" i="3"/>
  <c r="AH6" i="3"/>
  <c r="AL5" i="3"/>
  <c r="AK5" i="3"/>
  <c r="AJ5" i="3"/>
  <c r="AI5" i="3"/>
  <c r="AH5" i="3"/>
  <c r="AL4" i="3"/>
  <c r="AK4" i="3"/>
  <c r="AJ4" i="3"/>
  <c r="AI4" i="3"/>
  <c r="AH4" i="3"/>
  <c r="B40" i="3"/>
  <c r="B37" i="3"/>
  <c r="B36" i="3"/>
  <c r="B35" i="3"/>
  <c r="B34" i="3"/>
  <c r="B33" i="3"/>
  <c r="B32" i="3"/>
  <c r="B31" i="3"/>
  <c r="B30" i="3"/>
  <c r="B29" i="3"/>
  <c r="B28" i="3"/>
  <c r="B27" i="3"/>
  <c r="B22" i="3"/>
  <c r="B21" i="3"/>
  <c r="B20" i="3"/>
  <c r="B19" i="3"/>
  <c r="B18" i="3"/>
  <c r="B17" i="3"/>
  <c r="B16" i="3"/>
  <c r="B15" i="3"/>
  <c r="B14" i="3"/>
  <c r="B13" i="3"/>
  <c r="B12" i="3"/>
  <c r="B11" i="3"/>
  <c r="AN437" i="2"/>
  <c r="A4" i="2"/>
  <c r="J3" i="2"/>
  <c r="I3" i="2"/>
  <c r="E32" i="1"/>
  <c r="C32" i="1"/>
  <c r="E31" i="1"/>
  <c r="C31" i="1"/>
  <c r="E29" i="1"/>
  <c r="H51" i="123" l="1"/>
  <c r="G51" i="123"/>
  <c r="F51" i="123"/>
  <c r="E51" i="123"/>
  <c r="A54" i="123"/>
  <c r="B52" i="123"/>
  <c r="A54" i="120"/>
  <c r="A54" i="117"/>
  <c r="BF31" i="71"/>
  <c r="AY31" i="71"/>
  <c r="BA31" i="71" s="1"/>
  <c r="BM31" i="71"/>
  <c r="BP31" i="71" s="1"/>
  <c r="BQ31" i="71"/>
  <c r="BN31" i="71"/>
  <c r="BS31" i="71"/>
  <c r="BO31" i="71"/>
  <c r="BG31" i="71"/>
  <c r="BL31" i="71"/>
  <c r="BI31" i="71"/>
  <c r="BD31" i="71"/>
  <c r="BK31" i="71"/>
  <c r="BC31" i="71"/>
  <c r="BH31" i="71"/>
  <c r="BJ31" i="71"/>
  <c r="AZ31" i="71"/>
  <c r="BE31" i="71"/>
  <c r="H20" i="110"/>
  <c r="G20" i="110"/>
  <c r="H40" i="110"/>
  <c r="G40" i="110"/>
  <c r="DY19" i="71"/>
  <c r="EA19" i="71"/>
  <c r="EF19" i="71"/>
  <c r="ED19" i="71"/>
  <c r="EE19" i="71"/>
  <c r="DZ19" i="71"/>
  <c r="EB19" i="71"/>
  <c r="DF19" i="71"/>
  <c r="DG20" i="71" s="1"/>
  <c r="DD19" i="71"/>
  <c r="DE20" i="71" s="1"/>
  <c r="DB19" i="71"/>
  <c r="DC20" i="71" s="1"/>
  <c r="CZ19" i="71"/>
  <c r="DA20" i="71" s="1"/>
  <c r="CX19" i="71"/>
  <c r="CY20" i="71" s="1"/>
  <c r="DH19" i="71"/>
  <c r="DI20" i="71" s="1"/>
  <c r="DJ19" i="71"/>
  <c r="DK20" i="71" s="1"/>
  <c r="L22" i="110"/>
  <c r="K22" i="110"/>
  <c r="J22" i="110"/>
  <c r="I22" i="110"/>
  <c r="M22" i="110"/>
  <c r="P22" i="110"/>
  <c r="D22" i="110"/>
  <c r="O22" i="110"/>
  <c r="C22" i="110"/>
  <c r="N22" i="110"/>
  <c r="B41" i="110"/>
  <c r="L42" i="110"/>
  <c r="N42" i="110"/>
  <c r="K42" i="110"/>
  <c r="J42" i="110"/>
  <c r="I42" i="110"/>
  <c r="P42" i="110"/>
  <c r="D42" i="110"/>
  <c r="M42" i="110"/>
  <c r="O42" i="110"/>
  <c r="C42" i="110"/>
  <c r="A43" i="110"/>
  <c r="F40" i="110"/>
  <c r="E40" i="110"/>
  <c r="F20" i="110"/>
  <c r="E20" i="110"/>
  <c r="B21" i="110"/>
  <c r="G3" i="88"/>
  <c r="G2" i="88"/>
  <c r="G7" i="88"/>
  <c r="F7" i="88" s="1"/>
  <c r="C600" i="74" s="1"/>
  <c r="G9" i="88"/>
  <c r="G8" i="88"/>
  <c r="G4" i="88"/>
  <c r="G6" i="88"/>
  <c r="G5" i="88"/>
  <c r="F5" i="88" s="1"/>
  <c r="C598" i="74" s="1"/>
  <c r="D3" i="88"/>
  <c r="D4" i="88"/>
  <c r="D8" i="88"/>
  <c r="D5" i="88"/>
  <c r="D6" i="88"/>
  <c r="D9" i="88"/>
  <c r="D7" i="88"/>
  <c r="D2" i="88"/>
  <c r="F2" i="88" s="1"/>
  <c r="C595" i="74" s="1"/>
  <c r="X40" i="3"/>
  <c r="Y40" i="3" s="1"/>
  <c r="X11" i="3"/>
  <c r="Y11" i="3" s="1"/>
  <c r="X12" i="3"/>
  <c r="Y12" i="3" s="1"/>
  <c r="X20" i="3"/>
  <c r="X32" i="3"/>
  <c r="X30" i="3"/>
  <c r="X31" i="3"/>
  <c r="X13" i="3"/>
  <c r="Y13" i="3" s="1"/>
  <c r="X21" i="3"/>
  <c r="Y21" i="3" s="1"/>
  <c r="X33" i="3"/>
  <c r="Y33" i="3" s="1"/>
  <c r="X19" i="3"/>
  <c r="X14" i="3"/>
  <c r="Y14" i="3" s="1"/>
  <c r="X22" i="3"/>
  <c r="Y22" i="3" s="1"/>
  <c r="X34" i="3"/>
  <c r="Y34" i="3" s="1"/>
  <c r="X15" i="3"/>
  <c r="Y15" i="3" s="1"/>
  <c r="X27" i="3"/>
  <c r="Y27" i="3" s="1"/>
  <c r="X35" i="3"/>
  <c r="Y35" i="3" s="1"/>
  <c r="X16" i="3"/>
  <c r="Y16" i="3" s="1"/>
  <c r="X28" i="3"/>
  <c r="Y28" i="3" s="1"/>
  <c r="X36" i="3"/>
  <c r="X18" i="3"/>
  <c r="Y18" i="3" s="1"/>
  <c r="X17" i="3"/>
  <c r="Y17" i="3" s="1"/>
  <c r="X29" i="3"/>
  <c r="X37" i="3"/>
  <c r="Y37" i="3" s="1"/>
  <c r="AM175" i="99"/>
  <c r="AK175" i="99"/>
  <c r="AR175" i="99"/>
  <c r="AP175" i="99"/>
  <c r="AN175" i="99"/>
  <c r="AL175" i="99"/>
  <c r="AO175" i="99"/>
  <c r="AQ175" i="99"/>
  <c r="AX175" i="99"/>
  <c r="AW175" i="99"/>
  <c r="AV175" i="99"/>
  <c r="BB175" i="99"/>
  <c r="BC175" i="99"/>
  <c r="BA175" i="99"/>
  <c r="AZ175" i="99"/>
  <c r="AY175" i="99"/>
  <c r="B116" i="95"/>
  <c r="B116" i="94"/>
  <c r="B116" i="93"/>
  <c r="B115" i="92"/>
  <c r="I114" i="92"/>
  <c r="DX16" i="23"/>
  <c r="EV17" i="23"/>
  <c r="DX20" i="23"/>
  <c r="EF22" i="23"/>
  <c r="DX26" i="23"/>
  <c r="EV34" i="23"/>
  <c r="EV42" i="23"/>
  <c r="EO49" i="23"/>
  <c r="EO54" i="23"/>
  <c r="DX56" i="23"/>
  <c r="EW64" i="23"/>
  <c r="EV65" i="23"/>
  <c r="EW72" i="23"/>
  <c r="EO80" i="23"/>
  <c r="EO88" i="23"/>
  <c r="EW91" i="23"/>
  <c r="EW94" i="23"/>
  <c r="EV95" i="23"/>
  <c r="DX99" i="23"/>
  <c r="EW99" i="23"/>
  <c r="EO101" i="23"/>
  <c r="EO102" i="23"/>
  <c r="DX103" i="23"/>
  <c r="EW109" i="23"/>
  <c r="EV110" i="23"/>
  <c r="DX114" i="23"/>
  <c r="EW114" i="23"/>
  <c r="EO116" i="23"/>
  <c r="EO117" i="23"/>
  <c r="DX118" i="23"/>
  <c r="DX122" i="23"/>
  <c r="EW122" i="23"/>
  <c r="EV125" i="23"/>
  <c r="EW125" i="23" s="1"/>
  <c r="DX128" i="23"/>
  <c r="EW132" i="23"/>
  <c r="EV133" i="23"/>
  <c r="EW133" i="23" s="1"/>
  <c r="EW135" i="23"/>
  <c r="EV141" i="23"/>
  <c r="EW147" i="23"/>
  <c r="EO148" i="23"/>
  <c r="DX149" i="23"/>
  <c r="EW155" i="23"/>
  <c r="EO156" i="23"/>
  <c r="DX157" i="23"/>
  <c r="EW164" i="23"/>
  <c r="EV165" i="23"/>
  <c r="EO170" i="23"/>
  <c r="DX171" i="23"/>
  <c r="EW171" i="23"/>
  <c r="EW182" i="23"/>
  <c r="DX191" i="23"/>
  <c r="DX199" i="23"/>
  <c r="EW14" i="23"/>
  <c r="EW49" i="23"/>
  <c r="EW80" i="23"/>
  <c r="EW85" i="23"/>
  <c r="EW88" i="23"/>
  <c r="EW140" i="23"/>
  <c r="EV142" i="23"/>
  <c r="EW149" i="23"/>
  <c r="EW157" i="23"/>
  <c r="EW10" i="23"/>
  <c r="DX4" i="23"/>
  <c r="EO9" i="23"/>
  <c r="EO10" i="23"/>
  <c r="DX11" i="23"/>
  <c r="EV12" i="23"/>
  <c r="EW12" i="23" s="1"/>
  <c r="EW26" i="23"/>
  <c r="DX27" i="23"/>
  <c r="DX50" i="23"/>
  <c r="EV58" i="23"/>
  <c r="EW77" i="23"/>
  <c r="DX82" i="23"/>
  <c r="EW82" i="23"/>
  <c r="EO84" i="23"/>
  <c r="EO85" i="23"/>
  <c r="DX86" i="23"/>
  <c r="DX104" i="23"/>
  <c r="DX119" i="23"/>
  <c r="DX137" i="23"/>
  <c r="EW137" i="23"/>
  <c r="EO139" i="23"/>
  <c r="EO140" i="23"/>
  <c r="DX141" i="23"/>
  <c r="DX150" i="23"/>
  <c r="EW172" i="23"/>
  <c r="EO192" i="23"/>
  <c r="EO200" i="23"/>
  <c r="EV18" i="23"/>
  <c r="EW18" i="23" s="1"/>
  <c r="EF25" i="23"/>
  <c r="EV32" i="23"/>
  <c r="EW34" i="23"/>
  <c r="EV40" i="23"/>
  <c r="EW42" i="23"/>
  <c r="EF46" i="23"/>
  <c r="EW65" i="23"/>
  <c r="EW70" i="23"/>
  <c r="EV71" i="23"/>
  <c r="EW71" i="23" s="1"/>
  <c r="EW74" i="23"/>
  <c r="EW84" i="23"/>
  <c r="EV87" i="23"/>
  <c r="EV90" i="23"/>
  <c r="EW103" i="23"/>
  <c r="EW104" i="23"/>
  <c r="EV105" i="23"/>
  <c r="EV120" i="23"/>
  <c r="EW139" i="23"/>
  <c r="EV154" i="23"/>
  <c r="EW154" i="23" s="1"/>
  <c r="EW160" i="23"/>
  <c r="EW165" i="23"/>
  <c r="EW186" i="23"/>
  <c r="EW192" i="23"/>
  <c r="EW194" i="23"/>
  <c r="EW200" i="23"/>
  <c r="EW50" i="23"/>
  <c r="EW52" i="23"/>
  <c r="EO69" i="23"/>
  <c r="EW76" i="23"/>
  <c r="EW86" i="23"/>
  <c r="EW95" i="23"/>
  <c r="EW96" i="23"/>
  <c r="EW110" i="23"/>
  <c r="EW111" i="23"/>
  <c r="EW126" i="23"/>
  <c r="EV127" i="23"/>
  <c r="EW141" i="23"/>
  <c r="EW142" i="23"/>
  <c r="EW150" i="23"/>
  <c r="EV169" i="23"/>
  <c r="DX8" i="23"/>
  <c r="EW22" i="23"/>
  <c r="EW24" i="23"/>
  <c r="EO38" i="23"/>
  <c r="EW47" i="23"/>
  <c r="DX51" i="23"/>
  <c r="EW58" i="23"/>
  <c r="DX60" i="23"/>
  <c r="EO62" i="23"/>
  <c r="EV64" i="23"/>
  <c r="EW78" i="23"/>
  <c r="DX79" i="23"/>
  <c r="DX97" i="23"/>
  <c r="DX112" i="23"/>
  <c r="DX127" i="23"/>
  <c r="EW134" i="23"/>
  <c r="EW161" i="23"/>
  <c r="DX168" i="23"/>
  <c r="EW173" i="23"/>
  <c r="EW179" i="23"/>
  <c r="EO196" i="23"/>
  <c r="DX197" i="23"/>
  <c r="EW20" i="23"/>
  <c r="EW32" i="23"/>
  <c r="DX33" i="23"/>
  <c r="DX41" i="23"/>
  <c r="EO46" i="23"/>
  <c r="EO47" i="23"/>
  <c r="DX48" i="23"/>
  <c r="DX52" i="23"/>
  <c r="DX72" i="23"/>
  <c r="EW79" i="23"/>
  <c r="EW87" i="23"/>
  <c r="EW90" i="23"/>
  <c r="EF93" i="23"/>
  <c r="EW105" i="23"/>
  <c r="EW120" i="23"/>
  <c r="DX135" i="23"/>
  <c r="EO146" i="23"/>
  <c r="EO162" i="23"/>
  <c r="DX163" i="23"/>
  <c r="EW163" i="23"/>
  <c r="EO174" i="23"/>
  <c r="DX176" i="23"/>
  <c r="EW176" i="23"/>
  <c r="EO180" i="23"/>
  <c r="DX181" i="23"/>
  <c r="EW181" i="23"/>
  <c r="EO189" i="23"/>
  <c r="DX190" i="23"/>
  <c r="EV191" i="23"/>
  <c r="EW191" i="23" s="1"/>
  <c r="EO197" i="23"/>
  <c r="DX198" i="23"/>
  <c r="EV199" i="23"/>
  <c r="EW199" i="23" s="1"/>
  <c r="EV57" i="23"/>
  <c r="EW102" i="23"/>
  <c r="EW117" i="23"/>
  <c r="EW127" i="23"/>
  <c r="EW146" i="23"/>
  <c r="DX148" i="23"/>
  <c r="EW148" i="23"/>
  <c r="DX156" i="23"/>
  <c r="EW156" i="23"/>
  <c r="EW162" i="23"/>
  <c r="EO163" i="23"/>
  <c r="DX164" i="23"/>
  <c r="EW169" i="23"/>
  <c r="EW174" i="23"/>
  <c r="EW180" i="23"/>
  <c r="EV183" i="23"/>
  <c r="EW183" i="23" s="1"/>
  <c r="EW190" i="23"/>
  <c r="EW198" i="23"/>
  <c r="B60" i="31"/>
  <c r="C81" i="71"/>
  <c r="C39" i="31"/>
  <c r="D60" i="71"/>
  <c r="EF38" i="23"/>
  <c r="C60" i="31"/>
  <c r="D81" i="71"/>
  <c r="EV60" i="23"/>
  <c r="EW60" i="23" s="1"/>
  <c r="EW101" i="23"/>
  <c r="EW116" i="23"/>
  <c r="EW170" i="23"/>
  <c r="EF17" i="23"/>
  <c r="EW9" i="23"/>
  <c r="EW16" i="23"/>
  <c r="C31" i="31"/>
  <c r="D52" i="71"/>
  <c r="EF30" i="23"/>
  <c r="EW41" i="23"/>
  <c r="EO55" i="23"/>
  <c r="EW93" i="23"/>
  <c r="EW108" i="23"/>
  <c r="EW131" i="23"/>
  <c r="C23" i="31"/>
  <c r="D44" i="71"/>
  <c r="EW33" i="23"/>
  <c r="B41" i="31"/>
  <c r="M238" i="31" s="1"/>
  <c r="C62" i="71"/>
  <c r="B9" i="31"/>
  <c r="C30" i="71"/>
  <c r="G20" i="77"/>
  <c r="G12" i="77"/>
  <c r="G4" i="77"/>
  <c r="D22" i="77"/>
  <c r="D14" i="77"/>
  <c r="D6" i="77"/>
  <c r="G19" i="77"/>
  <c r="G11" i="77"/>
  <c r="G3" i="77"/>
  <c r="D21" i="77"/>
  <c r="D13" i="77"/>
  <c r="G26" i="77"/>
  <c r="G18" i="77"/>
  <c r="G10" i="77"/>
  <c r="G2" i="77"/>
  <c r="D20" i="77"/>
  <c r="D12" i="77"/>
  <c r="G25" i="77"/>
  <c r="G17" i="77"/>
  <c r="G9" i="77"/>
  <c r="D19" i="77"/>
  <c r="D11" i="77"/>
  <c r="D3" i="77"/>
  <c r="G24" i="77"/>
  <c r="G14" i="77"/>
  <c r="F14" i="77" s="1"/>
  <c r="C582" i="74" s="1"/>
  <c r="D16" i="77"/>
  <c r="D2" i="77"/>
  <c r="G16" i="77"/>
  <c r="G13" i="77"/>
  <c r="F13" i="77" s="1"/>
  <c r="C581" i="74" s="1"/>
  <c r="D15" i="77"/>
  <c r="G8" i="77"/>
  <c r="D26" i="77"/>
  <c r="D10" i="77"/>
  <c r="D5" i="77"/>
  <c r="D17" i="77"/>
  <c r="G23" i="77"/>
  <c r="G7" i="77"/>
  <c r="D25" i="77"/>
  <c r="D9" i="77"/>
  <c r="D18" i="77"/>
  <c r="D4" i="77"/>
  <c r="G22" i="77"/>
  <c r="F22" i="77" s="1"/>
  <c r="C590" i="74" s="1"/>
  <c r="G6" i="77"/>
  <c r="F6" i="77" s="1"/>
  <c r="C574" i="74" s="1"/>
  <c r="D24" i="77"/>
  <c r="D8" i="77"/>
  <c r="G21" i="77"/>
  <c r="G5" i="77"/>
  <c r="D23" i="77"/>
  <c r="D7" i="77"/>
  <c r="G15" i="77"/>
  <c r="F15" i="77" s="1"/>
  <c r="C583" i="74" s="1"/>
  <c r="C26" i="71"/>
  <c r="EW25" i="23"/>
  <c r="B33" i="31"/>
  <c r="M231" i="31" s="1"/>
  <c r="C54" i="71"/>
  <c r="B36" i="31"/>
  <c r="M233" i="31" s="1"/>
  <c r="C57" i="71"/>
  <c r="EO39" i="23"/>
  <c r="EW46" i="23"/>
  <c r="EF57" i="23"/>
  <c r="D63" i="31"/>
  <c r="E84" i="71"/>
  <c r="D26" i="71"/>
  <c r="EV5" i="23"/>
  <c r="EW5" i="23" s="1"/>
  <c r="EW8" i="23"/>
  <c r="EW17" i="23"/>
  <c r="B25" i="31"/>
  <c r="C46" i="71"/>
  <c r="EO31" i="23"/>
  <c r="C36" i="31"/>
  <c r="D57" i="71"/>
  <c r="EW38" i="23"/>
  <c r="EV44" i="23"/>
  <c r="EW44" i="23" s="1"/>
  <c r="EF49" i="23"/>
  <c r="EW56" i="23"/>
  <c r="EW69" i="23"/>
  <c r="EW166" i="23"/>
  <c r="EW201" i="23"/>
  <c r="AR31" i="71"/>
  <c r="AU31" i="71" s="1"/>
  <c r="AD31" i="71"/>
  <c r="AG31" i="71" s="1"/>
  <c r="W31" i="71"/>
  <c r="X31" i="71" s="1"/>
  <c r="P31" i="71"/>
  <c r="R31" i="71" s="1"/>
  <c r="AK31" i="71"/>
  <c r="AM31" i="71" s="1"/>
  <c r="EO23" i="23"/>
  <c r="EV36" i="23"/>
  <c r="EW36" i="23" s="1"/>
  <c r="EW48" i="23"/>
  <c r="EW62" i="23"/>
  <c r="EW143" i="23"/>
  <c r="EW151" i="23"/>
  <c r="EW188" i="23"/>
  <c r="EW196" i="23"/>
  <c r="Q6" i="13"/>
  <c r="C33" i="71"/>
  <c r="EV28" i="23"/>
  <c r="EW28" i="23" s="1"/>
  <c r="EW30" i="23"/>
  <c r="EW40" i="23"/>
  <c r="EF54" i="23"/>
  <c r="EW57" i="23"/>
  <c r="EF69" i="23"/>
  <c r="EF76" i="23"/>
  <c r="EF84" i="23"/>
  <c r="B119" i="31"/>
  <c r="C140" i="71"/>
  <c r="B126" i="31"/>
  <c r="M310" i="31" s="1"/>
  <c r="C147" i="71"/>
  <c r="EF131" i="23"/>
  <c r="D148" i="31"/>
  <c r="N330" i="31" s="1"/>
  <c r="E169" i="71"/>
  <c r="EF147" i="23"/>
  <c r="EF155" i="23"/>
  <c r="B158" i="31"/>
  <c r="M337" i="31" s="1"/>
  <c r="C179" i="71"/>
  <c r="EF162" i="23"/>
  <c r="B165" i="31"/>
  <c r="M343" i="31" s="1"/>
  <c r="C186" i="71"/>
  <c r="C168" i="31"/>
  <c r="D189" i="71"/>
  <c r="EF170" i="23"/>
  <c r="EF180" i="23"/>
  <c r="B183" i="31"/>
  <c r="M359" i="31" s="1"/>
  <c r="C204" i="71"/>
  <c r="D189" i="31"/>
  <c r="N366" i="31" s="1"/>
  <c r="E210" i="71"/>
  <c r="Q67" i="13"/>
  <c r="C212" i="71"/>
  <c r="EF62" i="23"/>
  <c r="EF101" i="23"/>
  <c r="C129" i="31"/>
  <c r="D150" i="71"/>
  <c r="B150" i="31"/>
  <c r="M332" i="31" s="1"/>
  <c r="C171" i="71"/>
  <c r="B7" i="31"/>
  <c r="M210" i="31" s="1"/>
  <c r="C28" i="71"/>
  <c r="C9" i="31"/>
  <c r="D30" i="71"/>
  <c r="C25" i="31"/>
  <c r="D46" i="71"/>
  <c r="D28" i="31"/>
  <c r="N227" i="31" s="1"/>
  <c r="E49" i="71"/>
  <c r="C33" i="31"/>
  <c r="D54" i="71"/>
  <c r="D36" i="31"/>
  <c r="E57" i="71"/>
  <c r="C41" i="31"/>
  <c r="D62" i="71"/>
  <c r="B46" i="31"/>
  <c r="C67" i="71"/>
  <c r="B54" i="31"/>
  <c r="M251" i="31" s="1"/>
  <c r="C75" i="71"/>
  <c r="D60" i="31"/>
  <c r="E81" i="71"/>
  <c r="EF59" i="23"/>
  <c r="EF66" i="23"/>
  <c r="B69" i="31"/>
  <c r="M262" i="31" s="1"/>
  <c r="C90" i="71"/>
  <c r="R30" i="13"/>
  <c r="D93" i="71"/>
  <c r="EO74" i="23"/>
  <c r="C79" i="31"/>
  <c r="D100" i="71"/>
  <c r="EF81" i="23"/>
  <c r="EO82" i="23"/>
  <c r="C96" i="31"/>
  <c r="D117" i="71"/>
  <c r="EF98" i="23"/>
  <c r="EO99" i="23"/>
  <c r="B101" i="31"/>
  <c r="M290" i="31" s="1"/>
  <c r="C122" i="71"/>
  <c r="C104" i="31"/>
  <c r="D125" i="71"/>
  <c r="EF106" i="23"/>
  <c r="DX108" i="23"/>
  <c r="C111" i="31"/>
  <c r="D132" i="71"/>
  <c r="EF113" i="23"/>
  <c r="EO114" i="23"/>
  <c r="B116" i="31"/>
  <c r="M302" i="31" s="1"/>
  <c r="C137" i="71"/>
  <c r="DX116" i="23"/>
  <c r="C119" i="31"/>
  <c r="D140" i="71"/>
  <c r="D122" i="31"/>
  <c r="E143" i="71"/>
  <c r="EO122" i="23"/>
  <c r="Q43" i="13"/>
  <c r="C145" i="71"/>
  <c r="C126" i="31"/>
  <c r="D147" i="71"/>
  <c r="EO129" i="23"/>
  <c r="F54" i="12"/>
  <c r="C152" i="71"/>
  <c r="C134" i="31"/>
  <c r="D155" i="71"/>
  <c r="EO137" i="23"/>
  <c r="F59" i="12"/>
  <c r="C160" i="71"/>
  <c r="DX139" i="23"/>
  <c r="EF144" i="23"/>
  <c r="EO145" i="23"/>
  <c r="B147" i="31"/>
  <c r="M329" i="31" s="1"/>
  <c r="C168" i="71"/>
  <c r="C150" i="31"/>
  <c r="D171" i="71"/>
  <c r="EF152" i="23"/>
  <c r="EO153" i="23"/>
  <c r="B155" i="31"/>
  <c r="C176" i="71"/>
  <c r="C158" i="31"/>
  <c r="D179" i="71"/>
  <c r="D160" i="31"/>
  <c r="O93" i="73" s="1"/>
  <c r="B387" i="74" s="1"/>
  <c r="E181" i="71"/>
  <c r="EF159" i="23"/>
  <c r="EO160" i="23"/>
  <c r="C165" i="31"/>
  <c r="D186" i="71"/>
  <c r="EO168" i="23"/>
  <c r="C173" i="31"/>
  <c r="D194" i="71"/>
  <c r="EF175" i="23"/>
  <c r="EO176" i="23"/>
  <c r="B178" i="31"/>
  <c r="C199" i="71"/>
  <c r="EF177" i="23"/>
  <c r="EO178" i="23"/>
  <c r="C183" i="31"/>
  <c r="D204" i="71"/>
  <c r="EF185" i="23"/>
  <c r="EO186" i="23"/>
  <c r="B188" i="31"/>
  <c r="M365" i="31" s="1"/>
  <c r="C209" i="71"/>
  <c r="DX188" i="23"/>
  <c r="EO194" i="23"/>
  <c r="B196" i="31"/>
  <c r="M372" i="31" s="1"/>
  <c r="C217" i="71"/>
  <c r="DX196" i="23"/>
  <c r="C199" i="31"/>
  <c r="D220" i="71"/>
  <c r="B96" i="31"/>
  <c r="M285" i="31" s="1"/>
  <c r="C117" i="71"/>
  <c r="B111" i="31"/>
  <c r="C132" i="71"/>
  <c r="F60" i="12"/>
  <c r="C163" i="71"/>
  <c r="C160" i="31"/>
  <c r="D181" i="71"/>
  <c r="D171" i="31"/>
  <c r="N348" i="31" s="1"/>
  <c r="E192" i="71"/>
  <c r="B173" i="31"/>
  <c r="M350" i="31" s="1"/>
  <c r="C194" i="71"/>
  <c r="G82" i="12"/>
  <c r="D207" i="71"/>
  <c r="B199" i="31"/>
  <c r="M375" i="31" s="1"/>
  <c r="C220" i="71"/>
  <c r="EV4" i="23"/>
  <c r="EW4" i="23" s="1"/>
  <c r="C7" i="31"/>
  <c r="D28" i="71"/>
  <c r="C14" i="31"/>
  <c r="D35" i="71"/>
  <c r="D17" i="31"/>
  <c r="N218" i="31" s="1"/>
  <c r="E38" i="71"/>
  <c r="EV19" i="23"/>
  <c r="EW19" i="23" s="1"/>
  <c r="C22" i="31"/>
  <c r="D43" i="71"/>
  <c r="D25" i="31"/>
  <c r="E46" i="71"/>
  <c r="F11" i="12"/>
  <c r="C48" i="71"/>
  <c r="EV27" i="23"/>
  <c r="EW27" i="23" s="1"/>
  <c r="D33" i="31"/>
  <c r="N231" i="31" s="1"/>
  <c r="E54" i="71"/>
  <c r="EV35" i="23"/>
  <c r="EW35" i="23" s="1"/>
  <c r="C38" i="31"/>
  <c r="D59" i="71"/>
  <c r="Q18" i="13"/>
  <c r="C64" i="71"/>
  <c r="EV43" i="23"/>
  <c r="EW43" i="23" s="1"/>
  <c r="C46" i="31"/>
  <c r="D67" i="71"/>
  <c r="D49" i="31"/>
  <c r="E70" i="71"/>
  <c r="B51" i="31"/>
  <c r="M248" i="31" s="1"/>
  <c r="C72" i="71"/>
  <c r="EV51" i="23"/>
  <c r="EW51" i="23" s="1"/>
  <c r="C54" i="31"/>
  <c r="D75" i="71"/>
  <c r="F24" i="12"/>
  <c r="C80" i="71"/>
  <c r="EV59" i="23"/>
  <c r="EW59" i="23" s="1"/>
  <c r="R25" i="13"/>
  <c r="D83" i="71"/>
  <c r="EV66" i="23"/>
  <c r="EW66" i="23" s="1"/>
  <c r="C69" i="31"/>
  <c r="D90" i="71"/>
  <c r="G31" i="12"/>
  <c r="D97" i="71"/>
  <c r="D79" i="31"/>
  <c r="N270" i="31" s="1"/>
  <c r="E100" i="71"/>
  <c r="F32" i="12"/>
  <c r="C102" i="71"/>
  <c r="EV81" i="23"/>
  <c r="EW81" i="23" s="1"/>
  <c r="B89" i="31"/>
  <c r="M280" i="31" s="1"/>
  <c r="C110" i="71"/>
  <c r="B98" i="31"/>
  <c r="M287" i="31" s="1"/>
  <c r="C119" i="71"/>
  <c r="EV98" i="23"/>
  <c r="EW98" i="23" s="1"/>
  <c r="C101" i="31"/>
  <c r="D122" i="71"/>
  <c r="D104" i="31"/>
  <c r="N293" i="31" s="1"/>
  <c r="E125" i="71"/>
  <c r="B106" i="31"/>
  <c r="M295" i="31" s="1"/>
  <c r="C127" i="71"/>
  <c r="EV106" i="23"/>
  <c r="EW106" i="23" s="1"/>
  <c r="D111" i="31"/>
  <c r="E132" i="71"/>
  <c r="EV113" i="23"/>
  <c r="EW113" i="23" s="1"/>
  <c r="C116" i="31"/>
  <c r="D137" i="71"/>
  <c r="D119" i="31"/>
  <c r="E140" i="71"/>
  <c r="F51" i="12"/>
  <c r="C142" i="71"/>
  <c r="EV121" i="23"/>
  <c r="EW121" i="23" s="1"/>
  <c r="F53" i="12"/>
  <c r="C149" i="71"/>
  <c r="EV128" i="23"/>
  <c r="EW128" i="23" s="1"/>
  <c r="EV136" i="23"/>
  <c r="EW136" i="23" s="1"/>
  <c r="F61" i="12"/>
  <c r="C165" i="71"/>
  <c r="EV144" i="23"/>
  <c r="EW144" i="23" s="1"/>
  <c r="C147" i="31"/>
  <c r="D168" i="71"/>
  <c r="EV152" i="23"/>
  <c r="EW152" i="23" s="1"/>
  <c r="C155" i="31"/>
  <c r="D176" i="71"/>
  <c r="EV159" i="23"/>
  <c r="EW159" i="23" s="1"/>
  <c r="EV167" i="23"/>
  <c r="EW167" i="23" s="1"/>
  <c r="EV175" i="23"/>
  <c r="EW175" i="23" s="1"/>
  <c r="D178" i="31"/>
  <c r="E199" i="71"/>
  <c r="EV177" i="23"/>
  <c r="EW177" i="23" s="1"/>
  <c r="G79" i="12"/>
  <c r="D201" i="71"/>
  <c r="F81" i="12"/>
  <c r="C206" i="71"/>
  <c r="EV185" i="23"/>
  <c r="EW185" i="23" s="1"/>
  <c r="C188" i="31"/>
  <c r="D209" i="71"/>
  <c r="B193" i="31"/>
  <c r="M369" i="31" s="1"/>
  <c r="C214" i="71"/>
  <c r="EV193" i="23"/>
  <c r="EW193" i="23" s="1"/>
  <c r="C196" i="31"/>
  <c r="D217" i="71"/>
  <c r="F89" i="12"/>
  <c r="C222" i="71"/>
  <c r="EV201" i="23"/>
  <c r="B79" i="31"/>
  <c r="M270" i="31" s="1"/>
  <c r="C100" i="71"/>
  <c r="B104" i="31"/>
  <c r="M293" i="31" s="1"/>
  <c r="C125" i="71"/>
  <c r="C107" i="31"/>
  <c r="D128" i="71"/>
  <c r="G48" i="12"/>
  <c r="D135" i="71"/>
  <c r="EF6" i="23"/>
  <c r="EF29" i="23"/>
  <c r="G42" i="12"/>
  <c r="D56" i="71"/>
  <c r="B40" i="31"/>
  <c r="M237" i="31" s="1"/>
  <c r="C61" i="71"/>
  <c r="EF53" i="23"/>
  <c r="EF61" i="23"/>
  <c r="C66" i="31"/>
  <c r="D87" i="71"/>
  <c r="EF68" i="23"/>
  <c r="B71" i="31"/>
  <c r="M264" i="31" s="1"/>
  <c r="C92" i="71"/>
  <c r="EF75" i="23"/>
  <c r="B78" i="31"/>
  <c r="M269" i="31" s="1"/>
  <c r="C99" i="71"/>
  <c r="EF83" i="23"/>
  <c r="F37" i="12"/>
  <c r="C107" i="71"/>
  <c r="EF92" i="23"/>
  <c r="B95" i="31"/>
  <c r="M284" i="31" s="1"/>
  <c r="C116" i="71"/>
  <c r="C98" i="31"/>
  <c r="D119" i="71"/>
  <c r="EF100" i="23"/>
  <c r="C106" i="31"/>
  <c r="D127" i="71"/>
  <c r="F46" i="12"/>
  <c r="C131" i="71"/>
  <c r="G47" i="12"/>
  <c r="D134" i="71"/>
  <c r="EF115" i="23"/>
  <c r="B118" i="31"/>
  <c r="M304" i="31" s="1"/>
  <c r="C139" i="71"/>
  <c r="D124" i="31"/>
  <c r="N309" i="31" s="1"/>
  <c r="E145" i="71"/>
  <c r="EF123" i="23"/>
  <c r="EF130" i="23"/>
  <c r="EF138" i="23"/>
  <c r="B141" i="31"/>
  <c r="C162" i="71"/>
  <c r="EF146" i="23"/>
  <c r="EF154" i="23"/>
  <c r="B157" i="31"/>
  <c r="C178" i="71"/>
  <c r="EF161" i="23"/>
  <c r="F70" i="12"/>
  <c r="C185" i="71"/>
  <c r="D170" i="31"/>
  <c r="E191" i="71"/>
  <c r="EF169" i="23"/>
  <c r="F73" i="12"/>
  <c r="C193" i="71"/>
  <c r="EF179" i="23"/>
  <c r="B182" i="31"/>
  <c r="M358" i="31" s="1"/>
  <c r="C203" i="71"/>
  <c r="G81" i="12"/>
  <c r="D206" i="71"/>
  <c r="EF187" i="23"/>
  <c r="B190" i="31"/>
  <c r="M367" i="31" s="1"/>
  <c r="C211" i="71"/>
  <c r="EF195" i="23"/>
  <c r="B198" i="31"/>
  <c r="M374" i="31" s="1"/>
  <c r="C219" i="71"/>
  <c r="G67" i="12"/>
  <c r="D174" i="71"/>
  <c r="EF37" i="23"/>
  <c r="EF45" i="23"/>
  <c r="C51" i="31"/>
  <c r="D72" i="71"/>
  <c r="B6" i="31"/>
  <c r="M209" i="31" s="1"/>
  <c r="C27" i="71"/>
  <c r="EV6" i="23"/>
  <c r="EW6" i="23" s="1"/>
  <c r="DX13" i="23"/>
  <c r="EV13" i="23"/>
  <c r="EW13" i="23" s="1"/>
  <c r="DX21" i="23"/>
  <c r="EV21" i="23"/>
  <c r="EW21" i="23" s="1"/>
  <c r="F12" i="12"/>
  <c r="C50" i="71"/>
  <c r="EV29" i="23"/>
  <c r="EW29" i="23" s="1"/>
  <c r="EV37" i="23"/>
  <c r="EW37" i="23" s="1"/>
  <c r="C40" i="31"/>
  <c r="D61" i="71"/>
  <c r="B45" i="31"/>
  <c r="M242" i="31" s="1"/>
  <c r="C66" i="71"/>
  <c r="EV45" i="23"/>
  <c r="EW45" i="23" s="1"/>
  <c r="G19" i="12"/>
  <c r="D69" i="71"/>
  <c r="D51" i="31"/>
  <c r="E72" i="71"/>
  <c r="B53" i="31"/>
  <c r="M250" i="31" s="1"/>
  <c r="C74" i="71"/>
  <c r="EV53" i="23"/>
  <c r="EW53" i="23" s="1"/>
  <c r="R24" i="13"/>
  <c r="D77" i="71"/>
  <c r="D59" i="31"/>
  <c r="E80" i="71"/>
  <c r="B61" i="31"/>
  <c r="C82" i="71"/>
  <c r="EV61" i="23"/>
  <c r="EW61" i="23" s="1"/>
  <c r="B68" i="31"/>
  <c r="M261" i="31" s="1"/>
  <c r="C89" i="71"/>
  <c r="EV68" i="23"/>
  <c r="EW68" i="23" s="1"/>
  <c r="B75" i="31"/>
  <c r="C96" i="71"/>
  <c r="EV75" i="23"/>
  <c r="EW75" i="23" s="1"/>
  <c r="C78" i="31"/>
  <c r="D99" i="71"/>
  <c r="D81" i="31"/>
  <c r="E102" i="71"/>
  <c r="B83" i="31"/>
  <c r="M274" i="31" s="1"/>
  <c r="C104" i="71"/>
  <c r="EV83" i="23"/>
  <c r="EW83" i="23" s="1"/>
  <c r="G37" i="12"/>
  <c r="D107" i="71"/>
  <c r="EV92" i="23"/>
  <c r="EW92" i="23" s="1"/>
  <c r="C95" i="31"/>
  <c r="D116" i="71"/>
  <c r="B100" i="31"/>
  <c r="C121" i="71"/>
  <c r="EV100" i="23"/>
  <c r="EW100" i="23" s="1"/>
  <c r="R39" i="13"/>
  <c r="D124" i="71"/>
  <c r="D106" i="31"/>
  <c r="E127" i="71"/>
  <c r="B108" i="31"/>
  <c r="C129" i="71"/>
  <c r="EV115" i="23"/>
  <c r="EW115" i="23" s="1"/>
  <c r="C118" i="31"/>
  <c r="D139" i="71"/>
  <c r="B123" i="31"/>
  <c r="M308" i="31" s="1"/>
  <c r="C144" i="71"/>
  <c r="EV123" i="23"/>
  <c r="EW123" i="23" s="1"/>
  <c r="D128" i="31"/>
  <c r="N312" i="31" s="1"/>
  <c r="E149" i="71"/>
  <c r="B130" i="31"/>
  <c r="M314" i="31" s="1"/>
  <c r="C151" i="71"/>
  <c r="EV130" i="23"/>
  <c r="EW130" i="23" s="1"/>
  <c r="C133" i="31"/>
  <c r="D154" i="71"/>
  <c r="D136" i="31"/>
  <c r="N320" i="31" s="1"/>
  <c r="E157" i="71"/>
  <c r="B138" i="31"/>
  <c r="C159" i="71"/>
  <c r="EV138" i="23"/>
  <c r="EW138" i="23" s="1"/>
  <c r="C141" i="31"/>
  <c r="D162" i="71"/>
  <c r="EF143" i="23"/>
  <c r="R54" i="13"/>
  <c r="D170" i="71"/>
  <c r="D152" i="31"/>
  <c r="N334" i="31" s="1"/>
  <c r="E173" i="71"/>
  <c r="EF151" i="23"/>
  <c r="B154" i="31"/>
  <c r="M338" i="31" s="1"/>
  <c r="C175" i="71"/>
  <c r="C157" i="31"/>
  <c r="D178" i="71"/>
  <c r="F69" i="12"/>
  <c r="C182" i="71"/>
  <c r="EF166" i="23"/>
  <c r="EF174" i="23"/>
  <c r="B177" i="31"/>
  <c r="M354" i="31" s="1"/>
  <c r="C198" i="71"/>
  <c r="B179" i="31"/>
  <c r="M355" i="31" s="1"/>
  <c r="C200" i="71"/>
  <c r="C182" i="31"/>
  <c r="D203" i="71"/>
  <c r="EF184" i="23"/>
  <c r="B187" i="31"/>
  <c r="M364" i="31" s="1"/>
  <c r="C208" i="71"/>
  <c r="C190" i="31"/>
  <c r="D211" i="71"/>
  <c r="D193" i="31"/>
  <c r="N369" i="31" s="1"/>
  <c r="E214" i="71"/>
  <c r="EF192" i="23"/>
  <c r="EF200" i="23"/>
  <c r="D77" i="31"/>
  <c r="N268" i="31" s="1"/>
  <c r="E98" i="71"/>
  <c r="C99" i="31"/>
  <c r="D120" i="71"/>
  <c r="B134" i="31"/>
  <c r="M318" i="31" s="1"/>
  <c r="C155" i="71"/>
  <c r="B11" i="31"/>
  <c r="M213" i="31" s="1"/>
  <c r="C32" i="71"/>
  <c r="C6" i="31"/>
  <c r="D27" i="71"/>
  <c r="EF10" i="23"/>
  <c r="B18" i="31"/>
  <c r="C39" i="71"/>
  <c r="D24" i="31"/>
  <c r="E45" i="71"/>
  <c r="B26" i="31"/>
  <c r="M225" i="31" s="1"/>
  <c r="C47" i="71"/>
  <c r="EF31" i="23"/>
  <c r="B34" i="31"/>
  <c r="M232" i="31" s="1"/>
  <c r="C55" i="71"/>
  <c r="EF39" i="23"/>
  <c r="C45" i="31"/>
  <c r="D66" i="71"/>
  <c r="EF47" i="23"/>
  <c r="B50" i="31"/>
  <c r="M247" i="31" s="1"/>
  <c r="C71" i="71"/>
  <c r="EF55" i="23"/>
  <c r="C61" i="31"/>
  <c r="D82" i="71"/>
  <c r="B65" i="31"/>
  <c r="M258" i="31" s="1"/>
  <c r="C86" i="71"/>
  <c r="C68" i="31"/>
  <c r="D89" i="71"/>
  <c r="EF70" i="23"/>
  <c r="F29" i="12"/>
  <c r="C94" i="71"/>
  <c r="C75" i="31"/>
  <c r="D96" i="71"/>
  <c r="D78" i="31"/>
  <c r="N269" i="31" s="1"/>
  <c r="E99" i="71"/>
  <c r="EF77" i="23"/>
  <c r="B80" i="31"/>
  <c r="M271" i="31" s="1"/>
  <c r="C101" i="71"/>
  <c r="C83" i="31"/>
  <c r="D104" i="71"/>
  <c r="EF85" i="23"/>
  <c r="B88" i="31"/>
  <c r="M279" i="31" s="1"/>
  <c r="C109" i="71"/>
  <c r="EF94" i="23"/>
  <c r="C100" i="31"/>
  <c r="D121" i="71"/>
  <c r="EF102" i="23"/>
  <c r="B105" i="31"/>
  <c r="M294" i="31" s="1"/>
  <c r="C126" i="71"/>
  <c r="D110" i="31"/>
  <c r="N297" i="31" s="1"/>
  <c r="E131" i="71"/>
  <c r="EF109" i="23"/>
  <c r="G49" i="12"/>
  <c r="D136" i="71"/>
  <c r="EF117" i="23"/>
  <c r="B120" i="31"/>
  <c r="M305" i="31" s="1"/>
  <c r="C141" i="71"/>
  <c r="C123" i="31"/>
  <c r="D144" i="71"/>
  <c r="C130" i="31"/>
  <c r="D151" i="71"/>
  <c r="EF132" i="23"/>
  <c r="B135" i="31"/>
  <c r="M319" i="31" s="1"/>
  <c r="C156" i="71"/>
  <c r="C138" i="31"/>
  <c r="D159" i="71"/>
  <c r="EF140" i="23"/>
  <c r="B143" i="31"/>
  <c r="M324" i="31" s="1"/>
  <c r="C164" i="71"/>
  <c r="C154" i="31"/>
  <c r="D175" i="71"/>
  <c r="C158" i="23"/>
  <c r="C180" i="71"/>
  <c r="D164" i="31"/>
  <c r="E185" i="71"/>
  <c r="D172" i="31"/>
  <c r="N349" i="31" s="1"/>
  <c r="E193" i="71"/>
  <c r="F74" i="12"/>
  <c r="C195" i="71"/>
  <c r="C179" i="31"/>
  <c r="D200" i="71"/>
  <c r="B184" i="31"/>
  <c r="M360" i="31" s="1"/>
  <c r="C205" i="71"/>
  <c r="B192" i="31"/>
  <c r="C213" i="71"/>
  <c r="B200" i="31"/>
  <c r="M376" i="31" s="1"/>
  <c r="C221" i="71"/>
  <c r="F38" i="12"/>
  <c r="C108" i="71"/>
  <c r="B10" i="31"/>
  <c r="C31" i="71"/>
  <c r="B13" i="31"/>
  <c r="C34" i="71"/>
  <c r="EF15" i="23"/>
  <c r="EF23" i="23"/>
  <c r="B8" i="31"/>
  <c r="C29" i="71"/>
  <c r="C10" i="31"/>
  <c r="D31" i="71"/>
  <c r="C18" i="31"/>
  <c r="D39" i="71"/>
  <c r="B23" i="31"/>
  <c r="M223" i="31" s="1"/>
  <c r="C44" i="71"/>
  <c r="C26" i="31"/>
  <c r="D47" i="71"/>
  <c r="B31" i="31"/>
  <c r="C52" i="71"/>
  <c r="C34" i="31"/>
  <c r="D55" i="71"/>
  <c r="B39" i="31"/>
  <c r="M236" i="31" s="1"/>
  <c r="C60" i="71"/>
  <c r="C50" i="31"/>
  <c r="D71" i="71"/>
  <c r="G23" i="12"/>
  <c r="D79" i="71"/>
  <c r="F25" i="12"/>
  <c r="C84" i="71"/>
  <c r="C65" i="31"/>
  <c r="D86" i="71"/>
  <c r="B77" i="31"/>
  <c r="M268" i="31" s="1"/>
  <c r="C98" i="71"/>
  <c r="C80" i="31"/>
  <c r="D101" i="71"/>
  <c r="C88" i="31"/>
  <c r="D109" i="71"/>
  <c r="D100" i="31"/>
  <c r="E121" i="71"/>
  <c r="B102" i="31"/>
  <c r="M291" i="31" s="1"/>
  <c r="C123" i="71"/>
  <c r="C105" i="31"/>
  <c r="D126" i="71"/>
  <c r="Q40" i="13"/>
  <c r="C130" i="71"/>
  <c r="R41" i="13"/>
  <c r="D133" i="71"/>
  <c r="D115" i="31"/>
  <c r="N301" i="31" s="1"/>
  <c r="E136" i="71"/>
  <c r="C120" i="31"/>
  <c r="D141" i="71"/>
  <c r="D123" i="31"/>
  <c r="N308" i="31" s="1"/>
  <c r="E144" i="71"/>
  <c r="C124" i="23"/>
  <c r="C146" i="71"/>
  <c r="R44" i="13"/>
  <c r="D148" i="71"/>
  <c r="B132" i="31"/>
  <c r="M316" i="31" s="1"/>
  <c r="C153" i="71"/>
  <c r="C135" i="31"/>
  <c r="D156" i="71"/>
  <c r="B140" i="31"/>
  <c r="C161" i="71"/>
  <c r="C143" i="31"/>
  <c r="D164" i="71"/>
  <c r="D146" i="31"/>
  <c r="E167" i="71"/>
  <c r="B148" i="31"/>
  <c r="M330" i="31" s="1"/>
  <c r="C169" i="71"/>
  <c r="C151" i="31"/>
  <c r="D172" i="71"/>
  <c r="D154" i="31"/>
  <c r="N338" i="31" s="1"/>
  <c r="E175" i="71"/>
  <c r="B163" i="31"/>
  <c r="M341" i="31" s="1"/>
  <c r="C184" i="71"/>
  <c r="R58" i="13"/>
  <c r="D187" i="71"/>
  <c r="C184" i="31"/>
  <c r="D205" i="71"/>
  <c r="B189" i="31"/>
  <c r="M366" i="31" s="1"/>
  <c r="C210" i="71"/>
  <c r="C192" i="31"/>
  <c r="D213" i="71"/>
  <c r="B197" i="31"/>
  <c r="M373" i="31" s="1"/>
  <c r="C218" i="71"/>
  <c r="C200" i="31"/>
  <c r="D221" i="71"/>
  <c r="C77" i="31"/>
  <c r="D98" i="71"/>
  <c r="B99" i="31"/>
  <c r="M289" i="31" s="1"/>
  <c r="C120" i="71"/>
  <c r="C102" i="31"/>
  <c r="D123" i="71"/>
  <c r="B107" i="31"/>
  <c r="C128" i="71"/>
  <c r="G50" i="12"/>
  <c r="D138" i="71"/>
  <c r="B129" i="31"/>
  <c r="M313" i="31" s="1"/>
  <c r="C150" i="71"/>
  <c r="C140" i="31"/>
  <c r="D161" i="71"/>
  <c r="G68" i="12"/>
  <c r="D177" i="71"/>
  <c r="B160" i="31"/>
  <c r="C181" i="71"/>
  <c r="C163" i="31"/>
  <c r="D184" i="71"/>
  <c r="B168" i="31"/>
  <c r="M346" i="31" s="1"/>
  <c r="C189" i="71"/>
  <c r="D174" i="31"/>
  <c r="N351" i="31" s="1"/>
  <c r="E195" i="71"/>
  <c r="C189" i="31"/>
  <c r="D210" i="71"/>
  <c r="C197" i="31"/>
  <c r="D218" i="71"/>
  <c r="F90" i="12"/>
  <c r="C223" i="71"/>
  <c r="J17" i="31"/>
  <c r="C36" i="3"/>
  <c r="C38" i="3"/>
  <c r="C39" i="3"/>
  <c r="DV19" i="71"/>
  <c r="EC19" i="71" s="1"/>
  <c r="CT20" i="71"/>
  <c r="CV19" i="71"/>
  <c r="CW20" i="71" s="1"/>
  <c r="A5" i="2"/>
  <c r="A6" i="2" s="1"/>
  <c r="D4" i="2"/>
  <c r="P4" i="2"/>
  <c r="AO4" i="3"/>
  <c r="AO9" i="3"/>
  <c r="AO6" i="3"/>
  <c r="AO7" i="3"/>
  <c r="AO10" i="3"/>
  <c r="AO5" i="3"/>
  <c r="AO8" i="3"/>
  <c r="N37" i="3"/>
  <c r="O37" i="3" s="1"/>
  <c r="R37" i="3"/>
  <c r="S37" i="3" s="1"/>
  <c r="P37" i="3"/>
  <c r="Q37" i="3" s="1"/>
  <c r="V37" i="3"/>
  <c r="W37" i="3" s="1"/>
  <c r="N12" i="3"/>
  <c r="O12" i="3" s="1"/>
  <c r="V12" i="3"/>
  <c r="W12" i="3" s="1"/>
  <c r="R12" i="3"/>
  <c r="S12" i="3" s="1"/>
  <c r="P12" i="3"/>
  <c r="Q12" i="3" s="1"/>
  <c r="N18" i="3"/>
  <c r="O18" i="3" s="1"/>
  <c r="V18" i="3"/>
  <c r="W18" i="3" s="1"/>
  <c r="R18" i="3"/>
  <c r="S18" i="3" s="1"/>
  <c r="P18" i="3"/>
  <c r="Q18" i="3" s="1"/>
  <c r="N30" i="3"/>
  <c r="R30" i="3"/>
  <c r="V30" i="3"/>
  <c r="P30" i="3"/>
  <c r="N40" i="3"/>
  <c r="O40" i="3" s="1"/>
  <c r="P40" i="3"/>
  <c r="Q40" i="3" s="1"/>
  <c r="R40" i="3"/>
  <c r="S40" i="3" s="1"/>
  <c r="V40" i="3"/>
  <c r="W40" i="3" s="1"/>
  <c r="N29" i="3"/>
  <c r="R29" i="3"/>
  <c r="V29" i="3"/>
  <c r="P29" i="3"/>
  <c r="N13" i="3"/>
  <c r="O13" i="3" s="1"/>
  <c r="R13" i="3"/>
  <c r="S13" i="3" s="1"/>
  <c r="V13" i="3"/>
  <c r="W13" i="3" s="1"/>
  <c r="P13" i="3"/>
  <c r="Q13" i="3" s="1"/>
  <c r="N19" i="3"/>
  <c r="V19" i="3"/>
  <c r="R19" i="3"/>
  <c r="P19" i="3"/>
  <c r="N31" i="3"/>
  <c r="P31" i="3"/>
  <c r="R31" i="3"/>
  <c r="V31" i="3"/>
  <c r="N17" i="3"/>
  <c r="O17" i="3" s="1"/>
  <c r="P17" i="3"/>
  <c r="Q17" i="3" s="1"/>
  <c r="V17" i="3"/>
  <c r="W17" i="3" s="1"/>
  <c r="R17" i="3"/>
  <c r="S17" i="3" s="1"/>
  <c r="N20" i="3"/>
  <c r="V20" i="3"/>
  <c r="R20" i="3"/>
  <c r="P20" i="3"/>
  <c r="N32" i="3"/>
  <c r="P32" i="3"/>
  <c r="V32" i="3"/>
  <c r="R32" i="3"/>
  <c r="N14" i="3"/>
  <c r="O14" i="3" s="1"/>
  <c r="R14" i="3"/>
  <c r="S14" i="3" s="1"/>
  <c r="P14" i="3"/>
  <c r="Q14" i="3" s="1"/>
  <c r="V14" i="3"/>
  <c r="W14" i="3" s="1"/>
  <c r="N21" i="3"/>
  <c r="O21" i="3" s="1"/>
  <c r="R21" i="3"/>
  <c r="S21" i="3" s="1"/>
  <c r="P21" i="3"/>
  <c r="Q21" i="3" s="1"/>
  <c r="V21" i="3"/>
  <c r="W21" i="3" s="1"/>
  <c r="N33" i="3"/>
  <c r="O33" i="3" s="1"/>
  <c r="P33" i="3"/>
  <c r="Q33" i="3" s="1"/>
  <c r="V33" i="3"/>
  <c r="W33" i="3" s="1"/>
  <c r="R33" i="3"/>
  <c r="S33" i="3" s="1"/>
  <c r="N22" i="3"/>
  <c r="O22" i="3" s="1"/>
  <c r="R22" i="3"/>
  <c r="S22" i="3" s="1"/>
  <c r="P22" i="3"/>
  <c r="Q22" i="3" s="1"/>
  <c r="V22" i="3"/>
  <c r="W22" i="3" s="1"/>
  <c r="N34" i="3"/>
  <c r="O34" i="3" s="1"/>
  <c r="V34" i="3"/>
  <c r="W34" i="3" s="1"/>
  <c r="P34" i="3"/>
  <c r="Q34" i="3" s="1"/>
  <c r="R34" i="3"/>
  <c r="S34" i="3" s="1"/>
  <c r="N11" i="3"/>
  <c r="O11" i="3" s="1"/>
  <c r="V11" i="3"/>
  <c r="W11" i="3" s="1"/>
  <c r="P11" i="3"/>
  <c r="Q11" i="3" s="1"/>
  <c r="R11" i="3"/>
  <c r="S11" i="3" s="1"/>
  <c r="P10" i="3"/>
  <c r="R10" i="3"/>
  <c r="N15" i="3"/>
  <c r="O15" i="3" s="1"/>
  <c r="R15" i="3"/>
  <c r="S15" i="3" s="1"/>
  <c r="P15" i="3"/>
  <c r="Q15" i="3" s="1"/>
  <c r="V15" i="3"/>
  <c r="W15" i="3" s="1"/>
  <c r="N27" i="3"/>
  <c r="O27" i="3" s="1"/>
  <c r="V27" i="3"/>
  <c r="W27" i="3" s="1"/>
  <c r="P27" i="3"/>
  <c r="Q27" i="3" s="1"/>
  <c r="R27" i="3"/>
  <c r="S27" i="3" s="1"/>
  <c r="N35" i="3"/>
  <c r="O35" i="3" s="1"/>
  <c r="V35" i="3"/>
  <c r="W35" i="3" s="1"/>
  <c r="R35" i="3"/>
  <c r="S35" i="3" s="1"/>
  <c r="P35" i="3"/>
  <c r="Q35" i="3" s="1"/>
  <c r="N16" i="3"/>
  <c r="O16" i="3" s="1"/>
  <c r="P16" i="3"/>
  <c r="Q16" i="3" s="1"/>
  <c r="V16" i="3"/>
  <c r="W16" i="3" s="1"/>
  <c r="R16" i="3"/>
  <c r="S16" i="3" s="1"/>
  <c r="N28" i="3"/>
  <c r="O28" i="3" s="1"/>
  <c r="V28" i="3"/>
  <c r="W28" i="3" s="1"/>
  <c r="R28" i="3"/>
  <c r="S28" i="3" s="1"/>
  <c r="P28" i="3"/>
  <c r="Q28" i="3" s="1"/>
  <c r="N36" i="3"/>
  <c r="V36" i="3"/>
  <c r="W36" i="3" s="1"/>
  <c r="R36" i="3"/>
  <c r="S36" i="3" s="1"/>
  <c r="P36" i="3"/>
  <c r="T60" i="3"/>
  <c r="U60" i="3" s="1"/>
  <c r="T52" i="3"/>
  <c r="U52" i="3" s="1"/>
  <c r="T44" i="3"/>
  <c r="T36" i="3"/>
  <c r="T28" i="3"/>
  <c r="U28" i="3" s="1"/>
  <c r="T20" i="3"/>
  <c r="T12" i="3"/>
  <c r="U12" i="3" s="1"/>
  <c r="T29" i="3"/>
  <c r="T59" i="3"/>
  <c r="U59" i="3" s="1"/>
  <c r="T51" i="3"/>
  <c r="U51" i="3" s="1"/>
  <c r="T43" i="3"/>
  <c r="T35" i="3"/>
  <c r="T27" i="3"/>
  <c r="U27" i="3" s="1"/>
  <c r="T19" i="3"/>
  <c r="T11" i="3"/>
  <c r="U11" i="3" s="1"/>
  <c r="T13" i="3"/>
  <c r="U13" i="3" s="1"/>
  <c r="T58" i="3"/>
  <c r="U58" i="3" s="1"/>
  <c r="T50" i="3"/>
  <c r="U50" i="3" s="1"/>
  <c r="T42" i="3"/>
  <c r="T34" i="3"/>
  <c r="T26" i="3"/>
  <c r="U26" i="3" s="1"/>
  <c r="T18" i="3"/>
  <c r="U18" i="3" s="1"/>
  <c r="T53" i="3"/>
  <c r="U53" i="3" s="1"/>
  <c r="T57" i="3"/>
  <c r="U57" i="3" s="1"/>
  <c r="T49" i="3"/>
  <c r="U49" i="3" s="1"/>
  <c r="T41" i="3"/>
  <c r="T33" i="3"/>
  <c r="U33" i="3" s="1"/>
  <c r="T25" i="3"/>
  <c r="U25" i="3" s="1"/>
  <c r="T17" i="3"/>
  <c r="U17" i="3" s="1"/>
  <c r="T56" i="3"/>
  <c r="U56" i="3" s="1"/>
  <c r="T48" i="3"/>
  <c r="U48" i="3" s="1"/>
  <c r="T40" i="3"/>
  <c r="U40" i="3" s="1"/>
  <c r="T32" i="3"/>
  <c r="T24" i="3"/>
  <c r="U24" i="3" s="1"/>
  <c r="T16" i="3"/>
  <c r="U16" i="3" s="1"/>
  <c r="T21" i="3"/>
  <c r="U21" i="3" s="1"/>
  <c r="T55" i="3"/>
  <c r="U55" i="3" s="1"/>
  <c r="T47" i="3"/>
  <c r="U47" i="3" s="1"/>
  <c r="T31" i="3"/>
  <c r="T23" i="3"/>
  <c r="U23" i="3" s="1"/>
  <c r="T15" i="3"/>
  <c r="U15" i="3" s="1"/>
  <c r="T45" i="3"/>
  <c r="T54" i="3"/>
  <c r="U54" i="3" s="1"/>
  <c r="T46" i="3"/>
  <c r="U46" i="3" s="1"/>
  <c r="T30" i="3"/>
  <c r="T22" i="3"/>
  <c r="U22" i="3" s="1"/>
  <c r="T14" i="3"/>
  <c r="U14" i="3" s="1"/>
  <c r="T37" i="3"/>
  <c r="U37" i="3" s="1"/>
  <c r="O3" i="2"/>
  <c r="J10" i="3"/>
  <c r="N10" i="3"/>
  <c r="J13" i="3"/>
  <c r="K13" i="3" s="1"/>
  <c r="L13" i="3"/>
  <c r="M13" i="3" s="1"/>
  <c r="J19" i="3"/>
  <c r="L19" i="3"/>
  <c r="J31" i="3"/>
  <c r="L31" i="3"/>
  <c r="J30" i="3"/>
  <c r="L30" i="3"/>
  <c r="J20" i="3"/>
  <c r="L20" i="3"/>
  <c r="J32" i="3"/>
  <c r="L32" i="3"/>
  <c r="J14" i="3"/>
  <c r="K14" i="3" s="1"/>
  <c r="L14" i="3"/>
  <c r="M14" i="3" s="1"/>
  <c r="J21" i="3"/>
  <c r="K21" i="3" s="1"/>
  <c r="L21" i="3"/>
  <c r="M21" i="3" s="1"/>
  <c r="J33" i="3"/>
  <c r="K33" i="3" s="1"/>
  <c r="L33" i="3"/>
  <c r="M33" i="3" s="1"/>
  <c r="J22" i="3"/>
  <c r="K22" i="3" s="1"/>
  <c r="L22" i="3"/>
  <c r="M22" i="3" s="1"/>
  <c r="J34" i="3"/>
  <c r="K34" i="3" s="1"/>
  <c r="L34" i="3"/>
  <c r="M34" i="3" s="1"/>
  <c r="J12" i="3"/>
  <c r="K12" i="3" s="1"/>
  <c r="L12" i="3"/>
  <c r="M12" i="3" s="1"/>
  <c r="J15" i="3"/>
  <c r="K15" i="3" s="1"/>
  <c r="L15" i="3"/>
  <c r="M15" i="3" s="1"/>
  <c r="J27" i="3"/>
  <c r="K27" i="3" s="1"/>
  <c r="L27" i="3"/>
  <c r="M27" i="3" s="1"/>
  <c r="J35" i="3"/>
  <c r="K35" i="3" s="1"/>
  <c r="L35" i="3"/>
  <c r="M35" i="3" s="1"/>
  <c r="J40" i="3"/>
  <c r="K40" i="3" s="1"/>
  <c r="L40" i="3"/>
  <c r="M40" i="3" s="1"/>
  <c r="J16" i="3"/>
  <c r="K16" i="3" s="1"/>
  <c r="L16" i="3"/>
  <c r="M16" i="3" s="1"/>
  <c r="J28" i="3"/>
  <c r="K28" i="3" s="1"/>
  <c r="L28" i="3"/>
  <c r="M28" i="3" s="1"/>
  <c r="J36" i="3"/>
  <c r="K36" i="3" s="1"/>
  <c r="L36" i="3"/>
  <c r="M36" i="3" s="1"/>
  <c r="J18" i="3"/>
  <c r="K18" i="3" s="1"/>
  <c r="L18" i="3"/>
  <c r="M18" i="3" s="1"/>
  <c r="J11" i="3"/>
  <c r="K11" i="3" s="1"/>
  <c r="L11" i="3"/>
  <c r="M11" i="3" s="1"/>
  <c r="J17" i="3"/>
  <c r="K17" i="3" s="1"/>
  <c r="L17" i="3"/>
  <c r="M17" i="3" s="1"/>
  <c r="J29" i="3"/>
  <c r="L29" i="3"/>
  <c r="J37" i="3"/>
  <c r="K37" i="3" s="1"/>
  <c r="L37" i="3"/>
  <c r="M37" i="3" s="1"/>
  <c r="O4" i="2"/>
  <c r="L5" i="2"/>
  <c r="M4" i="2"/>
  <c r="L4" i="2"/>
  <c r="K4" i="2"/>
  <c r="N4" i="2"/>
  <c r="J4" i="2"/>
  <c r="I4" i="2"/>
  <c r="V11" i="49"/>
  <c r="V68" i="49" s="1"/>
  <c r="I98" i="49" s="1"/>
  <c r="P119" i="73"/>
  <c r="C412" i="74" s="1"/>
  <c r="V12" i="72"/>
  <c r="C187" i="74" s="1"/>
  <c r="P30" i="73"/>
  <c r="C324" i="74" s="1"/>
  <c r="V35" i="72"/>
  <c r="C210" i="74" s="1"/>
  <c r="S69" i="49"/>
  <c r="K95" i="49" s="1"/>
  <c r="T69" i="49"/>
  <c r="K96" i="49" s="1"/>
  <c r="S67" i="49"/>
  <c r="T67" i="49"/>
  <c r="N10" i="49"/>
  <c r="N67" i="49" s="1"/>
  <c r="M12" i="49"/>
  <c r="M69" i="49" s="1"/>
  <c r="K90" i="49" s="1"/>
  <c r="V10" i="3"/>
  <c r="N12" i="39"/>
  <c r="K12" i="39"/>
  <c r="C62" i="31"/>
  <c r="C14" i="39"/>
  <c r="C16" i="39"/>
  <c r="C18" i="39"/>
  <c r="C114" i="31"/>
  <c r="C177" i="23"/>
  <c r="K7" i="39"/>
  <c r="N7" i="39"/>
  <c r="C13" i="39"/>
  <c r="C107" i="23"/>
  <c r="C15" i="39"/>
  <c r="C17" i="39"/>
  <c r="C156" i="31"/>
  <c r="B43" i="31"/>
  <c r="M240" i="31" s="1"/>
  <c r="C10" i="39"/>
  <c r="AN5" i="3"/>
  <c r="AM7" i="3"/>
  <c r="T10" i="3"/>
  <c r="AM5" i="3"/>
  <c r="AN4" i="3"/>
  <c r="H10" i="49"/>
  <c r="V10" i="49"/>
  <c r="P11" i="49"/>
  <c r="P68" i="49" s="1"/>
  <c r="I92" i="49" s="1"/>
  <c r="L10" i="49"/>
  <c r="M10" i="49"/>
  <c r="P10" i="49"/>
  <c r="E10" i="49"/>
  <c r="Q10" i="49"/>
  <c r="E11" i="49"/>
  <c r="N12" i="49"/>
  <c r="N69" i="49" s="1"/>
  <c r="K91" i="49" s="1"/>
  <c r="F10" i="49"/>
  <c r="R10" i="49"/>
  <c r="F11" i="49"/>
  <c r="Q12" i="49"/>
  <c r="Q69" i="49" s="1"/>
  <c r="K93" i="49" s="1"/>
  <c r="AM4" i="3"/>
  <c r="G10" i="49"/>
  <c r="U10" i="49"/>
  <c r="M11" i="49"/>
  <c r="M68" i="49" s="1"/>
  <c r="I90" i="49" s="1"/>
  <c r="C15" i="49"/>
  <c r="B29" i="49"/>
  <c r="B39" i="3"/>
  <c r="C16" i="49"/>
  <c r="C26" i="49"/>
  <c r="AF3" i="31"/>
  <c r="B38" i="3"/>
  <c r="B28" i="49"/>
  <c r="C28" i="49"/>
  <c r="C29" i="49"/>
  <c r="L10" i="3"/>
  <c r="N11" i="49"/>
  <c r="N68" i="49" s="1"/>
  <c r="I91" i="49" s="1"/>
  <c r="AM10" i="3"/>
  <c r="P12" i="49"/>
  <c r="P69" i="49" s="1"/>
  <c r="K92" i="49" s="1"/>
  <c r="AM9" i="3"/>
  <c r="G101" i="49"/>
  <c r="G11" i="49"/>
  <c r="G68" i="49" s="1"/>
  <c r="I85" i="49" s="1"/>
  <c r="Q11" i="49"/>
  <c r="Q68" i="49" s="1"/>
  <c r="I93" i="49" s="1"/>
  <c r="U12" i="49"/>
  <c r="U69" i="49" s="1"/>
  <c r="K97" i="49" s="1"/>
  <c r="I101" i="49"/>
  <c r="H11" i="49"/>
  <c r="H68" i="49" s="1"/>
  <c r="I86" i="49" s="1"/>
  <c r="R11" i="49"/>
  <c r="R68" i="49" s="1"/>
  <c r="I94" i="49" s="1"/>
  <c r="E12" i="49"/>
  <c r="V12" i="49"/>
  <c r="V69" i="49" s="1"/>
  <c r="K98" i="49" s="1"/>
  <c r="K101" i="49"/>
  <c r="U11" i="49"/>
  <c r="U68" i="49" s="1"/>
  <c r="I97" i="49" s="1"/>
  <c r="L12" i="49"/>
  <c r="W12" i="49"/>
  <c r="W62" i="49" s="1"/>
  <c r="L11" i="49"/>
  <c r="J79" i="31"/>
  <c r="U36" i="72"/>
  <c r="B211" i="74" s="1"/>
  <c r="Q26" i="13"/>
  <c r="F26" i="12"/>
  <c r="G71" i="23"/>
  <c r="S30" i="13"/>
  <c r="B530" i="74" s="1"/>
  <c r="D72" i="31"/>
  <c r="C73" i="23"/>
  <c r="G40" i="12"/>
  <c r="R36" i="13"/>
  <c r="C91" i="31"/>
  <c r="B93" i="31"/>
  <c r="C92" i="23"/>
  <c r="P32" i="73"/>
  <c r="C326" i="74" s="1"/>
  <c r="V32" i="72"/>
  <c r="C207" i="74" s="1"/>
  <c r="P42" i="73"/>
  <c r="C336" i="74" s="1"/>
  <c r="V43" i="72"/>
  <c r="C218" i="74" s="1"/>
  <c r="R5" i="13"/>
  <c r="G3" i="12"/>
  <c r="C11" i="31"/>
  <c r="G13" i="23"/>
  <c r="S7" i="13"/>
  <c r="B507" i="74" s="1"/>
  <c r="H4" i="12"/>
  <c r="B424" i="74" s="1"/>
  <c r="Q9" i="13"/>
  <c r="B16" i="31"/>
  <c r="M217" i="31" s="1"/>
  <c r="R10" i="13"/>
  <c r="G7" i="12"/>
  <c r="C19" i="31"/>
  <c r="G21" i="23"/>
  <c r="H9" i="12"/>
  <c r="B429" i="74" s="1"/>
  <c r="S12" i="13"/>
  <c r="B512" i="74" s="1"/>
  <c r="D22" i="31"/>
  <c r="F10" i="12"/>
  <c r="B24" i="31"/>
  <c r="M224" i="31" s="1"/>
  <c r="G11" i="12"/>
  <c r="C27" i="31"/>
  <c r="G29" i="23"/>
  <c r="S14" i="13"/>
  <c r="B514" i="74" s="1"/>
  <c r="H13" i="12"/>
  <c r="B432" i="74" s="1"/>
  <c r="D30" i="31"/>
  <c r="Q15" i="13"/>
  <c r="B32" i="31"/>
  <c r="M230" i="31" s="1"/>
  <c r="G37" i="23"/>
  <c r="S16" i="13"/>
  <c r="B516" i="74" s="1"/>
  <c r="H15" i="12"/>
  <c r="B434" i="74" s="1"/>
  <c r="D38" i="31"/>
  <c r="R18" i="13"/>
  <c r="C43" i="31"/>
  <c r="G45" i="23"/>
  <c r="D46" i="31"/>
  <c r="J46" i="31" s="1"/>
  <c r="F19" i="12"/>
  <c r="B48" i="31"/>
  <c r="M244" i="31" s="1"/>
  <c r="G53" i="23"/>
  <c r="Q24" i="13"/>
  <c r="B56" i="31"/>
  <c r="M252" i="31" s="1"/>
  <c r="G24" i="12"/>
  <c r="C59" i="31"/>
  <c r="G61" i="23"/>
  <c r="S25" i="13"/>
  <c r="B525" i="74" s="1"/>
  <c r="D62" i="31"/>
  <c r="C63" i="23"/>
  <c r="B64" i="31"/>
  <c r="G73" i="23"/>
  <c r="D74" i="31"/>
  <c r="J74" i="31" s="1"/>
  <c r="G75" i="23"/>
  <c r="H31" i="12"/>
  <c r="B447" i="74" s="1"/>
  <c r="D76" i="31"/>
  <c r="N267" i="31" s="1"/>
  <c r="G32" i="12"/>
  <c r="C81" i="31"/>
  <c r="G83" i="23"/>
  <c r="S33" i="13"/>
  <c r="B533" i="74" s="1"/>
  <c r="H35" i="12"/>
  <c r="B451" i="74" s="1"/>
  <c r="D84" i="31"/>
  <c r="N275" i="31" s="1"/>
  <c r="R35" i="13"/>
  <c r="G39" i="12"/>
  <c r="C89" i="31"/>
  <c r="R57" i="13"/>
  <c r="G88" i="12"/>
  <c r="C162" i="31"/>
  <c r="G164" i="23"/>
  <c r="D165" i="31"/>
  <c r="N343" i="31" s="1"/>
  <c r="Q59" i="13"/>
  <c r="B167" i="31"/>
  <c r="M345" i="31" s="1"/>
  <c r="G71" i="12"/>
  <c r="R61" i="13"/>
  <c r="C170" i="31"/>
  <c r="G172" i="23"/>
  <c r="D173" i="31"/>
  <c r="F75" i="12"/>
  <c r="B175" i="31"/>
  <c r="M352" i="31" s="1"/>
  <c r="F79" i="12"/>
  <c r="B180" i="31"/>
  <c r="M356" i="31" s="1"/>
  <c r="G185" i="23"/>
  <c r="H82" i="12"/>
  <c r="B496" i="74" s="1"/>
  <c r="D186" i="31"/>
  <c r="R67" i="13"/>
  <c r="C191" i="31"/>
  <c r="G193" i="23"/>
  <c r="H85" i="12"/>
  <c r="B499" i="74" s="1"/>
  <c r="S66" i="13"/>
  <c r="B566" i="74" s="1"/>
  <c r="D194" i="31"/>
  <c r="G201" i="23"/>
  <c r="H90" i="12"/>
  <c r="B504" i="74" s="1"/>
  <c r="D202" i="31"/>
  <c r="N378" i="31" s="1"/>
  <c r="B29" i="31"/>
  <c r="M228" i="31" s="1"/>
  <c r="G5" i="23"/>
  <c r="D6" i="31"/>
  <c r="N209" i="31" s="1"/>
  <c r="G10" i="23"/>
  <c r="S5" i="13"/>
  <c r="H3" i="12"/>
  <c r="B423" i="74" s="1"/>
  <c r="D11" i="31"/>
  <c r="N213" i="31" s="1"/>
  <c r="R9" i="13"/>
  <c r="C16" i="31"/>
  <c r="G18" i="23"/>
  <c r="H7" i="12"/>
  <c r="B427" i="74" s="1"/>
  <c r="S10" i="13"/>
  <c r="B510" i="74" s="1"/>
  <c r="D19" i="31"/>
  <c r="N219" i="31" s="1"/>
  <c r="Q11" i="13"/>
  <c r="B21" i="31"/>
  <c r="M221" i="31" s="1"/>
  <c r="G10" i="12"/>
  <c r="C24" i="31"/>
  <c r="G26" i="23"/>
  <c r="H11" i="12"/>
  <c r="D27" i="31"/>
  <c r="N226" i="31" s="1"/>
  <c r="R15" i="13"/>
  <c r="C32" i="31"/>
  <c r="G34" i="23"/>
  <c r="H42" i="12"/>
  <c r="B458" i="74" s="1"/>
  <c r="D35" i="31"/>
  <c r="F14" i="12"/>
  <c r="B37" i="31"/>
  <c r="M234" i="31" s="1"/>
  <c r="G42" i="23"/>
  <c r="S18" i="13"/>
  <c r="B518" i="74" s="1"/>
  <c r="D43" i="31"/>
  <c r="U34" i="72"/>
  <c r="B209" i="74" s="1"/>
  <c r="G63" i="23"/>
  <c r="D64" i="31"/>
  <c r="J64" i="31" s="1"/>
  <c r="G65" i="23"/>
  <c r="S26" i="13"/>
  <c r="B526" i="74" s="1"/>
  <c r="H26" i="12"/>
  <c r="B443" i="74" s="1"/>
  <c r="D66" i="31"/>
  <c r="G28" i="12"/>
  <c r="R29" i="13"/>
  <c r="C71" i="31"/>
  <c r="G97" i="23"/>
  <c r="D98" i="31"/>
  <c r="G53" i="12"/>
  <c r="C128" i="31"/>
  <c r="G130" i="23"/>
  <c r="H54" i="12"/>
  <c r="B469" i="74" s="1"/>
  <c r="D131" i="31"/>
  <c r="F56" i="12"/>
  <c r="Q46" i="13"/>
  <c r="B133" i="31"/>
  <c r="M317" i="31" s="1"/>
  <c r="R47" i="13"/>
  <c r="G57" i="12"/>
  <c r="C136" i="31"/>
  <c r="G138" i="23"/>
  <c r="H59" i="12"/>
  <c r="B474" i="74" s="1"/>
  <c r="D139" i="31"/>
  <c r="N322" i="31" s="1"/>
  <c r="G61" i="12"/>
  <c r="C144" i="31"/>
  <c r="G146" i="23"/>
  <c r="S52" i="13"/>
  <c r="B552" i="74" s="1"/>
  <c r="H64" i="12"/>
  <c r="B479" i="74" s="1"/>
  <c r="D147" i="31"/>
  <c r="Q54" i="13"/>
  <c r="B149" i="31"/>
  <c r="M331" i="31" s="1"/>
  <c r="R56" i="13"/>
  <c r="C152" i="31"/>
  <c r="G154" i="23"/>
  <c r="D155" i="31"/>
  <c r="J155" i="31" s="1"/>
  <c r="U100" i="72"/>
  <c r="B275" i="74" s="1"/>
  <c r="P8" i="73"/>
  <c r="C302" i="74" s="1"/>
  <c r="V8" i="72"/>
  <c r="C183" i="74" s="1"/>
  <c r="P10" i="73"/>
  <c r="C304" i="74" s="1"/>
  <c r="V10" i="72"/>
  <c r="C185" i="74" s="1"/>
  <c r="V16" i="72"/>
  <c r="C191" i="74" s="1"/>
  <c r="P15" i="73"/>
  <c r="C309" i="74" s="1"/>
  <c r="C35" i="31"/>
  <c r="P46" i="73"/>
  <c r="C340" i="74" s="1"/>
  <c r="V47" i="72"/>
  <c r="C222" i="74" s="1"/>
  <c r="D3" i="17"/>
  <c r="K3" i="18" s="1"/>
  <c r="AE5" i="11"/>
  <c r="AE5" i="15" s="1"/>
  <c r="AE4" i="11"/>
  <c r="AE4" i="15" s="1"/>
  <c r="AB2" i="11"/>
  <c r="AB2" i="15" s="1"/>
  <c r="R4" i="10"/>
  <c r="R3" i="10"/>
  <c r="G5" i="17"/>
  <c r="N5" i="18" s="1"/>
  <c r="AB9" i="11"/>
  <c r="AB9" i="15" s="1"/>
  <c r="AE8" i="11"/>
  <c r="AE8" i="15" s="1"/>
  <c r="AE7" i="11"/>
  <c r="AE7" i="15" s="1"/>
  <c r="AE6" i="11"/>
  <c r="AE6" i="15" s="1"/>
  <c r="AB5" i="11"/>
  <c r="AB5" i="15" s="1"/>
  <c r="D5" i="17"/>
  <c r="K5" i="18" s="1"/>
  <c r="G2" i="17"/>
  <c r="N2" i="18" s="1"/>
  <c r="AB8" i="11"/>
  <c r="AB8" i="15" s="1"/>
  <c r="AB7" i="11"/>
  <c r="AB7" i="15" s="1"/>
  <c r="AB6" i="11"/>
  <c r="AB6" i="15" s="1"/>
  <c r="G7" i="17"/>
  <c r="N7" i="18" s="1"/>
  <c r="D2" i="17"/>
  <c r="K2" i="18" s="1"/>
  <c r="AE3" i="11"/>
  <c r="D7" i="17"/>
  <c r="K7" i="18" s="1"/>
  <c r="G4" i="17"/>
  <c r="N4" i="18" s="1"/>
  <c r="AB3" i="11"/>
  <c r="AB3" i="15" s="1"/>
  <c r="O7" i="10"/>
  <c r="R2" i="10"/>
  <c r="D4" i="17"/>
  <c r="K4" i="18" s="1"/>
  <c r="O2" i="10"/>
  <c r="G14" i="19"/>
  <c r="D9" i="19"/>
  <c r="G6" i="19"/>
  <c r="G6" i="17"/>
  <c r="N6" i="18" s="1"/>
  <c r="G9" i="20"/>
  <c r="G9" i="21" s="1"/>
  <c r="G7" i="20"/>
  <c r="G7" i="21" s="1"/>
  <c r="G5" i="20"/>
  <c r="G5" i="21" s="1"/>
  <c r="D6" i="17"/>
  <c r="K6" i="18" s="1"/>
  <c r="G3" i="17"/>
  <c r="AE9" i="11"/>
  <c r="AE2" i="11"/>
  <c r="AE2" i="15" s="1"/>
  <c r="D9" i="20"/>
  <c r="D9" i="21" s="1"/>
  <c r="D7" i="20"/>
  <c r="D7" i="21" s="1"/>
  <c r="D5" i="20"/>
  <c r="D5" i="21" s="1"/>
  <c r="AB4" i="11"/>
  <c r="AB4" i="15" s="1"/>
  <c r="O5" i="10"/>
  <c r="G8" i="20"/>
  <c r="G3" i="20"/>
  <c r="D2" i="19"/>
  <c r="G15" i="25"/>
  <c r="D14" i="25"/>
  <c r="G7" i="25"/>
  <c r="D6" i="25"/>
  <c r="R6" i="10"/>
  <c r="D8" i="20"/>
  <c r="D8" i="21" s="1"/>
  <c r="D3" i="20"/>
  <c r="D3" i="21" s="1"/>
  <c r="G13" i="19"/>
  <c r="G10" i="19"/>
  <c r="G7" i="19"/>
  <c r="G4" i="19"/>
  <c r="G15" i="24"/>
  <c r="G14" i="24"/>
  <c r="G13" i="24"/>
  <c r="G12" i="24"/>
  <c r="O6" i="10"/>
  <c r="D13" i="19"/>
  <c r="D10" i="19"/>
  <c r="D7" i="19"/>
  <c r="D4" i="19"/>
  <c r="G13" i="25"/>
  <c r="D12" i="25"/>
  <c r="G5" i="25"/>
  <c r="G10" i="20"/>
  <c r="G10" i="21" s="1"/>
  <c r="G16" i="25"/>
  <c r="D15" i="25"/>
  <c r="G8" i="25"/>
  <c r="D7" i="25"/>
  <c r="R7" i="10"/>
  <c r="D10" i="20"/>
  <c r="D10" i="21" s="1"/>
  <c r="G4" i="20"/>
  <c r="G4" i="21" s="1"/>
  <c r="G2" i="20"/>
  <c r="G2" i="21" s="1"/>
  <c r="G12" i="19"/>
  <c r="G9" i="19"/>
  <c r="F9" i="19" s="1"/>
  <c r="C39" i="74" s="1"/>
  <c r="D6" i="19"/>
  <c r="G3" i="19"/>
  <c r="D15" i="24"/>
  <c r="D14" i="24"/>
  <c r="D13" i="24"/>
  <c r="D12" i="24"/>
  <c r="G11" i="25"/>
  <c r="O3" i="10"/>
  <c r="D4" i="20"/>
  <c r="D4" i="21" s="1"/>
  <c r="D2" i="20"/>
  <c r="D2" i="21" s="1"/>
  <c r="D12" i="19"/>
  <c r="D3" i="19"/>
  <c r="G14" i="25"/>
  <c r="D13" i="25"/>
  <c r="G6" i="25"/>
  <c r="D5" i="25"/>
  <c r="O4" i="10"/>
  <c r="Q4" i="10" s="1"/>
  <c r="G6" i="20"/>
  <c r="G6" i="21" s="1"/>
  <c r="G11" i="19"/>
  <c r="G8" i="19"/>
  <c r="G5" i="19"/>
  <c r="G11" i="24"/>
  <c r="G10" i="24"/>
  <c r="G9" i="24"/>
  <c r="G8" i="24"/>
  <c r="R5" i="10"/>
  <c r="Q5" i="10" s="1"/>
  <c r="D6" i="20"/>
  <c r="D6" i="21" s="1"/>
  <c r="D14" i="19"/>
  <c r="F14" i="19" s="1"/>
  <c r="C44" i="74" s="1"/>
  <c r="D11" i="19"/>
  <c r="D8" i="19"/>
  <c r="D5" i="19"/>
  <c r="G2" i="19"/>
  <c r="G12" i="25"/>
  <c r="D11" i="25"/>
  <c r="G4" i="25"/>
  <c r="D3" i="25"/>
  <c r="D3" i="24"/>
  <c r="D8" i="25"/>
  <c r="D4" i="25"/>
  <c r="D8" i="24"/>
  <c r="G5" i="24"/>
  <c r="G3" i="25"/>
  <c r="D5" i="24"/>
  <c r="G2" i="24"/>
  <c r="D11" i="24"/>
  <c r="G7" i="24"/>
  <c r="D2" i="24"/>
  <c r="G10" i="25"/>
  <c r="D7" i="24"/>
  <c r="G4" i="24"/>
  <c r="D16" i="25"/>
  <c r="D10" i="25"/>
  <c r="D10" i="24"/>
  <c r="D4" i="24"/>
  <c r="G9" i="25"/>
  <c r="D2" i="25"/>
  <c r="G6" i="24"/>
  <c r="D9" i="25"/>
  <c r="D9" i="24"/>
  <c r="D6" i="24"/>
  <c r="G3" i="24"/>
  <c r="F3" i="24" s="1"/>
  <c r="B5" i="31"/>
  <c r="M208" i="31" s="1"/>
  <c r="C7" i="23"/>
  <c r="C4" i="88" s="1"/>
  <c r="E4" i="88" s="1"/>
  <c r="B597" i="74" s="1"/>
  <c r="C12" i="23"/>
  <c r="G15" i="23"/>
  <c r="S9" i="13"/>
  <c r="B509" i="74" s="1"/>
  <c r="D16" i="31"/>
  <c r="N217" i="31" s="1"/>
  <c r="R11" i="13"/>
  <c r="C21" i="31"/>
  <c r="G23" i="23"/>
  <c r="H10" i="12"/>
  <c r="B430" i="74" s="1"/>
  <c r="G12" i="12"/>
  <c r="C29" i="31"/>
  <c r="G31" i="23"/>
  <c r="S15" i="13"/>
  <c r="B515" i="74" s="1"/>
  <c r="D32" i="31"/>
  <c r="G14" i="12"/>
  <c r="C37" i="31"/>
  <c r="G39" i="23"/>
  <c r="D40" i="31"/>
  <c r="Q17" i="13"/>
  <c r="F16" i="12"/>
  <c r="B42" i="31"/>
  <c r="M239" i="31" s="1"/>
  <c r="G47" i="23"/>
  <c r="H19" i="12"/>
  <c r="B437" i="74" s="1"/>
  <c r="D48" i="31"/>
  <c r="G20" i="12"/>
  <c r="R23" i="13"/>
  <c r="C53" i="31"/>
  <c r="G55" i="23"/>
  <c r="S24" i="13"/>
  <c r="B524" i="74" s="1"/>
  <c r="D56" i="31"/>
  <c r="N252" i="31" s="1"/>
  <c r="F23" i="12"/>
  <c r="B58" i="31"/>
  <c r="M254" i="31" s="1"/>
  <c r="F41" i="12"/>
  <c r="Q37" i="13"/>
  <c r="B92" i="31"/>
  <c r="M282" i="31" s="1"/>
  <c r="G94" i="23"/>
  <c r="D95" i="31"/>
  <c r="F45" i="12"/>
  <c r="B97" i="31"/>
  <c r="M286" i="31" s="1"/>
  <c r="G102" i="23"/>
  <c r="S39" i="13"/>
  <c r="B539" i="74" s="1"/>
  <c r="D103" i="31"/>
  <c r="G46" i="12"/>
  <c r="C110" i="31"/>
  <c r="G112" i="23"/>
  <c r="H47" i="12"/>
  <c r="B462" i="74" s="1"/>
  <c r="D113" i="31"/>
  <c r="F49" i="12"/>
  <c r="B115" i="31"/>
  <c r="M301" i="31" s="1"/>
  <c r="G120" i="23"/>
  <c r="H51" i="12"/>
  <c r="B466" i="74" s="1"/>
  <c r="D121" i="31"/>
  <c r="U72" i="72"/>
  <c r="B247" i="74" s="1"/>
  <c r="O71" i="73"/>
  <c r="B365" i="74" s="1"/>
  <c r="O78" i="73"/>
  <c r="B372" i="74" s="1"/>
  <c r="U79" i="72"/>
  <c r="B254" i="74" s="1"/>
  <c r="O91" i="73"/>
  <c r="B385" i="74" s="1"/>
  <c r="U92" i="72"/>
  <c r="B267" i="74" s="1"/>
  <c r="G67" i="23"/>
  <c r="D68" i="31"/>
  <c r="Q28" i="13"/>
  <c r="B70" i="31"/>
  <c r="M263" i="31" s="1"/>
  <c r="G74" i="23"/>
  <c r="D75" i="31"/>
  <c r="J75" i="31" s="1"/>
  <c r="G82" i="23"/>
  <c r="H34" i="12"/>
  <c r="B450" i="74" s="1"/>
  <c r="S32" i="13"/>
  <c r="B532" i="74" s="1"/>
  <c r="D83" i="31"/>
  <c r="Q34" i="13"/>
  <c r="F36" i="12"/>
  <c r="B85" i="31"/>
  <c r="M276" i="31" s="1"/>
  <c r="R37" i="13"/>
  <c r="G41" i="12"/>
  <c r="C92" i="31"/>
  <c r="U64" i="72"/>
  <c r="B239" i="74" s="1"/>
  <c r="O63" i="73"/>
  <c r="B357" i="74" s="1"/>
  <c r="O114" i="73"/>
  <c r="B407" i="74" s="1"/>
  <c r="U115" i="72"/>
  <c r="B289" i="74" s="1"/>
  <c r="B12" i="31"/>
  <c r="M214" i="31" s="1"/>
  <c r="P23" i="73"/>
  <c r="C317" i="74" s="1"/>
  <c r="V24" i="72"/>
  <c r="C199" i="74" s="1"/>
  <c r="C48" i="31"/>
  <c r="B74" i="31"/>
  <c r="G4" i="23"/>
  <c r="D5" i="31"/>
  <c r="G2" i="25"/>
  <c r="G10" i="31"/>
  <c r="R8" i="13"/>
  <c r="G5" i="12"/>
  <c r="C15" i="31"/>
  <c r="G17" i="23"/>
  <c r="D18" i="31"/>
  <c r="J18" i="31" s="1"/>
  <c r="F8" i="12"/>
  <c r="B20" i="31"/>
  <c r="M220" i="31" s="1"/>
  <c r="G25" i="23"/>
  <c r="D26" i="31"/>
  <c r="Q13" i="13"/>
  <c r="B28" i="31"/>
  <c r="M227" i="31" s="1"/>
  <c r="G33" i="23"/>
  <c r="D34" i="31"/>
  <c r="G41" i="23"/>
  <c r="S17" i="13"/>
  <c r="B517" i="74" s="1"/>
  <c r="H16" i="12"/>
  <c r="B435" i="74" s="1"/>
  <c r="D42" i="31"/>
  <c r="F17" i="12"/>
  <c r="Q19" i="13"/>
  <c r="B44" i="31"/>
  <c r="M241" i="31" s="1"/>
  <c r="G18" i="12"/>
  <c r="C47" i="31"/>
  <c r="G49" i="23"/>
  <c r="D50" i="31"/>
  <c r="Q21" i="13"/>
  <c r="B52" i="31"/>
  <c r="M249" i="31" s="1"/>
  <c r="G21" i="12"/>
  <c r="C55" i="31"/>
  <c r="G57" i="23"/>
  <c r="H23" i="12"/>
  <c r="B441" i="74" s="1"/>
  <c r="D58" i="31"/>
  <c r="N254" i="31" s="1"/>
  <c r="G25" i="12"/>
  <c r="C63" i="31"/>
  <c r="G64" i="23"/>
  <c r="D65" i="31"/>
  <c r="N258" i="31" s="1"/>
  <c r="Q27" i="13"/>
  <c r="F27" i="12"/>
  <c r="B67" i="31"/>
  <c r="M260" i="31" s="1"/>
  <c r="R28" i="13"/>
  <c r="C70" i="31"/>
  <c r="G72" i="23"/>
  <c r="H29" i="12"/>
  <c r="B446" i="74" s="1"/>
  <c r="D73" i="31"/>
  <c r="G79" i="23"/>
  <c r="D80" i="31"/>
  <c r="N271" i="31" s="1"/>
  <c r="F33" i="12"/>
  <c r="B82" i="31"/>
  <c r="M273" i="31" s="1"/>
  <c r="R34" i="13"/>
  <c r="G36" i="12"/>
  <c r="C85" i="31"/>
  <c r="G87" i="23"/>
  <c r="D88" i="31"/>
  <c r="N279" i="31" s="1"/>
  <c r="B90" i="31"/>
  <c r="C89" i="23"/>
  <c r="C2" i="17" s="1"/>
  <c r="J2" i="18" s="1"/>
  <c r="G44" i="12"/>
  <c r="R38" i="13"/>
  <c r="C94" i="31"/>
  <c r="G96" i="23"/>
  <c r="H45" i="12"/>
  <c r="B460" i="74" s="1"/>
  <c r="D97" i="31"/>
  <c r="G104" i="23"/>
  <c r="D105" i="31"/>
  <c r="O66" i="73"/>
  <c r="B360" i="74" s="1"/>
  <c r="U67" i="72"/>
  <c r="B242" i="74" s="1"/>
  <c r="O85" i="73"/>
  <c r="B379" i="74" s="1"/>
  <c r="U86" i="72"/>
  <c r="B261" i="74" s="1"/>
  <c r="B66" i="31"/>
  <c r="M259" i="31" s="1"/>
  <c r="B86" i="31"/>
  <c r="M277" i="31" s="1"/>
  <c r="R6" i="13"/>
  <c r="C12" i="31"/>
  <c r="G14" i="23"/>
  <c r="H5" i="12"/>
  <c r="B425" i="74" s="1"/>
  <c r="S8" i="13"/>
  <c r="B508" i="74" s="1"/>
  <c r="D15" i="31"/>
  <c r="N216" i="31" s="1"/>
  <c r="F6" i="12"/>
  <c r="B17" i="31"/>
  <c r="M218" i="31" s="1"/>
  <c r="G8" i="12"/>
  <c r="C20" i="31"/>
  <c r="G22" i="23"/>
  <c r="D23" i="31"/>
  <c r="R13" i="13"/>
  <c r="C28" i="31"/>
  <c r="G30" i="23"/>
  <c r="D31" i="31"/>
  <c r="G38" i="23"/>
  <c r="D39" i="31"/>
  <c r="N236" i="31" s="1"/>
  <c r="G17" i="12"/>
  <c r="R19" i="13"/>
  <c r="C44" i="31"/>
  <c r="G46" i="23"/>
  <c r="H18" i="12"/>
  <c r="B436" i="74" s="1"/>
  <c r="D47" i="31"/>
  <c r="N243" i="31" s="1"/>
  <c r="Q20" i="13"/>
  <c r="B49" i="31"/>
  <c r="M246" i="31" s="1"/>
  <c r="R21" i="13"/>
  <c r="R22" i="13" s="1"/>
  <c r="C52" i="31"/>
  <c r="G54" i="23"/>
  <c r="H21" i="12"/>
  <c r="B439" i="74" s="1"/>
  <c r="D55" i="31"/>
  <c r="J55" i="31" s="1"/>
  <c r="F22" i="12"/>
  <c r="B57" i="31"/>
  <c r="M253" i="31" s="1"/>
  <c r="G62" i="23"/>
  <c r="H25" i="12"/>
  <c r="R27" i="13"/>
  <c r="G27" i="12"/>
  <c r="C67" i="31"/>
  <c r="G69" i="23"/>
  <c r="S28" i="13"/>
  <c r="B528" i="74" s="1"/>
  <c r="D70" i="31"/>
  <c r="Q30" i="13"/>
  <c r="B72" i="31"/>
  <c r="M265" i="31" s="1"/>
  <c r="O43" i="73"/>
  <c r="B337" i="74" s="1"/>
  <c r="U44" i="72"/>
  <c r="B219" i="74" s="1"/>
  <c r="G89" i="23"/>
  <c r="D90" i="31"/>
  <c r="D14" i="31"/>
  <c r="N215" i="31" s="1"/>
  <c r="V20" i="72"/>
  <c r="C195" i="74" s="1"/>
  <c r="P19" i="73"/>
  <c r="C313" i="74" s="1"/>
  <c r="D54" i="31"/>
  <c r="G6" i="23"/>
  <c r="D7" i="31"/>
  <c r="G8" i="23"/>
  <c r="D9" i="31"/>
  <c r="G11" i="23"/>
  <c r="S6" i="13"/>
  <c r="B506" i="74" s="1"/>
  <c r="D12" i="31"/>
  <c r="F4" i="12"/>
  <c r="Q7" i="13"/>
  <c r="B14" i="31"/>
  <c r="M215" i="31" s="1"/>
  <c r="G6" i="12"/>
  <c r="C17" i="31"/>
  <c r="G19" i="23"/>
  <c r="H8" i="12"/>
  <c r="B428" i="74" s="1"/>
  <c r="D20" i="31"/>
  <c r="F9" i="12"/>
  <c r="Q12" i="13"/>
  <c r="B22" i="31"/>
  <c r="M222" i="31" s="1"/>
  <c r="G27" i="23"/>
  <c r="S13" i="13"/>
  <c r="B513" i="74" s="1"/>
  <c r="Q14" i="13"/>
  <c r="F13" i="12"/>
  <c r="B30" i="31"/>
  <c r="M229" i="31" s="1"/>
  <c r="G35" i="23"/>
  <c r="Q16" i="13"/>
  <c r="F15" i="12"/>
  <c r="B38" i="31"/>
  <c r="M235" i="31" s="1"/>
  <c r="G43" i="23"/>
  <c r="H17" i="12"/>
  <c r="S19" i="13"/>
  <c r="B519" i="74" s="1"/>
  <c r="D44" i="31"/>
  <c r="R20" i="13"/>
  <c r="C49" i="31"/>
  <c r="G51" i="23"/>
  <c r="S21" i="13"/>
  <c r="B521" i="74" s="1"/>
  <c r="D52" i="31"/>
  <c r="G22" i="12"/>
  <c r="C57" i="31"/>
  <c r="G59" i="23"/>
  <c r="Q25" i="13"/>
  <c r="B62" i="31"/>
  <c r="M256" i="31" s="1"/>
  <c r="F31" i="12"/>
  <c r="B76" i="31"/>
  <c r="M267" i="31" s="1"/>
  <c r="G81" i="23"/>
  <c r="H33" i="12"/>
  <c r="B449" i="74" s="1"/>
  <c r="D82" i="31"/>
  <c r="N273" i="31" s="1"/>
  <c r="Q33" i="13"/>
  <c r="F35" i="12"/>
  <c r="B84" i="31"/>
  <c r="M275" i="31" s="1"/>
  <c r="G38" i="12"/>
  <c r="C87" i="31"/>
  <c r="O100" i="73"/>
  <c r="B394" i="74" s="1"/>
  <c r="U101" i="72"/>
  <c r="B276" i="74" s="1"/>
  <c r="G98" i="23"/>
  <c r="G106" i="23"/>
  <c r="G108" i="23"/>
  <c r="S40" i="13"/>
  <c r="B540" i="74" s="1"/>
  <c r="G116" i="23"/>
  <c r="H50" i="12"/>
  <c r="B465" i="74" s="1"/>
  <c r="R42" i="13"/>
  <c r="G52" i="12"/>
  <c r="C122" i="31"/>
  <c r="G124" i="23"/>
  <c r="D125" i="31"/>
  <c r="J125" i="31" s="1"/>
  <c r="G126" i="23"/>
  <c r="S44" i="13"/>
  <c r="B544" i="74" s="1"/>
  <c r="D127" i="31"/>
  <c r="G55" i="12"/>
  <c r="R45" i="13"/>
  <c r="C132" i="31"/>
  <c r="G134" i="23"/>
  <c r="Q49" i="13"/>
  <c r="F58" i="12"/>
  <c r="G142" i="23"/>
  <c r="D143" i="31"/>
  <c r="N324" i="31" s="1"/>
  <c r="Q50" i="13"/>
  <c r="F62" i="12"/>
  <c r="R53" i="13"/>
  <c r="G65" i="12"/>
  <c r="C148" i="31"/>
  <c r="G150" i="23"/>
  <c r="S55" i="13"/>
  <c r="B555" i="74" s="1"/>
  <c r="H66" i="12"/>
  <c r="B481" i="74" s="1"/>
  <c r="D151" i="31"/>
  <c r="F67" i="12"/>
  <c r="B153" i="31"/>
  <c r="M335" i="31" s="1"/>
  <c r="G158" i="23"/>
  <c r="D159" i="31"/>
  <c r="J159" i="31" s="1"/>
  <c r="G160" i="23"/>
  <c r="H69" i="12"/>
  <c r="B484" i="74" s="1"/>
  <c r="G168" i="23"/>
  <c r="S60" i="13"/>
  <c r="B560" i="74" s="1"/>
  <c r="Q62" i="13"/>
  <c r="F72" i="12"/>
  <c r="B171" i="31"/>
  <c r="M348" i="31" s="1"/>
  <c r="G74" i="12"/>
  <c r="C174" i="31"/>
  <c r="G176" i="23"/>
  <c r="S64" i="13"/>
  <c r="B564" i="74" s="1"/>
  <c r="H77" i="12"/>
  <c r="B492" i="74" s="1"/>
  <c r="D177" i="31"/>
  <c r="G181" i="23"/>
  <c r="D182" i="31"/>
  <c r="R65" i="13"/>
  <c r="G83" i="12"/>
  <c r="C187" i="31"/>
  <c r="G189" i="23"/>
  <c r="G86" i="12"/>
  <c r="R68" i="13"/>
  <c r="C195" i="31"/>
  <c r="G197" i="23"/>
  <c r="S69" i="13"/>
  <c r="B569" i="74" s="1"/>
  <c r="H87" i="12"/>
  <c r="B501" i="74" s="1"/>
  <c r="P13" i="73"/>
  <c r="C307" i="74" s="1"/>
  <c r="V14" i="72"/>
  <c r="C189" i="74" s="1"/>
  <c r="P25" i="73"/>
  <c r="C319" i="74" s="1"/>
  <c r="V26" i="72"/>
  <c r="C201" i="74" s="1"/>
  <c r="P22" i="73"/>
  <c r="C316" i="74" s="1"/>
  <c r="V23" i="72"/>
  <c r="C198" i="74" s="1"/>
  <c r="V25" i="72"/>
  <c r="C200" i="74" s="1"/>
  <c r="P24" i="73"/>
  <c r="C318" i="74" s="1"/>
  <c r="C58" i="31"/>
  <c r="V37" i="72"/>
  <c r="C212" i="74" s="1"/>
  <c r="P36" i="73"/>
  <c r="C330" i="74" s="1"/>
  <c r="P48" i="73"/>
  <c r="C342" i="74" s="1"/>
  <c r="V49" i="72"/>
  <c r="C224" i="74" s="1"/>
  <c r="B110" i="31"/>
  <c r="M297" i="31" s="1"/>
  <c r="V66" i="72"/>
  <c r="C241" i="74" s="1"/>
  <c r="P65" i="73"/>
  <c r="C359" i="74" s="1"/>
  <c r="B121" i="31"/>
  <c r="M306" i="31" s="1"/>
  <c r="B128" i="31"/>
  <c r="M312" i="31" s="1"/>
  <c r="P90" i="73"/>
  <c r="C384" i="74" s="1"/>
  <c r="V91" i="72"/>
  <c r="C266" i="74" s="1"/>
  <c r="C6" i="17"/>
  <c r="E6" i="17" s="1"/>
  <c r="B89" i="74" s="1"/>
  <c r="AA5" i="11"/>
  <c r="AC5" i="11" s="1"/>
  <c r="C5" i="17"/>
  <c r="J5" i="18" s="1"/>
  <c r="AA7" i="11"/>
  <c r="AA6" i="11"/>
  <c r="AA6" i="15" s="1"/>
  <c r="AA3" i="11"/>
  <c r="AA3" i="15" s="1"/>
  <c r="N7" i="10"/>
  <c r="C12" i="19"/>
  <c r="E12" i="19" s="1"/>
  <c r="B42" i="74" s="1"/>
  <c r="C4" i="17"/>
  <c r="J4" i="18" s="1"/>
  <c r="N2" i="10"/>
  <c r="P2" i="10" s="1"/>
  <c r="C6" i="20"/>
  <c r="C6" i="21" s="1"/>
  <c r="C8" i="19"/>
  <c r="C5" i="19"/>
  <c r="C11" i="25"/>
  <c r="C3" i="25"/>
  <c r="E3" i="25" s="1"/>
  <c r="B4" i="74" s="1"/>
  <c r="N5" i="10"/>
  <c r="P5" i="10" s="1"/>
  <c r="C2" i="19"/>
  <c r="AA2" i="11"/>
  <c r="AC2" i="11" s="1"/>
  <c r="C5" i="20"/>
  <c r="C5" i="21" s="1"/>
  <c r="C3" i="20"/>
  <c r="C3" i="21" s="1"/>
  <c r="C11" i="24"/>
  <c r="C10" i="24"/>
  <c r="C9" i="24"/>
  <c r="C8" i="24"/>
  <c r="C7" i="24"/>
  <c r="C5" i="24"/>
  <c r="C4" i="24"/>
  <c r="C3" i="24"/>
  <c r="E3" i="24" s="1"/>
  <c r="C2" i="24"/>
  <c r="C9" i="25"/>
  <c r="C13" i="19"/>
  <c r="C10" i="19"/>
  <c r="C7" i="19"/>
  <c r="E7" i="19" s="1"/>
  <c r="B37" i="74" s="1"/>
  <c r="C4" i="19"/>
  <c r="E4" i="19" s="1"/>
  <c r="B34" i="74" s="1"/>
  <c r="C12" i="25"/>
  <c r="E12" i="25" s="1"/>
  <c r="B13" i="74" s="1"/>
  <c r="C4" i="25"/>
  <c r="C7" i="20"/>
  <c r="C15" i="25"/>
  <c r="C9" i="19"/>
  <c r="E9" i="19" s="1"/>
  <c r="B39" i="74" s="1"/>
  <c r="C6" i="19"/>
  <c r="C15" i="24"/>
  <c r="E15" i="24" s="1"/>
  <c r="C14" i="24"/>
  <c r="C13" i="24"/>
  <c r="E13" i="24" s="1"/>
  <c r="C12" i="24"/>
  <c r="C10" i="25"/>
  <c r="E10" i="25" s="1"/>
  <c r="B11" i="74" s="1"/>
  <c r="C2" i="25"/>
  <c r="N3" i="10"/>
  <c r="C9" i="20"/>
  <c r="C9" i="21" s="1"/>
  <c r="C4" i="20"/>
  <c r="C4" i="21" s="1"/>
  <c r="C2" i="20"/>
  <c r="C2" i="21" s="1"/>
  <c r="C3" i="19"/>
  <c r="E3" i="19" s="1"/>
  <c r="B33" i="74" s="1"/>
  <c r="N4" i="10"/>
  <c r="C16" i="25"/>
  <c r="C8" i="25"/>
  <c r="G7" i="23"/>
  <c r="G9" i="23"/>
  <c r="G12" i="23"/>
  <c r="Q8" i="13"/>
  <c r="F5" i="12"/>
  <c r="G20" i="23"/>
  <c r="S11" i="13"/>
  <c r="B511" i="74" s="1"/>
  <c r="G28" i="23"/>
  <c r="H12" i="12"/>
  <c r="B431" i="74" s="1"/>
  <c r="D29" i="31"/>
  <c r="N228" i="31" s="1"/>
  <c r="G36" i="23"/>
  <c r="H14" i="12"/>
  <c r="B433" i="74" s="1"/>
  <c r="D37" i="31"/>
  <c r="R17" i="13"/>
  <c r="G16" i="12"/>
  <c r="G44" i="23"/>
  <c r="F18" i="12"/>
  <c r="B47" i="31"/>
  <c r="M243" i="31" s="1"/>
  <c r="G52" i="23"/>
  <c r="S23" i="13"/>
  <c r="B523" i="74" s="1"/>
  <c r="H20" i="12"/>
  <c r="B438" i="74" s="1"/>
  <c r="F21" i="12"/>
  <c r="B55" i="31"/>
  <c r="G60" i="23"/>
  <c r="D61" i="31"/>
  <c r="J61" i="31" s="1"/>
  <c r="G70" i="23"/>
  <c r="S29" i="13"/>
  <c r="B529" i="74" s="1"/>
  <c r="H28" i="12"/>
  <c r="B445" i="74" s="1"/>
  <c r="G80" i="23"/>
  <c r="H32" i="12"/>
  <c r="B448" i="74" s="1"/>
  <c r="F34" i="12"/>
  <c r="Q32" i="13"/>
  <c r="G88" i="23"/>
  <c r="H39" i="12"/>
  <c r="B455" i="74" s="1"/>
  <c r="S35" i="13"/>
  <c r="B535" i="74" s="1"/>
  <c r="G90" i="23"/>
  <c r="H40" i="12"/>
  <c r="B456" i="74" s="1"/>
  <c r="S36" i="13"/>
  <c r="B536" i="74" s="1"/>
  <c r="D91" i="31"/>
  <c r="G95" i="23"/>
  <c r="G103" i="23"/>
  <c r="G113" i="23"/>
  <c r="H48" i="12"/>
  <c r="B463" i="74" s="1"/>
  <c r="G121" i="23"/>
  <c r="S42" i="13"/>
  <c r="B542" i="74" s="1"/>
  <c r="H52" i="12"/>
  <c r="B467" i="74" s="1"/>
  <c r="G131" i="23"/>
  <c r="S45" i="13"/>
  <c r="B545" i="74" s="1"/>
  <c r="H55" i="12"/>
  <c r="B470" i="74" s="1"/>
  <c r="R49" i="13"/>
  <c r="G58" i="12"/>
  <c r="G139" i="23"/>
  <c r="D140" i="31"/>
  <c r="J140" i="31" s="1"/>
  <c r="R50" i="13"/>
  <c r="G62" i="12"/>
  <c r="G147" i="23"/>
  <c r="H65" i="12"/>
  <c r="B480" i="74" s="1"/>
  <c r="S53" i="13"/>
  <c r="B553" i="74" s="1"/>
  <c r="G155" i="23"/>
  <c r="H68" i="12"/>
  <c r="B483" i="74" s="1"/>
  <c r="D156" i="31"/>
  <c r="G165" i="23"/>
  <c r="S58" i="13"/>
  <c r="B558" i="74" s="1"/>
  <c r="R62" i="13"/>
  <c r="G72" i="12"/>
  <c r="C171" i="31"/>
  <c r="G173" i="23"/>
  <c r="H74" i="12"/>
  <c r="B489" i="74" s="1"/>
  <c r="F76" i="12"/>
  <c r="Q63" i="13"/>
  <c r="G178" i="23"/>
  <c r="F80" i="12"/>
  <c r="B181" i="31"/>
  <c r="M357" i="31" s="1"/>
  <c r="G186" i="23"/>
  <c r="S65" i="13"/>
  <c r="B565" i="74" s="1"/>
  <c r="H83" i="12"/>
  <c r="B497" i="74" s="1"/>
  <c r="G194" i="23"/>
  <c r="H86" i="12"/>
  <c r="B500" i="74" s="1"/>
  <c r="S68" i="13"/>
  <c r="B568" i="74" s="1"/>
  <c r="C5" i="31"/>
  <c r="D8" i="31"/>
  <c r="P4" i="73"/>
  <c r="C298" i="74" s="1"/>
  <c r="V4" i="72"/>
  <c r="C179" i="74" s="1"/>
  <c r="D21" i="31"/>
  <c r="N221" i="31" s="1"/>
  <c r="P12" i="73"/>
  <c r="C306" i="74" s="1"/>
  <c r="V13" i="72"/>
  <c r="C188" i="74" s="1"/>
  <c r="P16" i="73"/>
  <c r="C310" i="74" s="1"/>
  <c r="V17" i="72"/>
  <c r="C192" i="74" s="1"/>
  <c r="B59" i="31"/>
  <c r="M255" i="31" s="1"/>
  <c r="P40" i="73"/>
  <c r="C334" i="74" s="1"/>
  <c r="V41" i="72"/>
  <c r="C216" i="74" s="1"/>
  <c r="P41" i="73"/>
  <c r="C335" i="74" s="1"/>
  <c r="V42" i="72"/>
  <c r="C217" i="74" s="1"/>
  <c r="C76" i="31"/>
  <c r="V53" i="72"/>
  <c r="C228" i="74" s="1"/>
  <c r="P52" i="73"/>
  <c r="C346" i="74" s="1"/>
  <c r="P56" i="73"/>
  <c r="C350" i="74" s="1"/>
  <c r="V57" i="72"/>
  <c r="C232" i="74" s="1"/>
  <c r="B109" i="31"/>
  <c r="M296" i="31" s="1"/>
  <c r="P64" i="73"/>
  <c r="C358" i="74" s="1"/>
  <c r="V65" i="72"/>
  <c r="C240" i="74" s="1"/>
  <c r="C117" i="31"/>
  <c r="B125" i="31"/>
  <c r="B137" i="31"/>
  <c r="M321" i="31" s="1"/>
  <c r="B142" i="31"/>
  <c r="M323" i="31" s="1"/>
  <c r="P85" i="73"/>
  <c r="C379" i="74" s="1"/>
  <c r="V86" i="72"/>
  <c r="C261" i="74" s="1"/>
  <c r="C153" i="31"/>
  <c r="P102" i="73"/>
  <c r="C396" i="74" s="1"/>
  <c r="V103" i="72"/>
  <c r="C278" i="74" s="1"/>
  <c r="B185" i="31"/>
  <c r="M361" i="31" s="1"/>
  <c r="P112" i="73"/>
  <c r="C405" i="74" s="1"/>
  <c r="V113" i="72"/>
  <c r="C287" i="74" s="1"/>
  <c r="B201" i="31"/>
  <c r="M377" i="31" s="1"/>
  <c r="C5" i="25"/>
  <c r="E5" i="25" s="1"/>
  <c r="B6" i="74" s="1"/>
  <c r="G29" i="12"/>
  <c r="C73" i="31"/>
  <c r="G77" i="23"/>
  <c r="G34" i="12"/>
  <c r="R32" i="13"/>
  <c r="G85" i="23"/>
  <c r="H37" i="12"/>
  <c r="B453" i="74" s="1"/>
  <c r="D86" i="31"/>
  <c r="G92" i="23"/>
  <c r="D93" i="31"/>
  <c r="J93" i="31" s="1"/>
  <c r="G100" i="23"/>
  <c r="Q39" i="13"/>
  <c r="B103" i="31"/>
  <c r="M292" i="31" s="1"/>
  <c r="G110" i="23"/>
  <c r="F47" i="12"/>
  <c r="B113" i="31"/>
  <c r="M299" i="31" s="1"/>
  <c r="G118" i="23"/>
  <c r="R43" i="13"/>
  <c r="C124" i="31"/>
  <c r="G128" i="23"/>
  <c r="G136" i="23"/>
  <c r="S49" i="13"/>
  <c r="B549" i="74" s="1"/>
  <c r="H58" i="12"/>
  <c r="B473" i="74" s="1"/>
  <c r="D137" i="31"/>
  <c r="G60" i="12"/>
  <c r="C142" i="31"/>
  <c r="G144" i="23"/>
  <c r="S50" i="13"/>
  <c r="B550" i="74" s="1"/>
  <c r="H62" i="12"/>
  <c r="B477" i="74" s="1"/>
  <c r="D145" i="31"/>
  <c r="Q52" i="13"/>
  <c r="F64" i="12"/>
  <c r="G152" i="23"/>
  <c r="H67" i="12"/>
  <c r="B482" i="74" s="1"/>
  <c r="D153" i="31"/>
  <c r="G162" i="23"/>
  <c r="D163" i="31"/>
  <c r="N341" i="31" s="1"/>
  <c r="G170" i="23"/>
  <c r="H72" i="12"/>
  <c r="B487" i="74" s="1"/>
  <c r="S62" i="13"/>
  <c r="B562" i="74" s="1"/>
  <c r="G76" i="12"/>
  <c r="R63" i="13"/>
  <c r="C176" i="31"/>
  <c r="G80" i="12"/>
  <c r="C181" i="31"/>
  <c r="G183" i="23"/>
  <c r="F82" i="12"/>
  <c r="B186" i="31"/>
  <c r="G191" i="23"/>
  <c r="F85" i="12"/>
  <c r="Q66" i="13"/>
  <c r="B194" i="31"/>
  <c r="M370" i="31" s="1"/>
  <c r="G199" i="23"/>
  <c r="D200" i="31"/>
  <c r="C42" i="31"/>
  <c r="P37" i="73"/>
  <c r="C331" i="74" s="1"/>
  <c r="V38" i="72"/>
  <c r="C213" i="74" s="1"/>
  <c r="P49" i="73"/>
  <c r="C343" i="74" s="1"/>
  <c r="V50" i="72"/>
  <c r="C225" i="74" s="1"/>
  <c r="V56" i="72"/>
  <c r="C231" i="74" s="1"/>
  <c r="P55" i="73"/>
  <c r="C349" i="74" s="1"/>
  <c r="D101" i="31"/>
  <c r="N290" i="31" s="1"/>
  <c r="P61" i="73"/>
  <c r="C355" i="74" s="1"/>
  <c r="V62" i="72"/>
  <c r="C237" i="74" s="1"/>
  <c r="D109" i="31"/>
  <c r="D117" i="31"/>
  <c r="P70" i="73"/>
  <c r="C364" i="74" s="1"/>
  <c r="V71" i="72"/>
  <c r="C246" i="74" s="1"/>
  <c r="D129" i="31"/>
  <c r="N313" i="31" s="1"/>
  <c r="P73" i="73"/>
  <c r="C367" i="74" s="1"/>
  <c r="V74" i="72"/>
  <c r="C249" i="74" s="1"/>
  <c r="C137" i="31"/>
  <c r="P81" i="73"/>
  <c r="C375" i="74" s="1"/>
  <c r="V82" i="72"/>
  <c r="C257" i="74" s="1"/>
  <c r="B145" i="31"/>
  <c r="M326" i="31" s="1"/>
  <c r="B159" i="31"/>
  <c r="C166" i="31"/>
  <c r="C185" i="31"/>
  <c r="P111" i="73"/>
  <c r="C404" i="74" s="1"/>
  <c r="V112" i="72"/>
  <c r="C286" i="74" s="1"/>
  <c r="B202" i="31"/>
  <c r="M378" i="31" s="1"/>
  <c r="G105" i="23"/>
  <c r="G115" i="23"/>
  <c r="D116" i="31"/>
  <c r="N302" i="31" s="1"/>
  <c r="G51" i="12"/>
  <c r="C121" i="31"/>
  <c r="G123" i="23"/>
  <c r="S43" i="13"/>
  <c r="B543" i="74" s="1"/>
  <c r="G125" i="23"/>
  <c r="G54" i="12"/>
  <c r="C131" i="31"/>
  <c r="G133" i="23"/>
  <c r="Q47" i="13"/>
  <c r="F57" i="12"/>
  <c r="G59" i="12"/>
  <c r="C139" i="31"/>
  <c r="G141" i="23"/>
  <c r="H60" i="12"/>
  <c r="B475" i="74" s="1"/>
  <c r="D142" i="31"/>
  <c r="R52" i="13"/>
  <c r="G64" i="12"/>
  <c r="G149" i="23"/>
  <c r="D150" i="31"/>
  <c r="Q56" i="13"/>
  <c r="B152" i="31"/>
  <c r="M334" i="31" s="1"/>
  <c r="G157" i="23"/>
  <c r="D158" i="31"/>
  <c r="N337" i="31" s="1"/>
  <c r="G159" i="23"/>
  <c r="F88" i="12"/>
  <c r="Q57" i="13"/>
  <c r="G167" i="23"/>
  <c r="D168" i="31"/>
  <c r="F71" i="12"/>
  <c r="Q61" i="13"/>
  <c r="G175" i="23"/>
  <c r="H76" i="12"/>
  <c r="B491" i="74" s="1"/>
  <c r="S63" i="13"/>
  <c r="B563" i="74" s="1"/>
  <c r="G180" i="23"/>
  <c r="H80" i="12"/>
  <c r="B494" i="74" s="1"/>
  <c r="G188" i="23"/>
  <c r="G85" i="12"/>
  <c r="R66" i="13"/>
  <c r="G196" i="23"/>
  <c r="G90" i="12"/>
  <c r="C202" i="31"/>
  <c r="P2" i="73"/>
  <c r="C296" i="74" s="1"/>
  <c r="V2" i="72"/>
  <c r="C177" i="74" s="1"/>
  <c r="P14" i="73"/>
  <c r="C308" i="74" s="1"/>
  <c r="V15" i="72"/>
  <c r="C190" i="74" s="1"/>
  <c r="P17" i="73"/>
  <c r="C311" i="74" s="1"/>
  <c r="V18" i="72"/>
  <c r="C193" i="74" s="1"/>
  <c r="P20" i="73"/>
  <c r="C314" i="74" s="1"/>
  <c r="V21" i="72"/>
  <c r="C196" i="74" s="1"/>
  <c r="D45" i="31"/>
  <c r="N242" i="31" s="1"/>
  <c r="D53" i="31"/>
  <c r="N250" i="31" s="1"/>
  <c r="V31" i="72"/>
  <c r="C206" i="74" s="1"/>
  <c r="P31" i="73"/>
  <c r="C325" i="74" s="1"/>
  <c r="P33" i="73"/>
  <c r="C327" i="74" s="1"/>
  <c r="V33" i="72"/>
  <c r="C208" i="74" s="1"/>
  <c r="B63" i="31"/>
  <c r="M257" i="31" s="1"/>
  <c r="D71" i="31"/>
  <c r="P53" i="73"/>
  <c r="C347" i="74" s="1"/>
  <c r="V54" i="72"/>
  <c r="C229" i="74" s="1"/>
  <c r="C115" i="31"/>
  <c r="P69" i="73"/>
  <c r="C363" i="74" s="1"/>
  <c r="V70" i="72"/>
  <c r="C245" i="74" s="1"/>
  <c r="C127" i="31"/>
  <c r="B131" i="31"/>
  <c r="M315" i="31" s="1"/>
  <c r="D132" i="31"/>
  <c r="N316" i="31" s="1"/>
  <c r="D135" i="31"/>
  <c r="P78" i="73"/>
  <c r="C372" i="74" s="1"/>
  <c r="V79" i="72"/>
  <c r="C254" i="74" s="1"/>
  <c r="B144" i="31"/>
  <c r="M325" i="31" s="1"/>
  <c r="C145" i="31"/>
  <c r="C149" i="31"/>
  <c r="P91" i="73"/>
  <c r="C385" i="74" s="1"/>
  <c r="V92" i="72"/>
  <c r="C267" i="74" s="1"/>
  <c r="B164" i="31"/>
  <c r="M342" i="31" s="1"/>
  <c r="D166" i="31"/>
  <c r="B172" i="31"/>
  <c r="M349" i="31" s="1"/>
  <c r="P103" i="73"/>
  <c r="C397" i="74" s="1"/>
  <c r="V104" i="72"/>
  <c r="C279" i="74" s="1"/>
  <c r="C180" i="31"/>
  <c r="D181" i="31"/>
  <c r="P107" i="73"/>
  <c r="C400" i="74" s="1"/>
  <c r="V108" i="72"/>
  <c r="C282" i="74" s="1"/>
  <c r="C186" i="31"/>
  <c r="D187" i="31"/>
  <c r="C194" i="31"/>
  <c r="D198" i="31"/>
  <c r="C6" i="25"/>
  <c r="O58" i="73"/>
  <c r="B352" i="74" s="1"/>
  <c r="U59" i="72"/>
  <c r="B234" i="74" s="1"/>
  <c r="P68" i="73"/>
  <c r="C362" i="74" s="1"/>
  <c r="V69" i="72"/>
  <c r="C244" i="74" s="1"/>
  <c r="P71" i="73"/>
  <c r="C365" i="74" s="1"/>
  <c r="V72" i="72"/>
  <c r="C247" i="74" s="1"/>
  <c r="P82" i="73"/>
  <c r="C376" i="74" s="1"/>
  <c r="V83" i="72"/>
  <c r="C258" i="74" s="1"/>
  <c r="O87" i="73"/>
  <c r="B381" i="74" s="1"/>
  <c r="U88" i="72"/>
  <c r="B263" i="74" s="1"/>
  <c r="V93" i="72"/>
  <c r="C268" i="74" s="1"/>
  <c r="P92" i="73"/>
  <c r="C386" i="74" s="1"/>
  <c r="O101" i="73"/>
  <c r="B395" i="74" s="1"/>
  <c r="U102" i="72"/>
  <c r="B277" i="74" s="1"/>
  <c r="P120" i="73"/>
  <c r="C413" i="74" s="1"/>
  <c r="V120" i="72"/>
  <c r="C294" i="74" s="1"/>
  <c r="Q5" i="13"/>
  <c r="F3" i="12"/>
  <c r="G4" i="12"/>
  <c r="R7" i="13"/>
  <c r="G16" i="23"/>
  <c r="H6" i="12"/>
  <c r="B426" i="74" s="1"/>
  <c r="Q10" i="13"/>
  <c r="F7" i="12"/>
  <c r="G9" i="12"/>
  <c r="R12" i="13"/>
  <c r="G24" i="23"/>
  <c r="R14" i="13"/>
  <c r="G13" i="12"/>
  <c r="G32" i="23"/>
  <c r="F42" i="12"/>
  <c r="B35" i="31"/>
  <c r="M245" i="31" s="1"/>
  <c r="R16" i="13"/>
  <c r="G15" i="12"/>
  <c r="G40" i="23"/>
  <c r="G48" i="23"/>
  <c r="S20" i="13"/>
  <c r="B520" i="74" s="1"/>
  <c r="G56" i="23"/>
  <c r="H22" i="12"/>
  <c r="B440" i="74" s="1"/>
  <c r="D57" i="31"/>
  <c r="N253" i="31" s="1"/>
  <c r="G66" i="23"/>
  <c r="S27" i="13"/>
  <c r="B527" i="74" s="1"/>
  <c r="H27" i="12"/>
  <c r="B444" i="74" s="1"/>
  <c r="D67" i="31"/>
  <c r="G76" i="23"/>
  <c r="G33" i="12"/>
  <c r="C82" i="31"/>
  <c r="G84" i="23"/>
  <c r="S34" i="13"/>
  <c r="B534" i="74" s="1"/>
  <c r="H36" i="12"/>
  <c r="B452" i="74" s="1"/>
  <c r="D85" i="31"/>
  <c r="N276" i="31" s="1"/>
  <c r="G91" i="23"/>
  <c r="S37" i="13"/>
  <c r="B537" i="74" s="1"/>
  <c r="H41" i="12"/>
  <c r="B457" i="74" s="1"/>
  <c r="D92" i="31"/>
  <c r="F44" i="12"/>
  <c r="Q38" i="13"/>
  <c r="B94" i="31"/>
  <c r="M283" i="31" s="1"/>
  <c r="G45" i="12"/>
  <c r="C97" i="31"/>
  <c r="G99" i="23"/>
  <c r="G107" i="23"/>
  <c r="G109" i="23"/>
  <c r="H46" i="12"/>
  <c r="B461" i="74" s="1"/>
  <c r="Q41" i="13"/>
  <c r="B112" i="31"/>
  <c r="M298" i="31" s="1"/>
  <c r="G117" i="23"/>
  <c r="D118" i="31"/>
  <c r="G127" i="23"/>
  <c r="H53" i="12"/>
  <c r="B468" i="74" s="1"/>
  <c r="G56" i="12"/>
  <c r="R46" i="13"/>
  <c r="G135" i="23"/>
  <c r="S47" i="13"/>
  <c r="B547" i="74" s="1"/>
  <c r="H57" i="12"/>
  <c r="B472" i="74" s="1"/>
  <c r="G143" i="23"/>
  <c r="H61" i="12"/>
  <c r="B476" i="74" s="1"/>
  <c r="D144" i="31"/>
  <c r="F63" i="12"/>
  <c r="Q51" i="13"/>
  <c r="G151" i="23"/>
  <c r="S56" i="13"/>
  <c r="B556" i="74" s="1"/>
  <c r="G161" i="23"/>
  <c r="H88" i="12"/>
  <c r="B502" i="74" s="1"/>
  <c r="S57" i="13"/>
  <c r="B557" i="74" s="1"/>
  <c r="R59" i="13"/>
  <c r="C167" i="31"/>
  <c r="G169" i="23"/>
  <c r="S61" i="13"/>
  <c r="B561" i="74" s="1"/>
  <c r="H71" i="12"/>
  <c r="B486" i="74" s="1"/>
  <c r="G75" i="12"/>
  <c r="C175" i="31"/>
  <c r="G177" i="23"/>
  <c r="G182" i="23"/>
  <c r="D183" i="31"/>
  <c r="G190" i="23"/>
  <c r="S67" i="13"/>
  <c r="B567" i="74" s="1"/>
  <c r="F84" i="12"/>
  <c r="Q31" i="13"/>
  <c r="Q48" i="13"/>
  <c r="G198" i="23"/>
  <c r="D10" i="31"/>
  <c r="B15" i="31"/>
  <c r="M216" i="31" s="1"/>
  <c r="B19" i="31"/>
  <c r="M219" i="31" s="1"/>
  <c r="B27" i="31"/>
  <c r="M226" i="31" s="1"/>
  <c r="D41" i="31"/>
  <c r="V29" i="72"/>
  <c r="C204" i="74" s="1"/>
  <c r="P28" i="73"/>
  <c r="C322" i="74" s="1"/>
  <c r="P34" i="73"/>
  <c r="C328" i="74" s="1"/>
  <c r="V34" i="72"/>
  <c r="C209" i="74" s="1"/>
  <c r="B73" i="31"/>
  <c r="M266" i="31" s="1"/>
  <c r="P47" i="73"/>
  <c r="C341" i="74" s="1"/>
  <c r="V48" i="72"/>
  <c r="C223" i="74" s="1"/>
  <c r="C86" i="31"/>
  <c r="V61" i="72"/>
  <c r="C236" i="74" s="1"/>
  <c r="P60" i="73"/>
  <c r="C354" i="74" s="1"/>
  <c r="D108" i="31"/>
  <c r="J108" i="31" s="1"/>
  <c r="C112" i="31"/>
  <c r="C113" i="31"/>
  <c r="D114" i="31"/>
  <c r="N300" i="31" s="1"/>
  <c r="B146" i="31"/>
  <c r="B162" i="31"/>
  <c r="M340" i="31" s="1"/>
  <c r="B176" i="31"/>
  <c r="M353" i="31" s="1"/>
  <c r="D184" i="31"/>
  <c r="B191" i="31"/>
  <c r="M368" i="31" s="1"/>
  <c r="D192" i="31"/>
  <c r="J192" i="31" s="1"/>
  <c r="P114" i="73"/>
  <c r="C407" i="74" s="1"/>
  <c r="V115" i="72"/>
  <c r="C289" i="74" s="1"/>
  <c r="D195" i="31"/>
  <c r="C7" i="25"/>
  <c r="G114" i="23"/>
  <c r="H49" i="12"/>
  <c r="B464" i="74" s="1"/>
  <c r="F50" i="12"/>
  <c r="B117" i="31"/>
  <c r="M303" i="31" s="1"/>
  <c r="G122" i="23"/>
  <c r="Q44" i="13"/>
  <c r="B127" i="31"/>
  <c r="M311" i="31" s="1"/>
  <c r="G132" i="23"/>
  <c r="H56" i="12"/>
  <c r="B471" i="74" s="1"/>
  <c r="S46" i="13"/>
  <c r="B546" i="74" s="1"/>
  <c r="D133" i="31"/>
  <c r="G140" i="23"/>
  <c r="D141" i="31"/>
  <c r="J141" i="31" s="1"/>
  <c r="G63" i="12"/>
  <c r="R51" i="13"/>
  <c r="C146" i="31"/>
  <c r="G148" i="23"/>
  <c r="S54" i="13"/>
  <c r="B554" i="74" s="1"/>
  <c r="D149" i="31"/>
  <c r="Q55" i="13"/>
  <c r="F66" i="12"/>
  <c r="B151" i="31"/>
  <c r="M333" i="31" s="1"/>
  <c r="G156" i="23"/>
  <c r="D157" i="31"/>
  <c r="J157" i="31" s="1"/>
  <c r="G70" i="12"/>
  <c r="C164" i="31"/>
  <c r="G166" i="23"/>
  <c r="S59" i="13"/>
  <c r="B559" i="74" s="1"/>
  <c r="D167" i="31"/>
  <c r="Q60" i="13"/>
  <c r="B169" i="31"/>
  <c r="M347" i="31" s="1"/>
  <c r="G73" i="12"/>
  <c r="C172" i="31"/>
  <c r="G174" i="23"/>
  <c r="H75" i="12"/>
  <c r="B490" i="74" s="1"/>
  <c r="Q64" i="13"/>
  <c r="F77" i="12"/>
  <c r="G179" i="23"/>
  <c r="H79" i="12"/>
  <c r="B493" i="74" s="1"/>
  <c r="D180" i="31"/>
  <c r="G187" i="23"/>
  <c r="D188" i="31"/>
  <c r="R31" i="13"/>
  <c r="R48" i="13"/>
  <c r="G84" i="12"/>
  <c r="C193" i="31"/>
  <c r="G195" i="23"/>
  <c r="D196" i="31"/>
  <c r="N372" i="31" s="1"/>
  <c r="Q69" i="13"/>
  <c r="F87" i="12"/>
  <c r="G89" i="12"/>
  <c r="C201" i="31"/>
  <c r="P3" i="73"/>
  <c r="C297" i="74" s="1"/>
  <c r="V3" i="72"/>
  <c r="C178" i="74" s="1"/>
  <c r="P11" i="73"/>
  <c r="C305" i="74" s="1"/>
  <c r="V11" i="72"/>
  <c r="C186" i="74" s="1"/>
  <c r="P27" i="73"/>
  <c r="C321" i="74" s="1"/>
  <c r="V28" i="72"/>
  <c r="C203" i="74" s="1"/>
  <c r="P29" i="73"/>
  <c r="C323" i="74" s="1"/>
  <c r="V30" i="72"/>
  <c r="C205" i="74" s="1"/>
  <c r="P38" i="73"/>
  <c r="C332" i="74" s="1"/>
  <c r="V39" i="72"/>
  <c r="C214" i="74" s="1"/>
  <c r="C72" i="31"/>
  <c r="B87" i="31"/>
  <c r="M278" i="31" s="1"/>
  <c r="P51" i="73"/>
  <c r="C345" i="74" s="1"/>
  <c r="V52" i="72"/>
  <c r="C227" i="74" s="1"/>
  <c r="D96" i="31"/>
  <c r="C103" i="31"/>
  <c r="P67" i="73"/>
  <c r="C361" i="74" s="1"/>
  <c r="V68" i="72"/>
  <c r="C243" i="74" s="1"/>
  <c r="D134" i="31"/>
  <c r="P80" i="73"/>
  <c r="C374" i="74" s="1"/>
  <c r="V81" i="72"/>
  <c r="C256" i="74" s="1"/>
  <c r="B161" i="31"/>
  <c r="M339" i="31" s="1"/>
  <c r="D162" i="31"/>
  <c r="P96" i="73"/>
  <c r="C390" i="74" s="1"/>
  <c r="V97" i="72"/>
  <c r="C272" i="74" s="1"/>
  <c r="V98" i="72"/>
  <c r="C273" i="74" s="1"/>
  <c r="P97" i="73"/>
  <c r="C391" i="74" s="1"/>
  <c r="D176" i="31"/>
  <c r="D179" i="31"/>
  <c r="P109" i="73"/>
  <c r="C402" i="74" s="1"/>
  <c r="V110" i="72"/>
  <c r="C284" i="74" s="1"/>
  <c r="P110" i="73"/>
  <c r="C403" i="74" s="1"/>
  <c r="V111" i="72"/>
  <c r="C285" i="74" s="1"/>
  <c r="D191" i="31"/>
  <c r="D197" i="31"/>
  <c r="P117" i="73"/>
  <c r="C410" i="74" s="1"/>
  <c r="V118" i="72"/>
  <c r="C292" i="74" s="1"/>
  <c r="D199" i="31"/>
  <c r="P121" i="73"/>
  <c r="C414" i="74" s="1"/>
  <c r="V121" i="72"/>
  <c r="C295" i="74" s="1"/>
  <c r="G50" i="23"/>
  <c r="F20" i="12"/>
  <c r="Q23" i="13"/>
  <c r="G58" i="23"/>
  <c r="H24" i="12"/>
  <c r="B442" i="74" s="1"/>
  <c r="R26" i="13"/>
  <c r="G26" i="12"/>
  <c r="G68" i="23"/>
  <c r="Q29" i="13"/>
  <c r="F28" i="12"/>
  <c r="G78" i="23"/>
  <c r="R33" i="13"/>
  <c r="G35" i="12"/>
  <c r="C84" i="31"/>
  <c r="G86" i="23"/>
  <c r="H38" i="12"/>
  <c r="B454" i="74" s="1"/>
  <c r="Q35" i="13"/>
  <c r="F39" i="12"/>
  <c r="F40" i="12"/>
  <c r="Q36" i="13"/>
  <c r="B91" i="31"/>
  <c r="M281" i="31" s="1"/>
  <c r="G93" i="23"/>
  <c r="H44" i="12"/>
  <c r="B459" i="74" s="1"/>
  <c r="S38" i="13"/>
  <c r="B538" i="74" s="1"/>
  <c r="D94" i="31"/>
  <c r="G101" i="23"/>
  <c r="D102" i="31"/>
  <c r="R40" i="13"/>
  <c r="C109" i="31"/>
  <c r="G111" i="23"/>
  <c r="S41" i="13"/>
  <c r="B541" i="74" s="1"/>
  <c r="D112" i="31"/>
  <c r="N298" i="31" s="1"/>
  <c r="F48" i="12"/>
  <c r="B114" i="31"/>
  <c r="M300" i="31" s="1"/>
  <c r="G119" i="23"/>
  <c r="D120" i="31"/>
  <c r="Q42" i="13"/>
  <c r="F52" i="12"/>
  <c r="G129" i="23"/>
  <c r="F55" i="12"/>
  <c r="Q45" i="13"/>
  <c r="G137" i="23"/>
  <c r="D138" i="31"/>
  <c r="J138" i="31" s="1"/>
  <c r="G145" i="23"/>
  <c r="S51" i="13"/>
  <c r="B551" i="74" s="1"/>
  <c r="H63" i="12"/>
  <c r="B478" i="74" s="1"/>
  <c r="Q53" i="13"/>
  <c r="F65" i="12"/>
  <c r="R55" i="13"/>
  <c r="G66" i="12"/>
  <c r="G153" i="23"/>
  <c r="F68" i="12"/>
  <c r="B156" i="31"/>
  <c r="M336" i="31" s="1"/>
  <c r="G69" i="12"/>
  <c r="C161" i="31"/>
  <c r="G163" i="23"/>
  <c r="H70" i="12"/>
  <c r="B485" i="74" s="1"/>
  <c r="Q58" i="13"/>
  <c r="B166" i="31"/>
  <c r="M344" i="31" s="1"/>
  <c r="R60" i="13"/>
  <c r="C169" i="31"/>
  <c r="G171" i="23"/>
  <c r="H73" i="12"/>
  <c r="B488" i="74" s="1"/>
  <c r="R64" i="13"/>
  <c r="G77" i="12"/>
  <c r="C177" i="31"/>
  <c r="G184" i="23"/>
  <c r="H81" i="12"/>
  <c r="B495" i="74" s="1"/>
  <c r="D185" i="31"/>
  <c r="Q65" i="13"/>
  <c r="F83" i="12"/>
  <c r="G192" i="23"/>
  <c r="S31" i="13"/>
  <c r="B531" i="74" s="1"/>
  <c r="S48" i="13"/>
  <c r="B548" i="74" s="1"/>
  <c r="H84" i="12"/>
  <c r="B498" i="74" s="1"/>
  <c r="Q68" i="13"/>
  <c r="F86" i="12"/>
  <c r="B195" i="31"/>
  <c r="M371" i="31" s="1"/>
  <c r="R69" i="13"/>
  <c r="G87" i="12"/>
  <c r="C198" i="31"/>
  <c r="G200" i="23"/>
  <c r="H89" i="12"/>
  <c r="B503" i="74" s="1"/>
  <c r="D201" i="31"/>
  <c r="D13" i="31"/>
  <c r="J13" i="31" s="1"/>
  <c r="P5" i="73"/>
  <c r="C299" i="74" s="1"/>
  <c r="V5" i="72"/>
  <c r="C180" i="74" s="1"/>
  <c r="C30" i="31"/>
  <c r="P18" i="73"/>
  <c r="C312" i="74" s="1"/>
  <c r="V19" i="72"/>
  <c r="C194" i="74" s="1"/>
  <c r="P26" i="73"/>
  <c r="C320" i="74" s="1"/>
  <c r="V27" i="72"/>
  <c r="C202" i="74" s="1"/>
  <c r="C56" i="31"/>
  <c r="P35" i="73"/>
  <c r="C329" i="74" s="1"/>
  <c r="V36" i="72"/>
  <c r="C211" i="74" s="1"/>
  <c r="D69" i="31"/>
  <c r="B81" i="31"/>
  <c r="M272" i="31" s="1"/>
  <c r="D87" i="31"/>
  <c r="N278" i="31" s="1"/>
  <c r="D89" i="31"/>
  <c r="P54" i="73"/>
  <c r="C348" i="74" s="1"/>
  <c r="V55" i="72"/>
  <c r="C230" i="74" s="1"/>
  <c r="D99" i="31"/>
  <c r="D107" i="31"/>
  <c r="P66" i="73"/>
  <c r="C360" i="74" s="1"/>
  <c r="V67" i="72"/>
  <c r="C242" i="74" s="1"/>
  <c r="B122" i="31"/>
  <c r="M307" i="31" s="1"/>
  <c r="B124" i="31"/>
  <c r="M309" i="31" s="1"/>
  <c r="D126" i="31"/>
  <c r="D130" i="31"/>
  <c r="V77" i="72"/>
  <c r="C252" i="74" s="1"/>
  <c r="P76" i="73"/>
  <c r="C370" i="74" s="1"/>
  <c r="B136" i="31"/>
  <c r="M320" i="31" s="1"/>
  <c r="B139" i="31"/>
  <c r="M322" i="31" s="1"/>
  <c r="P87" i="73"/>
  <c r="C381" i="74" s="1"/>
  <c r="V88" i="72"/>
  <c r="C263" i="74" s="1"/>
  <c r="D161" i="31"/>
  <c r="P95" i="73"/>
  <c r="C389" i="74" s="1"/>
  <c r="V96" i="72"/>
  <c r="C271" i="74" s="1"/>
  <c r="D169" i="31"/>
  <c r="N347" i="31" s="1"/>
  <c r="B170" i="31"/>
  <c r="M288" i="31" s="1"/>
  <c r="B174" i="31"/>
  <c r="M351" i="31" s="1"/>
  <c r="D175" i="31"/>
  <c r="N352" i="31" s="1"/>
  <c r="D190" i="31"/>
  <c r="P116" i="73"/>
  <c r="C409" i="74" s="1"/>
  <c r="V117" i="72"/>
  <c r="C291" i="74" s="1"/>
  <c r="C13" i="25"/>
  <c r="P39" i="73"/>
  <c r="C333" i="74" s="1"/>
  <c r="V40" i="72"/>
  <c r="C215" i="74" s="1"/>
  <c r="P43" i="73"/>
  <c r="C337" i="74" s="1"/>
  <c r="V44" i="72"/>
  <c r="C219" i="74" s="1"/>
  <c r="V45" i="72"/>
  <c r="C220" i="74" s="1"/>
  <c r="P44" i="73"/>
  <c r="C338" i="74" s="1"/>
  <c r="P45" i="73"/>
  <c r="C339" i="74" s="1"/>
  <c r="V46" i="72"/>
  <c r="C221" i="74" s="1"/>
  <c r="P50" i="73"/>
  <c r="C344" i="74" s="1"/>
  <c r="V51" i="72"/>
  <c r="C226" i="74" s="1"/>
  <c r="P57" i="73"/>
  <c r="C351" i="74" s="1"/>
  <c r="V58" i="72"/>
  <c r="C233" i="74" s="1"/>
  <c r="P62" i="73"/>
  <c r="C356" i="74" s="1"/>
  <c r="V63" i="72"/>
  <c r="C238" i="74" s="1"/>
  <c r="P63" i="73"/>
  <c r="C357" i="74" s="1"/>
  <c r="V64" i="72"/>
  <c r="C239" i="74" s="1"/>
  <c r="P72" i="73"/>
  <c r="C366" i="74" s="1"/>
  <c r="V73" i="72"/>
  <c r="C248" i="74" s="1"/>
  <c r="P93" i="73"/>
  <c r="C387" i="74" s="1"/>
  <c r="V94" i="72"/>
  <c r="C269" i="74" s="1"/>
  <c r="P94" i="73"/>
  <c r="C388" i="74" s="1"/>
  <c r="V95" i="72"/>
  <c r="C270" i="74" s="1"/>
  <c r="P99" i="73"/>
  <c r="C393" i="74" s="1"/>
  <c r="V100" i="72"/>
  <c r="C275" i="74" s="1"/>
  <c r="P101" i="73"/>
  <c r="C395" i="74" s="1"/>
  <c r="V102" i="72"/>
  <c r="C277" i="74" s="1"/>
  <c r="P113" i="73"/>
  <c r="C406" i="74" s="1"/>
  <c r="V114" i="72"/>
  <c r="C288" i="74" s="1"/>
  <c r="P59" i="73"/>
  <c r="C353" i="74" s="1"/>
  <c r="V60" i="72"/>
  <c r="C235" i="74" s="1"/>
  <c r="P77" i="73"/>
  <c r="C371" i="74" s="1"/>
  <c r="V78" i="72"/>
  <c r="C253" i="74" s="1"/>
  <c r="P79" i="73"/>
  <c r="C373" i="74" s="1"/>
  <c r="V80" i="72"/>
  <c r="C255" i="74" s="1"/>
  <c r="P83" i="73"/>
  <c r="C377" i="74" s="1"/>
  <c r="V84" i="72"/>
  <c r="C259" i="74" s="1"/>
  <c r="V85" i="72"/>
  <c r="C260" i="74" s="1"/>
  <c r="P84" i="73"/>
  <c r="C378" i="74" s="1"/>
  <c r="P86" i="73"/>
  <c r="C380" i="74" s="1"/>
  <c r="V87" i="72"/>
  <c r="C262" i="74" s="1"/>
  <c r="P105" i="73"/>
  <c r="C398" i="74" s="1"/>
  <c r="V106" i="72"/>
  <c r="C280" i="74" s="1"/>
  <c r="P108" i="73"/>
  <c r="C401" i="74" s="1"/>
  <c r="V109" i="72"/>
  <c r="C283" i="74" s="1"/>
  <c r="P6" i="73"/>
  <c r="C300" i="74" s="1"/>
  <c r="V6" i="72"/>
  <c r="C181" i="74" s="1"/>
  <c r="P7" i="73"/>
  <c r="C301" i="74" s="1"/>
  <c r="V7" i="72"/>
  <c r="C182" i="74" s="1"/>
  <c r="P9" i="73"/>
  <c r="C303" i="74" s="1"/>
  <c r="V9" i="72"/>
  <c r="C184" i="74" s="1"/>
  <c r="P21" i="73"/>
  <c r="C315" i="74" s="1"/>
  <c r="V22" i="72"/>
  <c r="C197" i="74" s="1"/>
  <c r="P58" i="73"/>
  <c r="C352" i="74" s="1"/>
  <c r="V59" i="72"/>
  <c r="C234" i="74" s="1"/>
  <c r="P74" i="73"/>
  <c r="C368" i="74" s="1"/>
  <c r="V75" i="72"/>
  <c r="C250" i="74" s="1"/>
  <c r="P75" i="73"/>
  <c r="C369" i="74" s="1"/>
  <c r="V76" i="72"/>
  <c r="C251" i="74" s="1"/>
  <c r="P98" i="73"/>
  <c r="C392" i="74" s="1"/>
  <c r="V99" i="72"/>
  <c r="C274" i="74" s="1"/>
  <c r="P100" i="73"/>
  <c r="C394" i="74" s="1"/>
  <c r="V101" i="72"/>
  <c r="C276" i="74" s="1"/>
  <c r="P106" i="73"/>
  <c r="C399" i="74" s="1"/>
  <c r="V107" i="72"/>
  <c r="C281" i="74" s="1"/>
  <c r="P115" i="73"/>
  <c r="C408" i="74" s="1"/>
  <c r="V116" i="72"/>
  <c r="C290" i="74" s="1"/>
  <c r="P118" i="73"/>
  <c r="C411" i="74" s="1"/>
  <c r="V119" i="72"/>
  <c r="C293" i="74" s="1"/>
  <c r="P88" i="73"/>
  <c r="C382" i="74" s="1"/>
  <c r="V89" i="72"/>
  <c r="C264" i="74" s="1"/>
  <c r="V90" i="72"/>
  <c r="C265" i="74" s="1"/>
  <c r="P89" i="73"/>
  <c r="C383" i="74" s="1"/>
  <c r="J44" i="13"/>
  <c r="I76" i="13"/>
  <c r="J31" i="13"/>
  <c r="J71" i="13" s="1"/>
  <c r="I71" i="13" s="1"/>
  <c r="U5" i="13"/>
  <c r="BF11" i="31" s="1"/>
  <c r="U66" i="13"/>
  <c r="BF194" i="31" s="1"/>
  <c r="U16" i="13"/>
  <c r="BF38" i="31" s="1"/>
  <c r="U25" i="13"/>
  <c r="BF62" i="31" s="1"/>
  <c r="U40" i="13"/>
  <c r="BF109" i="31" s="1"/>
  <c r="I74" i="13"/>
  <c r="H71" i="13"/>
  <c r="F5" i="18"/>
  <c r="D4" i="18"/>
  <c r="D7" i="18" s="1"/>
  <c r="F6" i="18"/>
  <c r="E7" i="18"/>
  <c r="E4" i="18"/>
  <c r="E5" i="17"/>
  <c r="B88" i="74" s="1"/>
  <c r="N3" i="18"/>
  <c r="F7" i="17"/>
  <c r="C90" i="74" s="1"/>
  <c r="S8" i="15"/>
  <c r="X6" i="15"/>
  <c r="U9" i="15"/>
  <c r="Z6" i="15"/>
  <c r="U8" i="15"/>
  <c r="ED3" i="23"/>
  <c r="Y6" i="15"/>
  <c r="T8" i="15"/>
  <c r="U4" i="15"/>
  <c r="Q5" i="15"/>
  <c r="Q7" i="15"/>
  <c r="Q9" i="15"/>
  <c r="R7" i="15"/>
  <c r="Z5" i="15" s="1"/>
  <c r="R9" i="15"/>
  <c r="Z7" i="15" s="1"/>
  <c r="C13" i="15"/>
  <c r="S5" i="15"/>
  <c r="S7" i="15"/>
  <c r="S9" i="15"/>
  <c r="P10" i="15"/>
  <c r="X8" i="15" s="1"/>
  <c r="P11" i="15"/>
  <c r="X9" i="15" s="1"/>
  <c r="P4" i="15"/>
  <c r="X2" i="15" s="1"/>
  <c r="P6" i="15"/>
  <c r="Q10" i="15"/>
  <c r="T10" i="15" s="1"/>
  <c r="Q11" i="15"/>
  <c r="Q4" i="15"/>
  <c r="Q6" i="15"/>
  <c r="R10" i="15"/>
  <c r="R11" i="15"/>
  <c r="R6" i="15"/>
  <c r="S11" i="11"/>
  <c r="S5" i="11"/>
  <c r="S10" i="11"/>
  <c r="DR3" i="23"/>
  <c r="Y3" i="11"/>
  <c r="T4" i="11"/>
  <c r="AD4" i="11"/>
  <c r="T5" i="11"/>
  <c r="AD5" i="11"/>
  <c r="T6" i="11"/>
  <c r="T7" i="11"/>
  <c r="T8" i="11"/>
  <c r="U10" i="11"/>
  <c r="U11" i="11"/>
  <c r="AE3" i="15"/>
  <c r="U6" i="11"/>
  <c r="U13" i="11" s="1"/>
  <c r="R13" i="11" s="1"/>
  <c r="P4" i="11"/>
  <c r="X2" i="11" s="1"/>
  <c r="P5" i="11"/>
  <c r="X3" i="11" s="1"/>
  <c r="P6" i="11"/>
  <c r="X4" i="11" s="1"/>
  <c r="P7" i="11"/>
  <c r="X5" i="11" s="1"/>
  <c r="P8" i="11"/>
  <c r="X6" i="11" s="1"/>
  <c r="P9" i="11"/>
  <c r="X7" i="11" s="1"/>
  <c r="P10" i="11"/>
  <c r="X8" i="11" s="1"/>
  <c r="S4" i="11"/>
  <c r="I11" i="10"/>
  <c r="J9" i="10"/>
  <c r="J6" i="10"/>
  <c r="J11" i="10" s="1"/>
  <c r="F11" i="10" s="1"/>
  <c r="D11" i="10"/>
  <c r="B11" i="10" s="1"/>
  <c r="J8" i="10"/>
  <c r="G3" i="21"/>
  <c r="G8" i="21"/>
  <c r="F11" i="19"/>
  <c r="C41" i="74" s="1"/>
  <c r="J77" i="31"/>
  <c r="J123" i="31"/>
  <c r="J33" i="31"/>
  <c r="J28" i="31"/>
  <c r="J24" i="31"/>
  <c r="J25" i="31"/>
  <c r="J36" i="31"/>
  <c r="J59" i="31"/>
  <c r="J60" i="31"/>
  <c r="J78" i="31"/>
  <c r="J104" i="31"/>
  <c r="J115" i="31"/>
  <c r="J119" i="31"/>
  <c r="J100" i="31"/>
  <c r="J124" i="31"/>
  <c r="J110" i="31"/>
  <c r="J111" i="31"/>
  <c r="J160" i="31"/>
  <c r="J152" i="31"/>
  <c r="J154" i="31"/>
  <c r="J146" i="31"/>
  <c r="J148" i="31"/>
  <c r="J136" i="31"/>
  <c r="J128" i="31"/>
  <c r="J170" i="31"/>
  <c r="J171" i="31"/>
  <c r="J172" i="31"/>
  <c r="J193" i="31"/>
  <c r="J189" i="31"/>
  <c r="J174" i="31"/>
  <c r="J178" i="31"/>
  <c r="A55" i="123" l="1"/>
  <c r="H52" i="123"/>
  <c r="G52" i="123"/>
  <c r="F52" i="123"/>
  <c r="E52" i="123"/>
  <c r="B53" i="123"/>
  <c r="A55" i="120"/>
  <c r="A55" i="117"/>
  <c r="T77" i="49"/>
  <c r="W74" i="49"/>
  <c r="S99" i="49" s="1"/>
  <c r="W75" i="49"/>
  <c r="U99" i="49" s="1"/>
  <c r="S77" i="49"/>
  <c r="BR31" i="71"/>
  <c r="BR21" i="71" s="1"/>
  <c r="BB31" i="71"/>
  <c r="B42" i="110"/>
  <c r="E42" i="110" s="1"/>
  <c r="H21" i="110"/>
  <c r="G21" i="110"/>
  <c r="H41" i="110"/>
  <c r="G41" i="110"/>
  <c r="EB20" i="71"/>
  <c r="DY20" i="71"/>
  <c r="EA20" i="71"/>
  <c r="EF20" i="71"/>
  <c r="DZ20" i="71"/>
  <c r="EE20" i="71"/>
  <c r="ED20" i="71"/>
  <c r="CZ20" i="71"/>
  <c r="DA21" i="71" s="1"/>
  <c r="DJ20" i="71"/>
  <c r="DK21" i="71" s="1"/>
  <c r="DH20" i="71"/>
  <c r="DI21" i="71" s="1"/>
  <c r="DF20" i="71"/>
  <c r="DG21" i="71" s="1"/>
  <c r="DD20" i="71"/>
  <c r="DE21" i="71" s="1"/>
  <c r="DB20" i="71"/>
  <c r="DC21" i="71" s="1"/>
  <c r="CX20" i="71"/>
  <c r="CY21" i="71" s="1"/>
  <c r="Y31" i="71"/>
  <c r="AB31" i="71"/>
  <c r="Z31" i="71"/>
  <c r="AC31" i="71"/>
  <c r="J43" i="110"/>
  <c r="I43" i="110"/>
  <c r="P43" i="110"/>
  <c r="D43" i="110"/>
  <c r="O43" i="110"/>
  <c r="C43" i="110"/>
  <c r="N43" i="110"/>
  <c r="L43" i="110"/>
  <c r="M43" i="110"/>
  <c r="K43" i="110"/>
  <c r="A44" i="110"/>
  <c r="F41" i="110"/>
  <c r="E41" i="110"/>
  <c r="B22" i="110"/>
  <c r="E21" i="110"/>
  <c r="F21" i="110"/>
  <c r="S226" i="31"/>
  <c r="AC226" i="31" s="1"/>
  <c r="Q226" i="31"/>
  <c r="AA226" i="31" s="1"/>
  <c r="Y226" i="31"/>
  <c r="AI226" i="31" s="1"/>
  <c r="W226" i="31"/>
  <c r="AG226" i="31" s="1"/>
  <c r="U226" i="31"/>
  <c r="AE226" i="31" s="1"/>
  <c r="T226" i="31"/>
  <c r="AD226" i="31" s="1"/>
  <c r="R226" i="31"/>
  <c r="AB226" i="31" s="1"/>
  <c r="V226" i="31"/>
  <c r="AF226" i="31" s="1"/>
  <c r="P226" i="31"/>
  <c r="Z226" i="31" s="1"/>
  <c r="X226" i="31"/>
  <c r="AH226" i="31" s="1"/>
  <c r="U35" i="72"/>
  <c r="B210" i="74" s="1"/>
  <c r="N256" i="31"/>
  <c r="N327" i="31"/>
  <c r="N328" i="31"/>
  <c r="J164" i="31"/>
  <c r="N342" i="31"/>
  <c r="W297" i="31"/>
  <c r="AG297" i="31" s="1"/>
  <c r="X297" i="31"/>
  <c r="AH297" i="31" s="1"/>
  <c r="T297" i="31"/>
  <c r="AD297" i="31" s="1"/>
  <c r="S297" i="31"/>
  <c r="AC297" i="31" s="1"/>
  <c r="R297" i="31"/>
  <c r="AB297" i="31" s="1"/>
  <c r="P297" i="31"/>
  <c r="Z297" i="31" s="1"/>
  <c r="Q297" i="31"/>
  <c r="AA297" i="31" s="1"/>
  <c r="Y297" i="31"/>
  <c r="AI297" i="31" s="1"/>
  <c r="V297" i="31"/>
  <c r="AF297" i="31" s="1"/>
  <c r="U297" i="31"/>
  <c r="AE297" i="31" s="1"/>
  <c r="Y269" i="31"/>
  <c r="AI269" i="31" s="1"/>
  <c r="V269" i="31"/>
  <c r="AF269" i="31" s="1"/>
  <c r="T269" i="31"/>
  <c r="AD269" i="31" s="1"/>
  <c r="W269" i="31"/>
  <c r="AG269" i="31" s="1"/>
  <c r="R269" i="31"/>
  <c r="AB269" i="31" s="1"/>
  <c r="S269" i="31"/>
  <c r="AC269" i="31" s="1"/>
  <c r="Q269" i="31"/>
  <c r="AA269" i="31" s="1"/>
  <c r="U269" i="31"/>
  <c r="AE269" i="31" s="1"/>
  <c r="X269" i="31"/>
  <c r="AH269" i="31" s="1"/>
  <c r="P269" i="31"/>
  <c r="Z269" i="31" s="1"/>
  <c r="S334" i="31"/>
  <c r="AC334" i="31" s="1"/>
  <c r="Y334" i="31"/>
  <c r="AI334" i="31" s="1"/>
  <c r="V334" i="31"/>
  <c r="AF334" i="31" s="1"/>
  <c r="U334" i="31"/>
  <c r="AE334" i="31" s="1"/>
  <c r="P334" i="31"/>
  <c r="Z334" i="31" s="1"/>
  <c r="Q334" i="31"/>
  <c r="AA334" i="31" s="1"/>
  <c r="X334" i="31"/>
  <c r="AH334" i="31" s="1"/>
  <c r="T334" i="31"/>
  <c r="AD334" i="31" s="1"/>
  <c r="W334" i="31"/>
  <c r="AG334" i="31" s="1"/>
  <c r="R334" i="31"/>
  <c r="AB334" i="31" s="1"/>
  <c r="W227" i="31"/>
  <c r="AG227" i="31" s="1"/>
  <c r="S227" i="31"/>
  <c r="AC227" i="31" s="1"/>
  <c r="R227" i="31"/>
  <c r="AB227" i="31" s="1"/>
  <c r="Y227" i="31"/>
  <c r="AI227" i="31" s="1"/>
  <c r="Q227" i="31"/>
  <c r="AA227" i="31" s="1"/>
  <c r="U227" i="31"/>
  <c r="AE227" i="31" s="1"/>
  <c r="P227" i="31"/>
  <c r="Z227" i="31" s="1"/>
  <c r="T227" i="31"/>
  <c r="AD227" i="31" s="1"/>
  <c r="V227" i="31"/>
  <c r="AF227" i="31" s="1"/>
  <c r="X227" i="31"/>
  <c r="AH227" i="31" s="1"/>
  <c r="Y366" i="31"/>
  <c r="AI366" i="31" s="1"/>
  <c r="R366" i="31"/>
  <c r="AB366" i="31" s="1"/>
  <c r="P366" i="31"/>
  <c r="Z366" i="31" s="1"/>
  <c r="U366" i="31"/>
  <c r="AE366" i="31" s="1"/>
  <c r="X366" i="31"/>
  <c r="AH366" i="31" s="1"/>
  <c r="T366" i="31"/>
  <c r="AD366" i="31" s="1"/>
  <c r="W366" i="31"/>
  <c r="AG366" i="31" s="1"/>
  <c r="S366" i="31"/>
  <c r="AC366" i="31" s="1"/>
  <c r="Q366" i="31"/>
  <c r="AA366" i="31" s="1"/>
  <c r="V366" i="31"/>
  <c r="AF366" i="31" s="1"/>
  <c r="C2" i="88"/>
  <c r="E2" i="88" s="1"/>
  <c r="B595" i="74" s="1"/>
  <c r="J179" i="31"/>
  <c r="N355" i="31"/>
  <c r="J42" i="31"/>
  <c r="N239" i="31"/>
  <c r="J26" i="31"/>
  <c r="N225" i="31"/>
  <c r="J48" i="31"/>
  <c r="N244" i="31"/>
  <c r="J161" i="31"/>
  <c r="N339" i="31"/>
  <c r="J126" i="31"/>
  <c r="N310" i="31"/>
  <c r="J201" i="31"/>
  <c r="N377" i="31"/>
  <c r="J120" i="31"/>
  <c r="N305" i="31"/>
  <c r="J176" i="31"/>
  <c r="N353" i="31"/>
  <c r="V372" i="31"/>
  <c r="AF372" i="31" s="1"/>
  <c r="P372" i="31"/>
  <c r="Z372" i="31" s="1"/>
  <c r="U372" i="31"/>
  <c r="AE372" i="31" s="1"/>
  <c r="W372" i="31"/>
  <c r="AG372" i="31" s="1"/>
  <c r="S372" i="31"/>
  <c r="AC372" i="31" s="1"/>
  <c r="Y372" i="31"/>
  <c r="AI372" i="31" s="1"/>
  <c r="X372" i="31"/>
  <c r="AH372" i="31" s="1"/>
  <c r="T372" i="31"/>
  <c r="AD372" i="31" s="1"/>
  <c r="R372" i="31"/>
  <c r="AB372" i="31" s="1"/>
  <c r="Q372" i="31"/>
  <c r="AA372" i="31" s="1"/>
  <c r="J180" i="31"/>
  <c r="N356" i="31"/>
  <c r="J41" i="31"/>
  <c r="N238" i="31"/>
  <c r="V316" i="31"/>
  <c r="AF316" i="31" s="1"/>
  <c r="Q316" i="31"/>
  <c r="AA316" i="31" s="1"/>
  <c r="X316" i="31"/>
  <c r="AH316" i="31" s="1"/>
  <c r="W316" i="31"/>
  <c r="AG316" i="31" s="1"/>
  <c r="T316" i="31"/>
  <c r="AD316" i="31" s="1"/>
  <c r="Y316" i="31"/>
  <c r="AI316" i="31" s="1"/>
  <c r="P316" i="31"/>
  <c r="Z316" i="31" s="1"/>
  <c r="U316" i="31"/>
  <c r="AE316" i="31" s="1"/>
  <c r="S316" i="31"/>
  <c r="AC316" i="31" s="1"/>
  <c r="R316" i="31"/>
  <c r="AB316" i="31" s="1"/>
  <c r="J71" i="31"/>
  <c r="N264" i="31"/>
  <c r="S313" i="31"/>
  <c r="AC313" i="31" s="1"/>
  <c r="P313" i="31"/>
  <c r="Z313" i="31" s="1"/>
  <c r="X313" i="31"/>
  <c r="AH313" i="31" s="1"/>
  <c r="W313" i="31"/>
  <c r="AG313" i="31" s="1"/>
  <c r="U313" i="31"/>
  <c r="AE313" i="31" s="1"/>
  <c r="T313" i="31"/>
  <c r="AD313" i="31" s="1"/>
  <c r="Q313" i="31"/>
  <c r="AA313" i="31" s="1"/>
  <c r="R313" i="31"/>
  <c r="AB313" i="31" s="1"/>
  <c r="V313" i="31"/>
  <c r="AF313" i="31" s="1"/>
  <c r="Y313" i="31"/>
  <c r="AI313" i="31" s="1"/>
  <c r="R341" i="31"/>
  <c r="AB341" i="31" s="1"/>
  <c r="Y341" i="31"/>
  <c r="AI341" i="31" s="1"/>
  <c r="V341" i="31"/>
  <c r="AF341" i="31" s="1"/>
  <c r="P341" i="31"/>
  <c r="Z341" i="31" s="1"/>
  <c r="Q341" i="31"/>
  <c r="AA341" i="31" s="1"/>
  <c r="T341" i="31"/>
  <c r="AD341" i="31" s="1"/>
  <c r="S341" i="31"/>
  <c r="AC341" i="31" s="1"/>
  <c r="U341" i="31"/>
  <c r="AE341" i="31" s="1"/>
  <c r="W341" i="31"/>
  <c r="AG341" i="31" s="1"/>
  <c r="X341" i="31"/>
  <c r="AH341" i="31" s="1"/>
  <c r="J23" i="31"/>
  <c r="N223" i="31"/>
  <c r="J50" i="31"/>
  <c r="N247" i="31"/>
  <c r="J113" i="31"/>
  <c r="N299" i="31"/>
  <c r="X209" i="31"/>
  <c r="AH209" i="31" s="1"/>
  <c r="S209" i="31"/>
  <c r="AC209" i="31" s="1"/>
  <c r="T209" i="31"/>
  <c r="AD209" i="31" s="1"/>
  <c r="Q209" i="31"/>
  <c r="AA209" i="31" s="1"/>
  <c r="V209" i="31"/>
  <c r="AF209" i="31" s="1"/>
  <c r="Y209" i="31"/>
  <c r="AI209" i="31" s="1"/>
  <c r="R209" i="31"/>
  <c r="AB209" i="31" s="1"/>
  <c r="P209" i="31"/>
  <c r="Z209" i="31" s="1"/>
  <c r="U209" i="31"/>
  <c r="AE209" i="31" s="1"/>
  <c r="W209" i="31"/>
  <c r="AG209" i="31" s="1"/>
  <c r="X267" i="31"/>
  <c r="AH267" i="31" s="1"/>
  <c r="T267" i="31"/>
  <c r="AD267" i="31" s="1"/>
  <c r="R267" i="31"/>
  <c r="AB267" i="31" s="1"/>
  <c r="S267" i="31"/>
  <c r="AC267" i="31" s="1"/>
  <c r="U267" i="31"/>
  <c r="AE267" i="31" s="1"/>
  <c r="Q267" i="31"/>
  <c r="AA267" i="31" s="1"/>
  <c r="Y267" i="31"/>
  <c r="AI267" i="31" s="1"/>
  <c r="V267" i="31"/>
  <c r="AF267" i="31" s="1"/>
  <c r="W267" i="31"/>
  <c r="AG267" i="31" s="1"/>
  <c r="P267" i="31"/>
  <c r="Z267" i="31" s="1"/>
  <c r="U12" i="72"/>
  <c r="B187" i="74" s="1"/>
  <c r="N224" i="31"/>
  <c r="V312" i="31"/>
  <c r="AF312" i="31" s="1"/>
  <c r="X312" i="31"/>
  <c r="AH312" i="31" s="1"/>
  <c r="P312" i="31"/>
  <c r="Z312" i="31" s="1"/>
  <c r="U312" i="31"/>
  <c r="AE312" i="31" s="1"/>
  <c r="R312" i="31"/>
  <c r="AB312" i="31" s="1"/>
  <c r="S312" i="31"/>
  <c r="AC312" i="31" s="1"/>
  <c r="Q312" i="31"/>
  <c r="AA312" i="31" s="1"/>
  <c r="W312" i="31"/>
  <c r="AG312" i="31" s="1"/>
  <c r="T312" i="31"/>
  <c r="AD312" i="31" s="1"/>
  <c r="Y312" i="31"/>
  <c r="AI312" i="31" s="1"/>
  <c r="O35" i="73"/>
  <c r="B329" i="74" s="1"/>
  <c r="N257" i="31"/>
  <c r="F6" i="88"/>
  <c r="C599" i="74" s="1"/>
  <c r="C6" i="88"/>
  <c r="E6" i="88" s="1"/>
  <c r="B599" i="74" s="1"/>
  <c r="J185" i="31"/>
  <c r="N361" i="31"/>
  <c r="T290" i="31"/>
  <c r="AD290" i="31" s="1"/>
  <c r="R290" i="31"/>
  <c r="AB290" i="31" s="1"/>
  <c r="U290" i="31"/>
  <c r="AE290" i="31" s="1"/>
  <c r="S290" i="31"/>
  <c r="AC290" i="31" s="1"/>
  <c r="Y290" i="31"/>
  <c r="AI290" i="31" s="1"/>
  <c r="Q290" i="31"/>
  <c r="AA290" i="31" s="1"/>
  <c r="X290" i="31"/>
  <c r="AH290" i="31" s="1"/>
  <c r="P290" i="31"/>
  <c r="Z290" i="31" s="1"/>
  <c r="W290" i="31"/>
  <c r="AG290" i="31" s="1"/>
  <c r="V290" i="31"/>
  <c r="AF290" i="31" s="1"/>
  <c r="J200" i="31"/>
  <c r="N376" i="31"/>
  <c r="J145" i="31"/>
  <c r="N326" i="31"/>
  <c r="O119" i="73"/>
  <c r="B412" i="74" s="1"/>
  <c r="N373" i="31"/>
  <c r="J134" i="31"/>
  <c r="N318" i="31"/>
  <c r="J195" i="31"/>
  <c r="N371" i="31"/>
  <c r="M327" i="31"/>
  <c r="BQ212" i="31" s="1"/>
  <c r="M328" i="31"/>
  <c r="J181" i="31"/>
  <c r="N357" i="31"/>
  <c r="Y302" i="31"/>
  <c r="AI302" i="31" s="1"/>
  <c r="R302" i="31"/>
  <c r="AB302" i="31" s="1"/>
  <c r="T302" i="31"/>
  <c r="AD302" i="31" s="1"/>
  <c r="U302" i="31"/>
  <c r="AE302" i="31" s="1"/>
  <c r="P302" i="31"/>
  <c r="Z302" i="31" s="1"/>
  <c r="S302" i="31"/>
  <c r="AC302" i="31" s="1"/>
  <c r="X302" i="31"/>
  <c r="AH302" i="31" s="1"/>
  <c r="V302" i="31"/>
  <c r="AF302" i="31" s="1"/>
  <c r="Q302" i="31"/>
  <c r="AA302" i="31" s="1"/>
  <c r="W302" i="31"/>
  <c r="AG302" i="31" s="1"/>
  <c r="J91" i="31"/>
  <c r="N281" i="31"/>
  <c r="O30" i="73"/>
  <c r="B324" i="74" s="1"/>
  <c r="N251" i="31"/>
  <c r="V254" i="31"/>
  <c r="AF254" i="31" s="1"/>
  <c r="R254" i="31"/>
  <c r="AB254" i="31" s="1"/>
  <c r="T254" i="31"/>
  <c r="AD254" i="31" s="1"/>
  <c r="P254" i="31"/>
  <c r="Z254" i="31" s="1"/>
  <c r="Q254" i="31"/>
  <c r="AA254" i="31" s="1"/>
  <c r="X254" i="31"/>
  <c r="AH254" i="31" s="1"/>
  <c r="Y254" i="31"/>
  <c r="AI254" i="31" s="1"/>
  <c r="S254" i="31"/>
  <c r="AC254" i="31" s="1"/>
  <c r="W254" i="31"/>
  <c r="AG254" i="31" s="1"/>
  <c r="U254" i="31"/>
  <c r="AE254" i="31" s="1"/>
  <c r="R252" i="31"/>
  <c r="AB252" i="31" s="1"/>
  <c r="P252" i="31"/>
  <c r="Z252" i="31" s="1"/>
  <c r="S252" i="31"/>
  <c r="AC252" i="31" s="1"/>
  <c r="V252" i="31"/>
  <c r="AF252" i="31" s="1"/>
  <c r="X252" i="31"/>
  <c r="AH252" i="31" s="1"/>
  <c r="Q252" i="31"/>
  <c r="AA252" i="31" s="1"/>
  <c r="Y252" i="31"/>
  <c r="AI252" i="31" s="1"/>
  <c r="T252" i="31"/>
  <c r="AD252" i="31" s="1"/>
  <c r="U252" i="31"/>
  <c r="AE252" i="31" s="1"/>
  <c r="W252" i="31"/>
  <c r="AG252" i="31" s="1"/>
  <c r="J32" i="31"/>
  <c r="N230" i="31"/>
  <c r="J98" i="31"/>
  <c r="N287" i="31"/>
  <c r="U18" i="72"/>
  <c r="B193" i="74" s="1"/>
  <c r="S338" i="31"/>
  <c r="AC338" i="31" s="1"/>
  <c r="X338" i="31"/>
  <c r="AH338" i="31" s="1"/>
  <c r="T338" i="31"/>
  <c r="AD338" i="31" s="1"/>
  <c r="R338" i="31"/>
  <c r="AB338" i="31" s="1"/>
  <c r="P338" i="31"/>
  <c r="Z338" i="31" s="1"/>
  <c r="V338" i="31"/>
  <c r="AF338" i="31" s="1"/>
  <c r="U338" i="31"/>
  <c r="AE338" i="31" s="1"/>
  <c r="Q338" i="31"/>
  <c r="AA338" i="31" s="1"/>
  <c r="Y338" i="31"/>
  <c r="AI338" i="31" s="1"/>
  <c r="W338" i="31"/>
  <c r="AG338" i="31" s="1"/>
  <c r="W301" i="31"/>
  <c r="AG301" i="31" s="1"/>
  <c r="X301" i="31"/>
  <c r="AH301" i="31" s="1"/>
  <c r="T301" i="31"/>
  <c r="AD301" i="31" s="1"/>
  <c r="R301" i="31"/>
  <c r="AB301" i="31" s="1"/>
  <c r="P301" i="31"/>
  <c r="Z301" i="31" s="1"/>
  <c r="Q301" i="31"/>
  <c r="AA301" i="31" s="1"/>
  <c r="Y301" i="31"/>
  <c r="AI301" i="31" s="1"/>
  <c r="U301" i="31"/>
  <c r="AE301" i="31" s="1"/>
  <c r="S301" i="31"/>
  <c r="AC301" i="31" s="1"/>
  <c r="V301" i="31"/>
  <c r="AF301" i="31" s="1"/>
  <c r="W369" i="31"/>
  <c r="AG369" i="31" s="1"/>
  <c r="P369" i="31"/>
  <c r="Z369" i="31" s="1"/>
  <c r="X369" i="31"/>
  <c r="AH369" i="31" s="1"/>
  <c r="U369" i="31"/>
  <c r="AE369" i="31" s="1"/>
  <c r="T369" i="31"/>
  <c r="AD369" i="31" s="1"/>
  <c r="S369" i="31"/>
  <c r="AC369" i="31" s="1"/>
  <c r="Y369" i="31"/>
  <c r="AI369" i="31" s="1"/>
  <c r="R369" i="31"/>
  <c r="AB369" i="31" s="1"/>
  <c r="V369" i="31"/>
  <c r="AF369" i="31" s="1"/>
  <c r="Q369" i="31"/>
  <c r="AA369" i="31" s="1"/>
  <c r="R320" i="31"/>
  <c r="AB320" i="31" s="1"/>
  <c r="P320" i="31"/>
  <c r="Z320" i="31" s="1"/>
  <c r="X320" i="31"/>
  <c r="AH320" i="31" s="1"/>
  <c r="V320" i="31"/>
  <c r="AF320" i="31" s="1"/>
  <c r="Y320" i="31"/>
  <c r="AI320" i="31" s="1"/>
  <c r="W320" i="31"/>
  <c r="AG320" i="31" s="1"/>
  <c r="Q320" i="31"/>
  <c r="AA320" i="31" s="1"/>
  <c r="T320" i="31"/>
  <c r="AD320" i="31" s="1"/>
  <c r="S320" i="31"/>
  <c r="AC320" i="31" s="1"/>
  <c r="U320" i="31"/>
  <c r="AE320" i="31" s="1"/>
  <c r="O44" i="73"/>
  <c r="B338" i="74" s="1"/>
  <c r="N272" i="31"/>
  <c r="X270" i="31"/>
  <c r="AH270" i="31" s="1"/>
  <c r="W270" i="31"/>
  <c r="AG270" i="31" s="1"/>
  <c r="Q270" i="31"/>
  <c r="AA270" i="31" s="1"/>
  <c r="U270" i="31"/>
  <c r="AE270" i="31" s="1"/>
  <c r="P270" i="31"/>
  <c r="Z270" i="31" s="1"/>
  <c r="T270" i="31"/>
  <c r="AD270" i="31" s="1"/>
  <c r="V270" i="31"/>
  <c r="AF270" i="31" s="1"/>
  <c r="S270" i="31"/>
  <c r="AC270" i="31" s="1"/>
  <c r="R270" i="31"/>
  <c r="AB270" i="31" s="1"/>
  <c r="Y270" i="31"/>
  <c r="AI270" i="31" s="1"/>
  <c r="F4" i="88"/>
  <c r="C597" i="74" s="1"/>
  <c r="C9" i="88"/>
  <c r="E9" i="88" s="1"/>
  <c r="B602" i="74" s="1"/>
  <c r="V276" i="31"/>
  <c r="AF276" i="31" s="1"/>
  <c r="W276" i="31"/>
  <c r="AG276" i="31" s="1"/>
  <c r="T276" i="31"/>
  <c r="AD276" i="31" s="1"/>
  <c r="S276" i="31"/>
  <c r="AC276" i="31" s="1"/>
  <c r="Y276" i="31"/>
  <c r="AI276" i="31" s="1"/>
  <c r="R276" i="31"/>
  <c r="AB276" i="31" s="1"/>
  <c r="Q276" i="31"/>
  <c r="AA276" i="31" s="1"/>
  <c r="P276" i="31"/>
  <c r="Z276" i="31" s="1"/>
  <c r="X276" i="31"/>
  <c r="AH276" i="31" s="1"/>
  <c r="U276" i="31"/>
  <c r="AE276" i="31" s="1"/>
  <c r="J135" i="31"/>
  <c r="N319" i="31"/>
  <c r="X337" i="31"/>
  <c r="AH337" i="31" s="1"/>
  <c r="U337" i="31"/>
  <c r="AE337" i="31" s="1"/>
  <c r="T337" i="31"/>
  <c r="AD337" i="31" s="1"/>
  <c r="R337" i="31"/>
  <c r="AB337" i="31" s="1"/>
  <c r="P337" i="31"/>
  <c r="Z337" i="31" s="1"/>
  <c r="V337" i="31"/>
  <c r="AF337" i="31" s="1"/>
  <c r="Q337" i="31"/>
  <c r="AA337" i="31" s="1"/>
  <c r="Y337" i="31"/>
  <c r="AI337" i="31" s="1"/>
  <c r="W337" i="31"/>
  <c r="AG337" i="31" s="1"/>
  <c r="S337" i="31"/>
  <c r="AC337" i="31" s="1"/>
  <c r="J142" i="31"/>
  <c r="N323" i="31"/>
  <c r="J153" i="31"/>
  <c r="N335" i="31"/>
  <c r="J182" i="31"/>
  <c r="N358" i="31"/>
  <c r="J44" i="31"/>
  <c r="N241" i="31"/>
  <c r="J20" i="31"/>
  <c r="N220" i="31"/>
  <c r="J12" i="31"/>
  <c r="N214" i="31"/>
  <c r="W236" i="31"/>
  <c r="AG236" i="31" s="1"/>
  <c r="Y236" i="31"/>
  <c r="AI236" i="31" s="1"/>
  <c r="X236" i="31"/>
  <c r="AH236" i="31" s="1"/>
  <c r="P236" i="31"/>
  <c r="Z236" i="31" s="1"/>
  <c r="U236" i="31"/>
  <c r="AE236" i="31" s="1"/>
  <c r="S236" i="31"/>
  <c r="AC236" i="31" s="1"/>
  <c r="R236" i="31"/>
  <c r="AB236" i="31" s="1"/>
  <c r="Q236" i="31"/>
  <c r="AA236" i="31" s="1"/>
  <c r="T236" i="31"/>
  <c r="AD236" i="31" s="1"/>
  <c r="V236" i="31"/>
  <c r="AF236" i="31" s="1"/>
  <c r="J105" i="31"/>
  <c r="N294" i="31"/>
  <c r="J5" i="31"/>
  <c r="N208" i="31"/>
  <c r="J95" i="31"/>
  <c r="N284" i="31"/>
  <c r="Y217" i="31"/>
  <c r="AI217" i="31" s="1"/>
  <c r="X217" i="31"/>
  <c r="AH217" i="31" s="1"/>
  <c r="W217" i="31"/>
  <c r="AG217" i="31" s="1"/>
  <c r="U217" i="31"/>
  <c r="AE217" i="31" s="1"/>
  <c r="S217" i="31"/>
  <c r="AC217" i="31" s="1"/>
  <c r="R217" i="31"/>
  <c r="AB217" i="31" s="1"/>
  <c r="P217" i="31"/>
  <c r="Z217" i="31" s="1"/>
  <c r="T217" i="31"/>
  <c r="AD217" i="31" s="1"/>
  <c r="Q217" i="31"/>
  <c r="AA217" i="31" s="1"/>
  <c r="V217" i="31"/>
  <c r="AF217" i="31" s="1"/>
  <c r="J35" i="31"/>
  <c r="N245" i="31"/>
  <c r="V343" i="31"/>
  <c r="AF343" i="31" s="1"/>
  <c r="R343" i="31"/>
  <c r="AB343" i="31" s="1"/>
  <c r="X343" i="31"/>
  <c r="AH343" i="31" s="1"/>
  <c r="Q343" i="31"/>
  <c r="AA343" i="31" s="1"/>
  <c r="S343" i="31"/>
  <c r="AC343" i="31" s="1"/>
  <c r="T343" i="31"/>
  <c r="AD343" i="31" s="1"/>
  <c r="U343" i="31"/>
  <c r="AE343" i="31" s="1"/>
  <c r="P343" i="31"/>
  <c r="Z343" i="31" s="1"/>
  <c r="W343" i="31"/>
  <c r="AG343" i="31" s="1"/>
  <c r="Y343" i="31"/>
  <c r="AI343" i="31" s="1"/>
  <c r="V275" i="31"/>
  <c r="AF275" i="31" s="1"/>
  <c r="P275" i="31"/>
  <c r="Z275" i="31" s="1"/>
  <c r="X275" i="31"/>
  <c r="AH275" i="31" s="1"/>
  <c r="R275" i="31"/>
  <c r="AB275" i="31" s="1"/>
  <c r="Q275" i="31"/>
  <c r="AA275" i="31" s="1"/>
  <c r="S275" i="31"/>
  <c r="AC275" i="31" s="1"/>
  <c r="U275" i="31"/>
  <c r="AE275" i="31" s="1"/>
  <c r="Y275" i="31"/>
  <c r="AI275" i="31" s="1"/>
  <c r="T275" i="31"/>
  <c r="AD275" i="31" s="1"/>
  <c r="W275" i="31"/>
  <c r="AG275" i="31" s="1"/>
  <c r="O17" i="73"/>
  <c r="B311" i="74" s="1"/>
  <c r="J106" i="31"/>
  <c r="N295" i="31"/>
  <c r="O26" i="73"/>
  <c r="B320" i="74" s="1"/>
  <c r="N246" i="31"/>
  <c r="F8" i="88"/>
  <c r="C601" i="74" s="1"/>
  <c r="C8" i="88"/>
  <c r="E8" i="88" s="1"/>
  <c r="B601" i="74" s="1"/>
  <c r="J102" i="31"/>
  <c r="N291" i="31"/>
  <c r="J167" i="31"/>
  <c r="N345" i="31"/>
  <c r="J183" i="31"/>
  <c r="N359" i="31"/>
  <c r="J92" i="31"/>
  <c r="N282" i="31"/>
  <c r="J198" i="31"/>
  <c r="N374" i="31"/>
  <c r="J117" i="31"/>
  <c r="N303" i="31"/>
  <c r="J156" i="31"/>
  <c r="N336" i="31"/>
  <c r="J37" i="31"/>
  <c r="N234" i="31"/>
  <c r="T273" i="31"/>
  <c r="AD273" i="31" s="1"/>
  <c r="X273" i="31"/>
  <c r="AH273" i="31" s="1"/>
  <c r="R273" i="31"/>
  <c r="AB273" i="31" s="1"/>
  <c r="P273" i="31"/>
  <c r="Z273" i="31" s="1"/>
  <c r="W273" i="31"/>
  <c r="AG273" i="31" s="1"/>
  <c r="U273" i="31"/>
  <c r="AE273" i="31" s="1"/>
  <c r="S273" i="31"/>
  <c r="AC273" i="31" s="1"/>
  <c r="V273" i="31"/>
  <c r="AF273" i="31" s="1"/>
  <c r="Y273" i="31"/>
  <c r="AI273" i="31" s="1"/>
  <c r="Q273" i="31"/>
  <c r="AA273" i="31" s="1"/>
  <c r="J70" i="31"/>
  <c r="N263" i="31"/>
  <c r="X271" i="31"/>
  <c r="AH271" i="31" s="1"/>
  <c r="Y271" i="31"/>
  <c r="AI271" i="31" s="1"/>
  <c r="V271" i="31"/>
  <c r="AF271" i="31" s="1"/>
  <c r="Q271" i="31"/>
  <c r="AA271" i="31" s="1"/>
  <c r="U271" i="31"/>
  <c r="AE271" i="31" s="1"/>
  <c r="P271" i="31"/>
  <c r="Z271" i="31" s="1"/>
  <c r="T271" i="31"/>
  <c r="AD271" i="31" s="1"/>
  <c r="S271" i="31"/>
  <c r="AC271" i="31" s="1"/>
  <c r="W271" i="31"/>
  <c r="AG271" i="31" s="1"/>
  <c r="R271" i="31"/>
  <c r="AB271" i="31" s="1"/>
  <c r="J34" i="31"/>
  <c r="N232" i="31"/>
  <c r="J83" i="31"/>
  <c r="N274" i="31"/>
  <c r="J68" i="31"/>
  <c r="N261" i="31"/>
  <c r="J121" i="31"/>
  <c r="N306" i="31"/>
  <c r="U322" i="31"/>
  <c r="AE322" i="31" s="1"/>
  <c r="R322" i="31"/>
  <c r="AB322" i="31" s="1"/>
  <c r="Y322" i="31"/>
  <c r="AI322" i="31" s="1"/>
  <c r="P322" i="31"/>
  <c r="Z322" i="31" s="1"/>
  <c r="V322" i="31"/>
  <c r="AF322" i="31" s="1"/>
  <c r="T322" i="31"/>
  <c r="AD322" i="31" s="1"/>
  <c r="Q322" i="31"/>
  <c r="AA322" i="31" s="1"/>
  <c r="S322" i="31"/>
  <c r="AC322" i="31" s="1"/>
  <c r="X322" i="31"/>
  <c r="AH322" i="31" s="1"/>
  <c r="W322" i="31"/>
  <c r="AG322" i="31" s="1"/>
  <c r="Y378" i="31"/>
  <c r="AI378" i="31" s="1"/>
  <c r="R378" i="31"/>
  <c r="AB378" i="31" s="1"/>
  <c r="T378" i="31"/>
  <c r="AD378" i="31" s="1"/>
  <c r="S378" i="31"/>
  <c r="AC378" i="31" s="1"/>
  <c r="X378" i="31"/>
  <c r="AH378" i="31" s="1"/>
  <c r="U378" i="31"/>
  <c r="AE378" i="31" s="1"/>
  <c r="V378" i="31"/>
  <c r="AF378" i="31" s="1"/>
  <c r="P378" i="31"/>
  <c r="Z378" i="31" s="1"/>
  <c r="W378" i="31"/>
  <c r="AG378" i="31" s="1"/>
  <c r="Q378" i="31"/>
  <c r="AA378" i="31" s="1"/>
  <c r="J173" i="31"/>
  <c r="N350" i="31"/>
  <c r="J30" i="31"/>
  <c r="N229" i="31"/>
  <c r="J22" i="31"/>
  <c r="N222" i="31"/>
  <c r="P351" i="31"/>
  <c r="Z351" i="31" s="1"/>
  <c r="X351" i="31"/>
  <c r="AH351" i="31" s="1"/>
  <c r="R351" i="31"/>
  <c r="AB351" i="31" s="1"/>
  <c r="Y351" i="31"/>
  <c r="AI351" i="31" s="1"/>
  <c r="V351" i="31"/>
  <c r="AF351" i="31" s="1"/>
  <c r="T351" i="31"/>
  <c r="AD351" i="31" s="1"/>
  <c r="Q351" i="31"/>
  <c r="AA351" i="31" s="1"/>
  <c r="U351" i="31"/>
  <c r="AE351" i="31" s="1"/>
  <c r="S351" i="31"/>
  <c r="AC351" i="31" s="1"/>
  <c r="W351" i="31"/>
  <c r="AG351" i="31" s="1"/>
  <c r="S309" i="31"/>
  <c r="AC309" i="31" s="1"/>
  <c r="P309" i="31"/>
  <c r="Z309" i="31" s="1"/>
  <c r="U309" i="31"/>
  <c r="AE309" i="31" s="1"/>
  <c r="X309" i="31"/>
  <c r="AH309" i="31" s="1"/>
  <c r="W309" i="31"/>
  <c r="AG309" i="31" s="1"/>
  <c r="T309" i="31"/>
  <c r="AD309" i="31" s="1"/>
  <c r="Q309" i="31"/>
  <c r="AA309" i="31" s="1"/>
  <c r="R309" i="31"/>
  <c r="AB309" i="31" s="1"/>
  <c r="V309" i="31"/>
  <c r="AF309" i="31" s="1"/>
  <c r="Y309" i="31"/>
  <c r="AI309" i="31" s="1"/>
  <c r="R348" i="31"/>
  <c r="AB348" i="31" s="1"/>
  <c r="X348" i="31"/>
  <c r="AH348" i="31" s="1"/>
  <c r="T348" i="31"/>
  <c r="AD348" i="31" s="1"/>
  <c r="V348" i="31"/>
  <c r="AF348" i="31" s="1"/>
  <c r="S348" i="31"/>
  <c r="AC348" i="31" s="1"/>
  <c r="Q348" i="31"/>
  <c r="AA348" i="31" s="1"/>
  <c r="P348" i="31"/>
  <c r="Z348" i="31" s="1"/>
  <c r="U348" i="31"/>
  <c r="AE348" i="31" s="1"/>
  <c r="Y348" i="31"/>
  <c r="AI348" i="31" s="1"/>
  <c r="W348" i="31"/>
  <c r="AG348" i="31" s="1"/>
  <c r="J122" i="31"/>
  <c r="N307" i="31"/>
  <c r="U19" i="72"/>
  <c r="B194" i="74" s="1"/>
  <c r="N233" i="31"/>
  <c r="F9" i="88"/>
  <c r="C602" i="74" s="1"/>
  <c r="C3" i="88"/>
  <c r="E3" i="88" s="1"/>
  <c r="B596" i="74" s="1"/>
  <c r="R242" i="31"/>
  <c r="AB242" i="31" s="1"/>
  <c r="X242" i="31"/>
  <c r="AH242" i="31" s="1"/>
  <c r="V242" i="31"/>
  <c r="AF242" i="31" s="1"/>
  <c r="P242" i="31"/>
  <c r="Z242" i="31" s="1"/>
  <c r="S242" i="31"/>
  <c r="AC242" i="31" s="1"/>
  <c r="U242" i="31"/>
  <c r="AE242" i="31" s="1"/>
  <c r="Y242" i="31"/>
  <c r="AI242" i="31" s="1"/>
  <c r="T242" i="31"/>
  <c r="AD242" i="31" s="1"/>
  <c r="Q242" i="31"/>
  <c r="AA242" i="31" s="1"/>
  <c r="W242" i="31"/>
  <c r="AG242" i="31" s="1"/>
  <c r="R352" i="31"/>
  <c r="AB352" i="31" s="1"/>
  <c r="Q352" i="31"/>
  <c r="AA352" i="31" s="1"/>
  <c r="Y352" i="31"/>
  <c r="AI352" i="31" s="1"/>
  <c r="W352" i="31"/>
  <c r="AG352" i="31" s="1"/>
  <c r="V352" i="31"/>
  <c r="AF352" i="31" s="1"/>
  <c r="U352" i="31"/>
  <c r="AE352" i="31" s="1"/>
  <c r="P352" i="31"/>
  <c r="Z352" i="31" s="1"/>
  <c r="S352" i="31"/>
  <c r="AC352" i="31" s="1"/>
  <c r="T352" i="31"/>
  <c r="AD352" i="31" s="1"/>
  <c r="X352" i="31"/>
  <c r="AH352" i="31" s="1"/>
  <c r="T278" i="31"/>
  <c r="AD278" i="31" s="1"/>
  <c r="P278" i="31"/>
  <c r="Z278" i="31" s="1"/>
  <c r="X278" i="31"/>
  <c r="AH278" i="31" s="1"/>
  <c r="V278" i="31"/>
  <c r="AF278" i="31" s="1"/>
  <c r="W278" i="31"/>
  <c r="AG278" i="31" s="1"/>
  <c r="Q278" i="31"/>
  <c r="AA278" i="31" s="1"/>
  <c r="S278" i="31"/>
  <c r="AC278" i="31" s="1"/>
  <c r="Y278" i="31"/>
  <c r="AI278" i="31" s="1"/>
  <c r="R278" i="31"/>
  <c r="AB278" i="31" s="1"/>
  <c r="U278" i="31"/>
  <c r="AE278" i="31" s="1"/>
  <c r="J191" i="31"/>
  <c r="N368" i="31"/>
  <c r="V300" i="31"/>
  <c r="AF300" i="31" s="1"/>
  <c r="Q300" i="31"/>
  <c r="AA300" i="31" s="1"/>
  <c r="X300" i="31"/>
  <c r="AH300" i="31" s="1"/>
  <c r="U300" i="31"/>
  <c r="AE300" i="31" s="1"/>
  <c r="T300" i="31"/>
  <c r="AD300" i="31" s="1"/>
  <c r="R300" i="31"/>
  <c r="AB300" i="31" s="1"/>
  <c r="W300" i="31"/>
  <c r="AG300" i="31" s="1"/>
  <c r="S300" i="31"/>
  <c r="AC300" i="31" s="1"/>
  <c r="P300" i="31"/>
  <c r="Z300" i="31" s="1"/>
  <c r="Y300" i="31"/>
  <c r="AI300" i="31" s="1"/>
  <c r="Y221" i="31"/>
  <c r="AI221" i="31" s="1"/>
  <c r="X221" i="31"/>
  <c r="AH221" i="31" s="1"/>
  <c r="W221" i="31"/>
  <c r="AG221" i="31" s="1"/>
  <c r="U221" i="31"/>
  <c r="AE221" i="31" s="1"/>
  <c r="S221" i="31"/>
  <c r="AC221" i="31" s="1"/>
  <c r="P221" i="31"/>
  <c r="Z221" i="31" s="1"/>
  <c r="R221" i="31"/>
  <c r="AB221" i="31" s="1"/>
  <c r="V221" i="31"/>
  <c r="AF221" i="31" s="1"/>
  <c r="Q221" i="31"/>
  <c r="AA221" i="31" s="1"/>
  <c r="T221" i="31"/>
  <c r="AD221" i="31" s="1"/>
  <c r="J177" i="31"/>
  <c r="N354" i="31"/>
  <c r="Y215" i="31"/>
  <c r="AI215" i="31" s="1"/>
  <c r="P215" i="31"/>
  <c r="Z215" i="31" s="1"/>
  <c r="V215" i="31"/>
  <c r="AF215" i="31" s="1"/>
  <c r="U215" i="31"/>
  <c r="AE215" i="31" s="1"/>
  <c r="Q215" i="31"/>
  <c r="AA215" i="31" s="1"/>
  <c r="T215" i="31"/>
  <c r="AD215" i="31" s="1"/>
  <c r="W215" i="31"/>
  <c r="AG215" i="31" s="1"/>
  <c r="R215" i="31"/>
  <c r="AB215" i="31" s="1"/>
  <c r="S215" i="31"/>
  <c r="AC215" i="31" s="1"/>
  <c r="X215" i="31"/>
  <c r="AH215" i="31" s="1"/>
  <c r="X243" i="31"/>
  <c r="AH243" i="31" s="1"/>
  <c r="Q243" i="31"/>
  <c r="AA243" i="31" s="1"/>
  <c r="R243" i="31"/>
  <c r="AB243" i="31" s="1"/>
  <c r="W243" i="31"/>
  <c r="AG243" i="31" s="1"/>
  <c r="P243" i="31"/>
  <c r="Z243" i="31" s="1"/>
  <c r="U243" i="31"/>
  <c r="AE243" i="31" s="1"/>
  <c r="S243" i="31"/>
  <c r="AC243" i="31" s="1"/>
  <c r="Y243" i="31"/>
  <c r="AI243" i="31" s="1"/>
  <c r="V243" i="31"/>
  <c r="AF243" i="31" s="1"/>
  <c r="T243" i="31"/>
  <c r="AD243" i="31" s="1"/>
  <c r="J97" i="31"/>
  <c r="N286" i="31"/>
  <c r="V279" i="31"/>
  <c r="AF279" i="31" s="1"/>
  <c r="X279" i="31"/>
  <c r="AH279" i="31" s="1"/>
  <c r="R279" i="31"/>
  <c r="AB279" i="31" s="1"/>
  <c r="P279" i="31"/>
  <c r="Z279" i="31" s="1"/>
  <c r="Q279" i="31"/>
  <c r="AA279" i="31" s="1"/>
  <c r="U279" i="31"/>
  <c r="AE279" i="31" s="1"/>
  <c r="W279" i="31"/>
  <c r="AG279" i="31" s="1"/>
  <c r="Y279" i="31"/>
  <c r="AI279" i="31" s="1"/>
  <c r="S279" i="31"/>
  <c r="AC279" i="31" s="1"/>
  <c r="T279" i="31"/>
  <c r="AD279" i="31" s="1"/>
  <c r="J131" i="31"/>
  <c r="N315" i="31"/>
  <c r="W213" i="31"/>
  <c r="AG213" i="31" s="1"/>
  <c r="Q213" i="31"/>
  <c r="AA213" i="31" s="1"/>
  <c r="T213" i="31"/>
  <c r="AD213" i="31" s="1"/>
  <c r="X213" i="31"/>
  <c r="AH213" i="31" s="1"/>
  <c r="S213" i="31"/>
  <c r="AC213" i="31" s="1"/>
  <c r="P213" i="31"/>
  <c r="Z213" i="31" s="1"/>
  <c r="V213" i="31"/>
  <c r="AF213" i="31" s="1"/>
  <c r="U213" i="31"/>
  <c r="AE213" i="31" s="1"/>
  <c r="R213" i="31"/>
  <c r="AB213" i="31" s="1"/>
  <c r="Y213" i="31"/>
  <c r="AI213" i="31" s="1"/>
  <c r="N363" i="31"/>
  <c r="N362" i="31"/>
  <c r="J72" i="31"/>
  <c r="N265" i="31"/>
  <c r="W231" i="31"/>
  <c r="AG231" i="31" s="1"/>
  <c r="S231" i="31"/>
  <c r="AC231" i="31" s="1"/>
  <c r="T231" i="31"/>
  <c r="AD231" i="31" s="1"/>
  <c r="V231" i="31"/>
  <c r="AF231" i="31" s="1"/>
  <c r="P231" i="31"/>
  <c r="Z231" i="31" s="1"/>
  <c r="X231" i="31"/>
  <c r="AH231" i="31" s="1"/>
  <c r="Q231" i="31"/>
  <c r="AA231" i="31" s="1"/>
  <c r="Y231" i="31"/>
  <c r="AI231" i="31" s="1"/>
  <c r="R231" i="31"/>
  <c r="AB231" i="31" s="1"/>
  <c r="U231" i="31"/>
  <c r="AE231" i="31" s="1"/>
  <c r="C7" i="88"/>
  <c r="E7" i="88" s="1"/>
  <c r="B600" i="74" s="1"/>
  <c r="J130" i="31"/>
  <c r="N314" i="31"/>
  <c r="J7" i="31"/>
  <c r="N210" i="31"/>
  <c r="J94" i="31"/>
  <c r="N283" i="31"/>
  <c r="J69" i="31"/>
  <c r="N262" i="31"/>
  <c r="J144" i="31"/>
  <c r="N325" i="31"/>
  <c r="J109" i="31"/>
  <c r="N296" i="31"/>
  <c r="P347" i="31"/>
  <c r="Z347" i="31" s="1"/>
  <c r="X347" i="31"/>
  <c r="AH347" i="31" s="1"/>
  <c r="V347" i="31"/>
  <c r="AF347" i="31" s="1"/>
  <c r="Q347" i="31"/>
  <c r="AA347" i="31" s="1"/>
  <c r="U347" i="31"/>
  <c r="AE347" i="31" s="1"/>
  <c r="S347" i="31"/>
  <c r="AC347" i="31" s="1"/>
  <c r="R347" i="31"/>
  <c r="AB347" i="31" s="1"/>
  <c r="T347" i="31"/>
  <c r="AD347" i="31" s="1"/>
  <c r="Y347" i="31"/>
  <c r="AI347" i="31" s="1"/>
  <c r="W347" i="31"/>
  <c r="AG347" i="31" s="1"/>
  <c r="J162" i="31"/>
  <c r="N340" i="31"/>
  <c r="J96" i="31"/>
  <c r="N285" i="31"/>
  <c r="J149" i="31"/>
  <c r="N331" i="31"/>
  <c r="J133" i="31"/>
  <c r="N317" i="31"/>
  <c r="J187" i="31"/>
  <c r="N364" i="31"/>
  <c r="J168" i="31"/>
  <c r="N346" i="31"/>
  <c r="M363" i="31"/>
  <c r="M362" i="31"/>
  <c r="J137" i="31"/>
  <c r="N321" i="31"/>
  <c r="J86" i="31"/>
  <c r="N277" i="31"/>
  <c r="C6" i="24"/>
  <c r="E6" i="24" s="1"/>
  <c r="C8" i="20"/>
  <c r="C8" i="21" s="1"/>
  <c r="C11" i="19"/>
  <c r="E11" i="19" s="1"/>
  <c r="B41" i="74" s="1"/>
  <c r="C10" i="20"/>
  <c r="J151" i="31"/>
  <c r="N333" i="31"/>
  <c r="J52" i="31"/>
  <c r="N249" i="31"/>
  <c r="J9" i="31"/>
  <c r="N212" i="31"/>
  <c r="N211" i="31"/>
  <c r="J73" i="31"/>
  <c r="N266" i="31"/>
  <c r="V258" i="31"/>
  <c r="AF258" i="31" s="1"/>
  <c r="T258" i="31"/>
  <c r="AD258" i="31" s="1"/>
  <c r="R258" i="31"/>
  <c r="AB258" i="31" s="1"/>
  <c r="W258" i="31"/>
  <c r="AG258" i="31" s="1"/>
  <c r="U258" i="31"/>
  <c r="AE258" i="31" s="1"/>
  <c r="P258" i="31"/>
  <c r="Z258" i="31" s="1"/>
  <c r="Q258" i="31"/>
  <c r="AA258" i="31" s="1"/>
  <c r="X258" i="31"/>
  <c r="AH258" i="31" s="1"/>
  <c r="Y258" i="31"/>
  <c r="AI258" i="31" s="1"/>
  <c r="S258" i="31"/>
  <c r="AC258" i="31" s="1"/>
  <c r="J103" i="31"/>
  <c r="N292" i="31"/>
  <c r="J40" i="31"/>
  <c r="N237" i="31"/>
  <c r="J147" i="31"/>
  <c r="N329" i="31"/>
  <c r="J43" i="31"/>
  <c r="N240" i="31"/>
  <c r="J38" i="31"/>
  <c r="N235" i="31"/>
  <c r="S308" i="31"/>
  <c r="AC308" i="31" s="1"/>
  <c r="V308" i="31"/>
  <c r="AF308" i="31" s="1"/>
  <c r="R308" i="31"/>
  <c r="AB308" i="31" s="1"/>
  <c r="Y308" i="31"/>
  <c r="AI308" i="31" s="1"/>
  <c r="X308" i="31"/>
  <c r="AH308" i="31" s="1"/>
  <c r="Q308" i="31"/>
  <c r="AA308" i="31" s="1"/>
  <c r="P308" i="31"/>
  <c r="Z308" i="31" s="1"/>
  <c r="T308" i="31"/>
  <c r="AD308" i="31" s="1"/>
  <c r="U308" i="31"/>
  <c r="AE308" i="31" s="1"/>
  <c r="W308" i="31"/>
  <c r="AG308" i="31" s="1"/>
  <c r="V349" i="31"/>
  <c r="AF349" i="31" s="1"/>
  <c r="Q349" i="31"/>
  <c r="AA349" i="31" s="1"/>
  <c r="S349" i="31"/>
  <c r="AC349" i="31" s="1"/>
  <c r="P349" i="31"/>
  <c r="Z349" i="31" s="1"/>
  <c r="Y349" i="31"/>
  <c r="AI349" i="31" s="1"/>
  <c r="X349" i="31"/>
  <c r="AH349" i="31" s="1"/>
  <c r="W349" i="31"/>
  <c r="AG349" i="31" s="1"/>
  <c r="T349" i="31"/>
  <c r="AD349" i="31" s="1"/>
  <c r="R349" i="31"/>
  <c r="AB349" i="31" s="1"/>
  <c r="U349" i="31"/>
  <c r="AE349" i="31" s="1"/>
  <c r="V268" i="31"/>
  <c r="AF268" i="31" s="1"/>
  <c r="Q268" i="31"/>
  <c r="AA268" i="31" s="1"/>
  <c r="S268" i="31"/>
  <c r="AC268" i="31" s="1"/>
  <c r="P268" i="31"/>
  <c r="Z268" i="31" s="1"/>
  <c r="Y268" i="31"/>
  <c r="AI268" i="31" s="1"/>
  <c r="X268" i="31"/>
  <c r="AH268" i="31" s="1"/>
  <c r="W268" i="31"/>
  <c r="AG268" i="31" s="1"/>
  <c r="T268" i="31"/>
  <c r="AD268" i="31" s="1"/>
  <c r="R268" i="31"/>
  <c r="AB268" i="31" s="1"/>
  <c r="U268" i="31"/>
  <c r="AE268" i="31" s="1"/>
  <c r="J51" i="31"/>
  <c r="N248" i="31"/>
  <c r="O99" i="73"/>
  <c r="B393" i="74" s="1"/>
  <c r="N288" i="31"/>
  <c r="W293" i="31"/>
  <c r="AG293" i="31" s="1"/>
  <c r="X293" i="31"/>
  <c r="AH293" i="31" s="1"/>
  <c r="T293" i="31"/>
  <c r="AD293" i="31" s="1"/>
  <c r="S293" i="31"/>
  <c r="AC293" i="31" s="1"/>
  <c r="R293" i="31"/>
  <c r="AB293" i="31" s="1"/>
  <c r="P293" i="31"/>
  <c r="Z293" i="31" s="1"/>
  <c r="U293" i="31"/>
  <c r="AE293" i="31" s="1"/>
  <c r="V293" i="31"/>
  <c r="AF293" i="31" s="1"/>
  <c r="Q293" i="31"/>
  <c r="AA293" i="31" s="1"/>
  <c r="Y293" i="31"/>
  <c r="AI293" i="31" s="1"/>
  <c r="M211" i="31"/>
  <c r="BO212" i="31" s="1"/>
  <c r="M212" i="31"/>
  <c r="J190" i="31"/>
  <c r="N367" i="31"/>
  <c r="J89" i="31"/>
  <c r="N280" i="31"/>
  <c r="T253" i="31"/>
  <c r="AD253" i="31" s="1"/>
  <c r="R253" i="31"/>
  <c r="AB253" i="31" s="1"/>
  <c r="X253" i="31"/>
  <c r="AH253" i="31" s="1"/>
  <c r="P253" i="31"/>
  <c r="Z253" i="31" s="1"/>
  <c r="Q253" i="31"/>
  <c r="AA253" i="31" s="1"/>
  <c r="Y253" i="31"/>
  <c r="AI253" i="31" s="1"/>
  <c r="U253" i="31"/>
  <c r="AE253" i="31" s="1"/>
  <c r="S253" i="31"/>
  <c r="AC253" i="31" s="1"/>
  <c r="V253" i="31"/>
  <c r="AF253" i="31" s="1"/>
  <c r="W253" i="31"/>
  <c r="AG253" i="31" s="1"/>
  <c r="Y298" i="31"/>
  <c r="AI298" i="31" s="1"/>
  <c r="R298" i="31"/>
  <c r="AB298" i="31" s="1"/>
  <c r="V298" i="31"/>
  <c r="AF298" i="31" s="1"/>
  <c r="Q298" i="31"/>
  <c r="AA298" i="31" s="1"/>
  <c r="U298" i="31"/>
  <c r="AE298" i="31" s="1"/>
  <c r="P298" i="31"/>
  <c r="Z298" i="31" s="1"/>
  <c r="S298" i="31"/>
  <c r="AC298" i="31" s="1"/>
  <c r="X298" i="31"/>
  <c r="AH298" i="31" s="1"/>
  <c r="W298" i="31"/>
  <c r="AG298" i="31" s="1"/>
  <c r="T298" i="31"/>
  <c r="AD298" i="31" s="1"/>
  <c r="J99" i="31"/>
  <c r="N289" i="31"/>
  <c r="J199" i="31"/>
  <c r="N375" i="31"/>
  <c r="J188" i="31"/>
  <c r="N365" i="31"/>
  <c r="J184" i="31"/>
  <c r="N360" i="31"/>
  <c r="J118" i="31"/>
  <c r="N304" i="31"/>
  <c r="J67" i="31"/>
  <c r="N260" i="31"/>
  <c r="J166" i="31"/>
  <c r="N344" i="31"/>
  <c r="V250" i="31"/>
  <c r="AF250" i="31" s="1"/>
  <c r="T250" i="31"/>
  <c r="AD250" i="31" s="1"/>
  <c r="R250" i="31"/>
  <c r="AB250" i="31" s="1"/>
  <c r="U250" i="31"/>
  <c r="AE250" i="31" s="1"/>
  <c r="P250" i="31"/>
  <c r="Z250" i="31" s="1"/>
  <c r="Q250" i="31"/>
  <c r="AA250" i="31" s="1"/>
  <c r="X250" i="31"/>
  <c r="AH250" i="31" s="1"/>
  <c r="Y250" i="31"/>
  <c r="AI250" i="31" s="1"/>
  <c r="S250" i="31"/>
  <c r="AC250" i="31" s="1"/>
  <c r="W250" i="31"/>
  <c r="AG250" i="31" s="1"/>
  <c r="J150" i="31"/>
  <c r="N332" i="31"/>
  <c r="W228" i="31"/>
  <c r="AG228" i="31" s="1"/>
  <c r="Y228" i="31"/>
  <c r="AI228" i="31" s="1"/>
  <c r="X228" i="31"/>
  <c r="AH228" i="31" s="1"/>
  <c r="U228" i="31"/>
  <c r="AE228" i="31" s="1"/>
  <c r="Q228" i="31"/>
  <c r="AA228" i="31" s="1"/>
  <c r="S228" i="31"/>
  <c r="AC228" i="31" s="1"/>
  <c r="P228" i="31"/>
  <c r="Z228" i="31" s="1"/>
  <c r="T228" i="31"/>
  <c r="AD228" i="31" s="1"/>
  <c r="R228" i="31"/>
  <c r="AB228" i="31" s="1"/>
  <c r="V228" i="31"/>
  <c r="AF228" i="31" s="1"/>
  <c r="C14" i="19"/>
  <c r="E14" i="19" s="1"/>
  <c r="B44" i="74" s="1"/>
  <c r="W324" i="31"/>
  <c r="AG324" i="31" s="1"/>
  <c r="V324" i="31"/>
  <c r="AF324" i="31" s="1"/>
  <c r="R324" i="31"/>
  <c r="AB324" i="31" s="1"/>
  <c r="Q324" i="31"/>
  <c r="AA324" i="31" s="1"/>
  <c r="P324" i="31"/>
  <c r="Z324" i="31" s="1"/>
  <c r="X324" i="31"/>
  <c r="AH324" i="31" s="1"/>
  <c r="T324" i="31"/>
  <c r="AD324" i="31" s="1"/>
  <c r="S324" i="31"/>
  <c r="AC324" i="31" s="1"/>
  <c r="Y324" i="31"/>
  <c r="AI324" i="31" s="1"/>
  <c r="U324" i="31"/>
  <c r="AE324" i="31" s="1"/>
  <c r="J127" i="31"/>
  <c r="N311" i="31"/>
  <c r="W216" i="31"/>
  <c r="AG216" i="31" s="1"/>
  <c r="Q216" i="31"/>
  <c r="AA216" i="31" s="1"/>
  <c r="P216" i="31"/>
  <c r="Z216" i="31" s="1"/>
  <c r="Y216" i="31"/>
  <c r="AI216" i="31" s="1"/>
  <c r="X216" i="31"/>
  <c r="AH216" i="31" s="1"/>
  <c r="U216" i="31"/>
  <c r="AE216" i="31" s="1"/>
  <c r="S216" i="31"/>
  <c r="AC216" i="31" s="1"/>
  <c r="V216" i="31"/>
  <c r="AF216" i="31" s="1"/>
  <c r="R216" i="31"/>
  <c r="AB216" i="31" s="1"/>
  <c r="T216" i="31"/>
  <c r="AD216" i="31" s="1"/>
  <c r="N6" i="10"/>
  <c r="J66" i="31"/>
  <c r="N259" i="31"/>
  <c r="U219" i="31"/>
  <c r="AE219" i="31" s="1"/>
  <c r="V219" i="31"/>
  <c r="AF219" i="31" s="1"/>
  <c r="T219" i="31"/>
  <c r="AD219" i="31" s="1"/>
  <c r="S219" i="31"/>
  <c r="AC219" i="31" s="1"/>
  <c r="R219" i="31"/>
  <c r="AB219" i="31" s="1"/>
  <c r="Y219" i="31"/>
  <c r="AI219" i="31" s="1"/>
  <c r="Q219" i="31"/>
  <c r="AA219" i="31" s="1"/>
  <c r="W219" i="31"/>
  <c r="AG219" i="31" s="1"/>
  <c r="X219" i="31"/>
  <c r="AH219" i="31" s="1"/>
  <c r="P219" i="31"/>
  <c r="Z219" i="31" s="1"/>
  <c r="J194" i="31"/>
  <c r="N370" i="31"/>
  <c r="O34" i="73"/>
  <c r="B328" i="74" s="1"/>
  <c r="N255" i="31"/>
  <c r="V218" i="31"/>
  <c r="AF218" i="31" s="1"/>
  <c r="X218" i="31"/>
  <c r="AH218" i="31" s="1"/>
  <c r="W218" i="31"/>
  <c r="AG218" i="31" s="1"/>
  <c r="U218" i="31"/>
  <c r="AE218" i="31" s="1"/>
  <c r="T218" i="31"/>
  <c r="AD218" i="31" s="1"/>
  <c r="S218" i="31"/>
  <c r="AC218" i="31" s="1"/>
  <c r="R218" i="31"/>
  <c r="AB218" i="31" s="1"/>
  <c r="Q218" i="31"/>
  <c r="AA218" i="31" s="1"/>
  <c r="P218" i="31"/>
  <c r="Z218" i="31" s="1"/>
  <c r="Y218" i="31"/>
  <c r="AI218" i="31" s="1"/>
  <c r="V330" i="31"/>
  <c r="AF330" i="31" s="1"/>
  <c r="Y330" i="31"/>
  <c r="AI330" i="31" s="1"/>
  <c r="Q330" i="31"/>
  <c r="AA330" i="31" s="1"/>
  <c r="P330" i="31"/>
  <c r="Z330" i="31" s="1"/>
  <c r="U330" i="31"/>
  <c r="AE330" i="31" s="1"/>
  <c r="S330" i="31"/>
  <c r="AC330" i="31" s="1"/>
  <c r="X330" i="31"/>
  <c r="AH330" i="31" s="1"/>
  <c r="W330" i="31"/>
  <c r="AG330" i="31" s="1"/>
  <c r="R330" i="31"/>
  <c r="AB330" i="31" s="1"/>
  <c r="T330" i="31"/>
  <c r="AD330" i="31" s="1"/>
  <c r="F3" i="88"/>
  <c r="C596" i="74" s="1"/>
  <c r="C5" i="88"/>
  <c r="E5" i="88" s="1"/>
  <c r="B598" i="74" s="1"/>
  <c r="Y36" i="3"/>
  <c r="X38" i="3"/>
  <c r="Y38" i="3" s="1"/>
  <c r="X39" i="3"/>
  <c r="Y39" i="3" s="1"/>
  <c r="AK176" i="99"/>
  <c r="AR176" i="99"/>
  <c r="AN176" i="99"/>
  <c r="AL176" i="99"/>
  <c r="AQ176" i="99"/>
  <c r="AM176" i="99"/>
  <c r="AP176" i="99"/>
  <c r="AO176" i="99"/>
  <c r="AV176" i="99"/>
  <c r="BC176" i="99"/>
  <c r="BB176" i="99"/>
  <c r="AW176" i="99"/>
  <c r="AX176" i="99"/>
  <c r="BA176" i="99"/>
  <c r="AZ176" i="99"/>
  <c r="AY176" i="99"/>
  <c r="B117" i="95"/>
  <c r="B117" i="94"/>
  <c r="B117" i="93"/>
  <c r="I115" i="92"/>
  <c r="B116" i="92"/>
  <c r="O5" i="2"/>
  <c r="K5" i="2"/>
  <c r="F8" i="19"/>
  <c r="C38" i="74" s="1"/>
  <c r="AC7" i="11"/>
  <c r="E14" i="24"/>
  <c r="F12" i="25"/>
  <c r="C13" i="74" s="1"/>
  <c r="O18" i="73"/>
  <c r="B312" i="74" s="1"/>
  <c r="U39" i="13"/>
  <c r="BF103" i="31" s="1"/>
  <c r="E2" i="17"/>
  <c r="B85" i="74" s="1"/>
  <c r="F5" i="17"/>
  <c r="C88" i="74" s="1"/>
  <c r="E6" i="20"/>
  <c r="B49" i="74" s="1"/>
  <c r="U14" i="13"/>
  <c r="BF30" i="31" s="1"/>
  <c r="E2" i="24"/>
  <c r="F9" i="20"/>
  <c r="C52" i="74" s="1"/>
  <c r="E13" i="19"/>
  <c r="B43" i="74" s="1"/>
  <c r="E4" i="25"/>
  <c r="B5" i="74" s="1"/>
  <c r="E5" i="19"/>
  <c r="B35" i="74" s="1"/>
  <c r="U64" i="13"/>
  <c r="BF177" i="31" s="1"/>
  <c r="U21" i="13"/>
  <c r="BF52" i="31" s="1"/>
  <c r="J63" i="31"/>
  <c r="E8" i="25"/>
  <c r="B9" i="74" s="1"/>
  <c r="AD2" i="11"/>
  <c r="J49" i="31"/>
  <c r="U8" i="13"/>
  <c r="BF15" i="31" s="1"/>
  <c r="E10" i="19"/>
  <c r="B40" i="74" s="1"/>
  <c r="AA7" i="15"/>
  <c r="U27" i="72"/>
  <c r="B202" i="74" s="1"/>
  <c r="F14" i="25"/>
  <c r="C15" i="74" s="1"/>
  <c r="F5" i="77"/>
  <c r="C573" i="74" s="1"/>
  <c r="E10" i="24"/>
  <c r="U28" i="72"/>
  <c r="B203" i="74" s="1"/>
  <c r="F21" i="77"/>
  <c r="C589" i="74" s="1"/>
  <c r="Q7" i="10"/>
  <c r="V7" i="10" s="1"/>
  <c r="O27" i="73"/>
  <c r="B321" i="74" s="1"/>
  <c r="P7" i="10"/>
  <c r="F7" i="19"/>
  <c r="C37" i="74" s="1"/>
  <c r="AO31" i="71"/>
  <c r="AH31" i="71"/>
  <c r="AJ31" i="71"/>
  <c r="Q31" i="71"/>
  <c r="AA31" i="71"/>
  <c r="T31" i="71"/>
  <c r="AV31" i="71"/>
  <c r="U51" i="13"/>
  <c r="BF146" i="31" s="1"/>
  <c r="U70" i="72"/>
  <c r="B245" i="74" s="1"/>
  <c r="S31" i="71"/>
  <c r="V31" i="71"/>
  <c r="AW31" i="71"/>
  <c r="U31" i="71"/>
  <c r="AT31" i="71"/>
  <c r="F7" i="77"/>
  <c r="C575" i="74" s="1"/>
  <c r="C8" i="31"/>
  <c r="D29" i="71"/>
  <c r="BG21" i="71" s="1"/>
  <c r="C5" i="77"/>
  <c r="E5" i="77" s="1"/>
  <c r="B573" i="74" s="1"/>
  <c r="C16" i="77"/>
  <c r="E16" i="77" s="1"/>
  <c r="B584" i="74" s="1"/>
  <c r="C12" i="77"/>
  <c r="E12" i="77" s="1"/>
  <c r="B580" i="74" s="1"/>
  <c r="C19" i="77"/>
  <c r="E19" i="77" s="1"/>
  <c r="B587" i="74" s="1"/>
  <c r="C8" i="77"/>
  <c r="E8" i="77" s="1"/>
  <c r="B576" i="74" s="1"/>
  <c r="C11" i="77"/>
  <c r="E11" i="77" s="1"/>
  <c r="B579" i="74" s="1"/>
  <c r="C26" i="77"/>
  <c r="E26" i="77" s="1"/>
  <c r="B594" i="74" s="1"/>
  <c r="C24" i="77"/>
  <c r="E24" i="77" s="1"/>
  <c r="B592" i="74" s="1"/>
  <c r="C22" i="77"/>
  <c r="E22" i="77" s="1"/>
  <c r="B590" i="74" s="1"/>
  <c r="C17" i="77"/>
  <c r="E17" i="77" s="1"/>
  <c r="B585" i="74" s="1"/>
  <c r="C15" i="77"/>
  <c r="E15" i="77" s="1"/>
  <c r="B583" i="74" s="1"/>
  <c r="C13" i="77"/>
  <c r="E13" i="77" s="1"/>
  <c r="B581" i="74" s="1"/>
  <c r="C20" i="77"/>
  <c r="E20" i="77" s="1"/>
  <c r="B588" i="74" s="1"/>
  <c r="C9" i="77"/>
  <c r="E9" i="77" s="1"/>
  <c r="B577" i="74" s="1"/>
  <c r="C7" i="77"/>
  <c r="E7" i="77" s="1"/>
  <c r="B575" i="74" s="1"/>
  <c r="C21" i="77"/>
  <c r="E21" i="77" s="1"/>
  <c r="B589" i="74" s="1"/>
  <c r="C18" i="77"/>
  <c r="E18" i="77" s="1"/>
  <c r="B586" i="74" s="1"/>
  <c r="C4" i="77"/>
  <c r="E4" i="77" s="1"/>
  <c r="B572" i="74" s="1"/>
  <c r="C23" i="77"/>
  <c r="E23" i="77" s="1"/>
  <c r="B591" i="74" s="1"/>
  <c r="C10" i="77"/>
  <c r="E10" i="77" s="1"/>
  <c r="B578" i="74" s="1"/>
  <c r="C3" i="77"/>
  <c r="E3" i="77" s="1"/>
  <c r="B571" i="74" s="1"/>
  <c r="C14" i="77"/>
  <c r="E14" i="77" s="1"/>
  <c r="B582" i="74" s="1"/>
  <c r="C2" i="77"/>
  <c r="E2" i="77" s="1"/>
  <c r="B570" i="74" s="1"/>
  <c r="C25" i="77"/>
  <c r="E25" i="77" s="1"/>
  <c r="B593" i="74" s="1"/>
  <c r="C6" i="77"/>
  <c r="E6" i="77" s="1"/>
  <c r="B574" i="74" s="1"/>
  <c r="C93" i="31"/>
  <c r="D114" i="71"/>
  <c r="J81" i="31"/>
  <c r="U45" i="72"/>
  <c r="B220" i="74" s="1"/>
  <c r="C159" i="31"/>
  <c r="D180" i="71"/>
  <c r="C90" i="31"/>
  <c r="D111" i="71"/>
  <c r="C74" i="31"/>
  <c r="D95" i="71"/>
  <c r="C13" i="31"/>
  <c r="D34" i="71"/>
  <c r="C108" i="31"/>
  <c r="D129" i="71"/>
  <c r="F18" i="77"/>
  <c r="C586" i="74" s="1"/>
  <c r="O69" i="73"/>
  <c r="B363" i="74" s="1"/>
  <c r="AL31" i="71"/>
  <c r="AF31" i="71"/>
  <c r="AS31" i="71"/>
  <c r="F23" i="77"/>
  <c r="C591" i="74" s="1"/>
  <c r="F16" i="77"/>
  <c r="C584" i="74" s="1"/>
  <c r="F9" i="77"/>
  <c r="C577" i="74" s="1"/>
  <c r="F26" i="77"/>
  <c r="C594" i="74" s="1"/>
  <c r="AQ31" i="71"/>
  <c r="AX31" i="71"/>
  <c r="F17" i="77"/>
  <c r="C585" i="74" s="1"/>
  <c r="F4" i="77"/>
  <c r="C572" i="74" s="1"/>
  <c r="F25" i="77"/>
  <c r="C593" i="74" s="1"/>
  <c r="F12" i="77"/>
  <c r="C580" i="74" s="1"/>
  <c r="AE31" i="71"/>
  <c r="AP31" i="71"/>
  <c r="F3" i="77"/>
  <c r="C571" i="74" s="1"/>
  <c r="F20" i="77"/>
  <c r="C588" i="74" s="1"/>
  <c r="E24" i="71"/>
  <c r="I193" i="71" s="1"/>
  <c r="J193" i="71" s="1"/>
  <c r="AN31" i="71"/>
  <c r="F24" i="77"/>
  <c r="C592" i="74" s="1"/>
  <c r="F11" i="77"/>
  <c r="C579" i="74" s="1"/>
  <c r="C64" i="31"/>
  <c r="D85" i="71"/>
  <c r="U94" i="72"/>
  <c r="B269" i="74" s="1"/>
  <c r="C125" i="31"/>
  <c r="D146" i="71"/>
  <c r="F8" i="77"/>
  <c r="C576" i="74" s="1"/>
  <c r="F2" i="77"/>
  <c r="C570" i="74" s="1"/>
  <c r="F19" i="77"/>
  <c r="C587" i="74" s="1"/>
  <c r="C178" i="31"/>
  <c r="D199" i="71"/>
  <c r="AI31" i="71"/>
  <c r="F10" i="77"/>
  <c r="C578" i="74" s="1"/>
  <c r="E11" i="24"/>
  <c r="U50" i="13"/>
  <c r="BF145" i="31" s="1"/>
  <c r="E2" i="19"/>
  <c r="B32" i="74" s="1"/>
  <c r="F6" i="19"/>
  <c r="C36" i="74" s="1"/>
  <c r="U44" i="13"/>
  <c r="BF127" i="31" s="1"/>
  <c r="E13" i="25"/>
  <c r="B14" i="74" s="1"/>
  <c r="P6" i="10"/>
  <c r="B67" i="74" s="1"/>
  <c r="F2" i="19"/>
  <c r="C32" i="74" s="1"/>
  <c r="P3" i="10"/>
  <c r="U3" i="10" s="1"/>
  <c r="E12" i="24"/>
  <c r="B28" i="74" s="1"/>
  <c r="F10" i="20"/>
  <c r="C53" i="74" s="1"/>
  <c r="U49" i="13"/>
  <c r="BF137" i="31" s="1"/>
  <c r="E8" i="19"/>
  <c r="B38" i="74" s="1"/>
  <c r="F3" i="25"/>
  <c r="C4" i="74" s="1"/>
  <c r="AA2" i="15"/>
  <c r="E15" i="25"/>
  <c r="B16" i="74" s="1"/>
  <c r="AD6" i="11"/>
  <c r="AD6" i="15" s="1"/>
  <c r="C81" i="74" s="1"/>
  <c r="U30" i="13"/>
  <c r="BF72" i="31" s="1"/>
  <c r="F3" i="19"/>
  <c r="C33" i="74" s="1"/>
  <c r="F4" i="19"/>
  <c r="C34" i="74" s="1"/>
  <c r="AD7" i="11"/>
  <c r="J6" i="18"/>
  <c r="U6" i="13"/>
  <c r="BF12" i="31" s="1"/>
  <c r="F6" i="20"/>
  <c r="C49" i="74" s="1"/>
  <c r="N9" i="10"/>
  <c r="M9" i="10" s="1"/>
  <c r="E12" i="1" s="1"/>
  <c r="AC3" i="11"/>
  <c r="AC3" i="15" s="1"/>
  <c r="B78" i="74" s="1"/>
  <c r="F6" i="25"/>
  <c r="C7" i="74" s="1"/>
  <c r="E4" i="17"/>
  <c r="B87" i="74" s="1"/>
  <c r="E7" i="25"/>
  <c r="B8" i="74" s="1"/>
  <c r="E9" i="25"/>
  <c r="B10" i="74" s="1"/>
  <c r="L6" i="18"/>
  <c r="B95" i="74" s="1"/>
  <c r="E6" i="25"/>
  <c r="B7" i="74" s="1"/>
  <c r="E11" i="25"/>
  <c r="B12" i="74" s="1"/>
  <c r="U9" i="13"/>
  <c r="BF16" i="31" s="1"/>
  <c r="F2" i="20"/>
  <c r="C45" i="74" s="1"/>
  <c r="E4" i="24"/>
  <c r="F7" i="20"/>
  <c r="C50" i="74" s="1"/>
  <c r="E6" i="19"/>
  <c r="B36" i="74" s="1"/>
  <c r="E7" i="24"/>
  <c r="U58" i="13"/>
  <c r="BF166" i="31" s="1"/>
  <c r="F5" i="20"/>
  <c r="F5" i="21" s="1"/>
  <c r="C57" i="74" s="1"/>
  <c r="AC6" i="11"/>
  <c r="AC6" i="15" s="1"/>
  <c r="B81" i="74" s="1"/>
  <c r="F4" i="20"/>
  <c r="C47" i="74" s="1"/>
  <c r="AD8" i="11"/>
  <c r="AD8" i="15" s="1"/>
  <c r="C83" i="74" s="1"/>
  <c r="U32" i="13"/>
  <c r="BF83" i="31" s="1"/>
  <c r="P4" i="10"/>
  <c r="U4" i="10" s="1"/>
  <c r="F3" i="17"/>
  <c r="U45" i="13"/>
  <c r="BF132" i="31" s="1"/>
  <c r="U57" i="13"/>
  <c r="BF162" i="31" s="1"/>
  <c r="U65" i="13"/>
  <c r="BF187" i="31" s="1"/>
  <c r="E4" i="20"/>
  <c r="B47" i="74" s="1"/>
  <c r="E3" i="20"/>
  <c r="B46" i="74" s="1"/>
  <c r="U15" i="13"/>
  <c r="BF32" i="31" s="1"/>
  <c r="E8" i="24"/>
  <c r="B24" i="74" s="1"/>
  <c r="F9" i="25"/>
  <c r="C10" i="74" s="1"/>
  <c r="F10" i="19"/>
  <c r="C40" i="74" s="1"/>
  <c r="R71" i="13"/>
  <c r="E2" i="25"/>
  <c r="B3" i="74" s="1"/>
  <c r="E9" i="24"/>
  <c r="B25" i="74" s="1"/>
  <c r="F7" i="24"/>
  <c r="C23" i="74" s="1"/>
  <c r="E9" i="20"/>
  <c r="B52" i="74" s="1"/>
  <c r="AA5" i="15"/>
  <c r="E16" i="25"/>
  <c r="B17" i="74" s="1"/>
  <c r="F2" i="25"/>
  <c r="C3" i="74" s="1"/>
  <c r="U24" i="13"/>
  <c r="BF56" i="31" s="1"/>
  <c r="U13" i="13"/>
  <c r="BF28" i="31" s="1"/>
  <c r="E5" i="24"/>
  <c r="J10" i="31"/>
  <c r="J197" i="31"/>
  <c r="J62" i="31"/>
  <c r="J54" i="31"/>
  <c r="J143" i="31"/>
  <c r="J88" i="31"/>
  <c r="V62" i="49"/>
  <c r="R62" i="49"/>
  <c r="U62" i="49"/>
  <c r="P62" i="49"/>
  <c r="K10" i="49"/>
  <c r="F68" i="49"/>
  <c r="I84" i="49" s="1"/>
  <c r="K11" i="49"/>
  <c r="O36" i="3"/>
  <c r="U36" i="3"/>
  <c r="Q36" i="3"/>
  <c r="AP4" i="3"/>
  <c r="AP10" i="3"/>
  <c r="DV20" i="71"/>
  <c r="EC20" i="71" s="1"/>
  <c r="CT21" i="71"/>
  <c r="CV20" i="71"/>
  <c r="CW21" i="71" s="1"/>
  <c r="J5" i="2"/>
  <c r="I5" i="2"/>
  <c r="N5" i="2"/>
  <c r="M5" i="2"/>
  <c r="D6" i="2"/>
  <c r="P6" i="2"/>
  <c r="P5" i="2"/>
  <c r="D5" i="2"/>
  <c r="T38" i="3"/>
  <c r="U38" i="3" s="1"/>
  <c r="AP7" i="3"/>
  <c r="AP9" i="3"/>
  <c r="AP5" i="3"/>
  <c r="N38" i="3"/>
  <c r="O38" i="3" s="1"/>
  <c r="R38" i="3"/>
  <c r="S38" i="3" s="1"/>
  <c r="V38" i="3"/>
  <c r="W38" i="3" s="1"/>
  <c r="P38" i="3"/>
  <c r="Q38" i="3" s="1"/>
  <c r="N39" i="3"/>
  <c r="O39" i="3" s="1"/>
  <c r="R39" i="3"/>
  <c r="S39" i="3" s="1"/>
  <c r="P39" i="3"/>
  <c r="Q39" i="3" s="1"/>
  <c r="V39" i="3"/>
  <c r="W39" i="3" s="1"/>
  <c r="T39" i="3"/>
  <c r="U39" i="3" s="1"/>
  <c r="J38" i="3"/>
  <c r="K38" i="3" s="1"/>
  <c r="L38" i="3"/>
  <c r="M38" i="3" s="1"/>
  <c r="J39" i="3"/>
  <c r="K39" i="3" s="1"/>
  <c r="L39" i="3"/>
  <c r="M39" i="3" s="1"/>
  <c r="K6" i="2"/>
  <c r="N6" i="2"/>
  <c r="M6" i="2"/>
  <c r="L6" i="2"/>
  <c r="A7" i="2"/>
  <c r="I6" i="2"/>
  <c r="J6" i="2"/>
  <c r="O6" i="2"/>
  <c r="W72" i="49"/>
  <c r="Q99" i="49" s="1"/>
  <c r="V72" i="49"/>
  <c r="Q98" i="49" s="1"/>
  <c r="H67" i="49"/>
  <c r="R72" i="49"/>
  <c r="Q94" i="49" s="1"/>
  <c r="J65" i="31"/>
  <c r="J8" i="31"/>
  <c r="J84" i="31"/>
  <c r="J158" i="31"/>
  <c r="J175" i="31"/>
  <c r="J31" i="31"/>
  <c r="J27" i="31"/>
  <c r="J47" i="31"/>
  <c r="J196" i="31"/>
  <c r="J90" i="31"/>
  <c r="J29" i="31"/>
  <c r="J6" i="31"/>
  <c r="J163" i="31"/>
  <c r="J116" i="31"/>
  <c r="J76" i="31"/>
  <c r="J80" i="31"/>
  <c r="E69" i="49"/>
  <c r="U67" i="49"/>
  <c r="E68" i="49"/>
  <c r="I83" i="49" s="1"/>
  <c r="V67" i="49"/>
  <c r="Q67" i="49"/>
  <c r="E67" i="49"/>
  <c r="L67" i="49"/>
  <c r="P67" i="49"/>
  <c r="M67" i="49"/>
  <c r="G67" i="49"/>
  <c r="G96" i="49"/>
  <c r="G95" i="49"/>
  <c r="AB184" i="23"/>
  <c r="AE184" i="23"/>
  <c r="AD184" i="23"/>
  <c r="AC184" i="23"/>
  <c r="AE153" i="23"/>
  <c r="AD153" i="23"/>
  <c r="AC153" i="23"/>
  <c r="AB153" i="23"/>
  <c r="AE119" i="23"/>
  <c r="AD119" i="23"/>
  <c r="AC119" i="23"/>
  <c r="AB119" i="23"/>
  <c r="AB78" i="23"/>
  <c r="AE78" i="23"/>
  <c r="AD78" i="23"/>
  <c r="AC78" i="23"/>
  <c r="AE187" i="23"/>
  <c r="AD187" i="23"/>
  <c r="AC187" i="23"/>
  <c r="AB187" i="23"/>
  <c r="AB148" i="23"/>
  <c r="AE148" i="23"/>
  <c r="AD148" i="23"/>
  <c r="AC148" i="23"/>
  <c r="AB114" i="23"/>
  <c r="AE114" i="23"/>
  <c r="AD114" i="23"/>
  <c r="AC114" i="23"/>
  <c r="AE143" i="23"/>
  <c r="AD143" i="23"/>
  <c r="AC143" i="23"/>
  <c r="AB143" i="23"/>
  <c r="AE91" i="23"/>
  <c r="AD91" i="23"/>
  <c r="AC91" i="23"/>
  <c r="AB91" i="23"/>
  <c r="AB48" i="23"/>
  <c r="AD48" i="23"/>
  <c r="AE48" i="23"/>
  <c r="AC48" i="23"/>
  <c r="AE167" i="23"/>
  <c r="AD167" i="23"/>
  <c r="AC167" i="23"/>
  <c r="AB167" i="23"/>
  <c r="AE123" i="23"/>
  <c r="AD123" i="23"/>
  <c r="AC123" i="23"/>
  <c r="AB123" i="23"/>
  <c r="AB194" i="23"/>
  <c r="AE194" i="23"/>
  <c r="AD194" i="23"/>
  <c r="AC194" i="23"/>
  <c r="AB80" i="23"/>
  <c r="AE80" i="23"/>
  <c r="AD80" i="23"/>
  <c r="AC80" i="23"/>
  <c r="AE197" i="23"/>
  <c r="AD197" i="23"/>
  <c r="AC197" i="23"/>
  <c r="AB197" i="23"/>
  <c r="AB158" i="23"/>
  <c r="AE158" i="23"/>
  <c r="AD158" i="23"/>
  <c r="AC158" i="23"/>
  <c r="AB134" i="23"/>
  <c r="AE134" i="23"/>
  <c r="AD134" i="23"/>
  <c r="AC134" i="23"/>
  <c r="AB124" i="23"/>
  <c r="AE124" i="23"/>
  <c r="AD124" i="23"/>
  <c r="AC124" i="23"/>
  <c r="AB106" i="23"/>
  <c r="AE106" i="23"/>
  <c r="AD106" i="23"/>
  <c r="AC106" i="23"/>
  <c r="AE59" i="23"/>
  <c r="AD59" i="23"/>
  <c r="AC59" i="23"/>
  <c r="AB59" i="23"/>
  <c r="AB22" i="23"/>
  <c r="AE22" i="23"/>
  <c r="AD22" i="23"/>
  <c r="AC22" i="23"/>
  <c r="AE14" i="23"/>
  <c r="AD14" i="23"/>
  <c r="AC14" i="23"/>
  <c r="AB14" i="23"/>
  <c r="AC25" i="23"/>
  <c r="AE25" i="23"/>
  <c r="AD25" i="23"/>
  <c r="AB25" i="23"/>
  <c r="AB74" i="23"/>
  <c r="AE74" i="23"/>
  <c r="AD74" i="23"/>
  <c r="AC74" i="23"/>
  <c r="AB102" i="23"/>
  <c r="AE102" i="23"/>
  <c r="AD102" i="23"/>
  <c r="AC102" i="23"/>
  <c r="AC23" i="23"/>
  <c r="AD23" i="23"/>
  <c r="AB23" i="23"/>
  <c r="AE23" i="23"/>
  <c r="AE65" i="23"/>
  <c r="AD65" i="23"/>
  <c r="AC65" i="23"/>
  <c r="AB65" i="23"/>
  <c r="AE201" i="23"/>
  <c r="AD201" i="23"/>
  <c r="AC201" i="23"/>
  <c r="AB201" i="23"/>
  <c r="AE83" i="23"/>
  <c r="AD83" i="23"/>
  <c r="AC83" i="23"/>
  <c r="AB83" i="23"/>
  <c r="N13" i="39"/>
  <c r="K13" i="39"/>
  <c r="N18" i="39"/>
  <c r="K18" i="39"/>
  <c r="AB200" i="23"/>
  <c r="AE200" i="23"/>
  <c r="AD200" i="23"/>
  <c r="AC200" i="23"/>
  <c r="AE137" i="23"/>
  <c r="AD137" i="23"/>
  <c r="AC137" i="23"/>
  <c r="AB137" i="23"/>
  <c r="AE101" i="23"/>
  <c r="AD101" i="23"/>
  <c r="AC101" i="23"/>
  <c r="AB101" i="23"/>
  <c r="AB132" i="23"/>
  <c r="AE132" i="23"/>
  <c r="AD132" i="23"/>
  <c r="AC132" i="23"/>
  <c r="AE161" i="23"/>
  <c r="AD161" i="23"/>
  <c r="AC161" i="23"/>
  <c r="AB161" i="23"/>
  <c r="AE117" i="23"/>
  <c r="AD117" i="23"/>
  <c r="AC117" i="23"/>
  <c r="AB117" i="23"/>
  <c r="AB40" i="23"/>
  <c r="AE40" i="23"/>
  <c r="AD40" i="23"/>
  <c r="AC40" i="23"/>
  <c r="AB24" i="23"/>
  <c r="AE24" i="23"/>
  <c r="AD24" i="23"/>
  <c r="AC24" i="23"/>
  <c r="AB180" i="23"/>
  <c r="AE180" i="23"/>
  <c r="AD180" i="23"/>
  <c r="AC180" i="23"/>
  <c r="AE149" i="23"/>
  <c r="AD149" i="23"/>
  <c r="AC149" i="23"/>
  <c r="AB149" i="23"/>
  <c r="AE139" i="23"/>
  <c r="AD139" i="23"/>
  <c r="AC139" i="23"/>
  <c r="AB139" i="23"/>
  <c r="AE121" i="23"/>
  <c r="AD121" i="23"/>
  <c r="AC121" i="23"/>
  <c r="AB121" i="23"/>
  <c r="AB90" i="23"/>
  <c r="AE90" i="23"/>
  <c r="AD90" i="23"/>
  <c r="AC90" i="23"/>
  <c r="AE181" i="23"/>
  <c r="AD181" i="23"/>
  <c r="AC181" i="23"/>
  <c r="AB181" i="23"/>
  <c r="AB98" i="23"/>
  <c r="AE98" i="23"/>
  <c r="AD98" i="23"/>
  <c r="AC98" i="23"/>
  <c r="AB62" i="23"/>
  <c r="AE62" i="23"/>
  <c r="AD62" i="23"/>
  <c r="AC62" i="23"/>
  <c r="AE49" i="23"/>
  <c r="AD49" i="23"/>
  <c r="AC49" i="23"/>
  <c r="AB49" i="23"/>
  <c r="AB138" i="23"/>
  <c r="AE138" i="23"/>
  <c r="AD138" i="23"/>
  <c r="AC138" i="23"/>
  <c r="AE185" i="23"/>
  <c r="AD185" i="23"/>
  <c r="AC185" i="23"/>
  <c r="AB185" i="23"/>
  <c r="AE53" i="23"/>
  <c r="AD53" i="23"/>
  <c r="AC53" i="23"/>
  <c r="AB53" i="23"/>
  <c r="AC29" i="23"/>
  <c r="AE29" i="23"/>
  <c r="AD29" i="23"/>
  <c r="AB29" i="23"/>
  <c r="AC21" i="23"/>
  <c r="AE21" i="23"/>
  <c r="AD21" i="23"/>
  <c r="AB21" i="23"/>
  <c r="AE13" i="23"/>
  <c r="AD13" i="23"/>
  <c r="AC13" i="23"/>
  <c r="AB13" i="23"/>
  <c r="N16" i="39"/>
  <c r="K16" i="39"/>
  <c r="AB50" i="23"/>
  <c r="AD50" i="23"/>
  <c r="AC50" i="23"/>
  <c r="AE50" i="23"/>
  <c r="AE195" i="23"/>
  <c r="AD195" i="23"/>
  <c r="AC195" i="23"/>
  <c r="AB195" i="23"/>
  <c r="AB156" i="23"/>
  <c r="AE156" i="23"/>
  <c r="AD156" i="23"/>
  <c r="AC156" i="23"/>
  <c r="AE183" i="23"/>
  <c r="AD183" i="23"/>
  <c r="AC183" i="23"/>
  <c r="AB183" i="23"/>
  <c r="AB170" i="23"/>
  <c r="AE170" i="23"/>
  <c r="AD170" i="23"/>
  <c r="AC170" i="23"/>
  <c r="AB110" i="23"/>
  <c r="AE110" i="23"/>
  <c r="AD110" i="23"/>
  <c r="AC110" i="23"/>
  <c r="AE85" i="23"/>
  <c r="AD85" i="23"/>
  <c r="AC85" i="23"/>
  <c r="AB85" i="23"/>
  <c r="AE173" i="23"/>
  <c r="AD173" i="23"/>
  <c r="AC173" i="23"/>
  <c r="AB173" i="23"/>
  <c r="AE155" i="23"/>
  <c r="AD155" i="23"/>
  <c r="AC155" i="23"/>
  <c r="AB155" i="23"/>
  <c r="AB52" i="23"/>
  <c r="AD52" i="23"/>
  <c r="AE52" i="23"/>
  <c r="AC52" i="23"/>
  <c r="AB36" i="23"/>
  <c r="AE36" i="23"/>
  <c r="AD36" i="23"/>
  <c r="AC36" i="23"/>
  <c r="AE12" i="23"/>
  <c r="AD12" i="23"/>
  <c r="AC12" i="23"/>
  <c r="AB12" i="23"/>
  <c r="AC19" i="23"/>
  <c r="AE19" i="23"/>
  <c r="AD19" i="23"/>
  <c r="AB19" i="23"/>
  <c r="AE11" i="23"/>
  <c r="AD11" i="23"/>
  <c r="AC11" i="23"/>
  <c r="AB11" i="23"/>
  <c r="AB38" i="23"/>
  <c r="AE38" i="23"/>
  <c r="AD38" i="23"/>
  <c r="AC38" i="23"/>
  <c r="AE41" i="23"/>
  <c r="AD41" i="23"/>
  <c r="AC41" i="23"/>
  <c r="AB41" i="23"/>
  <c r="AE47" i="23"/>
  <c r="AD47" i="23"/>
  <c r="AC47" i="23"/>
  <c r="AB47" i="23"/>
  <c r="AD3" i="11"/>
  <c r="C70" i="74" s="1"/>
  <c r="AB130" i="23"/>
  <c r="AE130" i="23"/>
  <c r="AD130" i="23"/>
  <c r="AC130" i="23"/>
  <c r="AE63" i="23"/>
  <c r="AD63" i="23"/>
  <c r="AC63" i="23"/>
  <c r="AB63" i="23"/>
  <c r="AB42" i="23"/>
  <c r="AE42" i="23"/>
  <c r="AD42" i="23"/>
  <c r="AC42" i="23"/>
  <c r="AE10" i="23"/>
  <c r="AD10" i="23"/>
  <c r="AC10" i="23"/>
  <c r="AB10" i="23"/>
  <c r="N14" i="39"/>
  <c r="K14" i="39"/>
  <c r="AB192" i="23"/>
  <c r="AE192" i="23"/>
  <c r="AD192" i="23"/>
  <c r="AC192" i="23"/>
  <c r="AE163" i="23"/>
  <c r="AD163" i="23"/>
  <c r="AC163" i="23"/>
  <c r="AB163" i="23"/>
  <c r="AB68" i="23"/>
  <c r="AE68" i="23"/>
  <c r="AD68" i="23"/>
  <c r="AC68" i="23"/>
  <c r="AE179" i="23"/>
  <c r="AD179" i="23"/>
  <c r="AC179" i="23"/>
  <c r="AB179" i="23"/>
  <c r="AE151" i="23"/>
  <c r="AD151" i="23"/>
  <c r="AC151" i="23"/>
  <c r="AB151" i="23"/>
  <c r="AE135" i="23"/>
  <c r="AD135" i="23"/>
  <c r="AC135" i="23"/>
  <c r="AB135" i="23"/>
  <c r="AB66" i="23"/>
  <c r="AE66" i="23"/>
  <c r="AD66" i="23"/>
  <c r="AC66" i="23"/>
  <c r="AE159" i="23"/>
  <c r="AD159" i="23"/>
  <c r="AC159" i="23"/>
  <c r="AB159" i="23"/>
  <c r="AE133" i="23"/>
  <c r="AD133" i="23"/>
  <c r="AC133" i="23"/>
  <c r="AB133" i="23"/>
  <c r="AE199" i="23"/>
  <c r="AD199" i="23"/>
  <c r="AC199" i="23"/>
  <c r="AB199" i="23"/>
  <c r="AB136" i="23"/>
  <c r="AE136" i="23"/>
  <c r="AD136" i="23"/>
  <c r="AC136" i="23"/>
  <c r="AB186" i="23"/>
  <c r="AE186" i="23"/>
  <c r="AD186" i="23"/>
  <c r="AC186" i="23"/>
  <c r="AE113" i="23"/>
  <c r="AD113" i="23"/>
  <c r="AC113" i="23"/>
  <c r="AB113" i="23"/>
  <c r="AB70" i="23"/>
  <c r="AE70" i="23"/>
  <c r="AD70" i="23"/>
  <c r="AC70" i="23"/>
  <c r="AE9" i="23"/>
  <c r="AD9" i="23"/>
  <c r="AC9" i="23"/>
  <c r="AB9" i="23"/>
  <c r="AE81" i="23"/>
  <c r="AD81" i="23"/>
  <c r="AC81" i="23"/>
  <c r="AB81" i="23"/>
  <c r="AE43" i="23"/>
  <c r="AD43" i="23"/>
  <c r="AC43" i="23"/>
  <c r="AB43" i="23"/>
  <c r="AB104" i="23"/>
  <c r="AE104" i="23"/>
  <c r="AD104" i="23"/>
  <c r="AC104" i="23"/>
  <c r="AE57" i="23"/>
  <c r="AD57" i="23"/>
  <c r="AC57" i="23"/>
  <c r="AB57" i="23"/>
  <c r="AE4" i="23"/>
  <c r="AD4" i="23"/>
  <c r="AC4" i="23"/>
  <c r="AB4" i="23"/>
  <c r="AB112" i="23"/>
  <c r="AE112" i="23"/>
  <c r="AD112" i="23"/>
  <c r="AC112" i="23"/>
  <c r="AD37" i="23"/>
  <c r="AC37" i="23"/>
  <c r="AE37" i="23"/>
  <c r="AB37" i="23"/>
  <c r="N10" i="39"/>
  <c r="K10" i="39"/>
  <c r="K24" i="39" s="1"/>
  <c r="AE129" i="23"/>
  <c r="AD129" i="23"/>
  <c r="AC129" i="23"/>
  <c r="AB129" i="23"/>
  <c r="AB86" i="23"/>
  <c r="AE86" i="23"/>
  <c r="AD86" i="23"/>
  <c r="AC86" i="23"/>
  <c r="AB122" i="23"/>
  <c r="AE122" i="23"/>
  <c r="AD122" i="23"/>
  <c r="AC122" i="23"/>
  <c r="AB190" i="23"/>
  <c r="AE190" i="23"/>
  <c r="AD190" i="23"/>
  <c r="AC190" i="23"/>
  <c r="AE169" i="23"/>
  <c r="AD169" i="23"/>
  <c r="AC169" i="23"/>
  <c r="AB169" i="23"/>
  <c r="AB84" i="23"/>
  <c r="AE84" i="23"/>
  <c r="AD84" i="23"/>
  <c r="AC84" i="23"/>
  <c r="AB196" i="23"/>
  <c r="AE196" i="23"/>
  <c r="AD196" i="23"/>
  <c r="AC196" i="23"/>
  <c r="AE175" i="23"/>
  <c r="AD175" i="23"/>
  <c r="AC175" i="23"/>
  <c r="AB175" i="23"/>
  <c r="AE115" i="23"/>
  <c r="AD115" i="23"/>
  <c r="AC115" i="23"/>
  <c r="AB115" i="23"/>
  <c r="AB162" i="23"/>
  <c r="AE162" i="23"/>
  <c r="AD162" i="23"/>
  <c r="AC162" i="23"/>
  <c r="AB128" i="23"/>
  <c r="AE128" i="23"/>
  <c r="AD128" i="23"/>
  <c r="AC128" i="23"/>
  <c r="AE103" i="23"/>
  <c r="AD103" i="23"/>
  <c r="AC103" i="23"/>
  <c r="AB103" i="23"/>
  <c r="AB88" i="23"/>
  <c r="AE88" i="23"/>
  <c r="AD88" i="23"/>
  <c r="AC88" i="23"/>
  <c r="AE7" i="23"/>
  <c r="AD7" i="23"/>
  <c r="AC7" i="23"/>
  <c r="AB7" i="23"/>
  <c r="AE189" i="23"/>
  <c r="AD189" i="23"/>
  <c r="AC189" i="23"/>
  <c r="AB189" i="23"/>
  <c r="AB168" i="23"/>
  <c r="AE168" i="23"/>
  <c r="AD168" i="23"/>
  <c r="AC168" i="23"/>
  <c r="AC27" i="23"/>
  <c r="AE27" i="23"/>
  <c r="AD27" i="23"/>
  <c r="AB27" i="23"/>
  <c r="AE8" i="23"/>
  <c r="AD8" i="23"/>
  <c r="AC8" i="23"/>
  <c r="AB8" i="23"/>
  <c r="AE89" i="23"/>
  <c r="AD89" i="23"/>
  <c r="AC89" i="23"/>
  <c r="AB89" i="23"/>
  <c r="AE69" i="23"/>
  <c r="AD69" i="23"/>
  <c r="AC69" i="23"/>
  <c r="AB69" i="23"/>
  <c r="AB30" i="23"/>
  <c r="AE30" i="23"/>
  <c r="AD30" i="23"/>
  <c r="AC30" i="23"/>
  <c r="AE79" i="23"/>
  <c r="AD79" i="23"/>
  <c r="AC79" i="23"/>
  <c r="AB79" i="23"/>
  <c r="AD33" i="23"/>
  <c r="AC33" i="23"/>
  <c r="AE33" i="23"/>
  <c r="AB33" i="23"/>
  <c r="AC17" i="23"/>
  <c r="AE17" i="23"/>
  <c r="AD17" i="23"/>
  <c r="AB17" i="23"/>
  <c r="AE67" i="23"/>
  <c r="AD67" i="23"/>
  <c r="AC67" i="23"/>
  <c r="AB67" i="23"/>
  <c r="AB94" i="23"/>
  <c r="AE94" i="23"/>
  <c r="AD94" i="23"/>
  <c r="AC94" i="23"/>
  <c r="AE55" i="23"/>
  <c r="AD55" i="23"/>
  <c r="AC55" i="23"/>
  <c r="AB55" i="23"/>
  <c r="AC31" i="23"/>
  <c r="AD31" i="23"/>
  <c r="AB31" i="23"/>
  <c r="AE31" i="23"/>
  <c r="AB154" i="23"/>
  <c r="AE154" i="23"/>
  <c r="AD154" i="23"/>
  <c r="AC154" i="23"/>
  <c r="AB146" i="23"/>
  <c r="AE146" i="23"/>
  <c r="AD146" i="23"/>
  <c r="AC146" i="23"/>
  <c r="AB26" i="23"/>
  <c r="AC26" i="23"/>
  <c r="AE26" i="23"/>
  <c r="AD26" i="23"/>
  <c r="AB18" i="23"/>
  <c r="AC18" i="23"/>
  <c r="AE18" i="23"/>
  <c r="AD18" i="23"/>
  <c r="AE5" i="23"/>
  <c r="AD5" i="23"/>
  <c r="AC5" i="23"/>
  <c r="AB5" i="23"/>
  <c r="AE193" i="23"/>
  <c r="AD193" i="23"/>
  <c r="AC193" i="23"/>
  <c r="AB193" i="23"/>
  <c r="AE61" i="23"/>
  <c r="AD61" i="23"/>
  <c r="AC61" i="23"/>
  <c r="AB61" i="23"/>
  <c r="N17" i="39"/>
  <c r="K17" i="39"/>
  <c r="AE171" i="23"/>
  <c r="AD171" i="23"/>
  <c r="AC171" i="23"/>
  <c r="AB171" i="23"/>
  <c r="AE111" i="23"/>
  <c r="AD111" i="23"/>
  <c r="AC111" i="23"/>
  <c r="AB111" i="23"/>
  <c r="AE93" i="23"/>
  <c r="AD93" i="23"/>
  <c r="AC93" i="23"/>
  <c r="AB93" i="23"/>
  <c r="AB140" i="23"/>
  <c r="AE140" i="23"/>
  <c r="AD140" i="23"/>
  <c r="AC140" i="23"/>
  <c r="AE109" i="23"/>
  <c r="AD109" i="23"/>
  <c r="AC109" i="23"/>
  <c r="AB109" i="23"/>
  <c r="AE157" i="23"/>
  <c r="AD157" i="23"/>
  <c r="AC157" i="23"/>
  <c r="AB157" i="23"/>
  <c r="AE105" i="23"/>
  <c r="AD105" i="23"/>
  <c r="AC105" i="23"/>
  <c r="AB105" i="23"/>
  <c r="AB144" i="23"/>
  <c r="AE144" i="23"/>
  <c r="AD144" i="23"/>
  <c r="AC144" i="23"/>
  <c r="AB100" i="23"/>
  <c r="AE100" i="23"/>
  <c r="AD100" i="23"/>
  <c r="AC100" i="23"/>
  <c r="AE77" i="23"/>
  <c r="AD77" i="23"/>
  <c r="AC77" i="23"/>
  <c r="AB77" i="23"/>
  <c r="AE147" i="23"/>
  <c r="AD147" i="23"/>
  <c r="AC147" i="23"/>
  <c r="AB147" i="23"/>
  <c r="AE95" i="23"/>
  <c r="AD95" i="23"/>
  <c r="AC95" i="23"/>
  <c r="AB95" i="23"/>
  <c r="AB60" i="23"/>
  <c r="AE60" i="23"/>
  <c r="AD60" i="23"/>
  <c r="AC60" i="23"/>
  <c r="AB44" i="23"/>
  <c r="AE44" i="23"/>
  <c r="AD44" i="23"/>
  <c r="AC44" i="23"/>
  <c r="AB28" i="23"/>
  <c r="AE28" i="23"/>
  <c r="AD28" i="23"/>
  <c r="AC28" i="23"/>
  <c r="AB176" i="23"/>
  <c r="AE176" i="23"/>
  <c r="AD176" i="23"/>
  <c r="AC176" i="23"/>
  <c r="AB142" i="23"/>
  <c r="AE142" i="23"/>
  <c r="AD142" i="23"/>
  <c r="AC142" i="23"/>
  <c r="AB116" i="23"/>
  <c r="AE116" i="23"/>
  <c r="AD116" i="23"/>
  <c r="AC116" i="23"/>
  <c r="AE51" i="23"/>
  <c r="AD51" i="23"/>
  <c r="AC51" i="23"/>
  <c r="AB51" i="23"/>
  <c r="AB46" i="23"/>
  <c r="AD46" i="23"/>
  <c r="AE46" i="23"/>
  <c r="AC46" i="23"/>
  <c r="AE87" i="23"/>
  <c r="AD87" i="23"/>
  <c r="AC87" i="23"/>
  <c r="AB87" i="23"/>
  <c r="AE15" i="23"/>
  <c r="AD15" i="23"/>
  <c r="AC15" i="23"/>
  <c r="AB15" i="23"/>
  <c r="F5" i="24"/>
  <c r="C21" i="74" s="1"/>
  <c r="AE75" i="23"/>
  <c r="AD75" i="23"/>
  <c r="AC75" i="23"/>
  <c r="AB75" i="23"/>
  <c r="AE45" i="23"/>
  <c r="AD45" i="23"/>
  <c r="AC45" i="23"/>
  <c r="AB45" i="23"/>
  <c r="N15" i="39"/>
  <c r="K15" i="39"/>
  <c r="U31" i="13"/>
  <c r="BF193" i="31" s="1"/>
  <c r="U38" i="13"/>
  <c r="BF94" i="31" s="1"/>
  <c r="U37" i="13"/>
  <c r="BF92" i="31" s="1"/>
  <c r="AB166" i="23"/>
  <c r="AE166" i="23"/>
  <c r="AD166" i="23"/>
  <c r="AC166" i="23"/>
  <c r="AB182" i="23"/>
  <c r="AE182" i="23"/>
  <c r="AD182" i="23"/>
  <c r="AC182" i="23"/>
  <c r="AE107" i="23"/>
  <c r="AD107" i="23"/>
  <c r="AC107" i="23"/>
  <c r="AB107" i="23"/>
  <c r="AB56" i="23"/>
  <c r="AE56" i="23"/>
  <c r="AD56" i="23"/>
  <c r="AC56" i="23"/>
  <c r="AB32" i="23"/>
  <c r="AE32" i="23"/>
  <c r="AD32" i="23"/>
  <c r="AC32" i="23"/>
  <c r="AE141" i="23"/>
  <c r="AD141" i="23"/>
  <c r="AC141" i="23"/>
  <c r="AB141" i="23"/>
  <c r="AE125" i="23"/>
  <c r="AD125" i="23"/>
  <c r="AC125" i="23"/>
  <c r="AB125" i="23"/>
  <c r="AB178" i="23"/>
  <c r="AE178" i="23"/>
  <c r="AD178" i="23"/>
  <c r="AC178" i="23"/>
  <c r="AE131" i="23"/>
  <c r="AD131" i="23"/>
  <c r="AC131" i="23"/>
  <c r="AB131" i="23"/>
  <c r="AB160" i="23"/>
  <c r="AE160" i="23"/>
  <c r="AD160" i="23"/>
  <c r="AC160" i="23"/>
  <c r="AB150" i="23"/>
  <c r="AE150" i="23"/>
  <c r="AD150" i="23"/>
  <c r="AC150" i="23"/>
  <c r="AB126" i="23"/>
  <c r="AE126" i="23"/>
  <c r="AD126" i="23"/>
  <c r="AC126" i="23"/>
  <c r="AE6" i="23"/>
  <c r="AD6" i="23"/>
  <c r="AC6" i="23"/>
  <c r="AB6" i="23"/>
  <c r="AB54" i="23"/>
  <c r="AE54" i="23"/>
  <c r="AD54" i="23"/>
  <c r="AC54" i="23"/>
  <c r="AB96" i="23"/>
  <c r="AE96" i="23"/>
  <c r="AD96" i="23"/>
  <c r="AC96" i="23"/>
  <c r="AB64" i="23"/>
  <c r="AE64" i="23"/>
  <c r="AD64" i="23"/>
  <c r="AC64" i="23"/>
  <c r="AB82" i="23"/>
  <c r="AE82" i="23"/>
  <c r="AD82" i="23"/>
  <c r="AC82" i="23"/>
  <c r="AB120" i="23"/>
  <c r="AE120" i="23"/>
  <c r="AD120" i="23"/>
  <c r="AC120" i="23"/>
  <c r="AE97" i="23"/>
  <c r="AD97" i="23"/>
  <c r="AC97" i="23"/>
  <c r="AB97" i="23"/>
  <c r="AB164" i="23"/>
  <c r="AE164" i="23"/>
  <c r="AD164" i="23"/>
  <c r="AC164" i="23"/>
  <c r="AE71" i="23"/>
  <c r="AD71" i="23"/>
  <c r="AC71" i="23"/>
  <c r="AB71" i="23"/>
  <c r="AE145" i="23"/>
  <c r="AD145" i="23"/>
  <c r="AC145" i="23"/>
  <c r="AB145" i="23"/>
  <c r="AB58" i="23"/>
  <c r="AE58" i="23"/>
  <c r="AD58" i="23"/>
  <c r="AC58" i="23"/>
  <c r="AB174" i="23"/>
  <c r="AE174" i="23"/>
  <c r="AD174" i="23"/>
  <c r="AC174" i="23"/>
  <c r="AB198" i="23"/>
  <c r="AE198" i="23"/>
  <c r="AD198" i="23"/>
  <c r="AC198" i="23"/>
  <c r="AE177" i="23"/>
  <c r="AD177" i="23"/>
  <c r="AC177" i="23"/>
  <c r="AB177" i="23"/>
  <c r="AE127" i="23"/>
  <c r="AD127" i="23"/>
  <c r="AC127" i="23"/>
  <c r="AB127" i="23"/>
  <c r="AE99" i="23"/>
  <c r="AD99" i="23"/>
  <c r="AC99" i="23"/>
  <c r="AB99" i="23"/>
  <c r="AB76" i="23"/>
  <c r="AE76" i="23"/>
  <c r="AD76" i="23"/>
  <c r="AC76" i="23"/>
  <c r="AE16" i="23"/>
  <c r="AD16" i="23"/>
  <c r="AC16" i="23"/>
  <c r="AB16" i="23"/>
  <c r="AB188" i="23"/>
  <c r="AE188" i="23"/>
  <c r="AD188" i="23"/>
  <c r="AC188" i="23"/>
  <c r="AE191" i="23"/>
  <c r="AD191" i="23"/>
  <c r="AC191" i="23"/>
  <c r="AB191" i="23"/>
  <c r="AB152" i="23"/>
  <c r="AE152" i="23"/>
  <c r="AD152" i="23"/>
  <c r="AC152" i="23"/>
  <c r="AB118" i="23"/>
  <c r="AE118" i="23"/>
  <c r="AD118" i="23"/>
  <c r="AC118" i="23"/>
  <c r="AB92" i="23"/>
  <c r="AE92" i="23"/>
  <c r="AD92" i="23"/>
  <c r="AC92" i="23"/>
  <c r="AE165" i="23"/>
  <c r="AD165" i="23"/>
  <c r="AC165" i="23"/>
  <c r="AB165" i="23"/>
  <c r="AB20" i="23"/>
  <c r="AE20" i="23"/>
  <c r="AD20" i="23"/>
  <c r="AC20" i="23"/>
  <c r="AB108" i="23"/>
  <c r="AE108" i="23"/>
  <c r="AD108" i="23"/>
  <c r="AC108" i="23"/>
  <c r="AD35" i="23"/>
  <c r="AC35" i="23"/>
  <c r="AE35" i="23"/>
  <c r="AB35" i="23"/>
  <c r="AB72" i="23"/>
  <c r="AE72" i="23"/>
  <c r="AD72" i="23"/>
  <c r="AC72" i="23"/>
  <c r="AD39" i="23"/>
  <c r="AC39" i="23"/>
  <c r="AE39" i="23"/>
  <c r="AB39" i="23"/>
  <c r="F12" i="19"/>
  <c r="C42" i="74" s="1"/>
  <c r="AB34" i="23"/>
  <c r="AD34" i="23"/>
  <c r="AC34" i="23"/>
  <c r="AE34" i="23"/>
  <c r="AB172" i="23"/>
  <c r="AE172" i="23"/>
  <c r="AD172" i="23"/>
  <c r="AC172" i="23"/>
  <c r="AE73" i="23"/>
  <c r="AD73" i="23"/>
  <c r="AC73" i="23"/>
  <c r="AB73" i="23"/>
  <c r="R67" i="49"/>
  <c r="Y101" i="49"/>
  <c r="F67" i="49"/>
  <c r="O10" i="49"/>
  <c r="L69" i="49"/>
  <c r="K89" i="49" s="1"/>
  <c r="O12" i="49"/>
  <c r="Y12" i="49" s="1"/>
  <c r="L68" i="49"/>
  <c r="I89" i="49" s="1"/>
  <c r="O11" i="49"/>
  <c r="O68" i="49" s="1"/>
  <c r="U35" i="3"/>
  <c r="U34" i="3"/>
  <c r="W69" i="49"/>
  <c r="K99" i="49" s="1"/>
  <c r="G91" i="49"/>
  <c r="J101" i="31"/>
  <c r="J39" i="31"/>
  <c r="B204" i="31"/>
  <c r="J112" i="31"/>
  <c r="J11" i="31"/>
  <c r="J132" i="31"/>
  <c r="J82" i="31"/>
  <c r="J45" i="31"/>
  <c r="J139" i="31"/>
  <c r="J186" i="31"/>
  <c r="J114" i="31"/>
  <c r="B3" i="31"/>
  <c r="B30" i="74"/>
  <c r="J169" i="31"/>
  <c r="AD2" i="15"/>
  <c r="C77" i="74" s="1"/>
  <c r="C69" i="74"/>
  <c r="AD5" i="15"/>
  <c r="C80" i="74" s="1"/>
  <c r="C72" i="74"/>
  <c r="O94" i="73"/>
  <c r="B388" i="74" s="1"/>
  <c r="U95" i="72"/>
  <c r="B270" i="74" s="1"/>
  <c r="O70" i="73"/>
  <c r="B364" i="74" s="1"/>
  <c r="U71" i="72"/>
  <c r="B246" i="74" s="1"/>
  <c r="O120" i="73"/>
  <c r="B413" i="74" s="1"/>
  <c r="U120" i="72"/>
  <c r="B294" i="74" s="1"/>
  <c r="O102" i="73"/>
  <c r="B396" i="74" s="1"/>
  <c r="U103" i="72"/>
  <c r="B278" i="74" s="1"/>
  <c r="V54" i="13"/>
  <c r="A554" i="74" s="1"/>
  <c r="U54" i="13"/>
  <c r="BF149" i="31" s="1"/>
  <c r="V46" i="13"/>
  <c r="A546" i="74" s="1"/>
  <c r="U46" i="13"/>
  <c r="BF133" i="31" s="1"/>
  <c r="V57" i="13"/>
  <c r="A557" i="74" s="1"/>
  <c r="V37" i="13"/>
  <c r="A537" i="74" s="1"/>
  <c r="U20" i="13"/>
  <c r="BF49" i="31" s="1"/>
  <c r="V20" i="13"/>
  <c r="A520" i="74" s="1"/>
  <c r="V50" i="13"/>
  <c r="A550" i="74" s="1"/>
  <c r="AA9" i="11"/>
  <c r="V69" i="13"/>
  <c r="A569" i="74" s="1"/>
  <c r="U69" i="13"/>
  <c r="BF198" i="31" s="1"/>
  <c r="Q22" i="13"/>
  <c r="T22" i="13" s="1"/>
  <c r="C522" i="74" s="1"/>
  <c r="O21" i="73"/>
  <c r="B315" i="74" s="1"/>
  <c r="U22" i="72"/>
  <c r="B197" i="74" s="1"/>
  <c r="F6" i="24"/>
  <c r="F8" i="24"/>
  <c r="F8" i="25"/>
  <c r="C9" i="74" s="1"/>
  <c r="F7" i="25"/>
  <c r="C8" i="74" s="1"/>
  <c r="Q2" i="10"/>
  <c r="V52" i="13"/>
  <c r="A552" i="74" s="1"/>
  <c r="U52" i="13"/>
  <c r="BF147" i="31" s="1"/>
  <c r="O2" i="73"/>
  <c r="B296" i="74" s="1"/>
  <c r="U2" i="72"/>
  <c r="B177" i="74" s="1"/>
  <c r="O42" i="73"/>
  <c r="B336" i="74" s="1"/>
  <c r="U43" i="72"/>
  <c r="B218" i="74" s="1"/>
  <c r="V25" i="13"/>
  <c r="A525" i="74" s="1"/>
  <c r="G92" i="12"/>
  <c r="J92" i="12" s="1"/>
  <c r="E22" i="1" s="1"/>
  <c r="O98" i="73"/>
  <c r="B392" i="74" s="1"/>
  <c r="U99" i="72"/>
  <c r="B274" i="74" s="1"/>
  <c r="U40" i="72"/>
  <c r="B215" i="74" s="1"/>
  <c r="O39" i="73"/>
  <c r="B333" i="74" s="1"/>
  <c r="J21" i="31"/>
  <c r="O10" i="73"/>
  <c r="B304" i="74" s="1"/>
  <c r="U10" i="72"/>
  <c r="B185" i="74" s="1"/>
  <c r="V23" i="13"/>
  <c r="A523" i="74" s="1"/>
  <c r="O111" i="73"/>
  <c r="B404" i="74" s="1"/>
  <c r="U112" i="72"/>
  <c r="B286" i="74" s="1"/>
  <c r="O50" i="73"/>
  <c r="B344" i="74" s="1"/>
  <c r="U51" i="72"/>
  <c r="B226" i="74" s="1"/>
  <c r="O80" i="73"/>
  <c r="B374" i="74" s="1"/>
  <c r="U81" i="72"/>
  <c r="B256" i="74" s="1"/>
  <c r="O60" i="73"/>
  <c r="B354" i="74" s="1"/>
  <c r="U61" i="72"/>
  <c r="B236" i="74" s="1"/>
  <c r="O77" i="73"/>
  <c r="B371" i="74" s="1"/>
  <c r="U78" i="72"/>
  <c r="B253" i="74" s="1"/>
  <c r="O67" i="73"/>
  <c r="B361" i="74" s="1"/>
  <c r="U68" i="72"/>
  <c r="B243" i="74" s="1"/>
  <c r="O37" i="73"/>
  <c r="B331" i="74" s="1"/>
  <c r="U38" i="72"/>
  <c r="B213" i="74" s="1"/>
  <c r="O110" i="73"/>
  <c r="B403" i="74" s="1"/>
  <c r="U111" i="72"/>
  <c r="B285" i="74" s="1"/>
  <c r="O62" i="73"/>
  <c r="B356" i="74" s="1"/>
  <c r="U63" i="72"/>
  <c r="B238" i="74" s="1"/>
  <c r="U93" i="72"/>
  <c r="B268" i="74" s="1"/>
  <c r="O92" i="73"/>
  <c r="B386" i="74" s="1"/>
  <c r="V45" i="13"/>
  <c r="A545" i="74" s="1"/>
  <c r="U5" i="10"/>
  <c r="B66" i="74"/>
  <c r="C3" i="17"/>
  <c r="O23" i="73"/>
  <c r="B317" i="74" s="1"/>
  <c r="U24" i="72"/>
  <c r="B199" i="74" s="1"/>
  <c r="O4" i="73"/>
  <c r="B298" i="74" s="1"/>
  <c r="U4" i="72"/>
  <c r="B179" i="74" s="1"/>
  <c r="O61" i="73"/>
  <c r="B355" i="74" s="1"/>
  <c r="U62" i="72"/>
  <c r="B237" i="74" s="1"/>
  <c r="F10" i="25"/>
  <c r="C11" i="74" s="1"/>
  <c r="F9" i="24"/>
  <c r="U41" i="13"/>
  <c r="BF112" i="31" s="1"/>
  <c r="V41" i="13"/>
  <c r="A541" i="74" s="1"/>
  <c r="J57" i="31"/>
  <c r="U32" i="72"/>
  <c r="B207" i="74" s="1"/>
  <c r="O32" i="73"/>
  <c r="B326" i="74" s="1"/>
  <c r="V63" i="13"/>
  <c r="A563" i="74" s="1"/>
  <c r="U63" i="13"/>
  <c r="BF176" i="31" s="1"/>
  <c r="AD4" i="15"/>
  <c r="C79" i="74" s="1"/>
  <c r="C71" i="74"/>
  <c r="O49" i="73"/>
  <c r="B343" i="74" s="1"/>
  <c r="U50" i="72"/>
  <c r="B225" i="74" s="1"/>
  <c r="V48" i="13"/>
  <c r="A548" i="74" s="1"/>
  <c r="U48" i="13"/>
  <c r="U113" i="72"/>
  <c r="B287" i="74" s="1"/>
  <c r="O112" i="73"/>
  <c r="B405" i="74" s="1"/>
  <c r="O105" i="73"/>
  <c r="B398" i="74" s="1"/>
  <c r="U106" i="72"/>
  <c r="B280" i="74" s="1"/>
  <c r="U48" i="72"/>
  <c r="B223" i="74" s="1"/>
  <c r="O47" i="73"/>
  <c r="B341" i="74" s="1"/>
  <c r="O96" i="73"/>
  <c r="B390" i="74" s="1"/>
  <c r="U97" i="72"/>
  <c r="B272" i="74" s="1"/>
  <c r="V43" i="13"/>
  <c r="A543" i="74" s="1"/>
  <c r="U43" i="13"/>
  <c r="BF124" i="31" s="1"/>
  <c r="O53" i="73"/>
  <c r="B347" i="74" s="1"/>
  <c r="U54" i="72"/>
  <c r="B229" i="74" s="1"/>
  <c r="V68" i="13"/>
  <c r="A568" i="74" s="1"/>
  <c r="U68" i="13"/>
  <c r="BF195" i="31" s="1"/>
  <c r="V58" i="13"/>
  <c r="A558" i="74" s="1"/>
  <c r="O51" i="73"/>
  <c r="B345" i="74" s="1"/>
  <c r="U52" i="72"/>
  <c r="B227" i="74" s="1"/>
  <c r="V11" i="13"/>
  <c r="A511" i="74" s="1"/>
  <c r="U11" i="13"/>
  <c r="BF21" i="31" s="1"/>
  <c r="E7" i="20"/>
  <c r="C7" i="21"/>
  <c r="B18" i="74"/>
  <c r="B26" i="74"/>
  <c r="O45" i="73"/>
  <c r="B339" i="74" s="1"/>
  <c r="U46" i="72"/>
  <c r="B221" i="74" s="1"/>
  <c r="V19" i="13"/>
  <c r="A519" i="74" s="1"/>
  <c r="U19" i="13"/>
  <c r="BF44" i="31" s="1"/>
  <c r="V6" i="13"/>
  <c r="A506" i="74" s="1"/>
  <c r="J58" i="31"/>
  <c r="O33" i="73"/>
  <c r="B327" i="74" s="1"/>
  <c r="U33" i="72"/>
  <c r="B208" i="74" s="1"/>
  <c r="U17" i="13"/>
  <c r="BF42" i="31" s="1"/>
  <c r="V17" i="13"/>
  <c r="A517" i="74" s="1"/>
  <c r="V39" i="13"/>
  <c r="A539" i="74" s="1"/>
  <c r="F10" i="24"/>
  <c r="F11" i="25"/>
  <c r="C12" i="74" s="1"/>
  <c r="F16" i="25"/>
  <c r="C17" i="74" s="1"/>
  <c r="F15" i="25"/>
  <c r="C16" i="74" s="1"/>
  <c r="F6" i="17"/>
  <c r="O36" i="73"/>
  <c r="B330" i="74" s="1"/>
  <c r="U37" i="72"/>
  <c r="B212" i="74" s="1"/>
  <c r="O25" i="73"/>
  <c r="B319" i="74" s="1"/>
  <c r="U26" i="72"/>
  <c r="B201" i="74" s="1"/>
  <c r="J165" i="31"/>
  <c r="U96" i="72"/>
  <c r="B271" i="74" s="1"/>
  <c r="O95" i="73"/>
  <c r="B389" i="74" s="1"/>
  <c r="O40" i="73"/>
  <c r="B334" i="74" s="1"/>
  <c r="U41" i="72"/>
  <c r="B216" i="74" s="1"/>
  <c r="O106" i="73"/>
  <c r="B399" i="74" s="1"/>
  <c r="U107" i="72"/>
  <c r="B281" i="74" s="1"/>
  <c r="J87" i="31"/>
  <c r="J85" i="31"/>
  <c r="V31" i="13"/>
  <c r="A531" i="74" s="1"/>
  <c r="O54" i="73"/>
  <c r="B348" i="74" s="1"/>
  <c r="U55" i="72"/>
  <c r="B230" i="74" s="1"/>
  <c r="O115" i="73"/>
  <c r="B408" i="74" s="1"/>
  <c r="U116" i="72"/>
  <c r="B290" i="74" s="1"/>
  <c r="U56" i="13"/>
  <c r="BF152" i="31" s="1"/>
  <c r="V56" i="13"/>
  <c r="A556" i="74" s="1"/>
  <c r="V47" i="13"/>
  <c r="A547" i="74" s="1"/>
  <c r="U47" i="13"/>
  <c r="BF136" i="31" s="1"/>
  <c r="U27" i="13"/>
  <c r="BF67" i="31" s="1"/>
  <c r="V27" i="13"/>
  <c r="A527" i="74" s="1"/>
  <c r="J53" i="31"/>
  <c r="O29" i="73"/>
  <c r="B323" i="74" s="1"/>
  <c r="U30" i="72"/>
  <c r="B205" i="74" s="1"/>
  <c r="O89" i="73"/>
  <c r="B383" i="74" s="1"/>
  <c r="U90" i="72"/>
  <c r="B265" i="74" s="1"/>
  <c r="V36" i="13"/>
  <c r="A536" i="74" s="1"/>
  <c r="U36" i="13"/>
  <c r="BF91" i="31" s="1"/>
  <c r="B19" i="74"/>
  <c r="B27" i="74"/>
  <c r="AC7" i="15"/>
  <c r="B82" i="74" s="1"/>
  <c r="B74" i="74"/>
  <c r="U104" i="72"/>
  <c r="B279" i="74" s="1"/>
  <c r="O103" i="73"/>
  <c r="B397" i="74" s="1"/>
  <c r="J14" i="31"/>
  <c r="O5" i="73"/>
  <c r="B299" i="74" s="1"/>
  <c r="U5" i="72"/>
  <c r="B180" i="74" s="1"/>
  <c r="O38" i="73"/>
  <c r="B332" i="74" s="1"/>
  <c r="U39" i="72"/>
  <c r="B214" i="74" s="1"/>
  <c r="O24" i="73"/>
  <c r="B318" i="74" s="1"/>
  <c r="U25" i="72"/>
  <c r="B200" i="74" s="1"/>
  <c r="F11" i="24"/>
  <c r="F13" i="19"/>
  <c r="C43" i="74" s="1"/>
  <c r="F4" i="17"/>
  <c r="F2" i="17"/>
  <c r="Q3" i="10"/>
  <c r="J202" i="31"/>
  <c r="O121" i="73"/>
  <c r="B414" i="74" s="1"/>
  <c r="U121" i="72"/>
  <c r="B295" i="74" s="1"/>
  <c r="U15" i="72"/>
  <c r="B190" i="74" s="1"/>
  <c r="O14" i="73"/>
  <c r="B308" i="74" s="1"/>
  <c r="O11" i="73"/>
  <c r="B305" i="74" s="1"/>
  <c r="U11" i="72"/>
  <c r="B186" i="74" s="1"/>
  <c r="V30" i="13"/>
  <c r="A530" i="74" s="1"/>
  <c r="U2" i="10"/>
  <c r="B63" i="74"/>
  <c r="AC2" i="15"/>
  <c r="B77" i="74" s="1"/>
  <c r="B69" i="74"/>
  <c r="J107" i="31"/>
  <c r="E5" i="20"/>
  <c r="AD7" i="15"/>
  <c r="C82" i="74" s="1"/>
  <c r="C74" i="74"/>
  <c r="V38" i="13"/>
  <c r="A538" i="74" s="1"/>
  <c r="O65" i="73"/>
  <c r="B359" i="74" s="1"/>
  <c r="U66" i="72"/>
  <c r="B241" i="74" s="1"/>
  <c r="V67" i="13"/>
  <c r="A567" i="74" s="1"/>
  <c r="U67" i="13"/>
  <c r="BF191" i="31" s="1"/>
  <c r="V61" i="13"/>
  <c r="A561" i="74" s="1"/>
  <c r="U61" i="13"/>
  <c r="BF170" i="31" s="1"/>
  <c r="V34" i="13"/>
  <c r="A534" i="74" s="1"/>
  <c r="U34" i="13"/>
  <c r="BF85" i="31" s="1"/>
  <c r="O75" i="73"/>
  <c r="B369" i="74" s="1"/>
  <c r="U76" i="72"/>
  <c r="B251" i="74" s="1"/>
  <c r="O59" i="73"/>
  <c r="B353" i="74" s="1"/>
  <c r="U60" i="72"/>
  <c r="B235" i="74" s="1"/>
  <c r="V62" i="13"/>
  <c r="A562" i="74" s="1"/>
  <c r="U62" i="13"/>
  <c r="BF171" i="31" s="1"/>
  <c r="U80" i="72"/>
  <c r="B255" i="74" s="1"/>
  <c r="O79" i="73"/>
  <c r="B373" i="74" s="1"/>
  <c r="O48" i="73"/>
  <c r="B342" i="74" s="1"/>
  <c r="U49" i="72"/>
  <c r="B224" i="74" s="1"/>
  <c r="V42" i="13"/>
  <c r="A542" i="74" s="1"/>
  <c r="U42" i="13"/>
  <c r="BF122" i="31" s="1"/>
  <c r="O19" i="73"/>
  <c r="B313" i="74" s="1"/>
  <c r="U20" i="72"/>
  <c r="B195" i="74" s="1"/>
  <c r="B29" i="74"/>
  <c r="B20" i="74"/>
  <c r="U7" i="10"/>
  <c r="B68" i="74"/>
  <c r="AA8" i="11"/>
  <c r="V60" i="13"/>
  <c r="A560" i="74" s="1"/>
  <c r="U60" i="13"/>
  <c r="BF169" i="31" s="1"/>
  <c r="O90" i="73"/>
  <c r="B384" i="74" s="1"/>
  <c r="U91" i="72"/>
  <c r="B266" i="74" s="1"/>
  <c r="O28" i="73"/>
  <c r="B322" i="74" s="1"/>
  <c r="U29" i="72"/>
  <c r="B204" i="74" s="1"/>
  <c r="V13" i="13"/>
  <c r="A513" i="74" s="1"/>
  <c r="V28" i="13"/>
  <c r="A528" i="74" s="1"/>
  <c r="U28" i="13"/>
  <c r="BF70" i="31" s="1"/>
  <c r="O15" i="73"/>
  <c r="B309" i="74" s="1"/>
  <c r="U16" i="72"/>
  <c r="B191" i="74" s="1"/>
  <c r="O8" i="73"/>
  <c r="B302" i="74" s="1"/>
  <c r="U8" i="72"/>
  <c r="B183" i="74" s="1"/>
  <c r="O46" i="73"/>
  <c r="B340" i="74" s="1"/>
  <c r="U47" i="72"/>
  <c r="B222" i="74" s="1"/>
  <c r="O64" i="73"/>
  <c r="B358" i="74" s="1"/>
  <c r="U65" i="72"/>
  <c r="B240" i="74" s="1"/>
  <c r="C19" i="74"/>
  <c r="F5" i="19"/>
  <c r="C35" i="74" s="1"/>
  <c r="F5" i="25"/>
  <c r="C6" i="74" s="1"/>
  <c r="F12" i="24"/>
  <c r="F3" i="20"/>
  <c r="AE9" i="15"/>
  <c r="AD9" i="11"/>
  <c r="O81" i="73"/>
  <c r="B375" i="74" s="1"/>
  <c r="U82" i="72"/>
  <c r="B257" i="74" s="1"/>
  <c r="U26" i="13"/>
  <c r="BF66" i="31" s="1"/>
  <c r="V26" i="13"/>
  <c r="A526" i="74" s="1"/>
  <c r="U3" i="72"/>
  <c r="B178" i="74" s="1"/>
  <c r="O3" i="73"/>
  <c r="B297" i="74" s="1"/>
  <c r="O109" i="73"/>
  <c r="B402" i="74" s="1"/>
  <c r="U110" i="72"/>
  <c r="B284" i="74" s="1"/>
  <c r="U33" i="13"/>
  <c r="BF84" i="31" s="1"/>
  <c r="V33" i="13"/>
  <c r="A533" i="74" s="1"/>
  <c r="V12" i="13"/>
  <c r="A512" i="74" s="1"/>
  <c r="U12" i="13"/>
  <c r="BF22" i="31" s="1"/>
  <c r="V64" i="13"/>
  <c r="A564" i="74" s="1"/>
  <c r="V21" i="13"/>
  <c r="A521" i="74" s="1"/>
  <c r="O57" i="73"/>
  <c r="B351" i="74" s="1"/>
  <c r="U58" i="72"/>
  <c r="B233" i="74" s="1"/>
  <c r="V32" i="13"/>
  <c r="A532" i="74" s="1"/>
  <c r="J56" i="31"/>
  <c r="O31" i="73"/>
  <c r="B325" i="74" s="1"/>
  <c r="U31" i="72"/>
  <c r="B206" i="74" s="1"/>
  <c r="O16" i="73"/>
  <c r="B310" i="74" s="1"/>
  <c r="U17" i="72"/>
  <c r="B192" i="74" s="1"/>
  <c r="F2" i="24"/>
  <c r="F13" i="24"/>
  <c r="F8" i="20"/>
  <c r="AD3" i="15"/>
  <c r="C78" i="74" s="1"/>
  <c r="U75" i="72"/>
  <c r="B250" i="74" s="1"/>
  <c r="O74" i="73"/>
  <c r="B368" i="74" s="1"/>
  <c r="U23" i="72"/>
  <c r="B198" i="74" s="1"/>
  <c r="O22" i="73"/>
  <c r="B316" i="74" s="1"/>
  <c r="O20" i="73"/>
  <c r="B314" i="74" s="1"/>
  <c r="U21" i="72"/>
  <c r="B196" i="74" s="1"/>
  <c r="V14" i="13"/>
  <c r="A514" i="74" s="1"/>
  <c r="V7" i="13"/>
  <c r="A507" i="74" s="1"/>
  <c r="U7" i="13"/>
  <c r="BF14" i="31" s="1"/>
  <c r="C73" i="74"/>
  <c r="O118" i="73"/>
  <c r="B411" i="74" s="1"/>
  <c r="U119" i="72"/>
  <c r="B293" i="74" s="1"/>
  <c r="O56" i="73"/>
  <c r="B350" i="74" s="1"/>
  <c r="U57" i="72"/>
  <c r="B232" i="74" s="1"/>
  <c r="V59" i="13"/>
  <c r="A559" i="74" s="1"/>
  <c r="U59" i="13"/>
  <c r="BF167" i="31" s="1"/>
  <c r="O113" i="73"/>
  <c r="B406" i="74" s="1"/>
  <c r="U114" i="72"/>
  <c r="B288" i="74" s="1"/>
  <c r="O107" i="73"/>
  <c r="B400" i="74" s="1"/>
  <c r="U108" i="72"/>
  <c r="B282" i="74" s="1"/>
  <c r="O52" i="73"/>
  <c r="B346" i="74" s="1"/>
  <c r="U53" i="72"/>
  <c r="B228" i="74" s="1"/>
  <c r="U85" i="72"/>
  <c r="B260" i="74" s="1"/>
  <c r="O84" i="73"/>
  <c r="B378" i="74" s="1"/>
  <c r="V49" i="13"/>
  <c r="A549" i="74" s="1"/>
  <c r="V65" i="13"/>
  <c r="A565" i="74" s="1"/>
  <c r="V35" i="13"/>
  <c r="A535" i="74" s="1"/>
  <c r="U35" i="13"/>
  <c r="BF89" i="31" s="1"/>
  <c r="V29" i="13"/>
  <c r="A529" i="74" s="1"/>
  <c r="U29" i="13"/>
  <c r="BF71" i="31" s="1"/>
  <c r="B31" i="74"/>
  <c r="B22" i="74"/>
  <c r="C7" i="17"/>
  <c r="AA4" i="11"/>
  <c r="V55" i="13"/>
  <c r="A555" i="74" s="1"/>
  <c r="U55" i="13"/>
  <c r="BF151" i="31" s="1"/>
  <c r="V44" i="13"/>
  <c r="A544" i="74" s="1"/>
  <c r="J15" i="31"/>
  <c r="O6" i="73"/>
  <c r="B300" i="74" s="1"/>
  <c r="U6" i="72"/>
  <c r="B181" i="74" s="1"/>
  <c r="O41" i="73"/>
  <c r="B335" i="74" s="1"/>
  <c r="U42" i="72"/>
  <c r="B217" i="74" s="1"/>
  <c r="O55" i="73"/>
  <c r="B349" i="74" s="1"/>
  <c r="U56" i="72"/>
  <c r="B231" i="74" s="1"/>
  <c r="V24" i="13"/>
  <c r="A524" i="74" s="1"/>
  <c r="V15" i="13"/>
  <c r="A515" i="74" s="1"/>
  <c r="J16" i="31"/>
  <c r="O7" i="73"/>
  <c r="B301" i="74" s="1"/>
  <c r="U7" i="72"/>
  <c r="B182" i="74" s="1"/>
  <c r="F4" i="25"/>
  <c r="C5" i="74" s="1"/>
  <c r="C68" i="74"/>
  <c r="F13" i="25"/>
  <c r="C14" i="74" s="1"/>
  <c r="F14" i="24"/>
  <c r="Q6" i="10"/>
  <c r="O86" i="73"/>
  <c r="B380" i="74" s="1"/>
  <c r="U87" i="72"/>
  <c r="B262" i="74" s="1"/>
  <c r="V18" i="13"/>
  <c r="A518" i="74" s="1"/>
  <c r="U18" i="13"/>
  <c r="BF43" i="31" s="1"/>
  <c r="J19" i="31"/>
  <c r="O9" i="73"/>
  <c r="B303" i="74" s="1"/>
  <c r="U9" i="72"/>
  <c r="B184" i="74" s="1"/>
  <c r="V5" i="13"/>
  <c r="A505" i="74" s="1"/>
  <c r="B505" i="74"/>
  <c r="O116" i="73"/>
  <c r="B409" i="74" s="1"/>
  <c r="U117" i="72"/>
  <c r="B291" i="74" s="1"/>
  <c r="V4" i="10"/>
  <c r="C65" i="74"/>
  <c r="O97" i="73"/>
  <c r="B391" i="74" s="1"/>
  <c r="U98" i="72"/>
  <c r="B273" i="74" s="1"/>
  <c r="J129" i="31"/>
  <c r="O72" i="73"/>
  <c r="B366" i="74" s="1"/>
  <c r="U73" i="72"/>
  <c r="B248" i="74" s="1"/>
  <c r="E2" i="20"/>
  <c r="B45" i="74" s="1"/>
  <c r="U23" i="13"/>
  <c r="BF53" i="31" s="1"/>
  <c r="O73" i="73"/>
  <c r="B367" i="74" s="1"/>
  <c r="U74" i="72"/>
  <c r="B249" i="74" s="1"/>
  <c r="O108" i="73"/>
  <c r="B401" i="74" s="1"/>
  <c r="U109" i="72"/>
  <c r="B283" i="74" s="1"/>
  <c r="V51" i="13"/>
  <c r="A551" i="74" s="1"/>
  <c r="O88" i="73"/>
  <c r="B382" i="74" s="1"/>
  <c r="U89" i="72"/>
  <c r="B264" i="74" s="1"/>
  <c r="U77" i="72"/>
  <c r="B252" i="74" s="1"/>
  <c r="O76" i="73"/>
  <c r="B370" i="74" s="1"/>
  <c r="O83" i="73"/>
  <c r="B377" i="74" s="1"/>
  <c r="U84" i="72"/>
  <c r="B259" i="74" s="1"/>
  <c r="O117" i="73"/>
  <c r="B410" i="74" s="1"/>
  <c r="U118" i="72"/>
  <c r="B292" i="74" s="1"/>
  <c r="O82" i="73"/>
  <c r="B376" i="74" s="1"/>
  <c r="U83" i="72"/>
  <c r="B258" i="74" s="1"/>
  <c r="U53" i="13"/>
  <c r="BF148" i="31" s="1"/>
  <c r="V53" i="13"/>
  <c r="A553" i="74" s="1"/>
  <c r="O13" i="73"/>
  <c r="B307" i="74" s="1"/>
  <c r="U14" i="72"/>
  <c r="B189" i="74" s="1"/>
  <c r="B23" i="74"/>
  <c r="E10" i="20"/>
  <c r="C10" i="21"/>
  <c r="AC5" i="15"/>
  <c r="B80" i="74" s="1"/>
  <c r="B72" i="74"/>
  <c r="V40" i="13"/>
  <c r="A540" i="74" s="1"/>
  <c r="V8" i="13"/>
  <c r="A508" i="74" s="1"/>
  <c r="C14" i="25"/>
  <c r="E14" i="25" s="1"/>
  <c r="B15" i="74" s="1"/>
  <c r="O68" i="73"/>
  <c r="B362" i="74" s="1"/>
  <c r="U69" i="72"/>
  <c r="B244" i="74" s="1"/>
  <c r="V9" i="13"/>
  <c r="A509" i="74" s="1"/>
  <c r="F4" i="24"/>
  <c r="V5" i="10"/>
  <c r="C66" i="74"/>
  <c r="F15" i="24"/>
  <c r="O12" i="73"/>
  <c r="B306" i="74" s="1"/>
  <c r="U13" i="72"/>
  <c r="B188" i="74" s="1"/>
  <c r="V10" i="13"/>
  <c r="A510" i="74" s="1"/>
  <c r="U10" i="13"/>
  <c r="BF19" i="31" s="1"/>
  <c r="V66" i="13"/>
  <c r="A566" i="74" s="1"/>
  <c r="V16" i="13"/>
  <c r="A516" i="74" s="1"/>
  <c r="I80" i="13"/>
  <c r="I78" i="13"/>
  <c r="I79" i="13"/>
  <c r="I81" i="13"/>
  <c r="F4" i="18"/>
  <c r="B4" i="18"/>
  <c r="F7" i="18"/>
  <c r="B7" i="18"/>
  <c r="L5" i="18"/>
  <c r="B94" i="74" s="1"/>
  <c r="M7" i="18"/>
  <c r="C96" i="74" s="1"/>
  <c r="L2" i="18"/>
  <c r="B91" i="74" s="1"/>
  <c r="M5" i="18"/>
  <c r="C94" i="74" s="1"/>
  <c r="L4" i="18"/>
  <c r="B93" i="74" s="1"/>
  <c r="Y7" i="15"/>
  <c r="EE3" i="23"/>
  <c r="T9" i="15"/>
  <c r="Y4" i="15"/>
  <c r="T6" i="15"/>
  <c r="EB3" i="23"/>
  <c r="T5" i="15"/>
  <c r="Y3" i="15"/>
  <c r="EA3" i="23"/>
  <c r="Z9" i="15"/>
  <c r="U11" i="15"/>
  <c r="Y2" i="15"/>
  <c r="DZ3" i="23"/>
  <c r="T4" i="15"/>
  <c r="Y9" i="15"/>
  <c r="EG3" i="23"/>
  <c r="Y5" i="15"/>
  <c r="T7" i="15"/>
  <c r="EC3" i="23"/>
  <c r="S11" i="15"/>
  <c r="EF3" i="23"/>
  <c r="Y8" i="15"/>
  <c r="U7" i="15"/>
  <c r="U10" i="15"/>
  <c r="Z8" i="15"/>
  <c r="S10" i="15"/>
  <c r="S6" i="15"/>
  <c r="X4" i="15"/>
  <c r="T11" i="15"/>
  <c r="Z4" i="15"/>
  <c r="U6" i="15"/>
  <c r="U13" i="15" s="1"/>
  <c r="R13" i="15" s="1"/>
  <c r="S4" i="15"/>
  <c r="S13" i="15" s="1"/>
  <c r="P13" i="15" s="1"/>
  <c r="S6" i="11"/>
  <c r="S9" i="11"/>
  <c r="T13" i="11"/>
  <c r="Q13" i="11" s="1"/>
  <c r="S8" i="11"/>
  <c r="S7" i="11"/>
  <c r="S13" i="11"/>
  <c r="P13" i="11" s="1"/>
  <c r="V3" i="31"/>
  <c r="K6" i="20"/>
  <c r="F7" i="21"/>
  <c r="C59" i="74" s="1"/>
  <c r="J5" i="20"/>
  <c r="E6" i="21"/>
  <c r="B58" i="74" s="1"/>
  <c r="K9" i="20"/>
  <c r="F10" i="21"/>
  <c r="C62" i="74" s="1"/>
  <c r="E3" i="21"/>
  <c r="B55" i="74" s="1"/>
  <c r="J3" i="20"/>
  <c r="K8" i="20"/>
  <c r="F9" i="21"/>
  <c r="C61" i="74" s="1"/>
  <c r="F2" i="21"/>
  <c r="C54" i="74" s="1"/>
  <c r="J8" i="20"/>
  <c r="E9" i="21"/>
  <c r="B61" i="74" s="1"/>
  <c r="A56" i="123" l="1"/>
  <c r="B54" i="123"/>
  <c r="E53" i="123"/>
  <c r="H53" i="123"/>
  <c r="G53" i="123"/>
  <c r="F53" i="123"/>
  <c r="A56" i="120"/>
  <c r="A56" i="117"/>
  <c r="G97" i="49"/>
  <c r="P72" i="49"/>
  <c r="Q92" i="49" s="1"/>
  <c r="P75" i="49"/>
  <c r="U92" i="49" s="1"/>
  <c r="P74" i="49"/>
  <c r="S92" i="49" s="1"/>
  <c r="U74" i="49"/>
  <c r="S97" i="49" s="1"/>
  <c r="U75" i="49"/>
  <c r="U97" i="49" s="1"/>
  <c r="R75" i="49"/>
  <c r="U94" i="49" s="1"/>
  <c r="R74" i="49"/>
  <c r="S94" i="49" s="1"/>
  <c r="V74" i="49"/>
  <c r="S98" i="49" s="1"/>
  <c r="V75" i="49"/>
  <c r="U98" i="49" s="1"/>
  <c r="GF203" i="23"/>
  <c r="GF204" i="23" s="1"/>
  <c r="GE203" i="23"/>
  <c r="GE204" i="23" s="1"/>
  <c r="GD203" i="23"/>
  <c r="GD204" i="23" s="1"/>
  <c r="GC203" i="23"/>
  <c r="GC204" i="23" s="1"/>
  <c r="AM118" i="31" s="1"/>
  <c r="GB203" i="23"/>
  <c r="GB204" i="23" s="1"/>
  <c r="GA203" i="23"/>
  <c r="GA204" i="23" s="1"/>
  <c r="FZ203" i="23"/>
  <c r="FZ204" i="23" s="1"/>
  <c r="AM99" i="31" s="1"/>
  <c r="AM145" i="31"/>
  <c r="AM21" i="31"/>
  <c r="BG22" i="71"/>
  <c r="BG24" i="71" s="1"/>
  <c r="BG23" i="71"/>
  <c r="BR22" i="71"/>
  <c r="BR24" i="71" s="1"/>
  <c r="BR23" i="71"/>
  <c r="BE21" i="71"/>
  <c r="BI21" i="71"/>
  <c r="BN21" i="71"/>
  <c r="BS21" i="71"/>
  <c r="BB21" i="71"/>
  <c r="BA21" i="71"/>
  <c r="BO21" i="71"/>
  <c r="BD21" i="71"/>
  <c r="BQ21" i="71"/>
  <c r="BL21" i="71"/>
  <c r="BP21" i="71"/>
  <c r="BJ21" i="71"/>
  <c r="BC21" i="71"/>
  <c r="AZ21" i="71"/>
  <c r="BK21" i="71"/>
  <c r="BH21" i="71"/>
  <c r="G42" i="110"/>
  <c r="H42" i="110"/>
  <c r="F42" i="110"/>
  <c r="H22" i="110"/>
  <c r="G22" i="110"/>
  <c r="EA21" i="71"/>
  <c r="ED21" i="71"/>
  <c r="EB21" i="71"/>
  <c r="DI22" i="71"/>
  <c r="DY21" i="71"/>
  <c r="DB21" i="71"/>
  <c r="DC22" i="71" s="1"/>
  <c r="CZ21" i="71"/>
  <c r="DA22" i="71" s="1"/>
  <c r="CX21" i="71"/>
  <c r="CY22" i="71" s="1"/>
  <c r="DJ21" i="71"/>
  <c r="DK22" i="71" s="1"/>
  <c r="DH21" i="71"/>
  <c r="DF21" i="71"/>
  <c r="DG22" i="71" s="1"/>
  <c r="DD21" i="71"/>
  <c r="DE22" i="71" s="1"/>
  <c r="EE21" i="71"/>
  <c r="DZ21" i="71"/>
  <c r="EF21" i="71"/>
  <c r="P44" i="110"/>
  <c r="D44" i="110"/>
  <c r="I44" i="110"/>
  <c r="O44" i="110"/>
  <c r="C44" i="110"/>
  <c r="N44" i="110"/>
  <c r="M44" i="110"/>
  <c r="J44" i="110"/>
  <c r="L44" i="110"/>
  <c r="K44" i="110"/>
  <c r="A45" i="110"/>
  <c r="B43" i="110"/>
  <c r="F22" i="110"/>
  <c r="E22" i="110"/>
  <c r="M22" i="1"/>
  <c r="C29" i="93"/>
  <c r="C29" i="95"/>
  <c r="C29" i="94"/>
  <c r="C29" i="92"/>
  <c r="AI48" i="2"/>
  <c r="K20" i="39"/>
  <c r="E8" i="20"/>
  <c r="B51" i="74" s="1"/>
  <c r="AH502" i="31"/>
  <c r="AR330" i="31"/>
  <c r="Z390" i="31"/>
  <c r="AJ218" i="31"/>
  <c r="AF390" i="31"/>
  <c r="AP218" i="31"/>
  <c r="AA391" i="31"/>
  <c r="AK219" i="31"/>
  <c r="AI388" i="31"/>
  <c r="AS216" i="31"/>
  <c r="AC496" i="31"/>
  <c r="AM324" i="31"/>
  <c r="AH400" i="31"/>
  <c r="AR228" i="31"/>
  <c r="AH422" i="31"/>
  <c r="AR250" i="31"/>
  <c r="AC470" i="31"/>
  <c r="AM298" i="31"/>
  <c r="AF425" i="31"/>
  <c r="AP253" i="31"/>
  <c r="AD425" i="31"/>
  <c r="AN253" i="31"/>
  <c r="AA465" i="31"/>
  <c r="AK293" i="31"/>
  <c r="AG465" i="31"/>
  <c r="AQ293" i="31"/>
  <c r="AG440" i="31"/>
  <c r="AQ268" i="31"/>
  <c r="AB521" i="31"/>
  <c r="AL349" i="31"/>
  <c r="AF521" i="31"/>
  <c r="AP349" i="31"/>
  <c r="AB480" i="31"/>
  <c r="AL308" i="31"/>
  <c r="AA430" i="31"/>
  <c r="AK258" i="31"/>
  <c r="S331" i="31"/>
  <c r="AC331" i="31" s="1"/>
  <c r="P331" i="31"/>
  <c r="Z331" i="31" s="1"/>
  <c r="U331" i="31"/>
  <c r="AE331" i="31" s="1"/>
  <c r="X331" i="31"/>
  <c r="AH331" i="31" s="1"/>
  <c r="T331" i="31"/>
  <c r="AD331" i="31" s="1"/>
  <c r="Q331" i="31"/>
  <c r="AA331" i="31" s="1"/>
  <c r="R331" i="31"/>
  <c r="AB331" i="31" s="1"/>
  <c r="W331" i="31"/>
  <c r="AG331" i="31" s="1"/>
  <c r="V331" i="31"/>
  <c r="AF331" i="31" s="1"/>
  <c r="Y331" i="31"/>
  <c r="AI331" i="31" s="1"/>
  <c r="AD519" i="31"/>
  <c r="AN347" i="31"/>
  <c r="V296" i="31"/>
  <c r="AF296" i="31" s="1"/>
  <c r="R296" i="31"/>
  <c r="AB296" i="31" s="1"/>
  <c r="U296" i="31"/>
  <c r="AE296" i="31" s="1"/>
  <c r="Q296" i="31"/>
  <c r="AA296" i="31" s="1"/>
  <c r="T296" i="31"/>
  <c r="AD296" i="31" s="1"/>
  <c r="W296" i="31"/>
  <c r="AG296" i="31" s="1"/>
  <c r="X296" i="31"/>
  <c r="AH296" i="31" s="1"/>
  <c r="S296" i="31"/>
  <c r="AC296" i="31" s="1"/>
  <c r="Y296" i="31"/>
  <c r="AI296" i="31" s="1"/>
  <c r="P296" i="31"/>
  <c r="Z296" i="31" s="1"/>
  <c r="R210" i="31"/>
  <c r="AB210" i="31" s="1"/>
  <c r="Q210" i="31"/>
  <c r="AA210" i="31" s="1"/>
  <c r="X210" i="31"/>
  <c r="AH210" i="31" s="1"/>
  <c r="P210" i="31"/>
  <c r="Z210" i="31" s="1"/>
  <c r="Y210" i="31"/>
  <c r="AI210" i="31" s="1"/>
  <c r="S210" i="31"/>
  <c r="AC210" i="31" s="1"/>
  <c r="T210" i="31"/>
  <c r="AD210" i="31" s="1"/>
  <c r="W210" i="31"/>
  <c r="AG210" i="31" s="1"/>
  <c r="U210" i="31"/>
  <c r="AE210" i="31" s="1"/>
  <c r="V210" i="31"/>
  <c r="AF210" i="31" s="1"/>
  <c r="AA403" i="31"/>
  <c r="AK231" i="31"/>
  <c r="AC385" i="31"/>
  <c r="AM213" i="31"/>
  <c r="AC451" i="31"/>
  <c r="AM279" i="31"/>
  <c r="AF451" i="31"/>
  <c r="AP279" i="31"/>
  <c r="Z415" i="31"/>
  <c r="AJ243" i="31"/>
  <c r="AG387" i="31"/>
  <c r="AQ215" i="31"/>
  <c r="AG393" i="31"/>
  <c r="AQ221" i="31"/>
  <c r="AD472" i="31"/>
  <c r="AN300" i="31"/>
  <c r="AB450" i="31"/>
  <c r="AL278" i="31"/>
  <c r="AD450" i="31"/>
  <c r="AN278" i="31"/>
  <c r="AI524" i="31"/>
  <c r="AS352" i="31"/>
  <c r="AC414" i="31"/>
  <c r="AM242" i="31"/>
  <c r="AC520" i="31"/>
  <c r="AM348" i="31"/>
  <c r="AA481" i="31"/>
  <c r="AK309" i="31"/>
  <c r="AC523" i="31"/>
  <c r="AM351" i="31"/>
  <c r="Z523" i="31"/>
  <c r="AJ351" i="31"/>
  <c r="AG550" i="31"/>
  <c r="AQ378" i="31"/>
  <c r="AI550" i="31"/>
  <c r="AS378" i="31"/>
  <c r="AI494" i="31"/>
  <c r="AS322" i="31"/>
  <c r="AE443" i="31"/>
  <c r="AO271" i="31"/>
  <c r="AI445" i="31"/>
  <c r="AS273" i="31"/>
  <c r="AD445" i="31"/>
  <c r="AN273" i="31"/>
  <c r="AG447" i="31"/>
  <c r="AQ275" i="31"/>
  <c r="Z447" i="31"/>
  <c r="AJ275" i="31"/>
  <c r="AA515" i="31"/>
  <c r="AK343" i="31"/>
  <c r="AD389" i="31"/>
  <c r="AN217" i="31"/>
  <c r="W284" i="31"/>
  <c r="AG284" i="31" s="1"/>
  <c r="S284" i="31"/>
  <c r="AC284" i="31" s="1"/>
  <c r="R284" i="31"/>
  <c r="AB284" i="31" s="1"/>
  <c r="P284" i="31"/>
  <c r="Z284" i="31" s="1"/>
  <c r="X284" i="31"/>
  <c r="AH284" i="31" s="1"/>
  <c r="T284" i="31"/>
  <c r="AD284" i="31" s="1"/>
  <c r="Q284" i="31"/>
  <c r="AA284" i="31" s="1"/>
  <c r="U284" i="31"/>
  <c r="AE284" i="31" s="1"/>
  <c r="V284" i="31"/>
  <c r="AF284" i="31" s="1"/>
  <c r="Y284" i="31"/>
  <c r="AI284" i="31" s="1"/>
  <c r="AA408" i="31"/>
  <c r="AK236" i="31"/>
  <c r="V214" i="31"/>
  <c r="AF214" i="31" s="1"/>
  <c r="U214" i="31"/>
  <c r="AE214" i="31" s="1"/>
  <c r="T214" i="31"/>
  <c r="AD214" i="31" s="1"/>
  <c r="X214" i="31"/>
  <c r="AH214" i="31" s="1"/>
  <c r="S214" i="31"/>
  <c r="AC214" i="31" s="1"/>
  <c r="R214" i="31"/>
  <c r="AB214" i="31" s="1"/>
  <c r="Q214" i="31"/>
  <c r="AA214" i="31" s="1"/>
  <c r="Y214" i="31"/>
  <c r="AI214" i="31" s="1"/>
  <c r="P214" i="31"/>
  <c r="Z214" i="31" s="1"/>
  <c r="W214" i="31"/>
  <c r="AG214" i="31" s="1"/>
  <c r="X335" i="31"/>
  <c r="AH335" i="31" s="1"/>
  <c r="V335" i="31"/>
  <c r="AF335" i="31" s="1"/>
  <c r="P335" i="31"/>
  <c r="Z335" i="31" s="1"/>
  <c r="Q335" i="31"/>
  <c r="AA335" i="31" s="1"/>
  <c r="U335" i="31"/>
  <c r="AE335" i="31" s="1"/>
  <c r="W335" i="31"/>
  <c r="AG335" i="31" s="1"/>
  <c r="Y335" i="31"/>
  <c r="AI335" i="31" s="1"/>
  <c r="T335" i="31"/>
  <c r="AD335" i="31" s="1"/>
  <c r="S335" i="31"/>
  <c r="AC335" i="31" s="1"/>
  <c r="R335" i="31"/>
  <c r="AB335" i="31" s="1"/>
  <c r="AF509" i="31"/>
  <c r="AP337" i="31"/>
  <c r="AE448" i="31"/>
  <c r="AO276" i="31"/>
  <c r="AG448" i="31"/>
  <c r="AQ276" i="31"/>
  <c r="AD442" i="31"/>
  <c r="AN270" i="31"/>
  <c r="AE492" i="31"/>
  <c r="AO320" i="31"/>
  <c r="Z492" i="31"/>
  <c r="AJ320" i="31"/>
  <c r="AE541" i="31"/>
  <c r="AO369" i="31"/>
  <c r="AA473" i="31"/>
  <c r="AK301" i="31"/>
  <c r="AA510" i="31"/>
  <c r="AK338" i="31"/>
  <c r="AI424" i="31"/>
  <c r="AS252" i="31"/>
  <c r="AG426" i="31"/>
  <c r="AQ254" i="31"/>
  <c r="AF426" i="31"/>
  <c r="AP254" i="31"/>
  <c r="AH474" i="31"/>
  <c r="AR302" i="31"/>
  <c r="AH462" i="31"/>
  <c r="AR290" i="31"/>
  <c r="AA484" i="31"/>
  <c r="AK312" i="31"/>
  <c r="AB439" i="31"/>
  <c r="AL267" i="31"/>
  <c r="AF381" i="31"/>
  <c r="AP209" i="31"/>
  <c r="AA513" i="31"/>
  <c r="AK341" i="31"/>
  <c r="AA485" i="31"/>
  <c r="AK313" i="31"/>
  <c r="AH488" i="31"/>
  <c r="AR316" i="31"/>
  <c r="AB544" i="31"/>
  <c r="AL372" i="31"/>
  <c r="AF544" i="31"/>
  <c r="AP372" i="31"/>
  <c r="BP212" i="31"/>
  <c r="AC538" i="31"/>
  <c r="AM366" i="31"/>
  <c r="AH399" i="31"/>
  <c r="AR227" i="31"/>
  <c r="AC399" i="31"/>
  <c r="AM227" i="31"/>
  <c r="AE506" i="31"/>
  <c r="AO334" i="31"/>
  <c r="AC441" i="31"/>
  <c r="AM269" i="31"/>
  <c r="AI469" i="31"/>
  <c r="AS297" i="31"/>
  <c r="S342" i="31"/>
  <c r="AC342" i="31" s="1"/>
  <c r="R342" i="31"/>
  <c r="AB342" i="31" s="1"/>
  <c r="P342" i="31"/>
  <c r="Z342" i="31" s="1"/>
  <c r="W342" i="31"/>
  <c r="AG342" i="31" s="1"/>
  <c r="X342" i="31"/>
  <c r="AH342" i="31" s="1"/>
  <c r="T342" i="31"/>
  <c r="AD342" i="31" s="1"/>
  <c r="V342" i="31"/>
  <c r="AF342" i="31" s="1"/>
  <c r="U342" i="31"/>
  <c r="AE342" i="31" s="1"/>
  <c r="Q342" i="31"/>
  <c r="AA342" i="31" s="1"/>
  <c r="Y342" i="31"/>
  <c r="AI342" i="31" s="1"/>
  <c r="AF398" i="31"/>
  <c r="AP226" i="31"/>
  <c r="AC502" i="31"/>
  <c r="AM330" i="31"/>
  <c r="AA390" i="31"/>
  <c r="AK218" i="31"/>
  <c r="X255" i="31"/>
  <c r="AH255" i="31" s="1"/>
  <c r="T255" i="31"/>
  <c r="AD255" i="31" s="1"/>
  <c r="W255" i="31"/>
  <c r="AG255" i="31" s="1"/>
  <c r="R255" i="31"/>
  <c r="AB255" i="31" s="1"/>
  <c r="S255" i="31"/>
  <c r="AC255" i="31" s="1"/>
  <c r="P255" i="31"/>
  <c r="Z255" i="31" s="1"/>
  <c r="U255" i="31"/>
  <c r="AE255" i="31" s="1"/>
  <c r="Q255" i="31"/>
  <c r="AA255" i="31" s="1"/>
  <c r="V255" i="31"/>
  <c r="AF255" i="31" s="1"/>
  <c r="Y255" i="31"/>
  <c r="AI255" i="31" s="1"/>
  <c r="AI391" i="31"/>
  <c r="AS219" i="31"/>
  <c r="Z388" i="31"/>
  <c r="AJ216" i="31"/>
  <c r="AD496" i="31"/>
  <c r="AN324" i="31"/>
  <c r="AF400" i="31"/>
  <c r="AP228" i="31"/>
  <c r="AI400" i="31"/>
  <c r="AS228" i="31"/>
  <c r="AA422" i="31"/>
  <c r="AK250" i="31"/>
  <c r="R260" i="31"/>
  <c r="AB260" i="31" s="1"/>
  <c r="T260" i="31"/>
  <c r="AD260" i="31" s="1"/>
  <c r="U260" i="31"/>
  <c r="AE260" i="31" s="1"/>
  <c r="P260" i="31"/>
  <c r="Z260" i="31" s="1"/>
  <c r="W260" i="31"/>
  <c r="AG260" i="31" s="1"/>
  <c r="X260" i="31"/>
  <c r="AH260" i="31" s="1"/>
  <c r="S260" i="31"/>
  <c r="AC260" i="31" s="1"/>
  <c r="V260" i="31"/>
  <c r="AF260" i="31" s="1"/>
  <c r="Q260" i="31"/>
  <c r="AA260" i="31" s="1"/>
  <c r="Y260" i="31"/>
  <c r="AI260" i="31" s="1"/>
  <c r="S375" i="31"/>
  <c r="AC375" i="31" s="1"/>
  <c r="P375" i="31"/>
  <c r="Z375" i="31" s="1"/>
  <c r="Y375" i="31"/>
  <c r="AI375" i="31" s="1"/>
  <c r="T375" i="31"/>
  <c r="AD375" i="31" s="1"/>
  <c r="Q375" i="31"/>
  <c r="AA375" i="31" s="1"/>
  <c r="R375" i="31"/>
  <c r="AB375" i="31" s="1"/>
  <c r="X375" i="31"/>
  <c r="AH375" i="31" s="1"/>
  <c r="U375" i="31"/>
  <c r="AE375" i="31" s="1"/>
  <c r="V375" i="31"/>
  <c r="AF375" i="31" s="1"/>
  <c r="W375" i="31"/>
  <c r="AG375" i="31" s="1"/>
  <c r="Z470" i="31"/>
  <c r="AJ298" i="31"/>
  <c r="AC425" i="31"/>
  <c r="AM253" i="31"/>
  <c r="W280" i="31"/>
  <c r="AG280" i="31" s="1"/>
  <c r="R280" i="31"/>
  <c r="AB280" i="31" s="1"/>
  <c r="P280" i="31"/>
  <c r="Z280" i="31" s="1"/>
  <c r="X280" i="31"/>
  <c r="AH280" i="31" s="1"/>
  <c r="T280" i="31"/>
  <c r="AD280" i="31" s="1"/>
  <c r="S280" i="31"/>
  <c r="AC280" i="31" s="1"/>
  <c r="U280" i="31"/>
  <c r="AE280" i="31" s="1"/>
  <c r="Q280" i="31"/>
  <c r="AA280" i="31" s="1"/>
  <c r="Y280" i="31"/>
  <c r="AI280" i="31" s="1"/>
  <c r="V280" i="31"/>
  <c r="AF280" i="31" s="1"/>
  <c r="AF465" i="31"/>
  <c r="AP293" i="31"/>
  <c r="X288" i="31"/>
  <c r="AH288" i="31" s="1"/>
  <c r="V288" i="31"/>
  <c r="AF288" i="31" s="1"/>
  <c r="R288" i="31"/>
  <c r="AB288" i="31" s="1"/>
  <c r="Q288" i="31"/>
  <c r="AA288" i="31" s="1"/>
  <c r="P288" i="31"/>
  <c r="Z288" i="31" s="1"/>
  <c r="Y288" i="31"/>
  <c r="AI288" i="31" s="1"/>
  <c r="W288" i="31"/>
  <c r="AG288" i="31" s="1"/>
  <c r="U288" i="31"/>
  <c r="AE288" i="31" s="1"/>
  <c r="T288" i="31"/>
  <c r="AD288" i="31" s="1"/>
  <c r="S288" i="31"/>
  <c r="AC288" i="31" s="1"/>
  <c r="AH440" i="31"/>
  <c r="AR268" i="31"/>
  <c r="AD521" i="31"/>
  <c r="AN349" i="31"/>
  <c r="AG480" i="31"/>
  <c r="AQ308" i="31"/>
  <c r="AF480" i="31"/>
  <c r="AP308" i="31"/>
  <c r="Y237" i="31"/>
  <c r="AI237" i="31" s="1"/>
  <c r="S237" i="31"/>
  <c r="AC237" i="31" s="1"/>
  <c r="R237" i="31"/>
  <c r="AB237" i="31" s="1"/>
  <c r="U237" i="31"/>
  <c r="AE237" i="31" s="1"/>
  <c r="P237" i="31"/>
  <c r="Z237" i="31" s="1"/>
  <c r="X237" i="31"/>
  <c r="AH237" i="31" s="1"/>
  <c r="W237" i="31"/>
  <c r="AG237" i="31" s="1"/>
  <c r="T237" i="31"/>
  <c r="AD237" i="31" s="1"/>
  <c r="Q237" i="31"/>
  <c r="AA237" i="31" s="1"/>
  <c r="V237" i="31"/>
  <c r="AF237" i="31" s="1"/>
  <c r="Z430" i="31"/>
  <c r="AJ258" i="31"/>
  <c r="T211" i="31"/>
  <c r="AD211" i="31" s="1"/>
  <c r="X211" i="31"/>
  <c r="AH211" i="31" s="1"/>
  <c r="W211" i="31"/>
  <c r="AG211" i="31" s="1"/>
  <c r="R211" i="31"/>
  <c r="AB211" i="31" s="1"/>
  <c r="P211" i="31"/>
  <c r="Z211" i="31" s="1"/>
  <c r="S211" i="31"/>
  <c r="AC211" i="31" s="1"/>
  <c r="U211" i="31"/>
  <c r="AE211" i="31" s="1"/>
  <c r="V211" i="31"/>
  <c r="AF211" i="31" s="1"/>
  <c r="Q211" i="31"/>
  <c r="AA211" i="31" s="1"/>
  <c r="Y211" i="31"/>
  <c r="AI211" i="31" s="1"/>
  <c r="AB519" i="31"/>
  <c r="AL347" i="31"/>
  <c r="AH403" i="31"/>
  <c r="AR231" i="31"/>
  <c r="Q362" i="31"/>
  <c r="AA362" i="31" s="1"/>
  <c r="Y362" i="31"/>
  <c r="AI362" i="31" s="1"/>
  <c r="T362" i="31"/>
  <c r="AD362" i="31" s="1"/>
  <c r="U362" i="31"/>
  <c r="AE362" i="31" s="1"/>
  <c r="X362" i="31"/>
  <c r="AH362" i="31" s="1"/>
  <c r="W362" i="31"/>
  <c r="AG362" i="31" s="1"/>
  <c r="V362" i="31"/>
  <c r="AF362" i="31" s="1"/>
  <c r="S362" i="31"/>
  <c r="AC362" i="31" s="1"/>
  <c r="R362" i="31"/>
  <c r="AB362" i="31" s="1"/>
  <c r="P362" i="31"/>
  <c r="Z362" i="31" s="1"/>
  <c r="AH385" i="31"/>
  <c r="AR213" i="31"/>
  <c r="AI451" i="31"/>
  <c r="AS279" i="31"/>
  <c r="W286" i="31"/>
  <c r="AG286" i="31" s="1"/>
  <c r="Y286" i="31"/>
  <c r="AI286" i="31" s="1"/>
  <c r="P286" i="31"/>
  <c r="Z286" i="31" s="1"/>
  <c r="T286" i="31"/>
  <c r="AD286" i="31" s="1"/>
  <c r="X286" i="31"/>
  <c r="AH286" i="31" s="1"/>
  <c r="S286" i="31"/>
  <c r="AC286" i="31" s="1"/>
  <c r="Q286" i="31"/>
  <c r="AA286" i="31" s="1"/>
  <c r="R286" i="31"/>
  <c r="AB286" i="31" s="1"/>
  <c r="V286" i="31"/>
  <c r="AF286" i="31" s="1"/>
  <c r="U286" i="31"/>
  <c r="AE286" i="31" s="1"/>
  <c r="AG415" i="31"/>
  <c r="AQ243" i="31"/>
  <c r="AD387" i="31"/>
  <c r="AN215" i="31"/>
  <c r="AD393" i="31"/>
  <c r="AN221" i="31"/>
  <c r="AH393" i="31"/>
  <c r="AR221" i="31"/>
  <c r="AE472" i="31"/>
  <c r="AO300" i="31"/>
  <c r="AI450" i="31"/>
  <c r="AS278" i="31"/>
  <c r="AH524" i="31"/>
  <c r="AR352" i="31"/>
  <c r="AA524" i="31"/>
  <c r="AK352" i="31"/>
  <c r="Z414" i="31"/>
  <c r="AJ242" i="31"/>
  <c r="W307" i="31"/>
  <c r="AG307" i="31" s="1"/>
  <c r="T307" i="31"/>
  <c r="AD307" i="31" s="1"/>
  <c r="S307" i="31"/>
  <c r="AC307" i="31" s="1"/>
  <c r="R307" i="31"/>
  <c r="AB307" i="31" s="1"/>
  <c r="X307" i="31"/>
  <c r="AH307" i="31" s="1"/>
  <c r="Q307" i="31"/>
  <c r="AA307" i="31" s="1"/>
  <c r="P307" i="31"/>
  <c r="Z307" i="31" s="1"/>
  <c r="Y307" i="31"/>
  <c r="AI307" i="31" s="1"/>
  <c r="U307" i="31"/>
  <c r="AE307" i="31" s="1"/>
  <c r="V307" i="31"/>
  <c r="AF307" i="31" s="1"/>
  <c r="AF520" i="31"/>
  <c r="AP348" i="31"/>
  <c r="AD481" i="31"/>
  <c r="AN309" i="31"/>
  <c r="AE523" i="31"/>
  <c r="AO351" i="31"/>
  <c r="S222" i="31"/>
  <c r="AC222" i="31" s="1"/>
  <c r="R222" i="31"/>
  <c r="AB222" i="31" s="1"/>
  <c r="Q222" i="31"/>
  <c r="AA222" i="31" s="1"/>
  <c r="Y222" i="31"/>
  <c r="AI222" i="31" s="1"/>
  <c r="U222" i="31"/>
  <c r="AE222" i="31" s="1"/>
  <c r="W222" i="31"/>
  <c r="AG222" i="31" s="1"/>
  <c r="T222" i="31"/>
  <c r="AD222" i="31" s="1"/>
  <c r="V222" i="31"/>
  <c r="AF222" i="31" s="1"/>
  <c r="X222" i="31"/>
  <c r="AH222" i="31" s="1"/>
  <c r="P222" i="31"/>
  <c r="Z222" i="31" s="1"/>
  <c r="Z550" i="31"/>
  <c r="AJ378" i="31"/>
  <c r="AG494" i="31"/>
  <c r="AQ322" i="31"/>
  <c r="AB494" i="31"/>
  <c r="AL322" i="31"/>
  <c r="W232" i="31"/>
  <c r="AG232" i="31" s="1"/>
  <c r="Q232" i="31"/>
  <c r="AA232" i="31" s="1"/>
  <c r="Y232" i="31"/>
  <c r="AI232" i="31" s="1"/>
  <c r="X232" i="31"/>
  <c r="AH232" i="31" s="1"/>
  <c r="U232" i="31"/>
  <c r="AE232" i="31" s="1"/>
  <c r="S232" i="31"/>
  <c r="AC232" i="31" s="1"/>
  <c r="R232" i="31"/>
  <c r="AB232" i="31" s="1"/>
  <c r="P232" i="31"/>
  <c r="Z232" i="31" s="1"/>
  <c r="V232" i="31"/>
  <c r="AF232" i="31" s="1"/>
  <c r="T232" i="31"/>
  <c r="AD232" i="31" s="1"/>
  <c r="AA443" i="31"/>
  <c r="AK271" i="31"/>
  <c r="AF445" i="31"/>
  <c r="AP273" i="31"/>
  <c r="S234" i="31"/>
  <c r="AC234" i="31" s="1"/>
  <c r="Y234" i="31"/>
  <c r="AI234" i="31" s="1"/>
  <c r="W234" i="31"/>
  <c r="AG234" i="31" s="1"/>
  <c r="U234" i="31"/>
  <c r="AE234" i="31" s="1"/>
  <c r="T234" i="31"/>
  <c r="AD234" i="31" s="1"/>
  <c r="Q234" i="31"/>
  <c r="AA234" i="31" s="1"/>
  <c r="P234" i="31"/>
  <c r="Z234" i="31" s="1"/>
  <c r="R234" i="31"/>
  <c r="AB234" i="31" s="1"/>
  <c r="X234" i="31"/>
  <c r="AH234" i="31" s="1"/>
  <c r="V234" i="31"/>
  <c r="AF234" i="31" s="1"/>
  <c r="T282" i="31"/>
  <c r="AD282" i="31" s="1"/>
  <c r="X282" i="31"/>
  <c r="AH282" i="31" s="1"/>
  <c r="P282" i="31"/>
  <c r="Z282" i="31" s="1"/>
  <c r="Q282" i="31"/>
  <c r="AA282" i="31" s="1"/>
  <c r="U282" i="31"/>
  <c r="AE282" i="31" s="1"/>
  <c r="Y282" i="31"/>
  <c r="AI282" i="31" s="1"/>
  <c r="R282" i="31"/>
  <c r="AB282" i="31" s="1"/>
  <c r="V282" i="31"/>
  <c r="AF282" i="31" s="1"/>
  <c r="S282" i="31"/>
  <c r="AC282" i="31" s="1"/>
  <c r="W282" i="31"/>
  <c r="AG282" i="31" s="1"/>
  <c r="AD447" i="31"/>
  <c r="AN275" i="31"/>
  <c r="AF447" i="31"/>
  <c r="AP275" i="31"/>
  <c r="AH515" i="31"/>
  <c r="AR343" i="31"/>
  <c r="Z389" i="31"/>
  <c r="AJ217" i="31"/>
  <c r="AB408" i="31"/>
  <c r="AL236" i="31"/>
  <c r="Z509" i="31"/>
  <c r="AJ337" i="31"/>
  <c r="AH448" i="31"/>
  <c r="AR276" i="31"/>
  <c r="AF448" i="31"/>
  <c r="AP276" i="31"/>
  <c r="Z442" i="31"/>
  <c r="AJ270" i="31"/>
  <c r="AC492" i="31"/>
  <c r="AM320" i="31"/>
  <c r="AB492" i="31"/>
  <c r="AL320" i="31"/>
  <c r="AH541" i="31"/>
  <c r="AR369" i="31"/>
  <c r="Z473" i="31"/>
  <c r="AJ301" i="31"/>
  <c r="AE510" i="31"/>
  <c r="AO338" i="31"/>
  <c r="W287" i="31"/>
  <c r="AG287" i="31" s="1"/>
  <c r="T287" i="31"/>
  <c r="AD287" i="31" s="1"/>
  <c r="R287" i="31"/>
  <c r="AB287" i="31" s="1"/>
  <c r="P287" i="31"/>
  <c r="Z287" i="31" s="1"/>
  <c r="Q287" i="31"/>
  <c r="AA287" i="31" s="1"/>
  <c r="U287" i="31"/>
  <c r="AE287" i="31" s="1"/>
  <c r="X287" i="31"/>
  <c r="AH287" i="31" s="1"/>
  <c r="V287" i="31"/>
  <c r="AF287" i="31" s="1"/>
  <c r="S287" i="31"/>
  <c r="AC287" i="31" s="1"/>
  <c r="Y287" i="31"/>
  <c r="AI287" i="31" s="1"/>
  <c r="AA424" i="31"/>
  <c r="AK252" i="31"/>
  <c r="AC426" i="31"/>
  <c r="AM254" i="31"/>
  <c r="X251" i="31"/>
  <c r="AH251" i="31" s="1"/>
  <c r="T251" i="31"/>
  <c r="AD251" i="31" s="1"/>
  <c r="Y251" i="31"/>
  <c r="AI251" i="31" s="1"/>
  <c r="V251" i="31"/>
  <c r="AF251" i="31" s="1"/>
  <c r="P251" i="31"/>
  <c r="Z251" i="31" s="1"/>
  <c r="W251" i="31"/>
  <c r="AG251" i="31" s="1"/>
  <c r="R251" i="31"/>
  <c r="AB251" i="31" s="1"/>
  <c r="S251" i="31"/>
  <c r="AC251" i="31" s="1"/>
  <c r="Q251" i="31"/>
  <c r="AA251" i="31" s="1"/>
  <c r="U251" i="31"/>
  <c r="AE251" i="31" s="1"/>
  <c r="AC474" i="31"/>
  <c r="AM302" i="31"/>
  <c r="S326" i="31"/>
  <c r="AC326" i="31" s="1"/>
  <c r="R326" i="31"/>
  <c r="AB326" i="31" s="1"/>
  <c r="U326" i="31"/>
  <c r="AE326" i="31" s="1"/>
  <c r="V326" i="31"/>
  <c r="AF326" i="31" s="1"/>
  <c r="T326" i="31"/>
  <c r="AD326" i="31" s="1"/>
  <c r="P326" i="31"/>
  <c r="Z326" i="31" s="1"/>
  <c r="W326" i="31"/>
  <c r="AG326" i="31" s="1"/>
  <c r="Y326" i="31"/>
  <c r="AI326" i="31" s="1"/>
  <c r="X326" i="31"/>
  <c r="AH326" i="31" s="1"/>
  <c r="Q326" i="31"/>
  <c r="AA326" i="31" s="1"/>
  <c r="AA462" i="31"/>
  <c r="AK290" i="31"/>
  <c r="AC484" i="31"/>
  <c r="AM312" i="31"/>
  <c r="Z439" i="31"/>
  <c r="AJ267" i="31"/>
  <c r="AD439" i="31"/>
  <c r="AN267" i="31"/>
  <c r="AA381" i="31"/>
  <c r="AK209" i="31"/>
  <c r="W223" i="31"/>
  <c r="AG223" i="31" s="1"/>
  <c r="Y223" i="31"/>
  <c r="AI223" i="31" s="1"/>
  <c r="P223" i="31"/>
  <c r="Z223" i="31" s="1"/>
  <c r="U223" i="31"/>
  <c r="AE223" i="31" s="1"/>
  <c r="X223" i="31"/>
  <c r="AH223" i="31" s="1"/>
  <c r="R223" i="31"/>
  <c r="AB223" i="31" s="1"/>
  <c r="S223" i="31"/>
  <c r="AC223" i="31" s="1"/>
  <c r="T223" i="31"/>
  <c r="AD223" i="31" s="1"/>
  <c r="V223" i="31"/>
  <c r="AF223" i="31" s="1"/>
  <c r="Q223" i="31"/>
  <c r="AA223" i="31" s="1"/>
  <c r="Z513" i="31"/>
  <c r="AJ341" i="31"/>
  <c r="AD485" i="31"/>
  <c r="AN313" i="31"/>
  <c r="AB488" i="31"/>
  <c r="AL316" i="31"/>
  <c r="AA488" i="31"/>
  <c r="AK316" i="31"/>
  <c r="AD544" i="31"/>
  <c r="AN372" i="31"/>
  <c r="V353" i="31"/>
  <c r="AF353" i="31" s="1"/>
  <c r="X353" i="31"/>
  <c r="AH353" i="31" s="1"/>
  <c r="W353" i="31"/>
  <c r="AG353" i="31" s="1"/>
  <c r="S353" i="31"/>
  <c r="AC353" i="31" s="1"/>
  <c r="R353" i="31"/>
  <c r="AB353" i="31" s="1"/>
  <c r="Q353" i="31"/>
  <c r="AA353" i="31" s="1"/>
  <c r="Y353" i="31"/>
  <c r="AI353" i="31" s="1"/>
  <c r="T353" i="31"/>
  <c r="AD353" i="31" s="1"/>
  <c r="P353" i="31"/>
  <c r="Z353" i="31" s="1"/>
  <c r="U353" i="31"/>
  <c r="AE353" i="31" s="1"/>
  <c r="V339" i="31"/>
  <c r="AF339" i="31" s="1"/>
  <c r="T339" i="31"/>
  <c r="AD339" i="31" s="1"/>
  <c r="R339" i="31"/>
  <c r="AB339" i="31" s="1"/>
  <c r="U339" i="31"/>
  <c r="AE339" i="31" s="1"/>
  <c r="Y339" i="31"/>
  <c r="AI339" i="31" s="1"/>
  <c r="X339" i="31"/>
  <c r="AH339" i="31" s="1"/>
  <c r="W339" i="31"/>
  <c r="AG339" i="31" s="1"/>
  <c r="S339" i="31"/>
  <c r="AC339" i="31" s="1"/>
  <c r="Q339" i="31"/>
  <c r="AA339" i="31" s="1"/>
  <c r="P339" i="31"/>
  <c r="Z339" i="31" s="1"/>
  <c r="BI212" i="31"/>
  <c r="BS212" i="31" s="1"/>
  <c r="W239" i="31"/>
  <c r="AG239" i="31" s="1"/>
  <c r="S239" i="31"/>
  <c r="AC239" i="31" s="1"/>
  <c r="X239" i="31"/>
  <c r="AH239" i="31" s="1"/>
  <c r="Q239" i="31"/>
  <c r="AA239" i="31" s="1"/>
  <c r="V239" i="31"/>
  <c r="AF239" i="31" s="1"/>
  <c r="Y239" i="31"/>
  <c r="AI239" i="31" s="1"/>
  <c r="U239" i="31"/>
  <c r="AE239" i="31" s="1"/>
  <c r="R239" i="31"/>
  <c r="AB239" i="31" s="1"/>
  <c r="P239" i="31"/>
  <c r="Z239" i="31" s="1"/>
  <c r="T239" i="31"/>
  <c r="AD239" i="31" s="1"/>
  <c r="AG538" i="31"/>
  <c r="AQ366" i="31"/>
  <c r="AF399" i="31"/>
  <c r="AP227" i="31"/>
  <c r="AG399" i="31"/>
  <c r="AQ227" i="31"/>
  <c r="AF506" i="31"/>
  <c r="AP334" i="31"/>
  <c r="AB441" i="31"/>
  <c r="AL269" i="31"/>
  <c r="AA469" i="31"/>
  <c r="AK297" i="31"/>
  <c r="AB398" i="31"/>
  <c r="AL226" i="31"/>
  <c r="AE502" i="31"/>
  <c r="AO330" i="31"/>
  <c r="AB390" i="31"/>
  <c r="AL218" i="31"/>
  <c r="AB391" i="31"/>
  <c r="AL219" i="31"/>
  <c r="AD388" i="31"/>
  <c r="AN216" i="31"/>
  <c r="AA388" i="31"/>
  <c r="AK216" i="31"/>
  <c r="AH496" i="31"/>
  <c r="AR324" i="31"/>
  <c r="AB400" i="31"/>
  <c r="AL228" i="31"/>
  <c r="AG400" i="31"/>
  <c r="AQ228" i="31"/>
  <c r="Z422" i="31"/>
  <c r="AJ250" i="31"/>
  <c r="AE470" i="31"/>
  <c r="AO298" i="31"/>
  <c r="AE425" i="31"/>
  <c r="AO253" i="31"/>
  <c r="AE465" i="31"/>
  <c r="AO293" i="31"/>
  <c r="AI440" i="31"/>
  <c r="AS268" i="31"/>
  <c r="AG521" i="31"/>
  <c r="AQ349" i="31"/>
  <c r="AE480" i="31"/>
  <c r="AO308" i="31"/>
  <c r="AC480" i="31"/>
  <c r="AM308" i="31"/>
  <c r="AE430" i="31"/>
  <c r="AO258" i="31"/>
  <c r="R212" i="31"/>
  <c r="AB212" i="31" s="1"/>
  <c r="X212" i="31"/>
  <c r="AH212" i="31" s="1"/>
  <c r="V212" i="31"/>
  <c r="AF212" i="31" s="1"/>
  <c r="U212" i="31"/>
  <c r="AE212" i="31" s="1"/>
  <c r="T212" i="31"/>
  <c r="AD212" i="31" s="1"/>
  <c r="Q212" i="31"/>
  <c r="AA212" i="31" s="1"/>
  <c r="P212" i="31"/>
  <c r="Z212" i="31" s="1"/>
  <c r="Y212" i="31"/>
  <c r="AI212" i="31" s="1"/>
  <c r="S212" i="31"/>
  <c r="AC212" i="31" s="1"/>
  <c r="W212" i="31"/>
  <c r="AG212" i="31" s="1"/>
  <c r="R346" i="31"/>
  <c r="AB346" i="31" s="1"/>
  <c r="U346" i="31"/>
  <c r="AE346" i="31" s="1"/>
  <c r="Q346" i="31"/>
  <c r="AA346" i="31" s="1"/>
  <c r="X346" i="31"/>
  <c r="AH346" i="31" s="1"/>
  <c r="T346" i="31"/>
  <c r="AD346" i="31" s="1"/>
  <c r="W346" i="31"/>
  <c r="AG346" i="31" s="1"/>
  <c r="Y346" i="31"/>
  <c r="AI346" i="31" s="1"/>
  <c r="V346" i="31"/>
  <c r="AF346" i="31" s="1"/>
  <c r="P346" i="31"/>
  <c r="Z346" i="31" s="1"/>
  <c r="S346" i="31"/>
  <c r="AC346" i="31" s="1"/>
  <c r="R285" i="31"/>
  <c r="AB285" i="31" s="1"/>
  <c r="Y285" i="31"/>
  <c r="AI285" i="31" s="1"/>
  <c r="Q285" i="31"/>
  <c r="AA285" i="31" s="1"/>
  <c r="U285" i="31"/>
  <c r="AE285" i="31" s="1"/>
  <c r="W285" i="31"/>
  <c r="AG285" i="31" s="1"/>
  <c r="P285" i="31"/>
  <c r="Z285" i="31" s="1"/>
  <c r="S285" i="31"/>
  <c r="AC285" i="31" s="1"/>
  <c r="X285" i="31"/>
  <c r="AH285" i="31" s="1"/>
  <c r="V285" i="31"/>
  <c r="AF285" i="31" s="1"/>
  <c r="T285" i="31"/>
  <c r="AD285" i="31" s="1"/>
  <c r="AC519" i="31"/>
  <c r="AM347" i="31"/>
  <c r="V325" i="31"/>
  <c r="AF325" i="31" s="1"/>
  <c r="P325" i="31"/>
  <c r="Z325" i="31" s="1"/>
  <c r="Y325" i="31"/>
  <c r="AI325" i="31" s="1"/>
  <c r="R325" i="31"/>
  <c r="AB325" i="31" s="1"/>
  <c r="X325" i="31"/>
  <c r="AH325" i="31" s="1"/>
  <c r="W325" i="31"/>
  <c r="AG325" i="31" s="1"/>
  <c r="T325" i="31"/>
  <c r="AD325" i="31" s="1"/>
  <c r="S325" i="31"/>
  <c r="AC325" i="31" s="1"/>
  <c r="Q325" i="31"/>
  <c r="AA325" i="31" s="1"/>
  <c r="U325" i="31"/>
  <c r="AE325" i="31" s="1"/>
  <c r="V314" i="31"/>
  <c r="AF314" i="31" s="1"/>
  <c r="R314" i="31"/>
  <c r="AB314" i="31" s="1"/>
  <c r="S314" i="31"/>
  <c r="AC314" i="31" s="1"/>
  <c r="Y314" i="31"/>
  <c r="AI314" i="31" s="1"/>
  <c r="X314" i="31"/>
  <c r="AH314" i="31" s="1"/>
  <c r="W314" i="31"/>
  <c r="AG314" i="31" s="1"/>
  <c r="U314" i="31"/>
  <c r="AE314" i="31" s="1"/>
  <c r="T314" i="31"/>
  <c r="AD314" i="31" s="1"/>
  <c r="Q314" i="31"/>
  <c r="AA314" i="31" s="1"/>
  <c r="P314" i="31"/>
  <c r="Z314" i="31" s="1"/>
  <c r="Z403" i="31"/>
  <c r="AJ231" i="31"/>
  <c r="V363" i="31"/>
  <c r="AF363" i="31" s="1"/>
  <c r="X363" i="31"/>
  <c r="AH363" i="31" s="1"/>
  <c r="W363" i="31"/>
  <c r="AG363" i="31" s="1"/>
  <c r="T363" i="31"/>
  <c r="AD363" i="31" s="1"/>
  <c r="S363" i="31"/>
  <c r="AC363" i="31" s="1"/>
  <c r="R363" i="31"/>
  <c r="AB363" i="31" s="1"/>
  <c r="Q363" i="31"/>
  <c r="AA363" i="31" s="1"/>
  <c r="P363" i="31"/>
  <c r="Z363" i="31" s="1"/>
  <c r="Y363" i="31"/>
  <c r="AI363" i="31" s="1"/>
  <c r="U363" i="31"/>
  <c r="AE363" i="31" s="1"/>
  <c r="AD385" i="31"/>
  <c r="AN213" i="31"/>
  <c r="AG451" i="31"/>
  <c r="AQ279" i="31"/>
  <c r="AB415" i="31"/>
  <c r="AL243" i="31"/>
  <c r="AA387" i="31"/>
  <c r="AK215" i="31"/>
  <c r="AA393" i="31"/>
  <c r="AK221" i="31"/>
  <c r="AI393" i="31"/>
  <c r="AS221" i="31"/>
  <c r="AH472" i="31"/>
  <c r="AR300" i="31"/>
  <c r="AC450" i="31"/>
  <c r="AM278" i="31"/>
  <c r="AD524" i="31"/>
  <c r="AN352" i="31"/>
  <c r="AB524" i="31"/>
  <c r="AL352" i="31"/>
  <c r="AF414" i="31"/>
  <c r="AP242" i="31"/>
  <c r="AD520" i="31"/>
  <c r="AN348" i="31"/>
  <c r="AG481" i="31"/>
  <c r="AQ309" i="31"/>
  <c r="AA523" i="31"/>
  <c r="AK351" i="31"/>
  <c r="AF550" i="31"/>
  <c r="AP378" i="31"/>
  <c r="AH494" i="31"/>
  <c r="AR322" i="31"/>
  <c r="AE494" i="31"/>
  <c r="AO322" i="31"/>
  <c r="AF443" i="31"/>
  <c r="AP271" i="31"/>
  <c r="AC445" i="31"/>
  <c r="AM273" i="31"/>
  <c r="AI447" i="31"/>
  <c r="AS275" i="31"/>
  <c r="AI515" i="31"/>
  <c r="AS343" i="31"/>
  <c r="AB515" i="31"/>
  <c r="AL343" i="31"/>
  <c r="AB389" i="31"/>
  <c r="AL217" i="31"/>
  <c r="V208" i="31"/>
  <c r="Q208" i="31"/>
  <c r="Y208" i="31"/>
  <c r="T208" i="31"/>
  <c r="R208" i="31"/>
  <c r="X208" i="31"/>
  <c r="S208" i="31"/>
  <c r="W208" i="31"/>
  <c r="P208" i="31"/>
  <c r="U208" i="31"/>
  <c r="AC408" i="31"/>
  <c r="AM236" i="31"/>
  <c r="W220" i="31"/>
  <c r="AG220" i="31" s="1"/>
  <c r="Q220" i="31"/>
  <c r="AA220" i="31" s="1"/>
  <c r="P220" i="31"/>
  <c r="Z220" i="31" s="1"/>
  <c r="U220" i="31"/>
  <c r="AE220" i="31" s="1"/>
  <c r="Y220" i="31"/>
  <c r="AI220" i="31" s="1"/>
  <c r="X220" i="31"/>
  <c r="AH220" i="31" s="1"/>
  <c r="S220" i="31"/>
  <c r="AC220" i="31" s="1"/>
  <c r="V220" i="31"/>
  <c r="AF220" i="31" s="1"/>
  <c r="R220" i="31"/>
  <c r="AB220" i="31" s="1"/>
  <c r="T220" i="31"/>
  <c r="AD220" i="31" s="1"/>
  <c r="W323" i="31"/>
  <c r="AG323" i="31" s="1"/>
  <c r="T323" i="31"/>
  <c r="AD323" i="31" s="1"/>
  <c r="U323" i="31"/>
  <c r="AE323" i="31" s="1"/>
  <c r="V323" i="31"/>
  <c r="AF323" i="31" s="1"/>
  <c r="Y323" i="31"/>
  <c r="AI323" i="31" s="1"/>
  <c r="R323" i="31"/>
  <c r="AB323" i="31" s="1"/>
  <c r="S323" i="31"/>
  <c r="AC323" i="31" s="1"/>
  <c r="Q323" i="31"/>
  <c r="AA323" i="31" s="1"/>
  <c r="X323" i="31"/>
  <c r="AH323" i="31" s="1"/>
  <c r="P323" i="31"/>
  <c r="Z323" i="31" s="1"/>
  <c r="AB509" i="31"/>
  <c r="AL337" i="31"/>
  <c r="Z448" i="31"/>
  <c r="AJ276" i="31"/>
  <c r="AE442" i="31"/>
  <c r="AO270" i="31"/>
  <c r="AD492" i="31"/>
  <c r="AN320" i="31"/>
  <c r="AA541" i="31"/>
  <c r="AK369" i="31"/>
  <c r="Z541" i="31"/>
  <c r="AJ369" i="31"/>
  <c r="AB473" i="31"/>
  <c r="AL301" i="31"/>
  <c r="AF510" i="31"/>
  <c r="AP338" i="31"/>
  <c r="AH424" i="31"/>
  <c r="AR252" i="31"/>
  <c r="AI426" i="31"/>
  <c r="AS254" i="31"/>
  <c r="Z474" i="31"/>
  <c r="AJ302" i="31"/>
  <c r="AI462" i="31"/>
  <c r="AS290" i="31"/>
  <c r="AB484" i="31"/>
  <c r="AL312" i="31"/>
  <c r="AG439" i="31"/>
  <c r="AQ267" i="31"/>
  <c r="AH439" i="31"/>
  <c r="AR267" i="31"/>
  <c r="AD381" i="31"/>
  <c r="AN209" i="31"/>
  <c r="AF513" i="31"/>
  <c r="AP341" i="31"/>
  <c r="AE485" i="31"/>
  <c r="AO313" i="31"/>
  <c r="AC488" i="31"/>
  <c r="AM316" i="31"/>
  <c r="AF488" i="31"/>
  <c r="AP316" i="31"/>
  <c r="AH544" i="31"/>
  <c r="AR372" i="31"/>
  <c r="AD538" i="31"/>
  <c r="AN366" i="31"/>
  <c r="AD399" i="31"/>
  <c r="AN227" i="31"/>
  <c r="AB506" i="31"/>
  <c r="AL334" i="31"/>
  <c r="AI506" i="31"/>
  <c r="AS334" i="31"/>
  <c r="AG441" i="31"/>
  <c r="AQ269" i="31"/>
  <c r="Z469" i="31"/>
  <c r="AJ297" i="31"/>
  <c r="R328" i="31"/>
  <c r="AB328" i="31" s="1"/>
  <c r="W328" i="31"/>
  <c r="AG328" i="31" s="1"/>
  <c r="T328" i="31"/>
  <c r="AD328" i="31" s="1"/>
  <c r="Y328" i="31"/>
  <c r="AI328" i="31" s="1"/>
  <c r="X328" i="31"/>
  <c r="AH328" i="31" s="1"/>
  <c r="P328" i="31"/>
  <c r="Z328" i="31" s="1"/>
  <c r="U328" i="31"/>
  <c r="AE328" i="31" s="1"/>
  <c r="V328" i="31"/>
  <c r="AF328" i="31" s="1"/>
  <c r="S328" i="31"/>
  <c r="AC328" i="31" s="1"/>
  <c r="Q328" i="31"/>
  <c r="AA328" i="31" s="1"/>
  <c r="AD398" i="31"/>
  <c r="AN226" i="31"/>
  <c r="Z502" i="31"/>
  <c r="AJ330" i="31"/>
  <c r="AC390" i="31"/>
  <c r="AM218" i="31"/>
  <c r="Y370" i="31"/>
  <c r="AI370" i="31" s="1"/>
  <c r="R370" i="31"/>
  <c r="AB370" i="31" s="1"/>
  <c r="S370" i="31"/>
  <c r="AC370" i="31" s="1"/>
  <c r="P370" i="31"/>
  <c r="Z370" i="31" s="1"/>
  <c r="T370" i="31"/>
  <c r="AD370" i="31" s="1"/>
  <c r="Q370" i="31"/>
  <c r="AA370" i="31" s="1"/>
  <c r="V370" i="31"/>
  <c r="AF370" i="31" s="1"/>
  <c r="W370" i="31"/>
  <c r="AG370" i="31" s="1"/>
  <c r="U370" i="31"/>
  <c r="AE370" i="31" s="1"/>
  <c r="X370" i="31"/>
  <c r="AH370" i="31" s="1"/>
  <c r="AC391" i="31"/>
  <c r="AM219" i="31"/>
  <c r="AB388" i="31"/>
  <c r="AL216" i="31"/>
  <c r="AG388" i="31"/>
  <c r="AQ216" i="31"/>
  <c r="Z496" i="31"/>
  <c r="AJ324" i="31"/>
  <c r="AD400" i="31"/>
  <c r="AN228" i="31"/>
  <c r="V332" i="31"/>
  <c r="AF332" i="31" s="1"/>
  <c r="R332" i="31"/>
  <c r="AB332" i="31" s="1"/>
  <c r="Y332" i="31"/>
  <c r="AI332" i="31" s="1"/>
  <c r="X332" i="31"/>
  <c r="AH332" i="31" s="1"/>
  <c r="U332" i="31"/>
  <c r="AE332" i="31" s="1"/>
  <c r="W332" i="31"/>
  <c r="AG332" i="31" s="1"/>
  <c r="S332" i="31"/>
  <c r="AC332" i="31" s="1"/>
  <c r="Q332" i="31"/>
  <c r="AA332" i="31" s="1"/>
  <c r="P332" i="31"/>
  <c r="Z332" i="31" s="1"/>
  <c r="T332" i="31"/>
  <c r="AD332" i="31" s="1"/>
  <c r="AE422" i="31"/>
  <c r="AO250" i="31"/>
  <c r="V304" i="31"/>
  <c r="AF304" i="31" s="1"/>
  <c r="X304" i="31"/>
  <c r="AH304" i="31" s="1"/>
  <c r="Y304" i="31"/>
  <c r="AI304" i="31" s="1"/>
  <c r="T304" i="31"/>
  <c r="AD304" i="31" s="1"/>
  <c r="S304" i="31"/>
  <c r="AC304" i="31" s="1"/>
  <c r="P304" i="31"/>
  <c r="Z304" i="31" s="1"/>
  <c r="Q304" i="31"/>
  <c r="AA304" i="31" s="1"/>
  <c r="U304" i="31"/>
  <c r="AE304" i="31" s="1"/>
  <c r="W304" i="31"/>
  <c r="AG304" i="31" s="1"/>
  <c r="R304" i="31"/>
  <c r="AB304" i="31" s="1"/>
  <c r="W289" i="31"/>
  <c r="AG289" i="31" s="1"/>
  <c r="S289" i="31"/>
  <c r="AC289" i="31" s="1"/>
  <c r="R289" i="31"/>
  <c r="AB289" i="31" s="1"/>
  <c r="P289" i="31"/>
  <c r="Z289" i="31" s="1"/>
  <c r="X289" i="31"/>
  <c r="AH289" i="31" s="1"/>
  <c r="T289" i="31"/>
  <c r="AD289" i="31" s="1"/>
  <c r="Q289" i="31"/>
  <c r="AA289" i="31" s="1"/>
  <c r="V289" i="31"/>
  <c r="AF289" i="31" s="1"/>
  <c r="Y289" i="31"/>
  <c r="AI289" i="31" s="1"/>
  <c r="U289" i="31"/>
  <c r="AE289" i="31" s="1"/>
  <c r="AA470" i="31"/>
  <c r="AK298" i="31"/>
  <c r="AI425" i="31"/>
  <c r="AS253" i="31"/>
  <c r="V367" i="31"/>
  <c r="AF367" i="31" s="1"/>
  <c r="S367" i="31"/>
  <c r="AC367" i="31" s="1"/>
  <c r="R367" i="31"/>
  <c r="AB367" i="31" s="1"/>
  <c r="Q367" i="31"/>
  <c r="AA367" i="31" s="1"/>
  <c r="P367" i="31"/>
  <c r="Z367" i="31" s="1"/>
  <c r="Y367" i="31"/>
  <c r="AI367" i="31" s="1"/>
  <c r="X367" i="31"/>
  <c r="AH367" i="31" s="1"/>
  <c r="W367" i="31"/>
  <c r="AG367" i="31" s="1"/>
  <c r="T367" i="31"/>
  <c r="AD367" i="31" s="1"/>
  <c r="U367" i="31"/>
  <c r="AE367" i="31" s="1"/>
  <c r="Z465" i="31"/>
  <c r="AJ293" i="31"/>
  <c r="R248" i="31"/>
  <c r="AB248" i="31" s="1"/>
  <c r="X248" i="31"/>
  <c r="AH248" i="31" s="1"/>
  <c r="Y248" i="31"/>
  <c r="AI248" i="31" s="1"/>
  <c r="W248" i="31"/>
  <c r="AG248" i="31" s="1"/>
  <c r="T248" i="31"/>
  <c r="AD248" i="31" s="1"/>
  <c r="U248" i="31"/>
  <c r="AE248" i="31" s="1"/>
  <c r="V248" i="31"/>
  <c r="AF248" i="31" s="1"/>
  <c r="S248" i="31"/>
  <c r="AC248" i="31" s="1"/>
  <c r="Q248" i="31"/>
  <c r="AA248" i="31" s="1"/>
  <c r="P248" i="31"/>
  <c r="Z248" i="31" s="1"/>
  <c r="Z440" i="31"/>
  <c r="AJ268" i="31"/>
  <c r="AH521" i="31"/>
  <c r="AR349" i="31"/>
  <c r="AD480" i="31"/>
  <c r="AN308" i="31"/>
  <c r="W235" i="31"/>
  <c r="AG235" i="31" s="1"/>
  <c r="S235" i="31"/>
  <c r="AC235" i="31" s="1"/>
  <c r="R235" i="31"/>
  <c r="AB235" i="31" s="1"/>
  <c r="V235" i="31"/>
  <c r="AF235" i="31" s="1"/>
  <c r="T235" i="31"/>
  <c r="AD235" i="31" s="1"/>
  <c r="P235" i="31"/>
  <c r="Z235" i="31" s="1"/>
  <c r="X235" i="31"/>
  <c r="AH235" i="31" s="1"/>
  <c r="Q235" i="31"/>
  <c r="AA235" i="31" s="1"/>
  <c r="Y235" i="31"/>
  <c r="AI235" i="31" s="1"/>
  <c r="U235" i="31"/>
  <c r="AE235" i="31" s="1"/>
  <c r="Q292" i="31"/>
  <c r="AA292" i="31" s="1"/>
  <c r="R292" i="31"/>
  <c r="AB292" i="31" s="1"/>
  <c r="X292" i="31"/>
  <c r="AH292" i="31" s="1"/>
  <c r="P292" i="31"/>
  <c r="Z292" i="31" s="1"/>
  <c r="W292" i="31"/>
  <c r="AG292" i="31" s="1"/>
  <c r="U292" i="31"/>
  <c r="AE292" i="31" s="1"/>
  <c r="T292" i="31"/>
  <c r="AD292" i="31" s="1"/>
  <c r="V292" i="31"/>
  <c r="AF292" i="31" s="1"/>
  <c r="S292" i="31"/>
  <c r="AC292" i="31" s="1"/>
  <c r="Y292" i="31"/>
  <c r="AI292" i="31" s="1"/>
  <c r="AG430" i="31"/>
  <c r="AQ258" i="31"/>
  <c r="AE519" i="31"/>
  <c r="AO347" i="31"/>
  <c r="AF403" i="31"/>
  <c r="AP231" i="31"/>
  <c r="AI385" i="31"/>
  <c r="AS213" i="31"/>
  <c r="AA385" i="31"/>
  <c r="AK213" i="31"/>
  <c r="AE451" i="31"/>
  <c r="AO279" i="31"/>
  <c r="AD415" i="31"/>
  <c r="AN243" i="31"/>
  <c r="AA415" i="31"/>
  <c r="AK243" i="31"/>
  <c r="AE387" i="31"/>
  <c r="AO215" i="31"/>
  <c r="AF393" i="31"/>
  <c r="AP221" i="31"/>
  <c r="AI472" i="31"/>
  <c r="AS300" i="31"/>
  <c r="AA472" i="31"/>
  <c r="AK300" i="31"/>
  <c r="AA450" i="31"/>
  <c r="AK278" i="31"/>
  <c r="AC524" i="31"/>
  <c r="AM352" i="31"/>
  <c r="AG414" i="31"/>
  <c r="AQ242" i="31"/>
  <c r="AH414" i="31"/>
  <c r="AR242" i="31"/>
  <c r="AG520" i="31"/>
  <c r="AQ348" i="31"/>
  <c r="AH520" i="31"/>
  <c r="AR348" i="31"/>
  <c r="AH481" i="31"/>
  <c r="AR309" i="31"/>
  <c r="AD523" i="31"/>
  <c r="AN351" i="31"/>
  <c r="Y229" i="31"/>
  <c r="AI229" i="31" s="1"/>
  <c r="U229" i="31"/>
  <c r="AE229" i="31" s="1"/>
  <c r="T229" i="31"/>
  <c r="AD229" i="31" s="1"/>
  <c r="S229" i="31"/>
  <c r="AC229" i="31" s="1"/>
  <c r="R229" i="31"/>
  <c r="AB229" i="31" s="1"/>
  <c r="P229" i="31"/>
  <c r="Z229" i="31" s="1"/>
  <c r="X229" i="31"/>
  <c r="AH229" i="31" s="1"/>
  <c r="W229" i="31"/>
  <c r="AG229" i="31" s="1"/>
  <c r="V229" i="31"/>
  <c r="AF229" i="31" s="1"/>
  <c r="Q229" i="31"/>
  <c r="AA229" i="31" s="1"/>
  <c r="AE550" i="31"/>
  <c r="AO378" i="31"/>
  <c r="AC494" i="31"/>
  <c r="AM322" i="31"/>
  <c r="Y306" i="31"/>
  <c r="AI306" i="31" s="1"/>
  <c r="R306" i="31"/>
  <c r="AB306" i="31" s="1"/>
  <c r="W306" i="31"/>
  <c r="AG306" i="31" s="1"/>
  <c r="U306" i="31"/>
  <c r="AE306" i="31" s="1"/>
  <c r="V306" i="31"/>
  <c r="AF306" i="31" s="1"/>
  <c r="P306" i="31"/>
  <c r="Z306" i="31" s="1"/>
  <c r="Q306" i="31"/>
  <c r="AA306" i="31" s="1"/>
  <c r="T306" i="31"/>
  <c r="AD306" i="31" s="1"/>
  <c r="S306" i="31"/>
  <c r="AC306" i="31" s="1"/>
  <c r="X306" i="31"/>
  <c r="AH306" i="31" s="1"/>
  <c r="AB443" i="31"/>
  <c r="AL271" i="31"/>
  <c r="AI443" i="31"/>
  <c r="AS271" i="31"/>
  <c r="AE445" i="31"/>
  <c r="AO273" i="31"/>
  <c r="X336" i="31"/>
  <c r="AH336" i="31" s="1"/>
  <c r="R336" i="31"/>
  <c r="AB336" i="31" s="1"/>
  <c r="T336" i="31"/>
  <c r="AD336" i="31" s="1"/>
  <c r="U336" i="31"/>
  <c r="AE336" i="31" s="1"/>
  <c r="V336" i="31"/>
  <c r="AF336" i="31" s="1"/>
  <c r="Q336" i="31"/>
  <c r="AA336" i="31" s="1"/>
  <c r="S336" i="31"/>
  <c r="AC336" i="31" s="1"/>
  <c r="P336" i="31"/>
  <c r="Z336" i="31" s="1"/>
  <c r="W336" i="31"/>
  <c r="AG336" i="31" s="1"/>
  <c r="Y336" i="31"/>
  <c r="AI336" i="31" s="1"/>
  <c r="V359" i="31"/>
  <c r="AF359" i="31" s="1"/>
  <c r="X359" i="31"/>
  <c r="AH359" i="31" s="1"/>
  <c r="W359" i="31"/>
  <c r="AG359" i="31" s="1"/>
  <c r="T359" i="31"/>
  <c r="AD359" i="31" s="1"/>
  <c r="S359" i="31"/>
  <c r="AC359" i="31" s="1"/>
  <c r="P359" i="31"/>
  <c r="Z359" i="31" s="1"/>
  <c r="R359" i="31"/>
  <c r="AB359" i="31" s="1"/>
  <c r="Y359" i="31"/>
  <c r="AI359" i="31" s="1"/>
  <c r="Q359" i="31"/>
  <c r="AA359" i="31" s="1"/>
  <c r="U359" i="31"/>
  <c r="AE359" i="31" s="1"/>
  <c r="V246" i="31"/>
  <c r="AF246" i="31" s="1"/>
  <c r="T246" i="31"/>
  <c r="AD246" i="31" s="1"/>
  <c r="R246" i="31"/>
  <c r="AB246" i="31" s="1"/>
  <c r="S246" i="31"/>
  <c r="AC246" i="31" s="1"/>
  <c r="W246" i="31"/>
  <c r="AG246" i="31" s="1"/>
  <c r="U246" i="31"/>
  <c r="AE246" i="31" s="1"/>
  <c r="P246" i="31"/>
  <c r="Z246" i="31" s="1"/>
  <c r="Q246" i="31"/>
  <c r="AA246" i="31" s="1"/>
  <c r="X246" i="31"/>
  <c r="AH246" i="31" s="1"/>
  <c r="Y246" i="31"/>
  <c r="AI246" i="31" s="1"/>
  <c r="AE447" i="31"/>
  <c r="AO275" i="31"/>
  <c r="AG515" i="31"/>
  <c r="AQ343" i="31"/>
  <c r="AF515" i="31"/>
  <c r="AP343" i="31"/>
  <c r="AC389" i="31"/>
  <c r="AM217" i="31"/>
  <c r="AE408" i="31"/>
  <c r="AO236" i="31"/>
  <c r="AD509" i="31"/>
  <c r="AN337" i="31"/>
  <c r="AA448" i="31"/>
  <c r="AK276" i="31"/>
  <c r="AA442" i="31"/>
  <c r="AK270" i="31"/>
  <c r="AA492" i="31"/>
  <c r="AK320" i="31"/>
  <c r="AF541" i="31"/>
  <c r="AP369" i="31"/>
  <c r="AG541" i="31"/>
  <c r="AQ369" i="31"/>
  <c r="AD473" i="31"/>
  <c r="AN301" i="31"/>
  <c r="Z510" i="31"/>
  <c r="AJ338" i="31"/>
  <c r="S230" i="31"/>
  <c r="AC230" i="31" s="1"/>
  <c r="Y230" i="31"/>
  <c r="AI230" i="31" s="1"/>
  <c r="W230" i="31"/>
  <c r="AG230" i="31" s="1"/>
  <c r="U230" i="31"/>
  <c r="AE230" i="31" s="1"/>
  <c r="T230" i="31"/>
  <c r="AD230" i="31" s="1"/>
  <c r="Q230" i="31"/>
  <c r="AA230" i="31" s="1"/>
  <c r="V230" i="31"/>
  <c r="AF230" i="31" s="1"/>
  <c r="P230" i="31"/>
  <c r="Z230" i="31" s="1"/>
  <c r="X230" i="31"/>
  <c r="AH230" i="31" s="1"/>
  <c r="R230" i="31"/>
  <c r="AB230" i="31" s="1"/>
  <c r="AF424" i="31"/>
  <c r="AP252" i="31"/>
  <c r="AH426" i="31"/>
  <c r="AR254" i="31"/>
  <c r="R281" i="31"/>
  <c r="AB281" i="31" s="1"/>
  <c r="S281" i="31"/>
  <c r="AC281" i="31" s="1"/>
  <c r="X281" i="31"/>
  <c r="AH281" i="31" s="1"/>
  <c r="T281" i="31"/>
  <c r="AD281" i="31" s="1"/>
  <c r="V281" i="31"/>
  <c r="AF281" i="31" s="1"/>
  <c r="Q281" i="31"/>
  <c r="AA281" i="31" s="1"/>
  <c r="Y281" i="31"/>
  <c r="AI281" i="31" s="1"/>
  <c r="W281" i="31"/>
  <c r="AG281" i="31" s="1"/>
  <c r="U281" i="31"/>
  <c r="AE281" i="31" s="1"/>
  <c r="P281" i="31"/>
  <c r="Z281" i="31" s="1"/>
  <c r="AE474" i="31"/>
  <c r="AO302" i="31"/>
  <c r="V371" i="31"/>
  <c r="AF371" i="31" s="1"/>
  <c r="R371" i="31"/>
  <c r="AB371" i="31" s="1"/>
  <c r="Q371" i="31"/>
  <c r="AA371" i="31" s="1"/>
  <c r="P371" i="31"/>
  <c r="Z371" i="31" s="1"/>
  <c r="Y371" i="31"/>
  <c r="AI371" i="31" s="1"/>
  <c r="X371" i="31"/>
  <c r="AH371" i="31" s="1"/>
  <c r="W371" i="31"/>
  <c r="AG371" i="31" s="1"/>
  <c r="T371" i="31"/>
  <c r="AD371" i="31" s="1"/>
  <c r="S371" i="31"/>
  <c r="AC371" i="31" s="1"/>
  <c r="U371" i="31"/>
  <c r="AE371" i="31" s="1"/>
  <c r="P376" i="31"/>
  <c r="Z376" i="31" s="1"/>
  <c r="W376" i="31"/>
  <c r="AG376" i="31" s="1"/>
  <c r="U376" i="31"/>
  <c r="AE376" i="31" s="1"/>
  <c r="S376" i="31"/>
  <c r="AC376" i="31" s="1"/>
  <c r="Y376" i="31"/>
  <c r="AI376" i="31" s="1"/>
  <c r="X376" i="31"/>
  <c r="AH376" i="31" s="1"/>
  <c r="V376" i="31"/>
  <c r="AF376" i="31" s="1"/>
  <c r="T376" i="31"/>
  <c r="AD376" i="31" s="1"/>
  <c r="R376" i="31"/>
  <c r="AB376" i="31" s="1"/>
  <c r="Q376" i="31"/>
  <c r="AA376" i="31" s="1"/>
  <c r="AC462" i="31"/>
  <c r="AM290" i="31"/>
  <c r="T257" i="31"/>
  <c r="AD257" i="31" s="1"/>
  <c r="R257" i="31"/>
  <c r="AB257" i="31" s="1"/>
  <c r="P257" i="31"/>
  <c r="Z257" i="31" s="1"/>
  <c r="X257" i="31"/>
  <c r="AH257" i="31" s="1"/>
  <c r="S257" i="31"/>
  <c r="AC257" i="31" s="1"/>
  <c r="W257" i="31"/>
  <c r="AG257" i="31" s="1"/>
  <c r="V257" i="31"/>
  <c r="AF257" i="31" s="1"/>
  <c r="Q257" i="31"/>
  <c r="AA257" i="31" s="1"/>
  <c r="U257" i="31"/>
  <c r="AE257" i="31" s="1"/>
  <c r="Y257" i="31"/>
  <c r="AI257" i="31" s="1"/>
  <c r="AE484" i="31"/>
  <c r="AO312" i="31"/>
  <c r="AF439" i="31"/>
  <c r="AP267" i="31"/>
  <c r="AG381" i="31"/>
  <c r="AQ209" i="31"/>
  <c r="AC381" i="31"/>
  <c r="AM209" i="31"/>
  <c r="AH513" i="31"/>
  <c r="AR341" i="31"/>
  <c r="AI513" i="31"/>
  <c r="AS341" i="31"/>
  <c r="AG485" i="31"/>
  <c r="AQ313" i="31"/>
  <c r="AE488" i="31"/>
  <c r="AO316" i="31"/>
  <c r="S238" i="31"/>
  <c r="AC238" i="31" s="1"/>
  <c r="Y238" i="31"/>
  <c r="AI238" i="31" s="1"/>
  <c r="U238" i="31"/>
  <c r="AE238" i="31" s="1"/>
  <c r="T238" i="31"/>
  <c r="AD238" i="31" s="1"/>
  <c r="Q238" i="31"/>
  <c r="AA238" i="31" s="1"/>
  <c r="P238" i="31"/>
  <c r="Z238" i="31" s="1"/>
  <c r="R238" i="31"/>
  <c r="AB238" i="31" s="1"/>
  <c r="X238" i="31"/>
  <c r="AH238" i="31" s="1"/>
  <c r="W238" i="31"/>
  <c r="AG238" i="31" s="1"/>
  <c r="V238" i="31"/>
  <c r="AF238" i="31" s="1"/>
  <c r="AI544" i="31"/>
  <c r="AS372" i="31"/>
  <c r="W305" i="31"/>
  <c r="AG305" i="31" s="1"/>
  <c r="T305" i="31"/>
  <c r="AD305" i="31" s="1"/>
  <c r="R305" i="31"/>
  <c r="AB305" i="31" s="1"/>
  <c r="P305" i="31"/>
  <c r="Z305" i="31" s="1"/>
  <c r="X305" i="31"/>
  <c r="AH305" i="31" s="1"/>
  <c r="U305" i="31"/>
  <c r="AE305" i="31" s="1"/>
  <c r="Q305" i="31"/>
  <c r="AA305" i="31" s="1"/>
  <c r="S305" i="31"/>
  <c r="AC305" i="31" s="1"/>
  <c r="Y305" i="31"/>
  <c r="AI305" i="31" s="1"/>
  <c r="V305" i="31"/>
  <c r="AF305" i="31" s="1"/>
  <c r="BK212" i="31"/>
  <c r="BJ212" i="31"/>
  <c r="X355" i="31"/>
  <c r="AH355" i="31" s="1"/>
  <c r="W355" i="31"/>
  <c r="AG355" i="31" s="1"/>
  <c r="V355" i="31"/>
  <c r="AF355" i="31" s="1"/>
  <c r="T355" i="31"/>
  <c r="AD355" i="31" s="1"/>
  <c r="S355" i="31"/>
  <c r="AC355" i="31" s="1"/>
  <c r="P355" i="31"/>
  <c r="Z355" i="31" s="1"/>
  <c r="U355" i="31"/>
  <c r="AE355" i="31" s="1"/>
  <c r="Y355" i="31"/>
  <c r="AI355" i="31" s="1"/>
  <c r="R355" i="31"/>
  <c r="AB355" i="31" s="1"/>
  <c r="Q355" i="31"/>
  <c r="AA355" i="31" s="1"/>
  <c r="AH538" i="31"/>
  <c r="AR366" i="31"/>
  <c r="Z399" i="31"/>
  <c r="AJ227" i="31"/>
  <c r="AG506" i="31"/>
  <c r="AQ334" i="31"/>
  <c r="AC506" i="31"/>
  <c r="AM334" i="31"/>
  <c r="AD441" i="31"/>
  <c r="AN269" i="31"/>
  <c r="AB469" i="31"/>
  <c r="AL297" i="31"/>
  <c r="X327" i="31"/>
  <c r="AH327" i="31" s="1"/>
  <c r="V327" i="31"/>
  <c r="AF327" i="31" s="1"/>
  <c r="W327" i="31"/>
  <c r="AG327" i="31" s="1"/>
  <c r="Y327" i="31"/>
  <c r="AI327" i="31" s="1"/>
  <c r="Q327" i="31"/>
  <c r="AA327" i="31" s="1"/>
  <c r="U327" i="31"/>
  <c r="AE327" i="31" s="1"/>
  <c r="R327" i="31"/>
  <c r="AB327" i="31" s="1"/>
  <c r="T327" i="31"/>
  <c r="AD327" i="31" s="1"/>
  <c r="P327" i="31"/>
  <c r="Z327" i="31" s="1"/>
  <c r="S327" i="31"/>
  <c r="AC327" i="31" s="1"/>
  <c r="AE398" i="31"/>
  <c r="AO226" i="31"/>
  <c r="AA502" i="31"/>
  <c r="AK330" i="31"/>
  <c r="AD390" i="31"/>
  <c r="AN218" i="31"/>
  <c r="AD391" i="31"/>
  <c r="AN219" i="31"/>
  <c r="AF388" i="31"/>
  <c r="AP216" i="31"/>
  <c r="W311" i="31"/>
  <c r="AG311" i="31" s="1"/>
  <c r="P311" i="31"/>
  <c r="Z311" i="31" s="1"/>
  <c r="R311" i="31"/>
  <c r="AB311" i="31" s="1"/>
  <c r="Y311" i="31"/>
  <c r="AI311" i="31" s="1"/>
  <c r="X311" i="31"/>
  <c r="AH311" i="31" s="1"/>
  <c r="T311" i="31"/>
  <c r="AD311" i="31" s="1"/>
  <c r="S311" i="31"/>
  <c r="AC311" i="31" s="1"/>
  <c r="Q311" i="31"/>
  <c r="AA311" i="31" s="1"/>
  <c r="U311" i="31"/>
  <c r="AE311" i="31" s="1"/>
  <c r="V311" i="31"/>
  <c r="AF311" i="31" s="1"/>
  <c r="AA496" i="31"/>
  <c r="AK324" i="31"/>
  <c r="Z400" i="31"/>
  <c r="AJ228" i="31"/>
  <c r="AB422" i="31"/>
  <c r="AL250" i="31"/>
  <c r="AF470" i="31"/>
  <c r="AP298" i="31"/>
  <c r="AA425" i="31"/>
  <c r="AK253" i="31"/>
  <c r="AB465" i="31"/>
  <c r="AL293" i="31"/>
  <c r="AC440" i="31"/>
  <c r="AM268" i="31"/>
  <c r="AI521" i="31"/>
  <c r="AS349" i="31"/>
  <c r="Z480" i="31"/>
  <c r="AJ308" i="31"/>
  <c r="AB430" i="31"/>
  <c r="AL258" i="31"/>
  <c r="T249" i="31"/>
  <c r="AD249" i="31" s="1"/>
  <c r="X249" i="31"/>
  <c r="AH249" i="31" s="1"/>
  <c r="R249" i="31"/>
  <c r="AB249" i="31" s="1"/>
  <c r="P249" i="31"/>
  <c r="Z249" i="31" s="1"/>
  <c r="V249" i="31"/>
  <c r="AF249" i="31" s="1"/>
  <c r="S249" i="31"/>
  <c r="AC249" i="31" s="1"/>
  <c r="W249" i="31"/>
  <c r="AG249" i="31" s="1"/>
  <c r="Q249" i="31"/>
  <c r="AA249" i="31" s="1"/>
  <c r="Y249" i="31"/>
  <c r="AI249" i="31" s="1"/>
  <c r="U249" i="31"/>
  <c r="AE249" i="31" s="1"/>
  <c r="R277" i="31"/>
  <c r="AB277" i="31" s="1"/>
  <c r="W277" i="31"/>
  <c r="AG277" i="31" s="1"/>
  <c r="P277" i="31"/>
  <c r="Z277" i="31" s="1"/>
  <c r="Y277" i="31"/>
  <c r="AI277" i="31" s="1"/>
  <c r="Q277" i="31"/>
  <c r="AA277" i="31" s="1"/>
  <c r="T277" i="31"/>
  <c r="AD277" i="31" s="1"/>
  <c r="U277" i="31"/>
  <c r="AE277" i="31" s="1"/>
  <c r="S277" i="31"/>
  <c r="AC277" i="31" s="1"/>
  <c r="X277" i="31"/>
  <c r="AH277" i="31" s="1"/>
  <c r="V277" i="31"/>
  <c r="AF277" i="31" s="1"/>
  <c r="V364" i="31"/>
  <c r="AF364" i="31" s="1"/>
  <c r="T364" i="31"/>
  <c r="AD364" i="31" s="1"/>
  <c r="Q364" i="31"/>
  <c r="AA364" i="31" s="1"/>
  <c r="U364" i="31"/>
  <c r="AE364" i="31" s="1"/>
  <c r="S364" i="31"/>
  <c r="AC364" i="31" s="1"/>
  <c r="X364" i="31"/>
  <c r="AH364" i="31" s="1"/>
  <c r="W364" i="31"/>
  <c r="AG364" i="31" s="1"/>
  <c r="R364" i="31"/>
  <c r="AB364" i="31" s="1"/>
  <c r="P364" i="31"/>
  <c r="Z364" i="31" s="1"/>
  <c r="Y364" i="31"/>
  <c r="AI364" i="31" s="1"/>
  <c r="W340" i="31"/>
  <c r="AG340" i="31" s="1"/>
  <c r="X340" i="31"/>
  <c r="AH340" i="31" s="1"/>
  <c r="T340" i="31"/>
  <c r="AD340" i="31" s="1"/>
  <c r="P340" i="31"/>
  <c r="Z340" i="31" s="1"/>
  <c r="R340" i="31"/>
  <c r="AB340" i="31" s="1"/>
  <c r="Y340" i="31"/>
  <c r="AI340" i="31" s="1"/>
  <c r="S340" i="31"/>
  <c r="AC340" i="31" s="1"/>
  <c r="U340" i="31"/>
  <c r="AE340" i="31" s="1"/>
  <c r="Q340" i="31"/>
  <c r="AA340" i="31" s="1"/>
  <c r="V340" i="31"/>
  <c r="AF340" i="31" s="1"/>
  <c r="AA519" i="31"/>
  <c r="AK347" i="31"/>
  <c r="V262" i="31"/>
  <c r="AF262" i="31" s="1"/>
  <c r="T262" i="31"/>
  <c r="AD262" i="31" s="1"/>
  <c r="R262" i="31"/>
  <c r="AB262" i="31" s="1"/>
  <c r="U262" i="31"/>
  <c r="AE262" i="31" s="1"/>
  <c r="P262" i="31"/>
  <c r="Z262" i="31" s="1"/>
  <c r="Q262" i="31"/>
  <c r="AA262" i="31" s="1"/>
  <c r="X262" i="31"/>
  <c r="AH262" i="31" s="1"/>
  <c r="Y262" i="31"/>
  <c r="AI262" i="31" s="1"/>
  <c r="S262" i="31"/>
  <c r="AC262" i="31" s="1"/>
  <c r="W262" i="31"/>
  <c r="AG262" i="31" s="1"/>
  <c r="AD403" i="31"/>
  <c r="AN231" i="31"/>
  <c r="AB385" i="31"/>
  <c r="AL213" i="31"/>
  <c r="AG385" i="31"/>
  <c r="AQ213" i="31"/>
  <c r="AA451" i="31"/>
  <c r="AK279" i="31"/>
  <c r="AF415" i="31"/>
  <c r="AP243" i="31"/>
  <c r="AH415" i="31"/>
  <c r="AR243" i="31"/>
  <c r="AF387" i="31"/>
  <c r="AP215" i="31"/>
  <c r="AB393" i="31"/>
  <c r="AL221" i="31"/>
  <c r="Z472" i="31"/>
  <c r="AJ300" i="31"/>
  <c r="AF472" i="31"/>
  <c r="AP300" i="31"/>
  <c r="AG450" i="31"/>
  <c r="AQ278" i="31"/>
  <c r="Z524" i="31"/>
  <c r="AJ352" i="31"/>
  <c r="AA414" i="31"/>
  <c r="AK242" i="31"/>
  <c r="AB414" i="31"/>
  <c r="AL242" i="31"/>
  <c r="AI520" i="31"/>
  <c r="AS348" i="31"/>
  <c r="AB520" i="31"/>
  <c r="AL348" i="31"/>
  <c r="AE481" i="31"/>
  <c r="AO309" i="31"/>
  <c r="AF523" i="31"/>
  <c r="AP351" i="31"/>
  <c r="AH550" i="31"/>
  <c r="AR378" i="31"/>
  <c r="AA494" i="31"/>
  <c r="AK322" i="31"/>
  <c r="AG443" i="31"/>
  <c r="AQ271" i="31"/>
  <c r="AH443" i="31"/>
  <c r="AR271" i="31"/>
  <c r="AG445" i="31"/>
  <c r="AQ273" i="31"/>
  <c r="AC447" i="31"/>
  <c r="AM275" i="31"/>
  <c r="Z515" i="31"/>
  <c r="AJ343" i="31"/>
  <c r="T245" i="31"/>
  <c r="AD245" i="31" s="1"/>
  <c r="X245" i="31"/>
  <c r="AH245" i="31" s="1"/>
  <c r="R245" i="31"/>
  <c r="AB245" i="31" s="1"/>
  <c r="P245" i="31"/>
  <c r="Z245" i="31" s="1"/>
  <c r="U245" i="31"/>
  <c r="AE245" i="31" s="1"/>
  <c r="S245" i="31"/>
  <c r="AC245" i="31" s="1"/>
  <c r="V245" i="31"/>
  <c r="AF245" i="31" s="1"/>
  <c r="W245" i="31"/>
  <c r="AG245" i="31" s="1"/>
  <c r="Q245" i="31"/>
  <c r="AA245" i="31" s="1"/>
  <c r="Y245" i="31"/>
  <c r="AI245" i="31" s="1"/>
  <c r="AE389" i="31"/>
  <c r="AO217" i="31"/>
  <c r="Y294" i="31"/>
  <c r="AI294" i="31" s="1"/>
  <c r="R294" i="31"/>
  <c r="AB294" i="31" s="1"/>
  <c r="S294" i="31"/>
  <c r="AC294" i="31" s="1"/>
  <c r="T294" i="31"/>
  <c r="AD294" i="31" s="1"/>
  <c r="X294" i="31"/>
  <c r="AH294" i="31" s="1"/>
  <c r="Q294" i="31"/>
  <c r="AA294" i="31" s="1"/>
  <c r="W294" i="31"/>
  <c r="AG294" i="31" s="1"/>
  <c r="V294" i="31"/>
  <c r="AF294" i="31" s="1"/>
  <c r="U294" i="31"/>
  <c r="AE294" i="31" s="1"/>
  <c r="P294" i="31"/>
  <c r="Z294" i="31" s="1"/>
  <c r="Z408" i="31"/>
  <c r="AJ236" i="31"/>
  <c r="V241" i="31"/>
  <c r="AF241" i="31" s="1"/>
  <c r="R241" i="31"/>
  <c r="AB241" i="31" s="1"/>
  <c r="S241" i="31"/>
  <c r="AC241" i="31" s="1"/>
  <c r="Y241" i="31"/>
  <c r="AI241" i="31" s="1"/>
  <c r="Q241" i="31"/>
  <c r="AA241" i="31" s="1"/>
  <c r="P241" i="31"/>
  <c r="Z241" i="31" s="1"/>
  <c r="T241" i="31"/>
  <c r="AD241" i="31" s="1"/>
  <c r="W241" i="31"/>
  <c r="AG241" i="31" s="1"/>
  <c r="U241" i="31"/>
  <c r="AE241" i="31" s="1"/>
  <c r="X241" i="31"/>
  <c r="AH241" i="31" s="1"/>
  <c r="AC509" i="31"/>
  <c r="AM337" i="31"/>
  <c r="AE509" i="31"/>
  <c r="AO337" i="31"/>
  <c r="AB448" i="31"/>
  <c r="AL276" i="31"/>
  <c r="AI442" i="31"/>
  <c r="AS270" i="31"/>
  <c r="AG442" i="31"/>
  <c r="AQ270" i="31"/>
  <c r="AG492" i="31"/>
  <c r="AQ320" i="31"/>
  <c r="AB541" i="31"/>
  <c r="AL369" i="31"/>
  <c r="AF473" i="31"/>
  <c r="AP301" i="31"/>
  <c r="AH473" i="31"/>
  <c r="AR301" i="31"/>
  <c r="AB510" i="31"/>
  <c r="AL338" i="31"/>
  <c r="AC424" i="31"/>
  <c r="AM252" i="31"/>
  <c r="AA426" i="31"/>
  <c r="AK254" i="31"/>
  <c r="AD474" i="31"/>
  <c r="AN302" i="31"/>
  <c r="AE462" i="31"/>
  <c r="AO290" i="31"/>
  <c r="Z484" i="31"/>
  <c r="AJ312" i="31"/>
  <c r="AI439" i="31"/>
  <c r="AS267" i="31"/>
  <c r="AE381" i="31"/>
  <c r="AO209" i="31"/>
  <c r="AH381" i="31"/>
  <c r="AR209" i="31"/>
  <c r="AG513" i="31"/>
  <c r="AQ341" i="31"/>
  <c r="AB513" i="31"/>
  <c r="AL341" i="31"/>
  <c r="AH485" i="31"/>
  <c r="AR313" i="31"/>
  <c r="Z488" i="31"/>
  <c r="AJ316" i="31"/>
  <c r="AC544" i="31"/>
  <c r="AM372" i="31"/>
  <c r="BL212" i="31"/>
  <c r="BR212" i="31"/>
  <c r="AE538" i="31"/>
  <c r="AO366" i="31"/>
  <c r="AE399" i="31"/>
  <c r="AO227" i="31"/>
  <c r="AD506" i="31"/>
  <c r="AN334" i="31"/>
  <c r="Z441" i="31"/>
  <c r="AJ269" i="31"/>
  <c r="AF441" i="31"/>
  <c r="AP269" i="31"/>
  <c r="AC469" i="31"/>
  <c r="AM297" i="31"/>
  <c r="R256" i="31"/>
  <c r="AB256" i="31" s="1"/>
  <c r="Q256" i="31"/>
  <c r="AA256" i="31" s="1"/>
  <c r="Y256" i="31"/>
  <c r="AI256" i="31" s="1"/>
  <c r="T256" i="31"/>
  <c r="AD256" i="31" s="1"/>
  <c r="U256" i="31"/>
  <c r="AE256" i="31" s="1"/>
  <c r="V256" i="31"/>
  <c r="AF256" i="31" s="1"/>
  <c r="W256" i="31"/>
  <c r="AG256" i="31" s="1"/>
  <c r="P256" i="31"/>
  <c r="Z256" i="31" s="1"/>
  <c r="S256" i="31"/>
  <c r="AC256" i="31" s="1"/>
  <c r="X256" i="31"/>
  <c r="AH256" i="31" s="1"/>
  <c r="AG398" i="31"/>
  <c r="AQ226" i="31"/>
  <c r="AD502" i="31"/>
  <c r="AN330" i="31"/>
  <c r="AI502" i="31"/>
  <c r="AS330" i="31"/>
  <c r="AE390" i="31"/>
  <c r="AO218" i="31"/>
  <c r="Z391" i="31"/>
  <c r="AJ219" i="31"/>
  <c r="AF391" i="31"/>
  <c r="AP219" i="31"/>
  <c r="AC388" i="31"/>
  <c r="AM216" i="31"/>
  <c r="AB496" i="31"/>
  <c r="AL324" i="31"/>
  <c r="AC400" i="31"/>
  <c r="AM228" i="31"/>
  <c r="AG422" i="31"/>
  <c r="AQ250" i="31"/>
  <c r="AD422" i="31"/>
  <c r="AN250" i="31"/>
  <c r="Y360" i="31"/>
  <c r="AI360" i="31" s="1"/>
  <c r="V360" i="31"/>
  <c r="AF360" i="31" s="1"/>
  <c r="U360" i="31"/>
  <c r="AE360" i="31" s="1"/>
  <c r="R360" i="31"/>
  <c r="AB360" i="31" s="1"/>
  <c r="Q360" i="31"/>
  <c r="AA360" i="31" s="1"/>
  <c r="X360" i="31"/>
  <c r="AH360" i="31" s="1"/>
  <c r="W360" i="31"/>
  <c r="AG360" i="31" s="1"/>
  <c r="S360" i="31"/>
  <c r="AC360" i="31" s="1"/>
  <c r="P360" i="31"/>
  <c r="Z360" i="31" s="1"/>
  <c r="T360" i="31"/>
  <c r="AD360" i="31" s="1"/>
  <c r="AD470" i="31"/>
  <c r="AN298" i="31"/>
  <c r="AB470" i="31"/>
  <c r="AL298" i="31"/>
  <c r="Z425" i="31"/>
  <c r="AJ253" i="31"/>
  <c r="AC465" i="31"/>
  <c r="AM293" i="31"/>
  <c r="AE440" i="31"/>
  <c r="AO268" i="31"/>
  <c r="AA440" i="31"/>
  <c r="AK268" i="31"/>
  <c r="Z521" i="31"/>
  <c r="AJ349" i="31"/>
  <c r="AA480" i="31"/>
  <c r="AK308" i="31"/>
  <c r="W240" i="31"/>
  <c r="AG240" i="31" s="1"/>
  <c r="Y240" i="31"/>
  <c r="AI240" i="31" s="1"/>
  <c r="X240" i="31"/>
  <c r="AH240" i="31" s="1"/>
  <c r="U240" i="31"/>
  <c r="AE240" i="31" s="1"/>
  <c r="S240" i="31"/>
  <c r="AC240" i="31" s="1"/>
  <c r="R240" i="31"/>
  <c r="AB240" i="31" s="1"/>
  <c r="Q240" i="31"/>
  <c r="AA240" i="31" s="1"/>
  <c r="P240" i="31"/>
  <c r="Z240" i="31" s="1"/>
  <c r="T240" i="31"/>
  <c r="AD240" i="31" s="1"/>
  <c r="V240" i="31"/>
  <c r="AF240" i="31" s="1"/>
  <c r="AC430" i="31"/>
  <c r="AM258" i="31"/>
  <c r="AD430" i="31"/>
  <c r="AN258" i="31"/>
  <c r="AF519" i="31"/>
  <c r="AP347" i="31"/>
  <c r="AE403" i="31"/>
  <c r="AO231" i="31"/>
  <c r="AC403" i="31"/>
  <c r="AM231" i="31"/>
  <c r="AE385" i="31"/>
  <c r="AO213" i="31"/>
  <c r="W315" i="31"/>
  <c r="AG315" i="31" s="1"/>
  <c r="Y315" i="31"/>
  <c r="AI315" i="31" s="1"/>
  <c r="Q315" i="31"/>
  <c r="AA315" i="31" s="1"/>
  <c r="X315" i="31"/>
  <c r="AH315" i="31" s="1"/>
  <c r="T315" i="31"/>
  <c r="AD315" i="31" s="1"/>
  <c r="S315" i="31"/>
  <c r="AC315" i="31" s="1"/>
  <c r="R315" i="31"/>
  <c r="AB315" i="31" s="1"/>
  <c r="P315" i="31"/>
  <c r="Z315" i="31" s="1"/>
  <c r="U315" i="31"/>
  <c r="AE315" i="31" s="1"/>
  <c r="V315" i="31"/>
  <c r="AF315" i="31" s="1"/>
  <c r="Z451" i="31"/>
  <c r="AJ279" i="31"/>
  <c r="AI415" i="31"/>
  <c r="AS243" i="31"/>
  <c r="AH387" i="31"/>
  <c r="AR215" i="31"/>
  <c r="Z387" i="31"/>
  <c r="AJ215" i="31"/>
  <c r="Z393" i="31"/>
  <c r="AJ221" i="31"/>
  <c r="AC472" i="31"/>
  <c r="AM300" i="31"/>
  <c r="V368" i="31"/>
  <c r="AF368" i="31" s="1"/>
  <c r="U368" i="31"/>
  <c r="AE368" i="31" s="1"/>
  <c r="W368" i="31"/>
  <c r="AG368" i="31" s="1"/>
  <c r="T368" i="31"/>
  <c r="AD368" i="31" s="1"/>
  <c r="R368" i="31"/>
  <c r="AB368" i="31" s="1"/>
  <c r="Q368" i="31"/>
  <c r="AA368" i="31" s="1"/>
  <c r="S368" i="31"/>
  <c r="AC368" i="31" s="1"/>
  <c r="Y368" i="31"/>
  <c r="AI368" i="31" s="1"/>
  <c r="X368" i="31"/>
  <c r="AH368" i="31" s="1"/>
  <c r="P368" i="31"/>
  <c r="Z368" i="31" s="1"/>
  <c r="AF450" i="31"/>
  <c r="AP278" i="31"/>
  <c r="AE524" i="31"/>
  <c r="AO352" i="31"/>
  <c r="AD414" i="31"/>
  <c r="AN242" i="31"/>
  <c r="AE520" i="31"/>
  <c r="AO348" i="31"/>
  <c r="AI481" i="31"/>
  <c r="AS309" i="31"/>
  <c r="Z481" i="31"/>
  <c r="AJ309" i="31"/>
  <c r="AI523" i="31"/>
  <c r="AS351" i="31"/>
  <c r="V350" i="31"/>
  <c r="AF350" i="31" s="1"/>
  <c r="P350" i="31"/>
  <c r="Z350" i="31" s="1"/>
  <c r="X350" i="31"/>
  <c r="AH350" i="31" s="1"/>
  <c r="T350" i="31"/>
  <c r="AD350" i="31" s="1"/>
  <c r="S350" i="31"/>
  <c r="AC350" i="31" s="1"/>
  <c r="R350" i="31"/>
  <c r="AB350" i="31" s="1"/>
  <c r="W350" i="31"/>
  <c r="AG350" i="31" s="1"/>
  <c r="Q350" i="31"/>
  <c r="AA350" i="31" s="1"/>
  <c r="Y350" i="31"/>
  <c r="AI350" i="31" s="1"/>
  <c r="U350" i="31"/>
  <c r="AE350" i="31" s="1"/>
  <c r="AC550" i="31"/>
  <c r="AM378" i="31"/>
  <c r="AD494" i="31"/>
  <c r="AN322" i="31"/>
  <c r="S261" i="31"/>
  <c r="AC261" i="31" s="1"/>
  <c r="X261" i="31"/>
  <c r="AH261" i="31" s="1"/>
  <c r="T261" i="31"/>
  <c r="AD261" i="31" s="1"/>
  <c r="R261" i="31"/>
  <c r="AB261" i="31" s="1"/>
  <c r="P261" i="31"/>
  <c r="Z261" i="31" s="1"/>
  <c r="Q261" i="31"/>
  <c r="AA261" i="31" s="1"/>
  <c r="V261" i="31"/>
  <c r="AF261" i="31" s="1"/>
  <c r="W261" i="31"/>
  <c r="AG261" i="31" s="1"/>
  <c r="Y261" i="31"/>
  <c r="AI261" i="31" s="1"/>
  <c r="U261" i="31"/>
  <c r="AE261" i="31" s="1"/>
  <c r="AC443" i="31"/>
  <c r="AM271" i="31"/>
  <c r="X263" i="31"/>
  <c r="AH263" i="31" s="1"/>
  <c r="T263" i="31"/>
  <c r="AD263" i="31" s="1"/>
  <c r="W263" i="31"/>
  <c r="AG263" i="31" s="1"/>
  <c r="V263" i="31"/>
  <c r="AF263" i="31" s="1"/>
  <c r="R263" i="31"/>
  <c r="AB263" i="31" s="1"/>
  <c r="S263" i="31"/>
  <c r="AC263" i="31" s="1"/>
  <c r="P263" i="31"/>
  <c r="Z263" i="31" s="1"/>
  <c r="U263" i="31"/>
  <c r="AE263" i="31" s="1"/>
  <c r="Y263" i="31"/>
  <c r="AI263" i="31" s="1"/>
  <c r="Q263" i="31"/>
  <c r="AA263" i="31" s="1"/>
  <c r="Z445" i="31"/>
  <c r="AJ273" i="31"/>
  <c r="S303" i="31"/>
  <c r="AC303" i="31" s="1"/>
  <c r="X303" i="31"/>
  <c r="AH303" i="31" s="1"/>
  <c r="T303" i="31"/>
  <c r="AD303" i="31" s="1"/>
  <c r="P303" i="31"/>
  <c r="Z303" i="31" s="1"/>
  <c r="V303" i="31"/>
  <c r="AF303" i="31" s="1"/>
  <c r="W303" i="31"/>
  <c r="AG303" i="31" s="1"/>
  <c r="U303" i="31"/>
  <c r="AE303" i="31" s="1"/>
  <c r="Q303" i="31"/>
  <c r="AA303" i="31" s="1"/>
  <c r="R303" i="31"/>
  <c r="AB303" i="31" s="1"/>
  <c r="Y303" i="31"/>
  <c r="AI303" i="31" s="1"/>
  <c r="V345" i="31"/>
  <c r="AF345" i="31" s="1"/>
  <c r="X345" i="31"/>
  <c r="AH345" i="31" s="1"/>
  <c r="W345" i="31"/>
  <c r="AG345" i="31" s="1"/>
  <c r="T345" i="31"/>
  <c r="AD345" i="31" s="1"/>
  <c r="S345" i="31"/>
  <c r="AC345" i="31" s="1"/>
  <c r="P345" i="31"/>
  <c r="Z345" i="31" s="1"/>
  <c r="R345" i="31"/>
  <c r="AB345" i="31" s="1"/>
  <c r="Q345" i="31"/>
  <c r="AA345" i="31" s="1"/>
  <c r="Y345" i="31"/>
  <c r="AI345" i="31" s="1"/>
  <c r="U345" i="31"/>
  <c r="AE345" i="31" s="1"/>
  <c r="S295" i="31"/>
  <c r="AC295" i="31" s="1"/>
  <c r="T295" i="31"/>
  <c r="AD295" i="31" s="1"/>
  <c r="P295" i="31"/>
  <c r="Z295" i="31" s="1"/>
  <c r="W295" i="31"/>
  <c r="AG295" i="31" s="1"/>
  <c r="R295" i="31"/>
  <c r="AB295" i="31" s="1"/>
  <c r="U295" i="31"/>
  <c r="AE295" i="31" s="1"/>
  <c r="V295" i="31"/>
  <c r="AF295" i="31" s="1"/>
  <c r="Q295" i="31"/>
  <c r="AA295" i="31" s="1"/>
  <c r="Y295" i="31"/>
  <c r="AI295" i="31" s="1"/>
  <c r="X295" i="31"/>
  <c r="AH295" i="31" s="1"/>
  <c r="AA447" i="31"/>
  <c r="AK275" i="31"/>
  <c r="AE515" i="31"/>
  <c r="AO343" i="31"/>
  <c r="AG389" i="31"/>
  <c r="AQ217" i="31"/>
  <c r="AH408" i="31"/>
  <c r="AR236" i="31"/>
  <c r="AG509" i="31"/>
  <c r="AQ337" i="31"/>
  <c r="AH509" i="31"/>
  <c r="AR337" i="31"/>
  <c r="AI448" i="31"/>
  <c r="AS276" i="31"/>
  <c r="AB442" i="31"/>
  <c r="AL270" i="31"/>
  <c r="AH442" i="31"/>
  <c r="AR270" i="31"/>
  <c r="AI492" i="31"/>
  <c r="AS320" i="31"/>
  <c r="AI541" i="31"/>
  <c r="AS369" i="31"/>
  <c r="AC473" i="31"/>
  <c r="AM301" i="31"/>
  <c r="AG473" i="31"/>
  <c r="AQ301" i="31"/>
  <c r="AD510" i="31"/>
  <c r="AN338" i="31"/>
  <c r="AG424" i="31"/>
  <c r="AQ252" i="31"/>
  <c r="Z424" i="31"/>
  <c r="AJ252" i="31"/>
  <c r="Z426" i="31"/>
  <c r="AJ254" i="31"/>
  <c r="AG474" i="31"/>
  <c r="AQ302" i="31"/>
  <c r="AB474" i="31"/>
  <c r="AL302" i="31"/>
  <c r="V318" i="31"/>
  <c r="AF318" i="31" s="1"/>
  <c r="R318" i="31"/>
  <c r="AB318" i="31" s="1"/>
  <c r="S318" i="31"/>
  <c r="AC318" i="31" s="1"/>
  <c r="Y318" i="31"/>
  <c r="AI318" i="31" s="1"/>
  <c r="U318" i="31"/>
  <c r="AE318" i="31" s="1"/>
  <c r="X318" i="31"/>
  <c r="AH318" i="31" s="1"/>
  <c r="W318" i="31"/>
  <c r="AG318" i="31" s="1"/>
  <c r="T318" i="31"/>
  <c r="AD318" i="31" s="1"/>
  <c r="P318" i="31"/>
  <c r="Z318" i="31" s="1"/>
  <c r="Q318" i="31"/>
  <c r="AA318" i="31" s="1"/>
  <c r="AF462" i="31"/>
  <c r="AP290" i="31"/>
  <c r="AB462" i="31"/>
  <c r="AL290" i="31"/>
  <c r="AI484" i="31"/>
  <c r="AS312" i="31"/>
  <c r="AH484" i="31"/>
  <c r="AR312" i="31"/>
  <c r="AA439" i="31"/>
  <c r="AK267" i="31"/>
  <c r="Z381" i="31"/>
  <c r="AJ209" i="31"/>
  <c r="S299" i="31"/>
  <c r="AC299" i="31" s="1"/>
  <c r="X299" i="31"/>
  <c r="AH299" i="31" s="1"/>
  <c r="P299" i="31"/>
  <c r="Z299" i="31" s="1"/>
  <c r="T299" i="31"/>
  <c r="AD299" i="31" s="1"/>
  <c r="Q299" i="31"/>
  <c r="AA299" i="31" s="1"/>
  <c r="Y299" i="31"/>
  <c r="AI299" i="31" s="1"/>
  <c r="V299" i="31"/>
  <c r="AF299" i="31" s="1"/>
  <c r="R299" i="31"/>
  <c r="AB299" i="31" s="1"/>
  <c r="U299" i="31"/>
  <c r="AE299" i="31" s="1"/>
  <c r="W299" i="31"/>
  <c r="AG299" i="31" s="1"/>
  <c r="AE513" i="31"/>
  <c r="AO341" i="31"/>
  <c r="AI485" i="31"/>
  <c r="AS313" i="31"/>
  <c r="Z485" i="31"/>
  <c r="AJ313" i="31"/>
  <c r="AI488" i="31"/>
  <c r="AS316" i="31"/>
  <c r="V356" i="31"/>
  <c r="AF356" i="31" s="1"/>
  <c r="X356" i="31"/>
  <c r="AH356" i="31" s="1"/>
  <c r="U356" i="31"/>
  <c r="AE356" i="31" s="1"/>
  <c r="W356" i="31"/>
  <c r="AG356" i="31" s="1"/>
  <c r="Q356" i="31"/>
  <c r="AA356" i="31" s="1"/>
  <c r="T356" i="31"/>
  <c r="AD356" i="31" s="1"/>
  <c r="Y356" i="31"/>
  <c r="AI356" i="31" s="1"/>
  <c r="S356" i="31"/>
  <c r="AC356" i="31" s="1"/>
  <c r="R356" i="31"/>
  <c r="AB356" i="31" s="1"/>
  <c r="P356" i="31"/>
  <c r="Z356" i="31" s="1"/>
  <c r="AG544" i="31"/>
  <c r="AQ372" i="31"/>
  <c r="W377" i="31"/>
  <c r="AG377" i="31" s="1"/>
  <c r="U377" i="31"/>
  <c r="AE377" i="31" s="1"/>
  <c r="T377" i="31"/>
  <c r="AD377" i="31" s="1"/>
  <c r="S377" i="31"/>
  <c r="AC377" i="31" s="1"/>
  <c r="R377" i="31"/>
  <c r="AB377" i="31" s="1"/>
  <c r="P377" i="31"/>
  <c r="Z377" i="31" s="1"/>
  <c r="X377" i="31"/>
  <c r="AH377" i="31" s="1"/>
  <c r="Y377" i="31"/>
  <c r="AI377" i="31" s="1"/>
  <c r="V377" i="31"/>
  <c r="AF377" i="31" s="1"/>
  <c r="Q377" i="31"/>
  <c r="AA377" i="31" s="1"/>
  <c r="BM212" i="31"/>
  <c r="X244" i="31"/>
  <c r="AH244" i="31" s="1"/>
  <c r="T244" i="31"/>
  <c r="AD244" i="31" s="1"/>
  <c r="R244" i="31"/>
  <c r="AB244" i="31" s="1"/>
  <c r="P244" i="31"/>
  <c r="Z244" i="31" s="1"/>
  <c r="Y244" i="31"/>
  <c r="AI244" i="31" s="1"/>
  <c r="Q244" i="31"/>
  <c r="AA244" i="31" s="1"/>
  <c r="W244" i="31"/>
  <c r="AG244" i="31" s="1"/>
  <c r="V244" i="31"/>
  <c r="AF244" i="31" s="1"/>
  <c r="U244" i="31"/>
  <c r="AE244" i="31" s="1"/>
  <c r="S244" i="31"/>
  <c r="AC244" i="31" s="1"/>
  <c r="Z538" i="31"/>
  <c r="AJ366" i="31"/>
  <c r="AA399" i="31"/>
  <c r="AK227" i="31"/>
  <c r="AH506" i="31"/>
  <c r="AR334" i="31"/>
  <c r="AH441" i="31"/>
  <c r="AR269" i="31"/>
  <c r="AI441" i="31"/>
  <c r="AS269" i="31"/>
  <c r="AD469" i="31"/>
  <c r="AN297" i="31"/>
  <c r="AI398" i="31"/>
  <c r="AS226" i="31"/>
  <c r="AB502" i="31"/>
  <c r="AL330" i="31"/>
  <c r="AF502" i="31"/>
  <c r="AP330" i="31"/>
  <c r="AG390" i="31"/>
  <c r="AQ218" i="31"/>
  <c r="AH391" i="31"/>
  <c r="AR219" i="31"/>
  <c r="AE391" i="31"/>
  <c r="AO219" i="31"/>
  <c r="AE388" i="31"/>
  <c r="AO216" i="31"/>
  <c r="AE496" i="31"/>
  <c r="AO324" i="31"/>
  <c r="AF496" i="31"/>
  <c r="AP324" i="31"/>
  <c r="AA400" i="31"/>
  <c r="AK228" i="31"/>
  <c r="AC422" i="31"/>
  <c r="AM250" i="31"/>
  <c r="AF422" i="31"/>
  <c r="AP250" i="31"/>
  <c r="AG470" i="31"/>
  <c r="AQ298" i="31"/>
  <c r="AI470" i="31"/>
  <c r="AS298" i="31"/>
  <c r="AH425" i="31"/>
  <c r="AR253" i="31"/>
  <c r="AD465" i="31"/>
  <c r="AN293" i="31"/>
  <c r="AB440" i="31"/>
  <c r="AL268" i="31"/>
  <c r="AF440" i="31"/>
  <c r="AP268" i="31"/>
  <c r="AC521" i="31"/>
  <c r="AM349" i="31"/>
  <c r="AH480" i="31"/>
  <c r="AR308" i="31"/>
  <c r="AI430" i="31"/>
  <c r="AS258" i="31"/>
  <c r="AF430" i="31"/>
  <c r="AP258" i="31"/>
  <c r="V333" i="31"/>
  <c r="AF333" i="31" s="1"/>
  <c r="U333" i="31"/>
  <c r="AE333" i="31" s="1"/>
  <c r="P333" i="31"/>
  <c r="Z333" i="31" s="1"/>
  <c r="Q333" i="31"/>
  <c r="AA333" i="31" s="1"/>
  <c r="X333" i="31"/>
  <c r="AH333" i="31" s="1"/>
  <c r="T333" i="31"/>
  <c r="AD333" i="31" s="1"/>
  <c r="W333" i="31"/>
  <c r="AG333" i="31" s="1"/>
  <c r="S333" i="31"/>
  <c r="AC333" i="31" s="1"/>
  <c r="Y333" i="31"/>
  <c r="AI333" i="31" s="1"/>
  <c r="R333" i="31"/>
  <c r="AB333" i="31" s="1"/>
  <c r="S321" i="31"/>
  <c r="AC321" i="31" s="1"/>
  <c r="P321" i="31"/>
  <c r="Z321" i="31" s="1"/>
  <c r="X321" i="31"/>
  <c r="AH321" i="31" s="1"/>
  <c r="W321" i="31"/>
  <c r="AG321" i="31" s="1"/>
  <c r="U321" i="31"/>
  <c r="AE321" i="31" s="1"/>
  <c r="T321" i="31"/>
  <c r="AD321" i="31" s="1"/>
  <c r="Q321" i="31"/>
  <c r="AA321" i="31" s="1"/>
  <c r="Y321" i="31"/>
  <c r="AI321" i="31" s="1"/>
  <c r="V321" i="31"/>
  <c r="AF321" i="31" s="1"/>
  <c r="R321" i="31"/>
  <c r="AB321" i="31" s="1"/>
  <c r="S317" i="31"/>
  <c r="AC317" i="31" s="1"/>
  <c r="X317" i="31"/>
  <c r="AH317" i="31" s="1"/>
  <c r="W317" i="31"/>
  <c r="AG317" i="31" s="1"/>
  <c r="U317" i="31"/>
  <c r="AE317" i="31" s="1"/>
  <c r="T317" i="31"/>
  <c r="AD317" i="31" s="1"/>
  <c r="P317" i="31"/>
  <c r="Z317" i="31" s="1"/>
  <c r="V317" i="31"/>
  <c r="AF317" i="31" s="1"/>
  <c r="R317" i="31"/>
  <c r="AB317" i="31" s="1"/>
  <c r="Y317" i="31"/>
  <c r="AI317" i="31" s="1"/>
  <c r="Q317" i="31"/>
  <c r="AA317" i="31" s="1"/>
  <c r="AG519" i="31"/>
  <c r="AQ347" i="31"/>
  <c r="AH519" i="31"/>
  <c r="AR347" i="31"/>
  <c r="V283" i="31"/>
  <c r="AF283" i="31" s="1"/>
  <c r="X283" i="31"/>
  <c r="AH283" i="31" s="1"/>
  <c r="R283" i="31"/>
  <c r="AB283" i="31" s="1"/>
  <c r="P283" i="31"/>
  <c r="Z283" i="31" s="1"/>
  <c r="Q283" i="31"/>
  <c r="AA283" i="31" s="1"/>
  <c r="U283" i="31"/>
  <c r="AE283" i="31" s="1"/>
  <c r="S283" i="31"/>
  <c r="AC283" i="31" s="1"/>
  <c r="T283" i="31"/>
  <c r="AD283" i="31" s="1"/>
  <c r="Y283" i="31"/>
  <c r="AI283" i="31" s="1"/>
  <c r="W283" i="31"/>
  <c r="AG283" i="31" s="1"/>
  <c r="AB403" i="31"/>
  <c r="AL231" i="31"/>
  <c r="AG403" i="31"/>
  <c r="AQ231" i="31"/>
  <c r="AF385" i="31"/>
  <c r="AP213" i="31"/>
  <c r="AB451" i="31"/>
  <c r="AL279" i="31"/>
  <c r="AC415" i="31"/>
  <c r="AM243" i="31"/>
  <c r="AC387" i="31"/>
  <c r="AM215" i="31"/>
  <c r="AI387" i="31"/>
  <c r="AS215" i="31"/>
  <c r="AC393" i="31"/>
  <c r="AM221" i="31"/>
  <c r="AG472" i="31"/>
  <c r="AQ300" i="31"/>
  <c r="AH450" i="31"/>
  <c r="AR278" i="31"/>
  <c r="AF524" i="31"/>
  <c r="AP352" i="31"/>
  <c r="AI414" i="31"/>
  <c r="AS242" i="31"/>
  <c r="Z520" i="31"/>
  <c r="AJ348" i="31"/>
  <c r="AF481" i="31"/>
  <c r="AP309" i="31"/>
  <c r="AC481" i="31"/>
  <c r="AM309" i="31"/>
  <c r="AB523" i="31"/>
  <c r="AL351" i="31"/>
  <c r="AD550" i="31"/>
  <c r="AN378" i="31"/>
  <c r="AF494" i="31"/>
  <c r="AP322" i="31"/>
  <c r="AD443" i="31"/>
  <c r="AN271" i="31"/>
  <c r="AB445" i="31"/>
  <c r="AL273" i="31"/>
  <c r="AB447" i="31"/>
  <c r="AL275" i="31"/>
  <c r="AD515" i="31"/>
  <c r="AN343" i="31"/>
  <c r="AF389" i="31"/>
  <c r="AP217" i="31"/>
  <c r="AH389" i="31"/>
  <c r="AR217" i="31"/>
  <c r="AF408" i="31"/>
  <c r="AP236" i="31"/>
  <c r="AI408" i="31"/>
  <c r="AS236" i="31"/>
  <c r="Y358" i="31"/>
  <c r="AI358" i="31" s="1"/>
  <c r="V358" i="31"/>
  <c r="AF358" i="31" s="1"/>
  <c r="W358" i="31"/>
  <c r="AG358" i="31" s="1"/>
  <c r="Q358" i="31"/>
  <c r="AA358" i="31" s="1"/>
  <c r="S358" i="31"/>
  <c r="AC358" i="31" s="1"/>
  <c r="U358" i="31"/>
  <c r="AE358" i="31" s="1"/>
  <c r="R358" i="31"/>
  <c r="AB358" i="31" s="1"/>
  <c r="T358" i="31"/>
  <c r="AD358" i="31" s="1"/>
  <c r="X358" i="31"/>
  <c r="AH358" i="31" s="1"/>
  <c r="P358" i="31"/>
  <c r="Z358" i="31" s="1"/>
  <c r="AI509" i="31"/>
  <c r="AS337" i="31"/>
  <c r="W319" i="31"/>
  <c r="AG319" i="31" s="1"/>
  <c r="Y319" i="31"/>
  <c r="AI319" i="31" s="1"/>
  <c r="X319" i="31"/>
  <c r="AH319" i="31" s="1"/>
  <c r="P319" i="31"/>
  <c r="Z319" i="31" s="1"/>
  <c r="T319" i="31"/>
  <c r="AD319" i="31" s="1"/>
  <c r="S319" i="31"/>
  <c r="AC319" i="31" s="1"/>
  <c r="R319" i="31"/>
  <c r="AB319" i="31" s="1"/>
  <c r="Q319" i="31"/>
  <c r="AA319" i="31" s="1"/>
  <c r="U319" i="31"/>
  <c r="AE319" i="31" s="1"/>
  <c r="V319" i="31"/>
  <c r="AF319" i="31" s="1"/>
  <c r="AC448" i="31"/>
  <c r="AM276" i="31"/>
  <c r="AC442" i="31"/>
  <c r="AM270" i="31"/>
  <c r="V272" i="31"/>
  <c r="AF272" i="31" s="1"/>
  <c r="S272" i="31"/>
  <c r="AC272" i="31" s="1"/>
  <c r="U272" i="31"/>
  <c r="AE272" i="31" s="1"/>
  <c r="R272" i="31"/>
  <c r="AB272" i="31" s="1"/>
  <c r="Q272" i="31"/>
  <c r="AA272" i="31" s="1"/>
  <c r="Y272" i="31"/>
  <c r="AI272" i="31" s="1"/>
  <c r="P272" i="31"/>
  <c r="Z272" i="31" s="1"/>
  <c r="X272" i="31"/>
  <c r="AH272" i="31" s="1"/>
  <c r="W272" i="31"/>
  <c r="AG272" i="31" s="1"/>
  <c r="T272" i="31"/>
  <c r="AD272" i="31" s="1"/>
  <c r="AF492" i="31"/>
  <c r="AP320" i="31"/>
  <c r="AC541" i="31"/>
  <c r="AM369" i="31"/>
  <c r="AE473" i="31"/>
  <c r="AO301" i="31"/>
  <c r="AG510" i="31"/>
  <c r="AQ338" i="31"/>
  <c r="AH510" i="31"/>
  <c r="AR338" i="31"/>
  <c r="AE424" i="31"/>
  <c r="AO252" i="31"/>
  <c r="AB424" i="31"/>
  <c r="AL252" i="31"/>
  <c r="AD426" i="31"/>
  <c r="AN254" i="31"/>
  <c r="AA474" i="31"/>
  <c r="AK302" i="31"/>
  <c r="AI474" i="31"/>
  <c r="AS302" i="31"/>
  <c r="AG462" i="31"/>
  <c r="AQ290" i="31"/>
  <c r="AD462" i="31"/>
  <c r="AN290" i="31"/>
  <c r="AD484" i="31"/>
  <c r="AN312" i="31"/>
  <c r="AF484" i="31"/>
  <c r="AP312" i="31"/>
  <c r="AE439" i="31"/>
  <c r="AO267" i="31"/>
  <c r="AB381" i="31"/>
  <c r="AL209" i="31"/>
  <c r="AC513" i="31"/>
  <c r="AM341" i="31"/>
  <c r="AF485" i="31"/>
  <c r="AP313" i="31"/>
  <c r="AC485" i="31"/>
  <c r="AM313" i="31"/>
  <c r="AD488" i="31"/>
  <c r="AN316" i="31"/>
  <c r="AE544" i="31"/>
  <c r="AO372" i="31"/>
  <c r="BN212" i="31"/>
  <c r="AF538" i="31"/>
  <c r="AP366" i="31"/>
  <c r="AB538" i="31"/>
  <c r="AL366" i="31"/>
  <c r="AI399" i="31"/>
  <c r="AS227" i="31"/>
  <c r="AA506" i="31"/>
  <c r="AK334" i="31"/>
  <c r="AE441" i="31"/>
  <c r="AO269" i="31"/>
  <c r="AE469" i="31"/>
  <c r="AO297" i="31"/>
  <c r="AH469" i="31"/>
  <c r="AR297" i="31"/>
  <c r="AH398" i="31"/>
  <c r="AR226" i="31"/>
  <c r="AA398" i="31"/>
  <c r="AK226" i="31"/>
  <c r="C13" i="49"/>
  <c r="M12" i="1"/>
  <c r="F19" i="3" s="1"/>
  <c r="C19" i="95"/>
  <c r="C19" i="93"/>
  <c r="C19" i="94"/>
  <c r="S48" i="2"/>
  <c r="C19" i="92"/>
  <c r="AG502" i="31"/>
  <c r="AQ330" i="31"/>
  <c r="AI390" i="31"/>
  <c r="AS218" i="31"/>
  <c r="AH390" i="31"/>
  <c r="AR218" i="31"/>
  <c r="AG391" i="31"/>
  <c r="AQ219" i="31"/>
  <c r="X259" i="31"/>
  <c r="AH259" i="31" s="1"/>
  <c r="T259" i="31"/>
  <c r="AD259" i="31" s="1"/>
  <c r="U259" i="31"/>
  <c r="AE259" i="31" s="1"/>
  <c r="Y259" i="31"/>
  <c r="AI259" i="31" s="1"/>
  <c r="Q259" i="31"/>
  <c r="AA259" i="31" s="1"/>
  <c r="P259" i="31"/>
  <c r="Z259" i="31" s="1"/>
  <c r="W259" i="31"/>
  <c r="AG259" i="31" s="1"/>
  <c r="S259" i="31"/>
  <c r="AC259" i="31" s="1"/>
  <c r="V259" i="31"/>
  <c r="AF259" i="31" s="1"/>
  <c r="R259" i="31"/>
  <c r="AB259" i="31" s="1"/>
  <c r="AH388" i="31"/>
  <c r="AR216" i="31"/>
  <c r="AI496" i="31"/>
  <c r="AS324" i="31"/>
  <c r="AG496" i="31"/>
  <c r="AQ324" i="31"/>
  <c r="AE400" i="31"/>
  <c r="AO228" i="31"/>
  <c r="AI422" i="31"/>
  <c r="AS250" i="31"/>
  <c r="W344" i="31"/>
  <c r="AG344" i="31" s="1"/>
  <c r="X344" i="31"/>
  <c r="AH344" i="31" s="1"/>
  <c r="Y344" i="31"/>
  <c r="AI344" i="31" s="1"/>
  <c r="P344" i="31"/>
  <c r="Z344" i="31" s="1"/>
  <c r="Q344" i="31"/>
  <c r="AA344" i="31" s="1"/>
  <c r="U344" i="31"/>
  <c r="AE344" i="31" s="1"/>
  <c r="T344" i="31"/>
  <c r="AD344" i="31" s="1"/>
  <c r="R344" i="31"/>
  <c r="AB344" i="31" s="1"/>
  <c r="S344" i="31"/>
  <c r="AC344" i="31" s="1"/>
  <c r="V344" i="31"/>
  <c r="AF344" i="31" s="1"/>
  <c r="W365" i="31"/>
  <c r="AG365" i="31" s="1"/>
  <c r="T365" i="31"/>
  <c r="AD365" i="31" s="1"/>
  <c r="S365" i="31"/>
  <c r="AC365" i="31" s="1"/>
  <c r="P365" i="31"/>
  <c r="Z365" i="31" s="1"/>
  <c r="X365" i="31"/>
  <c r="AH365" i="31" s="1"/>
  <c r="U365" i="31"/>
  <c r="AE365" i="31" s="1"/>
  <c r="Q365" i="31"/>
  <c r="AA365" i="31" s="1"/>
  <c r="R365" i="31"/>
  <c r="AB365" i="31" s="1"/>
  <c r="Y365" i="31"/>
  <c r="AI365" i="31" s="1"/>
  <c r="V365" i="31"/>
  <c r="AF365" i="31" s="1"/>
  <c r="AH470" i="31"/>
  <c r="AR298" i="31"/>
  <c r="AG425" i="31"/>
  <c r="AQ253" i="31"/>
  <c r="AB425" i="31"/>
  <c r="AL253" i="31"/>
  <c r="AI465" i="31"/>
  <c r="AS293" i="31"/>
  <c r="AH465" i="31"/>
  <c r="AR293" i="31"/>
  <c r="AD440" i="31"/>
  <c r="AN268" i="31"/>
  <c r="AE521" i="31"/>
  <c r="AO349" i="31"/>
  <c r="AA521" i="31"/>
  <c r="AK349" i="31"/>
  <c r="AI480" i="31"/>
  <c r="AS308" i="31"/>
  <c r="V329" i="31"/>
  <c r="AF329" i="31" s="1"/>
  <c r="S329" i="31"/>
  <c r="AC329" i="31" s="1"/>
  <c r="R329" i="31"/>
  <c r="AB329" i="31" s="1"/>
  <c r="W329" i="31"/>
  <c r="AG329" i="31" s="1"/>
  <c r="Q329" i="31"/>
  <c r="AA329" i="31" s="1"/>
  <c r="P329" i="31"/>
  <c r="Z329" i="31" s="1"/>
  <c r="Y329" i="31"/>
  <c r="AI329" i="31" s="1"/>
  <c r="X329" i="31"/>
  <c r="AH329" i="31" s="1"/>
  <c r="T329" i="31"/>
  <c r="AD329" i="31" s="1"/>
  <c r="U329" i="31"/>
  <c r="AE329" i="31" s="1"/>
  <c r="AH430" i="31"/>
  <c r="AR258" i="31"/>
  <c r="V266" i="31"/>
  <c r="AF266" i="31" s="1"/>
  <c r="T266" i="31"/>
  <c r="AD266" i="31" s="1"/>
  <c r="R266" i="31"/>
  <c r="AB266" i="31" s="1"/>
  <c r="X266" i="31"/>
  <c r="AH266" i="31" s="1"/>
  <c r="Y266" i="31"/>
  <c r="AI266" i="31" s="1"/>
  <c r="W266" i="31"/>
  <c r="AG266" i="31" s="1"/>
  <c r="S266" i="31"/>
  <c r="AC266" i="31" s="1"/>
  <c r="U266" i="31"/>
  <c r="AE266" i="31" s="1"/>
  <c r="P266" i="31"/>
  <c r="Z266" i="31" s="1"/>
  <c r="Q266" i="31"/>
  <c r="AA266" i="31" s="1"/>
  <c r="AI519" i="31"/>
  <c r="AS347" i="31"/>
  <c r="Z519" i="31"/>
  <c r="AJ347" i="31"/>
  <c r="AI403" i="31"/>
  <c r="AS231" i="31"/>
  <c r="S265" i="31"/>
  <c r="AC265" i="31" s="1"/>
  <c r="X265" i="31"/>
  <c r="AH265" i="31" s="1"/>
  <c r="T265" i="31"/>
  <c r="AD265" i="31" s="1"/>
  <c r="R265" i="31"/>
  <c r="AB265" i="31" s="1"/>
  <c r="P265" i="31"/>
  <c r="Z265" i="31" s="1"/>
  <c r="Y265" i="31"/>
  <c r="AI265" i="31" s="1"/>
  <c r="U265" i="31"/>
  <c r="AE265" i="31" s="1"/>
  <c r="Q265" i="31"/>
  <c r="AA265" i="31" s="1"/>
  <c r="V265" i="31"/>
  <c r="AF265" i="31" s="1"/>
  <c r="W265" i="31"/>
  <c r="AG265" i="31" s="1"/>
  <c r="Z385" i="31"/>
  <c r="AJ213" i="31"/>
  <c r="AD451" i="31"/>
  <c r="AN279" i="31"/>
  <c r="AH451" i="31"/>
  <c r="AR279" i="31"/>
  <c r="AE415" i="31"/>
  <c r="AO243" i="31"/>
  <c r="AB387" i="31"/>
  <c r="AL215" i="31"/>
  <c r="Q354" i="31"/>
  <c r="AA354" i="31" s="1"/>
  <c r="V354" i="31"/>
  <c r="AF354" i="31" s="1"/>
  <c r="U354" i="31"/>
  <c r="AE354" i="31" s="1"/>
  <c r="R354" i="31"/>
  <c r="AB354" i="31" s="1"/>
  <c r="T354" i="31"/>
  <c r="AD354" i="31" s="1"/>
  <c r="S354" i="31"/>
  <c r="AC354" i="31" s="1"/>
  <c r="P354" i="31"/>
  <c r="Z354" i="31" s="1"/>
  <c r="W354" i="31"/>
  <c r="AG354" i="31" s="1"/>
  <c r="X354" i="31"/>
  <c r="AH354" i="31" s="1"/>
  <c r="Y354" i="31"/>
  <c r="AI354" i="31" s="1"/>
  <c r="AE393" i="31"/>
  <c r="AO221" i="31"/>
  <c r="AB472" i="31"/>
  <c r="AL300" i="31"/>
  <c r="AE450" i="31"/>
  <c r="AO278" i="31"/>
  <c r="Z450" i="31"/>
  <c r="AJ278" i="31"/>
  <c r="AG524" i="31"/>
  <c r="AQ352" i="31"/>
  <c r="AE414" i="31"/>
  <c r="AO242" i="31"/>
  <c r="Y233" i="31"/>
  <c r="AI233" i="31" s="1"/>
  <c r="T233" i="31"/>
  <c r="AD233" i="31" s="1"/>
  <c r="S233" i="31"/>
  <c r="AC233" i="31" s="1"/>
  <c r="R233" i="31"/>
  <c r="AB233" i="31" s="1"/>
  <c r="W233" i="31"/>
  <c r="AG233" i="31" s="1"/>
  <c r="P233" i="31"/>
  <c r="Z233" i="31" s="1"/>
  <c r="X233" i="31"/>
  <c r="AH233" i="31" s="1"/>
  <c r="U233" i="31"/>
  <c r="AE233" i="31" s="1"/>
  <c r="Q233" i="31"/>
  <c r="AA233" i="31" s="1"/>
  <c r="V233" i="31"/>
  <c r="AF233" i="31" s="1"/>
  <c r="AA520" i="31"/>
  <c r="AK348" i="31"/>
  <c r="AB481" i="31"/>
  <c r="AL309" i="31"/>
  <c r="AG523" i="31"/>
  <c r="AQ351" i="31"/>
  <c r="AH523" i="31"/>
  <c r="AR351" i="31"/>
  <c r="AA550" i="31"/>
  <c r="AK378" i="31"/>
  <c r="AB550" i="31"/>
  <c r="AL378" i="31"/>
  <c r="Z494" i="31"/>
  <c r="AJ322" i="31"/>
  <c r="V274" i="31"/>
  <c r="AF274" i="31" s="1"/>
  <c r="X274" i="31"/>
  <c r="AH274" i="31" s="1"/>
  <c r="W274" i="31"/>
  <c r="AG274" i="31" s="1"/>
  <c r="U274" i="31"/>
  <c r="AE274" i="31" s="1"/>
  <c r="T274" i="31"/>
  <c r="AD274" i="31" s="1"/>
  <c r="P274" i="31"/>
  <c r="Z274" i="31" s="1"/>
  <c r="S274" i="31"/>
  <c r="AC274" i="31" s="1"/>
  <c r="R274" i="31"/>
  <c r="AB274" i="31" s="1"/>
  <c r="Y274" i="31"/>
  <c r="AI274" i="31" s="1"/>
  <c r="Q274" i="31"/>
  <c r="AA274" i="31" s="1"/>
  <c r="Z443" i="31"/>
  <c r="AJ271" i="31"/>
  <c r="AA445" i="31"/>
  <c r="AK273" i="31"/>
  <c r="AH445" i="31"/>
  <c r="AR273" i="31"/>
  <c r="Y374" i="31"/>
  <c r="AI374" i="31" s="1"/>
  <c r="R374" i="31"/>
  <c r="AB374" i="31" s="1"/>
  <c r="V374" i="31"/>
  <c r="AF374" i="31" s="1"/>
  <c r="U374" i="31"/>
  <c r="AE374" i="31" s="1"/>
  <c r="S374" i="31"/>
  <c r="AC374" i="31" s="1"/>
  <c r="W374" i="31"/>
  <c r="AG374" i="31" s="1"/>
  <c r="X374" i="31"/>
  <c r="AH374" i="31" s="1"/>
  <c r="T374" i="31"/>
  <c r="AD374" i="31" s="1"/>
  <c r="Q374" i="31"/>
  <c r="AA374" i="31" s="1"/>
  <c r="P374" i="31"/>
  <c r="Z374" i="31" s="1"/>
  <c r="S291" i="31"/>
  <c r="AC291" i="31" s="1"/>
  <c r="T291" i="31"/>
  <c r="AD291" i="31" s="1"/>
  <c r="P291" i="31"/>
  <c r="Z291" i="31" s="1"/>
  <c r="X291" i="31"/>
  <c r="AH291" i="31" s="1"/>
  <c r="Y291" i="31"/>
  <c r="AI291" i="31" s="1"/>
  <c r="U291" i="31"/>
  <c r="AE291" i="31" s="1"/>
  <c r="Q291" i="31"/>
  <c r="AA291" i="31" s="1"/>
  <c r="W291" i="31"/>
  <c r="AG291" i="31" s="1"/>
  <c r="V291" i="31"/>
  <c r="AF291" i="31" s="1"/>
  <c r="R291" i="31"/>
  <c r="AB291" i="31" s="1"/>
  <c r="AH447" i="31"/>
  <c r="AR275" i="31"/>
  <c r="AC515" i="31"/>
  <c r="AM343" i="31"/>
  <c r="AA389" i="31"/>
  <c r="AK217" i="31"/>
  <c r="AI389" i="31"/>
  <c r="AS217" i="31"/>
  <c r="AD408" i="31"/>
  <c r="AN236" i="31"/>
  <c r="AG408" i="31"/>
  <c r="AQ236" i="31"/>
  <c r="AA509" i="31"/>
  <c r="AK337" i="31"/>
  <c r="AD448" i="31"/>
  <c r="AN276" i="31"/>
  <c r="AF442" i="31"/>
  <c r="AP270" i="31"/>
  <c r="AH492" i="31"/>
  <c r="AR320" i="31"/>
  <c r="AD541" i="31"/>
  <c r="AN369" i="31"/>
  <c r="AI473" i="31"/>
  <c r="AS301" i="31"/>
  <c r="AI510" i="31"/>
  <c r="AS338" i="31"/>
  <c r="AC510" i="31"/>
  <c r="AM338" i="31"/>
  <c r="AD424" i="31"/>
  <c r="AN252" i="31"/>
  <c r="AE426" i="31"/>
  <c r="AO254" i="31"/>
  <c r="AB426" i="31"/>
  <c r="AL254" i="31"/>
  <c r="AF474" i="31"/>
  <c r="AP302" i="31"/>
  <c r="V357" i="31"/>
  <c r="AF357" i="31" s="1"/>
  <c r="U357" i="31"/>
  <c r="AE357" i="31" s="1"/>
  <c r="T357" i="31"/>
  <c r="AD357" i="31" s="1"/>
  <c r="S357" i="31"/>
  <c r="AC357" i="31" s="1"/>
  <c r="R357" i="31"/>
  <c r="AB357" i="31" s="1"/>
  <c r="Q357" i="31"/>
  <c r="AA357" i="31" s="1"/>
  <c r="Y357" i="31"/>
  <c r="AI357" i="31" s="1"/>
  <c r="P357" i="31"/>
  <c r="Z357" i="31" s="1"/>
  <c r="X357" i="31"/>
  <c r="AH357" i="31" s="1"/>
  <c r="W357" i="31"/>
  <c r="AG357" i="31" s="1"/>
  <c r="W373" i="31"/>
  <c r="AG373" i="31" s="1"/>
  <c r="X373" i="31"/>
  <c r="AH373" i="31" s="1"/>
  <c r="U373" i="31"/>
  <c r="AE373" i="31" s="1"/>
  <c r="T373" i="31"/>
  <c r="AD373" i="31" s="1"/>
  <c r="S373" i="31"/>
  <c r="AC373" i="31" s="1"/>
  <c r="R373" i="31"/>
  <c r="AB373" i="31" s="1"/>
  <c r="P373" i="31"/>
  <c r="Z373" i="31" s="1"/>
  <c r="Q373" i="31"/>
  <c r="AA373" i="31" s="1"/>
  <c r="V373" i="31"/>
  <c r="AF373" i="31" s="1"/>
  <c r="Y373" i="31"/>
  <c r="AI373" i="31" s="1"/>
  <c r="Z462" i="31"/>
  <c r="AJ290" i="31"/>
  <c r="V361" i="31"/>
  <c r="AF361" i="31" s="1"/>
  <c r="S361" i="31"/>
  <c r="AC361" i="31" s="1"/>
  <c r="R361" i="31"/>
  <c r="AB361" i="31" s="1"/>
  <c r="Q361" i="31"/>
  <c r="AA361" i="31" s="1"/>
  <c r="P361" i="31"/>
  <c r="Z361" i="31" s="1"/>
  <c r="Y361" i="31"/>
  <c r="AI361" i="31" s="1"/>
  <c r="X361" i="31"/>
  <c r="AH361" i="31" s="1"/>
  <c r="W361" i="31"/>
  <c r="AG361" i="31" s="1"/>
  <c r="T361" i="31"/>
  <c r="AD361" i="31" s="1"/>
  <c r="U361" i="31"/>
  <c r="AE361" i="31" s="1"/>
  <c r="AG484" i="31"/>
  <c r="AQ312" i="31"/>
  <c r="W224" i="31"/>
  <c r="AG224" i="31" s="1"/>
  <c r="Q224" i="31"/>
  <c r="AA224" i="31" s="1"/>
  <c r="P224" i="31"/>
  <c r="Z224" i="31" s="1"/>
  <c r="Y224" i="31"/>
  <c r="AI224" i="31" s="1"/>
  <c r="U224" i="31"/>
  <c r="AE224" i="31" s="1"/>
  <c r="X224" i="31"/>
  <c r="AH224" i="31" s="1"/>
  <c r="S224" i="31"/>
  <c r="AC224" i="31" s="1"/>
  <c r="R224" i="31"/>
  <c r="AB224" i="31" s="1"/>
  <c r="T224" i="31"/>
  <c r="AD224" i="31" s="1"/>
  <c r="V224" i="31"/>
  <c r="AF224" i="31" s="1"/>
  <c r="AC439" i="31"/>
  <c r="AM267" i="31"/>
  <c r="AI381" i="31"/>
  <c r="AS209" i="31"/>
  <c r="X247" i="31"/>
  <c r="AH247" i="31" s="1"/>
  <c r="T247" i="31"/>
  <c r="AD247" i="31" s="1"/>
  <c r="R247" i="31"/>
  <c r="AB247" i="31" s="1"/>
  <c r="S247" i="31"/>
  <c r="AC247" i="31" s="1"/>
  <c r="P247" i="31"/>
  <c r="Z247" i="31" s="1"/>
  <c r="Q247" i="31"/>
  <c r="AA247" i="31" s="1"/>
  <c r="U247" i="31"/>
  <c r="AE247" i="31" s="1"/>
  <c r="Y247" i="31"/>
  <c r="AI247" i="31" s="1"/>
  <c r="W247" i="31"/>
  <c r="AG247" i="31" s="1"/>
  <c r="V247" i="31"/>
  <c r="AF247" i="31" s="1"/>
  <c r="AD513" i="31"/>
  <c r="AN341" i="31"/>
  <c r="AB485" i="31"/>
  <c r="AL313" i="31"/>
  <c r="R264" i="31"/>
  <c r="AB264" i="31" s="1"/>
  <c r="S264" i="31"/>
  <c r="AC264" i="31" s="1"/>
  <c r="Q264" i="31"/>
  <c r="AA264" i="31" s="1"/>
  <c r="P264" i="31"/>
  <c r="Z264" i="31" s="1"/>
  <c r="Y264" i="31"/>
  <c r="AI264" i="31" s="1"/>
  <c r="X264" i="31"/>
  <c r="AH264" i="31" s="1"/>
  <c r="T264" i="31"/>
  <c r="AD264" i="31" s="1"/>
  <c r="U264" i="31"/>
  <c r="AE264" i="31" s="1"/>
  <c r="V264" i="31"/>
  <c r="AF264" i="31" s="1"/>
  <c r="W264" i="31"/>
  <c r="AG264" i="31" s="1"/>
  <c r="AG488" i="31"/>
  <c r="AQ316" i="31"/>
  <c r="AA544" i="31"/>
  <c r="AK372" i="31"/>
  <c r="Z544" i="31"/>
  <c r="AJ372" i="31"/>
  <c r="R310" i="31"/>
  <c r="AB310" i="31" s="1"/>
  <c r="V310" i="31"/>
  <c r="AF310" i="31" s="1"/>
  <c r="X310" i="31"/>
  <c r="AH310" i="31" s="1"/>
  <c r="P310" i="31"/>
  <c r="Z310" i="31" s="1"/>
  <c r="U310" i="31"/>
  <c r="AE310" i="31" s="1"/>
  <c r="S310" i="31"/>
  <c r="AC310" i="31" s="1"/>
  <c r="T310" i="31"/>
  <c r="AD310" i="31" s="1"/>
  <c r="W310" i="31"/>
  <c r="AG310" i="31" s="1"/>
  <c r="Y310" i="31"/>
  <c r="AI310" i="31" s="1"/>
  <c r="Q310" i="31"/>
  <c r="AA310" i="31" s="1"/>
  <c r="Y225" i="31"/>
  <c r="AI225" i="31" s="1"/>
  <c r="X225" i="31"/>
  <c r="AH225" i="31" s="1"/>
  <c r="W225" i="31"/>
  <c r="AG225" i="31" s="1"/>
  <c r="U225" i="31"/>
  <c r="AE225" i="31" s="1"/>
  <c r="T225" i="31"/>
  <c r="AD225" i="31" s="1"/>
  <c r="S225" i="31"/>
  <c r="AC225" i="31" s="1"/>
  <c r="R225" i="31"/>
  <c r="AB225" i="31" s="1"/>
  <c r="P225" i="31"/>
  <c r="Z225" i="31" s="1"/>
  <c r="Q225" i="31"/>
  <c r="AA225" i="31" s="1"/>
  <c r="V225" i="31"/>
  <c r="AF225" i="31" s="1"/>
  <c r="AA538" i="31"/>
  <c r="AK366" i="31"/>
  <c r="AI538" i="31"/>
  <c r="AS366" i="31"/>
  <c r="AB399" i="31"/>
  <c r="AL227" i="31"/>
  <c r="Z506" i="31"/>
  <c r="AJ334" i="31"/>
  <c r="AA441" i="31"/>
  <c r="AK269" i="31"/>
  <c r="AF469" i="31"/>
  <c r="AP297" i="31"/>
  <c r="AG469" i="31"/>
  <c r="AQ297" i="31"/>
  <c r="Z398" i="31"/>
  <c r="AJ226" i="31"/>
  <c r="AC398" i="31"/>
  <c r="AM226" i="31"/>
  <c r="AK177" i="99"/>
  <c r="AR177" i="99"/>
  <c r="AQ177" i="99"/>
  <c r="AP177" i="99"/>
  <c r="AL177" i="99"/>
  <c r="AM177" i="99"/>
  <c r="AO177" i="99"/>
  <c r="AN177" i="99"/>
  <c r="AV177" i="99"/>
  <c r="AW177" i="99"/>
  <c r="BB177" i="99"/>
  <c r="BA177" i="99"/>
  <c r="AZ177" i="99"/>
  <c r="AY177" i="99"/>
  <c r="AX177" i="99"/>
  <c r="BC177" i="99"/>
  <c r="B118" i="95"/>
  <c r="B118" i="94"/>
  <c r="B118" i="93"/>
  <c r="I116" i="92"/>
  <c r="B117" i="92"/>
  <c r="C204" i="31"/>
  <c r="F204" i="31" s="1"/>
  <c r="B73" i="74"/>
  <c r="B70" i="74"/>
  <c r="G201" i="72"/>
  <c r="D201" i="73"/>
  <c r="E36" i="1" s="1"/>
  <c r="C3" i="31"/>
  <c r="D3" i="31" s="1"/>
  <c r="C201" i="73"/>
  <c r="E35" i="1" s="1"/>
  <c r="BP203" i="23"/>
  <c r="BP204" i="23" s="1"/>
  <c r="E201" i="73"/>
  <c r="F201" i="73"/>
  <c r="E38" i="1" s="1"/>
  <c r="C35" i="49" s="1"/>
  <c r="BQ203" i="23"/>
  <c r="BQ204" i="23" s="1"/>
  <c r="E201" i="72"/>
  <c r="C201" i="72"/>
  <c r="E34" i="1" s="1"/>
  <c r="J181" i="71"/>
  <c r="D201" i="72"/>
  <c r="BS203" i="23"/>
  <c r="BS204" i="23" s="1"/>
  <c r="H201" i="72"/>
  <c r="L192" i="71"/>
  <c r="K81" i="71"/>
  <c r="I57" i="71"/>
  <c r="M57" i="71" s="1"/>
  <c r="BT203" i="23"/>
  <c r="BT204" i="23" s="1"/>
  <c r="U6" i="10"/>
  <c r="F201" i="72"/>
  <c r="I80" i="71"/>
  <c r="N80" i="71" s="1"/>
  <c r="L70" i="71"/>
  <c r="BU203" i="23"/>
  <c r="BU204" i="23" s="1"/>
  <c r="I99" i="71"/>
  <c r="O99" i="71" s="1"/>
  <c r="I140" i="71"/>
  <c r="J140" i="71" s="1"/>
  <c r="BN203" i="23"/>
  <c r="BN204" i="23" s="1"/>
  <c r="BO203" i="23"/>
  <c r="BO204" i="23" s="1"/>
  <c r="BR203" i="23"/>
  <c r="BR204" i="23" s="1"/>
  <c r="AI21" i="71"/>
  <c r="AI22" i="71" s="1"/>
  <c r="AI24" i="71" s="1"/>
  <c r="N214" i="71"/>
  <c r="L81" i="71"/>
  <c r="K72" i="71"/>
  <c r="L143" i="71"/>
  <c r="N46" i="71"/>
  <c r="N181" i="71"/>
  <c r="L214" i="71"/>
  <c r="M81" i="71"/>
  <c r="N72" i="71"/>
  <c r="J46" i="71"/>
  <c r="I102" i="71"/>
  <c r="K102" i="71" s="1"/>
  <c r="J132" i="71"/>
  <c r="O192" i="71"/>
  <c r="AQ21" i="71"/>
  <c r="AQ23" i="71" s="1"/>
  <c r="O70" i="71"/>
  <c r="M131" i="71"/>
  <c r="N132" i="71"/>
  <c r="M192" i="71"/>
  <c r="K70" i="71"/>
  <c r="N195" i="71"/>
  <c r="K136" i="71"/>
  <c r="Q21" i="71"/>
  <c r="Q23" i="71" s="1"/>
  <c r="AP21" i="71"/>
  <c r="AP23" i="71" s="1"/>
  <c r="L195" i="71"/>
  <c r="J136" i="71"/>
  <c r="AE21" i="71"/>
  <c r="AE22" i="71" s="1"/>
  <c r="AE24" i="71" s="1"/>
  <c r="M181" i="71"/>
  <c r="K192" i="71"/>
  <c r="I214" i="71"/>
  <c r="O81" i="71"/>
  <c r="N70" i="71"/>
  <c r="M72" i="71"/>
  <c r="K143" i="71"/>
  <c r="I131" i="71"/>
  <c r="K46" i="71"/>
  <c r="M132" i="71"/>
  <c r="M136" i="71"/>
  <c r="AB21" i="71"/>
  <c r="Y21" i="71"/>
  <c r="AC21" i="71"/>
  <c r="T21" i="71"/>
  <c r="K169" i="71"/>
  <c r="M191" i="71"/>
  <c r="O173" i="71"/>
  <c r="M38" i="71"/>
  <c r="M121" i="71"/>
  <c r="M193" i="71"/>
  <c r="K57" i="71"/>
  <c r="AJ21" i="71"/>
  <c r="X21" i="71"/>
  <c r="AF21" i="71"/>
  <c r="AO21" i="71"/>
  <c r="N169" i="71"/>
  <c r="O191" i="71"/>
  <c r="I157" i="71"/>
  <c r="N157" i="71" s="1"/>
  <c r="I173" i="71"/>
  <c r="I49" i="71"/>
  <c r="M49" i="71" s="1"/>
  <c r="I125" i="71"/>
  <c r="I121" i="71"/>
  <c r="I98" i="71"/>
  <c r="K98" i="71" s="1"/>
  <c r="K193" i="71"/>
  <c r="I181" i="71"/>
  <c r="N192" i="71"/>
  <c r="J214" i="71"/>
  <c r="I70" i="71"/>
  <c r="O72" i="71"/>
  <c r="N143" i="71"/>
  <c r="N131" i="71"/>
  <c r="K195" i="71"/>
  <c r="I46" i="71"/>
  <c r="N136" i="71"/>
  <c r="AN21" i="71"/>
  <c r="AM21" i="71"/>
  <c r="AU21" i="71"/>
  <c r="M169" i="71"/>
  <c r="N191" i="71"/>
  <c r="I149" i="71"/>
  <c r="L149" i="71" s="1"/>
  <c r="I38" i="71"/>
  <c r="M125" i="71"/>
  <c r="J121" i="71"/>
  <c r="O193" i="71"/>
  <c r="I175" i="71"/>
  <c r="J175" i="71" s="1"/>
  <c r="I84" i="71"/>
  <c r="O84" i="71" s="1"/>
  <c r="K181" i="71"/>
  <c r="K214" i="71"/>
  <c r="I81" i="71"/>
  <c r="M70" i="71"/>
  <c r="M140" i="71"/>
  <c r="J72" i="71"/>
  <c r="I210" i="71"/>
  <c r="L210" i="71" s="1"/>
  <c r="O143" i="71"/>
  <c r="I199" i="71"/>
  <c r="J199" i="71" s="1"/>
  <c r="K131" i="71"/>
  <c r="I195" i="71"/>
  <c r="I132" i="71"/>
  <c r="L136" i="71"/>
  <c r="R21" i="71"/>
  <c r="AT21" i="71"/>
  <c r="AV21" i="71"/>
  <c r="J169" i="71"/>
  <c r="I191" i="71"/>
  <c r="I100" i="71"/>
  <c r="L100" i="71" s="1"/>
  <c r="M173" i="71"/>
  <c r="O38" i="71"/>
  <c r="O125" i="71"/>
  <c r="N121" i="71"/>
  <c r="I127" i="71"/>
  <c r="J127" i="71" s="1"/>
  <c r="H3" i="71"/>
  <c r="M29" i="71"/>
  <c r="M76" i="71"/>
  <c r="L39" i="71"/>
  <c r="J52" i="71"/>
  <c r="O44" i="71"/>
  <c r="M31" i="71"/>
  <c r="I36" i="71"/>
  <c r="I63" i="71"/>
  <c r="K130" i="71"/>
  <c r="I202" i="71"/>
  <c r="N202" i="71" s="1"/>
  <c r="O41" i="71"/>
  <c r="O65" i="71"/>
  <c r="L73" i="71"/>
  <c r="L88" i="71"/>
  <c r="I103" i="71"/>
  <c r="J128" i="71"/>
  <c r="I158" i="71"/>
  <c r="M197" i="71"/>
  <c r="K207" i="71"/>
  <c r="L177" i="71"/>
  <c r="N184" i="71"/>
  <c r="I30" i="71"/>
  <c r="O30" i="71" s="1"/>
  <c r="O117" i="71"/>
  <c r="J163" i="71"/>
  <c r="K171" i="71"/>
  <c r="K186" i="71"/>
  <c r="O35" i="71"/>
  <c r="J43" i="71"/>
  <c r="N51" i="71"/>
  <c r="I67" i="71"/>
  <c r="O67" i="71" s="1"/>
  <c r="J83" i="71"/>
  <c r="I95" i="71"/>
  <c r="I105" i="71"/>
  <c r="K112" i="71"/>
  <c r="L137" i="71"/>
  <c r="O153" i="71"/>
  <c r="I59" i="71"/>
  <c r="I48" i="71"/>
  <c r="K48" i="71" s="1"/>
  <c r="L85" i="71"/>
  <c r="L87" i="71"/>
  <c r="K142" i="71"/>
  <c r="O188" i="71"/>
  <c r="M206" i="71"/>
  <c r="N111" i="71"/>
  <c r="I53" i="71"/>
  <c r="J69" i="71"/>
  <c r="J77" i="71"/>
  <c r="N92" i="71"/>
  <c r="M129" i="71"/>
  <c r="K139" i="71"/>
  <c r="L154" i="71"/>
  <c r="J170" i="71"/>
  <c r="K178" i="71"/>
  <c r="N219" i="71"/>
  <c r="I115" i="71"/>
  <c r="N32" i="71"/>
  <c r="K34" i="71"/>
  <c r="M42" i="71"/>
  <c r="N50" i="71"/>
  <c r="J74" i="71"/>
  <c r="L89" i="71"/>
  <c r="L96" i="71"/>
  <c r="L104" i="71"/>
  <c r="I151" i="71"/>
  <c r="O159" i="71"/>
  <c r="K180" i="71"/>
  <c r="N190" i="71"/>
  <c r="N198" i="71"/>
  <c r="L208" i="71"/>
  <c r="I216" i="71"/>
  <c r="I109" i="71"/>
  <c r="N109" i="71" s="1"/>
  <c r="O113" i="71"/>
  <c r="I141" i="71"/>
  <c r="N141" i="71" s="1"/>
  <c r="J146" i="71"/>
  <c r="K148" i="71"/>
  <c r="J172" i="71"/>
  <c r="L213" i="71"/>
  <c r="O29" i="71"/>
  <c r="I76" i="71"/>
  <c r="J39" i="71"/>
  <c r="M52" i="71"/>
  <c r="N44" i="71"/>
  <c r="L31" i="71"/>
  <c r="L36" i="71"/>
  <c r="I79" i="71"/>
  <c r="J79" i="71" s="1"/>
  <c r="N71" i="71"/>
  <c r="N63" i="71"/>
  <c r="O130" i="71"/>
  <c r="I161" i="71"/>
  <c r="M41" i="71"/>
  <c r="I65" i="71"/>
  <c r="K73" i="71"/>
  <c r="K88" i="71"/>
  <c r="I150" i="71"/>
  <c r="L150" i="71" s="1"/>
  <c r="J158" i="71"/>
  <c r="L197" i="71"/>
  <c r="M207" i="71"/>
  <c r="N215" i="71"/>
  <c r="N177" i="71"/>
  <c r="J184" i="71"/>
  <c r="N163" i="71"/>
  <c r="N186" i="71"/>
  <c r="K35" i="71"/>
  <c r="O43" i="71"/>
  <c r="L51" i="71"/>
  <c r="K83" i="71"/>
  <c r="O95" i="71"/>
  <c r="M105" i="71"/>
  <c r="I114" i="71"/>
  <c r="J168" i="71"/>
  <c r="L176" i="71"/>
  <c r="I201" i="71"/>
  <c r="J201" i="71" s="1"/>
  <c r="I153" i="71"/>
  <c r="I28" i="71"/>
  <c r="M28" i="71" s="1"/>
  <c r="O59" i="71"/>
  <c r="I85" i="71"/>
  <c r="N87" i="71"/>
  <c r="K110" i="71"/>
  <c r="I142" i="71"/>
  <c r="K188" i="71"/>
  <c r="O206" i="71"/>
  <c r="I111" i="71"/>
  <c r="J53" i="71"/>
  <c r="I61" i="71"/>
  <c r="M61" i="71" s="1"/>
  <c r="M69" i="71"/>
  <c r="K77" i="71"/>
  <c r="I92" i="71"/>
  <c r="M124" i="71"/>
  <c r="J129" i="71"/>
  <c r="M139" i="71"/>
  <c r="J154" i="71"/>
  <c r="I162" i="71"/>
  <c r="K162" i="71" s="1"/>
  <c r="O178" i="71"/>
  <c r="I219" i="71"/>
  <c r="M115" i="71"/>
  <c r="K32" i="71"/>
  <c r="I27" i="71"/>
  <c r="J27" i="71" s="1"/>
  <c r="J34" i="71"/>
  <c r="I42" i="71"/>
  <c r="I50" i="71"/>
  <c r="K74" i="71"/>
  <c r="K89" i="71"/>
  <c r="M96" i="71"/>
  <c r="I104" i="71"/>
  <c r="O151" i="71"/>
  <c r="I159" i="71"/>
  <c r="J180" i="71"/>
  <c r="I190" i="71"/>
  <c r="K198" i="71"/>
  <c r="M208" i="71"/>
  <c r="M216" i="71"/>
  <c r="L94" i="71"/>
  <c r="M113" i="71"/>
  <c r="K146" i="71"/>
  <c r="L148" i="71"/>
  <c r="M172" i="71"/>
  <c r="K187" i="71"/>
  <c r="N213" i="71"/>
  <c r="J29" i="71"/>
  <c r="N76" i="71"/>
  <c r="I68" i="71"/>
  <c r="K68" i="71" s="1"/>
  <c r="I55" i="71"/>
  <c r="J55" i="71" s="1"/>
  <c r="I47" i="71"/>
  <c r="J47" i="71" s="1"/>
  <c r="M44" i="71"/>
  <c r="O31" i="71"/>
  <c r="J36" i="71"/>
  <c r="L71" i="71"/>
  <c r="O63" i="71"/>
  <c r="N130" i="71"/>
  <c r="J161" i="71"/>
  <c r="L41" i="71"/>
  <c r="L65" i="71"/>
  <c r="O73" i="71"/>
  <c r="L103" i="71"/>
  <c r="M128" i="71"/>
  <c r="N158" i="71"/>
  <c r="N197" i="71"/>
  <c r="O207" i="71"/>
  <c r="M215" i="71"/>
  <c r="K177" i="71"/>
  <c r="K184" i="71"/>
  <c r="I108" i="71"/>
  <c r="O108" i="71" s="1"/>
  <c r="N117" i="71"/>
  <c r="I163" i="71"/>
  <c r="M171" i="71"/>
  <c r="I212" i="71"/>
  <c r="L212" i="71" s="1"/>
  <c r="L35" i="71"/>
  <c r="I43" i="71"/>
  <c r="M51" i="71"/>
  <c r="L83" i="71"/>
  <c r="L95" i="71"/>
  <c r="L105" i="71"/>
  <c r="J112" i="71"/>
  <c r="N114" i="71"/>
  <c r="J137" i="71"/>
  <c r="M168" i="71"/>
  <c r="J176" i="71"/>
  <c r="K153" i="71"/>
  <c r="J59" i="71"/>
  <c r="I56" i="71"/>
  <c r="J56" i="71" s="1"/>
  <c r="L29" i="71"/>
  <c r="O76" i="71"/>
  <c r="N39" i="71"/>
  <c r="K52" i="71"/>
  <c r="L44" i="71"/>
  <c r="J31" i="71"/>
  <c r="O36" i="71"/>
  <c r="K71" i="71"/>
  <c r="J63" i="71"/>
  <c r="L130" i="71"/>
  <c r="N161" i="71"/>
  <c r="I26" i="71"/>
  <c r="J26" i="71" s="1"/>
  <c r="I41" i="71"/>
  <c r="K65" i="71"/>
  <c r="I73" i="71"/>
  <c r="J88" i="71"/>
  <c r="J103" i="71"/>
  <c r="K128" i="71"/>
  <c r="I174" i="71"/>
  <c r="M174" i="71" s="1"/>
  <c r="I197" i="71"/>
  <c r="L207" i="71"/>
  <c r="O215" i="71"/>
  <c r="J177" i="71"/>
  <c r="M184" i="71"/>
  <c r="L117" i="71"/>
  <c r="K163" i="71"/>
  <c r="I171" i="71"/>
  <c r="M186" i="71"/>
  <c r="I194" i="71"/>
  <c r="J194" i="71" s="1"/>
  <c r="M35" i="71"/>
  <c r="L43" i="71"/>
  <c r="I83" i="71"/>
  <c r="J95" i="71"/>
  <c r="J105" i="71"/>
  <c r="N112" i="71"/>
  <c r="O114" i="71"/>
  <c r="M137" i="71"/>
  <c r="L168" i="71"/>
  <c r="I176" i="71"/>
  <c r="I183" i="71"/>
  <c r="J183" i="71" s="1"/>
  <c r="N153" i="71"/>
  <c r="N59" i="71"/>
  <c r="J87" i="71"/>
  <c r="N110" i="71"/>
  <c r="I119" i="71"/>
  <c r="J119" i="71" s="1"/>
  <c r="L142" i="71"/>
  <c r="I165" i="71"/>
  <c r="M165" i="71" s="1"/>
  <c r="L188" i="71"/>
  <c r="L206" i="71"/>
  <c r="M111" i="71"/>
  <c r="I37" i="71"/>
  <c r="N37" i="71" s="1"/>
  <c r="L53" i="71"/>
  <c r="N69" i="71"/>
  <c r="O77" i="71"/>
  <c r="K92" i="71"/>
  <c r="O124" i="71"/>
  <c r="N129" i="71"/>
  <c r="O139" i="71"/>
  <c r="K154" i="71"/>
  <c r="O170" i="71"/>
  <c r="M178" i="71"/>
  <c r="J115" i="71"/>
  <c r="L32" i="71"/>
  <c r="O34" i="71"/>
  <c r="J50" i="71"/>
  <c r="N74" i="71"/>
  <c r="M89" i="71"/>
  <c r="I96" i="71"/>
  <c r="M104" i="71"/>
  <c r="J151" i="71"/>
  <c r="L159" i="71"/>
  <c r="N180" i="71"/>
  <c r="J198" i="71"/>
  <c r="O208" i="71"/>
  <c r="J216" i="71"/>
  <c r="M94" i="71"/>
  <c r="L113" i="71"/>
  <c r="M146" i="71"/>
  <c r="J148" i="71"/>
  <c r="J187" i="71"/>
  <c r="I213" i="71"/>
  <c r="K29" i="71"/>
  <c r="M39" i="71"/>
  <c r="L52" i="71"/>
  <c r="K44" i="71"/>
  <c r="I31" i="71"/>
  <c r="K36" i="71"/>
  <c r="I71" i="71"/>
  <c r="I130" i="71"/>
  <c r="M161" i="71"/>
  <c r="M65" i="71"/>
  <c r="N73" i="71"/>
  <c r="N88" i="71"/>
  <c r="N103" i="71"/>
  <c r="N128" i="71"/>
  <c r="K158" i="71"/>
  <c r="J197" i="71"/>
  <c r="J215" i="71"/>
  <c r="I106" i="71"/>
  <c r="J106" i="71" s="1"/>
  <c r="I177" i="71"/>
  <c r="I184" i="71"/>
  <c r="M117" i="71"/>
  <c r="L163" i="71"/>
  <c r="N171" i="71"/>
  <c r="I179" i="71"/>
  <c r="K179" i="71" s="1"/>
  <c r="O186" i="71"/>
  <c r="J35" i="71"/>
  <c r="K51" i="71"/>
  <c r="K95" i="71"/>
  <c r="K105" i="71"/>
  <c r="L112" i="71"/>
  <c r="J114" i="71"/>
  <c r="K137" i="71"/>
  <c r="I168" i="71"/>
  <c r="O176" i="71"/>
  <c r="I209" i="71"/>
  <c r="J209" i="71" s="1"/>
  <c r="M153" i="71"/>
  <c r="M59" i="71"/>
  <c r="I64" i="71"/>
  <c r="O64" i="71" s="1"/>
  <c r="J85" i="71"/>
  <c r="I87" i="71"/>
  <c r="L110" i="71"/>
  <c r="O142" i="71"/>
  <c r="I188" i="71"/>
  <c r="J206" i="71"/>
  <c r="J111" i="71"/>
  <c r="O53" i="71"/>
  <c r="O61" i="71"/>
  <c r="L69" i="71"/>
  <c r="J92" i="71"/>
  <c r="K124" i="71"/>
  <c r="I129" i="71"/>
  <c r="L139" i="71"/>
  <c r="M170" i="71"/>
  <c r="N178" i="71"/>
  <c r="I203" i="71"/>
  <c r="J203" i="71" s="1"/>
  <c r="I211" i="71"/>
  <c r="K211" i="71" s="1"/>
  <c r="K219" i="71"/>
  <c r="I32" i="71"/>
  <c r="I34" i="71"/>
  <c r="N42" i="71"/>
  <c r="M50" i="71"/>
  <c r="I74" i="71"/>
  <c r="I82" i="71"/>
  <c r="K82" i="71" s="1"/>
  <c r="J89" i="71"/>
  <c r="O104" i="71"/>
  <c r="J159" i="71"/>
  <c r="M180" i="71"/>
  <c r="L190" i="71"/>
  <c r="I198" i="71"/>
  <c r="K208" i="71"/>
  <c r="L216" i="71"/>
  <c r="J94" i="71"/>
  <c r="I113" i="71"/>
  <c r="I29" i="71"/>
  <c r="K76" i="71"/>
  <c r="K39" i="71"/>
  <c r="I52" i="71"/>
  <c r="I44" i="71"/>
  <c r="N31" i="71"/>
  <c r="M36" i="71"/>
  <c r="O71" i="71"/>
  <c r="K63" i="71"/>
  <c r="J130" i="71"/>
  <c r="K161" i="71"/>
  <c r="J41" i="71"/>
  <c r="J73" i="71"/>
  <c r="I88" i="71"/>
  <c r="M103" i="71"/>
  <c r="I120" i="71"/>
  <c r="J120" i="71" s="1"/>
  <c r="O128" i="71"/>
  <c r="I135" i="71"/>
  <c r="K135" i="71" s="1"/>
  <c r="L158" i="71"/>
  <c r="I189" i="71"/>
  <c r="O189" i="71" s="1"/>
  <c r="J207" i="71"/>
  <c r="I215" i="71"/>
  <c r="I123" i="71"/>
  <c r="O123" i="71" s="1"/>
  <c r="M177" i="71"/>
  <c r="L184" i="71"/>
  <c r="I218" i="71"/>
  <c r="K218" i="71" s="1"/>
  <c r="I62" i="71"/>
  <c r="J62" i="71" s="1"/>
  <c r="I93" i="71"/>
  <c r="N93" i="71" s="1"/>
  <c r="I117" i="71"/>
  <c r="I147" i="71"/>
  <c r="L147" i="71" s="1"/>
  <c r="O171" i="71"/>
  <c r="J186" i="71"/>
  <c r="I220" i="71"/>
  <c r="L220" i="71" s="1"/>
  <c r="M43" i="71"/>
  <c r="O51" i="71"/>
  <c r="N83" i="71"/>
  <c r="M95" i="71"/>
  <c r="O105" i="71"/>
  <c r="O112" i="71"/>
  <c r="M114" i="71"/>
  <c r="I122" i="71"/>
  <c r="N122" i="71" s="1"/>
  <c r="N137" i="71"/>
  <c r="O168" i="71"/>
  <c r="M176" i="71"/>
  <c r="I217" i="71"/>
  <c r="J217" i="71" s="1"/>
  <c r="L153" i="71"/>
  <c r="L59" i="71"/>
  <c r="M85" i="71"/>
  <c r="O87" i="71"/>
  <c r="O110" i="71"/>
  <c r="J142" i="71"/>
  <c r="I206" i="71"/>
  <c r="L111" i="71"/>
  <c r="N53" i="71"/>
  <c r="I69" i="71"/>
  <c r="L77" i="71"/>
  <c r="O92" i="71"/>
  <c r="I124" i="71"/>
  <c r="O129" i="71"/>
  <c r="J139" i="71"/>
  <c r="N154" i="71"/>
  <c r="K170" i="71"/>
  <c r="L178" i="71"/>
  <c r="O219" i="71"/>
  <c r="I91" i="71"/>
  <c r="O91" i="71" s="1"/>
  <c r="N115" i="71"/>
  <c r="N34" i="71"/>
  <c r="J42" i="71"/>
  <c r="K50" i="71"/>
  <c r="L74" i="71"/>
  <c r="O96" i="71"/>
  <c r="J104" i="71"/>
  <c r="N151" i="71"/>
  <c r="N159" i="71"/>
  <c r="I180" i="71"/>
  <c r="M190" i="71"/>
  <c r="O198" i="71"/>
  <c r="J208" i="71"/>
  <c r="O94" i="71"/>
  <c r="I118" i="71"/>
  <c r="O118" i="71" s="1"/>
  <c r="I148" i="71"/>
  <c r="I172" i="71"/>
  <c r="L187" i="71"/>
  <c r="J213" i="71"/>
  <c r="N29" i="71"/>
  <c r="L76" i="71"/>
  <c r="O39" i="71"/>
  <c r="I60" i="71"/>
  <c r="J60" i="71" s="1"/>
  <c r="O52" i="71"/>
  <c r="K31" i="71"/>
  <c r="M71" i="71"/>
  <c r="M63" i="71"/>
  <c r="I86" i="71"/>
  <c r="K86" i="71" s="1"/>
  <c r="M130" i="71"/>
  <c r="O161" i="71"/>
  <c r="K41" i="71"/>
  <c r="N65" i="71"/>
  <c r="M88" i="71"/>
  <c r="O103" i="71"/>
  <c r="L128" i="71"/>
  <c r="M158" i="71"/>
  <c r="O197" i="71"/>
  <c r="I207" i="71"/>
  <c r="L215" i="71"/>
  <c r="I223" i="71"/>
  <c r="J223" i="71" s="1"/>
  <c r="O184" i="71"/>
  <c r="I33" i="71"/>
  <c r="J33" i="71" s="1"/>
  <c r="J117" i="71"/>
  <c r="I155" i="71"/>
  <c r="K155" i="71" s="1"/>
  <c r="O163" i="71"/>
  <c r="L171" i="71"/>
  <c r="L186" i="71"/>
  <c r="I138" i="71"/>
  <c r="J138" i="71" s="1"/>
  <c r="I35" i="71"/>
  <c r="K43" i="71"/>
  <c r="I51" i="71"/>
  <c r="I75" i="71"/>
  <c r="K75" i="71" s="1"/>
  <c r="O83" i="71"/>
  <c r="N95" i="71"/>
  <c r="N105" i="71"/>
  <c r="M112" i="71"/>
  <c r="K114" i="71"/>
  <c r="I137" i="71"/>
  <c r="N168" i="71"/>
  <c r="N176" i="71"/>
  <c r="J153" i="71"/>
  <c r="N85" i="71"/>
  <c r="M87" i="71"/>
  <c r="M110" i="71"/>
  <c r="N142" i="71"/>
  <c r="M188" i="71"/>
  <c r="I196" i="71"/>
  <c r="K196" i="71" s="1"/>
  <c r="K206" i="71"/>
  <c r="K111" i="71"/>
  <c r="K69" i="71"/>
  <c r="M77" i="71"/>
  <c r="M92" i="71"/>
  <c r="I107" i="71"/>
  <c r="O107" i="71" s="1"/>
  <c r="N124" i="71"/>
  <c r="K129" i="71"/>
  <c r="M154" i="71"/>
  <c r="I170" i="71"/>
  <c r="I178" i="71"/>
  <c r="J219" i="71"/>
  <c r="K115" i="71"/>
  <c r="O32" i="71"/>
  <c r="M34" i="71"/>
  <c r="L42" i="71"/>
  <c r="M74" i="71"/>
  <c r="I89" i="71"/>
  <c r="J96" i="71"/>
  <c r="N104" i="71"/>
  <c r="K151" i="71"/>
  <c r="K159" i="71"/>
  <c r="O180" i="71"/>
  <c r="K190" i="71"/>
  <c r="M198" i="71"/>
  <c r="I208" i="71"/>
  <c r="K216" i="71"/>
  <c r="I94" i="71"/>
  <c r="J113" i="71"/>
  <c r="L146" i="71"/>
  <c r="M148" i="71"/>
  <c r="I156" i="71"/>
  <c r="K156" i="71" s="1"/>
  <c r="I164" i="71"/>
  <c r="K164" i="71" s="1"/>
  <c r="L172" i="71"/>
  <c r="O187" i="71"/>
  <c r="K213" i="71"/>
  <c r="I221" i="71"/>
  <c r="N221" i="71" s="1"/>
  <c r="J76" i="71"/>
  <c r="I39" i="71"/>
  <c r="N52" i="71"/>
  <c r="J44" i="71"/>
  <c r="N36" i="71"/>
  <c r="J71" i="71"/>
  <c r="L63" i="71"/>
  <c r="L161" i="71"/>
  <c r="N41" i="71"/>
  <c r="J65" i="71"/>
  <c r="M73" i="71"/>
  <c r="O88" i="71"/>
  <c r="K103" i="71"/>
  <c r="I128" i="71"/>
  <c r="O158" i="71"/>
  <c r="I166" i="71"/>
  <c r="O166" i="71" s="1"/>
  <c r="K197" i="71"/>
  <c r="N207" i="71"/>
  <c r="K215" i="71"/>
  <c r="O177" i="71"/>
  <c r="I78" i="71"/>
  <c r="N78" i="71" s="1"/>
  <c r="K117" i="71"/>
  <c r="M163" i="71"/>
  <c r="J171" i="71"/>
  <c r="I186" i="71"/>
  <c r="I204" i="71"/>
  <c r="M204" i="71" s="1"/>
  <c r="N35" i="71"/>
  <c r="N43" i="71"/>
  <c r="J51" i="71"/>
  <c r="M83" i="71"/>
  <c r="I90" i="71"/>
  <c r="J90" i="71" s="1"/>
  <c r="I97" i="71"/>
  <c r="K97" i="71" s="1"/>
  <c r="I112" i="71"/>
  <c r="L114" i="71"/>
  <c r="O137" i="71"/>
  <c r="I152" i="71"/>
  <c r="N152" i="71" s="1"/>
  <c r="I160" i="71"/>
  <c r="J160" i="71" s="1"/>
  <c r="K168" i="71"/>
  <c r="K176" i="71"/>
  <c r="K59" i="71"/>
  <c r="I40" i="71"/>
  <c r="O40" i="71" s="1"/>
  <c r="K42" i="71"/>
  <c r="I66" i="71"/>
  <c r="L66" i="71" s="1"/>
  <c r="I200" i="71"/>
  <c r="M200" i="71" s="1"/>
  <c r="N94" i="71"/>
  <c r="N172" i="71"/>
  <c r="I187" i="71"/>
  <c r="J188" i="71"/>
  <c r="L170" i="71"/>
  <c r="O42" i="71"/>
  <c r="M159" i="71"/>
  <c r="O216" i="71"/>
  <c r="O172" i="71"/>
  <c r="M187" i="71"/>
  <c r="M142" i="71"/>
  <c r="N188" i="71"/>
  <c r="I77" i="71"/>
  <c r="L124" i="71"/>
  <c r="N170" i="71"/>
  <c r="M32" i="71"/>
  <c r="N216" i="71"/>
  <c r="O146" i="71"/>
  <c r="N187" i="71"/>
  <c r="O111" i="71"/>
  <c r="N77" i="71"/>
  <c r="L92" i="71"/>
  <c r="J124" i="71"/>
  <c r="J32" i="71"/>
  <c r="M151" i="71"/>
  <c r="I101" i="71"/>
  <c r="N101" i="71" s="1"/>
  <c r="I133" i="71"/>
  <c r="L133" i="71" s="1"/>
  <c r="N146" i="71"/>
  <c r="O85" i="71"/>
  <c r="K53" i="71"/>
  <c r="I58" i="71"/>
  <c r="J58" i="71" s="1"/>
  <c r="O74" i="71"/>
  <c r="O89" i="71"/>
  <c r="K104" i="71"/>
  <c r="L151" i="71"/>
  <c r="N208" i="71"/>
  <c r="I146" i="71"/>
  <c r="O213" i="71"/>
  <c r="K85" i="71"/>
  <c r="I134" i="71"/>
  <c r="N134" i="71" s="1"/>
  <c r="N206" i="71"/>
  <c r="M53" i="71"/>
  <c r="I116" i="71"/>
  <c r="O116" i="71" s="1"/>
  <c r="N139" i="71"/>
  <c r="J178" i="71"/>
  <c r="L34" i="71"/>
  <c r="N89" i="71"/>
  <c r="O190" i="71"/>
  <c r="O148" i="71"/>
  <c r="M213" i="71"/>
  <c r="K87" i="71"/>
  <c r="I110" i="71"/>
  <c r="I222" i="71"/>
  <c r="O222" i="71" s="1"/>
  <c r="O69" i="71"/>
  <c r="I139" i="71"/>
  <c r="I154" i="71"/>
  <c r="M219" i="71"/>
  <c r="L115" i="71"/>
  <c r="L50" i="71"/>
  <c r="N96" i="71"/>
  <c r="L180" i="71"/>
  <c r="J190" i="71"/>
  <c r="K113" i="71"/>
  <c r="I126" i="71"/>
  <c r="K126" i="71" s="1"/>
  <c r="N148" i="71"/>
  <c r="J110" i="71"/>
  <c r="L129" i="71"/>
  <c r="O154" i="71"/>
  <c r="L219" i="71"/>
  <c r="O115" i="71"/>
  <c r="O50" i="71"/>
  <c r="K96" i="71"/>
  <c r="I182" i="71"/>
  <c r="N182" i="71" s="1"/>
  <c r="L198" i="71"/>
  <c r="K94" i="71"/>
  <c r="N113" i="71"/>
  <c r="K172" i="71"/>
  <c r="I205" i="71"/>
  <c r="M205" i="71" s="1"/>
  <c r="I143" i="71"/>
  <c r="J131" i="71"/>
  <c r="J195" i="71"/>
  <c r="M46" i="71"/>
  <c r="O132" i="71"/>
  <c r="O136" i="71"/>
  <c r="I167" i="71"/>
  <c r="N167" i="71" s="1"/>
  <c r="Z21" i="71"/>
  <c r="AH21" i="71"/>
  <c r="AG21" i="71"/>
  <c r="AX21" i="71"/>
  <c r="L169" i="71"/>
  <c r="I145" i="71"/>
  <c r="L145" i="71" s="1"/>
  <c r="K173" i="71"/>
  <c r="K49" i="71"/>
  <c r="N38" i="71"/>
  <c r="N125" i="71"/>
  <c r="O181" i="71"/>
  <c r="J192" i="71"/>
  <c r="M214" i="71"/>
  <c r="I144" i="71"/>
  <c r="M144" i="71" s="1"/>
  <c r="J81" i="71"/>
  <c r="J70" i="71"/>
  <c r="L72" i="71"/>
  <c r="J143" i="71"/>
  <c r="O131" i="71"/>
  <c r="O195" i="71"/>
  <c r="L46" i="71"/>
  <c r="L132" i="71"/>
  <c r="I136" i="71"/>
  <c r="V21" i="71"/>
  <c r="U21" i="71"/>
  <c r="I169" i="71"/>
  <c r="L191" i="71"/>
  <c r="N173" i="71"/>
  <c r="J38" i="71"/>
  <c r="J125" i="71"/>
  <c r="O121" i="71"/>
  <c r="S21" i="71"/>
  <c r="AW21" i="71"/>
  <c r="J191" i="71"/>
  <c r="L173" i="71"/>
  <c r="L38" i="71"/>
  <c r="L125" i="71"/>
  <c r="K121" i="71"/>
  <c r="L193" i="71"/>
  <c r="L181" i="71"/>
  <c r="I192" i="71"/>
  <c r="O214" i="71"/>
  <c r="N81" i="71"/>
  <c r="I54" i="71"/>
  <c r="L54" i="71" s="1"/>
  <c r="L140" i="71"/>
  <c r="I72" i="71"/>
  <c r="M143" i="71"/>
  <c r="L131" i="71"/>
  <c r="M195" i="71"/>
  <c r="O46" i="71"/>
  <c r="K132" i="71"/>
  <c r="I45" i="71"/>
  <c r="AA21" i="71"/>
  <c r="AL21" i="71"/>
  <c r="AS21" i="71"/>
  <c r="O169" i="71"/>
  <c r="K191" i="71"/>
  <c r="I185" i="71"/>
  <c r="M185" i="71" s="1"/>
  <c r="J173" i="71"/>
  <c r="K38" i="71"/>
  <c r="K125" i="71"/>
  <c r="L121" i="71"/>
  <c r="L127" i="71"/>
  <c r="N193" i="71"/>
  <c r="L175" i="71"/>
  <c r="FB203" i="23"/>
  <c r="FB204" i="23" s="1"/>
  <c r="FI203" i="23"/>
  <c r="FI204" i="23" s="1"/>
  <c r="FJ203" i="23"/>
  <c r="FJ204" i="23" s="1"/>
  <c r="FC203" i="23"/>
  <c r="FC204" i="23" s="1"/>
  <c r="FH203" i="23"/>
  <c r="FH204" i="23" s="1"/>
  <c r="FU203" i="23"/>
  <c r="FU204" i="23" s="1"/>
  <c r="EZ203" i="23"/>
  <c r="EZ204" i="23" s="1"/>
  <c r="FV203" i="23"/>
  <c r="FV204" i="23" s="1"/>
  <c r="FD203" i="23"/>
  <c r="FD204" i="23" s="1"/>
  <c r="FE203" i="23"/>
  <c r="FE204" i="23" s="1"/>
  <c r="FR203" i="23"/>
  <c r="FR204" i="23" s="1"/>
  <c r="FL203" i="23"/>
  <c r="FL204" i="23" s="1"/>
  <c r="EY203" i="23"/>
  <c r="EY204" i="23" s="1"/>
  <c r="FP203" i="23"/>
  <c r="FP204" i="23" s="1"/>
  <c r="FT203" i="23"/>
  <c r="FT204" i="23" s="1"/>
  <c r="FG203" i="23"/>
  <c r="FG204" i="23" s="1"/>
  <c r="FK203" i="23"/>
  <c r="FK204" i="23" s="1"/>
  <c r="FM203" i="23"/>
  <c r="FM204" i="23" s="1"/>
  <c r="FO203" i="23"/>
  <c r="FO204" i="23" s="1"/>
  <c r="FS203" i="23"/>
  <c r="FS204" i="23" s="1"/>
  <c r="FF203" i="23"/>
  <c r="FF204" i="23" s="1"/>
  <c r="FW203" i="23"/>
  <c r="FW204" i="23" s="1"/>
  <c r="FA203" i="23"/>
  <c r="FA204" i="23" s="1"/>
  <c r="FN203" i="23"/>
  <c r="FN204" i="23" s="1"/>
  <c r="FQ203" i="23"/>
  <c r="FQ204" i="23" s="1"/>
  <c r="K5" i="20"/>
  <c r="E8" i="21"/>
  <c r="B60" i="74" s="1"/>
  <c r="F6" i="21"/>
  <c r="C58" i="74" s="1"/>
  <c r="J7" i="20"/>
  <c r="B64" i="74"/>
  <c r="K2" i="20"/>
  <c r="B65" i="74"/>
  <c r="C48" i="74"/>
  <c r="C19" i="3"/>
  <c r="K4" i="20"/>
  <c r="F4" i="21"/>
  <c r="C56" i="74" s="1"/>
  <c r="Q71" i="13"/>
  <c r="S71" i="13" s="1"/>
  <c r="U71" i="13" s="1"/>
  <c r="E23" i="1" s="1"/>
  <c r="J4" i="20"/>
  <c r="E4" i="21"/>
  <c r="B56" i="74" s="1"/>
  <c r="C86" i="74"/>
  <c r="M3" i="18"/>
  <c r="C92" i="74" s="1"/>
  <c r="C75" i="74"/>
  <c r="S22" i="13"/>
  <c r="B522" i="74" s="1"/>
  <c r="B21" i="74"/>
  <c r="G204" i="31"/>
  <c r="E204" i="31"/>
  <c r="D204" i="31"/>
  <c r="G93" i="49"/>
  <c r="G86" i="49"/>
  <c r="O1" i="49"/>
  <c r="L1" i="49" s="1"/>
  <c r="E37" i="1"/>
  <c r="AF1" i="73"/>
  <c r="K1" i="49"/>
  <c r="Y10" i="49"/>
  <c r="Y11" i="49"/>
  <c r="V71" i="49"/>
  <c r="O98" i="49" s="1"/>
  <c r="C32" i="49"/>
  <c r="C33" i="49"/>
  <c r="C29" i="3"/>
  <c r="C31" i="49"/>
  <c r="N20" i="39"/>
  <c r="N21" i="39" s="1"/>
  <c r="DV21" i="71"/>
  <c r="EC21" i="71" s="1"/>
  <c r="CT22" i="71"/>
  <c r="CV21" i="71"/>
  <c r="CW22" i="71" s="1"/>
  <c r="P7" i="2"/>
  <c r="D7" i="2"/>
  <c r="K7" i="2"/>
  <c r="N7" i="2"/>
  <c r="M7" i="2"/>
  <c r="L7" i="2"/>
  <c r="I7" i="2"/>
  <c r="A8" i="2"/>
  <c r="O7" i="2"/>
  <c r="J7" i="2"/>
  <c r="W71" i="49"/>
  <c r="O99" i="49" s="1"/>
  <c r="U71" i="49"/>
  <c r="O97" i="49" s="1"/>
  <c r="U72" i="49"/>
  <c r="Q97" i="49" s="1"/>
  <c r="P71" i="49"/>
  <c r="O92" i="49" s="1"/>
  <c r="G92" i="49"/>
  <c r="R69" i="49"/>
  <c r="K94" i="49" s="1"/>
  <c r="R71" i="49"/>
  <c r="O94" i="49" s="1"/>
  <c r="G98" i="49"/>
  <c r="K83" i="49"/>
  <c r="G85" i="49"/>
  <c r="G89" i="49"/>
  <c r="G84" i="49"/>
  <c r="G90" i="49"/>
  <c r="G94" i="49"/>
  <c r="G83" i="49"/>
  <c r="R70" i="49"/>
  <c r="M94" i="49" s="1"/>
  <c r="K67" i="49"/>
  <c r="O67" i="49"/>
  <c r="Y96" i="49"/>
  <c r="B13" i="60" s="1"/>
  <c r="K25" i="39"/>
  <c r="K26" i="39"/>
  <c r="N24" i="39"/>
  <c r="J7" i="26"/>
  <c r="M7" i="26"/>
  <c r="I7" i="26"/>
  <c r="M5" i="26"/>
  <c r="J5" i="26"/>
  <c r="I5" i="26"/>
  <c r="C41" i="3"/>
  <c r="J6" i="26"/>
  <c r="I6" i="26"/>
  <c r="M6" i="26"/>
  <c r="K21" i="39"/>
  <c r="K22" i="39"/>
  <c r="K32" i="39" s="1"/>
  <c r="E3" i="1" s="1"/>
  <c r="C43" i="3"/>
  <c r="I8" i="26"/>
  <c r="M8" i="26"/>
  <c r="J8" i="26"/>
  <c r="P70" i="49"/>
  <c r="P77" i="49" s="1"/>
  <c r="W70" i="49"/>
  <c r="M99" i="49" s="1"/>
  <c r="W67" i="49"/>
  <c r="W68" i="49"/>
  <c r="I99" i="49" s="1"/>
  <c r="V70" i="49"/>
  <c r="V77" i="49" s="1"/>
  <c r="O69" i="49"/>
  <c r="K68" i="49"/>
  <c r="CR203" i="23"/>
  <c r="CR204" i="23" s="1"/>
  <c r="CI203" i="23"/>
  <c r="CI204" i="23" s="1"/>
  <c r="AJ203" i="23"/>
  <c r="AJ204" i="23" s="1"/>
  <c r="CS203" i="23"/>
  <c r="CS204" i="23" s="1"/>
  <c r="DQ203" i="23"/>
  <c r="DQ204" i="23" s="1"/>
  <c r="DL203" i="23"/>
  <c r="DL204" i="23" s="1"/>
  <c r="BK203" i="23"/>
  <c r="BK204" i="23" s="1"/>
  <c r="EQ203" i="23"/>
  <c r="EQ204" i="23" s="1"/>
  <c r="EU203" i="23"/>
  <c r="EU204" i="23" s="1"/>
  <c r="AP203" i="23"/>
  <c r="AP204" i="23" s="1"/>
  <c r="CP203" i="23"/>
  <c r="CP204" i="23" s="1"/>
  <c r="AE206" i="23"/>
  <c r="AE207" i="23" s="1"/>
  <c r="AG203" i="23"/>
  <c r="AG204" i="23" s="1"/>
  <c r="CB203" i="23"/>
  <c r="CB204" i="23" s="1"/>
  <c r="AM203" i="23"/>
  <c r="AM204" i="23" s="1"/>
  <c r="AO203" i="23"/>
  <c r="AO204" i="23" s="1"/>
  <c r="DW203" i="23"/>
  <c r="DW204" i="23" s="1"/>
  <c r="DT203" i="23"/>
  <c r="DT204" i="23" s="1"/>
  <c r="BG203" i="23"/>
  <c r="BG204" i="23" s="1"/>
  <c r="CM203" i="23"/>
  <c r="CM204" i="23" s="1"/>
  <c r="J3" i="31"/>
  <c r="AY132" i="31" s="1"/>
  <c r="BZ203" i="23"/>
  <c r="BZ204" i="23" s="1"/>
  <c r="DA203" i="23"/>
  <c r="DA204" i="23" s="1"/>
  <c r="EV203" i="23"/>
  <c r="BX203" i="23"/>
  <c r="BX204" i="23" s="1"/>
  <c r="EB203" i="23"/>
  <c r="EB204" i="23" s="1"/>
  <c r="AS203" i="23"/>
  <c r="AS204" i="23" s="1"/>
  <c r="CX203" i="23"/>
  <c r="CX204" i="23" s="1"/>
  <c r="ES203" i="23"/>
  <c r="BI203" i="23"/>
  <c r="BI204" i="23" s="1"/>
  <c r="DD203" i="23"/>
  <c r="DD204" i="23" s="1"/>
  <c r="AN203" i="23"/>
  <c r="AN204" i="23" s="1"/>
  <c r="AD206" i="23"/>
  <c r="AD207" i="23" s="1"/>
  <c r="EN203" i="23"/>
  <c r="EN204" i="23" s="1"/>
  <c r="BF203" i="23"/>
  <c r="BF204" i="23" s="1"/>
  <c r="CQ203" i="23"/>
  <c r="CQ204" i="23" s="1"/>
  <c r="EL203" i="23"/>
  <c r="EL204" i="23" s="1"/>
  <c r="BD203" i="23"/>
  <c r="BD204" i="23" s="1"/>
  <c r="DR203" i="23"/>
  <c r="DR204" i="23" s="1"/>
  <c r="AK203" i="23"/>
  <c r="AK204" i="23" s="1"/>
  <c r="CN203" i="23"/>
  <c r="CN204" i="23" s="1"/>
  <c r="EI203" i="23"/>
  <c r="EI204" i="23" s="1"/>
  <c r="BA203" i="23"/>
  <c r="BA204" i="23" s="1"/>
  <c r="CT203" i="23"/>
  <c r="CT204" i="23" s="1"/>
  <c r="EE203" i="23"/>
  <c r="EE204" i="23" s="1"/>
  <c r="AX203" i="23"/>
  <c r="AX204" i="23" s="1"/>
  <c r="CG203" i="23"/>
  <c r="CG204" i="23" s="1"/>
  <c r="EC203" i="23"/>
  <c r="EC204" i="23" s="1"/>
  <c r="AT203" i="23"/>
  <c r="AT204" i="23" s="1"/>
  <c r="DH203" i="23"/>
  <c r="DH204" i="23" s="1"/>
  <c r="CD203" i="23"/>
  <c r="CD204" i="23" s="1"/>
  <c r="DZ203" i="23"/>
  <c r="DZ204" i="23" s="1"/>
  <c r="AQ203" i="23"/>
  <c r="AQ204" i="23" s="1"/>
  <c r="CJ203" i="23"/>
  <c r="CJ204" i="23" s="1"/>
  <c r="CA203" i="23"/>
  <c r="CA204" i="23" s="1"/>
  <c r="DU203" i="23"/>
  <c r="DU204" i="23" s="1"/>
  <c r="BY203" i="23"/>
  <c r="BY204" i="23" s="1"/>
  <c r="DS203" i="23"/>
  <c r="DS204" i="23" s="1"/>
  <c r="AL203" i="23"/>
  <c r="AL204" i="23" s="1"/>
  <c r="CY203" i="23"/>
  <c r="CY204" i="23" s="1"/>
  <c r="ET203" i="23"/>
  <c r="ET204" i="23" s="1"/>
  <c r="BJ203" i="23"/>
  <c r="BJ204" i="23" s="1"/>
  <c r="DP203" i="23"/>
  <c r="DP204" i="23" s="1"/>
  <c r="AI203" i="23"/>
  <c r="AI204" i="23" s="1"/>
  <c r="DK203" i="23"/>
  <c r="DK204" i="23" s="1"/>
  <c r="EM203" i="23"/>
  <c r="EM204" i="23" s="1"/>
  <c r="BE203" i="23"/>
  <c r="BE204" i="23" s="1"/>
  <c r="DI203" i="23"/>
  <c r="DI204" i="23" s="1"/>
  <c r="CO203" i="23"/>
  <c r="CO204" i="23" s="1"/>
  <c r="EJ203" i="23"/>
  <c r="EJ204" i="23" s="1"/>
  <c r="BB203" i="23"/>
  <c r="BB204" i="23" s="1"/>
  <c r="DE203" i="23"/>
  <c r="DE204" i="23" s="1"/>
  <c r="ER203" i="23"/>
  <c r="ER204" i="23" s="1"/>
  <c r="BH203" i="23"/>
  <c r="BH204" i="23" s="1"/>
  <c r="EF203" i="23"/>
  <c r="EF204" i="23" s="1"/>
  <c r="AY203" i="23"/>
  <c r="AY204" i="23" s="1"/>
  <c r="DB203" i="23"/>
  <c r="DB204" i="23" s="1"/>
  <c r="ED203" i="23"/>
  <c r="ED204" i="23" s="1"/>
  <c r="AU203" i="23"/>
  <c r="AU204" i="23" s="1"/>
  <c r="CZ203" i="23"/>
  <c r="CZ204" i="23" s="1"/>
  <c r="CE203" i="23"/>
  <c r="CE204" i="23" s="1"/>
  <c r="EA203" i="23"/>
  <c r="EA204" i="23" s="1"/>
  <c r="AR203" i="23"/>
  <c r="AR204" i="23" s="1"/>
  <c r="CU203" i="23"/>
  <c r="CU204" i="23" s="1"/>
  <c r="EG203" i="23"/>
  <c r="EG204" i="23" s="1"/>
  <c r="AZ203" i="23"/>
  <c r="AZ204" i="23" s="1"/>
  <c r="DV203" i="23"/>
  <c r="DV204" i="23" s="1"/>
  <c r="AB203" i="23"/>
  <c r="AB204" i="23" s="1"/>
  <c r="CH203" i="23"/>
  <c r="CH204" i="23" s="1"/>
  <c r="DJ203" i="23"/>
  <c r="DJ204" i="23" s="1"/>
  <c r="CF203" i="23"/>
  <c r="CF204" i="23" s="1"/>
  <c r="EK203" i="23"/>
  <c r="EK204" i="23" s="1"/>
  <c r="BC203" i="23"/>
  <c r="BC204" i="23" s="1"/>
  <c r="DF203" i="23"/>
  <c r="DF204" i="23" s="1"/>
  <c r="CC203" i="23"/>
  <c r="CC204" i="23" s="1"/>
  <c r="DM203" i="23"/>
  <c r="DM204" i="23" s="1"/>
  <c r="AH203" i="23"/>
  <c r="AH204" i="23" s="1"/>
  <c r="DC203" i="23"/>
  <c r="DC204" i="23" s="1"/>
  <c r="AC203" i="23"/>
  <c r="AC204" i="23" s="1"/>
  <c r="AD203" i="23"/>
  <c r="AD204" i="23" s="1"/>
  <c r="AE203" i="23"/>
  <c r="AE204" i="23" s="1"/>
  <c r="AB206" i="23"/>
  <c r="AB207" i="23" s="1"/>
  <c r="AC206" i="23"/>
  <c r="AC207" i="23" s="1"/>
  <c r="BG16" i="31"/>
  <c r="AB16" i="31" s="1"/>
  <c r="BG146" i="31"/>
  <c r="AB146" i="31" s="1"/>
  <c r="BG43" i="31"/>
  <c r="AB43" i="31" s="1"/>
  <c r="J7" i="18"/>
  <c r="E7" i="17"/>
  <c r="BG52" i="31"/>
  <c r="AB52" i="31" s="1"/>
  <c r="C28" i="74"/>
  <c r="BG169" i="31"/>
  <c r="AB169" i="31" s="1"/>
  <c r="BG170" i="31"/>
  <c r="AB170" i="31" s="1"/>
  <c r="BG94" i="31"/>
  <c r="AB94" i="31" s="1"/>
  <c r="BG49" i="31"/>
  <c r="AB49" i="31" s="1"/>
  <c r="BG148" i="31"/>
  <c r="AB148" i="31" s="1"/>
  <c r="BG56" i="31"/>
  <c r="AB56" i="31" s="1"/>
  <c r="BG89" i="31"/>
  <c r="AB89" i="31" s="1"/>
  <c r="BG30" i="31"/>
  <c r="AB30" i="31" s="1"/>
  <c r="BG136" i="31"/>
  <c r="AB136" i="31" s="1"/>
  <c r="BG176" i="31"/>
  <c r="AB176" i="31" s="1"/>
  <c r="AC9" i="11"/>
  <c r="AA9" i="15"/>
  <c r="BG133" i="31"/>
  <c r="AB133" i="31" s="1"/>
  <c r="C51" i="74"/>
  <c r="F8" i="21"/>
  <c r="C60" i="74" s="1"/>
  <c r="K7" i="20"/>
  <c r="BG177" i="31"/>
  <c r="AB177" i="31" s="1"/>
  <c r="BG28" i="31"/>
  <c r="AB28" i="31" s="1"/>
  <c r="AC8" i="11"/>
  <c r="AA8" i="15"/>
  <c r="BG72" i="31"/>
  <c r="AB72" i="31" s="1"/>
  <c r="V3" i="10"/>
  <c r="C64" i="74"/>
  <c r="C25" i="74"/>
  <c r="BG132" i="31"/>
  <c r="AB132" i="31" s="1"/>
  <c r="BG53" i="31"/>
  <c r="AB53" i="31" s="1"/>
  <c r="AA3" i="31"/>
  <c r="C19" i="49"/>
  <c r="C22" i="74"/>
  <c r="BG38" i="31"/>
  <c r="AB38" i="31" s="1"/>
  <c r="C31" i="74"/>
  <c r="B53" i="74"/>
  <c r="J9" i="20"/>
  <c r="E10" i="21"/>
  <c r="B62" i="74" s="1"/>
  <c r="BG11" i="31"/>
  <c r="AB11" i="31" s="1"/>
  <c r="BG127" i="31"/>
  <c r="AB127" i="31" s="1"/>
  <c r="C29" i="74"/>
  <c r="BG83" i="31"/>
  <c r="AB83" i="31" s="1"/>
  <c r="BG191" i="31"/>
  <c r="AB191" i="31" s="1"/>
  <c r="C85" i="74"/>
  <c r="M2" i="18"/>
  <c r="C91" i="74" s="1"/>
  <c r="BG152" i="31"/>
  <c r="AB152" i="31" s="1"/>
  <c r="C26" i="74"/>
  <c r="B50" i="74"/>
  <c r="J6" i="20"/>
  <c r="E7" i="21"/>
  <c r="B59" i="74" s="1"/>
  <c r="BG166" i="31"/>
  <c r="AB166" i="31" s="1"/>
  <c r="BG124" i="31"/>
  <c r="AB124" i="31" s="1"/>
  <c r="BG147" i="31"/>
  <c r="AB147" i="31" s="1"/>
  <c r="BG149" i="31"/>
  <c r="AB149" i="31" s="1"/>
  <c r="AA11" i="11"/>
  <c r="X11" i="11" s="1"/>
  <c r="K13" i="1" s="1"/>
  <c r="AL6" i="3" s="1"/>
  <c r="BG187" i="31"/>
  <c r="AB187" i="31" s="1"/>
  <c r="BG167" i="31"/>
  <c r="AB167" i="31" s="1"/>
  <c r="C18" i="74"/>
  <c r="BG22" i="31"/>
  <c r="AB22" i="31" s="1"/>
  <c r="E5" i="21"/>
  <c r="B57" i="74" s="1"/>
  <c r="B48" i="74"/>
  <c r="C87" i="74"/>
  <c r="M4" i="18"/>
  <c r="C93" i="74" s="1"/>
  <c r="BG193" i="31"/>
  <c r="AB193" i="31" s="1"/>
  <c r="J3" i="18"/>
  <c r="E3" i="17"/>
  <c r="BG62" i="31"/>
  <c r="AB62" i="31" s="1"/>
  <c r="V2" i="10"/>
  <c r="C63" i="74"/>
  <c r="BG92" i="31"/>
  <c r="AB92" i="31" s="1"/>
  <c r="E2" i="21"/>
  <c r="B54" i="74" s="1"/>
  <c r="BG194" i="31"/>
  <c r="AB194" i="31" s="1"/>
  <c r="BG15" i="31"/>
  <c r="AB15" i="31" s="1"/>
  <c r="V6" i="10"/>
  <c r="C67" i="74"/>
  <c r="BG151" i="31"/>
  <c r="AB151" i="31" s="1"/>
  <c r="AD9" i="15"/>
  <c r="C84" i="74" s="1"/>
  <c r="C76" i="74"/>
  <c r="BG122" i="31"/>
  <c r="AB122" i="31" s="1"/>
  <c r="BG171" i="31"/>
  <c r="AB171" i="31" s="1"/>
  <c r="BG85" i="31"/>
  <c r="AB85" i="31" s="1"/>
  <c r="BG91" i="31"/>
  <c r="AB91" i="31" s="1"/>
  <c r="BG67" i="31"/>
  <c r="AB67" i="31" s="1"/>
  <c r="BG103" i="31"/>
  <c r="AB103" i="31" s="1"/>
  <c r="BG12" i="31"/>
  <c r="AB12" i="31" s="1"/>
  <c r="BG21" i="31"/>
  <c r="AB21" i="31" s="1"/>
  <c r="BG195" i="31"/>
  <c r="AB195" i="31" s="1"/>
  <c r="J2" i="20"/>
  <c r="C20" i="74"/>
  <c r="C30" i="74"/>
  <c r="BG71" i="31"/>
  <c r="AB71" i="31" s="1"/>
  <c r="BG137" i="31"/>
  <c r="AB137" i="31" s="1"/>
  <c r="BG14" i="31"/>
  <c r="AB14" i="31" s="1"/>
  <c r="BG84" i="31"/>
  <c r="AB84" i="31" s="1"/>
  <c r="C27" i="74"/>
  <c r="BG42" i="31"/>
  <c r="AB42" i="31" s="1"/>
  <c r="BG112" i="31"/>
  <c r="AB112" i="31" s="1"/>
  <c r="V22" i="13"/>
  <c r="A522" i="74" s="1"/>
  <c r="U22" i="13"/>
  <c r="BG162" i="31"/>
  <c r="AB162" i="31" s="1"/>
  <c r="BG19" i="31"/>
  <c r="AB19" i="31" s="1"/>
  <c r="BG109" i="31"/>
  <c r="AB109" i="31" s="1"/>
  <c r="BG32" i="31"/>
  <c r="AB32" i="31" s="1"/>
  <c r="AA4" i="15"/>
  <c r="AC4" i="11"/>
  <c r="BG66" i="31"/>
  <c r="AB66" i="31" s="1"/>
  <c r="C46" i="74"/>
  <c r="F3" i="21"/>
  <c r="C55" i="74" s="1"/>
  <c r="K3" i="20"/>
  <c r="BG70" i="31"/>
  <c r="AB70" i="31" s="1"/>
  <c r="C89" i="74"/>
  <c r="M6" i="18"/>
  <c r="C95" i="74" s="1"/>
  <c r="BG44" i="31"/>
  <c r="AB44" i="31" s="1"/>
  <c r="C24" i="74"/>
  <c r="BG198" i="31"/>
  <c r="AB198" i="31" s="1"/>
  <c r="BG145" i="31"/>
  <c r="AB145" i="31" s="1"/>
  <c r="EV3" i="23"/>
  <c r="I7" i="18"/>
  <c r="I4" i="18"/>
  <c r="ES3" i="23"/>
  <c r="T13" i="15"/>
  <c r="Q13" i="15" s="1"/>
  <c r="H54" i="123" l="1"/>
  <c r="G54" i="123"/>
  <c r="F54" i="123"/>
  <c r="E54" i="123"/>
  <c r="A57" i="123"/>
  <c r="B55" i="123"/>
  <c r="A57" i="120"/>
  <c r="A57" i="117"/>
  <c r="W77" i="49"/>
  <c r="R77" i="49"/>
  <c r="U77" i="49"/>
  <c r="AL5" i="31"/>
  <c r="AM197" i="31"/>
  <c r="AM167" i="31"/>
  <c r="AM105" i="31"/>
  <c r="AM196" i="31"/>
  <c r="AM9" i="31"/>
  <c r="AM149" i="31"/>
  <c r="AM181" i="31"/>
  <c r="AM187" i="31"/>
  <c r="AM68" i="31"/>
  <c r="AM103" i="31"/>
  <c r="AM6" i="31"/>
  <c r="AM163" i="31"/>
  <c r="AM120" i="31"/>
  <c r="AM81" i="31"/>
  <c r="AM26" i="31"/>
  <c r="AM67" i="31"/>
  <c r="AM132" i="31"/>
  <c r="AM83" i="31"/>
  <c r="AM139" i="31"/>
  <c r="AM153" i="31"/>
  <c r="AM89" i="31"/>
  <c r="AM188" i="31"/>
  <c r="AM16" i="31"/>
  <c r="AM101" i="31"/>
  <c r="AM102" i="31"/>
  <c r="AM20" i="31"/>
  <c r="AM176" i="31"/>
  <c r="AM62" i="31"/>
  <c r="AM82" i="31"/>
  <c r="AM177" i="31"/>
  <c r="AM164" i="31"/>
  <c r="AM130" i="31"/>
  <c r="AM95" i="31"/>
  <c r="AM126" i="31"/>
  <c r="AM49" i="31"/>
  <c r="AM19" i="31"/>
  <c r="AM57" i="31"/>
  <c r="AM156" i="31"/>
  <c r="AM144" i="31"/>
  <c r="AM180" i="31"/>
  <c r="AM175" i="31"/>
  <c r="AM92" i="31"/>
  <c r="AM72" i="31"/>
  <c r="AM135" i="31"/>
  <c r="AM96" i="31"/>
  <c r="AM35" i="31"/>
  <c r="AM185" i="31"/>
  <c r="AM29" i="31"/>
  <c r="AM179" i="31"/>
  <c r="AM44" i="31"/>
  <c r="AM147" i="31"/>
  <c r="AM168" i="31"/>
  <c r="AM23" i="31"/>
  <c r="AM11" i="31"/>
  <c r="AM122" i="31"/>
  <c r="AM38" i="31"/>
  <c r="AM142" i="31"/>
  <c r="AM137" i="31"/>
  <c r="AM7" i="31"/>
  <c r="AM200" i="31"/>
  <c r="AM114" i="31"/>
  <c r="AM201" i="31"/>
  <c r="AM69" i="31"/>
  <c r="AM51" i="31"/>
  <c r="AM151" i="31"/>
  <c r="AM134" i="31"/>
  <c r="AM12" i="31"/>
  <c r="AM199" i="31"/>
  <c r="AM190" i="31"/>
  <c r="AM5" i="31"/>
  <c r="AM146" i="31"/>
  <c r="AM138" i="31"/>
  <c r="AM157" i="31"/>
  <c r="AM170" i="31"/>
  <c r="AM104" i="31"/>
  <c r="AM33" i="31"/>
  <c r="AM60" i="31"/>
  <c r="AM18" i="31"/>
  <c r="AM64" i="31"/>
  <c r="AM119" i="31"/>
  <c r="AM192" i="31"/>
  <c r="AM61" i="31"/>
  <c r="AM189" i="31"/>
  <c r="AM110" i="31"/>
  <c r="AM77" i="31"/>
  <c r="AM79" i="31"/>
  <c r="AM17" i="31"/>
  <c r="AM111" i="31"/>
  <c r="AM171" i="31"/>
  <c r="AM59" i="31"/>
  <c r="AM136" i="31"/>
  <c r="AM78" i="31"/>
  <c r="AM24" i="31"/>
  <c r="AM123" i="31"/>
  <c r="AM115" i="31"/>
  <c r="AM154" i="31"/>
  <c r="AM28" i="31"/>
  <c r="AM108" i="31"/>
  <c r="AM93" i="31"/>
  <c r="AM178" i="31"/>
  <c r="AM141" i="31"/>
  <c r="AM75" i="31"/>
  <c r="AM140" i="31"/>
  <c r="AM152" i="31"/>
  <c r="AM159" i="31"/>
  <c r="AM155" i="31"/>
  <c r="AM46" i="31"/>
  <c r="AM36" i="31"/>
  <c r="AM125" i="31"/>
  <c r="AM74" i="31"/>
  <c r="AM148" i="31"/>
  <c r="AM100" i="31"/>
  <c r="AM174" i="31"/>
  <c r="AM55" i="31"/>
  <c r="AM193" i="31"/>
  <c r="AM128" i="31"/>
  <c r="AM160" i="31"/>
  <c r="AM172" i="31"/>
  <c r="AM124" i="31"/>
  <c r="AM13" i="31"/>
  <c r="AM25" i="31"/>
  <c r="AM63" i="31"/>
  <c r="AM86" i="31"/>
  <c r="AM91" i="31"/>
  <c r="AM15" i="31"/>
  <c r="AM98" i="31"/>
  <c r="AM8" i="31"/>
  <c r="AM10" i="31"/>
  <c r="AM158" i="31"/>
  <c r="AM37" i="31"/>
  <c r="AM109" i="31"/>
  <c r="AM48" i="31"/>
  <c r="AM166" i="31"/>
  <c r="AM88" i="31"/>
  <c r="AM90" i="31"/>
  <c r="AM32" i="31"/>
  <c r="AM56" i="31"/>
  <c r="AM117" i="31"/>
  <c r="AM116" i="31"/>
  <c r="AM84" i="31"/>
  <c r="AM80" i="31"/>
  <c r="AM70" i="31"/>
  <c r="AM162" i="31"/>
  <c r="AM41" i="31"/>
  <c r="AM150" i="31"/>
  <c r="AM47" i="31"/>
  <c r="AM186" i="31"/>
  <c r="AM198" i="31"/>
  <c r="AM173" i="31"/>
  <c r="AM22" i="31"/>
  <c r="AM39" i="31"/>
  <c r="AM76" i="31"/>
  <c r="AM112" i="31"/>
  <c r="AM34" i="31"/>
  <c r="AM52" i="31"/>
  <c r="AM71" i="31"/>
  <c r="AM66" i="31"/>
  <c r="AM45" i="31"/>
  <c r="AM129" i="31"/>
  <c r="AM121" i="31"/>
  <c r="AM182" i="31"/>
  <c r="AM40" i="31"/>
  <c r="AM169" i="31"/>
  <c r="AM85" i="31"/>
  <c r="AM58" i="31"/>
  <c r="AM97" i="31"/>
  <c r="AM127" i="31"/>
  <c r="AM50" i="31"/>
  <c r="AM194" i="31"/>
  <c r="AM161" i="31"/>
  <c r="AM107" i="31"/>
  <c r="AM30" i="31"/>
  <c r="AM94" i="31"/>
  <c r="AM184" i="31"/>
  <c r="AM87" i="31"/>
  <c r="AM53" i="31"/>
  <c r="AM14" i="31"/>
  <c r="AM131" i="31"/>
  <c r="AM54" i="31"/>
  <c r="AM195" i="31"/>
  <c r="AM143" i="31"/>
  <c r="AM113" i="31"/>
  <c r="AM106" i="31"/>
  <c r="AM73" i="31"/>
  <c r="AM133" i="31"/>
  <c r="AM65" i="31"/>
  <c r="AM42" i="31"/>
  <c r="AM165" i="31"/>
  <c r="AM202" i="31"/>
  <c r="AM43" i="31"/>
  <c r="AM31" i="31"/>
  <c r="AM183" i="31"/>
  <c r="AM27" i="31"/>
  <c r="AM191" i="31"/>
  <c r="BD22" i="71"/>
  <c r="BD24" i="71" s="1"/>
  <c r="BD23" i="71"/>
  <c r="BO22" i="71"/>
  <c r="BO24" i="71" s="1"/>
  <c r="BO23" i="71"/>
  <c r="BA22" i="71"/>
  <c r="BA24" i="71" s="1"/>
  <c r="BA23" i="71"/>
  <c r="BB22" i="71"/>
  <c r="BB24" i="71" s="1"/>
  <c r="BB23" i="71"/>
  <c r="BH22" i="71"/>
  <c r="BH24" i="71" s="1"/>
  <c r="BH23" i="71"/>
  <c r="BS22" i="71"/>
  <c r="BS24" i="71" s="1"/>
  <c r="BS23" i="71"/>
  <c r="O80" i="71"/>
  <c r="BK22" i="71"/>
  <c r="BK24" i="71" s="1"/>
  <c r="BK23" i="71"/>
  <c r="BN23" i="71"/>
  <c r="BN22" i="71"/>
  <c r="BN24" i="71" s="1"/>
  <c r="AZ22" i="71"/>
  <c r="AZ24" i="71" s="1"/>
  <c r="AZ23" i="71"/>
  <c r="BI22" i="71"/>
  <c r="BI24" i="71" s="1"/>
  <c r="BI23" i="71"/>
  <c r="BC22" i="71"/>
  <c r="BC24" i="71" s="1"/>
  <c r="BC23" i="71"/>
  <c r="BE22" i="71"/>
  <c r="BE24" i="71" s="1"/>
  <c r="BE23" i="71"/>
  <c r="BJ22" i="71"/>
  <c r="BJ24" i="71" s="1"/>
  <c r="BJ23" i="71"/>
  <c r="BP22" i="71"/>
  <c r="BP24" i="71" s="1"/>
  <c r="BP23" i="71"/>
  <c r="BL22" i="71"/>
  <c r="BL24" i="71" s="1"/>
  <c r="BL23" i="71"/>
  <c r="K80" i="71"/>
  <c r="BQ23" i="71"/>
  <c r="BQ22" i="71"/>
  <c r="BQ24" i="71" s="1"/>
  <c r="L99" i="71"/>
  <c r="M99" i="71"/>
  <c r="J149" i="71"/>
  <c r="O149" i="71"/>
  <c r="L157" i="71"/>
  <c r="J99" i="71"/>
  <c r="K149" i="71"/>
  <c r="J157" i="71"/>
  <c r="M157" i="71"/>
  <c r="N149" i="71"/>
  <c r="O183" i="71"/>
  <c r="N57" i="71"/>
  <c r="J57" i="71"/>
  <c r="L57" i="71"/>
  <c r="O57" i="71"/>
  <c r="M79" i="71"/>
  <c r="N102" i="71"/>
  <c r="L67" i="71"/>
  <c r="N174" i="71"/>
  <c r="K174" i="71"/>
  <c r="N175" i="71"/>
  <c r="O140" i="71"/>
  <c r="K61" i="71"/>
  <c r="M218" i="71"/>
  <c r="H43" i="110"/>
  <c r="G43" i="110"/>
  <c r="DZ22" i="71"/>
  <c r="EA22" i="71"/>
  <c r="EB22" i="71"/>
  <c r="ED22" i="71"/>
  <c r="EE22" i="71"/>
  <c r="M175" i="71"/>
  <c r="K47" i="71"/>
  <c r="N66" i="71"/>
  <c r="K150" i="71"/>
  <c r="EF22" i="71"/>
  <c r="DY22" i="71"/>
  <c r="DJ22" i="71"/>
  <c r="DK23" i="71" s="1"/>
  <c r="DH22" i="71"/>
  <c r="DI23" i="71" s="1"/>
  <c r="DF22" i="71"/>
  <c r="DG23" i="71" s="1"/>
  <c r="DD22" i="71"/>
  <c r="DE23" i="71" s="1"/>
  <c r="DB22" i="71"/>
  <c r="DC23" i="71" s="1"/>
  <c r="CZ22" i="71"/>
  <c r="DA23" i="71" s="1"/>
  <c r="CX22" i="71"/>
  <c r="CY23" i="71" s="1"/>
  <c r="F43" i="110"/>
  <c r="E43" i="110"/>
  <c r="N45" i="110"/>
  <c r="M45" i="110"/>
  <c r="D45" i="110"/>
  <c r="O45" i="110"/>
  <c r="L45" i="110"/>
  <c r="P45" i="110"/>
  <c r="C45" i="110"/>
  <c r="K45" i="110"/>
  <c r="J45" i="110"/>
  <c r="I45" i="110"/>
  <c r="A46" i="110"/>
  <c r="B44" i="110"/>
  <c r="F29" i="3"/>
  <c r="F29" i="109"/>
  <c r="AD396" i="31"/>
  <c r="AN224" i="31"/>
  <c r="Z533" i="31"/>
  <c r="AJ361" i="31"/>
  <c r="AG545" i="31"/>
  <c r="AQ373" i="31"/>
  <c r="H19" i="93"/>
  <c r="P19" i="93"/>
  <c r="V19" i="93"/>
  <c r="L19" i="93"/>
  <c r="T19" i="93"/>
  <c r="J19" i="93"/>
  <c r="N19" i="93"/>
  <c r="R19" i="93"/>
  <c r="AE444" i="31"/>
  <c r="AO272" i="31"/>
  <c r="AE467" i="31"/>
  <c r="AO295" i="31"/>
  <c r="AI475" i="31"/>
  <c r="AS303" i="31"/>
  <c r="AE433" i="31"/>
  <c r="AO261" i="31"/>
  <c r="C30" i="95"/>
  <c r="C30" i="93"/>
  <c r="C30" i="94"/>
  <c r="AE29" i="2"/>
  <c r="C30" i="92"/>
  <c r="K99" i="71"/>
  <c r="L61" i="71"/>
  <c r="AT226" i="31"/>
  <c r="AT334" i="31"/>
  <c r="AF397" i="31"/>
  <c r="AP225" i="31"/>
  <c r="AH397" i="31"/>
  <c r="AR225" i="31"/>
  <c r="Z482" i="31"/>
  <c r="AJ310" i="31"/>
  <c r="Z436" i="31"/>
  <c r="AJ264" i="31"/>
  <c r="AF419" i="31"/>
  <c r="AP247" i="31"/>
  <c r="AD419" i="31"/>
  <c r="AN247" i="31"/>
  <c r="AB396" i="31"/>
  <c r="AL224" i="31"/>
  <c r="AA533" i="31"/>
  <c r="AK361" i="31"/>
  <c r="AA545" i="31"/>
  <c r="AK373" i="31"/>
  <c r="AG529" i="31"/>
  <c r="AQ357" i="31"/>
  <c r="AE529" i="31"/>
  <c r="AO357" i="31"/>
  <c r="AG463" i="31"/>
  <c r="AQ291" i="31"/>
  <c r="Z546" i="31"/>
  <c r="AJ374" i="31"/>
  <c r="AB546" i="31"/>
  <c r="AL374" i="31"/>
  <c r="AA446" i="31"/>
  <c r="AK274" i="31"/>
  <c r="AH446" i="31"/>
  <c r="AR274" i="31"/>
  <c r="AF405" i="31"/>
  <c r="AP233" i="31"/>
  <c r="AD405" i="31"/>
  <c r="AN233" i="31"/>
  <c r="AG526" i="31"/>
  <c r="AQ354" i="31"/>
  <c r="AT213" i="31"/>
  <c r="AB437" i="31"/>
  <c r="AL265" i="31"/>
  <c r="AH438" i="31"/>
  <c r="AR266" i="31"/>
  <c r="AH501" i="31"/>
  <c r="AR329" i="31"/>
  <c r="Z537" i="31"/>
  <c r="AJ365" i="31"/>
  <c r="AE516" i="31"/>
  <c r="AO344" i="31"/>
  <c r="AB431" i="31"/>
  <c r="AL259" i="31"/>
  <c r="AD431" i="31"/>
  <c r="AN259" i="31"/>
  <c r="J19" i="95"/>
  <c r="V19" i="95"/>
  <c r="N19" i="95"/>
  <c r="R19" i="95"/>
  <c r="T19" i="95"/>
  <c r="P19" i="95"/>
  <c r="H19" i="95"/>
  <c r="L19" i="95"/>
  <c r="AD444" i="31"/>
  <c r="AN272" i="31"/>
  <c r="AC444" i="31"/>
  <c r="AM272" i="31"/>
  <c r="AA491" i="31"/>
  <c r="AK319" i="31"/>
  <c r="AA530" i="31"/>
  <c r="AK358" i="31"/>
  <c r="AG455" i="31"/>
  <c r="AQ283" i="31"/>
  <c r="AH455" i="31"/>
  <c r="AR283" i="31"/>
  <c r="AB489" i="31"/>
  <c r="AL317" i="31"/>
  <c r="AB493" i="31"/>
  <c r="AL321" i="31"/>
  <c r="Z493" i="31"/>
  <c r="AJ321" i="31"/>
  <c r="AA505" i="31"/>
  <c r="AK333" i="31"/>
  <c r="AA416" i="31"/>
  <c r="AK244" i="31"/>
  <c r="AF549" i="31"/>
  <c r="AP377" i="31"/>
  <c r="AG549" i="31"/>
  <c r="AQ377" i="31"/>
  <c r="AA528" i="31"/>
  <c r="AK356" i="31"/>
  <c r="AF471" i="31"/>
  <c r="AP299" i="31"/>
  <c r="AE490" i="31"/>
  <c r="AO318" i="31"/>
  <c r="AB467" i="31"/>
  <c r="AL295" i="31"/>
  <c r="AB517" i="31"/>
  <c r="AL345" i="31"/>
  <c r="AB475" i="31"/>
  <c r="AL303" i="31"/>
  <c r="AC475" i="31"/>
  <c r="AM303" i="31"/>
  <c r="AB435" i="31"/>
  <c r="AL263" i="31"/>
  <c r="AI433" i="31"/>
  <c r="AS261" i="31"/>
  <c r="AC433" i="31"/>
  <c r="AM261" i="31"/>
  <c r="AG522" i="31"/>
  <c r="AQ350" i="31"/>
  <c r="AC540" i="31"/>
  <c r="AM368" i="31"/>
  <c r="AD487" i="31"/>
  <c r="AN315" i="31"/>
  <c r="AH412" i="31"/>
  <c r="AR240" i="31"/>
  <c r="AA532" i="31"/>
  <c r="AK360" i="31"/>
  <c r="AE428" i="31"/>
  <c r="AO256" i="31"/>
  <c r="AC413" i="31"/>
  <c r="AM241" i="31"/>
  <c r="AG466" i="31"/>
  <c r="AQ294" i="31"/>
  <c r="AB417" i="31"/>
  <c r="AL245" i="31"/>
  <c r="AH434" i="31"/>
  <c r="AR262" i="31"/>
  <c r="AD512" i="31"/>
  <c r="AN340" i="31"/>
  <c r="AC536" i="31"/>
  <c r="AM364" i="31"/>
  <c r="AE449" i="31"/>
  <c r="AO277" i="31"/>
  <c r="AI421" i="31"/>
  <c r="AS249" i="31"/>
  <c r="AD421" i="31"/>
  <c r="AN249" i="31"/>
  <c r="AC483" i="31"/>
  <c r="AM311" i="31"/>
  <c r="AG499" i="31"/>
  <c r="AQ327" i="31"/>
  <c r="AB527" i="31"/>
  <c r="AL355" i="31"/>
  <c r="AH527" i="31"/>
  <c r="AR355" i="31"/>
  <c r="AH477" i="31"/>
  <c r="AR305" i="31"/>
  <c r="AG410" i="31"/>
  <c r="AQ238" i="31"/>
  <c r="AC410" i="31"/>
  <c r="AM238" i="31"/>
  <c r="Z429" i="31"/>
  <c r="AJ257" i="31"/>
  <c r="AF548" i="31"/>
  <c r="AP376" i="31"/>
  <c r="AC543" i="31"/>
  <c r="AM371" i="31"/>
  <c r="AF543" i="31"/>
  <c r="AP371" i="31"/>
  <c r="AF453" i="31"/>
  <c r="AP281" i="31"/>
  <c r="AG402" i="31"/>
  <c r="AQ230" i="31"/>
  <c r="Z418" i="31"/>
  <c r="AJ246" i="31"/>
  <c r="AA531" i="31"/>
  <c r="AK359" i="31"/>
  <c r="AF531" i="31"/>
  <c r="AP359" i="31"/>
  <c r="AD508" i="31"/>
  <c r="AN336" i="31"/>
  <c r="AG478" i="31"/>
  <c r="AQ306" i="31"/>
  <c r="AF401" i="31"/>
  <c r="AP229" i="31"/>
  <c r="AI401" i="31"/>
  <c r="AS229" i="31"/>
  <c r="AH464" i="31"/>
  <c r="AR292" i="31"/>
  <c r="AD407" i="31"/>
  <c r="AN235" i="31"/>
  <c r="AD420" i="31"/>
  <c r="AN248" i="31"/>
  <c r="AD539" i="31"/>
  <c r="AN367" i="31"/>
  <c r="AF539" i="31"/>
  <c r="AP367" i="31"/>
  <c r="AA461" i="31"/>
  <c r="AK289" i="31"/>
  <c r="AG476" i="31"/>
  <c r="AQ304" i="31"/>
  <c r="AF476" i="31"/>
  <c r="AP304" i="31"/>
  <c r="AE504" i="31"/>
  <c r="AO332" i="31"/>
  <c r="AE542" i="31"/>
  <c r="AO370" i="31"/>
  <c r="AI542" i="31"/>
  <c r="AS370" i="31"/>
  <c r="AC500" i="31"/>
  <c r="AM328" i="31"/>
  <c r="AB500" i="31"/>
  <c r="AL328" i="31"/>
  <c r="AH495" i="31"/>
  <c r="AR323" i="31"/>
  <c r="AG495" i="31"/>
  <c r="AQ323" i="31"/>
  <c r="Z392" i="31"/>
  <c r="AJ220" i="31"/>
  <c r="AC208" i="31"/>
  <c r="BL211" i="31"/>
  <c r="BL210" i="31"/>
  <c r="BL209" i="31"/>
  <c r="BL208" i="31"/>
  <c r="AA535" i="31"/>
  <c r="AK363" i="31"/>
  <c r="AC486" i="31"/>
  <c r="AM314" i="31"/>
  <c r="AH497" i="31"/>
  <c r="AR325" i="31"/>
  <c r="AF457" i="31"/>
  <c r="AP285" i="31"/>
  <c r="AB457" i="31"/>
  <c r="AL285" i="31"/>
  <c r="AA518" i="31"/>
  <c r="AK346" i="31"/>
  <c r="AD384" i="31"/>
  <c r="AN212" i="31"/>
  <c r="AE411" i="31"/>
  <c r="AO239" i="31"/>
  <c r="Z511" i="31"/>
  <c r="AJ339" i="31"/>
  <c r="AD511" i="31"/>
  <c r="AN339" i="31"/>
  <c r="AC525" i="31"/>
  <c r="AM353" i="31"/>
  <c r="AD395" i="31"/>
  <c r="AN223" i="31"/>
  <c r="AF498" i="31"/>
  <c r="AP326" i="31"/>
  <c r="AC423" i="31"/>
  <c r="AM251" i="31"/>
  <c r="AE459" i="31"/>
  <c r="AO287" i="31"/>
  <c r="AT301" i="31"/>
  <c r="AT270" i="31"/>
  <c r="AA454" i="31"/>
  <c r="AK282" i="31"/>
  <c r="AA406" i="31"/>
  <c r="AK234" i="31"/>
  <c r="AH404" i="31"/>
  <c r="AR232" i="31"/>
  <c r="AT378" i="31"/>
  <c r="AI394" i="31"/>
  <c r="AS222" i="31"/>
  <c r="AB479" i="31"/>
  <c r="AL307" i="31"/>
  <c r="AB458" i="31"/>
  <c r="AL286" i="31"/>
  <c r="AG534" i="31"/>
  <c r="AQ362" i="31"/>
  <c r="AB383" i="31"/>
  <c r="AL211" i="31"/>
  <c r="AD409" i="31"/>
  <c r="AN237" i="31"/>
  <c r="AC460" i="31"/>
  <c r="AM288" i="31"/>
  <c r="AF460" i="31"/>
  <c r="AP288" i="31"/>
  <c r="AC452" i="31"/>
  <c r="AM280" i="31"/>
  <c r="AT298" i="31"/>
  <c r="AD547" i="31"/>
  <c r="AN375" i="31"/>
  <c r="AH432" i="31"/>
  <c r="AR260" i="31"/>
  <c r="AB427" i="31"/>
  <c r="AL255" i="31"/>
  <c r="AG514" i="31"/>
  <c r="AQ342" i="31"/>
  <c r="AI507" i="31"/>
  <c r="AS335" i="31"/>
  <c r="Z386" i="31"/>
  <c r="AJ214" i="31"/>
  <c r="AF386" i="31"/>
  <c r="AP214" i="31"/>
  <c r="AH456" i="31"/>
  <c r="AR284" i="31"/>
  <c r="AH382" i="31"/>
  <c r="AR210" i="31"/>
  <c r="AD468" i="31"/>
  <c r="AN296" i="31"/>
  <c r="AF503" i="31"/>
  <c r="AP331" i="31"/>
  <c r="AC503" i="31"/>
  <c r="AM331" i="31"/>
  <c r="AF546" i="31"/>
  <c r="AP374" i="31"/>
  <c r="AH526" i="31"/>
  <c r="AR354" i="31"/>
  <c r="AD516" i="31"/>
  <c r="AN344" i="31"/>
  <c r="AE549" i="31"/>
  <c r="AO377" i="31"/>
  <c r="AA522" i="31"/>
  <c r="AK350" i="31"/>
  <c r="AH532" i="31"/>
  <c r="AR360" i="31"/>
  <c r="AH421" i="31"/>
  <c r="AR249" i="31"/>
  <c r="AF410" i="31"/>
  <c r="AP238" i="31"/>
  <c r="AD548" i="31"/>
  <c r="AN376" i="31"/>
  <c r="AA401" i="31"/>
  <c r="AK229" i="31"/>
  <c r="Z407" i="31"/>
  <c r="AJ235" i="31"/>
  <c r="AH542" i="31"/>
  <c r="AR370" i="31"/>
  <c r="O102" i="71"/>
  <c r="N99" i="71"/>
  <c r="AA397" i="31"/>
  <c r="AK225" i="31"/>
  <c r="AI397" i="31"/>
  <c r="AS225" i="31"/>
  <c r="AH482" i="31"/>
  <c r="AR310" i="31"/>
  <c r="AA436" i="31"/>
  <c r="AK264" i="31"/>
  <c r="AG419" i="31"/>
  <c r="AQ247" i="31"/>
  <c r="AH419" i="31"/>
  <c r="AR247" i="31"/>
  <c r="AC396" i="31"/>
  <c r="AM224" i="31"/>
  <c r="AB533" i="31"/>
  <c r="AL361" i="31"/>
  <c r="Z545" i="31"/>
  <c r="AJ373" i="31"/>
  <c r="AH529" i="31"/>
  <c r="AR357" i="31"/>
  <c r="AF529" i="31"/>
  <c r="AP357" i="31"/>
  <c r="AA463" i="31"/>
  <c r="AK291" i="31"/>
  <c r="AA546" i="31"/>
  <c r="AK374" i="31"/>
  <c r="AI546" i="31"/>
  <c r="AS374" i="31"/>
  <c r="AI446" i="31"/>
  <c r="AS274" i="31"/>
  <c r="AF446" i="31"/>
  <c r="AP274" i="31"/>
  <c r="AA405" i="31"/>
  <c r="AK233" i="31"/>
  <c r="AI405" i="31"/>
  <c r="AS233" i="31"/>
  <c r="Z526" i="31"/>
  <c r="AJ354" i="31"/>
  <c r="AD437" i="31"/>
  <c r="AN265" i="31"/>
  <c r="AB438" i="31"/>
  <c r="AL266" i="31"/>
  <c r="AI501" i="31"/>
  <c r="AS329" i="31"/>
  <c r="AC537" i="31"/>
  <c r="AM365" i="31"/>
  <c r="AA516" i="31"/>
  <c r="AK344" i="31"/>
  <c r="AF431" i="31"/>
  <c r="AP259" i="31"/>
  <c r="AH431" i="31"/>
  <c r="AR259" i="31"/>
  <c r="AG444" i="31"/>
  <c r="AQ272" i="31"/>
  <c r="AF444" i="31"/>
  <c r="AP272" i="31"/>
  <c r="AB491" i="31"/>
  <c r="AL319" i="31"/>
  <c r="AG530" i="31"/>
  <c r="AQ358" i="31"/>
  <c r="AI455" i="31"/>
  <c r="AS283" i="31"/>
  <c r="AF455" i="31"/>
  <c r="AP283" i="31"/>
  <c r="AF489" i="31"/>
  <c r="AP317" i="31"/>
  <c r="AF493" i="31"/>
  <c r="AP321" i="31"/>
  <c r="AC493" i="31"/>
  <c r="AM321" i="31"/>
  <c r="Z505" i="31"/>
  <c r="AJ333" i="31"/>
  <c r="AI416" i="31"/>
  <c r="AS244" i="31"/>
  <c r="AI549" i="31"/>
  <c r="AS377" i="31"/>
  <c r="AG528" i="31"/>
  <c r="AQ356" i="31"/>
  <c r="AI471" i="31"/>
  <c r="AS299" i="31"/>
  <c r="AI490" i="31"/>
  <c r="AS318" i="31"/>
  <c r="AT254" i="31"/>
  <c r="AG467" i="31"/>
  <c r="AQ295" i="31"/>
  <c r="Z517" i="31"/>
  <c r="AJ345" i="31"/>
  <c r="AA475" i="31"/>
  <c r="AK303" i="31"/>
  <c r="AT273" i="31"/>
  <c r="AF435" i="31"/>
  <c r="AP263" i="31"/>
  <c r="AG433" i="31"/>
  <c r="AQ261" i="31"/>
  <c r="AB522" i="31"/>
  <c r="AL350" i="31"/>
  <c r="AT309" i="31"/>
  <c r="AA540" i="31"/>
  <c r="AK368" i="31"/>
  <c r="AT221" i="31"/>
  <c r="AT279" i="31"/>
  <c r="AH487" i="31"/>
  <c r="AR315" i="31"/>
  <c r="AF412" i="31"/>
  <c r="AP240" i="31"/>
  <c r="AI412" i="31"/>
  <c r="AS240" i="31"/>
  <c r="AB532" i="31"/>
  <c r="AL360" i="31"/>
  <c r="AT219" i="31"/>
  <c r="AD428" i="31"/>
  <c r="AN256" i="31"/>
  <c r="AT269" i="31"/>
  <c r="AH413" i="31"/>
  <c r="AR241" i="31"/>
  <c r="AB413" i="31"/>
  <c r="AL241" i="31"/>
  <c r="AA466" i="31"/>
  <c r="AK294" i="31"/>
  <c r="AI417" i="31"/>
  <c r="AS245" i="31"/>
  <c r="AH417" i="31"/>
  <c r="AR245" i="31"/>
  <c r="AA434" i="31"/>
  <c r="AK262" i="31"/>
  <c r="AF512" i="31"/>
  <c r="AP340" i="31"/>
  <c r="AH512" i="31"/>
  <c r="AR340" i="31"/>
  <c r="AE536" i="31"/>
  <c r="AO364" i="31"/>
  <c r="AD449" i="31"/>
  <c r="AN277" i="31"/>
  <c r="AA421" i="31"/>
  <c r="AK249" i="31"/>
  <c r="AT228" i="31"/>
  <c r="AD483" i="31"/>
  <c r="AN311" i="31"/>
  <c r="AC499" i="31"/>
  <c r="AM327" i="31"/>
  <c r="AF499" i="31"/>
  <c r="AP327" i="31"/>
  <c r="AI527" i="31"/>
  <c r="AS355" i="31"/>
  <c r="Z477" i="31"/>
  <c r="AJ305" i="31"/>
  <c r="AH410" i="31"/>
  <c r="AR238" i="31"/>
  <c r="AI429" i="31"/>
  <c r="AS257" i="31"/>
  <c r="AB429" i="31"/>
  <c r="AL257" i="31"/>
  <c r="AH548" i="31"/>
  <c r="AR376" i="31"/>
  <c r="AD543" i="31"/>
  <c r="AN371" i="31"/>
  <c r="AD453" i="31"/>
  <c r="AN281" i="31"/>
  <c r="AB402" i="31"/>
  <c r="AL230" i="31"/>
  <c r="AI402" i="31"/>
  <c r="AS230" i="31"/>
  <c r="AE418" i="31"/>
  <c r="AO246" i="31"/>
  <c r="AI531" i="31"/>
  <c r="AS359" i="31"/>
  <c r="AI508" i="31"/>
  <c r="AS336" i="31"/>
  <c r="AB508" i="31"/>
  <c r="AL336" i="31"/>
  <c r="AH478" i="31"/>
  <c r="AR306" i="31"/>
  <c r="AB478" i="31"/>
  <c r="AL306" i="31"/>
  <c r="AG401" i="31"/>
  <c r="AQ229" i="31"/>
  <c r="AI464" i="31"/>
  <c r="AS292" i="31"/>
  <c r="AB464" i="31"/>
  <c r="AL292" i="31"/>
  <c r="AF407" i="31"/>
  <c r="AP235" i="31"/>
  <c r="AT268" i="31"/>
  <c r="AG420" i="31"/>
  <c r="AQ248" i="31"/>
  <c r="AG539" i="31"/>
  <c r="AQ367" i="31"/>
  <c r="AD461" i="31"/>
  <c r="AN289" i="31"/>
  <c r="AE476" i="31"/>
  <c r="AO304" i="31"/>
  <c r="AH504" i="31"/>
  <c r="AR332" i="31"/>
  <c r="AG542" i="31"/>
  <c r="AQ370" i="31"/>
  <c r="AF500" i="31"/>
  <c r="AP328" i="31"/>
  <c r="AT297" i="31"/>
  <c r="AT302" i="31"/>
  <c r="AA495" i="31"/>
  <c r="AK323" i="31"/>
  <c r="AD392" i="31"/>
  <c r="AN220" i="31"/>
  <c r="AA392" i="31"/>
  <c r="AK220" i="31"/>
  <c r="AH208" i="31"/>
  <c r="BQ209" i="31"/>
  <c r="BQ208" i="31"/>
  <c r="BQ211" i="31"/>
  <c r="BQ210" i="31"/>
  <c r="AB535" i="31"/>
  <c r="AL363" i="31"/>
  <c r="Z486" i="31"/>
  <c r="AJ314" i="31"/>
  <c r="AB486" i="31"/>
  <c r="AL314" i="31"/>
  <c r="AB497" i="31"/>
  <c r="AL325" i="31"/>
  <c r="AH457" i="31"/>
  <c r="AR285" i="31"/>
  <c r="AC518" i="31"/>
  <c r="AM346" i="31"/>
  <c r="AE518" i="31"/>
  <c r="AO346" i="31"/>
  <c r="AE384" i="31"/>
  <c r="AO212" i="31"/>
  <c r="AI411" i="31"/>
  <c r="AS239" i="31"/>
  <c r="AA511" i="31"/>
  <c r="AK339" i="31"/>
  <c r="AF511" i="31"/>
  <c r="AP339" i="31"/>
  <c r="AG525" i="31"/>
  <c r="AQ353" i="31"/>
  <c r="AC395" i="31"/>
  <c r="AM223" i="31"/>
  <c r="AE498" i="31"/>
  <c r="AO326" i="31"/>
  <c r="AB423" i="31"/>
  <c r="AL251" i="31"/>
  <c r="AA459" i="31"/>
  <c r="AK287" i="31"/>
  <c r="Z454" i="31"/>
  <c r="AJ282" i="31"/>
  <c r="AD406" i="31"/>
  <c r="AN234" i="31"/>
  <c r="AI404" i="31"/>
  <c r="AS232" i="31"/>
  <c r="AA394" i="31"/>
  <c r="AK222" i="31"/>
  <c r="AC479" i="31"/>
  <c r="AM307" i="31"/>
  <c r="AA458" i="31"/>
  <c r="AK286" i="31"/>
  <c r="AH534" i="31"/>
  <c r="AR362" i="31"/>
  <c r="AG383" i="31"/>
  <c r="AQ211" i="31"/>
  <c r="AG409" i="31"/>
  <c r="AQ237" i="31"/>
  <c r="AD460" i="31"/>
  <c r="AN288" i="31"/>
  <c r="AH460" i="31"/>
  <c r="AR288" i="31"/>
  <c r="AD452" i="31"/>
  <c r="AN280" i="31"/>
  <c r="AI547" i="31"/>
  <c r="AS375" i="31"/>
  <c r="AG432" i="31"/>
  <c r="AQ260" i="31"/>
  <c r="AG427" i="31"/>
  <c r="AQ255" i="31"/>
  <c r="Z514" i="31"/>
  <c r="AJ342" i="31"/>
  <c r="AT320" i="31"/>
  <c r="AG507" i="31"/>
  <c r="AQ335" i="31"/>
  <c r="AI386" i="31"/>
  <c r="AS214" i="31"/>
  <c r="Z456" i="31"/>
  <c r="AJ284" i="31"/>
  <c r="AT275" i="31"/>
  <c r="AT351" i="31"/>
  <c r="AF382" i="31"/>
  <c r="AP210" i="31"/>
  <c r="AA382" i="31"/>
  <c r="AK210" i="31"/>
  <c r="AA468" i="31"/>
  <c r="AK296" i="31"/>
  <c r="AG503" i="31"/>
  <c r="AQ331" i="31"/>
  <c r="AT218" i="31"/>
  <c r="H29" i="92"/>
  <c r="J29" i="92"/>
  <c r="T29" i="92"/>
  <c r="L29" i="92"/>
  <c r="P29" i="92"/>
  <c r="N29" i="92"/>
  <c r="R29" i="92"/>
  <c r="V29" i="92"/>
  <c r="AC463" i="31"/>
  <c r="AM291" i="31"/>
  <c r="AG446" i="31"/>
  <c r="AQ274" i="31"/>
  <c r="AI438" i="31"/>
  <c r="AS266" i="31"/>
  <c r="AC530" i="31"/>
  <c r="AM358" i="31"/>
  <c r="AB455" i="31"/>
  <c r="AL283" i="31"/>
  <c r="AC489" i="31"/>
  <c r="AM317" i="31"/>
  <c r="AG416" i="31"/>
  <c r="AQ244" i="31"/>
  <c r="AB471" i="31"/>
  <c r="AL299" i="31"/>
  <c r="AE412" i="31"/>
  <c r="AO240" i="31"/>
  <c r="AF428" i="31"/>
  <c r="AP256" i="31"/>
  <c r="Z512" i="31"/>
  <c r="AJ340" i="31"/>
  <c r="AC449" i="31"/>
  <c r="AM277" i="31"/>
  <c r="AA483" i="31"/>
  <c r="AK311" i="31"/>
  <c r="AA527" i="31"/>
  <c r="AK355" i="31"/>
  <c r="AH531" i="31"/>
  <c r="AR359" i="31"/>
  <c r="AF534" i="31"/>
  <c r="AP362" i="31"/>
  <c r="C44" i="93"/>
  <c r="C44" i="95"/>
  <c r="C44" i="94"/>
  <c r="C44" i="92"/>
  <c r="AC53" i="2"/>
  <c r="L102" i="71"/>
  <c r="C42" i="3"/>
  <c r="O42" i="3" s="1"/>
  <c r="AB33" i="2"/>
  <c r="C42" i="95"/>
  <c r="C42" i="92"/>
  <c r="C42" i="94"/>
  <c r="C42" i="93"/>
  <c r="Z397" i="31"/>
  <c r="AJ225" i="31"/>
  <c r="AA482" i="31"/>
  <c r="AK310" i="31"/>
  <c r="AF482" i="31"/>
  <c r="AP310" i="31"/>
  <c r="AG436" i="31"/>
  <c r="AQ264" i="31"/>
  <c r="AC436" i="31"/>
  <c r="AM264" i="31"/>
  <c r="AI419" i="31"/>
  <c r="AS247" i="31"/>
  <c r="AH396" i="31"/>
  <c r="AR224" i="31"/>
  <c r="AE533" i="31"/>
  <c r="AO361" i="31"/>
  <c r="AC533" i="31"/>
  <c r="AM361" i="31"/>
  <c r="AB545" i="31"/>
  <c r="AL373" i="31"/>
  <c r="Z529" i="31"/>
  <c r="AJ357" i="31"/>
  <c r="AE463" i="31"/>
  <c r="AO291" i="31"/>
  <c r="AD546" i="31"/>
  <c r="AN374" i="31"/>
  <c r="AB446" i="31"/>
  <c r="AL274" i="31"/>
  <c r="AT322" i="31"/>
  <c r="AE405" i="31"/>
  <c r="AO233" i="31"/>
  <c r="AC526" i="31"/>
  <c r="AM354" i="31"/>
  <c r="AG437" i="31"/>
  <c r="AQ265" i="31"/>
  <c r="AH437" i="31"/>
  <c r="AR265" i="31"/>
  <c r="AA438" i="31"/>
  <c r="AK266" i="31"/>
  <c r="AD438" i="31"/>
  <c r="AN266" i="31"/>
  <c r="Z501" i="31"/>
  <c r="AJ329" i="31"/>
  <c r="AF537" i="31"/>
  <c r="AP365" i="31"/>
  <c r="AD537" i="31"/>
  <c r="AN365" i="31"/>
  <c r="Z516" i="31"/>
  <c r="AJ344" i="31"/>
  <c r="AC431" i="31"/>
  <c r="AM259" i="31"/>
  <c r="N19" i="92"/>
  <c r="J19" i="92"/>
  <c r="L19" i="92"/>
  <c r="P19" i="92"/>
  <c r="R19" i="92"/>
  <c r="T19" i="92"/>
  <c r="V19" i="92"/>
  <c r="H19" i="92"/>
  <c r="AH444" i="31"/>
  <c r="AR272" i="31"/>
  <c r="AC491" i="31"/>
  <c r="AM319" i="31"/>
  <c r="Z530" i="31"/>
  <c r="AJ358" i="31"/>
  <c r="AF530" i="31"/>
  <c r="AP358" i="31"/>
  <c r="AD455" i="31"/>
  <c r="AN283" i="31"/>
  <c r="Z489" i="31"/>
  <c r="AJ317" i="31"/>
  <c r="AI493" i="31"/>
  <c r="AS321" i="31"/>
  <c r="AB505" i="31"/>
  <c r="AL333" i="31"/>
  <c r="AE505" i="31"/>
  <c r="AO333" i="31"/>
  <c r="AT366" i="31"/>
  <c r="Z416" i="31"/>
  <c r="AJ244" i="31"/>
  <c r="AH549" i="31"/>
  <c r="AR377" i="31"/>
  <c r="AE528" i="31"/>
  <c r="AO356" i="31"/>
  <c r="AA471" i="31"/>
  <c r="AK299" i="31"/>
  <c r="AC490" i="31"/>
  <c r="AM318" i="31"/>
  <c r="Z467" i="31"/>
  <c r="AJ295" i="31"/>
  <c r="AC517" i="31"/>
  <c r="AM345" i="31"/>
  <c r="AE475" i="31"/>
  <c r="AO303" i="31"/>
  <c r="AG435" i="31"/>
  <c r="AQ263" i="31"/>
  <c r="AF433" i="31"/>
  <c r="AP261" i="31"/>
  <c r="AC522" i="31"/>
  <c r="AM350" i="31"/>
  <c r="AB540" i="31"/>
  <c r="AL368" i="31"/>
  <c r="AA487" i="31"/>
  <c r="AK315" i="31"/>
  <c r="AD412" i="31"/>
  <c r="AN240" i="31"/>
  <c r="AG412" i="31"/>
  <c r="AQ240" i="31"/>
  <c r="AE532" i="31"/>
  <c r="AO360" i="31"/>
  <c r="AI428" i="31"/>
  <c r="AS256" i="31"/>
  <c r="AE413" i="31"/>
  <c r="AO241" i="31"/>
  <c r="AF413" i="31"/>
  <c r="AP241" i="31"/>
  <c r="AH466" i="31"/>
  <c r="AR294" i="31"/>
  <c r="AA417" i="31"/>
  <c r="AK245" i="31"/>
  <c r="AD417" i="31"/>
  <c r="AN245" i="31"/>
  <c r="Z434" i="31"/>
  <c r="AJ262" i="31"/>
  <c r="AA512" i="31"/>
  <c r="AK340" i="31"/>
  <c r="AG512" i="31"/>
  <c r="AQ340" i="31"/>
  <c r="AA536" i="31"/>
  <c r="AK364" i="31"/>
  <c r="AA449" i="31"/>
  <c r="AK277" i="31"/>
  <c r="AG421" i="31"/>
  <c r="AQ249" i="31"/>
  <c r="AH483" i="31"/>
  <c r="AR311" i="31"/>
  <c r="Z499" i="31"/>
  <c r="AJ327" i="31"/>
  <c r="AH499" i="31"/>
  <c r="AR327" i="31"/>
  <c r="AE527" i="31"/>
  <c r="AO355" i="31"/>
  <c r="AB477" i="31"/>
  <c r="AL305" i="31"/>
  <c r="AB410" i="31"/>
  <c r="AL238" i="31"/>
  <c r="AE429" i="31"/>
  <c r="AO257" i="31"/>
  <c r="AD429" i="31"/>
  <c r="AN257" i="31"/>
  <c r="AI548" i="31"/>
  <c r="AS376" i="31"/>
  <c r="AG543" i="31"/>
  <c r="AQ371" i="31"/>
  <c r="AH453" i="31"/>
  <c r="AR281" i="31"/>
  <c r="AH402" i="31"/>
  <c r="AR230" i="31"/>
  <c r="AC402" i="31"/>
  <c r="AM230" i="31"/>
  <c r="AG418" i="31"/>
  <c r="AQ246" i="31"/>
  <c r="AB531" i="31"/>
  <c r="AL359" i="31"/>
  <c r="AG508" i="31"/>
  <c r="AQ336" i="31"/>
  <c r="AH508" i="31"/>
  <c r="AR336" i="31"/>
  <c r="AC478" i="31"/>
  <c r="AM306" i="31"/>
  <c r="AI478" i="31"/>
  <c r="AS306" i="31"/>
  <c r="AH401" i="31"/>
  <c r="AR229" i="31"/>
  <c r="AC464" i="31"/>
  <c r="AM292" i="31"/>
  <c r="AA464" i="31"/>
  <c r="AK292" i="31"/>
  <c r="AB407" i="31"/>
  <c r="AL235" i="31"/>
  <c r="AI420" i="31"/>
  <c r="AS248" i="31"/>
  <c r="AH539" i="31"/>
  <c r="AR367" i="31"/>
  <c r="AH461" i="31"/>
  <c r="AR289" i="31"/>
  <c r="AA476" i="31"/>
  <c r="AK304" i="31"/>
  <c r="AI504" i="31"/>
  <c r="AS332" i="31"/>
  <c r="AF542" i="31"/>
  <c r="AP370" i="31"/>
  <c r="AE500" i="31"/>
  <c r="AO328" i="31"/>
  <c r="AC495" i="31"/>
  <c r="AM323" i="31"/>
  <c r="AB392" i="31"/>
  <c r="AL220" i="31"/>
  <c r="AG392" i="31"/>
  <c r="AQ220" i="31"/>
  <c r="AB208" i="31"/>
  <c r="BK209" i="31"/>
  <c r="BK208" i="31"/>
  <c r="BK211" i="31"/>
  <c r="BK210" i="31"/>
  <c r="AC535" i="31"/>
  <c r="AM363" i="31"/>
  <c r="AA486" i="31"/>
  <c r="AK314" i="31"/>
  <c r="AF486" i="31"/>
  <c r="AP314" i="31"/>
  <c r="AI497" i="31"/>
  <c r="AS325" i="31"/>
  <c r="AC457" i="31"/>
  <c r="AM285" i="31"/>
  <c r="Z518" i="31"/>
  <c r="AJ346" i="31"/>
  <c r="AB518" i="31"/>
  <c r="AL346" i="31"/>
  <c r="AF384" i="31"/>
  <c r="AP212" i="31"/>
  <c r="AF411" i="31"/>
  <c r="AP239" i="31"/>
  <c r="AC511" i="31"/>
  <c r="AM339" i="31"/>
  <c r="AE525" i="31"/>
  <c r="AO353" i="31"/>
  <c r="AH525" i="31"/>
  <c r="AR353" i="31"/>
  <c r="AB395" i="31"/>
  <c r="AL223" i="31"/>
  <c r="AA498" i="31"/>
  <c r="AK326" i="31"/>
  <c r="AB498" i="31"/>
  <c r="AL326" i="31"/>
  <c r="AG423" i="31"/>
  <c r="AQ251" i="31"/>
  <c r="Z459" i="31"/>
  <c r="AJ287" i="31"/>
  <c r="AT217" i="31"/>
  <c r="AG454" i="31"/>
  <c r="AQ282" i="31"/>
  <c r="AH454" i="31"/>
  <c r="AR282" i="31"/>
  <c r="AE406" i="31"/>
  <c r="AO234" i="31"/>
  <c r="AD404" i="31"/>
  <c r="AN232" i="31"/>
  <c r="AA404" i="31"/>
  <c r="AK232" i="31"/>
  <c r="Z394" i="31"/>
  <c r="AJ222" i="31"/>
  <c r="AB394" i="31"/>
  <c r="AL222" i="31"/>
  <c r="AF479" i="31"/>
  <c r="AP307" i="31"/>
  <c r="AD479" i="31"/>
  <c r="AN307" i="31"/>
  <c r="AC458" i="31"/>
  <c r="AM286" i="31"/>
  <c r="AE534" i="31"/>
  <c r="AO362" i="31"/>
  <c r="AI383" i="31"/>
  <c r="AS211" i="31"/>
  <c r="AH383" i="31"/>
  <c r="AR211" i="31"/>
  <c r="AH409" i="31"/>
  <c r="AR237" i="31"/>
  <c r="AE460" i="31"/>
  <c r="AO288" i="31"/>
  <c r="AH452" i="31"/>
  <c r="AR280" i="31"/>
  <c r="AG547" i="31"/>
  <c r="AQ375" i="31"/>
  <c r="Z547" i="31"/>
  <c r="AJ375" i="31"/>
  <c r="Z432" i="31"/>
  <c r="AJ260" i="31"/>
  <c r="AI427" i="31"/>
  <c r="AS255" i="31"/>
  <c r="AD427" i="31"/>
  <c r="AN255" i="31"/>
  <c r="AI514" i="31"/>
  <c r="AS342" i="31"/>
  <c r="AB514" i="31"/>
  <c r="AL342" i="31"/>
  <c r="AE507" i="31"/>
  <c r="AO335" i="31"/>
  <c r="AA386" i="31"/>
  <c r="AK214" i="31"/>
  <c r="AB456" i="31"/>
  <c r="AL284" i="31"/>
  <c r="AE382" i="31"/>
  <c r="AO210" i="31"/>
  <c r="AB382" i="31"/>
  <c r="AL210" i="31"/>
  <c r="AE468" i="31"/>
  <c r="AO296" i="31"/>
  <c r="AB503" i="31"/>
  <c r="AL331" i="31"/>
  <c r="T29" i="94"/>
  <c r="H29" i="94"/>
  <c r="J29" i="94"/>
  <c r="P29" i="94"/>
  <c r="L29" i="94"/>
  <c r="V29" i="94"/>
  <c r="R29" i="94"/>
  <c r="N29" i="94"/>
  <c r="AE482" i="31"/>
  <c r="AO310" i="31"/>
  <c r="Z437" i="31"/>
  <c r="AJ265" i="31"/>
  <c r="AF501" i="31"/>
  <c r="AP329" i="31"/>
  <c r="AH537" i="31"/>
  <c r="AR365" i="31"/>
  <c r="AE431" i="31"/>
  <c r="AO259" i="31"/>
  <c r="AH505" i="31"/>
  <c r="AR333" i="31"/>
  <c r="AD528" i="31"/>
  <c r="AN356" i="31"/>
  <c r="AT209" i="31"/>
  <c r="AI413" i="31"/>
  <c r="AS241" i="31"/>
  <c r="AI499" i="31"/>
  <c r="AS327" i="31"/>
  <c r="AE477" i="31"/>
  <c r="AO305" i="31"/>
  <c r="AH429" i="31"/>
  <c r="AR257" i="31"/>
  <c r="AB543" i="31"/>
  <c r="AL371" i="31"/>
  <c r="AE401" i="31"/>
  <c r="AO229" i="31"/>
  <c r="Z464" i="31"/>
  <c r="AJ292" i="31"/>
  <c r="AE539" i="31"/>
  <c r="AO367" i="31"/>
  <c r="AC539" i="31"/>
  <c r="AM367" i="31"/>
  <c r="AB542" i="31"/>
  <c r="AL370" i="31"/>
  <c r="AA500" i="31"/>
  <c r="AK328" i="31"/>
  <c r="Z535" i="31"/>
  <c r="AJ363" i="31"/>
  <c r="AT231" i="31"/>
  <c r="AI486" i="31"/>
  <c r="AS314" i="31"/>
  <c r="AG497" i="31"/>
  <c r="AQ325" i="31"/>
  <c r="AD457" i="31"/>
  <c r="AN285" i="31"/>
  <c r="AB411" i="31"/>
  <c r="AL239" i="31"/>
  <c r="AB511" i="31"/>
  <c r="AL339" i="31"/>
  <c r="AG395" i="31"/>
  <c r="AQ223" i="31"/>
  <c r="AA423" i="31"/>
  <c r="AK251" i="31"/>
  <c r="AH479" i="31"/>
  <c r="AR307" i="31"/>
  <c r="AG458" i="31"/>
  <c r="AQ286" i="31"/>
  <c r="Z383" i="31"/>
  <c r="AJ211" i="31"/>
  <c r="AA409" i="31"/>
  <c r="AK237" i="31"/>
  <c r="AD507" i="31"/>
  <c r="AN335" i="31"/>
  <c r="Z503" i="31"/>
  <c r="AJ331" i="31"/>
  <c r="N22" i="39"/>
  <c r="N32" i="39" s="1"/>
  <c r="O49" i="71"/>
  <c r="M199" i="71"/>
  <c r="K37" i="71"/>
  <c r="K79" i="71"/>
  <c r="AB397" i="31"/>
  <c r="AL225" i="31"/>
  <c r="AI482" i="31"/>
  <c r="AS310" i="31"/>
  <c r="AB482" i="31"/>
  <c r="AL310" i="31"/>
  <c r="AF436" i="31"/>
  <c r="AP264" i="31"/>
  <c r="AB436" i="31"/>
  <c r="AL264" i="31"/>
  <c r="AE419" i="31"/>
  <c r="AO247" i="31"/>
  <c r="AE396" i="31"/>
  <c r="AO224" i="31"/>
  <c r="AD533" i="31"/>
  <c r="AN361" i="31"/>
  <c r="AF533" i="31"/>
  <c r="AP361" i="31"/>
  <c r="AC545" i="31"/>
  <c r="AM373" i="31"/>
  <c r="AI529" i="31"/>
  <c r="AS357" i="31"/>
  <c r="AI463" i="31"/>
  <c r="AS291" i="31"/>
  <c r="AH546" i="31"/>
  <c r="AR374" i="31"/>
  <c r="AC446" i="31"/>
  <c r="AM274" i="31"/>
  <c r="AH405" i="31"/>
  <c r="AR233" i="31"/>
  <c r="AD526" i="31"/>
  <c r="AN354" i="31"/>
  <c r="AF437" i="31"/>
  <c r="AP265" i="31"/>
  <c r="AC437" i="31"/>
  <c r="AM265" i="31"/>
  <c r="Z438" i="31"/>
  <c r="AJ266" i="31"/>
  <c r="AF438" i="31"/>
  <c r="AP266" i="31"/>
  <c r="AA501" i="31"/>
  <c r="AK329" i="31"/>
  <c r="AI537" i="31"/>
  <c r="AS365" i="31"/>
  <c r="AG537" i="31"/>
  <c r="AQ365" i="31"/>
  <c r="AI516" i="31"/>
  <c r="AS344" i="31"/>
  <c r="AG431" i="31"/>
  <c r="AQ259" i="31"/>
  <c r="Z444" i="31"/>
  <c r="AJ272" i="31"/>
  <c r="AD491" i="31"/>
  <c r="AN319" i="31"/>
  <c r="AH530" i="31"/>
  <c r="AR358" i="31"/>
  <c r="AI530" i="31"/>
  <c r="AS358" i="31"/>
  <c r="AC455" i="31"/>
  <c r="AM283" i="31"/>
  <c r="AD489" i="31"/>
  <c r="AN317" i="31"/>
  <c r="AA493" i="31"/>
  <c r="AK321" i="31"/>
  <c r="AI505" i="31"/>
  <c r="AS333" i="31"/>
  <c r="AF505" i="31"/>
  <c r="AP333" i="31"/>
  <c r="AB416" i="31"/>
  <c r="AL244" i="31"/>
  <c r="Z549" i="31"/>
  <c r="AJ377" i="31"/>
  <c r="Z528" i="31"/>
  <c r="AJ356" i="31"/>
  <c r="AH528" i="31"/>
  <c r="AR356" i="31"/>
  <c r="AD471" i="31"/>
  <c r="AN299" i="31"/>
  <c r="AA490" i="31"/>
  <c r="AK318" i="31"/>
  <c r="AB490" i="31"/>
  <c r="AL318" i="31"/>
  <c r="AT252" i="31"/>
  <c r="AH467" i="31"/>
  <c r="AR295" i="31"/>
  <c r="AD467" i="31"/>
  <c r="AN295" i="31"/>
  <c r="AD517" i="31"/>
  <c r="AN345" i="31"/>
  <c r="AG475" i="31"/>
  <c r="AQ303" i="31"/>
  <c r="AA435" i="31"/>
  <c r="AK263" i="31"/>
  <c r="AD435" i="31"/>
  <c r="AN263" i="31"/>
  <c r="AA433" i="31"/>
  <c r="AK261" i="31"/>
  <c r="AD522" i="31"/>
  <c r="AN350" i="31"/>
  <c r="AD540" i="31"/>
  <c r="AN368" i="31"/>
  <c r="AT215" i="31"/>
  <c r="AF487" i="31"/>
  <c r="AP315" i="31"/>
  <c r="AI487" i="31"/>
  <c r="AS315" i="31"/>
  <c r="Z412" i="31"/>
  <c r="AJ240" i="31"/>
  <c r="AD532" i="31"/>
  <c r="AN360" i="31"/>
  <c r="AF532" i="31"/>
  <c r="AP360" i="31"/>
  <c r="AH428" i="31"/>
  <c r="AR256" i="31"/>
  <c r="AA428" i="31"/>
  <c r="AK256" i="31"/>
  <c r="AT312" i="31"/>
  <c r="AG413" i="31"/>
  <c r="AQ241" i="31"/>
  <c r="AT236" i="31"/>
  <c r="AD466" i="31"/>
  <c r="AN294" i="31"/>
  <c r="AG417" i="31"/>
  <c r="AQ245" i="31"/>
  <c r="AT343" i="31"/>
  <c r="AT300" i="31"/>
  <c r="AE434" i="31"/>
  <c r="AO262" i="31"/>
  <c r="AE512" i="31"/>
  <c r="AO340" i="31"/>
  <c r="AI536" i="31"/>
  <c r="AS364" i="31"/>
  <c r="AD536" i="31"/>
  <c r="AN364" i="31"/>
  <c r="AI449" i="31"/>
  <c r="AS277" i="31"/>
  <c r="AC421" i="31"/>
  <c r="AM249" i="31"/>
  <c r="AT308" i="31"/>
  <c r="AI483" i="31"/>
  <c r="AS311" i="31"/>
  <c r="AD499" i="31"/>
  <c r="AN327" i="31"/>
  <c r="AT227" i="31"/>
  <c r="Z527" i="31"/>
  <c r="AJ355" i="31"/>
  <c r="AF477" i="31"/>
  <c r="AP305" i="31"/>
  <c r="AD477" i="31"/>
  <c r="AN305" i="31"/>
  <c r="Z410" i="31"/>
  <c r="AJ238" i="31"/>
  <c r="AA429" i="31"/>
  <c r="AK257" i="31"/>
  <c r="AC548" i="31"/>
  <c r="AM376" i="31"/>
  <c r="AH543" i="31"/>
  <c r="AR371" i="31"/>
  <c r="Z453" i="31"/>
  <c r="AJ281" i="31"/>
  <c r="AC453" i="31"/>
  <c r="AM281" i="31"/>
  <c r="Z402" i="31"/>
  <c r="AJ230" i="31"/>
  <c r="AT338" i="31"/>
  <c r="AC418" i="31"/>
  <c r="AM246" i="31"/>
  <c r="Z531" i="31"/>
  <c r="AJ359" i="31"/>
  <c r="Z508" i="31"/>
  <c r="AJ336" i="31"/>
  <c r="AD478" i="31"/>
  <c r="AN306" i="31"/>
  <c r="Z401" i="31"/>
  <c r="AJ229" i="31"/>
  <c r="AF464" i="31"/>
  <c r="AP292" i="31"/>
  <c r="AE407" i="31"/>
  <c r="AO235" i="31"/>
  <c r="AC407" i="31"/>
  <c r="AM235" i="31"/>
  <c r="Z420" i="31"/>
  <c r="AJ248" i="31"/>
  <c r="AH420" i="31"/>
  <c r="AR248" i="31"/>
  <c r="AI539" i="31"/>
  <c r="AS367" i="31"/>
  <c r="Z461" i="31"/>
  <c r="AJ289" i="31"/>
  <c r="Z476" i="31"/>
  <c r="AJ304" i="31"/>
  <c r="AD504" i="31"/>
  <c r="AN332" i="31"/>
  <c r="AB504" i="31"/>
  <c r="AL332" i="31"/>
  <c r="AA542" i="31"/>
  <c r="AK370" i="31"/>
  <c r="AT330" i="31"/>
  <c r="Z500" i="31"/>
  <c r="AJ328" i="31"/>
  <c r="AT369" i="31"/>
  <c r="AT276" i="31"/>
  <c r="AB495" i="31"/>
  <c r="AL323" i="31"/>
  <c r="AF392" i="31"/>
  <c r="AP220" i="31"/>
  <c r="AD208" i="31"/>
  <c r="BM209" i="31"/>
  <c r="BM208" i="31"/>
  <c r="BM211" i="31"/>
  <c r="BM210" i="31"/>
  <c r="AD535" i="31"/>
  <c r="AN363" i="31"/>
  <c r="AD486" i="31"/>
  <c r="AN314" i="31"/>
  <c r="AE497" i="31"/>
  <c r="AO325" i="31"/>
  <c r="Z497" i="31"/>
  <c r="AJ325" i="31"/>
  <c r="Z457" i="31"/>
  <c r="AJ285" i="31"/>
  <c r="AF518" i="31"/>
  <c r="AP346" i="31"/>
  <c r="AG384" i="31"/>
  <c r="AQ212" i="31"/>
  <c r="AH384" i="31"/>
  <c r="AR212" i="31"/>
  <c r="AA411" i="31"/>
  <c r="AK239" i="31"/>
  <c r="AG511" i="31"/>
  <c r="AQ339" i="31"/>
  <c r="Z525" i="31"/>
  <c r="AJ353" i="31"/>
  <c r="AF525" i="31"/>
  <c r="AP353" i="31"/>
  <c r="AH395" i="31"/>
  <c r="AR223" i="31"/>
  <c r="AH498" i="31"/>
  <c r="AR326" i="31"/>
  <c r="AC498" i="31"/>
  <c r="AM326" i="31"/>
  <c r="Z423" i="31"/>
  <c r="AJ251" i="31"/>
  <c r="AB459" i="31"/>
  <c r="AL287" i="31"/>
  <c r="AC454" i="31"/>
  <c r="AM282" i="31"/>
  <c r="AD454" i="31"/>
  <c r="AN282" i="31"/>
  <c r="AG406" i="31"/>
  <c r="AQ234" i="31"/>
  <c r="AF404" i="31"/>
  <c r="AP232" i="31"/>
  <c r="AG404" i="31"/>
  <c r="AQ232" i="31"/>
  <c r="AH394" i="31"/>
  <c r="AR222" i="31"/>
  <c r="AC394" i="31"/>
  <c r="AM222" i="31"/>
  <c r="AE479" i="31"/>
  <c r="AO307" i="31"/>
  <c r="AG479" i="31"/>
  <c r="AQ307" i="31"/>
  <c r="AH458" i="31"/>
  <c r="AR286" i="31"/>
  <c r="AD534" i="31"/>
  <c r="AN362" i="31"/>
  <c r="AA383" i="31"/>
  <c r="AK211" i="31"/>
  <c r="AD383" i="31"/>
  <c r="AN211" i="31"/>
  <c r="Z409" i="31"/>
  <c r="AJ237" i="31"/>
  <c r="AG460" i="31"/>
  <c r="AQ288" i="31"/>
  <c r="Z452" i="31"/>
  <c r="AJ280" i="31"/>
  <c r="AF547" i="31"/>
  <c r="AP375" i="31"/>
  <c r="AC547" i="31"/>
  <c r="AM375" i="31"/>
  <c r="AE432" i="31"/>
  <c r="AO260" i="31"/>
  <c r="AF427" i="31"/>
  <c r="AP255" i="31"/>
  <c r="AH427" i="31"/>
  <c r="AR255" i="31"/>
  <c r="AA514" i="31"/>
  <c r="AK342" i="31"/>
  <c r="AC514" i="31"/>
  <c r="AM342" i="31"/>
  <c r="AA507" i="31"/>
  <c r="AK335" i="31"/>
  <c r="AB386" i="31"/>
  <c r="AL214" i="31"/>
  <c r="AI456" i="31"/>
  <c r="AS284" i="31"/>
  <c r="AC456" i="31"/>
  <c r="AM284" i="31"/>
  <c r="AG382" i="31"/>
  <c r="AQ210" i="31"/>
  <c r="Z468" i="31"/>
  <c r="AJ296" i="31"/>
  <c r="AB468" i="31"/>
  <c r="AL296" i="31"/>
  <c r="AA503" i="31"/>
  <c r="AK331" i="31"/>
  <c r="N29" i="95"/>
  <c r="L29" i="95"/>
  <c r="V29" i="95"/>
  <c r="J29" i="95"/>
  <c r="T29" i="95"/>
  <c r="R29" i="95"/>
  <c r="H29" i="95"/>
  <c r="P29" i="95"/>
  <c r="AI436" i="31"/>
  <c r="AS264" i="31"/>
  <c r="AB419" i="31"/>
  <c r="AL247" i="31"/>
  <c r="AG396" i="31"/>
  <c r="AQ224" i="31"/>
  <c r="AF545" i="31"/>
  <c r="AP373" i="31"/>
  <c r="AD529" i="31"/>
  <c r="AN357" i="31"/>
  <c r="AF463" i="31"/>
  <c r="AP291" i="31"/>
  <c r="AE491" i="31"/>
  <c r="AO319" i="31"/>
  <c r="AH490" i="31"/>
  <c r="AR318" i="31"/>
  <c r="AA517" i="31"/>
  <c r="AK345" i="31"/>
  <c r="AH475" i="31"/>
  <c r="AR303" i="31"/>
  <c r="AC435" i="31"/>
  <c r="AM263" i="31"/>
  <c r="AF466" i="31"/>
  <c r="AP294" i="31"/>
  <c r="Z417" i="31"/>
  <c r="AJ245" i="31"/>
  <c r="AI434" i="31"/>
  <c r="AS262" i="31"/>
  <c r="AE421" i="31"/>
  <c r="AO249" i="31"/>
  <c r="AA453" i="31"/>
  <c r="AK281" i="31"/>
  <c r="AE402" i="31"/>
  <c r="AO230" i="31"/>
  <c r="AE531" i="31"/>
  <c r="AO359" i="31"/>
  <c r="AF461" i="31"/>
  <c r="AP289" i="31"/>
  <c r="AB476" i="31"/>
  <c r="AL304" i="31"/>
  <c r="AH476" i="31"/>
  <c r="AR304" i="31"/>
  <c r="AG504" i="31"/>
  <c r="AQ332" i="31"/>
  <c r="AT324" i="31"/>
  <c r="Z495" i="31"/>
  <c r="AJ323" i="31"/>
  <c r="AD495" i="31"/>
  <c r="AN323" i="31"/>
  <c r="AE392" i="31"/>
  <c r="AO220" i="31"/>
  <c r="AG208" i="31"/>
  <c r="BP211" i="31"/>
  <c r="BP209" i="31"/>
  <c r="BP208" i="31"/>
  <c r="BP210" i="31"/>
  <c r="AI457" i="31"/>
  <c r="AS285" i="31"/>
  <c r="AH518" i="31"/>
  <c r="AR346" i="31"/>
  <c r="AA384" i="31"/>
  <c r="AK212" i="31"/>
  <c r="AH423" i="31"/>
  <c r="AR251" i="31"/>
  <c r="AH459" i="31"/>
  <c r="AR287" i="31"/>
  <c r="AE454" i="31"/>
  <c r="AO282" i="31"/>
  <c r="AI409" i="31"/>
  <c r="AS237" i="31"/>
  <c r="AB460" i="31"/>
  <c r="AL288" i="31"/>
  <c r="AE452" i="31"/>
  <c r="AO280" i="31"/>
  <c r="AA547" i="31"/>
  <c r="AK375" i="31"/>
  <c r="AG386" i="31"/>
  <c r="AQ214" i="31"/>
  <c r="AE386" i="31"/>
  <c r="AO214" i="31"/>
  <c r="AD456" i="31"/>
  <c r="AN284" i="31"/>
  <c r="AT243" i="31"/>
  <c r="Z382" i="31"/>
  <c r="AJ210" i="31"/>
  <c r="AJ3" i="31"/>
  <c r="C41" i="93"/>
  <c r="C41" i="92"/>
  <c r="C41" i="95"/>
  <c r="C41" i="94"/>
  <c r="AB53" i="2"/>
  <c r="C43" i="92"/>
  <c r="C43" i="95"/>
  <c r="C43" i="94"/>
  <c r="C43" i="93"/>
  <c r="AB43" i="2"/>
  <c r="AC397" i="31"/>
  <c r="AM225" i="31"/>
  <c r="AG482" i="31"/>
  <c r="AQ310" i="31"/>
  <c r="AT372" i="31"/>
  <c r="AE436" i="31"/>
  <c r="AO264" i="31"/>
  <c r="AA419" i="31"/>
  <c r="AK247" i="31"/>
  <c r="AI396" i="31"/>
  <c r="AS224" i="31"/>
  <c r="AG533" i="31"/>
  <c r="AQ361" i="31"/>
  <c r="AT290" i="31"/>
  <c r="AD545" i="31"/>
  <c r="AN373" i="31"/>
  <c r="AA529" i="31"/>
  <c r="AK357" i="31"/>
  <c r="AH463" i="31"/>
  <c r="AR291" i="31"/>
  <c r="AG546" i="31"/>
  <c r="AQ374" i="31"/>
  <c r="Z446" i="31"/>
  <c r="AJ274" i="31"/>
  <c r="Z405" i="31"/>
  <c r="AJ233" i="31"/>
  <c r="AB526" i="31"/>
  <c r="AL354" i="31"/>
  <c r="AA437" i="31"/>
  <c r="AK265" i="31"/>
  <c r="AE438" i="31"/>
  <c r="AO266" i="31"/>
  <c r="AG501" i="31"/>
  <c r="AQ329" i="31"/>
  <c r="AB537" i="31"/>
  <c r="AL365" i="31"/>
  <c r="AF516" i="31"/>
  <c r="AP344" i="31"/>
  <c r="AH516" i="31"/>
  <c r="AR344" i="31"/>
  <c r="Z431" i="31"/>
  <c r="AJ259" i="31"/>
  <c r="AI444" i="31"/>
  <c r="AS272" i="31"/>
  <c r="Z491" i="31"/>
  <c r="AJ319" i="31"/>
  <c r="AD530" i="31"/>
  <c r="AN358" i="31"/>
  <c r="AE455" i="31"/>
  <c r="AO283" i="31"/>
  <c r="AE489" i="31"/>
  <c r="AO317" i="31"/>
  <c r="AD493" i="31"/>
  <c r="AN321" i="31"/>
  <c r="AC505" i="31"/>
  <c r="AM333" i="31"/>
  <c r="AC416" i="31"/>
  <c r="AM244" i="31"/>
  <c r="AD416" i="31"/>
  <c r="AN244" i="31"/>
  <c r="AB549" i="31"/>
  <c r="AL377" i="31"/>
  <c r="AB528" i="31"/>
  <c r="AL356" i="31"/>
  <c r="AF528" i="31"/>
  <c r="AP356" i="31"/>
  <c r="Z471" i="31"/>
  <c r="AJ299" i="31"/>
  <c r="Z490" i="31"/>
  <c r="AJ318" i="31"/>
  <c r="AF490" i="31"/>
  <c r="AP318" i="31"/>
  <c r="AI467" i="31"/>
  <c r="AS295" i="31"/>
  <c r="AC467" i="31"/>
  <c r="AM295" i="31"/>
  <c r="AG517" i="31"/>
  <c r="AQ345" i="31"/>
  <c r="AF475" i="31"/>
  <c r="AP303" i="31"/>
  <c r="AI435" i="31"/>
  <c r="AS263" i="31"/>
  <c r="AH435" i="31"/>
  <c r="AR263" i="31"/>
  <c r="Z433" i="31"/>
  <c r="AJ261" i="31"/>
  <c r="AH522" i="31"/>
  <c r="AR350" i="31"/>
  <c r="AG540" i="31"/>
  <c r="AQ368" i="31"/>
  <c r="AE487" i="31"/>
  <c r="AO315" i="31"/>
  <c r="AG487" i="31"/>
  <c r="AQ315" i="31"/>
  <c r="AA412" i="31"/>
  <c r="AK240" i="31"/>
  <c r="Z532" i="31"/>
  <c r="AJ360" i="31"/>
  <c r="AI532" i="31"/>
  <c r="AS360" i="31"/>
  <c r="AC428" i="31"/>
  <c r="AM256" i="31"/>
  <c r="AB428" i="31"/>
  <c r="AL256" i="31"/>
  <c r="AD413" i="31"/>
  <c r="AN241" i="31"/>
  <c r="AC466" i="31"/>
  <c r="AM294" i="31"/>
  <c r="AF417" i="31"/>
  <c r="AP245" i="31"/>
  <c r="AB434" i="31"/>
  <c r="AL262" i="31"/>
  <c r="AC512" i="31"/>
  <c r="AM340" i="31"/>
  <c r="Z536" i="31"/>
  <c r="AJ364" i="31"/>
  <c r="AF536" i="31"/>
  <c r="AP364" i="31"/>
  <c r="Z449" i="31"/>
  <c r="AJ277" i="31"/>
  <c r="AF421" i="31"/>
  <c r="AP249" i="31"/>
  <c r="AB483" i="31"/>
  <c r="AL311" i="31"/>
  <c r="AB499" i="31"/>
  <c r="AL327" i="31"/>
  <c r="AC527" i="31"/>
  <c r="AM355" i="31"/>
  <c r="AI477" i="31"/>
  <c r="AS305" i="31"/>
  <c r="AG477" i="31"/>
  <c r="AQ305" i="31"/>
  <c r="AA410" i="31"/>
  <c r="AK238" i="31"/>
  <c r="AF429" i="31"/>
  <c r="AP257" i="31"/>
  <c r="AE548" i="31"/>
  <c r="AO376" i="31"/>
  <c r="AI543" i="31"/>
  <c r="AS371" i="31"/>
  <c r="AE453" i="31"/>
  <c r="AO281" i="31"/>
  <c r="AB453" i="31"/>
  <c r="AL281" i="31"/>
  <c r="AF402" i="31"/>
  <c r="AP230" i="31"/>
  <c r="AB418" i="31"/>
  <c r="AL246" i="31"/>
  <c r="AC531" i="31"/>
  <c r="AM359" i="31"/>
  <c r="AC508" i="31"/>
  <c r="AM336" i="31"/>
  <c r="AA478" i="31"/>
  <c r="AK306" i="31"/>
  <c r="AB401" i="31"/>
  <c r="AL229" i="31"/>
  <c r="AD464" i="31"/>
  <c r="AN292" i="31"/>
  <c r="AI407" i="31"/>
  <c r="AS235" i="31"/>
  <c r="AG407" i="31"/>
  <c r="AQ235" i="31"/>
  <c r="AA420" i="31"/>
  <c r="AK248" i="31"/>
  <c r="AB420" i="31"/>
  <c r="AL248" i="31"/>
  <c r="Z539" i="31"/>
  <c r="AJ367" i="31"/>
  <c r="AB461" i="31"/>
  <c r="AL289" i="31"/>
  <c r="AC476" i="31"/>
  <c r="AM304" i="31"/>
  <c r="Z504" i="31"/>
  <c r="AJ332" i="31"/>
  <c r="AF504" i="31"/>
  <c r="AP332" i="31"/>
  <c r="AD542" i="31"/>
  <c r="AN370" i="31"/>
  <c r="AH500" i="31"/>
  <c r="AR328" i="31"/>
  <c r="AI495" i="31"/>
  <c r="AS323" i="31"/>
  <c r="AC392" i="31"/>
  <c r="AM220" i="31"/>
  <c r="AI208" i="31"/>
  <c r="BR211" i="31"/>
  <c r="BR210" i="31"/>
  <c r="BR209" i="31"/>
  <c r="BR208" i="31"/>
  <c r="AG535" i="31"/>
  <c r="AQ363" i="31"/>
  <c r="AE486" i="31"/>
  <c r="AO314" i="31"/>
  <c r="AA497" i="31"/>
  <c r="AK325" i="31"/>
  <c r="AF497" i="31"/>
  <c r="AP325" i="31"/>
  <c r="AG457" i="31"/>
  <c r="AQ285" i="31"/>
  <c r="AI518" i="31"/>
  <c r="AS346" i="31"/>
  <c r="AC384" i="31"/>
  <c r="AM212" i="31"/>
  <c r="AB384" i="31"/>
  <c r="AL212" i="31"/>
  <c r="AH411" i="31"/>
  <c r="AR239" i="31"/>
  <c r="AH511" i="31"/>
  <c r="AR339" i="31"/>
  <c r="AD525" i="31"/>
  <c r="AN353" i="31"/>
  <c r="AT341" i="31"/>
  <c r="AE395" i="31"/>
  <c r="AO223" i="31"/>
  <c r="AT267" i="31"/>
  <c r="AI498" i="31"/>
  <c r="AS326" i="31"/>
  <c r="AF423" i="31"/>
  <c r="AP251" i="31"/>
  <c r="AI459" i="31"/>
  <c r="AS287" i="31"/>
  <c r="AD459" i="31"/>
  <c r="AN287" i="31"/>
  <c r="AF454" i="31"/>
  <c r="AP282" i="31"/>
  <c r="AF406" i="31"/>
  <c r="AP234" i="31"/>
  <c r="AI406" i="31"/>
  <c r="AS234" i="31"/>
  <c r="Z404" i="31"/>
  <c r="AJ232" i="31"/>
  <c r="AF394" i="31"/>
  <c r="AP222" i="31"/>
  <c r="AI479" i="31"/>
  <c r="AS307" i="31"/>
  <c r="AT242" i="31"/>
  <c r="AD458" i="31"/>
  <c r="AN286" i="31"/>
  <c r="Z534" i="31"/>
  <c r="AJ362" i="31"/>
  <c r="AI534" i="31"/>
  <c r="AS362" i="31"/>
  <c r="AF383" i="31"/>
  <c r="AP211" i="31"/>
  <c r="AT258" i="31"/>
  <c r="AE409" i="31"/>
  <c r="AO237" i="31"/>
  <c r="AI460" i="31"/>
  <c r="AS288" i="31"/>
  <c r="AF452" i="31"/>
  <c r="AP280" i="31"/>
  <c r="AB452" i="31"/>
  <c r="AL280" i="31"/>
  <c r="AE547" i="31"/>
  <c r="AO375" i="31"/>
  <c r="AI432" i="31"/>
  <c r="AS260" i="31"/>
  <c r="AD432" i="31"/>
  <c r="AN260" i="31"/>
  <c r="AA427" i="31"/>
  <c r="AK255" i="31"/>
  <c r="AE514" i="31"/>
  <c r="AO342" i="31"/>
  <c r="Z507" i="31"/>
  <c r="AJ335" i="31"/>
  <c r="AC386" i="31"/>
  <c r="AM214" i="31"/>
  <c r="AF456" i="31"/>
  <c r="AP284" i="31"/>
  <c r="AG456" i="31"/>
  <c r="AQ284" i="31"/>
  <c r="AD382" i="31"/>
  <c r="AN210" i="31"/>
  <c r="AI468" i="31"/>
  <c r="AS296" i="31"/>
  <c r="AF468" i="31"/>
  <c r="AP296" i="31"/>
  <c r="AD503" i="31"/>
  <c r="AN331" i="31"/>
  <c r="C45" i="95"/>
  <c r="C45" i="92"/>
  <c r="C45" i="94"/>
  <c r="C45" i="93"/>
  <c r="AD63" i="2"/>
  <c r="AG397" i="31"/>
  <c r="AQ225" i="31"/>
  <c r="AC405" i="31"/>
  <c r="AM233" i="31"/>
  <c r="AA526" i="31"/>
  <c r="AK354" i="31"/>
  <c r="AD501" i="31"/>
  <c r="AN329" i="31"/>
  <c r="AG491" i="31"/>
  <c r="AQ319" i="31"/>
  <c r="AI489" i="31"/>
  <c r="AS317" i="31"/>
  <c r="AH493" i="31"/>
  <c r="AR321" i="31"/>
  <c r="AA549" i="31"/>
  <c r="AK377" i="31"/>
  <c r="AT313" i="31"/>
  <c r="AH433" i="31"/>
  <c r="AR261" i="31"/>
  <c r="AI540" i="31"/>
  <c r="AS368" i="31"/>
  <c r="AC487" i="31"/>
  <c r="AM315" i="31"/>
  <c r="AH536" i="31"/>
  <c r="AR364" i="31"/>
  <c r="AG527" i="31"/>
  <c r="AQ355" i="31"/>
  <c r="AI410" i="31"/>
  <c r="AS238" i="31"/>
  <c r="AE543" i="31"/>
  <c r="AO371" i="31"/>
  <c r="AA418" i="31"/>
  <c r="AK246" i="31"/>
  <c r="AE508" i="31"/>
  <c r="AO336" i="31"/>
  <c r="AE478" i="31"/>
  <c r="AO306" i="31"/>
  <c r="AE420" i="31"/>
  <c r="AO248" i="31"/>
  <c r="AG500" i="31"/>
  <c r="AQ328" i="31"/>
  <c r="AB525" i="31"/>
  <c r="AL353" i="31"/>
  <c r="AF395" i="31"/>
  <c r="AP223" i="31"/>
  <c r="AD498" i="31"/>
  <c r="AN326" i="31"/>
  <c r="Z406" i="31"/>
  <c r="AJ234" i="31"/>
  <c r="AE404" i="31"/>
  <c r="AO232" i="31"/>
  <c r="AE394" i="31"/>
  <c r="AO222" i="31"/>
  <c r="AF458" i="31"/>
  <c r="AP286" i="31"/>
  <c r="AC432" i="31"/>
  <c r="AM260" i="31"/>
  <c r="AC427" i="31"/>
  <c r="AM255" i="31"/>
  <c r="AH514" i="31"/>
  <c r="AR342" i="31"/>
  <c r="AG468" i="31"/>
  <c r="AQ296" i="31"/>
  <c r="AI503" i="31"/>
  <c r="AS331" i="31"/>
  <c r="C10" i="93"/>
  <c r="C10" i="95"/>
  <c r="C10" i="92"/>
  <c r="Q13" i="2"/>
  <c r="C10" i="94"/>
  <c r="M84" i="71"/>
  <c r="K157" i="71"/>
  <c r="L47" i="71"/>
  <c r="N79" i="71"/>
  <c r="AD397" i="31"/>
  <c r="AN225" i="31"/>
  <c r="AD482" i="31"/>
  <c r="AN310" i="31"/>
  <c r="AD436" i="31"/>
  <c r="AN264" i="31"/>
  <c r="Z419" i="31"/>
  <c r="AJ247" i="31"/>
  <c r="Z396" i="31"/>
  <c r="AJ224" i="31"/>
  <c r="AH533" i="31"/>
  <c r="AR361" i="31"/>
  <c r="AE545" i="31"/>
  <c r="AO373" i="31"/>
  <c r="AB529" i="31"/>
  <c r="AL357" i="31"/>
  <c r="Z463" i="31"/>
  <c r="AJ291" i="31"/>
  <c r="AC546" i="31"/>
  <c r="AM374" i="31"/>
  <c r="AD446" i="31"/>
  <c r="AN274" i="31"/>
  <c r="AG405" i="31"/>
  <c r="AQ233" i="31"/>
  <c r="AE526" i="31"/>
  <c r="AO354" i="31"/>
  <c r="AE437" i="31"/>
  <c r="AO265" i="31"/>
  <c r="AC438" i="31"/>
  <c r="AM266" i="31"/>
  <c r="AB501" i="31"/>
  <c r="AL329" i="31"/>
  <c r="AA537" i="31"/>
  <c r="AK365" i="31"/>
  <c r="AC516" i="31"/>
  <c r="AM344" i="31"/>
  <c r="AG516" i="31"/>
  <c r="AQ344" i="31"/>
  <c r="AA431" i="31"/>
  <c r="AK259" i="31"/>
  <c r="AA444" i="31"/>
  <c r="AK272" i="31"/>
  <c r="AH491" i="31"/>
  <c r="AR319" i="31"/>
  <c r="AB530" i="31"/>
  <c r="AL358" i="31"/>
  <c r="AA455" i="31"/>
  <c r="AK283" i="31"/>
  <c r="AG489" i="31"/>
  <c r="AQ317" i="31"/>
  <c r="AE493" i="31"/>
  <c r="AO321" i="31"/>
  <c r="AG505" i="31"/>
  <c r="AQ333" i="31"/>
  <c r="AE416" i="31"/>
  <c r="AO244" i="31"/>
  <c r="AH416" i="31"/>
  <c r="AR244" i="31"/>
  <c r="AC549" i="31"/>
  <c r="AM377" i="31"/>
  <c r="AC528" i="31"/>
  <c r="AM356" i="31"/>
  <c r="AG471" i="31"/>
  <c r="AQ299" i="31"/>
  <c r="AH471" i="31"/>
  <c r="AR299" i="31"/>
  <c r="AD490" i="31"/>
  <c r="AN318" i="31"/>
  <c r="AA467" i="31"/>
  <c r="AK295" i="31"/>
  <c r="AE517" i="31"/>
  <c r="AO345" i="31"/>
  <c r="AH517" i="31"/>
  <c r="AR345" i="31"/>
  <c r="Z475" i="31"/>
  <c r="AJ303" i="31"/>
  <c r="AE435" i="31"/>
  <c r="AO263" i="31"/>
  <c r="AB433" i="31"/>
  <c r="AL261" i="31"/>
  <c r="AE522" i="31"/>
  <c r="AO350" i="31"/>
  <c r="Z522" i="31"/>
  <c r="AJ350" i="31"/>
  <c r="Z540" i="31"/>
  <c r="AJ368" i="31"/>
  <c r="AE540" i="31"/>
  <c r="AO368" i="31"/>
  <c r="Z487" i="31"/>
  <c r="AJ315" i="31"/>
  <c r="AB412" i="31"/>
  <c r="AL240" i="31"/>
  <c r="AT349" i="31"/>
  <c r="AT253" i="31"/>
  <c r="AC532" i="31"/>
  <c r="AM360" i="31"/>
  <c r="Z428" i="31"/>
  <c r="AJ256" i="31"/>
  <c r="AT316" i="31"/>
  <c r="Z413" i="31"/>
  <c r="AJ241" i="31"/>
  <c r="Z466" i="31"/>
  <c r="AJ294" i="31"/>
  <c r="AB466" i="31"/>
  <c r="AL294" i="31"/>
  <c r="AC417" i="31"/>
  <c r="AM245" i="31"/>
  <c r="AT352" i="31"/>
  <c r="AG434" i="31"/>
  <c r="AQ262" i="31"/>
  <c r="AD434" i="31"/>
  <c r="AN262" i="31"/>
  <c r="AI512" i="31"/>
  <c r="AS340" i="31"/>
  <c r="AB536" i="31"/>
  <c r="AL364" i="31"/>
  <c r="AF449" i="31"/>
  <c r="AP277" i="31"/>
  <c r="AG449" i="31"/>
  <c r="AQ277" i="31"/>
  <c r="Z421" i="31"/>
  <c r="AJ249" i="31"/>
  <c r="AF483" i="31"/>
  <c r="AP311" i="31"/>
  <c r="Z483" i="31"/>
  <c r="AJ311" i="31"/>
  <c r="AE499" i="31"/>
  <c r="AO327" i="31"/>
  <c r="AD527" i="31"/>
  <c r="AN355" i="31"/>
  <c r="AC477" i="31"/>
  <c r="AM305" i="31"/>
  <c r="AD410" i="31"/>
  <c r="AN238" i="31"/>
  <c r="AG429" i="31"/>
  <c r="AQ257" i="31"/>
  <c r="AA548" i="31"/>
  <c r="AK376" i="31"/>
  <c r="AG548" i="31"/>
  <c r="AQ376" i="31"/>
  <c r="Z543" i="31"/>
  <c r="AJ371" i="31"/>
  <c r="AG453" i="31"/>
  <c r="AQ281" i="31"/>
  <c r="AA402" i="31"/>
  <c r="AK230" i="31"/>
  <c r="AI418" i="31"/>
  <c r="AS246" i="31"/>
  <c r="AD418" i="31"/>
  <c r="AN246" i="31"/>
  <c r="AD531" i="31"/>
  <c r="AN359" i="31"/>
  <c r="AA508" i="31"/>
  <c r="AK336" i="31"/>
  <c r="Z478" i="31"/>
  <c r="AJ306" i="31"/>
  <c r="AC401" i="31"/>
  <c r="AM229" i="31"/>
  <c r="AE464" i="31"/>
  <c r="AO292" i="31"/>
  <c r="AA407" i="31"/>
  <c r="AK235" i="31"/>
  <c r="AC420" i="31"/>
  <c r="AM248" i="31"/>
  <c r="AT293" i="31"/>
  <c r="AA539" i="31"/>
  <c r="AK367" i="31"/>
  <c r="AE461" i="31"/>
  <c r="AO289" i="31"/>
  <c r="AC461" i="31"/>
  <c r="AM289" i="31"/>
  <c r="AD476" i="31"/>
  <c r="AN304" i="31"/>
  <c r="AA504" i="31"/>
  <c r="AK332" i="31"/>
  <c r="Z542" i="31"/>
  <c r="AJ370" i="31"/>
  <c r="AI500" i="31"/>
  <c r="AS328" i="31"/>
  <c r="AF495" i="31"/>
  <c r="AP323" i="31"/>
  <c r="AH392" i="31"/>
  <c r="AR220" i="31"/>
  <c r="AE208" i="31"/>
  <c r="BN209" i="31"/>
  <c r="BN208" i="31"/>
  <c r="BN211" i="31"/>
  <c r="BN210" i="31"/>
  <c r="AA208" i="31"/>
  <c r="BJ211" i="31"/>
  <c r="BJ210" i="31"/>
  <c r="BJ209" i="31"/>
  <c r="BJ208" i="31"/>
  <c r="AE535" i="31"/>
  <c r="AO363" i="31"/>
  <c r="AH535" i="31"/>
  <c r="AR363" i="31"/>
  <c r="AG486" i="31"/>
  <c r="AQ314" i="31"/>
  <c r="AC497" i="31"/>
  <c r="AM325" i="31"/>
  <c r="AE457" i="31"/>
  <c r="AO285" i="31"/>
  <c r="AG518" i="31"/>
  <c r="AQ346" i="31"/>
  <c r="AI384" i="31"/>
  <c r="AS212" i="31"/>
  <c r="AT250" i="31"/>
  <c r="AD411" i="31"/>
  <c r="AN239" i="31"/>
  <c r="AC411" i="31"/>
  <c r="AM239" i="31"/>
  <c r="AI511" i="31"/>
  <c r="AS339" i="31"/>
  <c r="AI525" i="31"/>
  <c r="AS353" i="31"/>
  <c r="Z395" i="31"/>
  <c r="AJ223" i="31"/>
  <c r="AG498" i="31"/>
  <c r="AQ326" i="31"/>
  <c r="AI423" i="31"/>
  <c r="AS251" i="31"/>
  <c r="AC459" i="31"/>
  <c r="AM287" i="31"/>
  <c r="AG459" i="31"/>
  <c r="AQ287" i="31"/>
  <c r="AB454" i="31"/>
  <c r="AL282" i="31"/>
  <c r="AH406" i="31"/>
  <c r="AR234" i="31"/>
  <c r="AC406" i="31"/>
  <c r="AM234" i="31"/>
  <c r="AB404" i="31"/>
  <c r="AL232" i="31"/>
  <c r="AD394" i="31"/>
  <c r="AN222" i="31"/>
  <c r="Z479" i="31"/>
  <c r="AJ307" i="31"/>
  <c r="Z458" i="31"/>
  <c r="AJ286" i="31"/>
  <c r="AB534" i="31"/>
  <c r="AL362" i="31"/>
  <c r="AA534" i="31"/>
  <c r="AK362" i="31"/>
  <c r="AE383" i="31"/>
  <c r="AO211" i="31"/>
  <c r="AB409" i="31"/>
  <c r="AL237" i="31"/>
  <c r="Z460" i="31"/>
  <c r="AJ288" i="31"/>
  <c r="AI452" i="31"/>
  <c r="AS280" i="31"/>
  <c r="AG452" i="31"/>
  <c r="AQ280" i="31"/>
  <c r="AH547" i="31"/>
  <c r="AR375" i="31"/>
  <c r="AA432" i="31"/>
  <c r="AK260" i="31"/>
  <c r="AB432" i="31"/>
  <c r="AL260" i="31"/>
  <c r="AE427" i="31"/>
  <c r="AO255" i="31"/>
  <c r="AF514" i="31"/>
  <c r="AP342" i="31"/>
  <c r="AB507" i="31"/>
  <c r="AL335" i="31"/>
  <c r="AF507" i="31"/>
  <c r="AP335" i="31"/>
  <c r="AH386" i="31"/>
  <c r="AR214" i="31"/>
  <c r="AE456" i="31"/>
  <c r="AO284" i="31"/>
  <c r="AC382" i="31"/>
  <c r="AM210" i="31"/>
  <c r="AC468" i="31"/>
  <c r="AM296" i="31"/>
  <c r="AH503" i="31"/>
  <c r="AR331" i="31"/>
  <c r="J29" i="93"/>
  <c r="N29" i="93"/>
  <c r="R29" i="93"/>
  <c r="H29" i="93"/>
  <c r="P29" i="93"/>
  <c r="V29" i="93"/>
  <c r="L29" i="93"/>
  <c r="T29" i="93"/>
  <c r="C45" i="3"/>
  <c r="AE397" i="31"/>
  <c r="AO225" i="31"/>
  <c r="AC482" i="31"/>
  <c r="AM310" i="31"/>
  <c r="AH436" i="31"/>
  <c r="AR264" i="31"/>
  <c r="AC419" i="31"/>
  <c r="AM247" i="31"/>
  <c r="AF396" i="31"/>
  <c r="AP224" i="31"/>
  <c r="AA396" i="31"/>
  <c r="AK224" i="31"/>
  <c r="AI533" i="31"/>
  <c r="AS361" i="31"/>
  <c r="AI545" i="31"/>
  <c r="AS373" i="31"/>
  <c r="AH545" i="31"/>
  <c r="AR373" i="31"/>
  <c r="AC529" i="31"/>
  <c r="AM357" i="31"/>
  <c r="AB463" i="31"/>
  <c r="AL291" i="31"/>
  <c r="AD463" i="31"/>
  <c r="AN291" i="31"/>
  <c r="AE546" i="31"/>
  <c r="AO374" i="31"/>
  <c r="AT271" i="31"/>
  <c r="AE446" i="31"/>
  <c r="AO274" i="31"/>
  <c r="AB405" i="31"/>
  <c r="AL233" i="31"/>
  <c r="AT278" i="31"/>
  <c r="AI526" i="31"/>
  <c r="AS354" i="31"/>
  <c r="AF526" i="31"/>
  <c r="AP354" i="31"/>
  <c r="AI437" i="31"/>
  <c r="AS265" i="31"/>
  <c r="AT347" i="31"/>
  <c r="AG438" i="31"/>
  <c r="AQ266" i="31"/>
  <c r="AE501" i="31"/>
  <c r="AO329" i="31"/>
  <c r="AC501" i="31"/>
  <c r="AM329" i="31"/>
  <c r="AE537" i="31"/>
  <c r="AO365" i="31"/>
  <c r="AB516" i="31"/>
  <c r="AL344" i="31"/>
  <c r="AI431" i="31"/>
  <c r="AS259" i="31"/>
  <c r="V19" i="94"/>
  <c r="L19" i="94"/>
  <c r="T19" i="94"/>
  <c r="J19" i="94"/>
  <c r="N19" i="94"/>
  <c r="H19" i="94"/>
  <c r="P19" i="94"/>
  <c r="R19" i="94"/>
  <c r="AB444" i="31"/>
  <c r="AL272" i="31"/>
  <c r="AF491" i="31"/>
  <c r="AP319" i="31"/>
  <c r="AI491" i="31"/>
  <c r="AS319" i="31"/>
  <c r="AE530" i="31"/>
  <c r="AO358" i="31"/>
  <c r="AT348" i="31"/>
  <c r="Z455" i="31"/>
  <c r="AJ283" i="31"/>
  <c r="AA489" i="31"/>
  <c r="AK317" i="31"/>
  <c r="AH489" i="31"/>
  <c r="AR317" i="31"/>
  <c r="AG493" i="31"/>
  <c r="AQ321" i="31"/>
  <c r="AD505" i="31"/>
  <c r="AN333" i="31"/>
  <c r="AF416" i="31"/>
  <c r="AP244" i="31"/>
  <c r="AD549" i="31"/>
  <c r="AN377" i="31"/>
  <c r="AI528" i="31"/>
  <c r="AS356" i="31"/>
  <c r="AE471" i="31"/>
  <c r="AO299" i="31"/>
  <c r="AC471" i="31"/>
  <c r="AM299" i="31"/>
  <c r="AG490" i="31"/>
  <c r="AQ318" i="31"/>
  <c r="AF467" i="31"/>
  <c r="AP295" i="31"/>
  <c r="AI517" i="31"/>
  <c r="AS345" i="31"/>
  <c r="AF517" i="31"/>
  <c r="AP345" i="31"/>
  <c r="AD475" i="31"/>
  <c r="AN303" i="31"/>
  <c r="Z435" i="31"/>
  <c r="AJ263" i="31"/>
  <c r="AD433" i="31"/>
  <c r="AN261" i="31"/>
  <c r="AI522" i="31"/>
  <c r="AS350" i="31"/>
  <c r="AF522" i="31"/>
  <c r="AP350" i="31"/>
  <c r="AH540" i="31"/>
  <c r="AR368" i="31"/>
  <c r="AF540" i="31"/>
  <c r="AP368" i="31"/>
  <c r="AB487" i="31"/>
  <c r="AL315" i="31"/>
  <c r="AC412" i="31"/>
  <c r="AM240" i="31"/>
  <c r="AG532" i="31"/>
  <c r="AQ360" i="31"/>
  <c r="AG428" i="31"/>
  <c r="AQ256" i="31"/>
  <c r="AA413" i="31"/>
  <c r="AK241" i="31"/>
  <c r="AE466" i="31"/>
  <c r="AO294" i="31"/>
  <c r="AI466" i="31"/>
  <c r="AS294" i="31"/>
  <c r="AE417" i="31"/>
  <c r="AO245" i="31"/>
  <c r="AC434" i="31"/>
  <c r="AM262" i="31"/>
  <c r="AF434" i="31"/>
  <c r="AP262" i="31"/>
  <c r="AB512" i="31"/>
  <c r="AL340" i="31"/>
  <c r="AG536" i="31"/>
  <c r="AQ364" i="31"/>
  <c r="AH449" i="31"/>
  <c r="AR277" i="31"/>
  <c r="AB449" i="31"/>
  <c r="AL277" i="31"/>
  <c r="AB421" i="31"/>
  <c r="AL249" i="31"/>
  <c r="AE483" i="31"/>
  <c r="AO311" i="31"/>
  <c r="AG483" i="31"/>
  <c r="AQ311" i="31"/>
  <c r="AA499" i="31"/>
  <c r="AK327" i="31"/>
  <c r="AF527" i="31"/>
  <c r="AP355" i="31"/>
  <c r="AA477" i="31"/>
  <c r="AK305" i="31"/>
  <c r="AE410" i="31"/>
  <c r="AO238" i="31"/>
  <c r="AC429" i="31"/>
  <c r="AM257" i="31"/>
  <c r="AB548" i="31"/>
  <c r="AL376" i="31"/>
  <c r="Z548" i="31"/>
  <c r="AJ376" i="31"/>
  <c r="AA543" i="31"/>
  <c r="AK371" i="31"/>
  <c r="AI453" i="31"/>
  <c r="AS281" i="31"/>
  <c r="AD402" i="31"/>
  <c r="AN230" i="31"/>
  <c r="AH418" i="31"/>
  <c r="AR246" i="31"/>
  <c r="AF418" i="31"/>
  <c r="AP246" i="31"/>
  <c r="AG531" i="31"/>
  <c r="AQ359" i="31"/>
  <c r="AF508" i="31"/>
  <c r="AP336" i="31"/>
  <c r="AF478" i="31"/>
  <c r="AP306" i="31"/>
  <c r="AD401" i="31"/>
  <c r="AN229" i="31"/>
  <c r="AG464" i="31"/>
  <c r="AQ292" i="31"/>
  <c r="AH407" i="31"/>
  <c r="AR235" i="31"/>
  <c r="AF420" i="31"/>
  <c r="AP248" i="31"/>
  <c r="AB539" i="31"/>
  <c r="AL367" i="31"/>
  <c r="AI461" i="31"/>
  <c r="AS289" i="31"/>
  <c r="AG461" i="31"/>
  <c r="AQ289" i="31"/>
  <c r="AI476" i="31"/>
  <c r="AS304" i="31"/>
  <c r="AC504" i="31"/>
  <c r="AM332" i="31"/>
  <c r="AC542" i="31"/>
  <c r="AM370" i="31"/>
  <c r="AD500" i="31"/>
  <c r="AN328" i="31"/>
  <c r="AE495" i="31"/>
  <c r="AO323" i="31"/>
  <c r="AI392" i="31"/>
  <c r="AS220" i="31"/>
  <c r="Z208" i="31"/>
  <c r="BI209" i="31"/>
  <c r="BI208" i="31"/>
  <c r="BS208" i="31" s="1"/>
  <c r="BT208" i="31" s="1"/>
  <c r="BU208" i="31" s="1"/>
  <c r="BI211" i="31"/>
  <c r="BS211" i="31" s="1"/>
  <c r="BT211" i="31" s="1"/>
  <c r="BU211" i="31" s="1"/>
  <c r="BI210" i="31"/>
  <c r="BS210" i="31" s="1"/>
  <c r="AF208" i="31"/>
  <c r="BO209" i="31"/>
  <c r="BO208" i="31"/>
  <c r="BO211" i="31"/>
  <c r="BO210" i="31"/>
  <c r="AI535" i="31"/>
  <c r="AS363" i="31"/>
  <c r="AF535" i="31"/>
  <c r="AP363" i="31"/>
  <c r="AH486" i="31"/>
  <c r="AR314" i="31"/>
  <c r="AD497" i="31"/>
  <c r="AN325" i="31"/>
  <c r="AA457" i="31"/>
  <c r="AK285" i="31"/>
  <c r="AD518" i="31"/>
  <c r="AN346" i="31"/>
  <c r="Z384" i="31"/>
  <c r="AJ212" i="31"/>
  <c r="Z411" i="31"/>
  <c r="AJ239" i="31"/>
  <c r="AG411" i="31"/>
  <c r="AQ239" i="31"/>
  <c r="AE511" i="31"/>
  <c r="AO339" i="31"/>
  <c r="AA525" i="31"/>
  <c r="AK353" i="31"/>
  <c r="AA395" i="31"/>
  <c r="AK223" i="31"/>
  <c r="AI395" i="31"/>
  <c r="AS223" i="31"/>
  <c r="Z498" i="31"/>
  <c r="AJ326" i="31"/>
  <c r="AE423" i="31"/>
  <c r="AO251" i="31"/>
  <c r="AD423" i="31"/>
  <c r="AN251" i="31"/>
  <c r="AF459" i="31"/>
  <c r="AP287" i="31"/>
  <c r="AT337" i="31"/>
  <c r="AI454" i="31"/>
  <c r="AS282" i="31"/>
  <c r="AB406" i="31"/>
  <c r="AL234" i="31"/>
  <c r="AC404" i="31"/>
  <c r="AM232" i="31"/>
  <c r="AG394" i="31"/>
  <c r="AQ222" i="31"/>
  <c r="AA479" i="31"/>
  <c r="AK307" i="31"/>
  <c r="AE458" i="31"/>
  <c r="AO286" i="31"/>
  <c r="AI458" i="31"/>
  <c r="AS286" i="31"/>
  <c r="AC534" i="31"/>
  <c r="AM362" i="31"/>
  <c r="AC383" i="31"/>
  <c r="AM211" i="31"/>
  <c r="AF409" i="31"/>
  <c r="AP237" i="31"/>
  <c r="AC409" i="31"/>
  <c r="AM237" i="31"/>
  <c r="AA460" i="31"/>
  <c r="AK288" i="31"/>
  <c r="AA452" i="31"/>
  <c r="AK280" i="31"/>
  <c r="AB547" i="31"/>
  <c r="AL375" i="31"/>
  <c r="AF432" i="31"/>
  <c r="AP260" i="31"/>
  <c r="AT216" i="31"/>
  <c r="Z427" i="31"/>
  <c r="AJ255" i="31"/>
  <c r="AD514" i="31"/>
  <c r="AN342" i="31"/>
  <c r="AC507" i="31"/>
  <c r="AM335" i="31"/>
  <c r="AH507" i="31"/>
  <c r="AR335" i="31"/>
  <c r="AD386" i="31"/>
  <c r="AN214" i="31"/>
  <c r="AA456" i="31"/>
  <c r="AK284" i="31"/>
  <c r="AI382" i="31"/>
  <c r="AS210" i="31"/>
  <c r="AH468" i="31"/>
  <c r="AR296" i="31"/>
  <c r="AE503" i="31"/>
  <c r="AO331" i="31"/>
  <c r="K140" i="71"/>
  <c r="N140" i="71"/>
  <c r="J37" i="71"/>
  <c r="J61" i="71"/>
  <c r="O79" i="71"/>
  <c r="AK178" i="99"/>
  <c r="AR178" i="99"/>
  <c r="AP178" i="99"/>
  <c r="AO178" i="99"/>
  <c r="AN178" i="99"/>
  <c r="AM178" i="99"/>
  <c r="AL178" i="99"/>
  <c r="AQ178" i="99"/>
  <c r="AV178" i="99"/>
  <c r="BC178" i="99"/>
  <c r="BA178" i="99"/>
  <c r="AZ178" i="99"/>
  <c r="AY178" i="99"/>
  <c r="AX178" i="99"/>
  <c r="AW178" i="99"/>
  <c r="BB178" i="99"/>
  <c r="B119" i="95"/>
  <c r="B119" i="94"/>
  <c r="B119" i="93"/>
  <c r="I117" i="92"/>
  <c r="B118" i="92"/>
  <c r="AW106" i="31"/>
  <c r="AW133" i="31"/>
  <c r="AW9" i="31"/>
  <c r="AW17" i="31"/>
  <c r="AW150" i="31"/>
  <c r="AW179" i="31"/>
  <c r="AW75" i="31"/>
  <c r="AW118" i="31"/>
  <c r="AW161" i="31"/>
  <c r="AW71" i="31"/>
  <c r="AW25" i="31"/>
  <c r="AW91" i="31"/>
  <c r="AW69" i="31"/>
  <c r="AW119" i="31"/>
  <c r="AW12" i="31"/>
  <c r="AW60" i="31"/>
  <c r="AW141" i="31"/>
  <c r="AW37" i="31"/>
  <c r="AW74" i="31"/>
  <c r="AW42" i="31"/>
  <c r="AW38" i="31"/>
  <c r="AW41" i="31"/>
  <c r="AW33" i="31"/>
  <c r="AW167" i="31"/>
  <c r="AW171" i="31"/>
  <c r="AW108" i="31"/>
  <c r="AW55" i="31"/>
  <c r="AW122" i="31"/>
  <c r="AW194" i="31"/>
  <c r="AW135" i="31"/>
  <c r="AW48" i="31"/>
  <c r="AW166" i="31"/>
  <c r="AW126" i="31"/>
  <c r="AW23" i="31"/>
  <c r="AW190" i="31"/>
  <c r="AW159" i="31"/>
  <c r="AW177" i="31"/>
  <c r="AW24" i="31"/>
  <c r="AW105" i="31"/>
  <c r="AW199" i="31"/>
  <c r="AW183" i="31"/>
  <c r="AW70" i="31"/>
  <c r="AW30" i="31"/>
  <c r="AW13" i="31"/>
  <c r="AW149" i="31"/>
  <c r="AW36" i="31"/>
  <c r="AW146" i="31"/>
  <c r="AW140" i="31"/>
  <c r="AW160" i="31"/>
  <c r="AW187" i="31"/>
  <c r="AW73" i="31"/>
  <c r="AW172" i="31"/>
  <c r="AW128" i="31"/>
  <c r="AW200" i="31"/>
  <c r="AW155" i="31"/>
  <c r="AW127" i="31"/>
  <c r="AW201" i="31"/>
  <c r="AW50" i="31"/>
  <c r="AW89" i="31"/>
  <c r="AW125" i="31"/>
  <c r="AW72" i="31"/>
  <c r="AW191" i="31"/>
  <c r="AW5" i="31"/>
  <c r="AW193" i="31"/>
  <c r="AW92" i="31"/>
  <c r="AW34" i="31"/>
  <c r="AW22" i="31"/>
  <c r="AW188" i="31"/>
  <c r="AW52" i="31"/>
  <c r="AW26" i="31"/>
  <c r="AW181" i="31"/>
  <c r="AW109" i="31"/>
  <c r="AW78" i="31"/>
  <c r="AW168" i="31"/>
  <c r="AW103" i="31"/>
  <c r="AW192" i="31"/>
  <c r="AW110" i="31"/>
  <c r="AW145" i="31"/>
  <c r="AW51" i="31"/>
  <c r="AW66" i="31"/>
  <c r="AW120" i="31"/>
  <c r="AW113" i="31"/>
  <c r="AW138" i="31"/>
  <c r="AW32" i="31"/>
  <c r="AW170" i="31"/>
  <c r="AW142" i="31"/>
  <c r="AW95" i="31"/>
  <c r="AW154" i="31"/>
  <c r="AW198" i="31"/>
  <c r="AW18" i="31"/>
  <c r="AW96" i="31"/>
  <c r="AW124" i="31"/>
  <c r="AW148" i="31"/>
  <c r="AW189" i="31"/>
  <c r="AW94" i="31"/>
  <c r="AW185" i="31"/>
  <c r="AW123" i="31"/>
  <c r="AW137" i="31"/>
  <c r="AW40" i="31"/>
  <c r="AW131" i="31"/>
  <c r="AW59" i="31"/>
  <c r="AW61" i="31"/>
  <c r="AW152" i="31"/>
  <c r="AW178" i="31"/>
  <c r="AW176" i="31"/>
  <c r="AW97" i="31"/>
  <c r="AW102" i="31"/>
  <c r="AW98" i="31"/>
  <c r="AW184" i="31"/>
  <c r="AW153" i="31"/>
  <c r="AW64" i="31"/>
  <c r="AW115" i="31"/>
  <c r="AW117" i="31"/>
  <c r="AW83" i="31"/>
  <c r="AW151" i="31"/>
  <c r="AW111" i="31"/>
  <c r="AW157" i="31"/>
  <c r="AW195" i="31"/>
  <c r="AW44" i="31"/>
  <c r="AW121" i="31"/>
  <c r="AW67" i="31"/>
  <c r="AW99" i="31"/>
  <c r="AW100" i="31"/>
  <c r="AW20" i="31"/>
  <c r="AW173" i="31"/>
  <c r="AW162" i="31"/>
  <c r="AW86" i="31"/>
  <c r="AW147" i="31"/>
  <c r="AW77" i="31"/>
  <c r="AW130" i="31"/>
  <c r="AW7" i="31"/>
  <c r="AW144" i="31"/>
  <c r="AW136" i="31"/>
  <c r="AW180" i="31"/>
  <c r="AW79" i="31"/>
  <c r="AW134" i="31"/>
  <c r="AW46" i="31"/>
  <c r="AW174" i="31"/>
  <c r="AW182" i="31"/>
  <c r="AW35" i="31"/>
  <c r="AW28" i="31"/>
  <c r="AW93" i="31"/>
  <c r="AW68" i="31"/>
  <c r="AW43" i="31"/>
  <c r="AW164" i="31"/>
  <c r="AW104" i="31"/>
  <c r="AW156" i="31"/>
  <c r="AW11" i="31"/>
  <c r="AW132" i="31"/>
  <c r="AW165" i="31"/>
  <c r="AW45" i="31"/>
  <c r="AW175" i="31"/>
  <c r="AW197" i="31"/>
  <c r="AW129" i="31"/>
  <c r="AW169" i="31"/>
  <c r="AW85" i="31"/>
  <c r="AW58" i="31"/>
  <c r="AW163" i="31"/>
  <c r="AW31" i="31"/>
  <c r="AW27" i="31"/>
  <c r="AW87" i="31"/>
  <c r="AW15" i="31"/>
  <c r="AW14" i="31"/>
  <c r="AW101" i="31"/>
  <c r="AW116" i="31"/>
  <c r="AW47" i="31"/>
  <c r="AW80" i="31"/>
  <c r="AW53" i="31"/>
  <c r="AW107" i="31"/>
  <c r="AW139" i="31"/>
  <c r="AW39" i="31"/>
  <c r="AW81" i="31"/>
  <c r="AW202" i="31"/>
  <c r="AW49" i="31"/>
  <c r="AW16" i="31"/>
  <c r="AW57" i="31"/>
  <c r="AW186" i="31"/>
  <c r="AW143" i="31"/>
  <c r="AW88" i="31"/>
  <c r="AW84" i="31"/>
  <c r="AW112" i="31"/>
  <c r="AW114" i="31"/>
  <c r="AW56" i="31"/>
  <c r="AW62" i="31"/>
  <c r="AW65" i="31"/>
  <c r="AW8" i="31"/>
  <c r="AW29" i="31"/>
  <c r="AW158" i="31"/>
  <c r="AW63" i="31"/>
  <c r="AW76" i="31"/>
  <c r="AW21" i="31"/>
  <c r="AW196" i="31"/>
  <c r="AW90" i="31"/>
  <c r="AW82" i="31"/>
  <c r="AW6" i="31"/>
  <c r="AW10" i="31"/>
  <c r="AW54" i="31"/>
  <c r="AW19" i="31"/>
  <c r="M98" i="71"/>
  <c r="O209" i="71"/>
  <c r="K183" i="71"/>
  <c r="M209" i="71"/>
  <c r="N98" i="71"/>
  <c r="J109" i="71"/>
  <c r="L68" i="71"/>
  <c r="M55" i="71"/>
  <c r="L183" i="71"/>
  <c r="J179" i="71"/>
  <c r="N55" i="71"/>
  <c r="N201" i="71"/>
  <c r="L211" i="71"/>
  <c r="O179" i="71"/>
  <c r="O145" i="71"/>
  <c r="J98" i="71"/>
  <c r="L49" i="71"/>
  <c r="J126" i="71"/>
  <c r="K165" i="71"/>
  <c r="N48" i="71"/>
  <c r="J49" i="71"/>
  <c r="K200" i="71"/>
  <c r="N200" i="71"/>
  <c r="M100" i="71"/>
  <c r="O28" i="71"/>
  <c r="M109" i="71"/>
  <c r="L37" i="71"/>
  <c r="M68" i="71"/>
  <c r="K64" i="71"/>
  <c r="J93" i="71"/>
  <c r="L106" i="71"/>
  <c r="K56" i="71"/>
  <c r="O62" i="71"/>
  <c r="M201" i="71"/>
  <c r="J165" i="71"/>
  <c r="N211" i="71"/>
  <c r="O119" i="71"/>
  <c r="L201" i="71"/>
  <c r="K202" i="71"/>
  <c r="O66" i="71"/>
  <c r="O98" i="71"/>
  <c r="K108" i="71"/>
  <c r="M62" i="71"/>
  <c r="N108" i="71"/>
  <c r="J202" i="71"/>
  <c r="M141" i="71"/>
  <c r="O194" i="71"/>
  <c r="O100" i="71"/>
  <c r="L108" i="71"/>
  <c r="L86" i="71"/>
  <c r="K119" i="71"/>
  <c r="M134" i="71"/>
  <c r="N156" i="71"/>
  <c r="J218" i="71"/>
  <c r="J162" i="71"/>
  <c r="K194" i="71"/>
  <c r="AI23" i="71"/>
  <c r="AP22" i="71"/>
  <c r="AP24" i="71" s="1"/>
  <c r="N61" i="71"/>
  <c r="O27" i="71"/>
  <c r="J75" i="71"/>
  <c r="J48" i="71"/>
  <c r="L202" i="71"/>
  <c r="M203" i="71"/>
  <c r="N47" i="71"/>
  <c r="L218" i="71"/>
  <c r="N49" i="71"/>
  <c r="M194" i="71"/>
  <c r="N194" i="71"/>
  <c r="M30" i="71"/>
  <c r="J67" i="71"/>
  <c r="N30" i="71"/>
  <c r="O202" i="71"/>
  <c r="N119" i="71"/>
  <c r="O68" i="71"/>
  <c r="L109" i="71"/>
  <c r="J68" i="71"/>
  <c r="N217" i="71"/>
  <c r="O122" i="71"/>
  <c r="L55" i="71"/>
  <c r="O82" i="71"/>
  <c r="J122" i="71"/>
  <c r="N106" i="71"/>
  <c r="M47" i="71"/>
  <c r="K182" i="71"/>
  <c r="N183" i="71"/>
  <c r="K109" i="71"/>
  <c r="O47" i="71"/>
  <c r="J80" i="71"/>
  <c r="K127" i="71"/>
  <c r="N209" i="71"/>
  <c r="M106" i="71"/>
  <c r="M120" i="71"/>
  <c r="O217" i="71"/>
  <c r="O120" i="71"/>
  <c r="K55" i="71"/>
  <c r="N133" i="71"/>
  <c r="M64" i="71"/>
  <c r="M150" i="71"/>
  <c r="L134" i="71"/>
  <c r="N26" i="71"/>
  <c r="O55" i="71"/>
  <c r="O201" i="71"/>
  <c r="O109" i="71"/>
  <c r="M80" i="71"/>
  <c r="L80" i="71"/>
  <c r="J102" i="71"/>
  <c r="O133" i="71"/>
  <c r="L64" i="71"/>
  <c r="O220" i="71"/>
  <c r="M48" i="71"/>
  <c r="O174" i="71"/>
  <c r="K100" i="71"/>
  <c r="M102" i="71"/>
  <c r="K133" i="71"/>
  <c r="L93" i="71"/>
  <c r="K220" i="71"/>
  <c r="K160" i="71"/>
  <c r="M67" i="71"/>
  <c r="M222" i="71"/>
  <c r="L48" i="71"/>
  <c r="O54" i="71"/>
  <c r="O33" i="71"/>
  <c r="N56" i="71"/>
  <c r="O48" i="71"/>
  <c r="K222" i="71"/>
  <c r="L101" i="71"/>
  <c r="J196" i="71"/>
  <c r="L141" i="71"/>
  <c r="K203" i="71"/>
  <c r="N126" i="71"/>
  <c r="N28" i="71"/>
  <c r="K123" i="71"/>
  <c r="N165" i="71"/>
  <c r="N218" i="71"/>
  <c r="M183" i="71"/>
  <c r="J147" i="71"/>
  <c r="L174" i="71"/>
  <c r="AQ22" i="71"/>
  <c r="AQ24" i="71" s="1"/>
  <c r="Q22" i="71"/>
  <c r="Q24" i="71" s="1"/>
  <c r="O126" i="71"/>
  <c r="K58" i="71"/>
  <c r="J28" i="71"/>
  <c r="K28" i="71"/>
  <c r="L82" i="71"/>
  <c r="O135" i="71"/>
  <c r="O160" i="71"/>
  <c r="M101" i="71"/>
  <c r="N100" i="71"/>
  <c r="O157" i="71"/>
  <c r="M58" i="71"/>
  <c r="M123" i="71"/>
  <c r="M56" i="71"/>
  <c r="L56" i="71"/>
  <c r="L217" i="71"/>
  <c r="O93" i="71"/>
  <c r="N223" i="71"/>
  <c r="O218" i="71"/>
  <c r="O175" i="71"/>
  <c r="AE23" i="71"/>
  <c r="M167" i="71"/>
  <c r="K145" i="71"/>
  <c r="J82" i="71"/>
  <c r="N164" i="71"/>
  <c r="M156" i="71"/>
  <c r="O147" i="71"/>
  <c r="K147" i="71"/>
  <c r="M135" i="71"/>
  <c r="N82" i="71"/>
  <c r="O165" i="71"/>
  <c r="N179" i="71"/>
  <c r="L165" i="71"/>
  <c r="J108" i="71"/>
  <c r="M166" i="71"/>
  <c r="L156" i="71"/>
  <c r="O150" i="71"/>
  <c r="N64" i="71"/>
  <c r="J30" i="71"/>
  <c r="M160" i="71"/>
  <c r="K204" i="71"/>
  <c r="J211" i="71"/>
  <c r="O56" i="71"/>
  <c r="J220" i="71"/>
  <c r="M210" i="71"/>
  <c r="K141" i="71"/>
  <c r="L123" i="71"/>
  <c r="N135" i="71"/>
  <c r="L203" i="71"/>
  <c r="M40" i="71"/>
  <c r="K78" i="71"/>
  <c r="M66" i="71"/>
  <c r="L98" i="71"/>
  <c r="J141" i="71"/>
  <c r="L28" i="71"/>
  <c r="M90" i="71"/>
  <c r="AU81" i="31"/>
  <c r="M45" i="71"/>
  <c r="J45" i="71"/>
  <c r="AX31" i="31"/>
  <c r="AX116" i="31"/>
  <c r="AV14" i="31"/>
  <c r="AZ57" i="31"/>
  <c r="AW22" i="71"/>
  <c r="AW24" i="71" s="1"/>
  <c r="AW23" i="71"/>
  <c r="AV27" i="31"/>
  <c r="AY76" i="31"/>
  <c r="AV54" i="31"/>
  <c r="AZ88" i="31"/>
  <c r="AV80" i="31"/>
  <c r="AZ82" i="31"/>
  <c r="AX58" i="31"/>
  <c r="O45" i="71"/>
  <c r="N91" i="71"/>
  <c r="M138" i="71"/>
  <c r="J174" i="71"/>
  <c r="L79" i="71"/>
  <c r="N68" i="71"/>
  <c r="N27" i="71"/>
  <c r="M37" i="71"/>
  <c r="M119" i="71"/>
  <c r="N160" i="71"/>
  <c r="O90" i="71"/>
  <c r="L30" i="71"/>
  <c r="M182" i="71"/>
  <c r="K66" i="71"/>
  <c r="K201" i="71"/>
  <c r="L122" i="71"/>
  <c r="O75" i="71"/>
  <c r="O204" i="71"/>
  <c r="J78" i="71"/>
  <c r="K106" i="71"/>
  <c r="N150" i="71"/>
  <c r="J221" i="71"/>
  <c r="O152" i="71"/>
  <c r="N75" i="71"/>
  <c r="N33" i="71"/>
  <c r="K120" i="71"/>
  <c r="O86" i="71"/>
  <c r="M60" i="71"/>
  <c r="M164" i="71"/>
  <c r="O203" i="71"/>
  <c r="M152" i="71"/>
  <c r="J204" i="71"/>
  <c r="L166" i="71"/>
  <c r="AX65" i="31"/>
  <c r="AY101" i="31"/>
  <c r="AZ45" i="31"/>
  <c r="AU165" i="31"/>
  <c r="AX85" i="31"/>
  <c r="L84" i="71"/>
  <c r="K84" i="71"/>
  <c r="N84" i="71"/>
  <c r="AX90" i="31"/>
  <c r="L185" i="71"/>
  <c r="J210" i="71"/>
  <c r="AU29" i="31"/>
  <c r="AX139" i="31"/>
  <c r="AV56" i="31"/>
  <c r="AZ15" i="31"/>
  <c r="AV6" i="31"/>
  <c r="AZ16" i="31"/>
  <c r="AC23" i="71"/>
  <c r="Y4" i="71" s="1"/>
  <c r="AC22" i="71"/>
  <c r="AC24" i="71" s="1"/>
  <c r="AX10" i="31"/>
  <c r="AU163" i="31"/>
  <c r="AY112" i="31"/>
  <c r="AY53" i="31"/>
  <c r="AT11" i="31"/>
  <c r="AZ96" i="31"/>
  <c r="AY133" i="31"/>
  <c r="AX148" i="31"/>
  <c r="AV106" i="31"/>
  <c r="AX130" i="31"/>
  <c r="AZ185" i="31"/>
  <c r="AZ179" i="31"/>
  <c r="AY200" i="31"/>
  <c r="AV145" i="31"/>
  <c r="AX127" i="31"/>
  <c r="AY146" i="31"/>
  <c r="AV176" i="31"/>
  <c r="AX42" i="31"/>
  <c r="AY75" i="31"/>
  <c r="AV48" i="31"/>
  <c r="AY79" i="31"/>
  <c r="AX155" i="31"/>
  <c r="AY180" i="31"/>
  <c r="AV172" i="31"/>
  <c r="AY119" i="31"/>
  <c r="AV25" i="31"/>
  <c r="AX89" i="31"/>
  <c r="AX102" i="31"/>
  <c r="AV134" i="31"/>
  <c r="AZ181" i="31"/>
  <c r="AU91" i="31"/>
  <c r="AX50" i="31"/>
  <c r="AV147" i="31"/>
  <c r="AX149" i="31"/>
  <c r="AV108" i="31"/>
  <c r="AV201" i="31"/>
  <c r="AU120" i="31"/>
  <c r="AX171" i="31"/>
  <c r="AZ191" i="31"/>
  <c r="AU142" i="31"/>
  <c r="AY159" i="31"/>
  <c r="AU125" i="31"/>
  <c r="AX178" i="31"/>
  <c r="AZ170" i="31"/>
  <c r="AU160" i="31"/>
  <c r="AX28" i="31"/>
  <c r="AU94" i="31"/>
  <c r="AV141" i="31"/>
  <c r="AY92" i="31"/>
  <c r="AY198" i="31"/>
  <c r="AZ93" i="31"/>
  <c r="AU156" i="31"/>
  <c r="AV37" i="31"/>
  <c r="AY44" i="31"/>
  <c r="AV20" i="31"/>
  <c r="AY105" i="31"/>
  <c r="AY5" i="31"/>
  <c r="AX173" i="31"/>
  <c r="AU74" i="31"/>
  <c r="AZ22" i="31"/>
  <c r="AV193" i="31"/>
  <c r="AU36" i="31"/>
  <c r="AX41" i="31"/>
  <c r="AZ152" i="31"/>
  <c r="AV128" i="31"/>
  <c r="AZ78" i="31"/>
  <c r="AV33" i="31"/>
  <c r="AX192" i="31"/>
  <c r="AX109" i="31"/>
  <c r="AV70" i="31"/>
  <c r="AY18" i="31"/>
  <c r="AZ83" i="31"/>
  <c r="AX121" i="31"/>
  <c r="AY187" i="31"/>
  <c r="AU168" i="31"/>
  <c r="AY86" i="31"/>
  <c r="AZ97" i="31"/>
  <c r="AV43" i="31"/>
  <c r="AY122" i="31"/>
  <c r="AV174" i="31"/>
  <c r="AZ124" i="31"/>
  <c r="AX77" i="31"/>
  <c r="AV99" i="31"/>
  <c r="AX188" i="31"/>
  <c r="AV184" i="31"/>
  <c r="AZ67" i="31"/>
  <c r="AX150" i="31"/>
  <c r="AX151" i="31"/>
  <c r="AY9" i="31"/>
  <c r="AU55" i="31"/>
  <c r="AV103" i="31"/>
  <c r="AY46" i="31"/>
  <c r="AU72" i="31"/>
  <c r="AX66" i="31"/>
  <c r="AZ51" i="31"/>
  <c r="AV64" i="31"/>
  <c r="AY96" i="31"/>
  <c r="AU133" i="31"/>
  <c r="AZ148" i="31"/>
  <c r="AZ49" i="31"/>
  <c r="AU130" i="31"/>
  <c r="AV185" i="31"/>
  <c r="AU179" i="31"/>
  <c r="AX200" i="31"/>
  <c r="AX61" i="31"/>
  <c r="AV127" i="31"/>
  <c r="AX146" i="31"/>
  <c r="AZ7" i="31"/>
  <c r="AU42" i="31"/>
  <c r="AX75" i="31"/>
  <c r="AU48" i="31"/>
  <c r="AV79" i="31"/>
  <c r="AZ155" i="31"/>
  <c r="AX180" i="31"/>
  <c r="AU172" i="31"/>
  <c r="AX119" i="31"/>
  <c r="AX190" i="31"/>
  <c r="AU89" i="31"/>
  <c r="AZ102" i="31"/>
  <c r="AU134" i="31"/>
  <c r="AV181" i="31"/>
  <c r="AZ23" i="31"/>
  <c r="AU50" i="31"/>
  <c r="AY147" i="31"/>
  <c r="AZ149" i="31"/>
  <c r="AU108" i="31"/>
  <c r="AY201" i="31"/>
  <c r="AX157" i="31"/>
  <c r="AZ171" i="31"/>
  <c r="AV191" i="31"/>
  <c r="AV142" i="31"/>
  <c r="AV159" i="31"/>
  <c r="AZ32" i="31"/>
  <c r="AU178" i="31"/>
  <c r="AY170" i="31"/>
  <c r="AV160" i="31"/>
  <c r="AZ28" i="31"/>
  <c r="AZ167" i="31"/>
  <c r="AY141" i="31"/>
  <c r="AX92" i="31"/>
  <c r="AU198" i="31"/>
  <c r="AY93" i="31"/>
  <c r="AY140" i="31"/>
  <c r="AU37" i="31"/>
  <c r="AX44" i="31"/>
  <c r="AU20" i="31"/>
  <c r="AX105" i="31"/>
  <c r="AV5" i="31"/>
  <c r="AZ173" i="31"/>
  <c r="AV74" i="31"/>
  <c r="AY22" i="31"/>
  <c r="AY193" i="31"/>
  <c r="AX126" i="31"/>
  <c r="AU41" i="31"/>
  <c r="AY152" i="31"/>
  <c r="AU128" i="31"/>
  <c r="AY78" i="31"/>
  <c r="AX69" i="31"/>
  <c r="AU192" i="31"/>
  <c r="AZ109" i="31"/>
  <c r="AU70" i="31"/>
  <c r="AX18" i="31"/>
  <c r="AY68" i="31"/>
  <c r="AU121" i="31"/>
  <c r="AX187" i="31"/>
  <c r="AZ137" i="31"/>
  <c r="AV86" i="31"/>
  <c r="AY97" i="31"/>
  <c r="AU43" i="31"/>
  <c r="AX122" i="31"/>
  <c r="AZ136" i="31"/>
  <c r="AV124" i="31"/>
  <c r="AZ77" i="31"/>
  <c r="AU99" i="31"/>
  <c r="AZ188" i="31"/>
  <c r="AX118" i="31"/>
  <c r="AV67" i="31"/>
  <c r="AZ150" i="31"/>
  <c r="AV151" i="31"/>
  <c r="AX9" i="31"/>
  <c r="AZ73" i="31"/>
  <c r="AX103" i="31"/>
  <c r="AV46" i="31"/>
  <c r="AZ17" i="31"/>
  <c r="AZ98" i="31"/>
  <c r="AU66" i="31"/>
  <c r="AV51" i="31"/>
  <c r="AU64" i="31"/>
  <c r="AX96" i="31"/>
  <c r="AX189" i="31"/>
  <c r="AV148" i="31"/>
  <c r="AY49" i="31"/>
  <c r="AV130" i="31"/>
  <c r="AY185" i="31"/>
  <c r="AZ135" i="31"/>
  <c r="AV200" i="31"/>
  <c r="AZ61" i="31"/>
  <c r="AU127" i="31"/>
  <c r="AX110" i="31"/>
  <c r="AU146" i="31"/>
  <c r="AY7" i="31"/>
  <c r="AV42" i="31"/>
  <c r="AV75" i="31"/>
  <c r="AY131" i="31"/>
  <c r="AU79" i="31"/>
  <c r="AU155" i="31"/>
  <c r="AZ180" i="31"/>
  <c r="AZ154" i="31"/>
  <c r="AV119" i="31"/>
  <c r="AZ190" i="31"/>
  <c r="AV89" i="31"/>
  <c r="AY102" i="31"/>
  <c r="AV195" i="31"/>
  <c r="AY181" i="31"/>
  <c r="AY23" i="31"/>
  <c r="AV50" i="31"/>
  <c r="AX147" i="31"/>
  <c r="AV149" i="31"/>
  <c r="AZ161" i="31"/>
  <c r="AX201" i="31"/>
  <c r="AZ157" i="31"/>
  <c r="AU171" i="31"/>
  <c r="AY191" i="31"/>
  <c r="AZ153" i="31"/>
  <c r="AU159" i="31"/>
  <c r="AY32" i="31"/>
  <c r="AV178" i="31"/>
  <c r="AX170" i="31"/>
  <c r="AZ104" i="31"/>
  <c r="AV28" i="31"/>
  <c r="AY167" i="31"/>
  <c r="AU141" i="31"/>
  <c r="AZ92" i="31"/>
  <c r="AX117" i="31"/>
  <c r="AV93" i="31"/>
  <c r="AX140" i="31"/>
  <c r="AY37" i="31"/>
  <c r="AZ44" i="31"/>
  <c r="AY12" i="31"/>
  <c r="AU105" i="31"/>
  <c r="AU5" i="31"/>
  <c r="AV173" i="31"/>
  <c r="AX30" i="31"/>
  <c r="AV22" i="31"/>
  <c r="AY60" i="31"/>
  <c r="AX193" i="31"/>
  <c r="AZ126" i="31"/>
  <c r="AV41" i="31"/>
  <c r="AX152" i="31"/>
  <c r="AZ111" i="31"/>
  <c r="AV78" i="31"/>
  <c r="AZ69" i="31"/>
  <c r="AV192" i="31"/>
  <c r="AV109" i="31"/>
  <c r="AZ34" i="31"/>
  <c r="AU18" i="31"/>
  <c r="AX68" i="31"/>
  <c r="AV121" i="31"/>
  <c r="AY123" i="31"/>
  <c r="AZ187" i="31"/>
  <c r="AY137" i="31"/>
  <c r="AU86" i="31"/>
  <c r="AX97" i="31"/>
  <c r="AX38" i="31"/>
  <c r="AU122" i="31"/>
  <c r="AY136" i="31"/>
  <c r="AU124" i="31"/>
  <c r="AY77" i="31"/>
  <c r="AZ199" i="31"/>
  <c r="AV188" i="31"/>
  <c r="AZ118" i="31"/>
  <c r="AU67" i="31"/>
  <c r="AY150" i="31"/>
  <c r="AY52" i="31"/>
  <c r="AU9" i="31"/>
  <c r="AY73" i="31"/>
  <c r="AU103" i="31"/>
  <c r="AU46" i="31"/>
  <c r="AY17" i="31"/>
  <c r="AY98" i="31"/>
  <c r="AV66" i="31"/>
  <c r="AU51" i="31"/>
  <c r="AZ194" i="31"/>
  <c r="AV96" i="31"/>
  <c r="AZ189" i="31"/>
  <c r="AU148" i="31"/>
  <c r="AX49" i="31"/>
  <c r="AZ13" i="31"/>
  <c r="AX185" i="31"/>
  <c r="AY135" i="31"/>
  <c r="AU200" i="31"/>
  <c r="AV61" i="31"/>
  <c r="AZ110" i="31"/>
  <c r="AV146" i="31"/>
  <c r="AX7" i="31"/>
  <c r="AZ26" i="31"/>
  <c r="AZ75" i="31"/>
  <c r="AX131" i="31"/>
  <c r="AX79" i="31"/>
  <c r="AY100" i="31"/>
  <c r="AV180" i="31"/>
  <c r="AY154" i="31"/>
  <c r="AU119" i="31"/>
  <c r="AV190" i="31"/>
  <c r="AZ138" i="31"/>
  <c r="AV102" i="31"/>
  <c r="AY195" i="31"/>
  <c r="AU181" i="31"/>
  <c r="AV23" i="31"/>
  <c r="AZ113" i="31"/>
  <c r="AZ147" i="31"/>
  <c r="AZ162" i="31"/>
  <c r="AY149" i="31"/>
  <c r="AY161" i="31"/>
  <c r="AU201" i="31"/>
  <c r="AV157" i="31"/>
  <c r="AZ24" i="31"/>
  <c r="AX191" i="31"/>
  <c r="AY153" i="31"/>
  <c r="AX159" i="31"/>
  <c r="AX32" i="31"/>
  <c r="AY115" i="31"/>
  <c r="AV170" i="31"/>
  <c r="AY104" i="31"/>
  <c r="AU28" i="31"/>
  <c r="AV167" i="31"/>
  <c r="AZ183" i="31"/>
  <c r="AV92" i="31"/>
  <c r="AZ117" i="31"/>
  <c r="AU93" i="31"/>
  <c r="AZ140" i="31"/>
  <c r="AX182" i="31"/>
  <c r="AV44" i="31"/>
  <c r="AX12" i="31"/>
  <c r="AV105" i="31"/>
  <c r="AZ95" i="31"/>
  <c r="AU173" i="31"/>
  <c r="AZ30" i="31"/>
  <c r="AU22" i="31"/>
  <c r="AX60" i="31"/>
  <c r="AU193" i="31"/>
  <c r="AY126" i="31"/>
  <c r="AZ71" i="31"/>
  <c r="AU152" i="31"/>
  <c r="AY111" i="31"/>
  <c r="AU78" i="31"/>
  <c r="AY69" i="31"/>
  <c r="AZ144" i="31"/>
  <c r="AU109" i="31"/>
  <c r="AY34" i="31"/>
  <c r="AV18" i="31"/>
  <c r="AZ68" i="31"/>
  <c r="AX123" i="31"/>
  <c r="AU187" i="31"/>
  <c r="AX137" i="31"/>
  <c r="AZ177" i="31"/>
  <c r="AU97" i="31"/>
  <c r="AZ38" i="31"/>
  <c r="AV122" i="31"/>
  <c r="AX136" i="31"/>
  <c r="AY59" i="31"/>
  <c r="AV77" i="31"/>
  <c r="AV199" i="31"/>
  <c r="AU188" i="31"/>
  <c r="AY118" i="31"/>
  <c r="AX166" i="31"/>
  <c r="AU150" i="31"/>
  <c r="AX52" i="31"/>
  <c r="AV9" i="31"/>
  <c r="AX73" i="31"/>
  <c r="AZ40" i="31"/>
  <c r="AY164" i="31"/>
  <c r="AX17" i="31"/>
  <c r="AX98" i="31"/>
  <c r="AY35" i="31"/>
  <c r="AZ63" i="31"/>
  <c r="AY194" i="31"/>
  <c r="AU96" i="31"/>
  <c r="AV189" i="31"/>
  <c r="AZ106" i="31"/>
  <c r="AU49" i="31"/>
  <c r="AX13" i="31"/>
  <c r="AU185" i="31"/>
  <c r="AV135" i="31"/>
  <c r="AZ145" i="31"/>
  <c r="AY61" i="31"/>
  <c r="AY110" i="31"/>
  <c r="AZ176" i="31"/>
  <c r="AV7" i="31"/>
  <c r="AY26" i="31"/>
  <c r="AU75" i="31"/>
  <c r="AZ131" i="31"/>
  <c r="AX100" i="31"/>
  <c r="AU180" i="31"/>
  <c r="AX154" i="31"/>
  <c r="AZ25" i="31"/>
  <c r="AY190" i="31"/>
  <c r="AY138" i="31"/>
  <c r="AU102" i="31"/>
  <c r="AX195" i="31"/>
  <c r="AY91" i="31"/>
  <c r="AU23" i="31"/>
  <c r="AY113" i="31"/>
  <c r="AU147" i="31"/>
  <c r="AY162" i="31"/>
  <c r="AU149" i="31"/>
  <c r="AX161" i="31"/>
  <c r="AZ120" i="31"/>
  <c r="AY157" i="31"/>
  <c r="AY24" i="31"/>
  <c r="AU191" i="31"/>
  <c r="AX153" i="31"/>
  <c r="AX125" i="31"/>
  <c r="AV32" i="31"/>
  <c r="AX115" i="31"/>
  <c r="AU170" i="31"/>
  <c r="AX104" i="31"/>
  <c r="AX94" i="31"/>
  <c r="AX167" i="31"/>
  <c r="AY183" i="31"/>
  <c r="AU92" i="31"/>
  <c r="AV117" i="31"/>
  <c r="AY156" i="31"/>
  <c r="AU140" i="31"/>
  <c r="AZ182" i="31"/>
  <c r="AU44" i="31"/>
  <c r="AZ12" i="31"/>
  <c r="AY95" i="31"/>
  <c r="AY173" i="31"/>
  <c r="AY30" i="31"/>
  <c r="AZ60" i="31"/>
  <c r="AY36" i="31"/>
  <c r="AV126" i="31"/>
  <c r="AY71" i="31"/>
  <c r="AV152" i="31"/>
  <c r="AV111" i="31"/>
  <c r="AZ33" i="31"/>
  <c r="AV69" i="31"/>
  <c r="AY144" i="31"/>
  <c r="AY109" i="31"/>
  <c r="AX34" i="31"/>
  <c r="AY83" i="31"/>
  <c r="AV68" i="31"/>
  <c r="AZ123" i="31"/>
  <c r="AZ168" i="31"/>
  <c r="AV137" i="31"/>
  <c r="AV177" i="31"/>
  <c r="AV97" i="31"/>
  <c r="AY38" i="31"/>
  <c r="AX174" i="31"/>
  <c r="AV136" i="31"/>
  <c r="AX59" i="31"/>
  <c r="AU77" i="31"/>
  <c r="AY199" i="31"/>
  <c r="AZ184" i="31"/>
  <c r="AV118" i="31"/>
  <c r="AZ166" i="31"/>
  <c r="AV150" i="31"/>
  <c r="AZ52" i="31"/>
  <c r="AZ55" i="31"/>
  <c r="AU73" i="31"/>
  <c r="AY40" i="31"/>
  <c r="AX164" i="31"/>
  <c r="AZ72" i="31"/>
  <c r="AU17" i="31"/>
  <c r="AU98" i="31"/>
  <c r="AX35" i="31"/>
  <c r="AY63" i="31"/>
  <c r="AX194" i="31"/>
  <c r="AX133" i="31"/>
  <c r="AY189" i="31"/>
  <c r="AY106" i="31"/>
  <c r="AV49" i="31"/>
  <c r="AY13" i="31"/>
  <c r="AV179" i="31"/>
  <c r="AU135" i="31"/>
  <c r="AY145" i="31"/>
  <c r="AU61" i="31"/>
  <c r="AV110" i="31"/>
  <c r="AY176" i="31"/>
  <c r="AU7" i="31"/>
  <c r="AX26" i="31"/>
  <c r="AZ48" i="31"/>
  <c r="AV131" i="31"/>
  <c r="AZ100" i="31"/>
  <c r="AY172" i="31"/>
  <c r="AU154" i="31"/>
  <c r="AY25" i="31"/>
  <c r="AU190" i="31"/>
  <c r="AX138" i="31"/>
  <c r="AX134" i="31"/>
  <c r="AZ195" i="31"/>
  <c r="AX91" i="31"/>
  <c r="AX23" i="31"/>
  <c r="AX113" i="31"/>
  <c r="AX162" i="31"/>
  <c r="AY108" i="31"/>
  <c r="AU161" i="31"/>
  <c r="AY120" i="31"/>
  <c r="AU157" i="31"/>
  <c r="AX24" i="31"/>
  <c r="AX142" i="31"/>
  <c r="AU153" i="31"/>
  <c r="AZ125" i="31"/>
  <c r="AU32" i="31"/>
  <c r="AZ115" i="31"/>
  <c r="AZ160" i="31"/>
  <c r="AV104" i="31"/>
  <c r="AZ94" i="31"/>
  <c r="AU167" i="31"/>
  <c r="AV183" i="31"/>
  <c r="AX198" i="31"/>
  <c r="AY117" i="31"/>
  <c r="AX156" i="31"/>
  <c r="AV140" i="31"/>
  <c r="AY182" i="31"/>
  <c r="AY20" i="31"/>
  <c r="AV12" i="31"/>
  <c r="AV95" i="31"/>
  <c r="AZ74" i="31"/>
  <c r="AV30" i="31"/>
  <c r="AV60" i="31"/>
  <c r="AX36" i="31"/>
  <c r="AU126" i="31"/>
  <c r="AV71" i="31"/>
  <c r="AZ128" i="31"/>
  <c r="AX111" i="31"/>
  <c r="AY33" i="31"/>
  <c r="AU69" i="31"/>
  <c r="AX144" i="31"/>
  <c r="AX70" i="31"/>
  <c r="AU34" i="31"/>
  <c r="AX83" i="31"/>
  <c r="AU68" i="31"/>
  <c r="AV123" i="31"/>
  <c r="AY168" i="31"/>
  <c r="AU137" i="31"/>
  <c r="AY177" i="31"/>
  <c r="AY43" i="31"/>
  <c r="AV38" i="31"/>
  <c r="AZ174" i="31"/>
  <c r="AU136" i="31"/>
  <c r="AZ59" i="31"/>
  <c r="AY99" i="31"/>
  <c r="AU199" i="31"/>
  <c r="AY184" i="31"/>
  <c r="AU118" i="31"/>
  <c r="AY166" i="31"/>
  <c r="AZ151" i="31"/>
  <c r="AV52" i="31"/>
  <c r="AY55" i="31"/>
  <c r="AV73" i="31"/>
  <c r="AX40" i="31"/>
  <c r="AZ164" i="31"/>
  <c r="AY72" i="31"/>
  <c r="AV17" i="31"/>
  <c r="AV98" i="31"/>
  <c r="AZ35" i="31"/>
  <c r="AX63" i="31"/>
  <c r="AZ64" i="31"/>
  <c r="AU194" i="31"/>
  <c r="AZ133" i="31"/>
  <c r="AU189" i="31"/>
  <c r="AX106" i="31"/>
  <c r="AZ130" i="31"/>
  <c r="AV13" i="31"/>
  <c r="AY179" i="31"/>
  <c r="AX135" i="31"/>
  <c r="AX145" i="31"/>
  <c r="AZ127" i="31"/>
  <c r="AU110" i="31"/>
  <c r="AX176" i="31"/>
  <c r="AZ42" i="31"/>
  <c r="AU26" i="31"/>
  <c r="AY48" i="31"/>
  <c r="AU131" i="31"/>
  <c r="AV155" i="31"/>
  <c r="AV100" i="31"/>
  <c r="AX172" i="31"/>
  <c r="AV154" i="31"/>
  <c r="AX25" i="31"/>
  <c r="AZ89" i="31"/>
  <c r="AV138" i="31"/>
  <c r="AZ134" i="31"/>
  <c r="AU195" i="31"/>
  <c r="AZ91" i="31"/>
  <c r="AZ50" i="31"/>
  <c r="AU113" i="31"/>
  <c r="AU162" i="31"/>
  <c r="AX108" i="31"/>
  <c r="AV161" i="31"/>
  <c r="AX120" i="31"/>
  <c r="AV171" i="31"/>
  <c r="AV24" i="31"/>
  <c r="AZ142" i="31"/>
  <c r="AV153" i="31"/>
  <c r="AV125" i="31"/>
  <c r="AZ178" i="31"/>
  <c r="AV115" i="31"/>
  <c r="AY160" i="31"/>
  <c r="AU104" i="31"/>
  <c r="AY94" i="31"/>
  <c r="AX141" i="31"/>
  <c r="AX183" i="31"/>
  <c r="AZ198" i="31"/>
  <c r="AU117" i="31"/>
  <c r="AZ156" i="31"/>
  <c r="AX37" i="31"/>
  <c r="AV182" i="31"/>
  <c r="AX20" i="31"/>
  <c r="AU12" i="31"/>
  <c r="AZ5" i="31"/>
  <c r="AU95" i="31"/>
  <c r="AY74" i="31"/>
  <c r="AU30" i="31"/>
  <c r="AU60" i="31"/>
  <c r="AZ36" i="31"/>
  <c r="AZ41" i="31"/>
  <c r="AU71" i="31"/>
  <c r="AY128" i="31"/>
  <c r="AU111" i="31"/>
  <c r="AX33" i="31"/>
  <c r="AZ192" i="31"/>
  <c r="AU144" i="31"/>
  <c r="AZ70" i="31"/>
  <c r="AV34" i="31"/>
  <c r="AV83" i="31"/>
  <c r="AZ121" i="31"/>
  <c r="AU123" i="31"/>
  <c r="AX168" i="31"/>
  <c r="AX86" i="31"/>
  <c r="AX177" i="31"/>
  <c r="AX43" i="31"/>
  <c r="AU38" i="31"/>
  <c r="AY174" i="31"/>
  <c r="AY124" i="31"/>
  <c r="AV59" i="31"/>
  <c r="AX99" i="31"/>
  <c r="AX199" i="31"/>
  <c r="AX184" i="31"/>
  <c r="AY67" i="31"/>
  <c r="AV166" i="31"/>
  <c r="AY151" i="31"/>
  <c r="AU52" i="31"/>
  <c r="AX55" i="31"/>
  <c r="AZ103" i="31"/>
  <c r="AV40" i="31"/>
  <c r="AV164" i="31"/>
  <c r="AX46" i="31"/>
  <c r="AX72" i="31"/>
  <c r="AZ66" i="31"/>
  <c r="AV35" i="31"/>
  <c r="AY51" i="31"/>
  <c r="AV63" i="31"/>
  <c r="AY64" i="31"/>
  <c r="AV194" i="31"/>
  <c r="AV133" i="31"/>
  <c r="AY148" i="31"/>
  <c r="AU106" i="31"/>
  <c r="AY130" i="31"/>
  <c r="AU13" i="31"/>
  <c r="AX179" i="31"/>
  <c r="AZ200" i="31"/>
  <c r="AU145" i="31"/>
  <c r="AY127" i="31"/>
  <c r="AZ146" i="31"/>
  <c r="AU176" i="31"/>
  <c r="AY42" i="31"/>
  <c r="AV26" i="31"/>
  <c r="AX48" i="31"/>
  <c r="AZ79" i="31"/>
  <c r="AY155" i="31"/>
  <c r="AU100" i="31"/>
  <c r="AZ172" i="31"/>
  <c r="AZ119" i="31"/>
  <c r="AU25" i="31"/>
  <c r="AY89" i="31"/>
  <c r="AU138" i="31"/>
  <c r="AY134" i="31"/>
  <c r="AX181" i="31"/>
  <c r="AV91" i="31"/>
  <c r="AY50" i="31"/>
  <c r="AV113" i="31"/>
  <c r="AV162" i="31"/>
  <c r="AZ108" i="31"/>
  <c r="AZ201" i="31"/>
  <c r="AV120" i="31"/>
  <c r="AY171" i="31"/>
  <c r="AU24" i="31"/>
  <c r="AY142" i="31"/>
  <c r="AZ159" i="31"/>
  <c r="AY125" i="31"/>
  <c r="AY178" i="31"/>
  <c r="AU115" i="31"/>
  <c r="AX160" i="31"/>
  <c r="AY28" i="31"/>
  <c r="AV94" i="31"/>
  <c r="AZ141" i="31"/>
  <c r="AU183" i="31"/>
  <c r="AV198" i="31"/>
  <c r="AX93" i="31"/>
  <c r="AV156" i="31"/>
  <c r="AZ37" i="31"/>
  <c r="AU182" i="31"/>
  <c r="AZ20" i="31"/>
  <c r="AZ105" i="31"/>
  <c r="AX5" i="31"/>
  <c r="AX95" i="31"/>
  <c r="AX74" i="31"/>
  <c r="AX22" i="31"/>
  <c r="AZ193" i="31"/>
  <c r="AV36" i="31"/>
  <c r="AY41" i="31"/>
  <c r="AX71" i="31"/>
  <c r="AX128" i="31"/>
  <c r="AX78" i="31"/>
  <c r="AU33" i="31"/>
  <c r="AY192" i="31"/>
  <c r="AV144" i="31"/>
  <c r="AY70" i="31"/>
  <c r="AZ18" i="31"/>
  <c r="AU83" i="31"/>
  <c r="AY121" i="31"/>
  <c r="AV187" i="31"/>
  <c r="AV168" i="31"/>
  <c r="AZ86" i="31"/>
  <c r="AU177" i="31"/>
  <c r="AZ43" i="31"/>
  <c r="AZ122" i="31"/>
  <c r="AU174" i="31"/>
  <c r="AX124" i="31"/>
  <c r="AU59" i="31"/>
  <c r="AZ99" i="31"/>
  <c r="AY188" i="31"/>
  <c r="AU184" i="31"/>
  <c r="AX67" i="31"/>
  <c r="AU166" i="31"/>
  <c r="AU151" i="31"/>
  <c r="AZ9" i="31"/>
  <c r="AV55" i="31"/>
  <c r="AY103" i="31"/>
  <c r="AU40" i="31"/>
  <c r="AU164" i="31"/>
  <c r="AZ46" i="31"/>
  <c r="AV72" i="31"/>
  <c r="AY66" i="31"/>
  <c r="AU35" i="31"/>
  <c r="AX51" i="31"/>
  <c r="AU63" i="31"/>
  <c r="AX64" i="31"/>
  <c r="AX81" i="31"/>
  <c r="AU31" i="31"/>
  <c r="AY116" i="31"/>
  <c r="AY14" i="31"/>
  <c r="S22" i="71"/>
  <c r="S24" i="71" s="1"/>
  <c r="S23" i="71"/>
  <c r="AZ27" i="31"/>
  <c r="AX21" i="31"/>
  <c r="O144" i="71"/>
  <c r="N144" i="71"/>
  <c r="AY54" i="31"/>
  <c r="AX80" i="31"/>
  <c r="AX87" i="31"/>
  <c r="AY58" i="31"/>
  <c r="L107" i="71"/>
  <c r="L155" i="71"/>
  <c r="N189" i="71"/>
  <c r="N212" i="71"/>
  <c r="O26" i="71"/>
  <c r="N58" i="71"/>
  <c r="M211" i="71"/>
  <c r="L152" i="71"/>
  <c r="J200" i="71"/>
  <c r="K152" i="71"/>
  <c r="J150" i="71"/>
  <c r="J164" i="71"/>
  <c r="O58" i="71"/>
  <c r="N162" i="71"/>
  <c r="M196" i="71"/>
  <c r="M155" i="71"/>
  <c r="K223" i="71"/>
  <c r="L120" i="71"/>
  <c r="M217" i="71"/>
  <c r="K67" i="71"/>
  <c r="N62" i="71"/>
  <c r="L223" i="71"/>
  <c r="J135" i="71"/>
  <c r="M202" i="71"/>
  <c r="O141" i="71"/>
  <c r="K122" i="71"/>
  <c r="N67" i="71"/>
  <c r="L179" i="71"/>
  <c r="K30" i="71"/>
  <c r="J156" i="71"/>
  <c r="J40" i="71"/>
  <c r="M75" i="71"/>
  <c r="L194" i="71"/>
  <c r="K93" i="71"/>
  <c r="J123" i="71"/>
  <c r="AX143" i="31"/>
  <c r="AY65" i="31"/>
  <c r="AU101" i="31"/>
  <c r="AX45" i="31"/>
  <c r="AV165" i="31"/>
  <c r="AZ19" i="31"/>
  <c r="AV22" i="71"/>
  <c r="AV24" i="71" s="1"/>
  <c r="AV23" i="71"/>
  <c r="AU8" i="31"/>
  <c r="AY90" i="31"/>
  <c r="K45" i="71"/>
  <c r="AV29" i="31"/>
  <c r="AY139" i="31"/>
  <c r="AX56" i="31"/>
  <c r="AV186" i="31"/>
  <c r="M127" i="71"/>
  <c r="AY6" i="31"/>
  <c r="K175" i="71"/>
  <c r="M149" i="71"/>
  <c r="Y22" i="71"/>
  <c r="Y24" i="71" s="1"/>
  <c r="Y23" i="71"/>
  <c r="U4" i="71" s="1"/>
  <c r="AY10" i="31"/>
  <c r="AZ163" i="31"/>
  <c r="AZ112" i="31"/>
  <c r="AV53" i="31"/>
  <c r="AU107" i="31"/>
  <c r="AY81" i="31"/>
  <c r="AV31" i="31"/>
  <c r="AU11" i="31"/>
  <c r="AZ14" i="31"/>
  <c r="AU62" i="31"/>
  <c r="AX27" i="31"/>
  <c r="AU21" i="31"/>
  <c r="U23" i="71"/>
  <c r="U22" i="71"/>
  <c r="U24" i="71" s="1"/>
  <c r="AZ54" i="31"/>
  <c r="AU47" i="31"/>
  <c r="AY80" i="31"/>
  <c r="AU87" i="31"/>
  <c r="AZ58" i="31"/>
  <c r="AX22" i="71"/>
  <c r="AX24" i="71" s="1"/>
  <c r="AX23" i="71"/>
  <c r="N196" i="71"/>
  <c r="K118" i="71"/>
  <c r="N118" i="71"/>
  <c r="K107" i="71"/>
  <c r="K212" i="71"/>
  <c r="K27" i="71"/>
  <c r="J205" i="71"/>
  <c r="O101" i="71"/>
  <c r="L116" i="71"/>
  <c r="L222" i="71"/>
  <c r="L26" i="71"/>
  <c r="J222" i="71"/>
  <c r="K101" i="71"/>
  <c r="O97" i="71"/>
  <c r="O138" i="71"/>
  <c r="K33" i="71"/>
  <c r="K60" i="71"/>
  <c r="K205" i="71"/>
  <c r="M133" i="71"/>
  <c r="M91" i="71"/>
  <c r="K217" i="71"/>
  <c r="M122" i="71"/>
  <c r="M78" i="71"/>
  <c r="O106" i="71"/>
  <c r="L135" i="71"/>
  <c r="K26" i="71"/>
  <c r="AV143" i="31"/>
  <c r="AZ65" i="31"/>
  <c r="AV101" i="31"/>
  <c r="AU169" i="31"/>
  <c r="AZ165" i="31"/>
  <c r="AU19" i="31"/>
  <c r="AT22" i="71"/>
  <c r="AT24" i="71" s="1"/>
  <c r="AT23" i="71"/>
  <c r="N199" i="71"/>
  <c r="O199" i="71"/>
  <c r="K199" i="71"/>
  <c r="AV8" i="31"/>
  <c r="AZ90" i="31"/>
  <c r="O127" i="71"/>
  <c r="J145" i="71"/>
  <c r="AY29" i="31"/>
  <c r="AU202" i="31"/>
  <c r="AY56" i="31"/>
  <c r="AU186" i="31"/>
  <c r="M145" i="71"/>
  <c r="AU158" i="31"/>
  <c r="AZ6" i="31"/>
  <c r="J100" i="71"/>
  <c r="AB23" i="71"/>
  <c r="X4" i="71" s="1"/>
  <c r="AB22" i="71"/>
  <c r="AB24" i="71" s="1"/>
  <c r="AZ10" i="31"/>
  <c r="AX163" i="31"/>
  <c r="AV114" i="31"/>
  <c r="AZ53" i="31"/>
  <c r="AV107" i="31"/>
  <c r="AZ81" i="31"/>
  <c r="N54" i="71"/>
  <c r="K54" i="71"/>
  <c r="J54" i="71"/>
  <c r="AU197" i="31"/>
  <c r="AY31" i="31"/>
  <c r="AZ11" i="31"/>
  <c r="AX14" i="31"/>
  <c r="AV62" i="31"/>
  <c r="AY27" i="31"/>
  <c r="AV21" i="31"/>
  <c r="V23" i="71"/>
  <c r="V22" i="71"/>
  <c r="V24" i="71" s="1"/>
  <c r="AX54" i="31"/>
  <c r="AX47" i="31"/>
  <c r="AZ80" i="31"/>
  <c r="AV87" i="31"/>
  <c r="AU129" i="31"/>
  <c r="AG22" i="71"/>
  <c r="AG24" i="71" s="1"/>
  <c r="AG23" i="71"/>
  <c r="L164" i="71"/>
  <c r="O162" i="71"/>
  <c r="J66" i="71"/>
  <c r="K116" i="71"/>
  <c r="L40" i="71"/>
  <c r="O212" i="71"/>
  <c r="M108" i="71"/>
  <c r="M86" i="71"/>
  <c r="L60" i="71"/>
  <c r="J155" i="71"/>
  <c r="N120" i="71"/>
  <c r="N86" i="71"/>
  <c r="L126" i="71"/>
  <c r="K209" i="71"/>
  <c r="O155" i="71"/>
  <c r="L189" i="71"/>
  <c r="L119" i="71"/>
  <c r="M179" i="71"/>
  <c r="K62" i="71"/>
  <c r="O223" i="71"/>
  <c r="N60" i="71"/>
  <c r="AU143" i="31"/>
  <c r="AU196" i="31"/>
  <c r="AZ101" i="31"/>
  <c r="AX169" i="31"/>
  <c r="AX165" i="31"/>
  <c r="AV19" i="31"/>
  <c r="R23" i="71"/>
  <c r="R22" i="71"/>
  <c r="R24" i="71" s="1"/>
  <c r="K144" i="71"/>
  <c r="AX8" i="31"/>
  <c r="AU39" i="31"/>
  <c r="AU84" i="31"/>
  <c r="AZ29" i="31"/>
  <c r="AV202" i="31"/>
  <c r="AZ56" i="31"/>
  <c r="AX186" i="31"/>
  <c r="AV158" i="31"/>
  <c r="AX6" i="31"/>
  <c r="O167" i="71"/>
  <c r="AV175" i="31"/>
  <c r="AY163" i="31"/>
  <c r="AU114" i="31"/>
  <c r="AX53" i="31"/>
  <c r="AZ107" i="31"/>
  <c r="AS22" i="71"/>
  <c r="AS24" i="71" s="1"/>
  <c r="AS23" i="71"/>
  <c r="AY197" i="31"/>
  <c r="AZ31" i="31"/>
  <c r="AV11" i="31"/>
  <c r="AV57" i="31"/>
  <c r="O185" i="71"/>
  <c r="AY62" i="31"/>
  <c r="AU76" i="31"/>
  <c r="AY21" i="31"/>
  <c r="AU88" i="31"/>
  <c r="AV47" i="31"/>
  <c r="AV82" i="31"/>
  <c r="AY87" i="31"/>
  <c r="AV129" i="31"/>
  <c r="AH23" i="71"/>
  <c r="AH22" i="71"/>
  <c r="AH24" i="71" s="1"/>
  <c r="N116" i="71"/>
  <c r="L162" i="71"/>
  <c r="K91" i="71"/>
  <c r="K221" i="71"/>
  <c r="L221" i="71"/>
  <c r="L118" i="71"/>
  <c r="O134" i="71"/>
  <c r="L62" i="71"/>
  <c r="L182" i="71"/>
  <c r="L58" i="71"/>
  <c r="K138" i="71"/>
  <c r="N155" i="71"/>
  <c r="L27" i="71"/>
  <c r="L160" i="71"/>
  <c r="N90" i="71"/>
  <c r="N204" i="71"/>
  <c r="L78" i="71"/>
  <c r="M97" i="71"/>
  <c r="M147" i="71"/>
  <c r="M118" i="71"/>
  <c r="O211" i="71"/>
  <c r="J116" i="71"/>
  <c r="J64" i="71"/>
  <c r="N97" i="71"/>
  <c r="N147" i="71"/>
  <c r="J166" i="71"/>
  <c r="M221" i="71"/>
  <c r="L200" i="71"/>
  <c r="O37" i="71"/>
  <c r="L33" i="71"/>
  <c r="AY143" i="31"/>
  <c r="AV196" i="31"/>
  <c r="AX101" i="31"/>
  <c r="AY169" i="31"/>
  <c r="AU85" i="31"/>
  <c r="AX19" i="31"/>
  <c r="AY8" i="31"/>
  <c r="AX39" i="31"/>
  <c r="AU22" i="71"/>
  <c r="AU24" i="71" s="1"/>
  <c r="AU23" i="71"/>
  <c r="M54" i="71"/>
  <c r="AV84" i="31"/>
  <c r="AX29" i="31"/>
  <c r="AX202" i="31"/>
  <c r="AX15" i="31"/>
  <c r="AY186" i="31"/>
  <c r="AO22" i="71"/>
  <c r="AO24" i="71" s="1"/>
  <c r="AO23" i="71"/>
  <c r="AY158" i="31"/>
  <c r="AU16" i="31"/>
  <c r="N127" i="71"/>
  <c r="AU175" i="31"/>
  <c r="AV163" i="31"/>
  <c r="AX114" i="31"/>
  <c r="AU132" i="31"/>
  <c r="AX107" i="31"/>
  <c r="AL22" i="71"/>
  <c r="AL24" i="71" s="1"/>
  <c r="AL23" i="71"/>
  <c r="J144" i="71"/>
  <c r="AV197" i="31"/>
  <c r="AU116" i="31"/>
  <c r="AX11" i="31"/>
  <c r="AU57" i="31"/>
  <c r="AZ62" i="31"/>
  <c r="AV76" i="31"/>
  <c r="AZ21" i="31"/>
  <c r="L45" i="71"/>
  <c r="AV88" i="31"/>
  <c r="AY47" i="31"/>
  <c r="AU82" i="31"/>
  <c r="AZ87" i="31"/>
  <c r="AX129" i="31"/>
  <c r="Z22" i="71"/>
  <c r="Z24" i="71" s="1"/>
  <c r="Z23" i="71"/>
  <c r="V4" i="71" s="1"/>
  <c r="O205" i="71"/>
  <c r="N205" i="71"/>
  <c r="O182" i="71"/>
  <c r="M223" i="71"/>
  <c r="M26" i="71"/>
  <c r="O60" i="71"/>
  <c r="L205" i="71"/>
  <c r="J182" i="71"/>
  <c r="L91" i="71"/>
  <c r="O200" i="71"/>
  <c r="M27" i="71"/>
  <c r="M162" i="71"/>
  <c r="M212" i="71"/>
  <c r="J101" i="71"/>
  <c r="J212" i="71"/>
  <c r="J134" i="71"/>
  <c r="J152" i="71"/>
  <c r="M33" i="71"/>
  <c r="K40" i="71"/>
  <c r="L138" i="71"/>
  <c r="J189" i="71"/>
  <c r="O164" i="71"/>
  <c r="N203" i="71"/>
  <c r="M107" i="71"/>
  <c r="O196" i="71"/>
  <c r="N138" i="71"/>
  <c r="M93" i="71"/>
  <c r="N123" i="71"/>
  <c r="J133" i="71"/>
  <c r="M82" i="71"/>
  <c r="J91" i="71"/>
  <c r="L209" i="71"/>
  <c r="J97" i="71"/>
  <c r="J86" i="71"/>
  <c r="AZ143" i="31"/>
  <c r="AZ196" i="31"/>
  <c r="AY45" i="31"/>
  <c r="AV169" i="31"/>
  <c r="AV85" i="31"/>
  <c r="AY19" i="31"/>
  <c r="N185" i="71"/>
  <c r="N210" i="71"/>
  <c r="K210" i="71"/>
  <c r="O210" i="71"/>
  <c r="AZ8" i="31"/>
  <c r="AV39" i="31"/>
  <c r="AM22" i="71"/>
  <c r="AM24" i="71" s="1"/>
  <c r="AM23" i="71"/>
  <c r="L199" i="71"/>
  <c r="L144" i="71"/>
  <c r="AZ84" i="31"/>
  <c r="AU139" i="31"/>
  <c r="AY202" i="31"/>
  <c r="AU15" i="31"/>
  <c r="AZ186" i="31"/>
  <c r="AF22" i="71"/>
  <c r="AF24" i="71" s="1"/>
  <c r="AF23" i="71"/>
  <c r="AZ158" i="31"/>
  <c r="AV16" i="31"/>
  <c r="N145" i="71"/>
  <c r="J84" i="71"/>
  <c r="AX175" i="31"/>
  <c r="AU112" i="31"/>
  <c r="AY114" i="31"/>
  <c r="AV132" i="31"/>
  <c r="AY107" i="31"/>
  <c r="AA22" i="71"/>
  <c r="AA24" i="71" s="1"/>
  <c r="AA23" i="71"/>
  <c r="W4" i="71" s="1"/>
  <c r="AZ197" i="31"/>
  <c r="AV116" i="31"/>
  <c r="AY11" i="31"/>
  <c r="AX57" i="31"/>
  <c r="AX62" i="31"/>
  <c r="AZ76" i="31"/>
  <c r="K185" i="71"/>
  <c r="AX88" i="31"/>
  <c r="AZ47" i="31"/>
  <c r="AX82" i="31"/>
  <c r="AV58" i="31"/>
  <c r="AY129" i="31"/>
  <c r="J185" i="71"/>
  <c r="J167" i="71"/>
  <c r="L167" i="71"/>
  <c r="N222" i="71"/>
  <c r="M189" i="71"/>
  <c r="K134" i="71"/>
  <c r="N40" i="71"/>
  <c r="L97" i="71"/>
  <c r="L204" i="71"/>
  <c r="O221" i="71"/>
  <c r="M116" i="71"/>
  <c r="L75" i="71"/>
  <c r="K166" i="71"/>
  <c r="L90" i="71"/>
  <c r="M220" i="71"/>
  <c r="N166" i="71"/>
  <c r="O156" i="71"/>
  <c r="K90" i="71"/>
  <c r="N220" i="71"/>
  <c r="O78" i="71"/>
  <c r="M126" i="71"/>
  <c r="K189" i="71"/>
  <c r="AV65" i="31"/>
  <c r="AX196" i="31"/>
  <c r="AU45" i="31"/>
  <c r="AZ169" i="31"/>
  <c r="AY85" i="31"/>
  <c r="N45" i="71"/>
  <c r="AV90" i="31"/>
  <c r="AY39" i="31"/>
  <c r="AN23" i="71"/>
  <c r="AN22" i="71"/>
  <c r="AN24" i="71" s="1"/>
  <c r="AX84" i="31"/>
  <c r="AV139" i="31"/>
  <c r="AZ202" i="31"/>
  <c r="AV15" i="31"/>
  <c r="X22" i="71"/>
  <c r="X24" i="71" s="1"/>
  <c r="X23" i="71"/>
  <c r="T4" i="71" s="1"/>
  <c r="AX158" i="31"/>
  <c r="AX16" i="31"/>
  <c r="AV10" i="31"/>
  <c r="AY175" i="31"/>
  <c r="AV112" i="31"/>
  <c r="AZ114" i="31"/>
  <c r="AZ132" i="31"/>
  <c r="AV81" i="31"/>
  <c r="AX197" i="31"/>
  <c r="AZ116" i="31"/>
  <c r="AU14" i="31"/>
  <c r="AY57" i="31"/>
  <c r="AU27" i="31"/>
  <c r="AX76" i="31"/>
  <c r="AU54" i="31"/>
  <c r="AY88" i="31"/>
  <c r="AU80" i="31"/>
  <c r="AY82" i="31"/>
  <c r="AU58" i="31"/>
  <c r="AZ129" i="31"/>
  <c r="J107" i="71"/>
  <c r="J118" i="71"/>
  <c r="N107" i="71"/>
  <c r="L196" i="71"/>
  <c r="D3" i="71"/>
  <c r="E3" i="71"/>
  <c r="AU65" i="31"/>
  <c r="AY196" i="31"/>
  <c r="AV45" i="31"/>
  <c r="AY165" i="31"/>
  <c r="AZ85" i="31"/>
  <c r="AU90" i="31"/>
  <c r="AZ39" i="31"/>
  <c r="K167" i="71"/>
  <c r="AY84" i="31"/>
  <c r="AZ139" i="31"/>
  <c r="AU56" i="31"/>
  <c r="AY15" i="31"/>
  <c r="AJ22" i="71"/>
  <c r="AJ24" i="71" s="1"/>
  <c r="AJ23" i="71"/>
  <c r="AU6" i="31"/>
  <c r="AY16" i="31"/>
  <c r="T22" i="71"/>
  <c r="T24" i="71" s="1"/>
  <c r="T23" i="71"/>
  <c r="AU10" i="31"/>
  <c r="AZ175" i="31"/>
  <c r="AX112" i="31"/>
  <c r="AU53" i="31"/>
  <c r="AX132" i="31"/>
  <c r="AR80" i="31"/>
  <c r="AQ15" i="31"/>
  <c r="AP186" i="31"/>
  <c r="AQ62" i="31"/>
  <c r="AQ143" i="31"/>
  <c r="AT16" i="31"/>
  <c r="AS10" i="31"/>
  <c r="AT27" i="31"/>
  <c r="AS65" i="31"/>
  <c r="AR90" i="31"/>
  <c r="AQ163" i="31"/>
  <c r="AT132" i="31"/>
  <c r="AQ101" i="31"/>
  <c r="AP202" i="31"/>
  <c r="AT112" i="31"/>
  <c r="AP57" i="31"/>
  <c r="AS45" i="31"/>
  <c r="AR84" i="31"/>
  <c r="AT53" i="31"/>
  <c r="AS107" i="31"/>
  <c r="AT165" i="31"/>
  <c r="AP139" i="31"/>
  <c r="AP31" i="31"/>
  <c r="AQ54" i="31"/>
  <c r="AQ19" i="31"/>
  <c r="AQ129" i="31"/>
  <c r="AS11" i="31"/>
  <c r="AT88" i="31"/>
  <c r="AS58" i="31"/>
  <c r="AS158" i="31"/>
  <c r="AS62" i="31"/>
  <c r="AQ76" i="31"/>
  <c r="AR132" i="31"/>
  <c r="AQ57" i="31"/>
  <c r="AT107" i="31"/>
  <c r="AS54" i="31"/>
  <c r="AP47" i="31"/>
  <c r="AS80" i="31"/>
  <c r="AP143" i="31"/>
  <c r="AT65" i="31"/>
  <c r="AT101" i="31"/>
  <c r="AP169" i="31"/>
  <c r="AR165" i="31"/>
  <c r="AP19" i="31"/>
  <c r="AT58" i="31"/>
  <c r="AS15" i="31"/>
  <c r="AR8" i="31"/>
  <c r="AS90" i="31"/>
  <c r="AQ202" i="31"/>
  <c r="AS84" i="31"/>
  <c r="AR139" i="31"/>
  <c r="AQ116" i="31"/>
  <c r="AT158" i="31"/>
  <c r="AQ186" i="31"/>
  <c r="AT10" i="31"/>
  <c r="AR163" i="31"/>
  <c r="AP114" i="31"/>
  <c r="AR53" i="31"/>
  <c r="AQ31" i="31"/>
  <c r="AT178" i="31"/>
  <c r="AQ162" i="31"/>
  <c r="AR108" i="31"/>
  <c r="AP187" i="31"/>
  <c r="AS137" i="31"/>
  <c r="AT97" i="31"/>
  <c r="AQ98" i="31"/>
  <c r="AS35" i="31"/>
  <c r="AP122" i="31"/>
  <c r="AR136" i="31"/>
  <c r="AT59" i="31"/>
  <c r="AQ77" i="31"/>
  <c r="AQ199" i="31"/>
  <c r="AP188" i="31"/>
  <c r="AS118" i="31"/>
  <c r="AR166" i="31"/>
  <c r="AQ150" i="31"/>
  <c r="AR52" i="31"/>
  <c r="AP9" i="31"/>
  <c r="AR73" i="31"/>
  <c r="AT40" i="31"/>
  <c r="AQ173" i="31"/>
  <c r="AT30" i="31"/>
  <c r="AP22" i="31"/>
  <c r="AT189" i="31"/>
  <c r="AT106" i="31"/>
  <c r="AQ49" i="31"/>
  <c r="AR13" i="31"/>
  <c r="AP185" i="31"/>
  <c r="AS135" i="31"/>
  <c r="AQ145" i="31"/>
  <c r="AP61" i="31"/>
  <c r="AS51" i="31"/>
  <c r="AP63" i="31"/>
  <c r="AT100" i="31"/>
  <c r="AQ161" i="31"/>
  <c r="AQ126" i="31"/>
  <c r="AS120" i="31"/>
  <c r="AP176" i="31"/>
  <c r="AT157" i="31"/>
  <c r="AR71" i="31"/>
  <c r="AQ7" i="31"/>
  <c r="AS26" i="31"/>
  <c r="AP75" i="31"/>
  <c r="AR131" i="31"/>
  <c r="AR38" i="31"/>
  <c r="AQ79" i="31"/>
  <c r="AT119" i="31"/>
  <c r="AP89" i="31"/>
  <c r="AT181" i="31"/>
  <c r="AR23" i="31"/>
  <c r="AQ50" i="31"/>
  <c r="AS147" i="31"/>
  <c r="AP81" i="31"/>
  <c r="AR194" i="31"/>
  <c r="AT96" i="31"/>
  <c r="AR193" i="31"/>
  <c r="AS154" i="31"/>
  <c r="AP25" i="31"/>
  <c r="AR138" i="31"/>
  <c r="AR134" i="31"/>
  <c r="AQ171" i="31"/>
  <c r="AS115" i="31"/>
  <c r="AP24" i="31"/>
  <c r="AS142" i="31"/>
  <c r="AR159" i="31"/>
  <c r="AP125" i="31"/>
  <c r="AT110" i="31"/>
  <c r="AQ146" i="31"/>
  <c r="AS160" i="31"/>
  <c r="AS28" i="31"/>
  <c r="AQ94" i="31"/>
  <c r="AR141" i="31"/>
  <c r="AP183" i="31"/>
  <c r="AS198" i="31"/>
  <c r="AS178" i="31"/>
  <c r="AP162" i="31"/>
  <c r="AT108" i="31"/>
  <c r="AQ168" i="31"/>
  <c r="AR137" i="31"/>
  <c r="AS97" i="31"/>
  <c r="AP98" i="31"/>
  <c r="AR35" i="31"/>
  <c r="AR174" i="31"/>
  <c r="AQ136" i="31"/>
  <c r="AS59" i="31"/>
  <c r="AP77" i="31"/>
  <c r="AT199" i="31"/>
  <c r="AQ184" i="31"/>
  <c r="AQ118" i="31"/>
  <c r="AT166" i="31"/>
  <c r="AP150" i="31"/>
  <c r="AT52" i="31"/>
  <c r="AR55" i="31"/>
  <c r="AQ73" i="31"/>
  <c r="AS40" i="31"/>
  <c r="AP173" i="31"/>
  <c r="AS30" i="31"/>
  <c r="AT123" i="31"/>
  <c r="AQ189" i="31"/>
  <c r="AS106" i="31"/>
  <c r="AP49" i="31"/>
  <c r="AT13" i="31"/>
  <c r="AT179" i="31"/>
  <c r="AQ135" i="31"/>
  <c r="AT145" i="31"/>
  <c r="AQ61" i="31"/>
  <c r="AR51" i="31"/>
  <c r="AT155" i="31"/>
  <c r="AP100" i="31"/>
  <c r="AT161" i="31"/>
  <c r="AP126" i="31"/>
  <c r="AR120" i="31"/>
  <c r="AS180" i="31"/>
  <c r="AQ157" i="31"/>
  <c r="AT71" i="31"/>
  <c r="AP7" i="31"/>
  <c r="AR26" i="31"/>
  <c r="AT48" i="31"/>
  <c r="AQ131" i="31"/>
  <c r="AT38" i="31"/>
  <c r="AP79" i="31"/>
  <c r="AS119" i="31"/>
  <c r="AT195" i="31"/>
  <c r="AQ181" i="31"/>
  <c r="AT23" i="31"/>
  <c r="AP50" i="31"/>
  <c r="AR147" i="31"/>
  <c r="AT64" i="31"/>
  <c r="AP194" i="31"/>
  <c r="AS96" i="31"/>
  <c r="AP193" i="31"/>
  <c r="AR154" i="31"/>
  <c r="AR178" i="31"/>
  <c r="AS149" i="31"/>
  <c r="AP108" i="31"/>
  <c r="AT168" i="31"/>
  <c r="AP137" i="31"/>
  <c r="AR97" i="31"/>
  <c r="AT66" i="31"/>
  <c r="AP35" i="31"/>
  <c r="AT174" i="31"/>
  <c r="AP136" i="31"/>
  <c r="AR59" i="31"/>
  <c r="AT99" i="31"/>
  <c r="AS199" i="31"/>
  <c r="AT184" i="31"/>
  <c r="AP118" i="31"/>
  <c r="AS166" i="31"/>
  <c r="AR151" i="31"/>
  <c r="AP52" i="31"/>
  <c r="AT55" i="31"/>
  <c r="AP73" i="31"/>
  <c r="AR40" i="31"/>
  <c r="AT74" i="31"/>
  <c r="AQ30" i="31"/>
  <c r="AS123" i="31"/>
  <c r="AP189" i="31"/>
  <c r="AR106" i="31"/>
  <c r="AT130" i="31"/>
  <c r="AP13" i="31"/>
  <c r="AS179" i="31"/>
  <c r="AP135" i="31"/>
  <c r="AS145" i="31"/>
  <c r="AR127" i="31"/>
  <c r="AP51" i="31"/>
  <c r="AS155" i="31"/>
  <c r="AQ100" i="31"/>
  <c r="AS161" i="31"/>
  <c r="AQ201" i="31"/>
  <c r="AQ120" i="31"/>
  <c r="AR180" i="31"/>
  <c r="AP157" i="31"/>
  <c r="AS71" i="31"/>
  <c r="AT42" i="31"/>
  <c r="AQ26" i="31"/>
  <c r="AS48" i="31"/>
  <c r="AP131" i="31"/>
  <c r="AS38" i="31"/>
  <c r="AS133" i="31"/>
  <c r="AQ119" i="31"/>
  <c r="AS195" i="31"/>
  <c r="AP181" i="31"/>
  <c r="AS23" i="31"/>
  <c r="AT113" i="31"/>
  <c r="AP147" i="31"/>
  <c r="AS64" i="31"/>
  <c r="AQ194" i="31"/>
  <c r="AR96" i="31"/>
  <c r="AS172" i="31"/>
  <c r="AP178" i="31"/>
  <c r="AR149" i="31"/>
  <c r="AQ108" i="31"/>
  <c r="AS168" i="31"/>
  <c r="AR86" i="31"/>
  <c r="AQ97" i="31"/>
  <c r="AS66" i="31"/>
  <c r="AQ35" i="31"/>
  <c r="AS174" i="31"/>
  <c r="AS124" i="31"/>
  <c r="AP59" i="31"/>
  <c r="AS99" i="31"/>
  <c r="AP199" i="31"/>
  <c r="AS184" i="31"/>
  <c r="AT67" i="31"/>
  <c r="AQ166" i="31"/>
  <c r="AT151" i="31"/>
  <c r="AQ52" i="31"/>
  <c r="AS55" i="31"/>
  <c r="AR103" i="31"/>
  <c r="AQ40" i="31"/>
  <c r="AS74" i="31"/>
  <c r="AP30" i="31"/>
  <c r="AR123" i="31"/>
  <c r="AS148" i="31"/>
  <c r="AQ106" i="31"/>
  <c r="AS130" i="31"/>
  <c r="AQ13" i="31"/>
  <c r="AR179" i="31"/>
  <c r="AQ200" i="31"/>
  <c r="AR145" i="31"/>
  <c r="AT127" i="31"/>
  <c r="AQ51" i="31"/>
  <c r="AR155" i="31"/>
  <c r="AS36" i="31"/>
  <c r="AR161" i="31"/>
  <c r="AT201" i="31"/>
  <c r="AP120" i="31"/>
  <c r="AQ180" i="31"/>
  <c r="AT41" i="31"/>
  <c r="AQ71" i="31"/>
  <c r="AS42" i="31"/>
  <c r="AP26" i="31"/>
  <c r="AR48" i="31"/>
  <c r="AT43" i="31"/>
  <c r="AQ38" i="31"/>
  <c r="AR133" i="31"/>
  <c r="AP119" i="31"/>
  <c r="AR195" i="31"/>
  <c r="AT91" i="31"/>
  <c r="AQ23" i="31"/>
  <c r="AS113" i="31"/>
  <c r="AQ147" i="31"/>
  <c r="AR64" i="31"/>
  <c r="AS164" i="31"/>
  <c r="AQ96" i="31"/>
  <c r="AR172" i="31"/>
  <c r="AQ154" i="31"/>
  <c r="AQ178" i="31"/>
  <c r="AT149" i="31"/>
  <c r="AT187" i="31"/>
  <c r="AR168" i="31"/>
  <c r="AT86" i="31"/>
  <c r="AP97" i="31"/>
  <c r="AR66" i="31"/>
  <c r="AT122" i="31"/>
  <c r="AP174" i="31"/>
  <c r="AR124" i="31"/>
  <c r="AQ59" i="31"/>
  <c r="AR99" i="31"/>
  <c r="AS188" i="31"/>
  <c r="AR184" i="31"/>
  <c r="AS67" i="31"/>
  <c r="AP166" i="31"/>
  <c r="AS151" i="31"/>
  <c r="AT9" i="31"/>
  <c r="AQ55" i="31"/>
  <c r="AT103" i="31"/>
  <c r="AP40" i="31"/>
  <c r="AR74" i="31"/>
  <c r="AR22" i="31"/>
  <c r="AQ123" i="31"/>
  <c r="AR148" i="31"/>
  <c r="AP106" i="31"/>
  <c r="AR130" i="31"/>
  <c r="AQ185" i="31"/>
  <c r="AP179" i="31"/>
  <c r="AT200" i="31"/>
  <c r="AP145" i="31"/>
  <c r="AS127" i="31"/>
  <c r="AR63" i="31"/>
  <c r="AP155" i="31"/>
  <c r="AR36" i="31"/>
  <c r="AP161" i="31"/>
  <c r="AS201" i="31"/>
  <c r="AQ176" i="31"/>
  <c r="AT180" i="31"/>
  <c r="AS41" i="31"/>
  <c r="AP71" i="31"/>
  <c r="AR42" i="31"/>
  <c r="AT75" i="31"/>
  <c r="AQ48" i="31"/>
  <c r="AS43" i="31"/>
  <c r="AP38" i="31"/>
  <c r="AT133" i="31"/>
  <c r="AT89" i="31"/>
  <c r="AQ195" i="31"/>
  <c r="AS91" i="31"/>
  <c r="AP23" i="31"/>
  <c r="AR113" i="31"/>
  <c r="AT81" i="31"/>
  <c r="AQ64" i="31"/>
  <c r="AR164" i="31"/>
  <c r="AP96" i="31"/>
  <c r="AQ172" i="31"/>
  <c r="AT25" i="31"/>
  <c r="AQ190" i="31"/>
  <c r="AT102" i="31"/>
  <c r="AP134" i="31"/>
  <c r="AS152" i="31"/>
  <c r="AT24" i="31"/>
  <c r="AS191" i="31"/>
  <c r="AT153" i="31"/>
  <c r="AP159" i="31"/>
  <c r="AR32" i="31"/>
  <c r="AT146" i="31"/>
  <c r="AQ170" i="31"/>
  <c r="AS104" i="31"/>
  <c r="AQ28" i="31"/>
  <c r="AS167" i="31"/>
  <c r="AR183" i="31"/>
  <c r="AP92" i="31"/>
  <c r="AT162" i="31"/>
  <c r="AP149" i="31"/>
  <c r="AS187" i="31"/>
  <c r="AP168" i="31"/>
  <c r="AS86" i="31"/>
  <c r="AT98" i="31"/>
  <c r="AQ66" i="31"/>
  <c r="AS122" i="31"/>
  <c r="AQ174" i="31"/>
  <c r="AT124" i="31"/>
  <c r="AS77" i="31"/>
  <c r="AP99" i="31"/>
  <c r="AR188" i="31"/>
  <c r="AP184" i="31"/>
  <c r="AR67" i="31"/>
  <c r="AR150" i="31"/>
  <c r="AP151" i="31"/>
  <c r="AS9" i="31"/>
  <c r="AP55" i="31"/>
  <c r="AS103" i="31"/>
  <c r="AS173" i="31"/>
  <c r="AQ74" i="31"/>
  <c r="AT22" i="31"/>
  <c r="AP123" i="31"/>
  <c r="AT148" i="31"/>
  <c r="AT49" i="31"/>
  <c r="AQ130" i="31"/>
  <c r="AT185" i="31"/>
  <c r="AQ179" i="31"/>
  <c r="AS200" i="31"/>
  <c r="AS61" i="31"/>
  <c r="AQ127" i="31"/>
  <c r="AT63" i="31"/>
  <c r="AQ155" i="31"/>
  <c r="AT36" i="31"/>
  <c r="AR126" i="31"/>
  <c r="AR201" i="31"/>
  <c r="AT176" i="31"/>
  <c r="AP180" i="31"/>
  <c r="AR41" i="31"/>
  <c r="AR7" i="31"/>
  <c r="AQ42" i="31"/>
  <c r="AS75" i="31"/>
  <c r="AP48" i="31"/>
  <c r="AR43" i="31"/>
  <c r="AR79" i="31"/>
  <c r="AQ133" i="31"/>
  <c r="AS89" i="31"/>
  <c r="AP195" i="31"/>
  <c r="AR91" i="31"/>
  <c r="AT50" i="31"/>
  <c r="AQ113" i="31"/>
  <c r="AS81" i="31"/>
  <c r="AP64" i="31"/>
  <c r="AT164" i="31"/>
  <c r="AQ193" i="31"/>
  <c r="AT172" i="31"/>
  <c r="AS25" i="31"/>
  <c r="AP190" i="31"/>
  <c r="AS102" i="31"/>
  <c r="AT171" i="31"/>
  <c r="AR152" i="31"/>
  <c r="AS24" i="31"/>
  <c r="AP191" i="31"/>
  <c r="AS153" i="31"/>
  <c r="AS125" i="31"/>
  <c r="AQ32" i="31"/>
  <c r="AS146" i="31"/>
  <c r="AP170" i="31"/>
  <c r="AR104" i="31"/>
  <c r="AR94" i="31"/>
  <c r="AQ167" i="31"/>
  <c r="AT183" i="31"/>
  <c r="AQ92" i="31"/>
  <c r="AT117" i="31"/>
  <c r="AS156" i="31"/>
  <c r="AP140" i="31"/>
  <c r="AT182" i="31"/>
  <c r="AQ44" i="31"/>
  <c r="AP12" i="31"/>
  <c r="AS5" i="31"/>
  <c r="AQ95" i="31"/>
  <c r="AT177" i="31"/>
  <c r="AP128" i="31"/>
  <c r="AS78" i="31"/>
  <c r="AS162" i="31"/>
  <c r="AQ149" i="31"/>
  <c r="AR187" i="31"/>
  <c r="AQ137" i="31"/>
  <c r="AQ86" i="31"/>
  <c r="AS98" i="31"/>
  <c r="AP66" i="31"/>
  <c r="AR122" i="31"/>
  <c r="AT136" i="31"/>
  <c r="AP124" i="31"/>
  <c r="AR77" i="31"/>
  <c r="AQ99" i="31"/>
  <c r="AQ188" i="31"/>
  <c r="AR118" i="31"/>
  <c r="AP67" i="31"/>
  <c r="AT150" i="31"/>
  <c r="AQ151" i="31"/>
  <c r="AR9" i="31"/>
  <c r="AT73" i="31"/>
  <c r="AQ103" i="31"/>
  <c r="AR173" i="31"/>
  <c r="AP74" i="31"/>
  <c r="AS22" i="31"/>
  <c r="AS189" i="31"/>
  <c r="AP148" i="31"/>
  <c r="AS49" i="31"/>
  <c r="AP130" i="31"/>
  <c r="AS185" i="31"/>
  <c r="AR135" i="31"/>
  <c r="AR200" i="31"/>
  <c r="AR61" i="31"/>
  <c r="AP127" i="31"/>
  <c r="AS63" i="31"/>
  <c r="AS100" i="31"/>
  <c r="AP36" i="31"/>
  <c r="AT126" i="31"/>
  <c r="AP201" i="31"/>
  <c r="AS176" i="31"/>
  <c r="AS157" i="31"/>
  <c r="AQ41" i="31"/>
  <c r="AT7" i="31"/>
  <c r="AP42" i="31"/>
  <c r="AR75" i="31"/>
  <c r="AT131" i="31"/>
  <c r="AQ43" i="31"/>
  <c r="AT79" i="31"/>
  <c r="AP133" i="31"/>
  <c r="AR89" i="31"/>
  <c r="AS181" i="31"/>
  <c r="AP91" i="31"/>
  <c r="AS50" i="31"/>
  <c r="AP113" i="31"/>
  <c r="AR81" i="31"/>
  <c r="AT194" i="31"/>
  <c r="AP164" i="31"/>
  <c r="AT193" i="31"/>
  <c r="AP172" i="31"/>
  <c r="AR25" i="31"/>
  <c r="AT138" i="31"/>
  <c r="AQ102" i="31"/>
  <c r="AS171" i="31"/>
  <c r="AP152" i="31"/>
  <c r="AR24" i="31"/>
  <c r="AR142" i="31"/>
  <c r="AR153" i="31"/>
  <c r="AR125" i="31"/>
  <c r="AP32" i="31"/>
  <c r="AR146" i="31"/>
  <c r="AQ160" i="31"/>
  <c r="AQ104" i="31"/>
  <c r="AT94" i="31"/>
  <c r="AP167" i="31"/>
  <c r="AS183" i="31"/>
  <c r="AR198" i="31"/>
  <c r="AP117" i="31"/>
  <c r="AR156" i="31"/>
  <c r="AQ140" i="31"/>
  <c r="AS182" i="31"/>
  <c r="AS20" i="31"/>
  <c r="AR12" i="31"/>
  <c r="AR5" i="31"/>
  <c r="AP95" i="31"/>
  <c r="AS177" i="31"/>
  <c r="AR111" i="31"/>
  <c r="AQ78" i="31"/>
  <c r="AR162" i="31"/>
  <c r="AS136" i="31"/>
  <c r="AS52" i="31"/>
  <c r="AQ148" i="31"/>
  <c r="AQ63" i="31"/>
  <c r="AS7" i="31"/>
  <c r="AR181" i="31"/>
  <c r="AT154" i="31"/>
  <c r="AQ138" i="31"/>
  <c r="AQ152" i="31"/>
  <c r="AQ191" i="31"/>
  <c r="AS159" i="31"/>
  <c r="AQ110" i="31"/>
  <c r="AP160" i="31"/>
  <c r="AR167" i="31"/>
  <c r="AR92" i="31"/>
  <c r="AS93" i="31"/>
  <c r="AS140" i="31"/>
  <c r="AR182" i="31"/>
  <c r="AT20" i="31"/>
  <c r="AR105" i="31"/>
  <c r="AS95" i="31"/>
  <c r="AP177" i="31"/>
  <c r="AP111" i="31"/>
  <c r="AP33" i="31"/>
  <c r="AS192" i="31"/>
  <c r="AS109" i="31"/>
  <c r="AQ70" i="31"/>
  <c r="AS18" i="31"/>
  <c r="AQ83" i="31"/>
  <c r="AS121" i="31"/>
  <c r="AT72" i="31"/>
  <c r="AQ17" i="31"/>
  <c r="AS108" i="31"/>
  <c r="AQ124" i="31"/>
  <c r="AQ9" i="31"/>
  <c r="AR49" i="31"/>
  <c r="AR100" i="31"/>
  <c r="AT26" i="31"/>
  <c r="AQ91" i="31"/>
  <c r="AP154" i="31"/>
  <c r="AR102" i="31"/>
  <c r="AT152" i="31"/>
  <c r="AT191" i="31"/>
  <c r="AQ159" i="31"/>
  <c r="AP110" i="31"/>
  <c r="AT104" i="31"/>
  <c r="AT167" i="31"/>
  <c r="AT92" i="31"/>
  <c r="AR93" i="31"/>
  <c r="AR140" i="31"/>
  <c r="AQ182" i="31"/>
  <c r="AP20" i="31"/>
  <c r="AQ105" i="31"/>
  <c r="AS60" i="31"/>
  <c r="AT128" i="31"/>
  <c r="AR78" i="31"/>
  <c r="AS69" i="31"/>
  <c r="AR192" i="31"/>
  <c r="AR109" i="31"/>
  <c r="AP70" i="31"/>
  <c r="AR18" i="31"/>
  <c r="AS68" i="31"/>
  <c r="AR121" i="31"/>
  <c r="AS72" i="31"/>
  <c r="AP17" i="31"/>
  <c r="AQ187" i="31"/>
  <c r="AT77" i="31"/>
  <c r="AS73" i="31"/>
  <c r="AS13" i="31"/>
  <c r="AQ36" i="31"/>
  <c r="AQ75" i="31"/>
  <c r="AR50" i="31"/>
  <c r="AQ25" i="31"/>
  <c r="AP102" i="31"/>
  <c r="AT115" i="31"/>
  <c r="AT142" i="31"/>
  <c r="AT125" i="31"/>
  <c r="AP146" i="31"/>
  <c r="AP104" i="31"/>
  <c r="AS141" i="31"/>
  <c r="AT198" i="31"/>
  <c r="AT93" i="31"/>
  <c r="AT140" i="31"/>
  <c r="AP182" i="31"/>
  <c r="AQ20" i="31"/>
  <c r="AP105" i="31"/>
  <c r="AR60" i="31"/>
  <c r="AS128" i="31"/>
  <c r="AT78" i="31"/>
  <c r="AR69" i="31"/>
  <c r="AP192" i="31"/>
  <c r="AT109" i="31"/>
  <c r="AT34" i="31"/>
  <c r="AQ18" i="31"/>
  <c r="AR68" i="31"/>
  <c r="AP121" i="31"/>
  <c r="AR72" i="31"/>
  <c r="AT137" i="31"/>
  <c r="AR199" i="31"/>
  <c r="AP103" i="31"/>
  <c r="AR185" i="31"/>
  <c r="AS126" i="31"/>
  <c r="AS131" i="31"/>
  <c r="AT147" i="31"/>
  <c r="AR190" i="31"/>
  <c r="AT134" i="31"/>
  <c r="AR115" i="31"/>
  <c r="AQ142" i="31"/>
  <c r="AQ125" i="31"/>
  <c r="AT170" i="31"/>
  <c r="AR28" i="31"/>
  <c r="AT141" i="31"/>
  <c r="AQ198" i="31"/>
  <c r="AP93" i="31"/>
  <c r="AS37" i="31"/>
  <c r="AS44" i="31"/>
  <c r="AS12" i="31"/>
  <c r="AT5" i="31"/>
  <c r="AT60" i="31"/>
  <c r="AR128" i="31"/>
  <c r="AP78" i="31"/>
  <c r="AT69" i="31"/>
  <c r="AT144" i="31"/>
  <c r="AQ109" i="31"/>
  <c r="AS34" i="31"/>
  <c r="AP18" i="31"/>
  <c r="AT68" i="31"/>
  <c r="AR46" i="31"/>
  <c r="AQ72" i="31"/>
  <c r="AP86" i="31"/>
  <c r="AT188" i="31"/>
  <c r="AT173" i="31"/>
  <c r="AT135" i="31"/>
  <c r="AT120" i="31"/>
  <c r="AP43" i="31"/>
  <c r="AQ81" i="31"/>
  <c r="AT190" i="31"/>
  <c r="AS134" i="31"/>
  <c r="AP115" i="31"/>
  <c r="AP142" i="31"/>
  <c r="AT32" i="31"/>
  <c r="AS170" i="31"/>
  <c r="AT28" i="31"/>
  <c r="AQ141" i="31"/>
  <c r="AP198" i="31"/>
  <c r="AQ93" i="31"/>
  <c r="AR37" i="31"/>
  <c r="AR44" i="31"/>
  <c r="AT12" i="31"/>
  <c r="AP5" i="31"/>
  <c r="AP60" i="31"/>
  <c r="AQ128" i="31"/>
  <c r="AT33" i="31"/>
  <c r="AQ69" i="31"/>
  <c r="AS144" i="31"/>
  <c r="AP109" i="31"/>
  <c r="AR34" i="31"/>
  <c r="AT83" i="31"/>
  <c r="AP68" i="31"/>
  <c r="AT46" i="31"/>
  <c r="AP72" i="31"/>
  <c r="AR98" i="31"/>
  <c r="AT118" i="31"/>
  <c r="AR30" i="31"/>
  <c r="AP200" i="31"/>
  <c r="AR176" i="31"/>
  <c r="AS79" i="31"/>
  <c r="AS194" i="31"/>
  <c r="AS190" i="31"/>
  <c r="AQ134" i="31"/>
  <c r="AQ115" i="31"/>
  <c r="AQ153" i="31"/>
  <c r="AS32" i="31"/>
  <c r="AR170" i="31"/>
  <c r="AP28" i="31"/>
  <c r="AP141" i="31"/>
  <c r="AS117" i="31"/>
  <c r="AT156" i="31"/>
  <c r="AT37" i="31"/>
  <c r="AT44" i="31"/>
  <c r="AQ12" i="31"/>
  <c r="AQ5" i="31"/>
  <c r="AQ60" i="31"/>
  <c r="AT111" i="31"/>
  <c r="AS33" i="31"/>
  <c r="AP69" i="31"/>
  <c r="AR144" i="31"/>
  <c r="AR70" i="31"/>
  <c r="AQ34" i="31"/>
  <c r="AS83" i="31"/>
  <c r="AQ68" i="31"/>
  <c r="AS46" i="31"/>
  <c r="AT17" i="31"/>
  <c r="AT35" i="31"/>
  <c r="AQ67" i="31"/>
  <c r="AQ22" i="31"/>
  <c r="AT61" i="31"/>
  <c r="AR157" i="31"/>
  <c r="AR119" i="31"/>
  <c r="AQ164" i="31"/>
  <c r="AS138" i="31"/>
  <c r="AR171" i="31"/>
  <c r="AQ24" i="31"/>
  <c r="AP153" i="31"/>
  <c r="AR110" i="31"/>
  <c r="AT160" i="31"/>
  <c r="AS94" i="31"/>
  <c r="AQ183" i="31"/>
  <c r="AR117" i="31"/>
  <c r="AP156" i="31"/>
  <c r="AQ37" i="31"/>
  <c r="AP44" i="31"/>
  <c r="AT105" i="31"/>
  <c r="AR95" i="31"/>
  <c r="AQ177" i="31"/>
  <c r="AS111" i="31"/>
  <c r="AR33" i="31"/>
  <c r="AQ192" i="31"/>
  <c r="AP144" i="31"/>
  <c r="AT70" i="31"/>
  <c r="AP34" i="31"/>
  <c r="AR83" i="31"/>
  <c r="AQ121" i="31"/>
  <c r="AQ46" i="31"/>
  <c r="AS17" i="31"/>
  <c r="AQ122" i="31"/>
  <c r="AS150" i="31"/>
  <c r="AR189" i="31"/>
  <c r="AT51" i="31"/>
  <c r="AP41" i="31"/>
  <c r="AQ89" i="31"/>
  <c r="AS193" i="31"/>
  <c r="AP138" i="31"/>
  <c r="AP171" i="31"/>
  <c r="AR191" i="31"/>
  <c r="AT159" i="31"/>
  <c r="AS110" i="31"/>
  <c r="AR160" i="31"/>
  <c r="AP94" i="31"/>
  <c r="AS92" i="31"/>
  <c r="AQ117" i="31"/>
  <c r="AQ156" i="31"/>
  <c r="AP37" i="31"/>
  <c r="AR20" i="31"/>
  <c r="AS105" i="31"/>
  <c r="AT95" i="31"/>
  <c r="AR177" i="31"/>
  <c r="AQ111" i="31"/>
  <c r="AQ33" i="31"/>
  <c r="AT192" i="31"/>
  <c r="AQ144" i="31"/>
  <c r="AS70" i="31"/>
  <c r="AT18" i="31"/>
  <c r="AP83" i="31"/>
  <c r="AT121" i="31"/>
  <c r="AP46" i="31"/>
  <c r="AR17" i="31"/>
  <c r="AT62" i="31"/>
  <c r="AP76" i="31"/>
  <c r="AS132" i="31"/>
  <c r="AR57" i="31"/>
  <c r="AP87" i="31"/>
  <c r="AT54" i="31"/>
  <c r="AQ47" i="31"/>
  <c r="AT80" i="31"/>
  <c r="AS143" i="31"/>
  <c r="AP196" i="31"/>
  <c r="AR101" i="31"/>
  <c r="AR169" i="31"/>
  <c r="AS165" i="31"/>
  <c r="AR19" i="31"/>
  <c r="AP56" i="31"/>
  <c r="AT15" i="31"/>
  <c r="AP8" i="31"/>
  <c r="AT90" i="31"/>
  <c r="AR202" i="31"/>
  <c r="AQ29" i="31"/>
  <c r="AS139" i="31"/>
  <c r="AP116" i="31"/>
  <c r="AR158" i="31"/>
  <c r="AR186" i="31"/>
  <c r="AQ175" i="31"/>
  <c r="AS163" i="31"/>
  <c r="AQ114" i="31"/>
  <c r="AS53" i="31"/>
  <c r="AS31" i="31"/>
  <c r="AP14" i="31"/>
  <c r="AR62" i="31"/>
  <c r="AT76" i="31"/>
  <c r="AP21" i="31"/>
  <c r="AS57" i="31"/>
  <c r="AQ87" i="31"/>
  <c r="AR54" i="31"/>
  <c r="AS47" i="31"/>
  <c r="AP82" i="31"/>
  <c r="AT143" i="31"/>
  <c r="AT196" i="31"/>
  <c r="AS101" i="31"/>
  <c r="AS169" i="31"/>
  <c r="AQ85" i="31"/>
  <c r="AS19" i="31"/>
  <c r="AQ56" i="31"/>
  <c r="AR15" i="31"/>
  <c r="AQ8" i="31"/>
  <c r="AP39" i="31"/>
  <c r="AS202" i="31"/>
  <c r="AP29" i="31"/>
  <c r="AT139" i="31"/>
  <c r="AT116" i="31"/>
  <c r="AP6" i="31"/>
  <c r="AS186" i="31"/>
  <c r="AP175" i="31"/>
  <c r="AT163" i="31"/>
  <c r="AR114" i="31"/>
  <c r="AQ197" i="31"/>
  <c r="AT31" i="31"/>
  <c r="AQ14" i="31"/>
  <c r="AQ27" i="31"/>
  <c r="AR76" i="31"/>
  <c r="AQ21" i="31"/>
  <c r="AT57" i="31"/>
  <c r="AS87" i="31"/>
  <c r="AP88" i="31"/>
  <c r="AT47" i="31"/>
  <c r="AQ82" i="31"/>
  <c r="AR143" i="31"/>
  <c r="AQ196" i="31"/>
  <c r="AQ45" i="31"/>
  <c r="AT169" i="31"/>
  <c r="AP85" i="31"/>
  <c r="AT19" i="31"/>
  <c r="AR56" i="31"/>
  <c r="AP16" i="31"/>
  <c r="AS8" i="31"/>
  <c r="AQ39" i="31"/>
  <c r="AT202" i="31"/>
  <c r="AT29" i="31"/>
  <c r="AP129" i="31"/>
  <c r="AR116" i="31"/>
  <c r="AQ6" i="31"/>
  <c r="AT186" i="31"/>
  <c r="AS175" i="31"/>
  <c r="AP112" i="31"/>
  <c r="AS114" i="31"/>
  <c r="AP197" i="31"/>
  <c r="AR31" i="31"/>
  <c r="AS14" i="31"/>
  <c r="AP27" i="31"/>
  <c r="AS76" i="31"/>
  <c r="AT21" i="31"/>
  <c r="AP107" i="31"/>
  <c r="AT87" i="31"/>
  <c r="AQ88" i="31"/>
  <c r="AR47" i="31"/>
  <c r="AR82" i="31"/>
  <c r="AP65" i="31"/>
  <c r="AR196" i="31"/>
  <c r="AP45" i="31"/>
  <c r="AQ169" i="31"/>
  <c r="AT85" i="31"/>
  <c r="AP58" i="31"/>
  <c r="AS56" i="31"/>
  <c r="AQ16" i="31"/>
  <c r="AT8" i="31"/>
  <c r="AS39" i="31"/>
  <c r="AQ84" i="31"/>
  <c r="AR29" i="31"/>
  <c r="AR129" i="31"/>
  <c r="AS116" i="31"/>
  <c r="AS6" i="31"/>
  <c r="AP10" i="31"/>
  <c r="AT175" i="31"/>
  <c r="AQ112" i="31"/>
  <c r="AT114" i="31"/>
  <c r="AT197" i="31"/>
  <c r="AR11" i="31"/>
  <c r="AT14" i="31"/>
  <c r="AR27" i="31"/>
  <c r="AP132" i="31"/>
  <c r="AR21" i="31"/>
  <c r="AQ107" i="31"/>
  <c r="AR87" i="31"/>
  <c r="AR88" i="31"/>
  <c r="AP80" i="31"/>
  <c r="AS82" i="31"/>
  <c r="AQ65" i="31"/>
  <c r="AS196" i="31"/>
  <c r="AT45" i="31"/>
  <c r="AQ165" i="31"/>
  <c r="AR85" i="31"/>
  <c r="AQ58" i="31"/>
  <c r="AT56" i="31"/>
  <c r="AR16" i="31"/>
  <c r="AP90" i="31"/>
  <c r="AT39" i="31"/>
  <c r="AP84" i="31"/>
  <c r="AS29" i="31"/>
  <c r="AS129" i="31"/>
  <c r="AP158" i="31"/>
  <c r="AT6" i="31"/>
  <c r="AQ10" i="31"/>
  <c r="AR175" i="31"/>
  <c r="AR112" i="31"/>
  <c r="AQ53" i="31"/>
  <c r="AR197" i="31"/>
  <c r="AQ11" i="31"/>
  <c r="AR14" i="31"/>
  <c r="AP62" i="31"/>
  <c r="AS27" i="31"/>
  <c r="AQ132" i="31"/>
  <c r="AS21" i="31"/>
  <c r="AR107" i="31"/>
  <c r="AP54" i="31"/>
  <c r="AS88" i="31"/>
  <c r="AQ80" i="31"/>
  <c r="AT82" i="31"/>
  <c r="AR65" i="31"/>
  <c r="AP101" i="31"/>
  <c r="AR45" i="31"/>
  <c r="AP165" i="31"/>
  <c r="AS85" i="31"/>
  <c r="AR58" i="31"/>
  <c r="AP15" i="31"/>
  <c r="AS16" i="31"/>
  <c r="AQ90" i="31"/>
  <c r="AR39" i="31"/>
  <c r="AT84" i="31"/>
  <c r="AQ139" i="31"/>
  <c r="AT129" i="31"/>
  <c r="AQ158" i="31"/>
  <c r="AR6" i="31"/>
  <c r="AR10" i="31"/>
  <c r="AP163" i="31"/>
  <c r="AS112" i="31"/>
  <c r="AP53" i="31"/>
  <c r="AS197" i="31"/>
  <c r="AP11" i="31"/>
  <c r="AL165" i="31"/>
  <c r="AN163" i="31"/>
  <c r="AL107" i="31"/>
  <c r="AN114" i="31"/>
  <c r="AL27" i="31"/>
  <c r="AN202" i="31"/>
  <c r="AN90" i="31"/>
  <c r="AN158" i="31"/>
  <c r="AN15" i="31"/>
  <c r="AL169" i="31"/>
  <c r="AN58" i="31"/>
  <c r="AN129" i="31"/>
  <c r="AO132" i="31"/>
  <c r="AN10" i="31"/>
  <c r="AN65" i="31"/>
  <c r="AO101" i="31"/>
  <c r="AN169" i="31"/>
  <c r="AN85" i="31"/>
  <c r="AN88" i="31"/>
  <c r="AN80" i="31"/>
  <c r="AO65" i="31"/>
  <c r="AO169" i="31"/>
  <c r="AL8" i="31"/>
  <c r="AL39" i="31"/>
  <c r="AL158" i="31"/>
  <c r="AN186" i="31"/>
  <c r="AL112" i="31"/>
  <c r="AO53" i="31"/>
  <c r="AL139" i="31"/>
  <c r="AL16" i="31"/>
  <c r="AN87" i="31"/>
  <c r="AO116" i="31"/>
  <c r="AO11" i="31"/>
  <c r="AO31" i="31"/>
  <c r="AN27" i="31"/>
  <c r="AN57" i="31"/>
  <c r="AL80" i="31"/>
  <c r="AL31" i="31"/>
  <c r="AL88" i="31"/>
  <c r="AO90" i="31"/>
  <c r="AO58" i="31"/>
  <c r="AO158" i="31"/>
  <c r="AO10" i="31"/>
  <c r="AO163" i="31"/>
  <c r="AO114" i="31"/>
  <c r="AN84" i="31"/>
  <c r="AO202" i="31"/>
  <c r="AO15" i="31"/>
  <c r="AO129" i="31"/>
  <c r="AL87" i="31"/>
  <c r="AN11" i="31"/>
  <c r="AN31" i="31"/>
  <c r="AL132" i="31"/>
  <c r="AO88" i="31"/>
  <c r="AO80" i="31"/>
  <c r="AO196" i="31"/>
  <c r="AN45" i="31"/>
  <c r="AN165" i="31"/>
  <c r="AL19" i="31"/>
  <c r="AO186" i="31"/>
  <c r="AN175" i="31"/>
  <c r="AL53" i="31"/>
  <c r="AL56" i="31"/>
  <c r="AL29" i="31"/>
  <c r="AO87" i="31"/>
  <c r="AL116" i="31"/>
  <c r="AO27" i="31"/>
  <c r="AN132" i="31"/>
  <c r="AO57" i="31"/>
  <c r="AO175" i="31"/>
  <c r="AN112" i="31"/>
  <c r="AN53" i="31"/>
  <c r="AN139" i="31"/>
  <c r="AN56" i="31"/>
  <c r="AN16" i="31"/>
  <c r="AO29" i="31"/>
  <c r="AN14" i="31"/>
  <c r="AN62" i="31"/>
  <c r="AL76" i="31"/>
  <c r="AO21" i="31"/>
  <c r="AL57" i="31"/>
  <c r="AL54" i="31"/>
  <c r="AL47" i="31"/>
  <c r="AN143" i="31"/>
  <c r="AO45" i="31"/>
  <c r="AN19" i="31"/>
  <c r="AO8" i="31"/>
  <c r="AO39" i="31"/>
  <c r="AL152" i="31"/>
  <c r="AL176" i="31"/>
  <c r="AL26" i="31"/>
  <c r="AL48" i="31"/>
  <c r="AL43" i="31"/>
  <c r="AL162" i="31"/>
  <c r="AL187" i="31"/>
  <c r="AL35" i="31"/>
  <c r="AL67" i="31"/>
  <c r="AL33" i="31"/>
  <c r="AL89" i="31"/>
  <c r="AL195" i="31"/>
  <c r="AL91" i="31"/>
  <c r="AL50" i="31"/>
  <c r="AL147" i="31"/>
  <c r="AL64" i="31"/>
  <c r="AL66" i="31"/>
  <c r="AL151" i="31"/>
  <c r="AL155" i="31"/>
  <c r="AL32" i="31"/>
  <c r="AL118" i="31"/>
  <c r="AL40" i="31"/>
  <c r="AL115" i="31"/>
  <c r="AL44" i="31"/>
  <c r="AL12" i="31"/>
  <c r="AL123" i="31"/>
  <c r="AL49" i="31"/>
  <c r="AL18" i="31"/>
  <c r="AL17" i="31"/>
  <c r="AL77" i="31"/>
  <c r="AL157" i="31"/>
  <c r="AL184" i="31"/>
  <c r="AL160" i="31"/>
  <c r="AL128" i="31"/>
  <c r="AL191" i="31"/>
  <c r="AL136" i="31"/>
  <c r="AL183" i="31"/>
  <c r="AL192" i="31"/>
  <c r="AL38" i="31"/>
  <c r="AL22" i="31"/>
  <c r="AL127" i="31"/>
  <c r="AL63" i="31"/>
  <c r="AL55" i="31"/>
  <c r="AL71" i="31"/>
  <c r="AL133" i="31"/>
  <c r="AL150" i="31"/>
  <c r="AL78" i="31"/>
  <c r="AL190" i="31"/>
  <c r="AL134" i="31"/>
  <c r="AL181" i="31"/>
  <c r="AL125" i="31"/>
  <c r="AL173" i="31"/>
  <c r="AL198" i="31"/>
  <c r="AL182" i="31"/>
  <c r="AL189" i="31"/>
  <c r="AL13" i="31"/>
  <c r="AL109" i="31"/>
  <c r="AL119" i="31"/>
  <c r="AL146" i="31"/>
  <c r="AL74" i="31"/>
  <c r="AL130" i="31"/>
  <c r="AL179" i="31"/>
  <c r="AL145" i="31"/>
  <c r="AL137" i="31"/>
  <c r="AL25" i="31"/>
  <c r="AL161" i="31"/>
  <c r="AL201" i="31"/>
  <c r="AL23" i="31"/>
  <c r="AL100" i="31"/>
  <c r="AL110" i="31"/>
  <c r="AL167" i="31"/>
  <c r="AL42" i="31"/>
  <c r="AL75" i="31"/>
  <c r="AL131" i="31"/>
  <c r="AL193" i="31"/>
  <c r="AL97" i="31"/>
  <c r="AL154" i="31"/>
  <c r="AL138" i="31"/>
  <c r="AL113" i="31"/>
  <c r="AL81" i="31"/>
  <c r="AL194" i="31"/>
  <c r="AL86" i="31"/>
  <c r="AL122" i="31"/>
  <c r="AL171" i="31"/>
  <c r="AL178" i="31"/>
  <c r="AL153" i="31"/>
  <c r="AL73" i="31"/>
  <c r="AL170" i="31"/>
  <c r="AL59" i="31"/>
  <c r="AL93" i="31"/>
  <c r="AL105" i="31"/>
  <c r="AL108" i="31"/>
  <c r="AL98" i="31"/>
  <c r="AL99" i="31"/>
  <c r="AL106" i="31"/>
  <c r="AL34" i="31"/>
  <c r="AL83" i="31"/>
  <c r="AL121" i="31"/>
  <c r="AL72" i="31"/>
  <c r="AL149" i="31"/>
  <c r="AL166" i="31"/>
  <c r="AL126" i="31"/>
  <c r="AL199" i="31"/>
  <c r="AL200" i="31"/>
  <c r="AL168" i="31"/>
  <c r="AL144" i="31"/>
  <c r="AL36" i="31"/>
  <c r="AL142" i="31"/>
  <c r="AL9" i="31"/>
  <c r="AL185" i="31"/>
  <c r="AL104" i="31"/>
  <c r="AL41" i="31"/>
  <c r="AL7" i="31"/>
  <c r="AL79" i="31"/>
  <c r="AL111" i="31"/>
  <c r="AL94" i="31"/>
  <c r="AL117" i="31"/>
  <c r="AL95" i="31"/>
  <c r="AL172" i="31"/>
  <c r="AL68" i="31"/>
  <c r="AL69" i="31"/>
  <c r="AL60" i="31"/>
  <c r="AL141" i="31"/>
  <c r="AL70" i="31"/>
  <c r="AL103" i="31"/>
  <c r="AL135" i="31"/>
  <c r="AL177" i="31"/>
  <c r="AL164" i="31"/>
  <c r="AL28" i="31"/>
  <c r="AL159" i="31"/>
  <c r="AL20" i="31"/>
  <c r="AL52" i="31"/>
  <c r="AL174" i="31"/>
  <c r="AL156" i="31"/>
  <c r="AL188" i="31"/>
  <c r="AL46" i="31"/>
  <c r="AL61" i="31"/>
  <c r="AL120" i="31"/>
  <c r="AL96" i="31"/>
  <c r="AL140" i="31"/>
  <c r="AL24" i="31"/>
  <c r="AL30" i="31"/>
  <c r="AL180" i="31"/>
  <c r="AL92" i="31"/>
  <c r="AL51" i="31"/>
  <c r="AL102" i="31"/>
  <c r="AL124" i="31"/>
  <c r="AL37" i="31"/>
  <c r="AL148" i="31"/>
  <c r="AN6" i="31"/>
  <c r="AL175" i="31"/>
  <c r="AO112" i="31"/>
  <c r="AO139" i="31"/>
  <c r="AO56" i="31"/>
  <c r="AO16" i="31"/>
  <c r="AN29" i="31"/>
  <c r="AN116" i="31"/>
  <c r="AL14" i="31"/>
  <c r="AL62" i="31"/>
  <c r="AO76" i="31"/>
  <c r="AL21" i="31"/>
  <c r="AO22" i="31"/>
  <c r="AO146" i="31"/>
  <c r="AO74" i="31"/>
  <c r="AO130" i="31"/>
  <c r="AO179" i="31"/>
  <c r="AO145" i="31"/>
  <c r="AO127" i="31"/>
  <c r="AO63" i="31"/>
  <c r="AO137" i="31"/>
  <c r="AO25" i="31"/>
  <c r="AO55" i="31"/>
  <c r="AO161" i="31"/>
  <c r="AO201" i="31"/>
  <c r="AO71" i="31"/>
  <c r="AN102" i="31"/>
  <c r="AO164" i="31"/>
  <c r="AO28" i="31"/>
  <c r="AO60" i="31"/>
  <c r="AN142" i="31"/>
  <c r="AN174" i="31"/>
  <c r="AO124" i="31"/>
  <c r="AN94" i="31"/>
  <c r="AN141" i="31"/>
  <c r="AO92" i="31"/>
  <c r="AO117" i="31"/>
  <c r="AO156" i="31"/>
  <c r="AN37" i="31"/>
  <c r="AN5" i="31"/>
  <c r="AO172" i="31"/>
  <c r="AO188" i="31"/>
  <c r="AO148" i="31"/>
  <c r="AN69" i="31"/>
  <c r="AO68" i="31"/>
  <c r="AN22" i="31"/>
  <c r="AN146" i="31"/>
  <c r="AN74" i="31"/>
  <c r="AN130" i="31"/>
  <c r="AN179" i="31"/>
  <c r="AN145" i="31"/>
  <c r="AN127" i="31"/>
  <c r="AN63" i="31"/>
  <c r="AN137" i="31"/>
  <c r="AN25" i="31"/>
  <c r="AN55" i="31"/>
  <c r="AO152" i="31"/>
  <c r="AN161" i="31"/>
  <c r="AN201" i="31"/>
  <c r="AO176" i="31"/>
  <c r="AN71" i="31"/>
  <c r="AO42" i="31"/>
  <c r="AO75" i="31"/>
  <c r="AO131" i="31"/>
  <c r="AO38" i="31"/>
  <c r="AO193" i="31"/>
  <c r="AO97" i="31"/>
  <c r="AO154" i="31"/>
  <c r="AO78" i="31"/>
  <c r="AO138" i="31"/>
  <c r="AO23" i="31"/>
  <c r="AO113" i="31"/>
  <c r="AO81" i="31"/>
  <c r="AO194" i="31"/>
  <c r="AN100" i="31"/>
  <c r="AO122" i="31"/>
  <c r="AO171" i="31"/>
  <c r="AO178" i="31"/>
  <c r="AO153" i="31"/>
  <c r="AO119" i="31"/>
  <c r="AO73" i="31"/>
  <c r="AO170" i="31"/>
  <c r="AO59" i="31"/>
  <c r="AO167" i="31"/>
  <c r="AN140" i="31"/>
  <c r="AN20" i="31"/>
  <c r="AO105" i="31"/>
  <c r="AO95" i="31"/>
  <c r="AN108" i="31"/>
  <c r="AO98" i="31"/>
  <c r="AO99" i="31"/>
  <c r="AO106" i="31"/>
  <c r="AO34" i="31"/>
  <c r="AO83" i="31"/>
  <c r="AO121" i="31"/>
  <c r="AO72" i="31"/>
  <c r="AN125" i="31"/>
  <c r="AN77" i="31"/>
  <c r="AN152" i="31"/>
  <c r="AN176" i="31"/>
  <c r="AN157" i="31"/>
  <c r="AN42" i="31"/>
  <c r="AN75" i="31"/>
  <c r="AN131" i="31"/>
  <c r="AN193" i="31"/>
  <c r="AN97" i="31"/>
  <c r="AN154" i="31"/>
  <c r="AO184" i="31"/>
  <c r="AO160" i="31"/>
  <c r="AO128" i="31"/>
  <c r="AN138" i="31"/>
  <c r="AN23" i="31"/>
  <c r="AN113" i="31"/>
  <c r="AN81" i="31"/>
  <c r="AN194" i="31"/>
  <c r="AO86" i="31"/>
  <c r="AN122" i="31"/>
  <c r="AN171" i="31"/>
  <c r="AN178" i="31"/>
  <c r="AO110" i="31"/>
  <c r="AO191" i="31"/>
  <c r="AN153" i="31"/>
  <c r="AN119" i="31"/>
  <c r="AN73" i="31"/>
  <c r="AN170" i="31"/>
  <c r="AO136" i="31"/>
  <c r="AN59" i="31"/>
  <c r="AN167" i="31"/>
  <c r="AO183" i="31"/>
  <c r="AN93" i="31"/>
  <c r="AN105" i="31"/>
  <c r="AN95" i="31"/>
  <c r="AN98" i="31"/>
  <c r="AN99" i="31"/>
  <c r="AN106" i="31"/>
  <c r="AO192" i="31"/>
  <c r="AN34" i="31"/>
  <c r="AN83" i="31"/>
  <c r="AN121" i="31"/>
  <c r="AN72" i="31"/>
  <c r="AO133" i="31"/>
  <c r="AN191" i="31"/>
  <c r="AO77" i="31"/>
  <c r="AO157" i="31"/>
  <c r="AN184" i="31"/>
  <c r="AO150" i="31"/>
  <c r="AN160" i="31"/>
  <c r="AN128" i="31"/>
  <c r="AN78" i="31"/>
  <c r="AO190" i="31"/>
  <c r="AO134" i="31"/>
  <c r="AN181" i="31"/>
  <c r="AN86" i="31"/>
  <c r="AO173" i="31"/>
  <c r="AN136" i="31"/>
  <c r="AO9" i="31"/>
  <c r="AN52" i="31"/>
  <c r="AO24" i="31"/>
  <c r="AO185" i="31"/>
  <c r="AO135" i="31"/>
  <c r="AO51" i="31"/>
  <c r="AN36" i="31"/>
  <c r="AO177" i="31"/>
  <c r="AO30" i="31"/>
  <c r="AO104" i="31"/>
  <c r="AO120" i="31"/>
  <c r="AN180" i="31"/>
  <c r="AO41" i="31"/>
  <c r="AN38" i="31"/>
  <c r="AN133" i="31"/>
  <c r="AN150" i="31"/>
  <c r="AN190" i="31"/>
  <c r="AN134" i="31"/>
  <c r="AO181" i="31"/>
  <c r="AO100" i="31"/>
  <c r="AN110" i="31"/>
  <c r="AO125" i="31"/>
  <c r="AN173" i="31"/>
  <c r="AN198" i="31"/>
  <c r="AO140" i="31"/>
  <c r="AN182" i="31"/>
  <c r="AO20" i="31"/>
  <c r="AO189" i="31"/>
  <c r="AN13" i="31"/>
  <c r="AO109" i="31"/>
  <c r="AN9" i="31"/>
  <c r="AN24" i="31"/>
  <c r="AN185" i="31"/>
  <c r="AN135" i="31"/>
  <c r="AN61" i="31"/>
  <c r="AN51" i="31"/>
  <c r="AN177" i="31"/>
  <c r="AN30" i="31"/>
  <c r="AN104" i="31"/>
  <c r="AN120" i="31"/>
  <c r="AN41" i="31"/>
  <c r="AO7" i="31"/>
  <c r="AO26" i="31"/>
  <c r="AO48" i="31"/>
  <c r="AO43" i="31"/>
  <c r="AO79" i="31"/>
  <c r="AO162" i="31"/>
  <c r="AO187" i="31"/>
  <c r="AO35" i="31"/>
  <c r="AO67" i="31"/>
  <c r="AO103" i="31"/>
  <c r="AO111" i="31"/>
  <c r="AO33" i="31"/>
  <c r="AO89" i="31"/>
  <c r="AO195" i="31"/>
  <c r="AO91" i="31"/>
  <c r="AO50" i="31"/>
  <c r="AO147" i="31"/>
  <c r="AO64" i="31"/>
  <c r="AN164" i="31"/>
  <c r="AO96" i="31"/>
  <c r="AO66" i="31"/>
  <c r="AO151" i="31"/>
  <c r="AN28" i="31"/>
  <c r="AO155" i="31"/>
  <c r="AN60" i="31"/>
  <c r="AO159" i="31"/>
  <c r="AO32" i="31"/>
  <c r="AO40" i="31"/>
  <c r="AO115" i="31"/>
  <c r="AN124" i="31"/>
  <c r="AN92" i="31"/>
  <c r="AN156" i="31"/>
  <c r="AN44" i="31"/>
  <c r="AN12" i="31"/>
  <c r="AO123" i="31"/>
  <c r="AN172" i="31"/>
  <c r="AN188" i="31"/>
  <c r="AN148" i="31"/>
  <c r="AO49" i="31"/>
  <c r="AO70" i="31"/>
  <c r="AO18" i="31"/>
  <c r="AN68" i="31"/>
  <c r="AO46" i="31"/>
  <c r="AO17" i="31"/>
  <c r="AN7" i="31"/>
  <c r="AN79" i="31"/>
  <c r="AO199" i="31"/>
  <c r="AN111" i="31"/>
  <c r="AN195" i="31"/>
  <c r="AN64" i="31"/>
  <c r="AN151" i="31"/>
  <c r="AN40" i="31"/>
  <c r="AO94" i="31"/>
  <c r="AN117" i="31"/>
  <c r="AO182" i="31"/>
  <c r="AN144" i="31"/>
  <c r="AO144" i="31"/>
  <c r="AO36" i="31"/>
  <c r="AN199" i="31"/>
  <c r="AO142" i="31"/>
  <c r="AN49" i="31"/>
  <c r="AN109" i="31"/>
  <c r="AO12" i="31"/>
  <c r="AN149" i="31"/>
  <c r="AO126" i="31"/>
  <c r="AN26" i="31"/>
  <c r="AN162" i="31"/>
  <c r="AN67" i="31"/>
  <c r="AN33" i="31"/>
  <c r="AN91" i="31"/>
  <c r="AN159" i="31"/>
  <c r="AN115" i="31"/>
  <c r="AO93" i="31"/>
  <c r="AO44" i="31"/>
  <c r="AN123" i="31"/>
  <c r="AO149" i="31"/>
  <c r="AN126" i="31"/>
  <c r="AO141" i="31"/>
  <c r="AO13" i="31"/>
  <c r="AN70" i="31"/>
  <c r="AN46" i="31"/>
  <c r="AN189" i="31"/>
  <c r="AO61" i="31"/>
  <c r="AO166" i="31"/>
  <c r="AN48" i="31"/>
  <c r="AN187" i="31"/>
  <c r="AN103" i="31"/>
  <c r="AN89" i="31"/>
  <c r="AN50" i="31"/>
  <c r="AN96" i="31"/>
  <c r="AN155" i="31"/>
  <c r="AN32" i="31"/>
  <c r="AN183" i="31"/>
  <c r="AO108" i="31"/>
  <c r="AO69" i="31"/>
  <c r="AO52" i="31"/>
  <c r="AN166" i="31"/>
  <c r="AO174" i="31"/>
  <c r="AO168" i="31"/>
  <c r="AN18" i="31"/>
  <c r="AN118" i="31"/>
  <c r="AN43" i="31"/>
  <c r="AN35" i="31"/>
  <c r="AO200" i="31"/>
  <c r="AO102" i="31"/>
  <c r="AN147" i="31"/>
  <c r="AN66" i="31"/>
  <c r="AO118" i="31"/>
  <c r="AO37" i="31"/>
  <c r="AN168" i="31"/>
  <c r="AN192" i="31"/>
  <c r="AN17" i="31"/>
  <c r="AO180" i="31"/>
  <c r="AN200" i="31"/>
  <c r="AO198" i="31"/>
  <c r="AO5" i="31"/>
  <c r="AL82" i="31"/>
  <c r="AL143" i="31"/>
  <c r="AL196" i="31"/>
  <c r="AL45" i="31"/>
  <c r="AO165" i="31"/>
  <c r="AN8" i="31"/>
  <c r="AN39" i="31"/>
  <c r="AN54" i="31"/>
  <c r="AN47" i="31"/>
  <c r="AN82" i="31"/>
  <c r="AO143" i="31"/>
  <c r="AN196" i="31"/>
  <c r="AO19" i="31"/>
  <c r="AL90" i="31"/>
  <c r="AL58" i="31"/>
  <c r="AL6" i="31"/>
  <c r="AL10" i="31"/>
  <c r="AL163" i="31"/>
  <c r="AL114" i="31"/>
  <c r="AO84" i="31"/>
  <c r="AL202" i="31"/>
  <c r="AL129" i="31"/>
  <c r="AN197" i="31"/>
  <c r="AO14" i="31"/>
  <c r="AN21" i="31"/>
  <c r="AN107" i="31"/>
  <c r="AL101" i="31"/>
  <c r="AL85" i="31"/>
  <c r="AL186" i="31"/>
  <c r="AL197" i="31"/>
  <c r="AO54" i="31"/>
  <c r="AO47" i="31"/>
  <c r="AO82" i="31"/>
  <c r="AL65" i="31"/>
  <c r="AN101" i="31"/>
  <c r="AO85" i="31"/>
  <c r="AO6" i="31"/>
  <c r="AL84" i="31"/>
  <c r="AL15" i="31"/>
  <c r="AO197" i="31"/>
  <c r="AL11" i="31"/>
  <c r="AO62" i="31"/>
  <c r="AN76" i="31"/>
  <c r="AO107" i="31"/>
  <c r="K19" i="3"/>
  <c r="Q19" i="3"/>
  <c r="U19" i="3"/>
  <c r="W19" i="3"/>
  <c r="Y19" i="3"/>
  <c r="S19" i="3"/>
  <c r="O19" i="3"/>
  <c r="M19" i="3"/>
  <c r="L7" i="26"/>
  <c r="C421" i="74" s="1"/>
  <c r="K7" i="26"/>
  <c r="B417" i="74" s="1"/>
  <c r="K5" i="26"/>
  <c r="L5" i="26"/>
  <c r="C415" i="74" s="1"/>
  <c r="Z11" i="11"/>
  <c r="I13" i="1" s="1"/>
  <c r="AK6" i="3" s="1"/>
  <c r="Y29" i="3"/>
  <c r="AK3" i="31"/>
  <c r="AH163" i="31"/>
  <c r="AH62" i="31"/>
  <c r="AH88" i="31"/>
  <c r="AH80" i="31"/>
  <c r="AH101" i="31"/>
  <c r="AH84" i="31"/>
  <c r="AH175" i="31"/>
  <c r="AH31" i="31"/>
  <c r="AH27" i="31"/>
  <c r="AH82" i="31"/>
  <c r="AH107" i="31"/>
  <c r="AH29" i="31"/>
  <c r="AH199" i="31"/>
  <c r="AH137" i="31"/>
  <c r="AH145" i="31"/>
  <c r="AH200" i="31"/>
  <c r="AH161" i="31"/>
  <c r="AH71" i="31"/>
  <c r="AH38" i="31"/>
  <c r="AH195" i="31"/>
  <c r="AH64" i="31"/>
  <c r="AH74" i="31"/>
  <c r="AH32" i="31"/>
  <c r="AH92" i="31"/>
  <c r="AH20" i="31"/>
  <c r="AH117" i="31"/>
  <c r="AH34" i="31"/>
  <c r="AH171" i="31"/>
  <c r="AH168" i="31"/>
  <c r="AH193" i="31"/>
  <c r="AH166" i="31"/>
  <c r="AH177" i="31"/>
  <c r="AH154" i="31"/>
  <c r="AH61" i="31"/>
  <c r="AH179" i="31"/>
  <c r="AH126" i="31"/>
  <c r="AH7" i="31"/>
  <c r="AH79" i="31"/>
  <c r="AH181" i="31"/>
  <c r="AH194" i="31"/>
  <c r="AH30" i="31"/>
  <c r="AH96" i="31"/>
  <c r="AH198" i="31"/>
  <c r="AH12" i="31"/>
  <c r="AH86" i="31"/>
  <c r="AH18" i="31"/>
  <c r="AH133" i="31"/>
  <c r="AH97" i="31"/>
  <c r="AH149" i="31"/>
  <c r="AH151" i="31"/>
  <c r="AH108" i="31"/>
  <c r="AH124" i="31"/>
  <c r="AH127" i="31"/>
  <c r="AH136" i="31"/>
  <c r="AH201" i="31"/>
  <c r="AH42" i="31"/>
  <c r="AH123" i="31"/>
  <c r="AH91" i="31"/>
  <c r="AH160" i="31"/>
  <c r="AH77" i="31"/>
  <c r="AH110" i="31"/>
  <c r="AH93" i="31"/>
  <c r="AH105" i="31"/>
  <c r="AH33" i="31"/>
  <c r="AH83" i="31"/>
  <c r="AH141" i="31"/>
  <c r="AH98" i="31"/>
  <c r="AH104" i="31"/>
  <c r="AH52" i="31"/>
  <c r="AH187" i="31"/>
  <c r="AH66" i="31"/>
  <c r="AH51" i="31"/>
  <c r="AH152" i="31"/>
  <c r="AH120" i="31"/>
  <c r="AH26" i="31"/>
  <c r="AH190" i="31"/>
  <c r="AH23" i="31"/>
  <c r="AH178" i="31"/>
  <c r="AH191" i="31"/>
  <c r="AH119" i="31"/>
  <c r="AH156" i="31"/>
  <c r="AH5" i="31"/>
  <c r="AH69" i="31"/>
  <c r="AH68" i="31"/>
  <c r="AH118" i="31"/>
  <c r="AH35" i="31"/>
  <c r="AH40" i="31"/>
  <c r="AH55" i="31"/>
  <c r="AH155" i="31"/>
  <c r="AH36" i="31"/>
  <c r="AH63" i="31"/>
  <c r="AH106" i="31"/>
  <c r="AH176" i="31"/>
  <c r="AH75" i="31"/>
  <c r="AH89" i="31"/>
  <c r="AH50" i="31"/>
  <c r="AH172" i="31"/>
  <c r="AH142" i="31"/>
  <c r="AH59" i="31"/>
  <c r="AH140" i="31"/>
  <c r="AH95" i="31"/>
  <c r="AH192" i="31"/>
  <c r="AH121" i="31"/>
  <c r="AH115" i="31"/>
  <c r="AH122" i="31"/>
  <c r="AH9" i="31"/>
  <c r="AH73" i="31"/>
  <c r="AH103" i="31"/>
  <c r="AH13" i="31"/>
  <c r="AH60" i="31"/>
  <c r="AH78" i="31"/>
  <c r="AH180" i="31"/>
  <c r="AH48" i="31"/>
  <c r="AH138" i="31"/>
  <c r="AH113" i="31"/>
  <c r="AH146" i="31"/>
  <c r="AH153" i="31"/>
  <c r="AH28" i="31"/>
  <c r="AH37" i="31"/>
  <c r="AH164" i="31"/>
  <c r="AH144" i="31"/>
  <c r="AH46" i="31"/>
  <c r="AH49" i="31"/>
  <c r="AH24" i="31"/>
  <c r="AH99" i="31"/>
  <c r="AH17" i="31"/>
  <c r="AH184" i="31"/>
  <c r="AH130" i="31"/>
  <c r="AH174" i="31"/>
  <c r="AH25" i="31"/>
  <c r="AH157" i="31"/>
  <c r="AH131" i="31"/>
  <c r="AH102" i="31"/>
  <c r="AH147" i="31"/>
  <c r="AH111" i="31"/>
  <c r="AH159" i="31"/>
  <c r="AH94" i="31"/>
  <c r="AH182" i="31"/>
  <c r="AH173" i="31"/>
  <c r="AH109" i="31"/>
  <c r="AH72" i="31"/>
  <c r="AH22" i="31"/>
  <c r="AH170" i="31"/>
  <c r="AH188" i="31"/>
  <c r="AH183" i="31"/>
  <c r="AH185" i="31"/>
  <c r="AH189" i="31"/>
  <c r="AH135" i="31"/>
  <c r="AH41" i="31"/>
  <c r="AH43" i="31"/>
  <c r="AH134" i="31"/>
  <c r="AH81" i="31"/>
  <c r="AH100" i="31"/>
  <c r="AH125" i="31"/>
  <c r="AH167" i="31"/>
  <c r="AH44" i="31"/>
  <c r="AH150" i="31"/>
  <c r="AH70" i="31"/>
  <c r="AH148" i="31"/>
  <c r="AH162" i="31"/>
  <c r="AH128" i="31"/>
  <c r="AH67" i="31"/>
  <c r="AH116" i="31"/>
  <c r="AH76" i="31"/>
  <c r="AH19" i="31"/>
  <c r="AH202" i="31"/>
  <c r="AH10" i="31"/>
  <c r="AH112" i="31"/>
  <c r="AH11" i="31"/>
  <c r="AH132" i="31"/>
  <c r="AH169" i="31"/>
  <c r="AH16" i="31"/>
  <c r="AH158" i="31"/>
  <c r="AH114" i="31"/>
  <c r="AH85" i="31"/>
  <c r="AH45" i="31"/>
  <c r="AH57" i="31"/>
  <c r="AH8" i="31"/>
  <c r="AH6" i="31"/>
  <c r="AH21" i="31"/>
  <c r="AH56" i="31"/>
  <c r="AH53" i="31"/>
  <c r="AH139" i="31"/>
  <c r="AH90" i="31"/>
  <c r="AH186" i="31"/>
  <c r="AH58" i="31"/>
  <c r="AH129" i="31"/>
  <c r="AH143" i="31"/>
  <c r="AH65" i="31"/>
  <c r="AH39" i="31"/>
  <c r="AH165" i="31"/>
  <c r="AH87" i="31"/>
  <c r="AH54" i="31"/>
  <c r="AH47" i="31"/>
  <c r="AH196" i="31"/>
  <c r="AH15" i="31"/>
  <c r="AH197" i="31"/>
  <c r="AH14" i="31"/>
  <c r="AD105" i="31"/>
  <c r="C44" i="3"/>
  <c r="S44" i="3" s="1"/>
  <c r="EV204" i="23"/>
  <c r="Z201" i="31"/>
  <c r="R122" i="31"/>
  <c r="R91" i="31"/>
  <c r="Y45" i="3"/>
  <c r="AD170" i="31"/>
  <c r="Y41" i="3"/>
  <c r="Y43" i="3"/>
  <c r="Q132" i="31"/>
  <c r="AI4" i="73"/>
  <c r="AI3" i="73"/>
  <c r="AI2" i="73"/>
  <c r="AI5" i="73"/>
  <c r="AI8" i="73"/>
  <c r="AI7" i="73"/>
  <c r="AI6" i="73"/>
  <c r="N1" i="49"/>
  <c r="C34" i="49"/>
  <c r="F1" i="49"/>
  <c r="F17" i="49" s="1"/>
  <c r="H1" i="49"/>
  <c r="H17" i="49" s="1"/>
  <c r="G1" i="49"/>
  <c r="G17" i="49" s="1"/>
  <c r="U29" i="3"/>
  <c r="M1" i="49"/>
  <c r="Q29" i="3"/>
  <c r="S29" i="3"/>
  <c r="K29" i="3"/>
  <c r="O29" i="3"/>
  <c r="M29" i="3"/>
  <c r="W29" i="3"/>
  <c r="C30" i="3"/>
  <c r="O30" i="3" s="1"/>
  <c r="CT23" i="71"/>
  <c r="CV22" i="71"/>
  <c r="CW23" i="71" s="1"/>
  <c r="DV22" i="71"/>
  <c r="EC22" i="71" s="1"/>
  <c r="D8" i="2"/>
  <c r="P8" i="2"/>
  <c r="O43" i="3"/>
  <c r="Q43" i="3"/>
  <c r="W43" i="3"/>
  <c r="S43" i="3"/>
  <c r="U43" i="3"/>
  <c r="U42" i="3"/>
  <c r="O45" i="3"/>
  <c r="S45" i="3"/>
  <c r="W45" i="3"/>
  <c r="Q45" i="3"/>
  <c r="U45" i="3"/>
  <c r="O41" i="3"/>
  <c r="W41" i="3"/>
  <c r="S41" i="3"/>
  <c r="Q41" i="3"/>
  <c r="U41" i="3"/>
  <c r="K42" i="3"/>
  <c r="K45" i="3"/>
  <c r="M45" i="3"/>
  <c r="M41" i="3"/>
  <c r="K41" i="3"/>
  <c r="K43" i="3"/>
  <c r="M43" i="3"/>
  <c r="N8" i="2"/>
  <c r="M8" i="2"/>
  <c r="L8" i="2"/>
  <c r="K8" i="2"/>
  <c r="J8" i="2"/>
  <c r="A9" i="2"/>
  <c r="I8" i="2"/>
  <c r="O8" i="2"/>
  <c r="N17" i="49"/>
  <c r="Y95" i="49"/>
  <c r="B12" i="60" s="1"/>
  <c r="Y94" i="49"/>
  <c r="B11" i="60" s="1"/>
  <c r="P187" i="31"/>
  <c r="R53" i="31"/>
  <c r="AI118" i="31"/>
  <c r="O10" i="31"/>
  <c r="P42" i="31"/>
  <c r="AD179" i="31"/>
  <c r="AD19" i="31"/>
  <c r="Q48" i="31"/>
  <c r="P34" i="31"/>
  <c r="AE44" i="31"/>
  <c r="AI29" i="31"/>
  <c r="O28" i="31"/>
  <c r="AI60" i="31"/>
  <c r="O51" i="31"/>
  <c r="O81" i="31"/>
  <c r="AD82" i="31"/>
  <c r="Q15" i="31"/>
  <c r="R81" i="31"/>
  <c r="R82" i="31"/>
  <c r="AD20" i="31"/>
  <c r="Q55" i="31"/>
  <c r="AD21" i="31"/>
  <c r="Q64" i="31"/>
  <c r="O129" i="31"/>
  <c r="P125" i="31"/>
  <c r="Q21" i="31"/>
  <c r="O20" i="31"/>
  <c r="AI63" i="31"/>
  <c r="O14" i="31"/>
  <c r="P56" i="31"/>
  <c r="P52" i="31"/>
  <c r="P63" i="31"/>
  <c r="AE127" i="31"/>
  <c r="AI14" i="31"/>
  <c r="O21" i="31"/>
  <c r="P79" i="31"/>
  <c r="AI123" i="31"/>
  <c r="Q202" i="31"/>
  <c r="R16" i="31"/>
  <c r="R168" i="31"/>
  <c r="AI162" i="31"/>
  <c r="O122" i="31"/>
  <c r="Q129" i="31"/>
  <c r="Q175" i="31"/>
  <c r="AI41" i="31"/>
  <c r="Q174" i="31"/>
  <c r="P186" i="31"/>
  <c r="AI147" i="31"/>
  <c r="P145" i="31"/>
  <c r="P92" i="31"/>
  <c r="AI190" i="31"/>
  <c r="AD98" i="31"/>
  <c r="P117" i="31"/>
  <c r="AI152" i="31"/>
  <c r="AD201" i="31"/>
  <c r="O48" i="31"/>
  <c r="AE96" i="31"/>
  <c r="AE8" i="31"/>
  <c r="P198" i="31"/>
  <c r="O189" i="31"/>
  <c r="O98" i="31"/>
  <c r="AI181" i="31"/>
  <c r="AE153" i="31"/>
  <c r="AD112" i="31"/>
  <c r="O173" i="31"/>
  <c r="AE176" i="31"/>
  <c r="AD145" i="31"/>
  <c r="R92" i="31"/>
  <c r="O130" i="31"/>
  <c r="O41" i="31"/>
  <c r="AD8" i="31"/>
  <c r="AE126" i="31"/>
  <c r="AE172" i="31"/>
  <c r="AI120" i="31"/>
  <c r="P118" i="31"/>
  <c r="R139" i="31"/>
  <c r="AE42" i="31"/>
  <c r="AE28" i="31"/>
  <c r="O42" i="31"/>
  <c r="AE34" i="31"/>
  <c r="P95" i="31"/>
  <c r="Q57" i="31"/>
  <c r="R52" i="31"/>
  <c r="AE64" i="31"/>
  <c r="AI32" i="31"/>
  <c r="R42" i="31"/>
  <c r="AD16" i="31"/>
  <c r="O47" i="31"/>
  <c r="AE122" i="31"/>
  <c r="Q52" i="31"/>
  <c r="Q63" i="31"/>
  <c r="AE125" i="31"/>
  <c r="P14" i="31"/>
  <c r="AI51" i="31"/>
  <c r="AD162" i="31"/>
  <c r="AD57" i="31"/>
  <c r="Q10" i="31"/>
  <c r="AD63" i="31"/>
  <c r="AE20" i="31"/>
  <c r="AE51" i="31"/>
  <c r="Q123" i="31"/>
  <c r="AI58" i="31"/>
  <c r="Q51" i="31"/>
  <c r="R162" i="31"/>
  <c r="AD47" i="31"/>
  <c r="R19" i="31"/>
  <c r="AD125" i="31"/>
  <c r="AI127" i="31"/>
  <c r="O157" i="31"/>
  <c r="Q134" i="31"/>
  <c r="AD96" i="31"/>
  <c r="AI145" i="31"/>
  <c r="O167" i="31"/>
  <c r="R148" i="31"/>
  <c r="R112" i="31"/>
  <c r="Q118" i="31"/>
  <c r="AD192" i="31"/>
  <c r="R167" i="31"/>
  <c r="Q91" i="31"/>
  <c r="AI108" i="31"/>
  <c r="AE138" i="31"/>
  <c r="AD186" i="31"/>
  <c r="R147" i="31"/>
  <c r="R126" i="31"/>
  <c r="AE189" i="31"/>
  <c r="AE98" i="31"/>
  <c r="Q153" i="31"/>
  <c r="AE112" i="31"/>
  <c r="R188" i="31"/>
  <c r="AI113" i="31"/>
  <c r="R195" i="31"/>
  <c r="P146" i="31"/>
  <c r="P132" i="31"/>
  <c r="Q112" i="31"/>
  <c r="AD188" i="31"/>
  <c r="AE145" i="31"/>
  <c r="AD92" i="31"/>
  <c r="O136" i="31"/>
  <c r="AD200" i="31"/>
  <c r="AE163" i="31"/>
  <c r="R134" i="31"/>
  <c r="AD169" i="31"/>
  <c r="O139" i="31"/>
  <c r="AE133" i="31"/>
  <c r="Q145" i="31"/>
  <c r="O182" i="31"/>
  <c r="O170" i="31"/>
  <c r="AI98" i="31"/>
  <c r="R187" i="31"/>
  <c r="AE152" i="31"/>
  <c r="AD120" i="31"/>
  <c r="R114" i="31"/>
  <c r="P27" i="31"/>
  <c r="Q198" i="31"/>
  <c r="AE182" i="31"/>
  <c r="O146" i="31"/>
  <c r="AD160" i="31"/>
  <c r="P174" i="31"/>
  <c r="R37" i="31"/>
  <c r="O179" i="31"/>
  <c r="Q130" i="31"/>
  <c r="P105" i="31"/>
  <c r="AD26" i="31"/>
  <c r="AE116" i="31"/>
  <c r="R32" i="31"/>
  <c r="Q29" i="31"/>
  <c r="R60" i="31"/>
  <c r="Q32" i="31"/>
  <c r="AI16" i="31"/>
  <c r="AE56" i="31"/>
  <c r="P85" i="31"/>
  <c r="AD15" i="31"/>
  <c r="P55" i="31"/>
  <c r="P162" i="31"/>
  <c r="AD10" i="31"/>
  <c r="AI85" i="31"/>
  <c r="AD81" i="31"/>
  <c r="Q162" i="31"/>
  <c r="P51" i="31"/>
  <c r="Q79" i="31"/>
  <c r="P15" i="31"/>
  <c r="AD127" i="31"/>
  <c r="O75" i="31"/>
  <c r="P19" i="31"/>
  <c r="AD51" i="31"/>
  <c r="P81" i="31"/>
  <c r="AE123" i="31"/>
  <c r="R14" i="31"/>
  <c r="R10" i="31"/>
  <c r="R63" i="31"/>
  <c r="P58" i="31"/>
  <c r="AD79" i="31"/>
  <c r="Q82" i="31"/>
  <c r="AE165" i="31"/>
  <c r="AD176" i="31"/>
  <c r="R130" i="31"/>
  <c r="O132" i="31"/>
  <c r="AE48" i="31"/>
  <c r="AI188" i="31"/>
  <c r="R116" i="31"/>
  <c r="AD147" i="31"/>
  <c r="AE148" i="31"/>
  <c r="O186" i="31"/>
  <c r="P113" i="31"/>
  <c r="R132" i="31"/>
  <c r="R182" i="31"/>
  <c r="O200" i="31"/>
  <c r="P48" i="31"/>
  <c r="R8" i="31"/>
  <c r="AD187" i="31"/>
  <c r="AE85" i="31"/>
  <c r="AE168" i="31"/>
  <c r="O162" i="31"/>
  <c r="O96" i="31"/>
  <c r="AI95" i="31"/>
  <c r="AD148" i="31"/>
  <c r="AE114" i="31"/>
  <c r="Q179" i="31"/>
  <c r="Q170" i="31"/>
  <c r="P108" i="31"/>
  <c r="R190" i="31"/>
  <c r="Q98" i="31"/>
  <c r="AD48" i="31"/>
  <c r="O147" i="31"/>
  <c r="AD190" i="31"/>
  <c r="Q148" i="31"/>
  <c r="R176" i="31"/>
  <c r="Q192" i="31"/>
  <c r="AE170" i="31"/>
  <c r="AD111" i="31"/>
  <c r="Q152" i="31"/>
  <c r="AI189" i="31"/>
  <c r="AD143" i="31"/>
  <c r="R153" i="31"/>
  <c r="Q160" i="31"/>
  <c r="R5" i="31"/>
  <c r="AE60" i="31"/>
  <c r="O44" i="31"/>
  <c r="O117" i="31"/>
  <c r="AE29" i="31"/>
  <c r="Q14" i="31"/>
  <c r="Q53" i="31"/>
  <c r="AE81" i="31"/>
  <c r="AI129" i="31"/>
  <c r="AD168" i="31"/>
  <c r="Q56" i="31"/>
  <c r="O77" i="31"/>
  <c r="AD75" i="31"/>
  <c r="O125" i="31"/>
  <c r="AD17" i="31"/>
  <c r="R21" i="31"/>
  <c r="O55" i="31"/>
  <c r="Q135" i="31"/>
  <c r="O56" i="31"/>
  <c r="AE55" i="31"/>
  <c r="O85" i="31"/>
  <c r="R135" i="31"/>
  <c r="AE47" i="31"/>
  <c r="Q20" i="31"/>
  <c r="R127" i="31"/>
  <c r="R17" i="31"/>
  <c r="O15" i="31"/>
  <c r="AE63" i="31"/>
  <c r="P75" i="31"/>
  <c r="AE135" i="31"/>
  <c r="R165" i="31"/>
  <c r="R47" i="31"/>
  <c r="O164" i="31"/>
  <c r="P164" i="31"/>
  <c r="AD135" i="31"/>
  <c r="AI202" i="31"/>
  <c r="O163" i="31"/>
  <c r="AE18" i="31"/>
  <c r="O114" i="31"/>
  <c r="P147" i="31"/>
  <c r="AE113" i="31"/>
  <c r="R189" i="31"/>
  <c r="AE95" i="31"/>
  <c r="AE157" i="31"/>
  <c r="Q120" i="31"/>
  <c r="AD18" i="31"/>
  <c r="Q114" i="31"/>
  <c r="O176" i="31"/>
  <c r="AD130" i="31"/>
  <c r="R163" i="31"/>
  <c r="O112" i="31"/>
  <c r="AI139" i="31"/>
  <c r="AI133" i="31"/>
  <c r="O192" i="31"/>
  <c r="AE167" i="31"/>
  <c r="AI174" i="31"/>
  <c r="AD133" i="31"/>
  <c r="AE192" i="31"/>
  <c r="O190" i="31"/>
  <c r="AI143" i="31"/>
  <c r="P120" i="31"/>
  <c r="AI199" i="31"/>
  <c r="AI114" i="31"/>
  <c r="AI179" i="31"/>
  <c r="AD182" i="31"/>
  <c r="R111" i="31"/>
  <c r="O181" i="31"/>
  <c r="AI153" i="31"/>
  <c r="R48" i="31"/>
  <c r="AI109" i="31"/>
  <c r="R113" i="31"/>
  <c r="AE136" i="31"/>
  <c r="R175" i="31"/>
  <c r="AE108" i="31"/>
  <c r="AI201" i="31"/>
  <c r="R199" i="31"/>
  <c r="AD173" i="31"/>
  <c r="AI8" i="31"/>
  <c r="Q126" i="31"/>
  <c r="P189" i="31"/>
  <c r="P98" i="31"/>
  <c r="AE200" i="31"/>
  <c r="AI148" i="31"/>
  <c r="AI112" i="31"/>
  <c r="AD141" i="31"/>
  <c r="R150" i="31"/>
  <c r="R136" i="31"/>
  <c r="AI116" i="31"/>
  <c r="R29" i="31"/>
  <c r="R117" i="31"/>
  <c r="AD32" i="31"/>
  <c r="P29" i="31"/>
  <c r="AI34" i="31"/>
  <c r="AD95" i="31"/>
  <c r="Q26" i="31"/>
  <c r="AD116" i="31"/>
  <c r="AD44" i="31"/>
  <c r="O17" i="31"/>
  <c r="O53" i="31"/>
  <c r="AE58" i="31"/>
  <c r="AD129" i="31"/>
  <c r="O202" i="31"/>
  <c r="AE53" i="31"/>
  <c r="AE77" i="31"/>
  <c r="AI82" i="31"/>
  <c r="O127" i="31"/>
  <c r="P57" i="31"/>
  <c r="Q168" i="31"/>
  <c r="Q127" i="31"/>
  <c r="Q81" i="31"/>
  <c r="AE129" i="31"/>
  <c r="Q125" i="31"/>
  <c r="AD56" i="31"/>
  <c r="O57" i="31"/>
  <c r="AI19" i="31"/>
  <c r="O63" i="31"/>
  <c r="R125" i="31"/>
  <c r="P17" i="31"/>
  <c r="AI64" i="31"/>
  <c r="O135" i="31"/>
  <c r="P165" i="31"/>
  <c r="O168" i="31"/>
  <c r="AD14" i="31"/>
  <c r="O187" i="31"/>
  <c r="AD153" i="31"/>
  <c r="AE199" i="31"/>
  <c r="Q173" i="31"/>
  <c r="AD109" i="31"/>
  <c r="Q113" i="31"/>
  <c r="AD189" i="31"/>
  <c r="Q146" i="31"/>
  <c r="O201" i="31"/>
  <c r="R186" i="31"/>
  <c r="AE150" i="31"/>
  <c r="P136" i="31"/>
  <c r="AD175" i="31"/>
  <c r="O148" i="31"/>
  <c r="P139" i="31"/>
  <c r="AE109" i="31"/>
  <c r="AI172" i="31"/>
  <c r="Q167" i="31"/>
  <c r="AI111" i="31"/>
  <c r="Q201" i="31"/>
  <c r="AE174" i="31"/>
  <c r="AI173" i="31"/>
  <c r="Q133" i="31"/>
  <c r="AI167" i="31"/>
  <c r="P143" i="31"/>
  <c r="AD152" i="31"/>
  <c r="AE41" i="31"/>
  <c r="P199" i="31"/>
  <c r="P114" i="31"/>
  <c r="AE147" i="31"/>
  <c r="P179" i="31"/>
  <c r="AD195" i="31"/>
  <c r="Q105" i="31"/>
  <c r="AE132" i="31"/>
  <c r="AI48" i="31"/>
  <c r="AI96" i="31"/>
  <c r="P8" i="31"/>
  <c r="P109" i="31"/>
  <c r="AE195" i="31"/>
  <c r="AI136" i="31"/>
  <c r="Q95" i="31"/>
  <c r="AD163" i="31"/>
  <c r="P201" i="31"/>
  <c r="AD199" i="31"/>
  <c r="AE173" i="31"/>
  <c r="AE188" i="31"/>
  <c r="AD113" i="31"/>
  <c r="Q195" i="31"/>
  <c r="O111" i="31"/>
  <c r="P148" i="31"/>
  <c r="P112" i="31"/>
  <c r="O141" i="31"/>
  <c r="AD128" i="31"/>
  <c r="AD126" i="31"/>
  <c r="AD150" i="31"/>
  <c r="AE146" i="31"/>
  <c r="P116" i="31"/>
  <c r="O34" i="31"/>
  <c r="P111" i="31"/>
  <c r="R34" i="31"/>
  <c r="AI44" i="31"/>
  <c r="AD117" i="31"/>
  <c r="R26" i="31"/>
  <c r="R58" i="31"/>
  <c r="O19" i="31"/>
  <c r="AE16" i="31"/>
  <c r="R164" i="31"/>
  <c r="R51" i="31"/>
  <c r="AE15" i="31"/>
  <c r="AE57" i="31"/>
  <c r="P64" i="31"/>
  <c r="Q165" i="31"/>
  <c r="AE164" i="31"/>
  <c r="AE10" i="31"/>
  <c r="P175" i="31"/>
  <c r="AI169" i="31"/>
  <c r="AD37" i="31"/>
  <c r="AE187" i="31"/>
  <c r="P134" i="31"/>
  <c r="AD181" i="31"/>
  <c r="Q37" i="31"/>
  <c r="AI134" i="31"/>
  <c r="Q128" i="31"/>
  <c r="O172" i="31"/>
  <c r="AI175" i="31"/>
  <c r="O134" i="31"/>
  <c r="Q186" i="31"/>
  <c r="Q116" i="31"/>
  <c r="R173" i="31"/>
  <c r="AI37" i="31"/>
  <c r="Q190" i="31"/>
  <c r="Q117" i="31"/>
  <c r="P153" i="31"/>
  <c r="R169" i="31"/>
  <c r="P176" i="31"/>
  <c r="R157" i="31"/>
  <c r="O18" i="31"/>
  <c r="AI186" i="31"/>
  <c r="P192" i="31"/>
  <c r="O143" i="31"/>
  <c r="AD34" i="31"/>
  <c r="AE105" i="31"/>
  <c r="O116" i="31"/>
  <c r="AD60" i="31"/>
  <c r="Q16" i="31"/>
  <c r="R64" i="31"/>
  <c r="P16" i="31"/>
  <c r="AI81" i="31"/>
  <c r="P202" i="31"/>
  <c r="AE14" i="31"/>
  <c r="O16" i="31"/>
  <c r="P47" i="31"/>
  <c r="AI15" i="31"/>
  <c r="AD85" i="31"/>
  <c r="P53" i="31"/>
  <c r="AI75" i="31"/>
  <c r="R15" i="31"/>
  <c r="P20" i="31"/>
  <c r="AE141" i="31"/>
  <c r="O37" i="31"/>
  <c r="Q187" i="31"/>
  <c r="AE160" i="31"/>
  <c r="AI195" i="31"/>
  <c r="O174" i="31"/>
  <c r="R145" i="31"/>
  <c r="P21" i="31"/>
  <c r="R75" i="31"/>
  <c r="Q47" i="31"/>
  <c r="AD164" i="31"/>
  <c r="AI77" i="31"/>
  <c r="AI57" i="31"/>
  <c r="Q75" i="31"/>
  <c r="AI17" i="31"/>
  <c r="AD53" i="31"/>
  <c r="AD123" i="31"/>
  <c r="AI53" i="31"/>
  <c r="Q85" i="31"/>
  <c r="O64" i="31"/>
  <c r="AD157" i="31"/>
  <c r="AE118" i="31"/>
  <c r="P190" i="31"/>
  <c r="O160" i="31"/>
  <c r="O27" i="31"/>
  <c r="P195" i="31"/>
  <c r="Q157" i="31"/>
  <c r="Q96" i="31"/>
  <c r="P126" i="31"/>
  <c r="R160" i="31"/>
  <c r="Q189" i="31"/>
  <c r="R181" i="31"/>
  <c r="AI160" i="31"/>
  <c r="R200" i="31"/>
  <c r="AI138" i="31"/>
  <c r="AD139" i="31"/>
  <c r="AE198" i="31"/>
  <c r="AD167" i="31"/>
  <c r="P26" i="31"/>
  <c r="R120" i="31"/>
  <c r="R118" i="31"/>
  <c r="P133" i="31"/>
  <c r="Q136" i="31"/>
  <c r="O199" i="31"/>
  <c r="Q172" i="31"/>
  <c r="AE111" i="31"/>
  <c r="R28" i="31"/>
  <c r="AI42" i="31"/>
  <c r="AI28" i="31"/>
  <c r="AD42" i="31"/>
  <c r="Q19" i="31"/>
  <c r="AI164" i="31"/>
  <c r="P129" i="31"/>
  <c r="P168" i="31"/>
  <c r="AD58" i="31"/>
  <c r="AI55" i="31"/>
  <c r="AI125" i="31"/>
  <c r="R85" i="31"/>
  <c r="AI168" i="31"/>
  <c r="AI52" i="31"/>
  <c r="O82" i="31"/>
  <c r="O79" i="31"/>
  <c r="R56" i="31"/>
  <c r="AE120" i="31"/>
  <c r="O128" i="31"/>
  <c r="R192" i="31"/>
  <c r="AE143" i="31"/>
  <c r="P152" i="31"/>
  <c r="Q199" i="31"/>
  <c r="O133" i="31"/>
  <c r="AE27" i="31"/>
  <c r="P172" i="31"/>
  <c r="AI200" i="31"/>
  <c r="R198" i="31"/>
  <c r="O152" i="31"/>
  <c r="P169" i="31"/>
  <c r="R133" i="31"/>
  <c r="O195" i="31"/>
  <c r="AI157" i="31"/>
  <c r="AI18" i="31"/>
  <c r="O188" i="31"/>
  <c r="AD172" i="31"/>
  <c r="R146" i="31"/>
  <c r="AE181" i="31"/>
  <c r="P138" i="31"/>
  <c r="P128" i="31"/>
  <c r="O120" i="31"/>
  <c r="O169" i="31"/>
  <c r="Q182" i="31"/>
  <c r="AI105" i="31"/>
  <c r="AE32" i="31"/>
  <c r="O32" i="31"/>
  <c r="O91" i="31"/>
  <c r="Q42" i="31"/>
  <c r="P91" i="31"/>
  <c r="AI10" i="31"/>
  <c r="P123" i="31"/>
  <c r="R55" i="31"/>
  <c r="R123" i="31"/>
  <c r="AI56" i="31"/>
  <c r="R129" i="31"/>
  <c r="P10" i="31"/>
  <c r="P82" i="31"/>
  <c r="Q77" i="31"/>
  <c r="AD77" i="31"/>
  <c r="AE202" i="31"/>
  <c r="AD52" i="31"/>
  <c r="AE21" i="31"/>
  <c r="AE162" i="31"/>
  <c r="O58" i="31"/>
  <c r="P41" i="31"/>
  <c r="R27" i="31"/>
  <c r="AE179" i="31"/>
  <c r="Q143" i="31"/>
  <c r="AD174" i="31"/>
  <c r="AE37" i="31"/>
  <c r="R41" i="31"/>
  <c r="Q8" i="31"/>
  <c r="Q150" i="31"/>
  <c r="P200" i="31"/>
  <c r="AD198" i="31"/>
  <c r="AI130" i="31"/>
  <c r="R108" i="31"/>
  <c r="AI141" i="31"/>
  <c r="P157" i="31"/>
  <c r="P18" i="31"/>
  <c r="AI150" i="31"/>
  <c r="AD146" i="31"/>
  <c r="AD132" i="31"/>
  <c r="AD134" i="31"/>
  <c r="R128" i="31"/>
  <c r="AI192" i="31"/>
  <c r="AI91" i="31"/>
  <c r="AD118" i="31"/>
  <c r="R109" i="31"/>
  <c r="O29" i="31"/>
  <c r="Q44" i="31"/>
  <c r="AI170" i="31"/>
  <c r="P150" i="31"/>
  <c r="AI132" i="31"/>
  <c r="AE139" i="31"/>
  <c r="AD91" i="31"/>
  <c r="O118" i="31"/>
  <c r="P32" i="31"/>
  <c r="Q34" i="31"/>
  <c r="AI21" i="31"/>
  <c r="AD122" i="31"/>
  <c r="R20" i="31"/>
  <c r="Q164" i="31"/>
  <c r="AE82" i="31"/>
  <c r="AE19" i="31"/>
  <c r="O52" i="31"/>
  <c r="AD165" i="31"/>
  <c r="R201" i="31"/>
  <c r="AD27" i="31"/>
  <c r="O150" i="31"/>
  <c r="Q111" i="31"/>
  <c r="Q169" i="31"/>
  <c r="AI198" i="31"/>
  <c r="R105" i="31"/>
  <c r="AD41" i="31"/>
  <c r="P188" i="31"/>
  <c r="AI182" i="31"/>
  <c r="O175" i="31"/>
  <c r="O145" i="31"/>
  <c r="AD136" i="31"/>
  <c r="AD108" i="31"/>
  <c r="P141" i="31"/>
  <c r="O108" i="31"/>
  <c r="R174" i="31"/>
  <c r="Q176" i="31"/>
  <c r="R143" i="31"/>
  <c r="P160" i="31"/>
  <c r="R179" i="31"/>
  <c r="AI26" i="31"/>
  <c r="AD29" i="31"/>
  <c r="Q147" i="31"/>
  <c r="P135" i="31"/>
  <c r="P60" i="31"/>
  <c r="Q108" i="31"/>
  <c r="AE117" i="31"/>
  <c r="P170" i="31"/>
  <c r="Q27" i="31"/>
  <c r="P182" i="31"/>
  <c r="O126" i="31"/>
  <c r="AI92" i="31"/>
  <c r="Q17" i="31"/>
  <c r="AI165" i="31"/>
  <c r="P122" i="31"/>
  <c r="AI122" i="31"/>
  <c r="AD28" i="31"/>
  <c r="R138" i="31"/>
  <c r="AE91" i="31"/>
  <c r="P130" i="31"/>
  <c r="AI20" i="31"/>
  <c r="P44" i="31"/>
  <c r="O105" i="31"/>
  <c r="O113" i="31"/>
  <c r="AI27" i="31"/>
  <c r="AE128" i="31"/>
  <c r="Q60" i="31"/>
  <c r="R44" i="31"/>
  <c r="AI126" i="31"/>
  <c r="Q181" i="31"/>
  <c r="R141" i="31"/>
  <c r="P96" i="31"/>
  <c r="Q163" i="31"/>
  <c r="P173" i="31"/>
  <c r="Q109" i="31"/>
  <c r="AI128" i="31"/>
  <c r="O109" i="31"/>
  <c r="AD202" i="31"/>
  <c r="AE75" i="31"/>
  <c r="AD55" i="31"/>
  <c r="R77" i="31"/>
  <c r="Q28" i="31"/>
  <c r="S125" i="31"/>
  <c r="O26" i="31"/>
  <c r="Q139" i="31"/>
  <c r="P167" i="31"/>
  <c r="R172" i="31"/>
  <c r="AE175" i="31"/>
  <c r="AI176" i="31"/>
  <c r="Q141" i="31"/>
  <c r="O8" i="31"/>
  <c r="AI79" i="31"/>
  <c r="AE79" i="31"/>
  <c r="Q58" i="31"/>
  <c r="AE52" i="31"/>
  <c r="AE190" i="31"/>
  <c r="O198" i="31"/>
  <c r="AI187" i="31"/>
  <c r="AE134" i="31"/>
  <c r="Q18" i="31"/>
  <c r="O138" i="31"/>
  <c r="AE169" i="31"/>
  <c r="O165" i="31"/>
  <c r="R57" i="31"/>
  <c r="R202" i="31"/>
  <c r="Q188" i="31"/>
  <c r="O95" i="31"/>
  <c r="R98" i="31"/>
  <c r="Q41" i="31"/>
  <c r="AI146" i="31"/>
  <c r="Q138" i="31"/>
  <c r="AE201" i="31"/>
  <c r="O153" i="31"/>
  <c r="AD138" i="31"/>
  <c r="P127" i="31"/>
  <c r="AE17" i="31"/>
  <c r="O123" i="31"/>
  <c r="Q122" i="31"/>
  <c r="O60" i="31"/>
  <c r="AI135" i="31"/>
  <c r="P28" i="31"/>
  <c r="AD114" i="31"/>
  <c r="R95" i="31"/>
  <c r="R96" i="31"/>
  <c r="R170" i="31"/>
  <c r="Q92" i="31"/>
  <c r="AE26" i="31"/>
  <c r="AE130" i="31"/>
  <c r="R18" i="31"/>
  <c r="AE92" i="31"/>
  <c r="AI163" i="31"/>
  <c r="P37" i="31"/>
  <c r="P163" i="31"/>
  <c r="AE186" i="31"/>
  <c r="O92" i="31"/>
  <c r="R152" i="31"/>
  <c r="P181" i="31"/>
  <c r="AI117" i="31"/>
  <c r="Q200" i="31"/>
  <c r="AD64" i="31"/>
  <c r="P77" i="31"/>
  <c r="AI47" i="31"/>
  <c r="R79" i="31"/>
  <c r="ES204" i="23"/>
  <c r="Z77" i="31"/>
  <c r="V10" i="31"/>
  <c r="W172" i="31"/>
  <c r="X39" i="31"/>
  <c r="K6" i="26"/>
  <c r="Z108" i="31"/>
  <c r="V71" i="13"/>
  <c r="E24" i="1" s="1"/>
  <c r="N25" i="39"/>
  <c r="N26" i="39"/>
  <c r="X139" i="31"/>
  <c r="V169" i="31"/>
  <c r="AC26" i="31"/>
  <c r="Z55" i="31"/>
  <c r="U96" i="31"/>
  <c r="C10" i="3"/>
  <c r="N3" i="31"/>
  <c r="N30" i="31" s="1"/>
  <c r="C4" i="49"/>
  <c r="K8" i="26"/>
  <c r="B415" i="74"/>
  <c r="B419" i="74"/>
  <c r="W34" i="31"/>
  <c r="W28" i="31"/>
  <c r="C20" i="49"/>
  <c r="L8" i="26"/>
  <c r="L6" i="26"/>
  <c r="C417" i="74"/>
  <c r="M98" i="49"/>
  <c r="M92" i="49"/>
  <c r="G99" i="49"/>
  <c r="X85" i="31"/>
  <c r="S60" i="31"/>
  <c r="Z26" i="31"/>
  <c r="Z136" i="31"/>
  <c r="Z17" i="31"/>
  <c r="Z82" i="31"/>
  <c r="S91" i="31"/>
  <c r="O281" i="31" s="1"/>
  <c r="AU281" i="31" s="1"/>
  <c r="S130" i="31"/>
  <c r="O314" i="31" s="1"/>
  <c r="AU314" i="31" s="1"/>
  <c r="S58" i="31"/>
  <c r="O254" i="31" s="1"/>
  <c r="AU254" i="31" s="1"/>
  <c r="AV254" i="31" s="1"/>
  <c r="S191" i="31"/>
  <c r="O368" i="31" s="1"/>
  <c r="AU368" i="31" s="1"/>
  <c r="X11" i="31"/>
  <c r="X21" i="31"/>
  <c r="X87" i="31"/>
  <c r="S117" i="31"/>
  <c r="O303" i="31" s="1"/>
  <c r="AU303" i="31" s="1"/>
  <c r="S153" i="31"/>
  <c r="O335" i="31" s="1"/>
  <c r="AU335" i="31" s="1"/>
  <c r="S123" i="31"/>
  <c r="O308" i="31" s="1"/>
  <c r="AU308" i="31" s="1"/>
  <c r="BD308" i="31" s="1"/>
  <c r="Z114" i="31"/>
  <c r="Z190" i="31"/>
  <c r="Z135" i="31"/>
  <c r="S32" i="31"/>
  <c r="O230" i="31" s="1"/>
  <c r="AU230" i="31" s="1"/>
  <c r="S116" i="31"/>
  <c r="O302" i="31" s="1"/>
  <c r="AU302" i="31" s="1"/>
  <c r="S187" i="31"/>
  <c r="O364" i="31" s="1"/>
  <c r="AU364" i="31" s="1"/>
  <c r="S127" i="31"/>
  <c r="O311" i="31" s="1"/>
  <c r="AU311" i="31" s="1"/>
  <c r="S65" i="31"/>
  <c r="O258" i="31" s="1"/>
  <c r="AU258" i="31" s="1"/>
  <c r="X19" i="31"/>
  <c r="X56" i="31"/>
  <c r="X202" i="31"/>
  <c r="X186" i="31"/>
  <c r="X114" i="31"/>
  <c r="Z157" i="31"/>
  <c r="Z145" i="31"/>
  <c r="Z81" i="31"/>
  <c r="S29" i="31"/>
  <c r="O228" i="31" s="1"/>
  <c r="AU228" i="31" s="1"/>
  <c r="AY228" i="31" s="1"/>
  <c r="S105" i="31"/>
  <c r="O294" i="31" s="1"/>
  <c r="AU294" i="31" s="1"/>
  <c r="S145" i="31"/>
  <c r="O326" i="31" s="1"/>
  <c r="AU326" i="31" s="1"/>
  <c r="S136" i="31"/>
  <c r="O320" i="31" s="1"/>
  <c r="AU320" i="31" s="1"/>
  <c r="S81" i="31"/>
  <c r="O272" i="31" s="1"/>
  <c r="AU272" i="31" s="1"/>
  <c r="S83" i="31"/>
  <c r="O274" i="31" s="1"/>
  <c r="AU274" i="31" s="1"/>
  <c r="Z124" i="31"/>
  <c r="V40" i="31"/>
  <c r="U27" i="31"/>
  <c r="Y42" i="31"/>
  <c r="W153" i="31"/>
  <c r="X101" i="31"/>
  <c r="X58" i="31"/>
  <c r="Z32" i="31"/>
  <c r="Z128" i="31"/>
  <c r="Z116" i="31"/>
  <c r="Z15" i="31"/>
  <c r="V5" i="31"/>
  <c r="S192" i="31"/>
  <c r="S132" i="31"/>
  <c r="O316" i="31" s="1"/>
  <c r="AU316" i="31" s="1"/>
  <c r="AV316" i="31" s="1"/>
  <c r="S162" i="31"/>
  <c r="O340" i="31" s="1"/>
  <c r="AU340" i="31" s="1"/>
  <c r="S67" i="31"/>
  <c r="O260" i="31" s="1"/>
  <c r="AU260" i="31" s="1"/>
  <c r="X17" i="31"/>
  <c r="X164" i="31"/>
  <c r="X175" i="31"/>
  <c r="X119" i="31"/>
  <c r="X74" i="31"/>
  <c r="X155" i="31"/>
  <c r="X67" i="31"/>
  <c r="X81" i="31"/>
  <c r="X140" i="31"/>
  <c r="X35" i="31"/>
  <c r="X43" i="31"/>
  <c r="X194" i="31"/>
  <c r="X141" i="31"/>
  <c r="X100" i="31"/>
  <c r="X66" i="31"/>
  <c r="X5" i="31"/>
  <c r="X131" i="31"/>
  <c r="X108" i="31"/>
  <c r="X79" i="31"/>
  <c r="X192" i="31"/>
  <c r="X128" i="31"/>
  <c r="X93" i="31"/>
  <c r="X127" i="31"/>
  <c r="X7" i="31"/>
  <c r="X96" i="31"/>
  <c r="X120" i="31"/>
  <c r="X113" i="31"/>
  <c r="X42" i="31"/>
  <c r="X70" i="31"/>
  <c r="X20" i="31"/>
  <c r="X68" i="31"/>
  <c r="X150" i="31"/>
  <c r="X91" i="31"/>
  <c r="X31" i="31"/>
  <c r="X30" i="31"/>
  <c r="X78" i="31"/>
  <c r="X174" i="31"/>
  <c r="X149" i="31"/>
  <c r="X48" i="31"/>
  <c r="X152" i="31"/>
  <c r="X72" i="31"/>
  <c r="X115" i="31"/>
  <c r="X69" i="31"/>
  <c r="X178" i="31"/>
  <c r="X198" i="31"/>
  <c r="X46" i="31"/>
  <c r="X179" i="31"/>
  <c r="X147" i="31"/>
  <c r="X103" i="31"/>
  <c r="X62" i="31"/>
  <c r="X196" i="31"/>
  <c r="X126" i="31"/>
  <c r="X84" i="31"/>
  <c r="X162" i="31"/>
  <c r="X156" i="31"/>
  <c r="X32" i="31"/>
  <c r="X44" i="31"/>
  <c r="X148" i="31"/>
  <c r="X77" i="31"/>
  <c r="X189" i="31"/>
  <c r="X83" i="31"/>
  <c r="X118" i="31"/>
  <c r="X64" i="31"/>
  <c r="X154" i="31"/>
  <c r="X181" i="31"/>
  <c r="X158" i="31"/>
  <c r="X54" i="31"/>
  <c r="X24" i="31"/>
  <c r="X52" i="31"/>
  <c r="X116" i="31"/>
  <c r="X40" i="31"/>
  <c r="X191" i="31"/>
  <c r="X122" i="31"/>
  <c r="X9" i="31"/>
  <c r="X185" i="31"/>
  <c r="X133" i="31"/>
  <c r="X8" i="31"/>
  <c r="X170" i="31"/>
  <c r="X12" i="31"/>
  <c r="X201" i="31"/>
  <c r="X138" i="31"/>
  <c r="X76" i="31"/>
  <c r="X29" i="31"/>
  <c r="X18" i="31"/>
  <c r="X63" i="31"/>
  <c r="X160" i="31"/>
  <c r="X88" i="31"/>
  <c r="X41" i="31"/>
  <c r="X47" i="31"/>
  <c r="X51" i="31"/>
  <c r="X172" i="31"/>
  <c r="X177" i="31"/>
  <c r="X151" i="31"/>
  <c r="X34" i="31"/>
  <c r="X49" i="31"/>
  <c r="X168" i="31"/>
  <c r="X182" i="31"/>
  <c r="X102" i="31"/>
  <c r="X60" i="31"/>
  <c r="X10" i="31"/>
  <c r="X161" i="31"/>
  <c r="X99" i="31"/>
  <c r="X36" i="31"/>
  <c r="X123" i="31"/>
  <c r="X183" i="31"/>
  <c r="X111" i="31"/>
  <c r="X27" i="31"/>
  <c r="X153" i="31"/>
  <c r="X130" i="31"/>
  <c r="X98" i="31"/>
  <c r="X104" i="31"/>
  <c r="X86" i="31"/>
  <c r="X28" i="31"/>
  <c r="X121" i="31"/>
  <c r="X197" i="31"/>
  <c r="X97" i="31"/>
  <c r="X59" i="31"/>
  <c r="X106" i="31"/>
  <c r="X188" i="31"/>
  <c r="X117" i="31"/>
  <c r="X71" i="31"/>
  <c r="X33" i="31"/>
  <c r="X184" i="31"/>
  <c r="X166" i="31"/>
  <c r="X157" i="31"/>
  <c r="X50" i="31"/>
  <c r="X23" i="31"/>
  <c r="X146" i="31"/>
  <c r="X125" i="31"/>
  <c r="X145" i="31"/>
  <c r="X95" i="31"/>
  <c r="X73" i="31"/>
  <c r="X6" i="31"/>
  <c r="X110" i="31"/>
  <c r="X26" i="31"/>
  <c r="X38" i="31"/>
  <c r="X55" i="31"/>
  <c r="X190" i="31"/>
  <c r="X199" i="31"/>
  <c r="X163" i="31"/>
  <c r="X193" i="31"/>
  <c r="X143" i="31"/>
  <c r="X37" i="31"/>
  <c r="X13" i="31"/>
  <c r="X180" i="31"/>
  <c r="X171" i="31"/>
  <c r="X61" i="31"/>
  <c r="X75" i="31"/>
  <c r="X176" i="31"/>
  <c r="X134" i="31"/>
  <c r="X92" i="31"/>
  <c r="X135" i="31"/>
  <c r="X173" i="31"/>
  <c r="X25" i="31"/>
  <c r="X136" i="31"/>
  <c r="X142" i="31"/>
  <c r="X195" i="31"/>
  <c r="X167" i="31"/>
  <c r="X137" i="31"/>
  <c r="X144" i="31"/>
  <c r="X94" i="31"/>
  <c r="X90" i="31"/>
  <c r="X89" i="31"/>
  <c r="X22" i="31"/>
  <c r="X187" i="31"/>
  <c r="X80" i="31"/>
  <c r="X105" i="31"/>
  <c r="X159" i="31"/>
  <c r="X200" i="31"/>
  <c r="X65" i="31"/>
  <c r="X124" i="31"/>
  <c r="X109" i="31"/>
  <c r="X53" i="31"/>
  <c r="X16" i="31"/>
  <c r="X129" i="31"/>
  <c r="X14" i="31"/>
  <c r="X15" i="31"/>
  <c r="S26" i="31"/>
  <c r="O225" i="31" s="1"/>
  <c r="AU225" i="31" s="1"/>
  <c r="V181" i="31"/>
  <c r="Z141" i="31"/>
  <c r="Z105" i="31"/>
  <c r="Z165" i="31"/>
  <c r="Z117" i="31"/>
  <c r="S146" i="31"/>
  <c r="S27" i="31"/>
  <c r="O226" i="31" s="1"/>
  <c r="AU226" i="31" s="1"/>
  <c r="BD226" i="31" s="1"/>
  <c r="S202" i="31"/>
  <c r="O378" i="31" s="1"/>
  <c r="AU378" i="31" s="1"/>
  <c r="S77" i="31"/>
  <c r="O268" i="31" s="1"/>
  <c r="AU268" i="31" s="1"/>
  <c r="BE268" i="31" s="1"/>
  <c r="V183" i="31"/>
  <c r="X45" i="31"/>
  <c r="X165" i="31"/>
  <c r="X82" i="31"/>
  <c r="V189" i="31"/>
  <c r="Z111" i="31"/>
  <c r="Z148" i="31"/>
  <c r="Z202" i="31"/>
  <c r="S108" i="31"/>
  <c r="S98" i="31"/>
  <c r="O287" i="31" s="1"/>
  <c r="AU287" i="31" s="1"/>
  <c r="S56" i="31"/>
  <c r="O252" i="31" s="1"/>
  <c r="AU252" i="31" s="1"/>
  <c r="Z46" i="31"/>
  <c r="AG111" i="31"/>
  <c r="X112" i="31"/>
  <c r="X169" i="31"/>
  <c r="X57" i="31"/>
  <c r="Z132" i="31"/>
  <c r="Z98" i="31"/>
  <c r="S200" i="31"/>
  <c r="O376" i="31" s="1"/>
  <c r="AU376" i="31" s="1"/>
  <c r="S37" i="31"/>
  <c r="O234" i="31" s="1"/>
  <c r="AU234" i="31" s="1"/>
  <c r="X132" i="31"/>
  <c r="X107" i="31"/>
  <c r="U132" i="31"/>
  <c r="V195" i="31"/>
  <c r="V201" i="31"/>
  <c r="V120" i="31"/>
  <c r="V85" i="31"/>
  <c r="W198" i="31"/>
  <c r="U137" i="31"/>
  <c r="V161" i="31"/>
  <c r="U136" i="31"/>
  <c r="V188" i="31"/>
  <c r="V98" i="31"/>
  <c r="V123" i="31"/>
  <c r="V64" i="31"/>
  <c r="V117" i="31"/>
  <c r="V26" i="31"/>
  <c r="W15" i="31"/>
  <c r="W119" i="31"/>
  <c r="V53" i="31"/>
  <c r="W111" i="31"/>
  <c r="W56" i="31"/>
  <c r="V150" i="31"/>
  <c r="V162" i="31"/>
  <c r="W32" i="31"/>
  <c r="U52" i="31"/>
  <c r="V146" i="31"/>
  <c r="V147" i="31"/>
  <c r="V18" i="31"/>
  <c r="V129" i="31"/>
  <c r="V52" i="31"/>
  <c r="W42" i="31"/>
  <c r="V111" i="31"/>
  <c r="U8" i="31"/>
  <c r="V134" i="31"/>
  <c r="V41" i="31"/>
  <c r="V170" i="31"/>
  <c r="V17" i="31"/>
  <c r="V20" i="31"/>
  <c r="V6" i="31"/>
  <c r="V86" i="31"/>
  <c r="U168" i="31"/>
  <c r="W44" i="31"/>
  <c r="U174" i="31"/>
  <c r="V200" i="31"/>
  <c r="V48" i="31"/>
  <c r="V126" i="31"/>
  <c r="V47" i="31"/>
  <c r="V79" i="31"/>
  <c r="W96" i="31"/>
  <c r="V156" i="31"/>
  <c r="V65" i="31"/>
  <c r="Y152" i="31"/>
  <c r="AC16" i="31"/>
  <c r="Y62" i="31"/>
  <c r="AG85" i="31"/>
  <c r="V92" i="31"/>
  <c r="V182" i="31"/>
  <c r="V148" i="31"/>
  <c r="V118" i="31"/>
  <c r="V14" i="31"/>
  <c r="V100" i="31"/>
  <c r="AC181" i="31"/>
  <c r="Y130" i="31"/>
  <c r="Y66" i="31"/>
  <c r="U50" i="31"/>
  <c r="U97" i="31"/>
  <c r="U184" i="31"/>
  <c r="U61" i="31"/>
  <c r="U30" i="31"/>
  <c r="U142" i="31"/>
  <c r="U180" i="31"/>
  <c r="U101" i="31"/>
  <c r="U13" i="31"/>
  <c r="U151" i="31"/>
  <c r="U86" i="31"/>
  <c r="U89" i="31"/>
  <c r="U83" i="31"/>
  <c r="U104" i="31"/>
  <c r="U183" i="31"/>
  <c r="U46" i="31"/>
  <c r="U78" i="31"/>
  <c r="U71" i="31"/>
  <c r="U140" i="31"/>
  <c r="U156" i="31"/>
  <c r="U73" i="31"/>
  <c r="U193" i="31"/>
  <c r="U9" i="31"/>
  <c r="U93" i="31"/>
  <c r="U197" i="31"/>
  <c r="U26" i="31"/>
  <c r="U20" i="31"/>
  <c r="U125" i="31"/>
  <c r="U64" i="31"/>
  <c r="U63" i="31"/>
  <c r="U198" i="31"/>
  <c r="U172" i="31"/>
  <c r="U143" i="31"/>
  <c r="U110" i="31"/>
  <c r="U23" i="31"/>
  <c r="U87" i="31"/>
  <c r="U149" i="31"/>
  <c r="U66" i="31"/>
  <c r="U154" i="31"/>
  <c r="U22" i="31"/>
  <c r="U166" i="31"/>
  <c r="U68" i="31"/>
  <c r="U40" i="31"/>
  <c r="U56" i="31"/>
  <c r="U17" i="31"/>
  <c r="U122" i="31"/>
  <c r="U202" i="31"/>
  <c r="U195" i="31"/>
  <c r="U182" i="31"/>
  <c r="U111" i="31"/>
  <c r="U35" i="31"/>
  <c r="U25" i="31"/>
  <c r="U171" i="31"/>
  <c r="U43" i="31"/>
  <c r="U196" i="31"/>
  <c r="U194" i="31"/>
  <c r="U159" i="31"/>
  <c r="U102" i="31"/>
  <c r="U144" i="31"/>
  <c r="U74" i="31"/>
  <c r="U177" i="31"/>
  <c r="U115" i="31"/>
  <c r="U161" i="31"/>
  <c r="U121" i="31"/>
  <c r="U178" i="31"/>
  <c r="U107" i="31"/>
  <c r="U12" i="31"/>
  <c r="U62" i="31"/>
  <c r="U11" i="31"/>
  <c r="U6" i="31"/>
  <c r="U88" i="31"/>
  <c r="U69" i="31"/>
  <c r="U155" i="31"/>
  <c r="U65" i="31"/>
  <c r="U72" i="31"/>
  <c r="U38" i="31"/>
  <c r="U191" i="31"/>
  <c r="U24" i="31"/>
  <c r="U39" i="31"/>
  <c r="U59" i="31"/>
  <c r="U95" i="31"/>
  <c r="U67" i="31"/>
  <c r="U32" i="31"/>
  <c r="U51" i="31"/>
  <c r="U58" i="31"/>
  <c r="U162" i="31"/>
  <c r="U129" i="31"/>
  <c r="U55" i="31"/>
  <c r="U108" i="31"/>
  <c r="U200" i="31"/>
  <c r="U199" i="31"/>
  <c r="U157" i="31"/>
  <c r="U201" i="31"/>
  <c r="U98" i="31"/>
  <c r="U103" i="31"/>
  <c r="U36" i="31"/>
  <c r="U7" i="31"/>
  <c r="U84" i="31"/>
  <c r="U90" i="31"/>
  <c r="U185" i="31"/>
  <c r="U54" i="31"/>
  <c r="U119" i="31"/>
  <c r="U131" i="31"/>
  <c r="U31" i="31"/>
  <c r="U79" i="31"/>
  <c r="U21" i="31"/>
  <c r="U16" i="31"/>
  <c r="U165" i="31"/>
  <c r="U152" i="31"/>
  <c r="U139" i="31"/>
  <c r="U173" i="31"/>
  <c r="U169" i="31"/>
  <c r="U18" i="31"/>
  <c r="U138" i="31"/>
  <c r="AG32" i="31"/>
  <c r="AC42" i="31"/>
  <c r="U186" i="31"/>
  <c r="U112" i="31"/>
  <c r="U128" i="31"/>
  <c r="U187" i="31"/>
  <c r="U146" i="31"/>
  <c r="U160" i="31"/>
  <c r="U15" i="31"/>
  <c r="U135" i="31"/>
  <c r="AG8" i="31"/>
  <c r="Y190" i="31"/>
  <c r="Y157" i="31"/>
  <c r="U158" i="31"/>
  <c r="Y6" i="31"/>
  <c r="U45" i="31"/>
  <c r="U76" i="31"/>
  <c r="AG26" i="31"/>
  <c r="U41" i="31"/>
  <c r="U148" i="31"/>
  <c r="U48" i="31"/>
  <c r="U170" i="31"/>
  <c r="U113" i="31"/>
  <c r="U134" i="31"/>
  <c r="U57" i="31"/>
  <c r="U82" i="31"/>
  <c r="Y26" i="31"/>
  <c r="AG148" i="31"/>
  <c r="Y172" i="31"/>
  <c r="Y141" i="31"/>
  <c r="U94" i="31"/>
  <c r="U100" i="31"/>
  <c r="AC9" i="31"/>
  <c r="AC163" i="31"/>
  <c r="AC27" i="31"/>
  <c r="AC134" i="31"/>
  <c r="AC189" i="31"/>
  <c r="AC17" i="31"/>
  <c r="AC113" i="31"/>
  <c r="AC147" i="31"/>
  <c r="AC180" i="31"/>
  <c r="AC75" i="31"/>
  <c r="AC179" i="31"/>
  <c r="AC91" i="31"/>
  <c r="AC63" i="31"/>
  <c r="AC157" i="31"/>
  <c r="AC188" i="31"/>
  <c r="AC135" i="31"/>
  <c r="AC37" i="31"/>
  <c r="U42" i="31"/>
  <c r="U117" i="31"/>
  <c r="U163" i="31"/>
  <c r="U44" i="31"/>
  <c r="U153" i="31"/>
  <c r="U179" i="31"/>
  <c r="U91" i="31"/>
  <c r="U75" i="31"/>
  <c r="U127" i="31"/>
  <c r="U85" i="31"/>
  <c r="AG202" i="31"/>
  <c r="Y117" i="31"/>
  <c r="Y134" i="31"/>
  <c r="Y48" i="31"/>
  <c r="U106" i="31"/>
  <c r="Y158" i="31"/>
  <c r="Y70" i="31"/>
  <c r="U28" i="31"/>
  <c r="AG67" i="31"/>
  <c r="U190" i="31"/>
  <c r="U175" i="31"/>
  <c r="U60" i="31"/>
  <c r="U167" i="31"/>
  <c r="U114" i="31"/>
  <c r="U130" i="31"/>
  <c r="U10" i="31"/>
  <c r="U53" i="31"/>
  <c r="U164" i="31"/>
  <c r="AC32" i="31"/>
  <c r="Y105" i="31"/>
  <c r="Y85" i="31"/>
  <c r="Y194" i="31"/>
  <c r="Y84" i="31"/>
  <c r="Y100" i="31"/>
  <c r="Y83" i="31"/>
  <c r="Y97" i="31"/>
  <c r="Y44" i="31"/>
  <c r="Y91" i="31"/>
  <c r="U92" i="31"/>
  <c r="U116" i="31"/>
  <c r="U189" i="31"/>
  <c r="U150" i="31"/>
  <c r="U118" i="31"/>
  <c r="U126" i="31"/>
  <c r="U19" i="31"/>
  <c r="U123" i="31"/>
  <c r="AC116" i="31"/>
  <c r="Y112" i="31"/>
  <c r="Y168" i="31"/>
  <c r="Y89" i="31"/>
  <c r="Y121" i="31"/>
  <c r="AG15" i="31"/>
  <c r="AG116" i="31"/>
  <c r="AG118" i="31"/>
  <c r="AG76" i="31"/>
  <c r="AG184" i="31"/>
  <c r="AG75" i="31"/>
  <c r="AG41" i="31"/>
  <c r="AG113" i="31"/>
  <c r="AG79" i="31"/>
  <c r="AG152" i="31"/>
  <c r="AG187" i="31"/>
  <c r="AG94" i="31"/>
  <c r="AG12" i="31"/>
  <c r="AG122" i="31"/>
  <c r="AG108" i="31"/>
  <c r="AG153" i="31"/>
  <c r="AG162" i="31"/>
  <c r="AG160" i="31"/>
  <c r="AG138" i="31"/>
  <c r="AG28" i="31"/>
  <c r="AG45" i="31"/>
  <c r="AG22" i="31"/>
  <c r="AG52" i="31"/>
  <c r="AG77" i="31"/>
  <c r="AG200" i="31"/>
  <c r="AG98" i="31"/>
  <c r="AC60" i="31"/>
  <c r="U145" i="31"/>
  <c r="U105" i="31"/>
  <c r="U133" i="31"/>
  <c r="U37" i="31"/>
  <c r="U141" i="31"/>
  <c r="U188" i="31"/>
  <c r="U14" i="31"/>
  <c r="U81" i="31"/>
  <c r="U5" i="31"/>
  <c r="AG29" i="31"/>
  <c r="AC130" i="31"/>
  <c r="U34" i="31"/>
  <c r="Y167" i="31"/>
  <c r="Y56" i="31"/>
  <c r="Y93" i="31"/>
  <c r="U70" i="31"/>
  <c r="Y17" i="31"/>
  <c r="Y79" i="31"/>
  <c r="Y15" i="31"/>
  <c r="Y122" i="31"/>
  <c r="Y128" i="31"/>
  <c r="Y118" i="31"/>
  <c r="Y160" i="31"/>
  <c r="Y153" i="31"/>
  <c r="Y98" i="31"/>
  <c r="Y116" i="31"/>
  <c r="Y198" i="31"/>
  <c r="Y108" i="31"/>
  <c r="Y34" i="31"/>
  <c r="Y29" i="31"/>
  <c r="Y32" i="31"/>
  <c r="Y13" i="31"/>
  <c r="Y101" i="31"/>
  <c r="Y103" i="31"/>
  <c r="Y80" i="31"/>
  <c r="Y72" i="31"/>
  <c r="Y161" i="31"/>
  <c r="Y73" i="31"/>
  <c r="Y11" i="31"/>
  <c r="Y22" i="31"/>
  <c r="Y74" i="31"/>
  <c r="Y38" i="31"/>
  <c r="Y55" i="31"/>
  <c r="Y125" i="31"/>
  <c r="Y14" i="31"/>
  <c r="Y75" i="31"/>
  <c r="Y123" i="31"/>
  <c r="Y111" i="31"/>
  <c r="Y179" i="31"/>
  <c r="Y114" i="31"/>
  <c r="U29" i="31"/>
  <c r="AC95" i="31"/>
  <c r="AG34" i="31"/>
  <c r="U147" i="31"/>
  <c r="U192" i="31"/>
  <c r="U176" i="31"/>
  <c r="U109" i="31"/>
  <c r="U120" i="31"/>
  <c r="U181" i="31"/>
  <c r="U77" i="31"/>
  <c r="U47" i="31"/>
  <c r="AC117" i="31"/>
  <c r="AG96" i="31"/>
  <c r="AC143" i="31"/>
  <c r="Y182" i="31"/>
  <c r="Y27" i="31"/>
  <c r="Y82" i="31"/>
  <c r="U49" i="31"/>
  <c r="Y90" i="31"/>
  <c r="Y43" i="31"/>
  <c r="Y132" i="31"/>
  <c r="Y145" i="31"/>
  <c r="Y192" i="31"/>
  <c r="Y189" i="31"/>
  <c r="Y92" i="31"/>
  <c r="Y187" i="31"/>
  <c r="Y169" i="31"/>
  <c r="Y200" i="31"/>
  <c r="Y57" i="31"/>
  <c r="Y162" i="31"/>
  <c r="Y164" i="31"/>
  <c r="Y77" i="31"/>
  <c r="Y36" i="31"/>
  <c r="Y107" i="31"/>
  <c r="Y54" i="31"/>
  <c r="Y180" i="31"/>
  <c r="Y25" i="31"/>
  <c r="Y59" i="31"/>
  <c r="Y31" i="31"/>
  <c r="Y71" i="31"/>
  <c r="Y177" i="31"/>
  <c r="Z193" i="31"/>
  <c r="V58" i="31"/>
  <c r="AC87" i="31"/>
  <c r="AG115" i="31"/>
  <c r="S57" i="31"/>
  <c r="O253" i="31" s="1"/>
  <c r="AU253" i="31" s="1"/>
  <c r="AY253" i="31" s="1"/>
  <c r="W24" i="31"/>
  <c r="V121" i="31"/>
  <c r="S69" i="31"/>
  <c r="O262" i="31" s="1"/>
  <c r="AU262" i="31" s="1"/>
  <c r="Y60" i="31"/>
  <c r="Y181" i="31"/>
  <c r="Y147" i="31"/>
  <c r="Y173" i="31"/>
  <c r="Y109" i="31"/>
  <c r="Y150" i="31"/>
  <c r="Y95" i="31"/>
  <c r="Y199" i="31"/>
  <c r="Y129" i="31"/>
  <c r="Y165" i="31"/>
  <c r="Y10" i="31"/>
  <c r="Y52" i="31"/>
  <c r="Y21" i="31"/>
  <c r="Y156" i="31"/>
  <c r="Y5" i="31"/>
  <c r="Y30" i="31"/>
  <c r="Y171" i="31"/>
  <c r="Y24" i="31"/>
  <c r="Y166" i="31"/>
  <c r="Y7" i="31"/>
  <c r="Y137" i="31"/>
  <c r="Y115" i="31"/>
  <c r="Y149" i="31"/>
  <c r="Y102" i="31"/>
  <c r="Y65" i="31"/>
  <c r="Y124" i="31"/>
  <c r="Y170" i="31"/>
  <c r="Y136" i="31"/>
  <c r="Y186" i="31"/>
  <c r="Y174" i="31"/>
  <c r="Y176" i="31"/>
  <c r="Y37" i="31"/>
  <c r="Y143" i="31"/>
  <c r="Y120" i="31"/>
  <c r="Y135" i="31"/>
  <c r="Y127" i="31"/>
  <c r="Y19" i="31"/>
  <c r="Y53" i="31"/>
  <c r="Y81" i="31"/>
  <c r="Y183" i="31"/>
  <c r="Y110" i="31"/>
  <c r="Y119" i="31"/>
  <c r="Y68" i="31"/>
  <c r="Y50" i="31"/>
  <c r="Y78" i="31"/>
  <c r="Y35" i="31"/>
  <c r="Y104" i="31"/>
  <c r="Y12" i="31"/>
  <c r="Y197" i="31"/>
  <c r="Y23" i="31"/>
  <c r="Y69" i="31"/>
  <c r="Y28" i="31"/>
  <c r="Y188" i="31"/>
  <c r="Y195" i="31"/>
  <c r="Y41" i="31"/>
  <c r="Y148" i="31"/>
  <c r="Y138" i="31"/>
  <c r="Y96" i="31"/>
  <c r="Y113" i="31"/>
  <c r="Y146" i="31"/>
  <c r="Y202" i="31"/>
  <c r="Y51" i="31"/>
  <c r="Y16" i="31"/>
  <c r="Y64" i="31"/>
  <c r="Y185" i="31"/>
  <c r="Y88" i="31"/>
  <c r="Y86" i="31"/>
  <c r="Y46" i="31"/>
  <c r="Y61" i="31"/>
  <c r="Y155" i="31"/>
  <c r="Y49" i="31"/>
  <c r="Y87" i="31"/>
  <c r="Y67" i="31"/>
  <c r="Y139" i="31"/>
  <c r="Y126" i="31"/>
  <c r="Y175" i="31"/>
  <c r="Y163" i="31"/>
  <c r="Y201" i="31"/>
  <c r="Y18" i="31"/>
  <c r="Y133" i="31"/>
  <c r="Y8" i="31"/>
  <c r="Y63" i="31"/>
  <c r="Y20" i="31"/>
  <c r="Y47" i="31"/>
  <c r="Y58" i="31"/>
  <c r="Y40" i="31"/>
  <c r="Y94" i="31"/>
  <c r="Y131" i="31"/>
  <c r="Y142" i="31"/>
  <c r="Y178" i="31"/>
  <c r="Y193" i="31"/>
  <c r="Y159" i="31"/>
  <c r="Y154" i="31"/>
  <c r="Y140" i="31"/>
  <c r="Y184" i="31"/>
  <c r="Y196" i="31"/>
  <c r="Y33" i="31"/>
  <c r="Y9" i="31"/>
  <c r="Y39" i="31"/>
  <c r="Y76" i="31"/>
  <c r="Y99" i="31"/>
  <c r="Y144" i="31"/>
  <c r="Y45" i="31"/>
  <c r="Y151" i="31"/>
  <c r="Y191" i="31"/>
  <c r="Y106" i="31"/>
  <c r="V95" i="31"/>
  <c r="V60" i="31"/>
  <c r="Z60" i="31"/>
  <c r="V91" i="31"/>
  <c r="V175" i="31"/>
  <c r="V136" i="31"/>
  <c r="V145" i="31"/>
  <c r="V112" i="31"/>
  <c r="V153" i="31"/>
  <c r="V157" i="31"/>
  <c r="V141" i="31"/>
  <c r="V82" i="31"/>
  <c r="V164" i="31"/>
  <c r="V122" i="31"/>
  <c r="V63" i="31"/>
  <c r="Z96" i="31"/>
  <c r="Z118" i="31"/>
  <c r="Z146" i="31"/>
  <c r="Z181" i="31"/>
  <c r="Z172" i="31"/>
  <c r="Z91" i="31"/>
  <c r="Z163" i="31"/>
  <c r="Z153" i="31"/>
  <c r="Z162" i="31"/>
  <c r="Z57" i="31"/>
  <c r="Z123" i="31"/>
  <c r="Z10" i="31"/>
  <c r="V34" i="31"/>
  <c r="Z42" i="31"/>
  <c r="S111" i="31"/>
  <c r="S181" i="31"/>
  <c r="O357" i="31" s="1"/>
  <c r="AU357" i="31" s="1"/>
  <c r="S95" i="31"/>
  <c r="O284" i="31" s="1"/>
  <c r="AU284" i="31" s="1"/>
  <c r="S126" i="31"/>
  <c r="O310" i="31" s="1"/>
  <c r="AU310" i="31" s="1"/>
  <c r="S8" i="31"/>
  <c r="S150" i="31"/>
  <c r="O332" i="31" s="1"/>
  <c r="AU332" i="31" s="1"/>
  <c r="S157" i="31"/>
  <c r="S143" i="31"/>
  <c r="O324" i="31" s="1"/>
  <c r="AU324" i="31" s="1"/>
  <c r="S164" i="31"/>
  <c r="O342" i="31" s="1"/>
  <c r="AU342" i="31" s="1"/>
  <c r="S16" i="31"/>
  <c r="O217" i="31" s="1"/>
  <c r="AU217" i="31" s="1"/>
  <c r="S75" i="31"/>
  <c r="S85" i="31"/>
  <c r="O276" i="31" s="1"/>
  <c r="AU276" i="31" s="1"/>
  <c r="S17" i="31"/>
  <c r="O218" i="31" s="1"/>
  <c r="AU218" i="31" s="1"/>
  <c r="Z44" i="31"/>
  <c r="AG44" i="31"/>
  <c r="AG201" i="31"/>
  <c r="AG157" i="31"/>
  <c r="AG126" i="31"/>
  <c r="AG146" i="31"/>
  <c r="AG163" i="31"/>
  <c r="AG134" i="31"/>
  <c r="AG175" i="31"/>
  <c r="AG82" i="31"/>
  <c r="AG129" i="31"/>
  <c r="AG63" i="31"/>
  <c r="AG20" i="31"/>
  <c r="AG55" i="31"/>
  <c r="AC152" i="31"/>
  <c r="AC145" i="31"/>
  <c r="AC192" i="31"/>
  <c r="AC150" i="31"/>
  <c r="AC170" i="31"/>
  <c r="AC136" i="31"/>
  <c r="AC120" i="31"/>
  <c r="AC200" i="31"/>
  <c r="AC20" i="31"/>
  <c r="AC202" i="31"/>
  <c r="W138" i="31"/>
  <c r="W128" i="31"/>
  <c r="W58" i="31"/>
  <c r="AC158" i="31"/>
  <c r="V89" i="31"/>
  <c r="W90" i="31"/>
  <c r="AG35" i="31"/>
  <c r="AC24" i="31"/>
  <c r="Z67" i="31"/>
  <c r="AC156" i="31"/>
  <c r="Z196" i="31"/>
  <c r="Z43" i="31"/>
  <c r="Z100" i="31"/>
  <c r="Z70" i="31"/>
  <c r="Z97" i="31"/>
  <c r="Z35" i="31"/>
  <c r="Z131" i="31"/>
  <c r="Z121" i="31"/>
  <c r="Z151" i="31"/>
  <c r="Z89" i="31"/>
  <c r="Z11" i="31"/>
  <c r="Z78" i="31"/>
  <c r="Z86" i="31"/>
  <c r="Z115" i="31"/>
  <c r="Z94" i="31"/>
  <c r="Z90" i="31"/>
  <c r="Z83" i="31"/>
  <c r="Z23" i="31"/>
  <c r="Z65" i="31"/>
  <c r="Z9" i="31"/>
  <c r="Z158" i="31"/>
  <c r="Z102" i="31"/>
  <c r="Z39" i="31"/>
  <c r="Z40" i="31"/>
  <c r="Z25" i="31"/>
  <c r="Z62" i="31"/>
  <c r="Z154" i="31"/>
  <c r="Z45" i="31"/>
  <c r="Z191" i="31"/>
  <c r="Z73" i="31"/>
  <c r="Z84" i="31"/>
  <c r="Z137" i="31"/>
  <c r="Z88" i="31"/>
  <c r="Z66" i="31"/>
  <c r="Z38" i="31"/>
  <c r="Z107" i="31"/>
  <c r="Z144" i="31"/>
  <c r="Z87" i="31"/>
  <c r="Z6" i="31"/>
  <c r="Z49" i="31"/>
  <c r="Z31" i="31"/>
  <c r="Z142" i="31"/>
  <c r="Z61" i="31"/>
  <c r="Z184" i="31"/>
  <c r="Z183" i="31"/>
  <c r="Z13" i="31"/>
  <c r="Z140" i="31"/>
  <c r="Z106" i="31"/>
  <c r="Z119" i="31"/>
  <c r="Z194" i="31"/>
  <c r="Z185" i="31"/>
  <c r="Z197" i="31"/>
  <c r="Z74" i="31"/>
  <c r="Z71" i="31"/>
  <c r="Z72" i="31"/>
  <c r="Z30" i="31"/>
  <c r="Z36" i="31"/>
  <c r="Z166" i="31"/>
  <c r="Z110" i="31"/>
  <c r="Z76" i="31"/>
  <c r="Z101" i="31"/>
  <c r="Z7" i="31"/>
  <c r="Z178" i="31"/>
  <c r="Z159" i="31"/>
  <c r="Z24" i="31"/>
  <c r="Z104" i="31"/>
  <c r="Z68" i="31"/>
  <c r="Z33" i="31"/>
  <c r="Z99" i="31"/>
  <c r="Z28" i="31"/>
  <c r="Z161" i="31"/>
  <c r="Z171" i="31"/>
  <c r="Z22" i="31"/>
  <c r="Z180" i="31"/>
  <c r="AC84" i="31"/>
  <c r="AC183" i="31"/>
  <c r="AC121" i="31"/>
  <c r="AC142" i="31"/>
  <c r="AC83" i="31"/>
  <c r="AC89" i="31"/>
  <c r="AC196" i="31"/>
  <c r="AC86" i="31"/>
  <c r="AC13" i="31"/>
  <c r="AC69" i="31"/>
  <c r="AC23" i="31"/>
  <c r="AC47" i="31"/>
  <c r="AC15" i="31"/>
  <c r="AC52" i="31"/>
  <c r="AC55" i="31"/>
  <c r="AC88" i="31"/>
  <c r="AC31" i="31"/>
  <c r="AC66" i="31"/>
  <c r="AC70" i="31"/>
  <c r="AC7" i="31"/>
  <c r="AC101" i="31"/>
  <c r="AC62" i="31"/>
  <c r="AC54" i="31"/>
  <c r="AC33" i="31"/>
  <c r="AC123" i="31"/>
  <c r="AC19" i="31"/>
  <c r="AC58" i="31"/>
  <c r="AC125" i="31"/>
  <c r="AC97" i="31"/>
  <c r="AC94" i="31"/>
  <c r="AC65" i="31"/>
  <c r="AC100" i="31"/>
  <c r="AC119" i="31"/>
  <c r="AC191" i="31"/>
  <c r="AC193" i="31"/>
  <c r="AC137" i="31"/>
  <c r="AC40" i="31"/>
  <c r="AC197" i="31"/>
  <c r="AC104" i="31"/>
  <c r="AC43" i="31"/>
  <c r="AC184" i="31"/>
  <c r="AC177" i="31"/>
  <c r="AC73" i="31"/>
  <c r="AC44" i="31"/>
  <c r="AC154" i="31"/>
  <c r="AC140" i="31"/>
  <c r="AC71" i="31"/>
  <c r="AC115" i="31"/>
  <c r="AC103" i="31"/>
  <c r="AC11" i="31"/>
  <c r="AC45" i="31"/>
  <c r="AC49" i="31"/>
  <c r="AC22" i="31"/>
  <c r="AC68" i="31"/>
  <c r="AC61" i="31"/>
  <c r="AC107" i="31"/>
  <c r="AC161" i="31"/>
  <c r="AC80" i="31"/>
  <c r="AC144" i="31"/>
  <c r="AC110" i="31"/>
  <c r="AC6" i="31"/>
  <c r="AC57" i="31"/>
  <c r="AC127" i="31"/>
  <c r="AC162" i="31"/>
  <c r="AC165" i="31"/>
  <c r="AC133" i="31"/>
  <c r="AC59" i="31"/>
  <c r="AC102" i="31"/>
  <c r="AC46" i="31"/>
  <c r="AC50" i="31"/>
  <c r="AC36" i="31"/>
  <c r="AC149" i="31"/>
  <c r="AC74" i="31"/>
  <c r="AC93" i="31"/>
  <c r="AC106" i="31"/>
  <c r="AC67" i="31"/>
  <c r="AC76" i="31"/>
  <c r="AC25" i="31"/>
  <c r="AC77" i="31"/>
  <c r="AC79" i="31"/>
  <c r="AC168" i="31"/>
  <c r="AC21" i="31"/>
  <c r="AC53" i="31"/>
  <c r="AC172" i="31"/>
  <c r="AG140" i="31"/>
  <c r="AG33" i="31"/>
  <c r="AG9" i="31"/>
  <c r="AG103" i="31"/>
  <c r="AG25" i="31"/>
  <c r="AG178" i="31"/>
  <c r="AG124" i="31"/>
  <c r="AG62" i="31"/>
  <c r="AG38" i="31"/>
  <c r="AG144" i="31"/>
  <c r="AG185" i="31"/>
  <c r="AG73" i="31"/>
  <c r="AG74" i="31"/>
  <c r="AG68" i="31"/>
  <c r="AG30" i="31"/>
  <c r="AG36" i="31"/>
  <c r="AG110" i="31"/>
  <c r="AG91" i="31"/>
  <c r="AG119" i="31"/>
  <c r="AG159" i="31"/>
  <c r="AG193" i="31"/>
  <c r="AG59" i="31"/>
  <c r="AG80" i="31"/>
  <c r="AG72" i="31"/>
  <c r="AG69" i="31"/>
  <c r="AG23" i="31"/>
  <c r="AG89" i="31"/>
  <c r="AG151" i="31"/>
  <c r="AG156" i="31"/>
  <c r="AG155" i="31"/>
  <c r="AG154" i="31"/>
  <c r="AG66" i="31"/>
  <c r="AG54" i="31"/>
  <c r="AG93" i="31"/>
  <c r="AG70" i="31"/>
  <c r="AG97" i="31"/>
  <c r="AG78" i="31"/>
  <c r="AG171" i="31"/>
  <c r="AG121" i="31"/>
  <c r="AG86" i="31"/>
  <c r="AG6" i="31"/>
  <c r="AG71" i="31"/>
  <c r="AG49" i="31"/>
  <c r="AG158" i="31"/>
  <c r="AG137" i="31"/>
  <c r="AG11" i="31"/>
  <c r="AG87" i="31"/>
  <c r="AG88" i="31"/>
  <c r="AG83" i="31"/>
  <c r="AG106" i="31"/>
  <c r="AG100" i="31"/>
  <c r="AG196" i="31"/>
  <c r="AG191" i="31"/>
  <c r="AG197" i="31"/>
  <c r="AG60" i="31"/>
  <c r="AG39" i="31"/>
  <c r="AG142" i="31"/>
  <c r="AG40" i="31"/>
  <c r="AG180" i="31"/>
  <c r="AG161" i="31"/>
  <c r="AG46" i="31"/>
  <c r="AG61" i="31"/>
  <c r="AG5" i="31"/>
  <c r="W45" i="31"/>
  <c r="W151" i="31"/>
  <c r="W131" i="31"/>
  <c r="W86" i="31"/>
  <c r="W193" i="31"/>
  <c r="W93" i="31"/>
  <c r="W115" i="31"/>
  <c r="W74" i="31"/>
  <c r="W87" i="31"/>
  <c r="W197" i="31"/>
  <c r="W36" i="31"/>
  <c r="W71" i="31"/>
  <c r="W178" i="31"/>
  <c r="W46" i="31"/>
  <c r="W164" i="31"/>
  <c r="W135" i="31"/>
  <c r="W79" i="31"/>
  <c r="W122" i="31"/>
  <c r="W125" i="31"/>
  <c r="W8" i="31"/>
  <c r="W152" i="31"/>
  <c r="W139" i="31"/>
  <c r="W174" i="31"/>
  <c r="W199" i="31"/>
  <c r="W60" i="31"/>
  <c r="W109" i="31"/>
  <c r="W192" i="31"/>
  <c r="W100" i="31"/>
  <c r="W78" i="31"/>
  <c r="W171" i="31"/>
  <c r="W66" i="31"/>
  <c r="W76" i="31"/>
  <c r="W142" i="31"/>
  <c r="W121" i="31"/>
  <c r="W165" i="31"/>
  <c r="W16" i="31"/>
  <c r="W63" i="31"/>
  <c r="W85" i="31"/>
  <c r="W148" i="31"/>
  <c r="W147" i="31"/>
  <c r="W169" i="31"/>
  <c r="W176" i="31"/>
  <c r="W173" i="31"/>
  <c r="W141" i="31"/>
  <c r="W26" i="31"/>
  <c r="W37" i="31"/>
  <c r="W189" i="31"/>
  <c r="W67" i="31"/>
  <c r="W9" i="31"/>
  <c r="W38" i="31"/>
  <c r="W137" i="31"/>
  <c r="W83" i="31"/>
  <c r="W49" i="31"/>
  <c r="W73" i="31"/>
  <c r="W62" i="31"/>
  <c r="W12" i="31"/>
  <c r="W35" i="31"/>
  <c r="W104" i="31"/>
  <c r="W23" i="31"/>
  <c r="W33" i="31"/>
  <c r="W40" i="31"/>
  <c r="W97" i="31"/>
  <c r="W14" i="31"/>
  <c r="W51" i="31"/>
  <c r="W202" i="31"/>
  <c r="W123" i="31"/>
  <c r="W112" i="31"/>
  <c r="W145" i="31"/>
  <c r="W188" i="31"/>
  <c r="W133" i="31"/>
  <c r="W113" i="31"/>
  <c r="W118" i="31"/>
  <c r="W157" i="31"/>
  <c r="W150" i="31"/>
  <c r="W91" i="31"/>
  <c r="W110" i="31"/>
  <c r="W156" i="31"/>
  <c r="W6" i="31"/>
  <c r="W191" i="31"/>
  <c r="W124" i="31"/>
  <c r="W140" i="31"/>
  <c r="W180" i="31"/>
  <c r="W88" i="31"/>
  <c r="W103" i="31"/>
  <c r="W11" i="31"/>
  <c r="W102" i="31"/>
  <c r="W21" i="31"/>
  <c r="W57" i="31"/>
  <c r="W19" i="31"/>
  <c r="W75" i="31"/>
  <c r="W186" i="31"/>
  <c r="W190" i="31"/>
  <c r="W195" i="31"/>
  <c r="W182" i="31"/>
  <c r="W143" i="31"/>
  <c r="W126" i="31"/>
  <c r="W68" i="31"/>
  <c r="W144" i="31"/>
  <c r="W29" i="31"/>
  <c r="W158" i="31"/>
  <c r="W13" i="31"/>
  <c r="W99" i="31"/>
  <c r="W70" i="31"/>
  <c r="W61" i="31"/>
  <c r="W183" i="31"/>
  <c r="W129" i="31"/>
  <c r="W10" i="31"/>
  <c r="W168" i="31"/>
  <c r="W64" i="31"/>
  <c r="W105" i="31"/>
  <c r="W95" i="31"/>
  <c r="W181" i="31"/>
  <c r="W200" i="31"/>
  <c r="W187" i="31"/>
  <c r="W179" i="31"/>
  <c r="W160" i="31"/>
  <c r="W98" i="31"/>
  <c r="W94" i="31"/>
  <c r="W154" i="31"/>
  <c r="W59" i="31"/>
  <c r="W101" i="31"/>
  <c r="W185" i="31"/>
  <c r="W69" i="31"/>
  <c r="W161" i="31"/>
  <c r="W22" i="31"/>
  <c r="W30" i="31"/>
  <c r="W31" i="31"/>
  <c r="W50" i="31"/>
  <c r="W84" i="31"/>
  <c r="W7" i="31"/>
  <c r="W77" i="31"/>
  <c r="W162" i="31"/>
  <c r="W81" i="31"/>
  <c r="W52" i="31"/>
  <c r="W127" i="31"/>
  <c r="W116" i="31"/>
  <c r="W117" i="31"/>
  <c r="W108" i="31"/>
  <c r="W163" i="31"/>
  <c r="W175" i="31"/>
  <c r="W170" i="31"/>
  <c r="W18" i="31"/>
  <c r="W201" i="31"/>
  <c r="V22" i="31"/>
  <c r="V31" i="31"/>
  <c r="V83" i="31"/>
  <c r="V35" i="31"/>
  <c r="V61" i="31"/>
  <c r="V67" i="31"/>
  <c r="V97" i="31"/>
  <c r="V155" i="31"/>
  <c r="V78" i="31"/>
  <c r="V38" i="31"/>
  <c r="V159" i="31"/>
  <c r="V73" i="31"/>
  <c r="V24" i="31"/>
  <c r="V110" i="31"/>
  <c r="V137" i="31"/>
  <c r="V90" i="31"/>
  <c r="V12" i="31"/>
  <c r="V180" i="31"/>
  <c r="V99" i="31"/>
  <c r="V33" i="31"/>
  <c r="V80" i="31"/>
  <c r="V43" i="31"/>
  <c r="V184" i="31"/>
  <c r="V69" i="31"/>
  <c r="V154" i="31"/>
  <c r="V68" i="31"/>
  <c r="V54" i="31"/>
  <c r="V115" i="31"/>
  <c r="V178" i="31"/>
  <c r="V158" i="31"/>
  <c r="V171" i="31"/>
  <c r="V103" i="31"/>
  <c r="V101" i="31"/>
  <c r="V84" i="31"/>
  <c r="V106" i="31"/>
  <c r="V42" i="31"/>
  <c r="V193" i="31"/>
  <c r="V66" i="31"/>
  <c r="V25" i="31"/>
  <c r="V124" i="31"/>
  <c r="V197" i="31"/>
  <c r="V93" i="31"/>
  <c r="V23" i="31"/>
  <c r="V142" i="31"/>
  <c r="V9" i="31"/>
  <c r="V76" i="31"/>
  <c r="V7" i="31"/>
  <c r="V166" i="31"/>
  <c r="V131" i="31"/>
  <c r="V13" i="31"/>
  <c r="V30" i="31"/>
  <c r="V59" i="31"/>
  <c r="V62" i="31"/>
  <c r="V88" i="31"/>
  <c r="V11" i="31"/>
  <c r="V32" i="31"/>
  <c r="V46" i="31"/>
  <c r="V149" i="31"/>
  <c r="V196" i="31"/>
  <c r="V140" i="31"/>
  <c r="V49" i="31"/>
  <c r="V191" i="31"/>
  <c r="V107" i="31"/>
  <c r="V39" i="31"/>
  <c r="V102" i="31"/>
  <c r="V71" i="31"/>
  <c r="V177" i="31"/>
  <c r="V50" i="31"/>
  <c r="V144" i="31"/>
  <c r="V185" i="31"/>
  <c r="S9" i="31"/>
  <c r="S104" i="31"/>
  <c r="O293" i="31" s="1"/>
  <c r="AU293" i="31" s="1"/>
  <c r="S88" i="31"/>
  <c r="O279" i="31" s="1"/>
  <c r="AU279" i="31" s="1"/>
  <c r="S99" i="31"/>
  <c r="O289" i="31" s="1"/>
  <c r="AU289" i="31" s="1"/>
  <c r="S144" i="31"/>
  <c r="O325" i="31" s="1"/>
  <c r="AU325" i="31" s="1"/>
  <c r="S71" i="31"/>
  <c r="O264" i="31" s="1"/>
  <c r="AU264" i="31" s="1"/>
  <c r="S115" i="31"/>
  <c r="O301" i="31" s="1"/>
  <c r="AU301" i="31" s="1"/>
  <c r="BD301" i="31" s="1"/>
  <c r="S39" i="31"/>
  <c r="O236" i="31" s="1"/>
  <c r="AU236" i="31" s="1"/>
  <c r="S159" i="31"/>
  <c r="S131" i="31"/>
  <c r="O315" i="31" s="1"/>
  <c r="AU315" i="31" s="1"/>
  <c r="S25" i="31"/>
  <c r="S142" i="31"/>
  <c r="O323" i="31" s="1"/>
  <c r="AU323" i="31" s="1"/>
  <c r="S40" i="31"/>
  <c r="O237" i="31" s="1"/>
  <c r="AU237" i="31" s="1"/>
  <c r="S90" i="31"/>
  <c r="S68" i="31"/>
  <c r="O261" i="31" s="1"/>
  <c r="AU261" i="31" s="1"/>
  <c r="S194" i="31"/>
  <c r="O370" i="31" s="1"/>
  <c r="AU370" i="31" s="1"/>
  <c r="S13" i="31"/>
  <c r="S155" i="31"/>
  <c r="S107" i="31"/>
  <c r="S28" i="31"/>
  <c r="O227" i="31" s="1"/>
  <c r="AU227" i="31" s="1"/>
  <c r="BA227" i="31" s="1"/>
  <c r="S180" i="31"/>
  <c r="O356" i="31" s="1"/>
  <c r="AU356" i="31" s="1"/>
  <c r="S54" i="31"/>
  <c r="O251" i="31" s="1"/>
  <c r="AU251" i="31" s="1"/>
  <c r="S166" i="31"/>
  <c r="O344" i="31" s="1"/>
  <c r="AU344" i="31" s="1"/>
  <c r="S70" i="31"/>
  <c r="O263" i="31" s="1"/>
  <c r="AU263" i="31" s="1"/>
  <c r="S72" i="31"/>
  <c r="O265" i="31" s="1"/>
  <c r="AU265" i="31" s="1"/>
  <c r="S46" i="31"/>
  <c r="S84" i="31"/>
  <c r="O275" i="31" s="1"/>
  <c r="AU275" i="31" s="1"/>
  <c r="S45" i="31"/>
  <c r="O242" i="31" s="1"/>
  <c r="AU242" i="31" s="1"/>
  <c r="BA242" i="31" s="1"/>
  <c r="S11" i="31"/>
  <c r="O213" i="31" s="1"/>
  <c r="AU213" i="31" s="1"/>
  <c r="BD213" i="31" s="1"/>
  <c r="S149" i="31"/>
  <c r="O331" i="31" s="1"/>
  <c r="AU331" i="31" s="1"/>
  <c r="S161" i="31"/>
  <c r="O339" i="31" s="1"/>
  <c r="AU339" i="31" s="1"/>
  <c r="S196" i="31"/>
  <c r="O372" i="31" s="1"/>
  <c r="AU372" i="31" s="1"/>
  <c r="S151" i="31"/>
  <c r="O333" i="31" s="1"/>
  <c r="AU333" i="31" s="1"/>
  <c r="S185" i="31"/>
  <c r="O361" i="31" s="1"/>
  <c r="AU361" i="31" s="1"/>
  <c r="S62" i="31"/>
  <c r="O256" i="31" s="1"/>
  <c r="AU256" i="31" s="1"/>
  <c r="S23" i="31"/>
  <c r="O223" i="31" s="1"/>
  <c r="AU223" i="31" s="1"/>
  <c r="S140" i="31"/>
  <c r="S103" i="31"/>
  <c r="O292" i="31" s="1"/>
  <c r="AU292" i="31" s="1"/>
  <c r="S30" i="31"/>
  <c r="O229" i="31" s="1"/>
  <c r="AU229" i="31" s="1"/>
  <c r="S177" i="31"/>
  <c r="O354" i="31" s="1"/>
  <c r="AU354" i="31" s="1"/>
  <c r="S31" i="31"/>
  <c r="S73" i="31"/>
  <c r="O266" i="31" s="1"/>
  <c r="AU266" i="31" s="1"/>
  <c r="S87" i="31"/>
  <c r="O278" i="31" s="1"/>
  <c r="AU278" i="31" s="1"/>
  <c r="S36" i="31"/>
  <c r="O233" i="31" s="1"/>
  <c r="AU233" i="31" s="1"/>
  <c r="S184" i="31"/>
  <c r="O360" i="31" s="1"/>
  <c r="AU360" i="31" s="1"/>
  <c r="S74" i="31"/>
  <c r="S110" i="31"/>
  <c r="O297" i="31" s="1"/>
  <c r="AU297" i="31" s="1"/>
  <c r="BE297" i="31" s="1"/>
  <c r="S178" i="31"/>
  <c r="S193" i="31"/>
  <c r="O369" i="31" s="1"/>
  <c r="AU369" i="31" s="1"/>
  <c r="S42" i="31"/>
  <c r="O239" i="31" s="1"/>
  <c r="AU239" i="31" s="1"/>
  <c r="S171" i="31"/>
  <c r="O348" i="31" s="1"/>
  <c r="AU348" i="31" s="1"/>
  <c r="S102" i="31"/>
  <c r="O291" i="31" s="1"/>
  <c r="AU291" i="31" s="1"/>
  <c r="S121" i="31"/>
  <c r="O306" i="31" s="1"/>
  <c r="AU306" i="31" s="1"/>
  <c r="S50" i="31"/>
  <c r="O247" i="31" s="1"/>
  <c r="AU247" i="31" s="1"/>
  <c r="S12" i="31"/>
  <c r="O214" i="31" s="1"/>
  <c r="AU214" i="31" s="1"/>
  <c r="S158" i="31"/>
  <c r="O337" i="31" s="1"/>
  <c r="AU337" i="31" s="1"/>
  <c r="S49" i="31"/>
  <c r="O246" i="31" s="1"/>
  <c r="AU246" i="31" s="1"/>
  <c r="S66" i="31"/>
  <c r="O259" i="31" s="1"/>
  <c r="AU259" i="31" s="1"/>
  <c r="S59" i="31"/>
  <c r="O255" i="31" s="1"/>
  <c r="AU255" i="31" s="1"/>
  <c r="S94" i="31"/>
  <c r="O283" i="31" s="1"/>
  <c r="AU283" i="31" s="1"/>
  <c r="S137" i="31"/>
  <c r="O321" i="31" s="1"/>
  <c r="AU321" i="31" s="1"/>
  <c r="S44" i="31"/>
  <c r="O241" i="31" s="1"/>
  <c r="AU241" i="31" s="1"/>
  <c r="S76" i="31"/>
  <c r="O267" i="31" s="1"/>
  <c r="AU267" i="31" s="1"/>
  <c r="BD267" i="31" s="1"/>
  <c r="S100" i="31"/>
  <c r="S93" i="31"/>
  <c r="S119" i="31"/>
  <c r="S24" i="31"/>
  <c r="O224" i="31" s="1"/>
  <c r="AU224" i="31" s="1"/>
  <c r="S197" i="31"/>
  <c r="O373" i="31" s="1"/>
  <c r="AU373" i="31" s="1"/>
  <c r="S80" i="31"/>
  <c r="O271" i="31" s="1"/>
  <c r="AU271" i="31" s="1"/>
  <c r="AV271" i="31" s="1"/>
  <c r="S33" i="31"/>
  <c r="O231" i="31" s="1"/>
  <c r="AU231" i="31" s="1"/>
  <c r="BC231" i="31" s="1"/>
  <c r="S35" i="31"/>
  <c r="O245" i="31" s="1"/>
  <c r="AU245" i="31" s="1"/>
  <c r="S97" i="31"/>
  <c r="O286" i="31" s="1"/>
  <c r="AU286" i="31" s="1"/>
  <c r="S124" i="31"/>
  <c r="O309" i="31" s="1"/>
  <c r="AU309" i="31" s="1"/>
  <c r="S38" i="31"/>
  <c r="O235" i="31" s="1"/>
  <c r="AU235" i="31" s="1"/>
  <c r="S106" i="31"/>
  <c r="O295" i="31" s="1"/>
  <c r="AU295" i="31" s="1"/>
  <c r="S101" i="31"/>
  <c r="O290" i="31" s="1"/>
  <c r="AU290" i="31" s="1"/>
  <c r="S78" i="31"/>
  <c r="O269" i="31" s="1"/>
  <c r="AU269" i="31" s="1"/>
  <c r="AX269" i="31" s="1"/>
  <c r="S183" i="31"/>
  <c r="O359" i="31" s="1"/>
  <c r="AU359" i="31" s="1"/>
  <c r="S43" i="31"/>
  <c r="O240" i="31" s="1"/>
  <c r="AU240" i="31" s="1"/>
  <c r="S89" i="31"/>
  <c r="O280" i="31" s="1"/>
  <c r="AU280" i="31" s="1"/>
  <c r="V143" i="31"/>
  <c r="V130" i="31"/>
  <c r="V198" i="31"/>
  <c r="V8" i="31"/>
  <c r="V163" i="31"/>
  <c r="V167" i="31"/>
  <c r="V179" i="31"/>
  <c r="V199" i="31"/>
  <c r="V127" i="31"/>
  <c r="V57" i="31"/>
  <c r="V75" i="31"/>
  <c r="V56" i="31"/>
  <c r="Z130" i="31"/>
  <c r="Z187" i="31"/>
  <c r="Z169" i="31"/>
  <c r="Z200" i="31"/>
  <c r="Z195" i="31"/>
  <c r="Z147" i="31"/>
  <c r="Z92" i="31"/>
  <c r="Z189" i="31"/>
  <c r="Z168" i="31"/>
  <c r="Z21" i="31"/>
  <c r="Z75" i="31"/>
  <c r="Z19" i="31"/>
  <c r="Z125" i="31"/>
  <c r="S172" i="31"/>
  <c r="O349" i="31" s="1"/>
  <c r="AU349" i="31" s="1"/>
  <c r="S195" i="31"/>
  <c r="O371" i="31" s="1"/>
  <c r="AU371" i="31" s="1"/>
  <c r="S167" i="31"/>
  <c r="O345" i="31" s="1"/>
  <c r="AU345" i="31" s="1"/>
  <c r="S147" i="31"/>
  <c r="O329" i="31" s="1"/>
  <c r="AU329" i="31" s="1"/>
  <c r="S174" i="31"/>
  <c r="O351" i="31" s="1"/>
  <c r="AU351" i="31" s="1"/>
  <c r="BE351" i="31" s="1"/>
  <c r="S109" i="31"/>
  <c r="O296" i="31" s="1"/>
  <c r="AU296" i="31" s="1"/>
  <c r="S170" i="31"/>
  <c r="O288" i="31" s="1"/>
  <c r="AU288" i="31" s="1"/>
  <c r="S113" i="31"/>
  <c r="O299" i="31" s="1"/>
  <c r="AU299" i="31" s="1"/>
  <c r="S51" i="31"/>
  <c r="O248" i="31" s="1"/>
  <c r="AU248" i="31" s="1"/>
  <c r="S55" i="31"/>
  <c r="S47" i="31"/>
  <c r="O243" i="31" s="1"/>
  <c r="AU243" i="31" s="1"/>
  <c r="BC243" i="31" s="1"/>
  <c r="S64" i="31"/>
  <c r="S79" i="31"/>
  <c r="O270" i="31" s="1"/>
  <c r="AU270" i="31" s="1"/>
  <c r="AZ270" i="31" s="1"/>
  <c r="AG7" i="31"/>
  <c r="V29" i="31"/>
  <c r="AG189" i="31"/>
  <c r="AG167" i="31"/>
  <c r="AG95" i="31"/>
  <c r="AG141" i="31"/>
  <c r="AG170" i="31"/>
  <c r="AG132" i="31"/>
  <c r="AG190" i="31"/>
  <c r="AG105" i="31"/>
  <c r="AG165" i="31"/>
  <c r="AG64" i="31"/>
  <c r="AG53" i="31"/>
  <c r="AG14" i="31"/>
  <c r="AG19" i="31"/>
  <c r="AC167" i="31"/>
  <c r="AC8" i="31"/>
  <c r="AC174" i="31"/>
  <c r="AC109" i="31"/>
  <c r="AC114" i="31"/>
  <c r="AC126" i="31"/>
  <c r="AC132" i="31"/>
  <c r="AC82" i="31"/>
  <c r="AC10" i="31"/>
  <c r="AC51" i="31"/>
  <c r="W130" i="31"/>
  <c r="W132" i="31"/>
  <c r="W17" i="31"/>
  <c r="AC28" i="31"/>
  <c r="Z155" i="31"/>
  <c r="V72" i="31"/>
  <c r="Z69" i="31"/>
  <c r="S22" i="31"/>
  <c r="O222" i="31" s="1"/>
  <c r="AU222" i="31" s="1"/>
  <c r="AG104" i="31"/>
  <c r="Z59" i="31"/>
  <c r="W80" i="31"/>
  <c r="AG194" i="31"/>
  <c r="AC35" i="31"/>
  <c r="AC72" i="31"/>
  <c r="Z170" i="31"/>
  <c r="Z126" i="31"/>
  <c r="Z186" i="31"/>
  <c r="Z192" i="31"/>
  <c r="Z133" i="31"/>
  <c r="Z122" i="31"/>
  <c r="Z53" i="31"/>
  <c r="Z52" i="31"/>
  <c r="Z14" i="31"/>
  <c r="Z164" i="31"/>
  <c r="S133" i="31"/>
  <c r="O317" i="31" s="1"/>
  <c r="AU317" i="31" s="1"/>
  <c r="S182" i="31"/>
  <c r="O358" i="31" s="1"/>
  <c r="AU358" i="31" s="1"/>
  <c r="S190" i="31"/>
  <c r="O367" i="31" s="1"/>
  <c r="AU367" i="31" s="1"/>
  <c r="S186" i="31"/>
  <c r="S18" i="31"/>
  <c r="S176" i="31"/>
  <c r="O353" i="31" s="1"/>
  <c r="AU353" i="31" s="1"/>
  <c r="S179" i="31"/>
  <c r="O355" i="31" s="1"/>
  <c r="AU355" i="31" s="1"/>
  <c r="S173" i="31"/>
  <c r="O350" i="31" s="1"/>
  <c r="AU350" i="31" s="1"/>
  <c r="S129" i="31"/>
  <c r="O313" i="31" s="1"/>
  <c r="AU313" i="31" s="1"/>
  <c r="BE313" i="31" s="1"/>
  <c r="S21" i="31"/>
  <c r="O221" i="31" s="1"/>
  <c r="AU221" i="31" s="1"/>
  <c r="S52" i="31"/>
  <c r="O249" i="31" s="1"/>
  <c r="AU249" i="31" s="1"/>
  <c r="S19" i="31"/>
  <c r="O219" i="31" s="1"/>
  <c r="AU219" i="31" s="1"/>
  <c r="V28" i="31"/>
  <c r="AG133" i="31"/>
  <c r="AG150" i="31"/>
  <c r="AG143" i="31"/>
  <c r="AG169" i="31"/>
  <c r="AG182" i="31"/>
  <c r="AG181" i="31"/>
  <c r="AG172" i="31"/>
  <c r="AG192" i="31"/>
  <c r="AG164" i="31"/>
  <c r="AG58" i="31"/>
  <c r="AG57" i="31"/>
  <c r="AG16" i="31"/>
  <c r="W5" i="31"/>
  <c r="AC190" i="31"/>
  <c r="AC186" i="31"/>
  <c r="AC18" i="31"/>
  <c r="AC176" i="31"/>
  <c r="AC118" i="31"/>
  <c r="AC128" i="31"/>
  <c r="AC111" i="31"/>
  <c r="AC56" i="31"/>
  <c r="AC122" i="31"/>
  <c r="S5" i="31"/>
  <c r="O208" i="31" s="1"/>
  <c r="AU208" i="31" s="1"/>
  <c r="W114" i="31"/>
  <c r="W92" i="31"/>
  <c r="W55" i="31"/>
  <c r="AC30" i="31"/>
  <c r="AG84" i="31"/>
  <c r="AC39" i="31"/>
  <c r="AG166" i="31"/>
  <c r="W25" i="31"/>
  <c r="S154" i="31"/>
  <c r="O338" i="31" s="1"/>
  <c r="AU338" i="31" s="1"/>
  <c r="BD338" i="31" s="1"/>
  <c r="AC185" i="31"/>
  <c r="AG177" i="31"/>
  <c r="S86" i="31"/>
  <c r="O277" i="31" s="1"/>
  <c r="AU277" i="31" s="1"/>
  <c r="W39" i="31"/>
  <c r="V104" i="31"/>
  <c r="W106" i="31"/>
  <c r="AC99" i="31"/>
  <c r="AC166" i="31"/>
  <c r="Z149" i="31"/>
  <c r="Z199" i="31"/>
  <c r="V105" i="31"/>
  <c r="Z34" i="31"/>
  <c r="V113" i="31"/>
  <c r="V172" i="31"/>
  <c r="V160" i="31"/>
  <c r="V132" i="31"/>
  <c r="V27" i="31"/>
  <c r="V37" i="31"/>
  <c r="V133" i="31"/>
  <c r="V187" i="31"/>
  <c r="V16" i="31"/>
  <c r="V165" i="31"/>
  <c r="V168" i="31"/>
  <c r="V21" i="31"/>
  <c r="Z150" i="31"/>
  <c r="Z179" i="31"/>
  <c r="Z18" i="31"/>
  <c r="Z182" i="31"/>
  <c r="Z198" i="31"/>
  <c r="Z160" i="31"/>
  <c r="Z173" i="31"/>
  <c r="Z176" i="31"/>
  <c r="Z85" i="31"/>
  <c r="Z63" i="31"/>
  <c r="Z20" i="31"/>
  <c r="Z127" i="31"/>
  <c r="AG42" i="31"/>
  <c r="S139" i="31"/>
  <c r="O322" i="31" s="1"/>
  <c r="AU322" i="31" s="1"/>
  <c r="S92" i="31"/>
  <c r="O282" i="31" s="1"/>
  <c r="AU282" i="31" s="1"/>
  <c r="S198" i="31"/>
  <c r="O374" i="31" s="1"/>
  <c r="AU374" i="31" s="1"/>
  <c r="S112" i="31"/>
  <c r="O298" i="31" s="1"/>
  <c r="AU298" i="31" s="1"/>
  <c r="AY298" i="31" s="1"/>
  <c r="S201" i="31"/>
  <c r="O377" i="31" s="1"/>
  <c r="AU377" i="31" s="1"/>
  <c r="S96" i="31"/>
  <c r="O285" i="31" s="1"/>
  <c r="AU285" i="31" s="1"/>
  <c r="S114" i="31"/>
  <c r="O300" i="31" s="1"/>
  <c r="AU300" i="31" s="1"/>
  <c r="BC300" i="31" s="1"/>
  <c r="S199" i="31"/>
  <c r="O375" i="31" s="1"/>
  <c r="AU375" i="31" s="1"/>
  <c r="S135" i="31"/>
  <c r="O319" i="31" s="1"/>
  <c r="AU319" i="31" s="1"/>
  <c r="S20" i="31"/>
  <c r="O220" i="31" s="1"/>
  <c r="AU220" i="31" s="1"/>
  <c r="S10" i="31"/>
  <c r="S63" i="31"/>
  <c r="O257" i="31" s="1"/>
  <c r="AU257" i="31" s="1"/>
  <c r="AG176" i="31"/>
  <c r="AG37" i="31"/>
  <c r="AG130" i="31"/>
  <c r="AG199" i="31"/>
  <c r="AG188" i="31"/>
  <c r="AG136" i="31"/>
  <c r="AG145" i="31"/>
  <c r="AG173" i="31"/>
  <c r="AG51" i="31"/>
  <c r="AG81" i="31"/>
  <c r="AG10" i="31"/>
  <c r="AG56" i="31"/>
  <c r="AC195" i="31"/>
  <c r="AC198" i="31"/>
  <c r="AC112" i="31"/>
  <c r="AC201" i="31"/>
  <c r="AC96" i="31"/>
  <c r="AC141" i="31"/>
  <c r="AC173" i="31"/>
  <c r="AC146" i="31"/>
  <c r="AC14" i="31"/>
  <c r="AC85" i="31"/>
  <c r="W27" i="31"/>
  <c r="W120" i="31"/>
  <c r="W41" i="31"/>
  <c r="W47" i="31"/>
  <c r="AC159" i="31"/>
  <c r="W166" i="31"/>
  <c r="S61" i="31"/>
  <c r="V151" i="31"/>
  <c r="AC178" i="31"/>
  <c r="AG13" i="31"/>
  <c r="S156" i="31"/>
  <c r="O336" i="31" s="1"/>
  <c r="AU336" i="31" s="1"/>
  <c r="V94" i="31"/>
  <c r="V45" i="31"/>
  <c r="AC155" i="31"/>
  <c r="Z54" i="31"/>
  <c r="V74" i="31"/>
  <c r="Z156" i="31"/>
  <c r="Z143" i="31"/>
  <c r="V44" i="31"/>
  <c r="Z29" i="31"/>
  <c r="V173" i="31"/>
  <c r="V139" i="31"/>
  <c r="V152" i="31"/>
  <c r="V192" i="31"/>
  <c r="V128" i="31"/>
  <c r="V109" i="31"/>
  <c r="V176" i="31"/>
  <c r="V81" i="31"/>
  <c r="V135" i="31"/>
  <c r="V77" i="31"/>
  <c r="V55" i="31"/>
  <c r="V51" i="31"/>
  <c r="Z37" i="31"/>
  <c r="Z113" i="31"/>
  <c r="Z48" i="31"/>
  <c r="Z188" i="31"/>
  <c r="Z134" i="31"/>
  <c r="Z41" i="31"/>
  <c r="Z174" i="31"/>
  <c r="Z27" i="31"/>
  <c r="Z64" i="31"/>
  <c r="Z79" i="31"/>
  <c r="Z16" i="31"/>
  <c r="Z129" i="31"/>
  <c r="AG117" i="31"/>
  <c r="S34" i="31"/>
  <c r="O232" i="31" s="1"/>
  <c r="AU232" i="31" s="1"/>
  <c r="S128" i="31"/>
  <c r="O312" i="31" s="1"/>
  <c r="AU312" i="31" s="1"/>
  <c r="S188" i="31"/>
  <c r="O365" i="31" s="1"/>
  <c r="AU365" i="31" s="1"/>
  <c r="S160" i="31"/>
  <c r="S175" i="31"/>
  <c r="O352" i="31" s="1"/>
  <c r="AU352" i="31" s="1"/>
  <c r="AY352" i="31" s="1"/>
  <c r="S148" i="31"/>
  <c r="O330" i="31" s="1"/>
  <c r="AU330" i="31" s="1"/>
  <c r="AY330" i="31" s="1"/>
  <c r="S48" i="31"/>
  <c r="O244" i="31" s="1"/>
  <c r="AU244" i="31" s="1"/>
  <c r="S118" i="31"/>
  <c r="O304" i="31" s="1"/>
  <c r="AU304" i="31" s="1"/>
  <c r="S134" i="31"/>
  <c r="O318" i="31" s="1"/>
  <c r="AU318" i="31" s="1"/>
  <c r="S122" i="31"/>
  <c r="O307" i="31" s="1"/>
  <c r="AU307" i="31" s="1"/>
  <c r="S53" i="31"/>
  <c r="O250" i="31" s="1"/>
  <c r="AU250" i="31" s="1"/>
  <c r="S14" i="31"/>
  <c r="O215" i="31" s="1"/>
  <c r="AU215" i="31" s="1"/>
  <c r="BA215" i="31" s="1"/>
  <c r="S15" i="31"/>
  <c r="O216" i="31" s="1"/>
  <c r="AU216" i="31" s="1"/>
  <c r="BD216" i="31" s="1"/>
  <c r="Z95" i="31"/>
  <c r="AG27" i="31"/>
  <c r="AG109" i="31"/>
  <c r="AG92" i="31"/>
  <c r="AG18" i="31"/>
  <c r="AG139" i="31"/>
  <c r="AG195" i="31"/>
  <c r="AG147" i="31"/>
  <c r="AG174" i="31"/>
  <c r="AG135" i="31"/>
  <c r="AG47" i="31"/>
  <c r="AG17" i="31"/>
  <c r="AG168" i="31"/>
  <c r="AC182" i="31"/>
  <c r="AC48" i="31"/>
  <c r="AC175" i="31"/>
  <c r="AC148" i="31"/>
  <c r="AC138" i="31"/>
  <c r="AC160" i="31"/>
  <c r="AC169" i="31"/>
  <c r="AC139" i="31"/>
  <c r="AC164" i="31"/>
  <c r="AC81" i="31"/>
  <c r="W136" i="31"/>
  <c r="W146" i="31"/>
  <c r="W48" i="31"/>
  <c r="W53" i="31"/>
  <c r="AG183" i="31"/>
  <c r="Z12" i="31"/>
  <c r="AC90" i="31"/>
  <c r="V194" i="31"/>
  <c r="AC12" i="31"/>
  <c r="AG99" i="31"/>
  <c r="V87" i="31"/>
  <c r="Z103" i="31"/>
  <c r="AG31" i="31"/>
  <c r="AC194" i="31"/>
  <c r="Z177" i="31"/>
  <c r="S6" i="31"/>
  <c r="O209" i="31" s="1"/>
  <c r="AU209" i="31" s="1"/>
  <c r="V70" i="31"/>
  <c r="AG107" i="31"/>
  <c r="W107" i="31"/>
  <c r="AC78" i="31"/>
  <c r="AG43" i="31"/>
  <c r="Z167" i="31"/>
  <c r="V116" i="31"/>
  <c r="V174" i="31"/>
  <c r="V108" i="31"/>
  <c r="V190" i="31"/>
  <c r="V186" i="31"/>
  <c r="V138" i="31"/>
  <c r="V96" i="31"/>
  <c r="V114" i="31"/>
  <c r="V125" i="31"/>
  <c r="V15" i="31"/>
  <c r="V19" i="31"/>
  <c r="V202" i="31"/>
  <c r="Z109" i="31"/>
  <c r="Z8" i="31"/>
  <c r="Z120" i="31"/>
  <c r="Z139" i="31"/>
  <c r="Z152" i="31"/>
  <c r="Z175" i="31"/>
  <c r="Z112" i="31"/>
  <c r="Z138" i="31"/>
  <c r="Z58" i="31"/>
  <c r="Z47" i="31"/>
  <c r="Z56" i="31"/>
  <c r="Z51" i="31"/>
  <c r="AG102" i="31"/>
  <c r="AC29" i="31"/>
  <c r="S169" i="31"/>
  <c r="O347" i="31" s="1"/>
  <c r="AU347" i="31" s="1"/>
  <c r="BB347" i="31" s="1"/>
  <c r="S152" i="31"/>
  <c r="O334" i="31" s="1"/>
  <c r="AU334" i="31" s="1"/>
  <c r="S41" i="31"/>
  <c r="O238" i="31" s="1"/>
  <c r="AU238" i="31" s="1"/>
  <c r="S189" i="31"/>
  <c r="O366" i="31" s="1"/>
  <c r="AU366" i="31" s="1"/>
  <c r="AW366" i="31" s="1"/>
  <c r="S163" i="31"/>
  <c r="O341" i="31" s="1"/>
  <c r="AU341" i="31" s="1"/>
  <c r="AV341" i="31" s="1"/>
  <c r="S138" i="31"/>
  <c r="S141" i="31"/>
  <c r="S120" i="31"/>
  <c r="O305" i="31" s="1"/>
  <c r="AU305" i="31" s="1"/>
  <c r="S82" i="31"/>
  <c r="O273" i="31" s="1"/>
  <c r="AU273" i="31" s="1"/>
  <c r="BD273" i="31" s="1"/>
  <c r="S165" i="31"/>
  <c r="O343" i="31" s="1"/>
  <c r="AU343" i="31" s="1"/>
  <c r="AV343" i="31" s="1"/>
  <c r="S168" i="31"/>
  <c r="O346" i="31" s="1"/>
  <c r="AU346" i="31" s="1"/>
  <c r="AC34" i="31"/>
  <c r="AG48" i="31"/>
  <c r="AG114" i="31"/>
  <c r="AG179" i="31"/>
  <c r="AG120" i="31"/>
  <c r="AG128" i="31"/>
  <c r="AG198" i="31"/>
  <c r="AG186" i="31"/>
  <c r="AG112" i="31"/>
  <c r="AG127" i="31"/>
  <c r="AG21" i="31"/>
  <c r="AG125" i="31"/>
  <c r="AG123" i="31"/>
  <c r="AC92" i="31"/>
  <c r="AC41" i="31"/>
  <c r="AC105" i="31"/>
  <c r="AC98" i="31"/>
  <c r="AC153" i="31"/>
  <c r="AC187" i="31"/>
  <c r="AC199" i="31"/>
  <c r="AC108" i="31"/>
  <c r="AC64" i="31"/>
  <c r="AC129" i="31"/>
  <c r="AG90" i="31"/>
  <c r="W167" i="31"/>
  <c r="W134" i="31"/>
  <c r="W82" i="31"/>
  <c r="W20" i="31"/>
  <c r="AC5" i="31"/>
  <c r="V119" i="31"/>
  <c r="Z5" i="31"/>
  <c r="AG50" i="31"/>
  <c r="AC124" i="31"/>
  <c r="W72" i="31"/>
  <c r="Z50" i="31"/>
  <c r="W54" i="31"/>
  <c r="AC151" i="31"/>
  <c r="Z93" i="31"/>
  <c r="AC38" i="31"/>
  <c r="AG24" i="31"/>
  <c r="V36" i="31"/>
  <c r="W159" i="31"/>
  <c r="AG65" i="31"/>
  <c r="Z80" i="31"/>
  <c r="AG101" i="31"/>
  <c r="AG149" i="31"/>
  <c r="U124" i="31"/>
  <c r="U33" i="31"/>
  <c r="U80" i="31"/>
  <c r="W184" i="31"/>
  <c r="W196" i="31"/>
  <c r="W43" i="31"/>
  <c r="W89" i="31"/>
  <c r="W177" i="31"/>
  <c r="W194" i="31"/>
  <c r="W65" i="31"/>
  <c r="W155" i="31"/>
  <c r="W149" i="31"/>
  <c r="AG131" i="31"/>
  <c r="O5" i="31"/>
  <c r="P6" i="31"/>
  <c r="AE110" i="31"/>
  <c r="R110" i="31"/>
  <c r="AD102" i="31"/>
  <c r="R90" i="31"/>
  <c r="P67" i="31"/>
  <c r="R67" i="31"/>
  <c r="AD38" i="31"/>
  <c r="AE38" i="31"/>
  <c r="O22" i="31"/>
  <c r="R22" i="31"/>
  <c r="O9" i="31"/>
  <c r="AE36" i="31"/>
  <c r="AD45" i="31"/>
  <c r="AE45" i="31"/>
  <c r="AD25" i="31"/>
  <c r="AE25" i="31"/>
  <c r="AD7" i="31"/>
  <c r="AE194" i="31"/>
  <c r="O183" i="31"/>
  <c r="Q156" i="31"/>
  <c r="Q158" i="31"/>
  <c r="P107" i="31"/>
  <c r="AI100" i="31"/>
  <c r="R87" i="31"/>
  <c r="Q87" i="31"/>
  <c r="O84" i="31"/>
  <c r="O72" i="31"/>
  <c r="AE54" i="31"/>
  <c r="O61" i="31"/>
  <c r="P12" i="31"/>
  <c r="AD12" i="31"/>
  <c r="Q33" i="31"/>
  <c r="AE101" i="31"/>
  <c r="R101" i="31"/>
  <c r="Q103" i="31"/>
  <c r="O115" i="31"/>
  <c r="R104" i="31"/>
  <c r="P68" i="31"/>
  <c r="R68" i="31"/>
  <c r="O88" i="31"/>
  <c r="AE88" i="31"/>
  <c r="AD5" i="31"/>
  <c r="AI5" i="31"/>
  <c r="P5" i="31"/>
  <c r="Q5" i="31"/>
  <c r="R6" i="31"/>
  <c r="Q110" i="31"/>
  <c r="Q90" i="31"/>
  <c r="Q38" i="31"/>
  <c r="AD22" i="31"/>
  <c r="R9" i="31"/>
  <c r="O40" i="31"/>
  <c r="AI40" i="31"/>
  <c r="Q36" i="31"/>
  <c r="Q45" i="31"/>
  <c r="Q25" i="31"/>
  <c r="O30" i="31"/>
  <c r="P7" i="31"/>
  <c r="Q194" i="31"/>
  <c r="R183" i="31"/>
  <c r="P142" i="31"/>
  <c r="AD100" i="31"/>
  <c r="P84" i="31"/>
  <c r="Q78" i="31"/>
  <c r="Q72" i="31"/>
  <c r="AI54" i="31"/>
  <c r="AE74" i="31"/>
  <c r="O24" i="31"/>
  <c r="P154" i="31"/>
  <c r="Q101" i="31"/>
  <c r="AD115" i="31"/>
  <c r="O50" i="31"/>
  <c r="R50" i="31"/>
  <c r="AI88" i="31"/>
  <c r="AI86" i="31"/>
  <c r="AD49" i="31"/>
  <c r="Q49" i="31"/>
  <c r="AE184" i="31"/>
  <c r="P178" i="31"/>
  <c r="P185" i="31"/>
  <c r="P196" i="31"/>
  <c r="AI191" i="31"/>
  <c r="AE5" i="31"/>
  <c r="AI6" i="31"/>
  <c r="AE102" i="31"/>
  <c r="AI90" i="31"/>
  <c r="AE62" i="31"/>
  <c r="P9" i="31"/>
  <c r="R36" i="31"/>
  <c r="AI25" i="31"/>
  <c r="AD30" i="31"/>
  <c r="R7" i="31"/>
  <c r="R194" i="31"/>
  <c r="AE183" i="31"/>
  <c r="O197" i="31"/>
  <c r="Q197" i="31"/>
  <c r="AD156" i="31"/>
  <c r="O158" i="31"/>
  <c r="P158" i="31"/>
  <c r="R142" i="31"/>
  <c r="AD107" i="31"/>
  <c r="R100" i="31"/>
  <c r="R84" i="31"/>
  <c r="AE78" i="31"/>
  <c r="AD72" i="31"/>
  <c r="AD74" i="31"/>
  <c r="R74" i="31"/>
  <c r="AD24" i="31"/>
  <c r="AE12" i="31"/>
  <c r="O12" i="31"/>
  <c r="AD154" i="31"/>
  <c r="AI103" i="31"/>
  <c r="AE115" i="31"/>
  <c r="Q115" i="31"/>
  <c r="Q68" i="31"/>
  <c r="O73" i="31"/>
  <c r="AD86" i="31"/>
  <c r="O184" i="31"/>
  <c r="R184" i="31"/>
  <c r="AE178" i="31"/>
  <c r="AI196" i="31"/>
  <c r="AD191" i="31"/>
  <c r="AD171" i="31"/>
  <c r="O155" i="31"/>
  <c r="AI155" i="31"/>
  <c r="P137" i="31"/>
  <c r="AI137" i="31"/>
  <c r="AE159" i="31"/>
  <c r="O131" i="31"/>
  <c r="Q151" i="31"/>
  <c r="P97" i="31"/>
  <c r="P99" i="31"/>
  <c r="AI121" i="31"/>
  <c r="O106" i="31"/>
  <c r="R76" i="31"/>
  <c r="P59" i="31"/>
  <c r="Q65" i="31"/>
  <c r="P89" i="31"/>
  <c r="AE6" i="31"/>
  <c r="AE90" i="31"/>
  <c r="P62" i="31"/>
  <c r="Q40" i="31"/>
  <c r="R45" i="31"/>
  <c r="P194" i="31"/>
  <c r="O156" i="31"/>
  <c r="R158" i="31"/>
  <c r="Q142" i="31"/>
  <c r="AI107" i="31"/>
  <c r="AE100" i="31"/>
  <c r="O100" i="31"/>
  <c r="AD87" i="31"/>
  <c r="AE84" i="31"/>
  <c r="Q24" i="31"/>
  <c r="AD101" i="31"/>
  <c r="P103" i="31"/>
  <c r="AE104" i="31"/>
  <c r="AD68" i="31"/>
  <c r="AI50" i="31"/>
  <c r="AE73" i="31"/>
  <c r="AI49" i="31"/>
  <c r="R178" i="31"/>
  <c r="R191" i="31"/>
  <c r="Q171" i="31"/>
  <c r="O137" i="31"/>
  <c r="R144" i="31"/>
  <c r="AE131" i="31"/>
  <c r="R151" i="31"/>
  <c r="AE97" i="31"/>
  <c r="Q97" i="31"/>
  <c r="AE121" i="31"/>
  <c r="Q106" i="31"/>
  <c r="AI76" i="31"/>
  <c r="AE76" i="31"/>
  <c r="AD65" i="31"/>
  <c r="R89" i="31"/>
  <c r="Q70" i="31"/>
  <c r="Q35" i="31"/>
  <c r="AI110" i="31"/>
  <c r="AI102" i="31"/>
  <c r="AE67" i="31"/>
  <c r="O62" i="31"/>
  <c r="AE9" i="31"/>
  <c r="P40" i="31"/>
  <c r="P45" i="31"/>
  <c r="Q7" i="31"/>
  <c r="O194" i="31"/>
  <c r="AD183" i="31"/>
  <c r="AD197" i="31"/>
  <c r="AE156" i="31"/>
  <c r="O142" i="31"/>
  <c r="R107" i="31"/>
  <c r="O87" i="31"/>
  <c r="P78" i="31"/>
  <c r="Q74" i="31"/>
  <c r="Q61" i="31"/>
  <c r="P24" i="31"/>
  <c r="R12" i="31"/>
  <c r="AD33" i="31"/>
  <c r="O103" i="31"/>
  <c r="R88" i="31"/>
  <c r="O86" i="31"/>
  <c r="P49" i="31"/>
  <c r="O178" i="31"/>
  <c r="R196" i="31"/>
  <c r="Q191" i="31"/>
  <c r="P171" i="31"/>
  <c r="Q155" i="31"/>
  <c r="AE137" i="31"/>
  <c r="AI159" i="31"/>
  <c r="AD159" i="31"/>
  <c r="Q144" i="31"/>
  <c r="P131" i="31"/>
  <c r="Q131" i="31"/>
  <c r="AE151" i="31"/>
  <c r="P151" i="31"/>
  <c r="AD121" i="31"/>
  <c r="P106" i="31"/>
  <c r="AE70" i="31"/>
  <c r="P70" i="31"/>
  <c r="P35" i="31"/>
  <c r="AE43" i="31"/>
  <c r="P46" i="31"/>
  <c r="AI177" i="31"/>
  <c r="Q6" i="31"/>
  <c r="R102" i="31"/>
  <c r="O90" i="31"/>
  <c r="AD67" i="31"/>
  <c r="P22" i="31"/>
  <c r="R40" i="31"/>
  <c r="AD36" i="31"/>
  <c r="AI7" i="31"/>
  <c r="P183" i="31"/>
  <c r="AE197" i="31"/>
  <c r="AE158" i="31"/>
  <c r="AD84" i="31"/>
  <c r="R78" i="31"/>
  <c r="O54" i="31"/>
  <c r="AE24" i="31"/>
  <c r="AE154" i="31"/>
  <c r="AI101" i="31"/>
  <c r="AI68" i="31"/>
  <c r="Q50" i="31"/>
  <c r="Q73" i="31"/>
  <c r="AI178" i="31"/>
  <c r="R171" i="31"/>
  <c r="P155" i="31"/>
  <c r="Q140" i="31"/>
  <c r="R140" i="31"/>
  <c r="R159" i="31"/>
  <c r="AD131" i="31"/>
  <c r="O161" i="31"/>
  <c r="AE99" i="31"/>
  <c r="Q59" i="31"/>
  <c r="O65" i="31"/>
  <c r="AE89" i="31"/>
  <c r="AI35" i="31"/>
  <c r="AD23" i="31"/>
  <c r="P43" i="31"/>
  <c r="AI166" i="31"/>
  <c r="R149" i="31"/>
  <c r="AD124" i="31"/>
  <c r="R94" i="31"/>
  <c r="AE119" i="31"/>
  <c r="R119" i="31"/>
  <c r="O83" i="31"/>
  <c r="R80" i="31"/>
  <c r="AD66" i="31"/>
  <c r="Q71" i="31"/>
  <c r="O69" i="31"/>
  <c r="AE31" i="31"/>
  <c r="R31" i="31"/>
  <c r="O6" i="31"/>
  <c r="AD110" i="31"/>
  <c r="AI38" i="31"/>
  <c r="AE30" i="31"/>
  <c r="O7" i="31"/>
  <c r="AD142" i="31"/>
  <c r="AI87" i="31"/>
  <c r="Q84" i="31"/>
  <c r="AD78" i="31"/>
  <c r="AI72" i="31"/>
  <c r="AD61" i="31"/>
  <c r="O33" i="31"/>
  <c r="O104" i="31"/>
  <c r="P73" i="31"/>
  <c r="R49" i="31"/>
  <c r="AE171" i="31"/>
  <c r="AE155" i="31"/>
  <c r="P140" i="31"/>
  <c r="Q137" i="31"/>
  <c r="Q159" i="31"/>
  <c r="AD144" i="31"/>
  <c r="AD161" i="31"/>
  <c r="AD97" i="31"/>
  <c r="AE59" i="31"/>
  <c r="AE65" i="31"/>
  <c r="Q89" i="31"/>
  <c r="R35" i="31"/>
  <c r="O43" i="31"/>
  <c r="AI46" i="31"/>
  <c r="P166" i="31"/>
  <c r="Q166" i="31"/>
  <c r="AI193" i="31"/>
  <c r="Q149" i="31"/>
  <c r="AI124" i="31"/>
  <c r="Q102" i="31"/>
  <c r="P90" i="31"/>
  <c r="AI67" i="31"/>
  <c r="R38" i="31"/>
  <c r="AI9" i="31"/>
  <c r="AD194" i="31"/>
  <c r="P87" i="31"/>
  <c r="O78" i="31"/>
  <c r="R72" i="31"/>
  <c r="P61" i="31"/>
  <c r="AE33" i="31"/>
  <c r="AI154" i="31"/>
  <c r="AE68" i="31"/>
  <c r="R73" i="31"/>
  <c r="AE86" i="31"/>
  <c r="O49" i="31"/>
  <c r="AD184" i="31"/>
  <c r="AI185" i="31"/>
  <c r="AD196" i="31"/>
  <c r="O140" i="31"/>
  <c r="P159" i="31"/>
  <c r="AI131" i="31"/>
  <c r="AI151" i="31"/>
  <c r="AD99" i="31"/>
  <c r="R121" i="31"/>
  <c r="AI106" i="31"/>
  <c r="AD59" i="31"/>
  <c r="AI70" i="31"/>
  <c r="O35" i="31"/>
  <c r="AI23" i="31"/>
  <c r="AD43" i="31"/>
  <c r="O46" i="31"/>
  <c r="R46" i="31"/>
  <c r="AD180" i="31"/>
  <c r="P102" i="31"/>
  <c r="AD90" i="31"/>
  <c r="Q67" i="31"/>
  <c r="AD62" i="31"/>
  <c r="P38" i="31"/>
  <c r="AE40" i="31"/>
  <c r="AI30" i="31"/>
  <c r="AI197" i="31"/>
  <c r="AD158" i="31"/>
  <c r="AI142" i="31"/>
  <c r="Q107" i="31"/>
  <c r="AE87" i="31"/>
  <c r="Q54" i="31"/>
  <c r="AE61" i="31"/>
  <c r="AI12" i="31"/>
  <c r="R154" i="31"/>
  <c r="AD103" i="31"/>
  <c r="AD104" i="31"/>
  <c r="P50" i="31"/>
  <c r="AI73" i="31"/>
  <c r="R86" i="31"/>
  <c r="AI184" i="31"/>
  <c r="R185" i="31"/>
  <c r="P191" i="31"/>
  <c r="AE140" i="31"/>
  <c r="O159" i="31"/>
  <c r="AI144" i="31"/>
  <c r="O151" i="31"/>
  <c r="R161" i="31"/>
  <c r="AI97" i="31"/>
  <c r="Q121" i="31"/>
  <c r="R106" i="31"/>
  <c r="AD76" i="31"/>
  <c r="R70" i="31"/>
  <c r="AE35" i="31"/>
  <c r="R23" i="31"/>
  <c r="AE46" i="31"/>
  <c r="Q46" i="31"/>
  <c r="R177" i="31"/>
  <c r="Q193" i="31"/>
  <c r="AD149" i="31"/>
  <c r="O149" i="31"/>
  <c r="AI93" i="31"/>
  <c r="O102" i="31"/>
  <c r="O38" i="31"/>
  <c r="AE22" i="31"/>
  <c r="AI36" i="31"/>
  <c r="R30" i="31"/>
  <c r="AI194" i="31"/>
  <c r="R197" i="31"/>
  <c r="P54" i="31"/>
  <c r="P74" i="31"/>
  <c r="AI33" i="31"/>
  <c r="Q154" i="31"/>
  <c r="P101" i="31"/>
  <c r="Q88" i="31"/>
  <c r="Q86" i="31"/>
  <c r="Q184" i="31"/>
  <c r="AD178" i="31"/>
  <c r="Q185" i="31"/>
  <c r="O191" i="31"/>
  <c r="AD140" i="31"/>
  <c r="P144" i="31"/>
  <c r="AE161" i="31"/>
  <c r="Q161" i="31"/>
  <c r="R97" i="31"/>
  <c r="AI99" i="31"/>
  <c r="P121" i="31"/>
  <c r="AE106" i="31"/>
  <c r="AI65" i="31"/>
  <c r="AI89" i="31"/>
  <c r="AD70" i="31"/>
  <c r="Q23" i="31"/>
  <c r="AE23" i="31"/>
  <c r="AI180" i="31"/>
  <c r="P177" i="31"/>
  <c r="P193" i="31"/>
  <c r="AE149" i="31"/>
  <c r="R93" i="31"/>
  <c r="AE124" i="31"/>
  <c r="AD94" i="31"/>
  <c r="AD119" i="31"/>
  <c r="R83" i="31"/>
  <c r="P66" i="31"/>
  <c r="R66" i="31"/>
  <c r="AI71" i="31"/>
  <c r="AD31" i="31"/>
  <c r="P110" i="31"/>
  <c r="AI62" i="31"/>
  <c r="P36" i="31"/>
  <c r="AI45" i="31"/>
  <c r="R25" i="31"/>
  <c r="Q30" i="31"/>
  <c r="P197" i="31"/>
  <c r="AI156" i="31"/>
  <c r="AI158" i="31"/>
  <c r="Q100" i="31"/>
  <c r="AD54" i="31"/>
  <c r="O74" i="31"/>
  <c r="AI61" i="31"/>
  <c r="R33" i="31"/>
  <c r="O154" i="31"/>
  <c r="O101" i="31"/>
  <c r="R103" i="31"/>
  <c r="AI115" i="31"/>
  <c r="AI104" i="31"/>
  <c r="O68" i="31"/>
  <c r="AD50" i="31"/>
  <c r="P88" i="31"/>
  <c r="P86" i="31"/>
  <c r="O185" i="31"/>
  <c r="Q196" i="31"/>
  <c r="AE191" i="31"/>
  <c r="O171" i="31"/>
  <c r="AD155" i="31"/>
  <c r="AD137" i="31"/>
  <c r="O144" i="31"/>
  <c r="R131" i="31"/>
  <c r="R99" i="31"/>
  <c r="O121" i="31"/>
  <c r="Q76" i="31"/>
  <c r="O59" i="31"/>
  <c r="AD89" i="31"/>
  <c r="P23" i="31"/>
  <c r="AI43" i="31"/>
  <c r="P180" i="31"/>
  <c r="R180" i="31"/>
  <c r="O177" i="31"/>
  <c r="Q177" i="31"/>
  <c r="AD166" i="31"/>
  <c r="O193" i="31"/>
  <c r="Q93" i="31"/>
  <c r="AE93" i="31"/>
  <c r="O124" i="31"/>
  <c r="Q94" i="31"/>
  <c r="P83" i="31"/>
  <c r="O66" i="31"/>
  <c r="AE66" i="31"/>
  <c r="AI69" i="31"/>
  <c r="AD69" i="31"/>
  <c r="Q31" i="31"/>
  <c r="AD6" i="31"/>
  <c r="O110" i="31"/>
  <c r="O67" i="31"/>
  <c r="R62" i="31"/>
  <c r="AI22" i="31"/>
  <c r="AD9" i="31"/>
  <c r="AD40" i="31"/>
  <c r="O36" i="31"/>
  <c r="O45" i="31"/>
  <c r="P25" i="31"/>
  <c r="P30" i="31"/>
  <c r="AE7" i="31"/>
  <c r="AI183" i="31"/>
  <c r="R156" i="31"/>
  <c r="AE142" i="31"/>
  <c r="O107" i="31"/>
  <c r="P100" i="31"/>
  <c r="P72" i="31"/>
  <c r="R54" i="31"/>
  <c r="R61" i="31"/>
  <c r="AI24" i="31"/>
  <c r="Q12" i="31"/>
  <c r="AE103" i="31"/>
  <c r="R115" i="31"/>
  <c r="Q104" i="31"/>
  <c r="AE50" i="31"/>
  <c r="AD73" i="31"/>
  <c r="P184" i="31"/>
  <c r="Q178" i="31"/>
  <c r="AE185" i="31"/>
  <c r="O196" i="31"/>
  <c r="AE144" i="31"/>
  <c r="AI161" i="31"/>
  <c r="O97" i="31"/>
  <c r="Q99" i="31"/>
  <c r="P76" i="31"/>
  <c r="AI59" i="31"/>
  <c r="R65" i="31"/>
  <c r="O70" i="31"/>
  <c r="O23" i="31"/>
  <c r="R43" i="31"/>
  <c r="AD46" i="31"/>
  <c r="AE180" i="31"/>
  <c r="Q180" i="31"/>
  <c r="AE177" i="31"/>
  <c r="AD193" i="31"/>
  <c r="AE193" i="31"/>
  <c r="AI149" i="31"/>
  <c r="P93" i="31"/>
  <c r="AD83" i="31"/>
  <c r="AE80" i="31"/>
  <c r="Q66" i="31"/>
  <c r="AD71" i="31"/>
  <c r="R69" i="31"/>
  <c r="P31" i="31"/>
  <c r="Q9" i="31"/>
  <c r="Q183" i="31"/>
  <c r="AE107" i="31"/>
  <c r="AI84" i="31"/>
  <c r="AI74" i="31"/>
  <c r="AI140" i="31"/>
  <c r="R193" i="31"/>
  <c r="P71" i="31"/>
  <c r="O31" i="31"/>
  <c r="AD11" i="31"/>
  <c r="AD13" i="31"/>
  <c r="O93" i="31"/>
  <c r="AD80" i="31"/>
  <c r="AE71" i="31"/>
  <c r="AI39" i="31"/>
  <c r="P11" i="31"/>
  <c r="P13" i="31"/>
  <c r="Q22" i="31"/>
  <c r="P104" i="31"/>
  <c r="R155" i="31"/>
  <c r="O119" i="31"/>
  <c r="AE69" i="31"/>
  <c r="Q62" i="31"/>
  <c r="P33" i="31"/>
  <c r="R137" i="31"/>
  <c r="AD151" i="31"/>
  <c r="AD106" i="31"/>
  <c r="R59" i="31"/>
  <c r="AD35" i="31"/>
  <c r="R11" i="31"/>
  <c r="R13" i="31"/>
  <c r="AE49" i="31"/>
  <c r="AI171" i="31"/>
  <c r="P161" i="31"/>
  <c r="P65" i="31"/>
  <c r="AE166" i="31"/>
  <c r="AD93" i="31"/>
  <c r="Q124" i="31"/>
  <c r="AI94" i="31"/>
  <c r="AE83" i="31"/>
  <c r="Q80" i="31"/>
  <c r="Q69" i="31"/>
  <c r="R39" i="31"/>
  <c r="AE11" i="31"/>
  <c r="Q11" i="31"/>
  <c r="O13" i="31"/>
  <c r="AI119" i="31"/>
  <c r="AI80" i="31"/>
  <c r="Q39" i="31"/>
  <c r="Q119" i="31"/>
  <c r="AI31" i="31"/>
  <c r="P39" i="31"/>
  <c r="AI11" i="31"/>
  <c r="AI13" i="31"/>
  <c r="AI78" i="31"/>
  <c r="AD185" i="31"/>
  <c r="O180" i="31"/>
  <c r="R166" i="31"/>
  <c r="P149" i="31"/>
  <c r="P124" i="31"/>
  <c r="P94" i="31"/>
  <c r="O11" i="31"/>
  <c r="O39" i="31"/>
  <c r="AE72" i="31"/>
  <c r="O99" i="31"/>
  <c r="O166" i="31"/>
  <c r="O94" i="31"/>
  <c r="AE94" i="31"/>
  <c r="P80" i="31"/>
  <c r="R71" i="31"/>
  <c r="AD39" i="31"/>
  <c r="Q43" i="31"/>
  <c r="AD177" i="31"/>
  <c r="Q83" i="31"/>
  <c r="Q13" i="31"/>
  <c r="O25" i="31"/>
  <c r="P156" i="31"/>
  <c r="P115" i="31"/>
  <c r="AD88" i="31"/>
  <c r="AE196" i="31"/>
  <c r="P119" i="31"/>
  <c r="R24" i="31"/>
  <c r="O76" i="31"/>
  <c r="O89" i="31"/>
  <c r="R124" i="31"/>
  <c r="AI83" i="31"/>
  <c r="O80" i="31"/>
  <c r="AI66" i="31"/>
  <c r="O71" i="31"/>
  <c r="P69" i="31"/>
  <c r="AE39" i="31"/>
  <c r="AE13" i="31"/>
  <c r="S7" i="31"/>
  <c r="O210" i="31" s="1"/>
  <c r="AU210" i="31" s="1"/>
  <c r="U99" i="31"/>
  <c r="AC4" i="15"/>
  <c r="B79" i="74" s="1"/>
  <c r="B71" i="74"/>
  <c r="AC131" i="31"/>
  <c r="AA11" i="15"/>
  <c r="X11" i="15" s="1"/>
  <c r="K25" i="1" s="1"/>
  <c r="AL8" i="3" s="1"/>
  <c r="Y11" i="11"/>
  <c r="E13" i="1" s="1"/>
  <c r="AC8" i="15"/>
  <c r="B83" i="74" s="1"/>
  <c r="B75" i="74"/>
  <c r="AC9" i="15"/>
  <c r="B84" i="74" s="1"/>
  <c r="B76" i="74"/>
  <c r="B90" i="74"/>
  <c r="L7" i="18"/>
  <c r="B96" i="74" s="1"/>
  <c r="B86" i="74"/>
  <c r="L3" i="18"/>
  <c r="B92" i="74" s="1"/>
  <c r="AC171" i="31"/>
  <c r="A58" i="123" l="1"/>
  <c r="H55" i="123"/>
  <c r="G55" i="123"/>
  <c r="F55" i="123"/>
  <c r="E55" i="123"/>
  <c r="B56" i="123"/>
  <c r="A58" i="120"/>
  <c r="A58" i="117"/>
  <c r="M72" i="49"/>
  <c r="Q90" i="49" s="1"/>
  <c r="M36" i="49"/>
  <c r="L36" i="49"/>
  <c r="H44" i="110"/>
  <c r="G44" i="110"/>
  <c r="Y42" i="3"/>
  <c r="M42" i="3"/>
  <c r="S42" i="3"/>
  <c r="W42" i="3"/>
  <c r="Q42" i="3"/>
  <c r="EF23" i="71"/>
  <c r="EB23" i="71"/>
  <c r="EE23" i="71"/>
  <c r="DY23" i="71"/>
  <c r="DK24" i="71"/>
  <c r="DZ23" i="71"/>
  <c r="AA4" i="71"/>
  <c r="ED23" i="71"/>
  <c r="EA23" i="71"/>
  <c r="CX23" i="71"/>
  <c r="CY24" i="71" s="1"/>
  <c r="DF23" i="71"/>
  <c r="DG24" i="71" s="1"/>
  <c r="DJ23" i="71"/>
  <c r="DH23" i="71"/>
  <c r="DI24" i="71" s="1"/>
  <c r="DD23" i="71"/>
  <c r="DE24" i="71" s="1"/>
  <c r="CZ23" i="71"/>
  <c r="DA24" i="71" s="1"/>
  <c r="DB23" i="71"/>
  <c r="DC24" i="71" s="1"/>
  <c r="F44" i="110"/>
  <c r="E44" i="110"/>
  <c r="L46" i="110"/>
  <c r="K46" i="110"/>
  <c r="J46" i="110"/>
  <c r="I46" i="110"/>
  <c r="P46" i="110"/>
  <c r="D46" i="110"/>
  <c r="M46" i="110"/>
  <c r="O46" i="110"/>
  <c r="C46" i="110"/>
  <c r="N46" i="110"/>
  <c r="A47" i="110"/>
  <c r="B45" i="110"/>
  <c r="BD250" i="31"/>
  <c r="BB250" i="31"/>
  <c r="AX250" i="31"/>
  <c r="BA250" i="31"/>
  <c r="AY250" i="31"/>
  <c r="BC250" i="31"/>
  <c r="AW250" i="31"/>
  <c r="AX219" i="31"/>
  <c r="AV219" i="31"/>
  <c r="BC219" i="31"/>
  <c r="AW219" i="31"/>
  <c r="BB219" i="31"/>
  <c r="BE219" i="31"/>
  <c r="AZ219" i="31"/>
  <c r="O362" i="31"/>
  <c r="AU362" i="31" s="1"/>
  <c r="BE362" i="31" s="1"/>
  <c r="O363" i="31"/>
  <c r="AU363" i="31" s="1"/>
  <c r="BC348" i="31"/>
  <c r="BE348" i="31"/>
  <c r="AZ348" i="31"/>
  <c r="AY348" i="31"/>
  <c r="AW348" i="31"/>
  <c r="BD348" i="31"/>
  <c r="AV348" i="31"/>
  <c r="BB348" i="31"/>
  <c r="BC278" i="31"/>
  <c r="BE278" i="31"/>
  <c r="AY278" i="31"/>
  <c r="AX278" i="31"/>
  <c r="AZ278" i="31"/>
  <c r="BA278" i="31"/>
  <c r="AW278" i="31"/>
  <c r="BB278" i="31"/>
  <c r="BE275" i="31"/>
  <c r="AX275" i="31"/>
  <c r="AZ275" i="31"/>
  <c r="AV275" i="31"/>
  <c r="BA275" i="31"/>
  <c r="AW275" i="31"/>
  <c r="BB279" i="31"/>
  <c r="AX279" i="31"/>
  <c r="AY279" i="31"/>
  <c r="AV279" i="31"/>
  <c r="AW279" i="31"/>
  <c r="BC279" i="31"/>
  <c r="AZ279" i="31"/>
  <c r="BE279" i="31"/>
  <c r="AV276" i="31"/>
  <c r="BA276" i="31"/>
  <c r="BE276" i="31"/>
  <c r="AY276" i="31"/>
  <c r="BD276" i="31"/>
  <c r="BB276" i="31"/>
  <c r="AW276" i="31"/>
  <c r="AV302" i="31"/>
  <c r="BD302" i="31"/>
  <c r="BC302" i="31"/>
  <c r="BA302" i="31"/>
  <c r="AY302" i="31"/>
  <c r="BB302" i="31"/>
  <c r="AZ302" i="31"/>
  <c r="BC222" i="31"/>
  <c r="AY243" i="31"/>
  <c r="BA225" i="31"/>
  <c r="AY248" i="31"/>
  <c r="BC281" i="31"/>
  <c r="BC257" i="31"/>
  <c r="BA345" i="31"/>
  <c r="BE323" i="31"/>
  <c r="AT332" i="31"/>
  <c r="AV332" i="31"/>
  <c r="AX248" i="31"/>
  <c r="AZ292" i="31"/>
  <c r="AY359" i="31"/>
  <c r="BA281" i="31"/>
  <c r="AW238" i="31"/>
  <c r="BB364" i="31"/>
  <c r="BB245" i="31"/>
  <c r="AY256" i="31"/>
  <c r="BC315" i="31"/>
  <c r="AT261" i="31"/>
  <c r="AV261" i="31"/>
  <c r="BC345" i="31"/>
  <c r="AT318" i="31"/>
  <c r="AV318" i="31"/>
  <c r="AX377" i="31"/>
  <c r="BE302" i="31"/>
  <c r="BD346" i="31"/>
  <c r="BA249" i="31"/>
  <c r="AV338" i="31"/>
  <c r="BD371" i="31"/>
  <c r="AW256" i="31"/>
  <c r="BC276" i="31"/>
  <c r="BD280" i="31"/>
  <c r="BB213" i="31"/>
  <c r="BD265" i="31"/>
  <c r="BA361" i="31"/>
  <c r="BB351" i="31"/>
  <c r="BC261" i="31"/>
  <c r="AT333" i="31"/>
  <c r="AV333" i="31"/>
  <c r="BB283" i="31"/>
  <c r="BB272" i="31"/>
  <c r="AY288" i="31"/>
  <c r="AX351" i="31"/>
  <c r="AY312" i="31"/>
  <c r="BC312" i="31"/>
  <c r="BD312" i="31"/>
  <c r="AV312" i="31"/>
  <c r="AW312" i="31"/>
  <c r="BE312" i="31"/>
  <c r="AZ312" i="31"/>
  <c r="BB312" i="31"/>
  <c r="AX312" i="31"/>
  <c r="AZ322" i="31"/>
  <c r="BD322" i="31"/>
  <c r="AV322" i="31"/>
  <c r="BB322" i="31"/>
  <c r="AY322" i="31"/>
  <c r="BA322" i="31"/>
  <c r="BE322" i="31"/>
  <c r="AX322" i="31"/>
  <c r="AW322" i="31"/>
  <c r="BD349" i="31"/>
  <c r="AY349" i="31"/>
  <c r="BC349" i="31"/>
  <c r="AV349" i="31"/>
  <c r="BE349" i="31"/>
  <c r="AX349" i="31"/>
  <c r="AZ349" i="31"/>
  <c r="AW349" i="31"/>
  <c r="BA349" i="31"/>
  <c r="BB349" i="31"/>
  <c r="AZ293" i="31"/>
  <c r="AX293" i="31"/>
  <c r="BA293" i="31"/>
  <c r="AV293" i="31"/>
  <c r="BD293" i="31"/>
  <c r="BB293" i="31"/>
  <c r="AY293" i="31"/>
  <c r="BC293" i="31"/>
  <c r="AV252" i="31"/>
  <c r="BA252" i="31"/>
  <c r="BC252" i="31"/>
  <c r="AZ252" i="31"/>
  <c r="AW252" i="31"/>
  <c r="BB252" i="31"/>
  <c r="AY252" i="31"/>
  <c r="AX252" i="31"/>
  <c r="BE252" i="31"/>
  <c r="BC316" i="31"/>
  <c r="AX316" i="31"/>
  <c r="BA316" i="31"/>
  <c r="BB316" i="31"/>
  <c r="BD316" i="31"/>
  <c r="AW316" i="31"/>
  <c r="AY316" i="31"/>
  <c r="AV320" i="31"/>
  <c r="BD320" i="31"/>
  <c r="AW320" i="31"/>
  <c r="AY320" i="31"/>
  <c r="BE320" i="31"/>
  <c r="BA320" i="31"/>
  <c r="AZ320" i="31"/>
  <c r="AX320" i="31"/>
  <c r="BC320" i="31"/>
  <c r="AW284" i="31"/>
  <c r="AY366" i="31"/>
  <c r="BB275" i="31"/>
  <c r="BD317" i="31"/>
  <c r="BE250" i="31"/>
  <c r="BE373" i="31"/>
  <c r="AY247" i="31"/>
  <c r="AY289" i="31"/>
  <c r="BC277" i="31"/>
  <c r="AZ262" i="31"/>
  <c r="AT368" i="31"/>
  <c r="AV368" i="31"/>
  <c r="BB286" i="31"/>
  <c r="AZ326" i="31"/>
  <c r="BD278" i="31"/>
  <c r="BB313" i="31"/>
  <c r="BD279" i="31"/>
  <c r="N43" i="93"/>
  <c r="J43" i="93"/>
  <c r="T43" i="93"/>
  <c r="L43" i="93"/>
  <c r="V43" i="93"/>
  <c r="P43" i="93"/>
  <c r="R43" i="93"/>
  <c r="H43" i="93"/>
  <c r="V41" i="95"/>
  <c r="P41" i="95"/>
  <c r="J41" i="95"/>
  <c r="T41" i="95"/>
  <c r="L41" i="95"/>
  <c r="N41" i="95"/>
  <c r="R41" i="95"/>
  <c r="H41" i="95"/>
  <c r="BC224" i="31"/>
  <c r="AY351" i="31"/>
  <c r="BE367" i="31"/>
  <c r="BA235" i="31"/>
  <c r="AW263" i="31"/>
  <c r="BD295" i="31"/>
  <c r="BC365" i="31"/>
  <c r="AT266" i="31"/>
  <c r="AV266" i="31"/>
  <c r="BD233" i="31"/>
  <c r="BE357" i="31"/>
  <c r="BA224" i="31"/>
  <c r="AX310" i="31"/>
  <c r="BA259" i="31"/>
  <c r="BA310" i="31"/>
  <c r="BA210" i="31"/>
  <c r="AY227" i="31"/>
  <c r="AW326" i="31"/>
  <c r="BB358" i="31"/>
  <c r="BE293" i="31"/>
  <c r="AY338" i="31"/>
  <c r="AT305" i="31"/>
  <c r="AV305" i="31"/>
  <c r="AZ375" i="31"/>
  <c r="AW271" i="31"/>
  <c r="BA332" i="31"/>
  <c r="BB367" i="31"/>
  <c r="BD292" i="31"/>
  <c r="AZ336" i="31"/>
  <c r="BC230" i="31"/>
  <c r="BB376" i="31"/>
  <c r="BD305" i="31"/>
  <c r="AY311" i="31"/>
  <c r="AY364" i="31"/>
  <c r="BC294" i="31"/>
  <c r="BD240" i="31"/>
  <c r="AY261" i="31"/>
  <c r="AX303" i="31"/>
  <c r="BB299" i="31"/>
  <c r="AW244" i="31"/>
  <c r="AZ316" i="31"/>
  <c r="BC341" i="31"/>
  <c r="AY341" i="31"/>
  <c r="AW341" i="31"/>
  <c r="BE341" i="31"/>
  <c r="BD341" i="31"/>
  <c r="AY221" i="31"/>
  <c r="AV221" i="31"/>
  <c r="BC221" i="31"/>
  <c r="AZ221" i="31"/>
  <c r="BA221" i="31"/>
  <c r="AX221" i="31"/>
  <c r="BE221" i="31"/>
  <c r="BD221" i="31"/>
  <c r="BB221" i="31"/>
  <c r="AZ309" i="31"/>
  <c r="BA309" i="31"/>
  <c r="AY309" i="31"/>
  <c r="AW309" i="31"/>
  <c r="AV309" i="31"/>
  <c r="BB309" i="31"/>
  <c r="AX309" i="31"/>
  <c r="AW369" i="31"/>
  <c r="AY369" i="31"/>
  <c r="BE369" i="31"/>
  <c r="AZ369" i="31"/>
  <c r="BB369" i="31"/>
  <c r="AX369" i="31"/>
  <c r="AV369" i="31"/>
  <c r="O212" i="31"/>
  <c r="AU212" i="31" s="1"/>
  <c r="BB212" i="31" s="1"/>
  <c r="O211" i="31"/>
  <c r="AU211" i="31" s="1"/>
  <c r="BB217" i="31"/>
  <c r="AV217" i="31"/>
  <c r="AZ217" i="31"/>
  <c r="BC217" i="31"/>
  <c r="BA217" i="31"/>
  <c r="AW217" i="31"/>
  <c r="BD217" i="31"/>
  <c r="AY237" i="31"/>
  <c r="BC322" i="31"/>
  <c r="BE226" i="31"/>
  <c r="BE217" i="31"/>
  <c r="BD220" i="31"/>
  <c r="AT370" i="31"/>
  <c r="AV370" i="31"/>
  <c r="AZ308" i="31"/>
  <c r="AT371" i="31"/>
  <c r="AV371" i="31"/>
  <c r="BB267" i="31"/>
  <c r="BA263" i="31"/>
  <c r="AW295" i="31"/>
  <c r="P10" i="92"/>
  <c r="J10" i="92"/>
  <c r="R10" i="92"/>
  <c r="H10" i="92"/>
  <c r="V10" i="92"/>
  <c r="L10" i="92"/>
  <c r="N10" i="92"/>
  <c r="T10" i="92"/>
  <c r="BA369" i="31"/>
  <c r="AX253" i="31"/>
  <c r="AZ284" i="31"/>
  <c r="BA280" i="31"/>
  <c r="BD287" i="31"/>
  <c r="BE262" i="31"/>
  <c r="BC275" i="31"/>
  <c r="AT230" i="31"/>
  <c r="AV230" i="31"/>
  <c r="AY376" i="31"/>
  <c r="BB243" i="31"/>
  <c r="BE309" i="31"/>
  <c r="BA341" i="31"/>
  <c r="AX243" i="31"/>
  <c r="BD369" i="31"/>
  <c r="AW243" i="31"/>
  <c r="AV366" i="31"/>
  <c r="AZ366" i="31"/>
  <c r="BE366" i="31"/>
  <c r="AX366" i="31"/>
  <c r="BB366" i="31"/>
  <c r="BD366" i="31"/>
  <c r="BC366" i="31"/>
  <c r="AY300" i="31"/>
  <c r="AX300" i="31"/>
  <c r="BB300" i="31"/>
  <c r="BE300" i="31"/>
  <c r="AV300" i="31"/>
  <c r="AW300" i="31"/>
  <c r="BD300" i="31"/>
  <c r="BA300" i="31"/>
  <c r="AZ313" i="31"/>
  <c r="AV313" i="31"/>
  <c r="AY313" i="31"/>
  <c r="BA313" i="31"/>
  <c r="AW313" i="31"/>
  <c r="AX313" i="31"/>
  <c r="AY337" i="31"/>
  <c r="AX337" i="31"/>
  <c r="BE337" i="31"/>
  <c r="BC337" i="31"/>
  <c r="BD337" i="31"/>
  <c r="AW337" i="31"/>
  <c r="AZ337" i="31"/>
  <c r="BB337" i="31"/>
  <c r="BA337" i="31"/>
  <c r="AV337" i="31"/>
  <c r="AV372" i="31"/>
  <c r="BE372" i="31"/>
  <c r="AW372" i="31"/>
  <c r="BA372" i="31"/>
  <c r="BB372" i="31"/>
  <c r="AZ372" i="31"/>
  <c r="BC372" i="31"/>
  <c r="BD372" i="31"/>
  <c r="BB236" i="31"/>
  <c r="AX236" i="31"/>
  <c r="BC236" i="31"/>
  <c r="AV236" i="31"/>
  <c r="BA236" i="31"/>
  <c r="BE236" i="31"/>
  <c r="BD236" i="31"/>
  <c r="AZ236" i="31"/>
  <c r="AW236" i="31"/>
  <c r="C31" i="94"/>
  <c r="C31" i="93"/>
  <c r="AE33" i="2"/>
  <c r="AP33" i="2" s="1"/>
  <c r="C31" i="95"/>
  <c r="C31" i="92"/>
  <c r="AX375" i="31"/>
  <c r="BA338" i="31"/>
  <c r="BD219" i="31"/>
  <c r="BA358" i="31"/>
  <c r="BB320" i="31"/>
  <c r="AZ276" i="31"/>
  <c r="BE361" i="31"/>
  <c r="AZ341" i="31"/>
  <c r="BC215" i="31"/>
  <c r="BA289" i="31"/>
  <c r="BE246" i="31"/>
  <c r="AT311" i="31"/>
  <c r="AV311" i="31"/>
  <c r="BB277" i="31"/>
  <c r="BC262" i="31"/>
  <c r="BA348" i="31"/>
  <c r="BE316" i="31"/>
  <c r="AW377" i="31"/>
  <c r="AZ329" i="31"/>
  <c r="AP63" i="2"/>
  <c r="AO63" i="2"/>
  <c r="AN63" i="2"/>
  <c r="BB282" i="31"/>
  <c r="BC329" i="31"/>
  <c r="BD291" i="31"/>
  <c r="P43" i="95"/>
  <c r="N43" i="95"/>
  <c r="H43" i="95"/>
  <c r="V43" i="95"/>
  <c r="J43" i="95"/>
  <c r="L43" i="95"/>
  <c r="T43" i="95"/>
  <c r="R43" i="95"/>
  <c r="BC369" i="31"/>
  <c r="AX372" i="31"/>
  <c r="AT328" i="31"/>
  <c r="BD248" i="31"/>
  <c r="BB292" i="31"/>
  <c r="BC241" i="31"/>
  <c r="BC325" i="31"/>
  <c r="BB338" i="31"/>
  <c r="AZ330" i="31"/>
  <c r="AZ300" i="31"/>
  <c r="AX257" i="31"/>
  <c r="AX341" i="31"/>
  <c r="AW368" i="31"/>
  <c r="BE267" i="31"/>
  <c r="AV267" i="31"/>
  <c r="AW267" i="31"/>
  <c r="BA267" i="31"/>
  <c r="AZ267" i="31"/>
  <c r="BC267" i="31"/>
  <c r="AX267" i="31"/>
  <c r="AY267" i="31"/>
  <c r="AW297" i="31"/>
  <c r="BB297" i="31"/>
  <c r="BA297" i="31"/>
  <c r="AZ297" i="31"/>
  <c r="AV297" i="31"/>
  <c r="AX297" i="31"/>
  <c r="BD297" i="31"/>
  <c r="AY297" i="31"/>
  <c r="BC297" i="31"/>
  <c r="BC301" i="31"/>
  <c r="AY301" i="31"/>
  <c r="BB301" i="31"/>
  <c r="AX301" i="31"/>
  <c r="AZ301" i="31"/>
  <c r="AV301" i="31"/>
  <c r="BA301" i="31"/>
  <c r="AW301" i="31"/>
  <c r="AX324" i="31"/>
  <c r="AZ324" i="31"/>
  <c r="BA324" i="31"/>
  <c r="AV324" i="31"/>
  <c r="BD324" i="31"/>
  <c r="AY324" i="31"/>
  <c r="BC324" i="31"/>
  <c r="AW324" i="31"/>
  <c r="BE324" i="31"/>
  <c r="AV268" i="31"/>
  <c r="AY268" i="31"/>
  <c r="BC268" i="31"/>
  <c r="BB268" i="31"/>
  <c r="BD268" i="31"/>
  <c r="BA268" i="31"/>
  <c r="AX268" i="31"/>
  <c r="AW268" i="31"/>
  <c r="BA228" i="31"/>
  <c r="BD228" i="31"/>
  <c r="BE228" i="31"/>
  <c r="BC228" i="31"/>
  <c r="AV228" i="31"/>
  <c r="BB228" i="31"/>
  <c r="AW228" i="31"/>
  <c r="AZ228" i="31"/>
  <c r="BD254" i="31"/>
  <c r="AW254" i="31"/>
  <c r="AX254" i="31"/>
  <c r="AZ254" i="31"/>
  <c r="AY254" i="31"/>
  <c r="BC254" i="31"/>
  <c r="BE254" i="31"/>
  <c r="BA254" i="31"/>
  <c r="BB237" i="31"/>
  <c r="BA286" i="31"/>
  <c r="BE223" i="31"/>
  <c r="BC239" i="31"/>
  <c r="AW285" i="31"/>
  <c r="BE363" i="31"/>
  <c r="BC289" i="31"/>
  <c r="BD235" i="31"/>
  <c r="BB336" i="31"/>
  <c r="AZ230" i="31"/>
  <c r="AX376" i="31"/>
  <c r="BB355" i="31"/>
  <c r="AX249" i="31"/>
  <c r="AX340" i="31"/>
  <c r="BE294" i="31"/>
  <c r="BC360" i="31"/>
  <c r="BD368" i="31"/>
  <c r="AT263" i="31"/>
  <c r="AV263" i="31"/>
  <c r="BB295" i="31"/>
  <c r="BE356" i="31"/>
  <c r="BB324" i="31"/>
  <c r="AV278" i="31"/>
  <c r="BA374" i="31"/>
  <c r="BE301" i="31"/>
  <c r="AW293" i="31"/>
  <c r="BA284" i="31"/>
  <c r="AY219" i="31"/>
  <c r="BA213" i="31"/>
  <c r="AX302" i="31"/>
  <c r="J10" i="95"/>
  <c r="V10" i="95"/>
  <c r="T10" i="95"/>
  <c r="H10" i="95"/>
  <c r="L10" i="95"/>
  <c r="N10" i="95"/>
  <c r="P10" i="95"/>
  <c r="R10" i="95"/>
  <c r="BA306" i="31"/>
  <c r="BA312" i="31"/>
  <c r="AY315" i="31"/>
  <c r="BD344" i="31"/>
  <c r="BA214" i="31"/>
  <c r="AX288" i="31"/>
  <c r="BD251" i="31"/>
  <c r="AX217" i="31"/>
  <c r="AZ323" i="31"/>
  <c r="BC273" i="31"/>
  <c r="AY236" i="31"/>
  <c r="AW253" i="31"/>
  <c r="BB360" i="31"/>
  <c r="AT292" i="31"/>
  <c r="AV292" i="31"/>
  <c r="BD237" i="31"/>
  <c r="BD313" i="31"/>
  <c r="AW249" i="31"/>
  <c r="BB340" i="31"/>
  <c r="AT235" i="31"/>
  <c r="AV235" i="31"/>
  <c r="BB326" i="31"/>
  <c r="AW343" i="31"/>
  <c r="BB343" i="31"/>
  <c r="AY343" i="31"/>
  <c r="AZ343" i="31"/>
  <c r="BE343" i="31"/>
  <c r="BA343" i="31"/>
  <c r="BC343" i="31"/>
  <c r="AW334" i="31"/>
  <c r="BD334" i="31"/>
  <c r="AV334" i="31"/>
  <c r="BA334" i="31"/>
  <c r="AX334" i="31"/>
  <c r="BB334" i="31"/>
  <c r="BC334" i="31"/>
  <c r="BE334" i="31"/>
  <c r="AY334" i="31"/>
  <c r="AZ334" i="31"/>
  <c r="AW330" i="31"/>
  <c r="BE330" i="31"/>
  <c r="BA330" i="31"/>
  <c r="BC330" i="31"/>
  <c r="AX330" i="31"/>
  <c r="AV270" i="31"/>
  <c r="BC270" i="31"/>
  <c r="BD270" i="31"/>
  <c r="AY270" i="31"/>
  <c r="AX270" i="31"/>
  <c r="BE270" i="31"/>
  <c r="BA270" i="31"/>
  <c r="BB270" i="31"/>
  <c r="AW270" i="31"/>
  <c r="BD351" i="31"/>
  <c r="AW351" i="31"/>
  <c r="BA351" i="31"/>
  <c r="AZ351" i="31"/>
  <c r="BC351" i="31"/>
  <c r="AV351" i="31"/>
  <c r="BE231" i="31"/>
  <c r="AY231" i="31"/>
  <c r="AV231" i="31"/>
  <c r="BB231" i="31"/>
  <c r="BD231" i="31"/>
  <c r="BA231" i="31"/>
  <c r="AZ231" i="31"/>
  <c r="AW231" i="31"/>
  <c r="BD378" i="31"/>
  <c r="BB378" i="31"/>
  <c r="BA378" i="31"/>
  <c r="AY378" i="31"/>
  <c r="BC378" i="31"/>
  <c r="BE378" i="31"/>
  <c r="AW378" i="31"/>
  <c r="AZ378" i="31"/>
  <c r="AV378" i="31"/>
  <c r="AX258" i="31"/>
  <c r="AY258" i="31"/>
  <c r="AW258" i="31"/>
  <c r="BB258" i="31"/>
  <c r="AV258" i="31"/>
  <c r="BC258" i="31"/>
  <c r="BE258" i="31"/>
  <c r="BD258" i="31"/>
  <c r="BA258" i="31"/>
  <c r="AZ258" i="31"/>
  <c r="BC308" i="31"/>
  <c r="AY308" i="31"/>
  <c r="BE308" i="31"/>
  <c r="AW308" i="31"/>
  <c r="AX308" i="31"/>
  <c r="AV308" i="31"/>
  <c r="BB308" i="31"/>
  <c r="BA308" i="31"/>
  <c r="BD296" i="31"/>
  <c r="BD335" i="31"/>
  <c r="AX234" i="31"/>
  <c r="BE319" i="31"/>
  <c r="AW302" i="31"/>
  <c r="BD331" i="31"/>
  <c r="BB254" i="31"/>
  <c r="BA285" i="31"/>
  <c r="AW336" i="31"/>
  <c r="AY217" i="31"/>
  <c r="BB311" i="31"/>
  <c r="AZ250" i="31"/>
  <c r="BD321" i="31"/>
  <c r="AW354" i="31"/>
  <c r="AT232" i="31"/>
  <c r="AV232" i="31"/>
  <c r="BD343" i="31"/>
  <c r="BD275" i="31"/>
  <c r="AW221" i="31"/>
  <c r="AV330" i="31"/>
  <c r="BD309" i="31"/>
  <c r="AX276" i="31"/>
  <c r="BE314" i="31"/>
  <c r="BA305" i="31"/>
  <c r="BD353" i="31"/>
  <c r="BE325" i="31"/>
  <c r="BB330" i="31"/>
  <c r="N42" i="95"/>
  <c r="V42" i="95"/>
  <c r="J42" i="95"/>
  <c r="H42" i="95"/>
  <c r="P42" i="95"/>
  <c r="L42" i="95"/>
  <c r="T42" i="95"/>
  <c r="R42" i="95"/>
  <c r="H44" i="95"/>
  <c r="P44" i="95"/>
  <c r="J44" i="95"/>
  <c r="T44" i="95"/>
  <c r="L44" i="95"/>
  <c r="V44" i="95"/>
  <c r="N44" i="95"/>
  <c r="R44" i="95"/>
  <c r="AX228" i="31"/>
  <c r="AZ289" i="31"/>
  <c r="AZ344" i="31"/>
  <c r="BB331" i="31"/>
  <c r="BB214" i="31"/>
  <c r="AY272" i="31"/>
  <c r="M13" i="1"/>
  <c r="F20" i="3" s="1"/>
  <c r="C20" i="93"/>
  <c r="C20" i="95"/>
  <c r="C20" i="94"/>
  <c r="C20" i="92"/>
  <c r="T48" i="2"/>
  <c r="AY273" i="31"/>
  <c r="BA273" i="31"/>
  <c r="BE273" i="31"/>
  <c r="AZ273" i="31"/>
  <c r="AW273" i="31"/>
  <c r="BB273" i="31"/>
  <c r="AV273" i="31"/>
  <c r="AX273" i="31"/>
  <c r="AX347" i="31"/>
  <c r="BD347" i="31"/>
  <c r="BA347" i="31"/>
  <c r="AV347" i="31"/>
  <c r="BC347" i="31"/>
  <c r="AZ347" i="31"/>
  <c r="BE347" i="31"/>
  <c r="AW347" i="31"/>
  <c r="AY216" i="31"/>
  <c r="AW216" i="31"/>
  <c r="AX216" i="31"/>
  <c r="BB216" i="31"/>
  <c r="AZ216" i="31"/>
  <c r="BA216" i="31"/>
  <c r="BC216" i="31"/>
  <c r="BE216" i="31"/>
  <c r="BE352" i="31"/>
  <c r="BD352" i="31"/>
  <c r="BC352" i="31"/>
  <c r="AV352" i="31"/>
  <c r="AX352" i="31"/>
  <c r="BB352" i="31"/>
  <c r="AW352" i="31"/>
  <c r="BA352" i="31"/>
  <c r="AZ352" i="31"/>
  <c r="AW298" i="31"/>
  <c r="AX298" i="31"/>
  <c r="BA298" i="31"/>
  <c r="BE298" i="31"/>
  <c r="BB298" i="31"/>
  <c r="BD298" i="31"/>
  <c r="AZ298" i="31"/>
  <c r="BC298" i="31"/>
  <c r="AV298" i="31"/>
  <c r="BC269" i="31"/>
  <c r="BA269" i="31"/>
  <c r="BB269" i="31"/>
  <c r="AZ269" i="31"/>
  <c r="AW269" i="31"/>
  <c r="AY269" i="31"/>
  <c r="AV269" i="31"/>
  <c r="BE269" i="31"/>
  <c r="BB271" i="31"/>
  <c r="BC271" i="31"/>
  <c r="AZ271" i="31"/>
  <c r="AX271" i="31"/>
  <c r="BA271" i="31"/>
  <c r="BD271" i="31"/>
  <c r="AY271" i="31"/>
  <c r="BE271" i="31"/>
  <c r="BE213" i="31"/>
  <c r="AZ213" i="31"/>
  <c r="AW213" i="31"/>
  <c r="AV213" i="31"/>
  <c r="AX213" i="31"/>
  <c r="BC213" i="31"/>
  <c r="AY213" i="31"/>
  <c r="BC253" i="31"/>
  <c r="BD253" i="31"/>
  <c r="AZ253" i="31"/>
  <c r="BB253" i="31"/>
  <c r="AV253" i="31"/>
  <c r="BE253" i="31"/>
  <c r="BA253" i="31"/>
  <c r="AZ226" i="31"/>
  <c r="BC226" i="31"/>
  <c r="AW226" i="31"/>
  <c r="BA226" i="31"/>
  <c r="AX226" i="31"/>
  <c r="AY226" i="31"/>
  <c r="BB226" i="31"/>
  <c r="AV226" i="31"/>
  <c r="AW280" i="31"/>
  <c r="AY211" i="31"/>
  <c r="AZ251" i="31"/>
  <c r="AW223" i="31"/>
  <c r="AZ268" i="31"/>
  <c r="BE265" i="31"/>
  <c r="AX233" i="31"/>
  <c r="BD214" i="31"/>
  <c r="AV250" i="31"/>
  <c r="BD252" i="31"/>
  <c r="AX348" i="31"/>
  <c r="BA336" i="31"/>
  <c r="BE368" i="31"/>
  <c r="BB211" i="31"/>
  <c r="AY220" i="31"/>
  <c r="BB332" i="31"/>
  <c r="AT367" i="31"/>
  <c r="AV367" i="31"/>
  <c r="BE235" i="31"/>
  <c r="AY336" i="31"/>
  <c r="AX281" i="31"/>
  <c r="BB257" i="31"/>
  <c r="AY355" i="31"/>
  <c r="AT277" i="31"/>
  <c r="AV277" i="31"/>
  <c r="AX262" i="31"/>
  <c r="AX256" i="31"/>
  <c r="AW240" i="31"/>
  <c r="BD350" i="31"/>
  <c r="BB303" i="31"/>
  <c r="BB318" i="31"/>
  <c r="AX356" i="31"/>
  <c r="BD269" i="31"/>
  <c r="AX378" i="31"/>
  <c r="AW212" i="31"/>
  <c r="AT323" i="31"/>
  <c r="AV323" i="31"/>
  <c r="BC309" i="31"/>
  <c r="BC313" i="31"/>
  <c r="BC245" i="31"/>
  <c r="AZ360" i="31"/>
  <c r="AZ335" i="31"/>
  <c r="BC375" i="31"/>
  <c r="BD211" i="31"/>
  <c r="AZ283" i="31"/>
  <c r="AX343" i="31"/>
  <c r="AZ220" i="31"/>
  <c r="BB259" i="31"/>
  <c r="AX266" i="31"/>
  <c r="AW233" i="31"/>
  <c r="AW374" i="31"/>
  <c r="AT373" i="31"/>
  <c r="AV373" i="31"/>
  <c r="BC247" i="31"/>
  <c r="AW225" i="31"/>
  <c r="BA366" i="31"/>
  <c r="BC362" i="31"/>
  <c r="AX209" i="31"/>
  <c r="BC209" i="31"/>
  <c r="BB209" i="31"/>
  <c r="BD209" i="31"/>
  <c r="AY209" i="31"/>
  <c r="BE209" i="31"/>
  <c r="AV209" i="31"/>
  <c r="AZ209" i="31"/>
  <c r="AW209" i="31"/>
  <c r="BA209" i="31"/>
  <c r="AX215" i="31"/>
  <c r="AV215" i="31"/>
  <c r="BB215" i="31"/>
  <c r="BD215" i="31"/>
  <c r="BE215" i="31"/>
  <c r="AZ215" i="31"/>
  <c r="AW215" i="31"/>
  <c r="AY215" i="31"/>
  <c r="AZ338" i="31"/>
  <c r="AW338" i="31"/>
  <c r="BE338" i="31"/>
  <c r="AX338" i="31"/>
  <c r="BC338" i="31"/>
  <c r="BD243" i="31"/>
  <c r="AZ243" i="31"/>
  <c r="BA243" i="31"/>
  <c r="BE243" i="31"/>
  <c r="AV243" i="31"/>
  <c r="AX290" i="31"/>
  <c r="AZ290" i="31"/>
  <c r="BA290" i="31"/>
  <c r="BB290" i="31"/>
  <c r="AY290" i="31"/>
  <c r="BC290" i="31"/>
  <c r="BE290" i="31"/>
  <c r="AV290" i="31"/>
  <c r="AW290" i="31"/>
  <c r="BD290" i="31"/>
  <c r="BE242" i="31"/>
  <c r="AX242" i="31"/>
  <c r="BC242" i="31"/>
  <c r="AZ242" i="31"/>
  <c r="BB242" i="31"/>
  <c r="AW242" i="31"/>
  <c r="BD242" i="31"/>
  <c r="AY242" i="31"/>
  <c r="BD227" i="31"/>
  <c r="BB227" i="31"/>
  <c r="BC227" i="31"/>
  <c r="AW227" i="31"/>
  <c r="AZ227" i="31"/>
  <c r="BE227" i="31"/>
  <c r="AX227" i="31"/>
  <c r="AV227" i="31"/>
  <c r="AY218" i="31"/>
  <c r="BA218" i="31"/>
  <c r="AZ218" i="31"/>
  <c r="BD218" i="31"/>
  <c r="BE218" i="31"/>
  <c r="BB218" i="31"/>
  <c r="BC218" i="31"/>
  <c r="AX218" i="31"/>
  <c r="AW218" i="31"/>
  <c r="AV218" i="31"/>
  <c r="O328" i="31"/>
  <c r="AU328" i="31" s="1"/>
  <c r="AV328" i="31" s="1"/>
  <c r="O327" i="31"/>
  <c r="AU327" i="31" s="1"/>
  <c r="AX327" i="31" s="1"/>
  <c r="BE210" i="31"/>
  <c r="AY335" i="31"/>
  <c r="AV216" i="31"/>
  <c r="BE282" i="31"/>
  <c r="BC321" i="31"/>
  <c r="AX231" i="31"/>
  <c r="AY329" i="31"/>
  <c r="AY347" i="31"/>
  <c r="BB341" i="31"/>
  <c r="BA279" i="31"/>
  <c r="AY275" i="31"/>
  <c r="AY260" i="31"/>
  <c r="AT234" i="31"/>
  <c r="AV234" i="31"/>
  <c r="BT212" i="31"/>
  <c r="BU212" i="31" s="1"/>
  <c r="AV242" i="31"/>
  <c r="BA223" i="31"/>
  <c r="BA219" i="31"/>
  <c r="AW265" i="31"/>
  <c r="AW247" i="31"/>
  <c r="BB373" i="31"/>
  <c r="BD330" i="31"/>
  <c r="AY372" i="31"/>
  <c r="AZ263" i="31"/>
  <c r="AZ295" i="31"/>
  <c r="BE344" i="31"/>
  <c r="BB266" i="31"/>
  <c r="AZ354" i="31"/>
  <c r="BE291" i="31"/>
  <c r="AZ361" i="31"/>
  <c r="BB264" i="31"/>
  <c r="BD333" i="31"/>
  <c r="AT265" i="31"/>
  <c r="AV265" i="31"/>
  <c r="AX210" i="31"/>
  <c r="BA335" i="31"/>
  <c r="AX326" i="31"/>
  <c r="BA353" i="31"/>
  <c r="AX346" i="31"/>
  <c r="BB314" i="31"/>
  <c r="BC370" i="31"/>
  <c r="BD306" i="31"/>
  <c r="BA246" i="31"/>
  <c r="AX241" i="31"/>
  <c r="AT345" i="31"/>
  <c r="AV345" i="31"/>
  <c r="BD266" i="31"/>
  <c r="BC354" i="31"/>
  <c r="BD274" i="31"/>
  <c r="BC291" i="31"/>
  <c r="BC357" i="31"/>
  <c r="AT310" i="31"/>
  <c r="AV310" i="31"/>
  <c r="N30" i="93"/>
  <c r="H30" i="93"/>
  <c r="T30" i="93"/>
  <c r="L30" i="93"/>
  <c r="R30" i="93"/>
  <c r="V30" i="93"/>
  <c r="P30" i="93"/>
  <c r="J30" i="93"/>
  <c r="AX260" i="31"/>
  <c r="BE280" i="31"/>
  <c r="AW362" i="31"/>
  <c r="AZ222" i="31"/>
  <c r="AX282" i="31"/>
  <c r="BC326" i="31"/>
  <c r="AY239" i="31"/>
  <c r="BA363" i="31"/>
  <c r="BN301" i="31"/>
  <c r="BN297" i="31"/>
  <c r="BN293" i="31"/>
  <c r="BN289" i="31"/>
  <c r="BN285" i="31"/>
  <c r="BN281" i="31"/>
  <c r="BN277" i="31"/>
  <c r="BN273" i="31"/>
  <c r="BN269" i="31"/>
  <c r="BN304" i="31"/>
  <c r="BN300" i="31"/>
  <c r="BN296" i="31"/>
  <c r="BN292" i="31"/>
  <c r="BN288" i="31"/>
  <c r="BN284" i="31"/>
  <c r="BN280" i="31"/>
  <c r="BN276" i="31"/>
  <c r="BN272" i="31"/>
  <c r="BN268" i="31"/>
  <c r="BN303" i="31"/>
  <c r="BN299" i="31"/>
  <c r="BN295" i="31"/>
  <c r="BN291" i="31"/>
  <c r="BN287" i="31"/>
  <c r="BN283" i="31"/>
  <c r="BN279" i="31"/>
  <c r="BN275" i="31"/>
  <c r="BN271" i="31"/>
  <c r="AE380" i="31"/>
  <c r="BN302" i="31"/>
  <c r="BN298" i="31"/>
  <c r="BN294" i="31"/>
  <c r="BN290" i="31"/>
  <c r="BN286" i="31"/>
  <c r="BN282" i="31"/>
  <c r="BN278" i="31"/>
  <c r="BN274" i="31"/>
  <c r="BN270" i="31"/>
  <c r="BN262" i="31"/>
  <c r="BN258" i="31"/>
  <c r="BN254" i="31"/>
  <c r="BN250" i="31"/>
  <c r="BN246" i="31"/>
  <c r="BN242" i="31"/>
  <c r="BN238" i="31"/>
  <c r="BN234" i="31"/>
  <c r="BN230" i="31"/>
  <c r="BN226" i="31"/>
  <c r="BN222" i="31"/>
  <c r="BN218" i="31"/>
  <c r="BN214" i="31"/>
  <c r="BN267" i="31"/>
  <c r="BN266" i="31"/>
  <c r="BN265" i="31"/>
  <c r="BN261" i="31"/>
  <c r="BN257" i="31"/>
  <c r="BN253" i="31"/>
  <c r="BN249" i="31"/>
  <c r="BN245" i="31"/>
  <c r="BN241" i="31"/>
  <c r="BN237" i="31"/>
  <c r="BN233" i="31"/>
  <c r="BN229" i="31"/>
  <c r="BN225" i="31"/>
  <c r="BN221" i="31"/>
  <c r="BN217" i="31"/>
  <c r="BN264" i="31"/>
  <c r="BN260" i="31"/>
  <c r="BN256" i="31"/>
  <c r="BN252" i="31"/>
  <c r="BN248" i="31"/>
  <c r="BN244" i="31"/>
  <c r="BN240" i="31"/>
  <c r="BN236" i="31"/>
  <c r="BN232" i="31"/>
  <c r="BN228" i="31"/>
  <c r="BN224" i="31"/>
  <c r="BN220" i="31"/>
  <c r="BN216" i="31"/>
  <c r="BN263" i="31"/>
  <c r="BN259" i="31"/>
  <c r="BN255" i="31"/>
  <c r="BN251" i="31"/>
  <c r="BN247" i="31"/>
  <c r="BN243" i="31"/>
  <c r="BN239" i="31"/>
  <c r="BN235" i="31"/>
  <c r="BN231" i="31"/>
  <c r="BN227" i="31"/>
  <c r="BN223" i="31"/>
  <c r="BN219" i="31"/>
  <c r="BN215" i="31"/>
  <c r="AO208" i="31"/>
  <c r="BA208" i="31" s="1"/>
  <c r="AZ355" i="31"/>
  <c r="AT241" i="31"/>
  <c r="AV241" i="31"/>
  <c r="AY360" i="31"/>
  <c r="AZ318" i="31"/>
  <c r="AY356" i="31"/>
  <c r="BC333" i="31"/>
  <c r="AX358" i="31"/>
  <c r="AW259" i="31"/>
  <c r="AX329" i="31"/>
  <c r="BC233" i="31"/>
  <c r="AX357" i="31"/>
  <c r="AT247" i="31"/>
  <c r="AV247" i="31"/>
  <c r="BE238" i="31"/>
  <c r="V45" i="93"/>
  <c r="T45" i="93"/>
  <c r="L45" i="93"/>
  <c r="H45" i="93"/>
  <c r="P45" i="93"/>
  <c r="J45" i="93"/>
  <c r="N45" i="93"/>
  <c r="R45" i="93"/>
  <c r="BB296" i="31"/>
  <c r="BB284" i="31"/>
  <c r="BA342" i="31"/>
  <c r="BE260" i="31"/>
  <c r="BE288" i="31"/>
  <c r="BB251" i="31"/>
  <c r="BD239" i="31"/>
  <c r="BC285" i="31"/>
  <c r="BC363" i="31"/>
  <c r="AZ321" i="31"/>
  <c r="AT319" i="31"/>
  <c r="AV319" i="31"/>
  <c r="AZ373" i="31"/>
  <c r="BC310" i="31"/>
  <c r="H43" i="94"/>
  <c r="V43" i="94"/>
  <c r="P43" i="94"/>
  <c r="L43" i="94"/>
  <c r="T43" i="94"/>
  <c r="N43" i="94"/>
  <c r="R43" i="94"/>
  <c r="J43" i="94"/>
  <c r="L41" i="92"/>
  <c r="V41" i="92"/>
  <c r="J41" i="92"/>
  <c r="T41" i="92"/>
  <c r="N41" i="92"/>
  <c r="H41" i="92"/>
  <c r="P41" i="92"/>
  <c r="R41" i="92"/>
  <c r="BD304" i="31"/>
  <c r="AT245" i="31"/>
  <c r="AV245" i="31"/>
  <c r="BD303" i="31"/>
  <c r="BA319" i="31"/>
  <c r="AT296" i="31"/>
  <c r="AV296" i="31"/>
  <c r="AW335" i="31"/>
  <c r="AY342" i="31"/>
  <c r="BA260" i="31"/>
  <c r="BC288" i="31"/>
  <c r="AZ362" i="31"/>
  <c r="AY222" i="31"/>
  <c r="BC234" i="31"/>
  <c r="AT251" i="31"/>
  <c r="AV251" i="31"/>
  <c r="BB353" i="31"/>
  <c r="BC212" i="31"/>
  <c r="BA325" i="31"/>
  <c r="BM301" i="31"/>
  <c r="BM297" i="31"/>
  <c r="BM293" i="31"/>
  <c r="BM289" i="31"/>
  <c r="BM285" i="31"/>
  <c r="BM281" i="31"/>
  <c r="BM277" i="31"/>
  <c r="BM273" i="31"/>
  <c r="BM269" i="31"/>
  <c r="BM304" i="31"/>
  <c r="BM300" i="31"/>
  <c r="BM296" i="31"/>
  <c r="BM292" i="31"/>
  <c r="BM288" i="31"/>
  <c r="BM284" i="31"/>
  <c r="BM280" i="31"/>
  <c r="BM276" i="31"/>
  <c r="BM272" i="31"/>
  <c r="BM303" i="31"/>
  <c r="BM299" i="31"/>
  <c r="BM295" i="31"/>
  <c r="BM291" i="31"/>
  <c r="BM287" i="31"/>
  <c r="BM283" i="31"/>
  <c r="BM279" i="31"/>
  <c r="BM275" i="31"/>
  <c r="BM271" i="31"/>
  <c r="AD380" i="31"/>
  <c r="BM274" i="31"/>
  <c r="BM263" i="31"/>
  <c r="BM259" i="31"/>
  <c r="BM255" i="31"/>
  <c r="BM251" i="31"/>
  <c r="BM247" i="31"/>
  <c r="BM243" i="31"/>
  <c r="BM239" i="31"/>
  <c r="BM235" i="31"/>
  <c r="BM231" i="31"/>
  <c r="BM227" i="31"/>
  <c r="BM223" i="31"/>
  <c r="BM219" i="31"/>
  <c r="BM215" i="31"/>
  <c r="BM286" i="31"/>
  <c r="BM298" i="31"/>
  <c r="BM270" i="31"/>
  <c r="BM262" i="31"/>
  <c r="BM258" i="31"/>
  <c r="BM254" i="31"/>
  <c r="BM250" i="31"/>
  <c r="BM246" i="31"/>
  <c r="BM242" i="31"/>
  <c r="BM238" i="31"/>
  <c r="BM234" i="31"/>
  <c r="BM230" i="31"/>
  <c r="BM226" i="31"/>
  <c r="BM222" i="31"/>
  <c r="BM218" i="31"/>
  <c r="BM214" i="31"/>
  <c r="BM278" i="31"/>
  <c r="BM290" i="31"/>
  <c r="BM267" i="31"/>
  <c r="BM266" i="31"/>
  <c r="BM265" i="31"/>
  <c r="BM261" i="31"/>
  <c r="BM257" i="31"/>
  <c r="BM253" i="31"/>
  <c r="BM249" i="31"/>
  <c r="BM245" i="31"/>
  <c r="BM241" i="31"/>
  <c r="BM237" i="31"/>
  <c r="BM233" i="31"/>
  <c r="BM229" i="31"/>
  <c r="BM225" i="31"/>
  <c r="BM221" i="31"/>
  <c r="BM217" i="31"/>
  <c r="BM302" i="31"/>
  <c r="BM268" i="31"/>
  <c r="BM282" i="31"/>
  <c r="BM264" i="31"/>
  <c r="BM260" i="31"/>
  <c r="BM256" i="31"/>
  <c r="BM252" i="31"/>
  <c r="BM248" i="31"/>
  <c r="BM244" i="31"/>
  <c r="BM240" i="31"/>
  <c r="BM236" i="31"/>
  <c r="BM232" i="31"/>
  <c r="BM228" i="31"/>
  <c r="BM224" i="31"/>
  <c r="BM220" i="31"/>
  <c r="BM216" i="31"/>
  <c r="BM294" i="31"/>
  <c r="AN208" i="31"/>
  <c r="AZ208" i="31" s="1"/>
  <c r="AZ332" i="31"/>
  <c r="AT229" i="31"/>
  <c r="AV229" i="31"/>
  <c r="AT359" i="31"/>
  <c r="AV359" i="31"/>
  <c r="AT238" i="31"/>
  <c r="AV238" i="31"/>
  <c r="AZ364" i="31"/>
  <c r="BE315" i="31"/>
  <c r="AX318" i="31"/>
  <c r="BD356" i="31"/>
  <c r="BB333" i="31"/>
  <c r="AY283" i="31"/>
  <c r="AT272" i="31"/>
  <c r="AV272" i="31"/>
  <c r="BC286" i="31"/>
  <c r="AX339" i="31"/>
  <c r="AX370" i="31"/>
  <c r="BE255" i="31"/>
  <c r="AY286" i="31"/>
  <c r="AX222" i="31"/>
  <c r="BA234" i="31"/>
  <c r="AY323" i="31"/>
  <c r="AW304" i="31"/>
  <c r="AX235" i="31"/>
  <c r="BE306" i="31"/>
  <c r="AX359" i="31"/>
  <c r="BD281" i="31"/>
  <c r="BA257" i="31"/>
  <c r="BD327" i="31"/>
  <c r="AW277" i="31"/>
  <c r="AT262" i="31"/>
  <c r="AV262" i="31"/>
  <c r="BB241" i="31"/>
  <c r="BC240" i="31"/>
  <c r="AY350" i="31"/>
  <c r="AY345" i="31"/>
  <c r="BA356" i="31"/>
  <c r="AX333" i="31"/>
  <c r="BA233" i="31"/>
  <c r="AZ374" i="31"/>
  <c r="BC264" i="31"/>
  <c r="AW311" i="31"/>
  <c r="BB256" i="31"/>
  <c r="AX299" i="31"/>
  <c r="AY358" i="31"/>
  <c r="AW296" i="31"/>
  <c r="BC260" i="31"/>
  <c r="AZ288" i="31"/>
  <c r="AW286" i="31"/>
  <c r="AZ234" i="31"/>
  <c r="BA326" i="31"/>
  <c r="AW339" i="31"/>
  <c r="BD285" i="31"/>
  <c r="AX363" i="31"/>
  <c r="BB235" i="31"/>
  <c r="AZ281" i="31"/>
  <c r="AX360" i="31"/>
  <c r="BC356" i="31"/>
  <c r="BB238" i="31"/>
  <c r="BD360" i="31"/>
  <c r="AW234" i="31"/>
  <c r="AZ339" i="31"/>
  <c r="AW346" i="31"/>
  <c r="AY314" i="31"/>
  <c r="BL302" i="31"/>
  <c r="BL298" i="31"/>
  <c r="BL294" i="31"/>
  <c r="BL290" i="31"/>
  <c r="BL286" i="31"/>
  <c r="BL282" i="31"/>
  <c r="BL278" i="31"/>
  <c r="BL274" i="31"/>
  <c r="BL270" i="31"/>
  <c r="BL266" i="31"/>
  <c r="BL301" i="31"/>
  <c r="BL297" i="31"/>
  <c r="BL293" i="31"/>
  <c r="BL289" i="31"/>
  <c r="BL285" i="31"/>
  <c r="BL281" i="31"/>
  <c r="BL277" i="31"/>
  <c r="BL273" i="31"/>
  <c r="BL269" i="31"/>
  <c r="BL304" i="31"/>
  <c r="BL300" i="31"/>
  <c r="BL296" i="31"/>
  <c r="BL292" i="31"/>
  <c r="BL288" i="31"/>
  <c r="BL284" i="31"/>
  <c r="BL280" i="31"/>
  <c r="BL276" i="31"/>
  <c r="BL272" i="31"/>
  <c r="BL303" i="31"/>
  <c r="BL299" i="31"/>
  <c r="BL295" i="31"/>
  <c r="BL291" i="31"/>
  <c r="BL287" i="31"/>
  <c r="BL283" i="31"/>
  <c r="BL279" i="31"/>
  <c r="BL275" i="31"/>
  <c r="BL263" i="31"/>
  <c r="BL259" i="31"/>
  <c r="BL255" i="31"/>
  <c r="BL251" i="31"/>
  <c r="BL247" i="31"/>
  <c r="BL243" i="31"/>
  <c r="BL239" i="31"/>
  <c r="BL235" i="31"/>
  <c r="BL231" i="31"/>
  <c r="BL227" i="31"/>
  <c r="BL223" i="31"/>
  <c r="BL219" i="31"/>
  <c r="BL215" i="31"/>
  <c r="AC380" i="31"/>
  <c r="BL262" i="31"/>
  <c r="BL258" i="31"/>
  <c r="BL254" i="31"/>
  <c r="BL250" i="31"/>
  <c r="BL246" i="31"/>
  <c r="BL242" i="31"/>
  <c r="BL238" i="31"/>
  <c r="BL234" i="31"/>
  <c r="BL230" i="31"/>
  <c r="BL226" i="31"/>
  <c r="BL222" i="31"/>
  <c r="BL218" i="31"/>
  <c r="BL214" i="31"/>
  <c r="BL271" i="31"/>
  <c r="BL267" i="31"/>
  <c r="BL265" i="31"/>
  <c r="BL261" i="31"/>
  <c r="BL257" i="31"/>
  <c r="BL253" i="31"/>
  <c r="BL249" i="31"/>
  <c r="BL245" i="31"/>
  <c r="BL241" i="31"/>
  <c r="BL237" i="31"/>
  <c r="BL233" i="31"/>
  <c r="BL229" i="31"/>
  <c r="BL225" i="31"/>
  <c r="BL221" i="31"/>
  <c r="BL217" i="31"/>
  <c r="BL268" i="31"/>
  <c r="BL264" i="31"/>
  <c r="BL260" i="31"/>
  <c r="BL256" i="31"/>
  <c r="BL252" i="31"/>
  <c r="BL248" i="31"/>
  <c r="BL244" i="31"/>
  <c r="BL240" i="31"/>
  <c r="BL236" i="31"/>
  <c r="BL232" i="31"/>
  <c r="BL228" i="31"/>
  <c r="BL224" i="31"/>
  <c r="BL220" i="31"/>
  <c r="BL216" i="31"/>
  <c r="AM208" i="31"/>
  <c r="AY208" i="31" s="1"/>
  <c r="AW333" i="31"/>
  <c r="BD283" i="31"/>
  <c r="AT365" i="31"/>
  <c r="AV365" i="31"/>
  <c r="AZ247" i="31"/>
  <c r="BA295" i="31"/>
  <c r="AT358" i="31"/>
  <c r="AV358" i="31"/>
  <c r="AT344" i="31"/>
  <c r="AV344" i="31"/>
  <c r="AT329" i="31"/>
  <c r="AV329" i="31"/>
  <c r="BC265" i="31"/>
  <c r="AT357" i="31"/>
  <c r="AV357" i="31"/>
  <c r="BD224" i="31"/>
  <c r="L44" i="93"/>
  <c r="N44" i="93"/>
  <c r="T44" i="93"/>
  <c r="P44" i="93"/>
  <c r="J44" i="93"/>
  <c r="H44" i="93"/>
  <c r="V44" i="93"/>
  <c r="R44" i="93"/>
  <c r="BE214" i="31"/>
  <c r="AW323" i="31"/>
  <c r="AX336" i="31"/>
  <c r="BE257" i="31"/>
  <c r="BE355" i="31"/>
  <c r="AZ311" i="31"/>
  <c r="AZ277" i="31"/>
  <c r="AW262" i="31"/>
  <c r="BD245" i="31"/>
  <c r="BD241" i="31"/>
  <c r="BD315" i="31"/>
  <c r="BB263" i="31"/>
  <c r="BC295" i="31"/>
  <c r="BE318" i="31"/>
  <c r="AY321" i="31"/>
  <c r="BE283" i="31"/>
  <c r="BC272" i="31"/>
  <c r="AW344" i="31"/>
  <c r="AZ265" i="31"/>
  <c r="BB274" i="31"/>
  <c r="AW291" i="31"/>
  <c r="AX361" i="31"/>
  <c r="AW264" i="31"/>
  <c r="BD354" i="31"/>
  <c r="AZ296" i="31"/>
  <c r="AT214" i="31"/>
  <c r="AV214" i="31"/>
  <c r="AX255" i="31"/>
  <c r="BE222" i="31"/>
  <c r="AT220" i="31"/>
  <c r="AV220" i="31"/>
  <c r="AY328" i="31"/>
  <c r="BB304" i="31"/>
  <c r="AZ367" i="31"/>
  <c r="BE229" i="31"/>
  <c r="BB359" i="31"/>
  <c r="BB281" i="31"/>
  <c r="AT257" i="31"/>
  <c r="AV257" i="31"/>
  <c r="BD355" i="31"/>
  <c r="AZ249" i="31"/>
  <c r="AZ340" i="31"/>
  <c r="AY241" i="31"/>
  <c r="AZ315" i="31"/>
  <c r="BE261" i="31"/>
  <c r="AX345" i="31"/>
  <c r="AW356" i="31"/>
  <c r="AZ272" i="31"/>
  <c r="AZ259" i="31"/>
  <c r="AW274" i="31"/>
  <c r="AW373" i="31"/>
  <c r="BD225" i="31"/>
  <c r="V30" i="95"/>
  <c r="N30" i="95"/>
  <c r="J30" i="95"/>
  <c r="P30" i="95"/>
  <c r="R30" i="95"/>
  <c r="H30" i="95"/>
  <c r="T30" i="95"/>
  <c r="L30" i="95"/>
  <c r="BC373" i="31"/>
  <c r="AW288" i="31"/>
  <c r="AY232" i="31"/>
  <c r="BA251" i="31"/>
  <c r="AT239" i="31"/>
  <c r="AV239" i="31"/>
  <c r="AZ325" i="31"/>
  <c r="BS209" i="31"/>
  <c r="BT209" i="31" s="1"/>
  <c r="BU209" i="31" s="1"/>
  <c r="AY370" i="31"/>
  <c r="BE289" i="31"/>
  <c r="BC292" i="31"/>
  <c r="BC359" i="31"/>
  <c r="BE281" i="31"/>
  <c r="AY257" i="31"/>
  <c r="AW327" i="31"/>
  <c r="AX277" i="31"/>
  <c r="BB262" i="31"/>
  <c r="BA294" i="31"/>
  <c r="AY240" i="31"/>
  <c r="BB350" i="31"/>
  <c r="AZ303" i="31"/>
  <c r="BC318" i="31"/>
  <c r="AZ377" i="31"/>
  <c r="AX344" i="31"/>
  <c r="BA329" i="31"/>
  <c r="BD264" i="31"/>
  <c r="AW260" i="31"/>
  <c r="AT288" i="31"/>
  <c r="AV288" i="31"/>
  <c r="AX362" i="31"/>
  <c r="AX232" i="31"/>
  <c r="BC287" i="31"/>
  <c r="AT223" i="31"/>
  <c r="AV223" i="31"/>
  <c r="AZ239" i="31"/>
  <c r="AY325" i="31"/>
  <c r="AW235" i="31"/>
  <c r="AY245" i="31"/>
  <c r="AT315" i="31"/>
  <c r="AV315" i="31"/>
  <c r="AT350" i="31"/>
  <c r="AV350" i="31"/>
  <c r="AY377" i="31"/>
  <c r="BA321" i="31"/>
  <c r="BD319" i="31"/>
  <c r="BC344" i="31"/>
  <c r="AY266" i="31"/>
  <c r="AZ274" i="31"/>
  <c r="BA373" i="31"/>
  <c r="AZ264" i="31"/>
  <c r="T10" i="93"/>
  <c r="N10" i="93"/>
  <c r="V10" i="93"/>
  <c r="R10" i="93"/>
  <c r="L10" i="93"/>
  <c r="P10" i="93"/>
  <c r="J10" i="93"/>
  <c r="H10" i="93"/>
  <c r="BA248" i="31"/>
  <c r="BC355" i="31"/>
  <c r="N45" i="94"/>
  <c r="T45" i="94"/>
  <c r="J45" i="94"/>
  <c r="V45" i="94"/>
  <c r="L45" i="94"/>
  <c r="H45" i="94"/>
  <c r="R45" i="94"/>
  <c r="P45" i="94"/>
  <c r="BE296" i="31"/>
  <c r="AY214" i="31"/>
  <c r="BA375" i="31"/>
  <c r="AX212" i="31"/>
  <c r="BB325" i="31"/>
  <c r="BA317" i="31"/>
  <c r="AX354" i="31"/>
  <c r="AT274" i="31"/>
  <c r="AV274" i="31"/>
  <c r="AY225" i="31"/>
  <c r="T41" i="93"/>
  <c r="J41" i="93"/>
  <c r="V41" i="93"/>
  <c r="L41" i="93"/>
  <c r="H41" i="93"/>
  <c r="P41" i="93"/>
  <c r="N41" i="93"/>
  <c r="R41" i="93"/>
  <c r="AX304" i="31"/>
  <c r="BA230" i="31"/>
  <c r="AW345" i="31"/>
  <c r="BC210" i="31"/>
  <c r="AY284" i="31"/>
  <c r="AW342" i="31"/>
  <c r="AY375" i="31"/>
  <c r="AT237" i="31"/>
  <c r="AV237" i="31"/>
  <c r="BD286" i="31"/>
  <c r="BD222" i="31"/>
  <c r="AZ282" i="31"/>
  <c r="AY326" i="31"/>
  <c r="AT353" i="31"/>
  <c r="AV353" i="31"/>
  <c r="BB346" i="31"/>
  <c r="AZ314" i="31"/>
  <c r="BB220" i="31"/>
  <c r="AT304" i="31"/>
  <c r="AV304" i="31"/>
  <c r="AY246" i="31"/>
  <c r="AZ305" i="31"/>
  <c r="BE364" i="31"/>
  <c r="BB315" i="31"/>
  <c r="AZ350" i="31"/>
  <c r="AW318" i="31"/>
  <c r="AT356" i="31"/>
  <c r="AV356" i="31"/>
  <c r="BE333" i="31"/>
  <c r="BE358" i="31"/>
  <c r="BD307" i="31"/>
  <c r="AX239" i="31"/>
  <c r="AY367" i="31"/>
  <c r="BA229" i="31"/>
  <c r="AX342" i="31"/>
  <c r="AT222" i="31"/>
  <c r="AV222" i="31"/>
  <c r="BD282" i="31"/>
  <c r="AT287" i="31"/>
  <c r="AV287" i="31"/>
  <c r="BA328" i="31"/>
  <c r="BD289" i="31"/>
  <c r="AW292" i="31"/>
  <c r="AY306" i="31"/>
  <c r="BC246" i="31"/>
  <c r="BC371" i="31"/>
  <c r="AX238" i="31"/>
  <c r="AT327" i="31"/>
  <c r="AV327" i="31"/>
  <c r="AW364" i="31"/>
  <c r="AZ245" i="31"/>
  <c r="BA241" i="31"/>
  <c r="AZ240" i="31"/>
  <c r="BB261" i="31"/>
  <c r="AT295" i="31"/>
  <c r="AV295" i="31"/>
  <c r="BD377" i="31"/>
  <c r="BE321" i="31"/>
  <c r="BA291" i="31"/>
  <c r="BB310" i="31"/>
  <c r="BB362" i="31"/>
  <c r="AY277" i="31"/>
  <c r="BC244" i="31"/>
  <c r="BE266" i="31"/>
  <c r="AW210" i="31"/>
  <c r="BE375" i="31"/>
  <c r="BC237" i="31"/>
  <c r="AY307" i="31"/>
  <c r="AT282" i="31"/>
  <c r="AV282" i="31"/>
  <c r="AY223" i="31"/>
  <c r="BE239" i="31"/>
  <c r="BA212" i="31"/>
  <c r="AX325" i="31"/>
  <c r="BD332" i="31"/>
  <c r="BC367" i="31"/>
  <c r="AX292" i="31"/>
  <c r="AZ256" i="31"/>
  <c r="AW229" i="31"/>
  <c r="AZ237" i="31"/>
  <c r="AX286" i="31"/>
  <c r="AW282" i="31"/>
  <c r="BA287" i="31"/>
  <c r="AT339" i="31"/>
  <c r="AV339" i="31"/>
  <c r="AX285" i="31"/>
  <c r="AW363" i="31"/>
  <c r="AT321" i="31"/>
  <c r="AV321" i="31"/>
  <c r="BC283" i="31"/>
  <c r="AW358" i="31"/>
  <c r="AX265" i="31"/>
  <c r="AZ233" i="31"/>
  <c r="BB247" i="31"/>
  <c r="BA331" i="31"/>
  <c r="AZ214" i="31"/>
  <c r="AZ342" i="31"/>
  <c r="BB260" i="31"/>
  <c r="Z380" i="31"/>
  <c r="BI303" i="31"/>
  <c r="BI299" i="31"/>
  <c r="BI295" i="31"/>
  <c r="BI291" i="31"/>
  <c r="BI287" i="31"/>
  <c r="BI283" i="31"/>
  <c r="BI279" i="31"/>
  <c r="BI275" i="31"/>
  <c r="BI271" i="31"/>
  <c r="BI302" i="31"/>
  <c r="BI298" i="31"/>
  <c r="BI294" i="31"/>
  <c r="BI290" i="31"/>
  <c r="BI286" i="31"/>
  <c r="BI282" i="31"/>
  <c r="BI278" i="31"/>
  <c r="BI274" i="31"/>
  <c r="BI301" i="31"/>
  <c r="BI297" i="31"/>
  <c r="BI293" i="31"/>
  <c r="BI289" i="31"/>
  <c r="BI285" i="31"/>
  <c r="BI281" i="31"/>
  <c r="BI277" i="31"/>
  <c r="BI273" i="31"/>
  <c r="BI300" i="31"/>
  <c r="BI265" i="31"/>
  <c r="BS265" i="31" s="1"/>
  <c r="BI261" i="31"/>
  <c r="BI257" i="31"/>
  <c r="BI253" i="31"/>
  <c r="BI249" i="31"/>
  <c r="BI245" i="31"/>
  <c r="BI241" i="31"/>
  <c r="BI237" i="31"/>
  <c r="BI233" i="31"/>
  <c r="BS233" i="31" s="1"/>
  <c r="BI229" i="31"/>
  <c r="BI225" i="31"/>
  <c r="BI221" i="31"/>
  <c r="BI217" i="31"/>
  <c r="BI280" i="31"/>
  <c r="BI268" i="31"/>
  <c r="BI292" i="31"/>
  <c r="BI269" i="31"/>
  <c r="BI264" i="31"/>
  <c r="BI260" i="31"/>
  <c r="BI256" i="31"/>
  <c r="BI252" i="31"/>
  <c r="BI248" i="31"/>
  <c r="BI244" i="31"/>
  <c r="BI240" i="31"/>
  <c r="BI236" i="31"/>
  <c r="BS236" i="31" s="1"/>
  <c r="BI232" i="31"/>
  <c r="BI228" i="31"/>
  <c r="BI224" i="31"/>
  <c r="BI220" i="31"/>
  <c r="BI216" i="31"/>
  <c r="BI304" i="31"/>
  <c r="BI272" i="31"/>
  <c r="BI270" i="31"/>
  <c r="BS270" i="31" s="1"/>
  <c r="BI284" i="31"/>
  <c r="BI263" i="31"/>
  <c r="BI259" i="31"/>
  <c r="BI255" i="31"/>
  <c r="BI251" i="31"/>
  <c r="BI247" i="31"/>
  <c r="BI243" i="31"/>
  <c r="BI239" i="31"/>
  <c r="BI235" i="31"/>
  <c r="BI231" i="31"/>
  <c r="BI227" i="31"/>
  <c r="BI223" i="31"/>
  <c r="BI219" i="31"/>
  <c r="BI215" i="31"/>
  <c r="BI296" i="31"/>
  <c r="BI276" i="31"/>
  <c r="BI266" i="31"/>
  <c r="BI262" i="31"/>
  <c r="BI258" i="31"/>
  <c r="BI254" i="31"/>
  <c r="BI250" i="31"/>
  <c r="BI246" i="31"/>
  <c r="BI242" i="31"/>
  <c r="BI238" i="31"/>
  <c r="BS238" i="31" s="1"/>
  <c r="BI234" i="31"/>
  <c r="BI230" i="31"/>
  <c r="BI226" i="31"/>
  <c r="BI222" i="31"/>
  <c r="BI218" i="31"/>
  <c r="BI214" i="31"/>
  <c r="BI288" i="31"/>
  <c r="BI267" i="31"/>
  <c r="AJ208" i="31"/>
  <c r="AW317" i="31"/>
  <c r="BB319" i="31"/>
  <c r="BB354" i="31"/>
  <c r="AZ291" i="31"/>
  <c r="AY357" i="31"/>
  <c r="AW224" i="31"/>
  <c r="BB335" i="31"/>
  <c r="BE212" i="31"/>
  <c r="AA380" i="31"/>
  <c r="BJ303" i="31"/>
  <c r="BJ299" i="31"/>
  <c r="BJ295" i="31"/>
  <c r="BJ291" i="31"/>
  <c r="BJ287" i="31"/>
  <c r="BJ283" i="31"/>
  <c r="BJ279" i="31"/>
  <c r="BJ275" i="31"/>
  <c r="BJ271" i="31"/>
  <c r="BJ267" i="31"/>
  <c r="BJ302" i="31"/>
  <c r="BJ298" i="31"/>
  <c r="BJ294" i="31"/>
  <c r="BJ290" i="31"/>
  <c r="BJ286" i="31"/>
  <c r="BJ282" i="31"/>
  <c r="BJ278" i="31"/>
  <c r="BJ274" i="31"/>
  <c r="BJ270" i="31"/>
  <c r="BJ266" i="31"/>
  <c r="BJ301" i="31"/>
  <c r="BJ297" i="31"/>
  <c r="BJ293" i="31"/>
  <c r="BJ289" i="31"/>
  <c r="BJ285" i="31"/>
  <c r="BJ281" i="31"/>
  <c r="BJ277" i="31"/>
  <c r="BJ273" i="31"/>
  <c r="BJ304" i="31"/>
  <c r="BJ300" i="31"/>
  <c r="BJ296" i="31"/>
  <c r="BJ292" i="31"/>
  <c r="BJ288" i="31"/>
  <c r="BJ284" i="31"/>
  <c r="BJ280" i="31"/>
  <c r="BJ276" i="31"/>
  <c r="BJ272" i="31"/>
  <c r="BJ268" i="31"/>
  <c r="BJ269" i="31"/>
  <c r="BJ264" i="31"/>
  <c r="BJ260" i="31"/>
  <c r="BJ256" i="31"/>
  <c r="BJ252" i="31"/>
  <c r="BJ248" i="31"/>
  <c r="BJ244" i="31"/>
  <c r="BJ240" i="31"/>
  <c r="BJ236" i="31"/>
  <c r="BJ232" i="31"/>
  <c r="BJ228" i="31"/>
  <c r="BJ224" i="31"/>
  <c r="BJ220" i="31"/>
  <c r="BJ216" i="31"/>
  <c r="BJ263" i="31"/>
  <c r="BJ259" i="31"/>
  <c r="BJ255" i="31"/>
  <c r="BJ251" i="31"/>
  <c r="BJ247" i="31"/>
  <c r="BJ243" i="31"/>
  <c r="BJ239" i="31"/>
  <c r="BJ235" i="31"/>
  <c r="BJ231" i="31"/>
  <c r="BJ227" i="31"/>
  <c r="BJ223" i="31"/>
  <c r="BJ219" i="31"/>
  <c r="BJ215" i="31"/>
  <c r="BJ262" i="31"/>
  <c r="BJ258" i="31"/>
  <c r="BJ254" i="31"/>
  <c r="BJ250" i="31"/>
  <c r="BJ246" i="31"/>
  <c r="BJ242" i="31"/>
  <c r="BJ238" i="31"/>
  <c r="BJ234" i="31"/>
  <c r="BJ230" i="31"/>
  <c r="BJ226" i="31"/>
  <c r="BJ222" i="31"/>
  <c r="BJ218" i="31"/>
  <c r="BJ214" i="31"/>
  <c r="BJ265" i="31"/>
  <c r="BJ261" i="31"/>
  <c r="BJ257" i="31"/>
  <c r="BJ253" i="31"/>
  <c r="BJ249" i="31"/>
  <c r="BJ245" i="31"/>
  <c r="BJ241" i="31"/>
  <c r="BJ237" i="31"/>
  <c r="BJ233" i="31"/>
  <c r="BJ229" i="31"/>
  <c r="BJ225" i="31"/>
  <c r="BJ221" i="31"/>
  <c r="BJ217" i="31"/>
  <c r="AK208" i="31"/>
  <c r="AW208" i="31" s="1"/>
  <c r="BB323" i="31"/>
  <c r="AW332" i="31"/>
  <c r="AW367" i="31"/>
  <c r="AY229" i="31"/>
  <c r="AZ359" i="31"/>
  <c r="BC376" i="31"/>
  <c r="AZ238" i="31"/>
  <c r="AX364" i="31"/>
  <c r="AT256" i="31"/>
  <c r="AV256" i="31"/>
  <c r="AT303" i="31"/>
  <c r="AV303" i="31"/>
  <c r="BD299" i="31"/>
  <c r="BD342" i="31"/>
  <c r="BA222" i="31"/>
  <c r="BB223" i="31"/>
  <c r="AW246" i="31"/>
  <c r="BD261" i="31"/>
  <c r="BE317" i="31"/>
  <c r="AY233" i="31"/>
  <c r="H45" i="92"/>
  <c r="P45" i="92"/>
  <c r="J45" i="92"/>
  <c r="T45" i="92"/>
  <c r="L45" i="92"/>
  <c r="N45" i="92"/>
  <c r="R45" i="92"/>
  <c r="V45" i="92"/>
  <c r="AW255" i="31"/>
  <c r="BA237" i="31"/>
  <c r="AT362" i="31"/>
  <c r="AV362" i="31"/>
  <c r="BE307" i="31"/>
  <c r="BE234" i="31"/>
  <c r="BE326" i="31"/>
  <c r="BD328" i="31"/>
  <c r="AY304" i="31"/>
  <c r="AW248" i="31"/>
  <c r="AX229" i="31"/>
  <c r="AX246" i="31"/>
  <c r="BE371" i="31"/>
  <c r="BC305" i="31"/>
  <c r="AX311" i="31"/>
  <c r="AT364" i="31"/>
  <c r="AV364" i="31"/>
  <c r="AY294" i="31"/>
  <c r="BE360" i="31"/>
  <c r="BA315" i="31"/>
  <c r="BD263" i="31"/>
  <c r="AY295" i="31"/>
  <c r="AT299" i="31"/>
  <c r="AV299" i="31"/>
  <c r="AZ244" i="31"/>
  <c r="BE272" i="31"/>
  <c r="BB344" i="31"/>
  <c r="L43" i="92"/>
  <c r="T43" i="92"/>
  <c r="P43" i="92"/>
  <c r="H43" i="92"/>
  <c r="J43" i="92"/>
  <c r="V43" i="92"/>
  <c r="N43" i="92"/>
  <c r="R43" i="92"/>
  <c r="BC214" i="31"/>
  <c r="BE237" i="31"/>
  <c r="BE285" i="31"/>
  <c r="BB294" i="31"/>
  <c r="BB291" i="31"/>
  <c r="AX247" i="31"/>
  <c r="AW370" i="31"/>
  <c r="AT248" i="31"/>
  <c r="AV248" i="31"/>
  <c r="AZ306" i="31"/>
  <c r="AY281" i="31"/>
  <c r="AZ327" i="31"/>
  <c r="AZ294" i="31"/>
  <c r="BD256" i="31"/>
  <c r="BC303" i="31"/>
  <c r="BE365" i="31"/>
  <c r="AY265" i="31"/>
  <c r="AY274" i="31"/>
  <c r="AY373" i="31"/>
  <c r="BA247" i="31"/>
  <c r="BE310" i="31"/>
  <c r="BE327" i="31"/>
  <c r="BD365" i="31"/>
  <c r="AX331" i="31"/>
  <c r="AX284" i="31"/>
  <c r="AT260" i="31"/>
  <c r="AV260" i="31"/>
  <c r="BE211" i="31"/>
  <c r="AY339" i="31"/>
  <c r="AT346" i="31"/>
  <c r="AV346" i="31"/>
  <c r="AW314" i="31"/>
  <c r="AB380" i="31"/>
  <c r="BK302" i="31"/>
  <c r="BK298" i="31"/>
  <c r="BK294" i="31"/>
  <c r="BK290" i="31"/>
  <c r="BK286" i="31"/>
  <c r="BK282" i="31"/>
  <c r="BK278" i="31"/>
  <c r="BK274" i="31"/>
  <c r="BK270" i="31"/>
  <c r="BK301" i="31"/>
  <c r="BK297" i="31"/>
  <c r="BK293" i="31"/>
  <c r="BK289" i="31"/>
  <c r="BK285" i="31"/>
  <c r="BK281" i="31"/>
  <c r="BK277" i="31"/>
  <c r="BK273" i="31"/>
  <c r="BK304" i="31"/>
  <c r="BK300" i="31"/>
  <c r="BK296" i="31"/>
  <c r="BK292" i="31"/>
  <c r="BK288" i="31"/>
  <c r="BK284" i="31"/>
  <c r="BK280" i="31"/>
  <c r="BK276" i="31"/>
  <c r="BK272" i="31"/>
  <c r="BK287" i="31"/>
  <c r="BK269" i="31"/>
  <c r="BK264" i="31"/>
  <c r="BK260" i="31"/>
  <c r="BK256" i="31"/>
  <c r="BK252" i="31"/>
  <c r="BK248" i="31"/>
  <c r="BK244" i="31"/>
  <c r="BK240" i="31"/>
  <c r="BK236" i="31"/>
  <c r="BK232" i="31"/>
  <c r="BK228" i="31"/>
  <c r="BK224" i="31"/>
  <c r="BK220" i="31"/>
  <c r="BK216" i="31"/>
  <c r="BK299" i="31"/>
  <c r="BK279" i="31"/>
  <c r="BK263" i="31"/>
  <c r="BK259" i="31"/>
  <c r="BK255" i="31"/>
  <c r="BK251" i="31"/>
  <c r="BK247" i="31"/>
  <c r="BK243" i="31"/>
  <c r="BK239" i="31"/>
  <c r="BK235" i="31"/>
  <c r="BK231" i="31"/>
  <c r="BK227" i="31"/>
  <c r="BK223" i="31"/>
  <c r="BK219" i="31"/>
  <c r="BK215" i="31"/>
  <c r="BK291" i="31"/>
  <c r="BK303" i="31"/>
  <c r="BK262" i="31"/>
  <c r="BK258" i="31"/>
  <c r="BK254" i="31"/>
  <c r="BK250" i="31"/>
  <c r="BK246" i="31"/>
  <c r="BK242" i="31"/>
  <c r="BK238" i="31"/>
  <c r="BK234" i="31"/>
  <c r="BK230" i="31"/>
  <c r="BK226" i="31"/>
  <c r="BK222" i="31"/>
  <c r="BK218" i="31"/>
  <c r="BK214" i="31"/>
  <c r="BK283" i="31"/>
  <c r="BK266" i="31"/>
  <c r="BK295" i="31"/>
  <c r="BK271" i="31"/>
  <c r="BK267" i="31"/>
  <c r="BK265" i="31"/>
  <c r="BK261" i="31"/>
  <c r="BK257" i="31"/>
  <c r="BK253" i="31"/>
  <c r="BK249" i="31"/>
  <c r="BK245" i="31"/>
  <c r="BK241" i="31"/>
  <c r="BK237" i="31"/>
  <c r="BK233" i="31"/>
  <c r="BK229" i="31"/>
  <c r="BK225" i="31"/>
  <c r="BK221" i="31"/>
  <c r="BK217" i="31"/>
  <c r="BK275" i="31"/>
  <c r="BK268" i="31"/>
  <c r="AL208" i="31"/>
  <c r="AX208" i="31" s="1"/>
  <c r="AY319" i="31"/>
  <c r="AZ365" i="31"/>
  <c r="AZ266" i="31"/>
  <c r="AX373" i="31"/>
  <c r="BA240" i="31"/>
  <c r="BC335" i="31"/>
  <c r="BC229" i="31"/>
  <c r="BE336" i="31"/>
  <c r="AZ371" i="31"/>
  <c r="BA364" i="31"/>
  <c r="BE245" i="31"/>
  <c r="BE377" i="31"/>
  <c r="BB321" i="31"/>
  <c r="BC358" i="31"/>
  <c r="AY365" i="31"/>
  <c r="AT354" i="31"/>
  <c r="AV354" i="31"/>
  <c r="BE274" i="31"/>
  <c r="BB357" i="31"/>
  <c r="AY224" i="31"/>
  <c r="BD310" i="31"/>
  <c r="AW350" i="31"/>
  <c r="BB374" i="31"/>
  <c r="BD210" i="31"/>
  <c r="BE335" i="31"/>
  <c r="AY280" i="31"/>
  <c r="AZ223" i="31"/>
  <c r="BC323" i="31"/>
  <c r="BE370" i="31"/>
  <c r="BC304" i="31"/>
  <c r="AZ248" i="31"/>
  <c r="BB229" i="31"/>
  <c r="AW359" i="31"/>
  <c r="BB371" i="31"/>
  <c r="AY238" i="31"/>
  <c r="AX355" i="31"/>
  <c r="BE249" i="31"/>
  <c r="BD262" i="31"/>
  <c r="BA256" i="31"/>
  <c r="AY368" i="31"/>
  <c r="AX263" i="31"/>
  <c r="AX295" i="31"/>
  <c r="BC377" i="31"/>
  <c r="AX259" i="31"/>
  <c r="AX374" i="31"/>
  <c r="AW361" i="31"/>
  <c r="BB225" i="31"/>
  <c r="AT361" i="31"/>
  <c r="AV361" i="31"/>
  <c r="AY362" i="31"/>
  <c r="AW307" i="31"/>
  <c r="AT326" i="31"/>
  <c r="AV326" i="31"/>
  <c r="AW353" i="31"/>
  <c r="AT212" i="31"/>
  <c r="AV212" i="31"/>
  <c r="BD314" i="31"/>
  <c r="BE220" i="31"/>
  <c r="AY332" i="31"/>
  <c r="AX367" i="31"/>
  <c r="AZ229" i="31"/>
  <c r="BB246" i="31"/>
  <c r="AW371" i="31"/>
  <c r="BA238" i="31"/>
  <c r="BC311" i="31"/>
  <c r="BD277" i="31"/>
  <c r="AY262" i="31"/>
  <c r="AW241" i="31"/>
  <c r="AX315" i="31"/>
  <c r="BE350" i="31"/>
  <c r="BB345" i="31"/>
  <c r="AY299" i="31"/>
  <c r="BB244" i="31"/>
  <c r="BA365" i="31"/>
  <c r="BC266" i="31"/>
  <c r="AY296" i="31"/>
  <c r="BB342" i="31"/>
  <c r="BD375" i="31"/>
  <c r="AX237" i="31"/>
  <c r="AT286" i="31"/>
  <c r="AV286" i="31"/>
  <c r="AY234" i="31"/>
  <c r="AY287" i="31"/>
  <c r="BE353" i="31"/>
  <c r="BC314" i="31"/>
  <c r="BE328" i="31"/>
  <c r="BA292" i="31"/>
  <c r="AW230" i="31"/>
  <c r="BA327" i="31"/>
  <c r="AX294" i="31"/>
  <c r="BA350" i="31"/>
  <c r="BD244" i="31"/>
  <c r="BC317" i="31"/>
  <c r="AW272" i="31"/>
  <c r="AY344" i="31"/>
  <c r="BA265" i="31"/>
  <c r="AY374" i="31"/>
  <c r="BD361" i="31"/>
  <c r="AZ310" i="31"/>
  <c r="BE331" i="31"/>
  <c r="AZ210" i="31"/>
  <c r="AT335" i="31"/>
  <c r="AV335" i="31"/>
  <c r="AX280" i="31"/>
  <c r="AZ287" i="31"/>
  <c r="AZ353" i="31"/>
  <c r="AY212" i="31"/>
  <c r="AW325" i="31"/>
  <c r="BA266" i="31"/>
  <c r="BC361" i="31"/>
  <c r="BA264" i="31"/>
  <c r="BP304" i="31"/>
  <c r="BP300" i="31"/>
  <c r="BP296" i="31"/>
  <c r="BP292" i="31"/>
  <c r="BP288" i="31"/>
  <c r="BP284" i="31"/>
  <c r="BP280" i="31"/>
  <c r="BP276" i="31"/>
  <c r="BP272" i="31"/>
  <c r="BP268" i="31"/>
  <c r="BP303" i="31"/>
  <c r="BP299" i="31"/>
  <c r="BP295" i="31"/>
  <c r="BP291" i="31"/>
  <c r="BP287" i="31"/>
  <c r="BP283" i="31"/>
  <c r="BP279" i="31"/>
  <c r="BP275" i="31"/>
  <c r="BP271" i="31"/>
  <c r="BP267" i="31"/>
  <c r="AG380" i="31"/>
  <c r="BP302" i="31"/>
  <c r="BP298" i="31"/>
  <c r="BP294" i="31"/>
  <c r="BP290" i="31"/>
  <c r="BP286" i="31"/>
  <c r="BP282" i="31"/>
  <c r="BP278" i="31"/>
  <c r="BP274" i="31"/>
  <c r="BP270" i="31"/>
  <c r="BP301" i="31"/>
  <c r="BP297" i="31"/>
  <c r="BP293" i="31"/>
  <c r="BP289" i="31"/>
  <c r="BP285" i="31"/>
  <c r="BP281" i="31"/>
  <c r="BP277" i="31"/>
  <c r="BP273" i="31"/>
  <c r="BP266" i="31"/>
  <c r="BP265" i="31"/>
  <c r="BP261" i="31"/>
  <c r="BP257" i="31"/>
  <c r="BP253" i="31"/>
  <c r="BP249" i="31"/>
  <c r="BP245" i="31"/>
  <c r="BP241" i="31"/>
  <c r="BP237" i="31"/>
  <c r="BP233" i="31"/>
  <c r="BP229" i="31"/>
  <c r="BP225" i="31"/>
  <c r="BP221" i="31"/>
  <c r="BP217" i="31"/>
  <c r="BP264" i="31"/>
  <c r="BP260" i="31"/>
  <c r="BP256" i="31"/>
  <c r="BP252" i="31"/>
  <c r="BP248" i="31"/>
  <c r="BP244" i="31"/>
  <c r="BP240" i="31"/>
  <c r="BP236" i="31"/>
  <c r="BP232" i="31"/>
  <c r="BP228" i="31"/>
  <c r="BP224" i="31"/>
  <c r="BP220" i="31"/>
  <c r="BP216" i="31"/>
  <c r="BP263" i="31"/>
  <c r="BP259" i="31"/>
  <c r="BP255" i="31"/>
  <c r="BP251" i="31"/>
  <c r="BP247" i="31"/>
  <c r="BP243" i="31"/>
  <c r="BP239" i="31"/>
  <c r="BP235" i="31"/>
  <c r="BP231" i="31"/>
  <c r="BP227" i="31"/>
  <c r="BP223" i="31"/>
  <c r="BP219" i="31"/>
  <c r="BP215" i="31"/>
  <c r="BP269" i="31"/>
  <c r="BP262" i="31"/>
  <c r="BP258" i="31"/>
  <c r="BP254" i="31"/>
  <c r="BP250" i="31"/>
  <c r="BP246" i="31"/>
  <c r="BP242" i="31"/>
  <c r="BP238" i="31"/>
  <c r="BP234" i="31"/>
  <c r="BP230" i="31"/>
  <c r="BP226" i="31"/>
  <c r="BP222" i="31"/>
  <c r="BP218" i="31"/>
  <c r="BP214" i="31"/>
  <c r="AQ208" i="31"/>
  <c r="BC208" i="31" s="1"/>
  <c r="BB289" i="31"/>
  <c r="AW331" i="31"/>
  <c r="BE284" i="31"/>
  <c r="BD255" i="31"/>
  <c r="BB375" i="31"/>
  <c r="AZ211" i="31"/>
  <c r="BC307" i="31"/>
  <c r="BC232" i="31"/>
  <c r="AY282" i="31"/>
  <c r="BD326" i="31"/>
  <c r="BC339" i="31"/>
  <c r="AT285" i="31"/>
  <c r="AV285" i="31"/>
  <c r="AZ363" i="31"/>
  <c r="AX323" i="31"/>
  <c r="AT289" i="31"/>
  <c r="AV289" i="31"/>
  <c r="AW257" i="31"/>
  <c r="BB305" i="31"/>
  <c r="AY249" i="31"/>
  <c r="BA340" i="31"/>
  <c r="AT377" i="31"/>
  <c r="AV377" i="31"/>
  <c r="AW321" i="31"/>
  <c r="BD358" i="31"/>
  <c r="AW237" i="31"/>
  <c r="AW251" i="31"/>
  <c r="BA367" i="31"/>
  <c r="AX371" i="31"/>
  <c r="BE342" i="31"/>
  <c r="BA288" i="31"/>
  <c r="AZ307" i="31"/>
  <c r="AW232" i="31"/>
  <c r="BC282" i="31"/>
  <c r="AX223" i="31"/>
  <c r="BC220" i="31"/>
  <c r="BB370" i="31"/>
  <c r="BD367" i="31"/>
  <c r="AY292" i="31"/>
  <c r="BD336" i="31"/>
  <c r="AY230" i="31"/>
  <c r="BE376" i="31"/>
  <c r="AX305" i="31"/>
  <c r="BD311" i="31"/>
  <c r="BC340" i="31"/>
  <c r="AW245" i="31"/>
  <c r="BE256" i="31"/>
  <c r="AW315" i="31"/>
  <c r="BC263" i="31"/>
  <c r="AY318" i="31"/>
  <c r="AT244" i="31"/>
  <c r="AV244" i="31"/>
  <c r="AT317" i="31"/>
  <c r="AV317" i="31"/>
  <c r="AY354" i="31"/>
  <c r="BE247" i="31"/>
  <c r="AW310" i="31"/>
  <c r="P42" i="93"/>
  <c r="N42" i="93"/>
  <c r="H42" i="93"/>
  <c r="V42" i="93"/>
  <c r="L42" i="93"/>
  <c r="R42" i="93"/>
  <c r="T42" i="93"/>
  <c r="J42" i="93"/>
  <c r="N44" i="92"/>
  <c r="P44" i="92"/>
  <c r="V44" i="92"/>
  <c r="H44" i="92"/>
  <c r="T44" i="92"/>
  <c r="R44" i="92"/>
  <c r="J44" i="92"/>
  <c r="L44" i="92"/>
  <c r="BD359" i="31"/>
  <c r="AT340" i="31"/>
  <c r="AV340" i="31"/>
  <c r="AY317" i="31"/>
  <c r="BC274" i="31"/>
  <c r="BB210" i="31"/>
  <c r="AT342" i="31"/>
  <c r="AV342" i="31"/>
  <c r="AZ280" i="31"/>
  <c r="BC211" i="31"/>
  <c r="AW222" i="31"/>
  <c r="AW287" i="31"/>
  <c r="BC353" i="31"/>
  <c r="BA346" i="31"/>
  <c r="AX314" i="31"/>
  <c r="BQ303" i="31"/>
  <c r="BQ299" i="31"/>
  <c r="BQ295" i="31"/>
  <c r="BQ291" i="31"/>
  <c r="BQ287" i="31"/>
  <c r="BQ283" i="31"/>
  <c r="BQ279" i="31"/>
  <c r="BQ275" i="31"/>
  <c r="BQ271" i="31"/>
  <c r="BQ267" i="31"/>
  <c r="AH380" i="31"/>
  <c r="BQ302" i="31"/>
  <c r="BQ298" i="31"/>
  <c r="BQ294" i="31"/>
  <c r="BQ290" i="31"/>
  <c r="BQ286" i="31"/>
  <c r="BQ282" i="31"/>
  <c r="BQ278" i="31"/>
  <c r="BQ274" i="31"/>
  <c r="BQ301" i="31"/>
  <c r="BQ297" i="31"/>
  <c r="BQ293" i="31"/>
  <c r="BQ289" i="31"/>
  <c r="BQ285" i="31"/>
  <c r="BQ281" i="31"/>
  <c r="BQ277" i="31"/>
  <c r="BQ273" i="31"/>
  <c r="BQ280" i="31"/>
  <c r="BQ266" i="31"/>
  <c r="BQ265" i="31"/>
  <c r="BQ261" i="31"/>
  <c r="BQ257" i="31"/>
  <c r="BQ253" i="31"/>
  <c r="BQ249" i="31"/>
  <c r="BQ245" i="31"/>
  <c r="BQ241" i="31"/>
  <c r="BQ237" i="31"/>
  <c r="BQ233" i="31"/>
  <c r="BQ229" i="31"/>
  <c r="BQ225" i="31"/>
  <c r="BQ221" i="31"/>
  <c r="BQ217" i="31"/>
  <c r="BQ292" i="31"/>
  <c r="BQ304" i="31"/>
  <c r="BQ272" i="31"/>
  <c r="BQ264" i="31"/>
  <c r="BQ260" i="31"/>
  <c r="BQ256" i="31"/>
  <c r="BQ252" i="31"/>
  <c r="BQ248" i="31"/>
  <c r="BQ244" i="31"/>
  <c r="BQ240" i="31"/>
  <c r="BQ236" i="31"/>
  <c r="BQ232" i="31"/>
  <c r="BQ228" i="31"/>
  <c r="BQ224" i="31"/>
  <c r="BQ220" i="31"/>
  <c r="BQ216" i="31"/>
  <c r="BQ284" i="31"/>
  <c r="BQ296" i="31"/>
  <c r="BQ268" i="31"/>
  <c r="BQ263" i="31"/>
  <c r="BQ259" i="31"/>
  <c r="BQ255" i="31"/>
  <c r="BQ251" i="31"/>
  <c r="BQ247" i="31"/>
  <c r="BQ243" i="31"/>
  <c r="BQ239" i="31"/>
  <c r="BQ235" i="31"/>
  <c r="BQ231" i="31"/>
  <c r="BQ227" i="31"/>
  <c r="BQ223" i="31"/>
  <c r="BQ219" i="31"/>
  <c r="BQ215" i="31"/>
  <c r="BQ276" i="31"/>
  <c r="BQ269" i="31"/>
  <c r="BQ288" i="31"/>
  <c r="BQ262" i="31"/>
  <c r="BQ258" i="31"/>
  <c r="BQ254" i="31"/>
  <c r="BQ250" i="31"/>
  <c r="BQ246" i="31"/>
  <c r="BQ242" i="31"/>
  <c r="BQ238" i="31"/>
  <c r="BQ234" i="31"/>
  <c r="BQ230" i="31"/>
  <c r="BQ226" i="31"/>
  <c r="BQ222" i="31"/>
  <c r="BQ218" i="31"/>
  <c r="BQ214" i="31"/>
  <c r="BQ300" i="31"/>
  <c r="BQ270" i="31"/>
  <c r="AR208" i="31"/>
  <c r="BD208" i="31" s="1"/>
  <c r="BB328" i="31"/>
  <c r="BC248" i="31"/>
  <c r="BE292" i="31"/>
  <c r="BE230" i="31"/>
  <c r="BB327" i="31"/>
  <c r="BE240" i="31"/>
  <c r="AX350" i="31"/>
  <c r="BD249" i="31"/>
  <c r="AX211" i="31"/>
  <c r="BA239" i="31"/>
  <c r="BB285" i="31"/>
  <c r="AX321" i="31"/>
  <c r="BB233" i="31"/>
  <c r="AT264" i="31"/>
  <c r="AV264" i="31"/>
  <c r="H30" i="92"/>
  <c r="L30" i="92"/>
  <c r="T30" i="92"/>
  <c r="P30" i="92"/>
  <c r="V30" i="92"/>
  <c r="N30" i="92"/>
  <c r="R30" i="92"/>
  <c r="J30" i="92"/>
  <c r="BA261" i="31"/>
  <c r="AZ333" i="31"/>
  <c r="AT283" i="31"/>
  <c r="AV283" i="31"/>
  <c r="AX272" i="31"/>
  <c r="BE354" i="31"/>
  <c r="BA274" i="31"/>
  <c r="AX291" i="31"/>
  <c r="BD373" i="31"/>
  <c r="BB224" i="31"/>
  <c r="AY310" i="31"/>
  <c r="AX335" i="31"/>
  <c r="BC346" i="31"/>
  <c r="AZ304" i="31"/>
  <c r="AZ246" i="31"/>
  <c r="AW376" i="31"/>
  <c r="AT249" i="31"/>
  <c r="AV249" i="31"/>
  <c r="BE340" i="31"/>
  <c r="BA368" i="31"/>
  <c r="BD345" i="31"/>
  <c r="BC299" i="31"/>
  <c r="H10" i="94"/>
  <c r="P10" i="94"/>
  <c r="V10" i="94"/>
  <c r="L10" i="94"/>
  <c r="T10" i="94"/>
  <c r="R10" i="94"/>
  <c r="J10" i="94"/>
  <c r="N10" i="94"/>
  <c r="AY255" i="31"/>
  <c r="BA232" i="31"/>
  <c r="AX353" i="31"/>
  <c r="BA371" i="31"/>
  <c r="BC319" i="31"/>
  <c r="BC225" i="31"/>
  <c r="P45" i="95"/>
  <c r="V45" i="95"/>
  <c r="T45" i="95"/>
  <c r="H45" i="95"/>
  <c r="L45" i="95"/>
  <c r="N45" i="95"/>
  <c r="J45" i="95"/>
  <c r="R45" i="95"/>
  <c r="AZ286" i="31"/>
  <c r="BB234" i="31"/>
  <c r="AZ370" i="31"/>
  <c r="AX289" i="31"/>
  <c r="BC235" i="31"/>
  <c r="AW306" i="31"/>
  <c r="BB230" i="31"/>
  <c r="BA376" i="31"/>
  <c r="BE305" i="31"/>
  <c r="BB249" i="31"/>
  <c r="AY340" i="31"/>
  <c r="AZ241" i="31"/>
  <c r="AT360" i="31"/>
  <c r="AV360" i="31"/>
  <c r="BC368" i="31"/>
  <c r="BE263" i="31"/>
  <c r="BE295" i="31"/>
  <c r="BB356" i="31"/>
  <c r="AY244" i="31"/>
  <c r="BA283" i="31"/>
  <c r="AX365" i="31"/>
  <c r="BC374" i="31"/>
  <c r="AP53" i="2"/>
  <c r="AO53" i="2"/>
  <c r="AN53" i="2"/>
  <c r="AW375" i="31"/>
  <c r="BA282" i="31"/>
  <c r="BA220" i="31"/>
  <c r="AW281" i="31"/>
  <c r="AZ357" i="31"/>
  <c r="BE264" i="31"/>
  <c r="AY235" i="31"/>
  <c r="AT281" i="31"/>
  <c r="AV281" i="31"/>
  <c r="AT240" i="31"/>
  <c r="AV240" i="31"/>
  <c r="AW261" i="31"/>
  <c r="AZ345" i="31"/>
  <c r="AZ299" i="31"/>
  <c r="BC259" i="31"/>
  <c r="AW329" i="31"/>
  <c r="BB265" i="31"/>
  <c r="BD374" i="31"/>
  <c r="BB361" i="31"/>
  <c r="AX264" i="31"/>
  <c r="AX225" i="31"/>
  <c r="AT331" i="31"/>
  <c r="AV331" i="31"/>
  <c r="AZ285" i="31"/>
  <c r="AT363" i="31"/>
  <c r="AV363" i="31"/>
  <c r="AZ356" i="31"/>
  <c r="BB329" i="31"/>
  <c r="BA296" i="31"/>
  <c r="AW214" i="31"/>
  <c r="AT375" i="31"/>
  <c r="AV375" i="31"/>
  <c r="BA362" i="31"/>
  <c r="BC251" i="31"/>
  <c r="BB239" i="31"/>
  <c r="AY285" i="31"/>
  <c r="AY363" i="31"/>
  <c r="BB365" i="31"/>
  <c r="AW266" i="31"/>
  <c r="AX274" i="31"/>
  <c r="AY361" i="31"/>
  <c r="P42" i="94"/>
  <c r="L42" i="94"/>
  <c r="N42" i="94"/>
  <c r="T42" i="94"/>
  <c r="V42" i="94"/>
  <c r="H42" i="94"/>
  <c r="J42" i="94"/>
  <c r="R42" i="94"/>
  <c r="AW220" i="31"/>
  <c r="BA304" i="31"/>
  <c r="AX306" i="31"/>
  <c r="BE359" i="31"/>
  <c r="BD376" i="31"/>
  <c r="BD238" i="31"/>
  <c r="BD340" i="31"/>
  <c r="AW294" i="31"/>
  <c r="AW303" i="31"/>
  <c r="BE299" i="31"/>
  <c r="BE244" i="31"/>
  <c r="BB317" i="31"/>
  <c r="AX319" i="31"/>
  <c r="BD259" i="31"/>
  <c r="BE329" i="31"/>
  <c r="BE233" i="31"/>
  <c r="BE374" i="31"/>
  <c r="BD357" i="31"/>
  <c r="BD247" i="31"/>
  <c r="BE225" i="31"/>
  <c r="BD370" i="31"/>
  <c r="BA377" i="31"/>
  <c r="AY331" i="31"/>
  <c r="BD284" i="31"/>
  <c r="BD260" i="31"/>
  <c r="BB288" i="31"/>
  <c r="BD232" i="31"/>
  <c r="AY251" i="31"/>
  <c r="BD323" i="31"/>
  <c r="BA370" i="31"/>
  <c r="AW289" i="31"/>
  <c r="AZ235" i="31"/>
  <c r="BC306" i="31"/>
  <c r="AT246" i="31"/>
  <c r="AV246" i="31"/>
  <c r="AY371" i="31"/>
  <c r="BC238" i="31"/>
  <c r="BC327" i="31"/>
  <c r="BA277" i="31"/>
  <c r="AX245" i="31"/>
  <c r="AW360" i="31"/>
  <c r="BC350" i="31"/>
  <c r="AY303" i="31"/>
  <c r="BA318" i="31"/>
  <c r="BB377" i="31"/>
  <c r="AW319" i="31"/>
  <c r="BD329" i="31"/>
  <c r="AT374" i="31"/>
  <c r="AV374" i="31"/>
  <c r="BA357" i="31"/>
  <c r="AN29" i="2"/>
  <c r="AP29" i="2"/>
  <c r="AO29" i="2"/>
  <c r="AZ224" i="31"/>
  <c r="AT255" i="31"/>
  <c r="AV255" i="31"/>
  <c r="BE286" i="31"/>
  <c r="BB287" i="31"/>
  <c r="BA339" i="31"/>
  <c r="AZ346" i="31"/>
  <c r="BB363" i="31"/>
  <c r="BO304" i="31"/>
  <c r="BO300" i="31"/>
  <c r="BO296" i="31"/>
  <c r="BO292" i="31"/>
  <c r="BO288" i="31"/>
  <c r="BO284" i="31"/>
  <c r="BO280" i="31"/>
  <c r="BO276" i="31"/>
  <c r="BO272" i="31"/>
  <c r="BO268" i="31"/>
  <c r="BO303" i="31"/>
  <c r="BO299" i="31"/>
  <c r="BO295" i="31"/>
  <c r="BO291" i="31"/>
  <c r="BO287" i="31"/>
  <c r="BO283" i="31"/>
  <c r="BO279" i="31"/>
  <c r="BO275" i="31"/>
  <c r="AF380" i="31"/>
  <c r="BO302" i="31"/>
  <c r="BO298" i="31"/>
  <c r="BO294" i="31"/>
  <c r="BO290" i="31"/>
  <c r="BO286" i="31"/>
  <c r="BO282" i="31"/>
  <c r="BO278" i="31"/>
  <c r="BO274" i="31"/>
  <c r="BO293" i="31"/>
  <c r="BO270" i="31"/>
  <c r="BO262" i="31"/>
  <c r="BO258" i="31"/>
  <c r="BO254" i="31"/>
  <c r="BO250" i="31"/>
  <c r="BO246" i="31"/>
  <c r="BO242" i="31"/>
  <c r="BO238" i="31"/>
  <c r="BO234" i="31"/>
  <c r="BO230" i="31"/>
  <c r="BO226" i="31"/>
  <c r="BO222" i="31"/>
  <c r="BO218" i="31"/>
  <c r="BO214" i="31"/>
  <c r="BO273" i="31"/>
  <c r="BO285" i="31"/>
  <c r="BO267" i="31"/>
  <c r="BO266" i="31"/>
  <c r="BO265" i="31"/>
  <c r="BO261" i="31"/>
  <c r="BO257" i="31"/>
  <c r="BO253" i="31"/>
  <c r="BO249" i="31"/>
  <c r="BO245" i="31"/>
  <c r="BO241" i="31"/>
  <c r="BO237" i="31"/>
  <c r="BO233" i="31"/>
  <c r="BO229" i="31"/>
  <c r="BO225" i="31"/>
  <c r="BO221" i="31"/>
  <c r="BO217" i="31"/>
  <c r="BO297" i="31"/>
  <c r="BO277" i="31"/>
  <c r="BO271" i="31"/>
  <c r="BO264" i="31"/>
  <c r="BO260" i="31"/>
  <c r="BO256" i="31"/>
  <c r="BO252" i="31"/>
  <c r="BO248" i="31"/>
  <c r="BO244" i="31"/>
  <c r="BO240" i="31"/>
  <c r="BO236" i="31"/>
  <c r="BO232" i="31"/>
  <c r="BO228" i="31"/>
  <c r="BO224" i="31"/>
  <c r="BO220" i="31"/>
  <c r="BO216" i="31"/>
  <c r="BO289" i="31"/>
  <c r="BO301" i="31"/>
  <c r="BO263" i="31"/>
  <c r="BO259" i="31"/>
  <c r="BO255" i="31"/>
  <c r="BO251" i="31"/>
  <c r="BO247" i="31"/>
  <c r="BO243" i="31"/>
  <c r="BO239" i="31"/>
  <c r="BO235" i="31"/>
  <c r="BO231" i="31"/>
  <c r="BO227" i="31"/>
  <c r="BO223" i="31"/>
  <c r="BO219" i="31"/>
  <c r="BO215" i="31"/>
  <c r="BO281" i="31"/>
  <c r="BO269" i="31"/>
  <c r="AP208" i="31"/>
  <c r="BB208" i="31" s="1"/>
  <c r="BA323" i="31"/>
  <c r="BE304" i="31"/>
  <c r="BB248" i="31"/>
  <c r="BB306" i="31"/>
  <c r="BD246" i="31"/>
  <c r="AT376" i="31"/>
  <c r="AV376" i="31"/>
  <c r="AW305" i="31"/>
  <c r="BA311" i="31"/>
  <c r="BC364" i="31"/>
  <c r="BA245" i="31"/>
  <c r="BC256" i="31"/>
  <c r="BB368" i="31"/>
  <c r="AZ261" i="31"/>
  <c r="BE345" i="31"/>
  <c r="BA299" i="31"/>
  <c r="BE259" i="31"/>
  <c r="AY210" i="31"/>
  <c r="BA255" i="31"/>
  <c r="BC280" i="31"/>
  <c r="BA211" i="31"/>
  <c r="AT307" i="31"/>
  <c r="AV307" i="31"/>
  <c r="BD234" i="31"/>
  <c r="BE251" i="31"/>
  <c r="BE339" i="31"/>
  <c r="BD363" i="31"/>
  <c r="AT306" i="31"/>
  <c r="AV306" i="31"/>
  <c r="AY305" i="31"/>
  <c r="AT294" i="31"/>
  <c r="AV294" i="31"/>
  <c r="AX240" i="31"/>
  <c r="AX261" i="31"/>
  <c r="BA244" i="31"/>
  <c r="AW283" i="31"/>
  <c r="AW365" i="31"/>
  <c r="BA354" i="31"/>
  <c r="AT291" i="31"/>
  <c r="AV291" i="31"/>
  <c r="AT224" i="31"/>
  <c r="AV224" i="31"/>
  <c r="AZ225" i="31"/>
  <c r="AN13" i="2"/>
  <c r="AO13" i="2"/>
  <c r="AP13" i="2"/>
  <c r="BC296" i="31"/>
  <c r="BD364" i="31"/>
  <c r="AZ331" i="31"/>
  <c r="BC284" i="31"/>
  <c r="AZ260" i="31"/>
  <c r="BB280" i="31"/>
  <c r="BB222" i="31"/>
  <c r="BE287" i="31"/>
  <c r="BD339" i="31"/>
  <c r="BE346" i="31"/>
  <c r="BA314" i="31"/>
  <c r="BR303" i="31"/>
  <c r="BR299" i="31"/>
  <c r="BR295" i="31"/>
  <c r="BR291" i="31"/>
  <c r="BR287" i="31"/>
  <c r="BR283" i="31"/>
  <c r="BR279" i="31"/>
  <c r="BR275" i="31"/>
  <c r="BR271" i="31"/>
  <c r="BR267" i="31"/>
  <c r="AI380" i="31"/>
  <c r="BR302" i="31"/>
  <c r="BR298" i="31"/>
  <c r="BR294" i="31"/>
  <c r="BR290" i="31"/>
  <c r="BR286" i="31"/>
  <c r="BR282" i="31"/>
  <c r="BR278" i="31"/>
  <c r="BR274" i="31"/>
  <c r="BR270" i="31"/>
  <c r="BR266" i="31"/>
  <c r="BR301" i="31"/>
  <c r="BR297" i="31"/>
  <c r="BR293" i="31"/>
  <c r="BR289" i="31"/>
  <c r="BR285" i="31"/>
  <c r="BR281" i="31"/>
  <c r="BR277" i="31"/>
  <c r="BR273" i="31"/>
  <c r="BR304" i="31"/>
  <c r="BR300" i="31"/>
  <c r="BR296" i="31"/>
  <c r="BR292" i="31"/>
  <c r="BR288" i="31"/>
  <c r="BR284" i="31"/>
  <c r="BR280" i="31"/>
  <c r="BR276" i="31"/>
  <c r="BR272" i="31"/>
  <c r="BR264" i="31"/>
  <c r="BR260" i="31"/>
  <c r="BR256" i="31"/>
  <c r="BR252" i="31"/>
  <c r="BR248" i="31"/>
  <c r="BR244" i="31"/>
  <c r="BR240" i="31"/>
  <c r="BR236" i="31"/>
  <c r="BR232" i="31"/>
  <c r="BR228" i="31"/>
  <c r="BR224" i="31"/>
  <c r="BR220" i="31"/>
  <c r="BR216" i="31"/>
  <c r="BR268" i="31"/>
  <c r="BR263" i="31"/>
  <c r="BR259" i="31"/>
  <c r="BR255" i="31"/>
  <c r="BR251" i="31"/>
  <c r="BR247" i="31"/>
  <c r="BR243" i="31"/>
  <c r="BR239" i="31"/>
  <c r="BR235" i="31"/>
  <c r="BR231" i="31"/>
  <c r="BR227" i="31"/>
  <c r="BR223" i="31"/>
  <c r="BR219" i="31"/>
  <c r="BR215" i="31"/>
  <c r="BR269" i="31"/>
  <c r="BR262" i="31"/>
  <c r="BR258" i="31"/>
  <c r="BR254" i="31"/>
  <c r="BR250" i="31"/>
  <c r="BR246" i="31"/>
  <c r="BR242" i="31"/>
  <c r="BR238" i="31"/>
  <c r="BR234" i="31"/>
  <c r="BR230" i="31"/>
  <c r="BR226" i="31"/>
  <c r="BR222" i="31"/>
  <c r="BR218" i="31"/>
  <c r="BR214" i="31"/>
  <c r="BR265" i="31"/>
  <c r="BR261" i="31"/>
  <c r="BR257" i="31"/>
  <c r="BR253" i="31"/>
  <c r="BR249" i="31"/>
  <c r="BR245" i="31"/>
  <c r="BR241" i="31"/>
  <c r="BR237" i="31"/>
  <c r="BR233" i="31"/>
  <c r="BR229" i="31"/>
  <c r="BR225" i="31"/>
  <c r="BR221" i="31"/>
  <c r="BR217" i="31"/>
  <c r="AS208" i="31"/>
  <c r="BE208" i="31" s="1"/>
  <c r="AY333" i="31"/>
  <c r="AZ358" i="31"/>
  <c r="AT259" i="31"/>
  <c r="AV259" i="31"/>
  <c r="AT233" i="31"/>
  <c r="AV233" i="31"/>
  <c r="AW357" i="31"/>
  <c r="BE224" i="31"/>
  <c r="AO43" i="2"/>
  <c r="AP43" i="2"/>
  <c r="AN43" i="2"/>
  <c r="V41" i="94"/>
  <c r="R41" i="94"/>
  <c r="H41" i="94"/>
  <c r="L41" i="94"/>
  <c r="T41" i="94"/>
  <c r="J41" i="94"/>
  <c r="N41" i="94"/>
  <c r="P41" i="94"/>
  <c r="AT210" i="31"/>
  <c r="AV210" i="31"/>
  <c r="BC332" i="31"/>
  <c r="BA359" i="31"/>
  <c r="AY263" i="31"/>
  <c r="BD318" i="31"/>
  <c r="AX296" i="31"/>
  <c r="AX214" i="31"/>
  <c r="BB255" i="31"/>
  <c r="AT280" i="31"/>
  <c r="AV280" i="31"/>
  <c r="AW211" i="31"/>
  <c r="BA307" i="31"/>
  <c r="BB232" i="31"/>
  <c r="AX287" i="31"/>
  <c r="BD223" i="31"/>
  <c r="AW239" i="31"/>
  <c r="BD212" i="31"/>
  <c r="AT325" i="31"/>
  <c r="AV325" i="31"/>
  <c r="AX332" i="31"/>
  <c r="AT336" i="31"/>
  <c r="AV336" i="31"/>
  <c r="AT355" i="31"/>
  <c r="AV355" i="31"/>
  <c r="BE311" i="31"/>
  <c r="BE277" i="31"/>
  <c r="BA262" i="31"/>
  <c r="AZ368" i="31"/>
  <c r="AX244" i="31"/>
  <c r="AZ317" i="31"/>
  <c r="AZ319" i="31"/>
  <c r="AT211" i="31"/>
  <c r="AV211" i="31"/>
  <c r="BC223" i="31"/>
  <c r="AW328" i="31"/>
  <c r="BD257" i="31"/>
  <c r="BE241" i="31"/>
  <c r="AZ255" i="31"/>
  <c r="BB307" i="31"/>
  <c r="AZ232" i="31"/>
  <c r="AX220" i="31"/>
  <c r="BE332" i="31"/>
  <c r="BE248" i="31"/>
  <c r="BD229" i="31"/>
  <c r="BC336" i="31"/>
  <c r="BD230" i="31"/>
  <c r="AZ257" i="31"/>
  <c r="BA355" i="31"/>
  <c r="BC249" i="31"/>
  <c r="AW340" i="31"/>
  <c r="BD294" i="31"/>
  <c r="BA360" i="31"/>
  <c r="AX368" i="31"/>
  <c r="BA303" i="31"/>
  <c r="AW299" i="31"/>
  <c r="BA333" i="31"/>
  <c r="BD272" i="31"/>
  <c r="AY259" i="31"/>
  <c r="AY264" i="31"/>
  <c r="AT225" i="31"/>
  <c r="AV225" i="31"/>
  <c r="P42" i="92"/>
  <c r="V42" i="92"/>
  <c r="R42" i="92"/>
  <c r="J42" i="92"/>
  <c r="H42" i="92"/>
  <c r="L42" i="92"/>
  <c r="N42" i="92"/>
  <c r="T42" i="92"/>
  <c r="L44" i="94"/>
  <c r="T44" i="94"/>
  <c r="J44" i="94"/>
  <c r="P44" i="94"/>
  <c r="H44" i="94"/>
  <c r="V44" i="94"/>
  <c r="N44" i="94"/>
  <c r="R44" i="94"/>
  <c r="AW355" i="31"/>
  <c r="AX283" i="31"/>
  <c r="AY291" i="31"/>
  <c r="BC331" i="31"/>
  <c r="AT284" i="31"/>
  <c r="AV284" i="31"/>
  <c r="BC255" i="31"/>
  <c r="BD288" i="31"/>
  <c r="BD362" i="31"/>
  <c r="BE232" i="31"/>
  <c r="AX251" i="31"/>
  <c r="BB339" i="31"/>
  <c r="AY346" i="31"/>
  <c r="AT314" i="31"/>
  <c r="AV314" i="31"/>
  <c r="AX230" i="31"/>
  <c r="AY327" i="31"/>
  <c r="BB240" i="31"/>
  <c r="AZ376" i="31"/>
  <c r="BC342" i="31"/>
  <c r="AX307" i="31"/>
  <c r="AY353" i="31"/>
  <c r="AZ212" i="31"/>
  <c r="BD325" i="31"/>
  <c r="AX317" i="31"/>
  <c r="BA344" i="31"/>
  <c r="AX224" i="31"/>
  <c r="V30" i="94"/>
  <c r="R30" i="94"/>
  <c r="N30" i="94"/>
  <c r="J30" i="94"/>
  <c r="H30" i="94"/>
  <c r="L30" i="94"/>
  <c r="T30" i="94"/>
  <c r="P30" i="94"/>
  <c r="BE303" i="31"/>
  <c r="BA272" i="31"/>
  <c r="Y10" i="3"/>
  <c r="AK179" i="99"/>
  <c r="AR179" i="99"/>
  <c r="AP179" i="99"/>
  <c r="AN179" i="99"/>
  <c r="AM179" i="99"/>
  <c r="AL179" i="99"/>
  <c r="AQ179" i="99"/>
  <c r="AO179" i="99"/>
  <c r="AV179" i="99"/>
  <c r="AX179" i="99"/>
  <c r="AW179" i="99"/>
  <c r="BB179" i="99"/>
  <c r="BC179" i="99"/>
  <c r="BA179" i="99"/>
  <c r="AZ179" i="99"/>
  <c r="AY179" i="99"/>
  <c r="B120" i="95"/>
  <c r="B120" i="94"/>
  <c r="B120" i="93"/>
  <c r="B119" i="92"/>
  <c r="I118" i="92"/>
  <c r="J23" i="71"/>
  <c r="N23" i="71"/>
  <c r="L23" i="71"/>
  <c r="M23" i="71"/>
  <c r="K23" i="71"/>
  <c r="O23" i="71"/>
  <c r="B421" i="74"/>
  <c r="CD61" i="71"/>
  <c r="CC69" i="71" s="1"/>
  <c r="CC61" i="71" s="1"/>
  <c r="CD66" i="71"/>
  <c r="CC74" i="71" s="1"/>
  <c r="CC66" i="71" s="1"/>
  <c r="CD62" i="71"/>
  <c r="CC70" i="71" s="1"/>
  <c r="CC62" i="71" s="1"/>
  <c r="CD64" i="71"/>
  <c r="CC72" i="71" s="1"/>
  <c r="CC64" i="71" s="1"/>
  <c r="CD65" i="71"/>
  <c r="CC73" i="71" s="1"/>
  <c r="CC65" i="71" s="1"/>
  <c r="CD63" i="71"/>
  <c r="CC71" i="71" s="1"/>
  <c r="CC63" i="71" s="1"/>
  <c r="CD57" i="71"/>
  <c r="CD56" i="71"/>
  <c r="CD58" i="71"/>
  <c r="CD55" i="71"/>
  <c r="CD54" i="71"/>
  <c r="CD53" i="71"/>
  <c r="C419" i="74"/>
  <c r="Y30" i="3"/>
  <c r="T155" i="31"/>
  <c r="K44" i="3"/>
  <c r="T47" i="31"/>
  <c r="T33" i="31"/>
  <c r="O44" i="3"/>
  <c r="T85" i="31"/>
  <c r="Q44" i="3"/>
  <c r="W44" i="3"/>
  <c r="Y44" i="3"/>
  <c r="N86" i="31"/>
  <c r="U44" i="3"/>
  <c r="N101" i="31"/>
  <c r="M44" i="3"/>
  <c r="T95" i="31"/>
  <c r="T18" i="31"/>
  <c r="T6" i="31"/>
  <c r="T194" i="31"/>
  <c r="T191" i="31"/>
  <c r="T105" i="31"/>
  <c r="T8" i="31"/>
  <c r="T94" i="31"/>
  <c r="T68" i="31"/>
  <c r="T99" i="31"/>
  <c r="T109" i="31"/>
  <c r="T72" i="31"/>
  <c r="T41" i="31"/>
  <c r="T77" i="31"/>
  <c r="T40" i="31"/>
  <c r="T123" i="31"/>
  <c r="T174" i="31"/>
  <c r="T183" i="31"/>
  <c r="T147" i="31"/>
  <c r="T7" i="31"/>
  <c r="T124" i="31"/>
  <c r="T176" i="31"/>
  <c r="T60" i="31"/>
  <c r="T10" i="31"/>
  <c r="T16" i="31"/>
  <c r="T23" i="31"/>
  <c r="T192" i="31"/>
  <c r="T24" i="31"/>
  <c r="T46" i="31"/>
  <c r="T153" i="31"/>
  <c r="T129" i="31"/>
  <c r="T31" i="31"/>
  <c r="T157" i="31"/>
  <c r="T64" i="31"/>
  <c r="T121" i="31"/>
  <c r="T37" i="31"/>
  <c r="T162" i="31"/>
  <c r="T35" i="31"/>
  <c r="T113" i="31"/>
  <c r="T52" i="31"/>
  <c r="T50" i="31"/>
  <c r="T128" i="31"/>
  <c r="T21" i="31"/>
  <c r="T185" i="31"/>
  <c r="T27" i="31"/>
  <c r="T81" i="31"/>
  <c r="T25" i="31"/>
  <c r="T29" i="31"/>
  <c r="T125" i="31"/>
  <c r="T196" i="31"/>
  <c r="T137" i="31"/>
  <c r="T178" i="31"/>
  <c r="T78" i="31"/>
  <c r="T100" i="31"/>
  <c r="T98" i="31"/>
  <c r="T189" i="31"/>
  <c r="T90" i="31"/>
  <c r="T170" i="31"/>
  <c r="T150" i="31"/>
  <c r="T89" i="31"/>
  <c r="T110" i="31"/>
  <c r="T86" i="31"/>
  <c r="T187" i="31"/>
  <c r="T56" i="31"/>
  <c r="T66" i="31"/>
  <c r="T143" i="31"/>
  <c r="T122" i="31"/>
  <c r="T177" i="31"/>
  <c r="T130" i="31"/>
  <c r="T79" i="31"/>
  <c r="T65" i="31"/>
  <c r="T146" i="31"/>
  <c r="T164" i="31"/>
  <c r="T197" i="31"/>
  <c r="T172" i="31"/>
  <c r="T127" i="31"/>
  <c r="T159" i="31"/>
  <c r="T114" i="31"/>
  <c r="T202" i="31"/>
  <c r="T103" i="31"/>
  <c r="T96" i="31"/>
  <c r="T58" i="31"/>
  <c r="T43" i="31"/>
  <c r="T69" i="31"/>
  <c r="T49" i="31"/>
  <c r="T93" i="31"/>
  <c r="T119" i="31"/>
  <c r="T19" i="31"/>
  <c r="T168" i="31"/>
  <c r="T30" i="31"/>
  <c r="T84" i="31"/>
  <c r="T59" i="31"/>
  <c r="T88" i="31"/>
  <c r="T163" i="31"/>
  <c r="T180" i="31"/>
  <c r="T12" i="31"/>
  <c r="T154" i="31"/>
  <c r="T120" i="31"/>
  <c r="T51" i="31"/>
  <c r="T102" i="31"/>
  <c r="T132" i="31"/>
  <c r="T20" i="31"/>
  <c r="T171" i="31"/>
  <c r="T179" i="31"/>
  <c r="T55" i="31"/>
  <c r="T71" i="31"/>
  <c r="T188" i="31"/>
  <c r="T42" i="31"/>
  <c r="T54" i="31"/>
  <c r="T108" i="31"/>
  <c r="T91" i="31"/>
  <c r="T39" i="31"/>
  <c r="T173" i="31"/>
  <c r="T53" i="31"/>
  <c r="T158" i="31"/>
  <c r="T118" i="31"/>
  <c r="T135" i="31"/>
  <c r="T149" i="31"/>
  <c r="T144" i="31"/>
  <c r="T156" i="31"/>
  <c r="T76" i="31"/>
  <c r="T57" i="31"/>
  <c r="T26" i="31"/>
  <c r="T17" i="31"/>
  <c r="T167" i="31"/>
  <c r="T139" i="31"/>
  <c r="T199" i="31"/>
  <c r="T13" i="31"/>
  <c r="T9" i="31"/>
  <c r="T107" i="31"/>
  <c r="T141" i="31"/>
  <c r="T117" i="31"/>
  <c r="T5" i="31"/>
  <c r="T82" i="31"/>
  <c r="T11" i="31"/>
  <c r="T61" i="31"/>
  <c r="T138" i="31"/>
  <c r="T190" i="31"/>
  <c r="T38" i="31"/>
  <c r="T104" i="31"/>
  <c r="T198" i="31"/>
  <c r="T22" i="31"/>
  <c r="T62" i="31"/>
  <c r="T92" i="31"/>
  <c r="T34" i="31"/>
  <c r="T14" i="31"/>
  <c r="T181" i="31"/>
  <c r="T70" i="31"/>
  <c r="T15" i="31"/>
  <c r="T175" i="31"/>
  <c r="T184" i="31"/>
  <c r="T186" i="31"/>
  <c r="T152" i="31"/>
  <c r="T45" i="31"/>
  <c r="T140" i="31"/>
  <c r="T169" i="31"/>
  <c r="T75" i="31"/>
  <c r="T97" i="31"/>
  <c r="T166" i="31"/>
  <c r="T83" i="31"/>
  <c r="T151" i="31"/>
  <c r="T195" i="31"/>
  <c r="T182" i="31"/>
  <c r="T111" i="31"/>
  <c r="T48" i="31"/>
  <c r="T116" i="31"/>
  <c r="T44" i="31"/>
  <c r="T115" i="31"/>
  <c r="T165" i="31"/>
  <c r="T106" i="31"/>
  <c r="T126" i="31"/>
  <c r="T112" i="31"/>
  <c r="T87" i="31"/>
  <c r="T131" i="31"/>
  <c r="T160" i="31"/>
  <c r="T74" i="31"/>
  <c r="T200" i="31"/>
  <c r="T133" i="31"/>
  <c r="T161" i="31"/>
  <c r="T32" i="31"/>
  <c r="T201" i="31"/>
  <c r="T73" i="31"/>
  <c r="T193" i="31"/>
  <c r="T148" i="31"/>
  <c r="T36" i="31"/>
  <c r="T63" i="31"/>
  <c r="T145" i="31"/>
  <c r="T80" i="31"/>
  <c r="T134" i="31"/>
  <c r="T136" i="31"/>
  <c r="T28" i="31"/>
  <c r="T142" i="31"/>
  <c r="T67" i="31"/>
  <c r="T101" i="31"/>
  <c r="G70" i="49"/>
  <c r="M85" i="49" s="1"/>
  <c r="H70" i="49"/>
  <c r="M86" i="49" s="1"/>
  <c r="F70" i="49"/>
  <c r="M84" i="49" s="1"/>
  <c r="M17" i="49"/>
  <c r="M70" i="49" s="1"/>
  <c r="U30" i="3"/>
  <c r="W30" i="3"/>
  <c r="M30" i="3"/>
  <c r="S30" i="3"/>
  <c r="K30" i="3"/>
  <c r="Q30" i="3"/>
  <c r="Y97" i="49"/>
  <c r="C20" i="3"/>
  <c r="N23" i="31"/>
  <c r="N119" i="31"/>
  <c r="N156" i="31"/>
  <c r="N154" i="31"/>
  <c r="N124" i="31"/>
  <c r="N38" i="31"/>
  <c r="N25" i="31"/>
  <c r="DV23" i="71"/>
  <c r="EC23" i="71" s="1"/>
  <c r="CT24" i="71"/>
  <c r="CV23" i="71"/>
  <c r="CW24" i="71" s="1"/>
  <c r="D23" i="2"/>
  <c r="P23" i="2"/>
  <c r="P9" i="2"/>
  <c r="D9" i="2"/>
  <c r="O10" i="3"/>
  <c r="W10" i="3"/>
  <c r="U10" i="3"/>
  <c r="S10" i="3"/>
  <c r="Q10" i="3"/>
  <c r="K10" i="3"/>
  <c r="M10" i="3"/>
  <c r="N23" i="2"/>
  <c r="K23" i="2"/>
  <c r="M23" i="2"/>
  <c r="L23" i="2"/>
  <c r="A24" i="2"/>
  <c r="I23" i="2"/>
  <c r="J23" i="2"/>
  <c r="O23" i="2"/>
  <c r="N9" i="2"/>
  <c r="M9" i="2"/>
  <c r="L9" i="2"/>
  <c r="K9" i="2"/>
  <c r="I9" i="2"/>
  <c r="A10" i="2"/>
  <c r="O9" i="2"/>
  <c r="J9" i="2"/>
  <c r="N70" i="49"/>
  <c r="N11" i="31"/>
  <c r="N40" i="31"/>
  <c r="N62" i="31"/>
  <c r="N110" i="31"/>
  <c r="N194" i="31"/>
  <c r="N149" i="31"/>
  <c r="N80" i="31"/>
  <c r="N35" i="31"/>
  <c r="N90" i="31"/>
  <c r="N140" i="31"/>
  <c r="N196" i="31"/>
  <c r="N102" i="31"/>
  <c r="N69" i="31"/>
  <c r="N61" i="31"/>
  <c r="N97" i="31"/>
  <c r="N144" i="31"/>
  <c r="N191" i="31"/>
  <c r="N67" i="31"/>
  <c r="N131" i="31"/>
  <c r="N46" i="31"/>
  <c r="N171" i="31"/>
  <c r="N54" i="31"/>
  <c r="N33" i="31"/>
  <c r="N72" i="31"/>
  <c r="N177" i="31"/>
  <c r="N180" i="31"/>
  <c r="N31" i="31"/>
  <c r="N70" i="31"/>
  <c r="N166" i="31"/>
  <c r="N9" i="31"/>
  <c r="N137" i="31"/>
  <c r="N12" i="31"/>
  <c r="N7" i="31"/>
  <c r="N100" i="31"/>
  <c r="N50" i="31"/>
  <c r="N43" i="31"/>
  <c r="N184" i="31"/>
  <c r="N39" i="31"/>
  <c r="N71" i="31"/>
  <c r="N94" i="31"/>
  <c r="N178" i="31"/>
  <c r="N24" i="31"/>
  <c r="N107" i="31"/>
  <c r="N65" i="31"/>
  <c r="N73" i="31"/>
  <c r="N6" i="31"/>
  <c r="N5" i="31"/>
  <c r="N193" i="31"/>
  <c r="N83" i="31"/>
  <c r="N74" i="31"/>
  <c r="N106" i="31"/>
  <c r="N22" i="31"/>
  <c r="N89" i="31"/>
  <c r="N49" i="31"/>
  <c r="N155" i="31"/>
  <c r="N185" i="31"/>
  <c r="N59" i="31"/>
  <c r="N103" i="31"/>
  <c r="N66" i="31"/>
  <c r="N93" i="31"/>
  <c r="N159" i="31"/>
  <c r="N84" i="31"/>
  <c r="N197" i="31"/>
  <c r="N121" i="31"/>
  <c r="N76" i="31"/>
  <c r="N151" i="31"/>
  <c r="N104" i="31"/>
  <c r="N78" i="31"/>
  <c r="N158" i="31"/>
  <c r="N142" i="31"/>
  <c r="N13" i="31"/>
  <c r="N45" i="31"/>
  <c r="N36" i="31"/>
  <c r="N87" i="31"/>
  <c r="N161" i="31"/>
  <c r="N88" i="31"/>
  <c r="N115" i="31"/>
  <c r="N99" i="31"/>
  <c r="N68" i="31"/>
  <c r="N183" i="31"/>
  <c r="C31" i="3"/>
  <c r="AB3" i="31"/>
  <c r="C21" i="49"/>
  <c r="B422" i="74"/>
  <c r="B418" i="74"/>
  <c r="C420" i="74"/>
  <c r="C416" i="74"/>
  <c r="C422" i="74"/>
  <c r="C418" i="74"/>
  <c r="B420" i="74"/>
  <c r="B416" i="74"/>
  <c r="N202" i="31"/>
  <c r="N47" i="31"/>
  <c r="N129" i="31"/>
  <c r="N164" i="31"/>
  <c r="N122" i="31"/>
  <c r="N51" i="31"/>
  <c r="N169" i="31"/>
  <c r="N189" i="31"/>
  <c r="N192" i="31"/>
  <c r="N105" i="31"/>
  <c r="N190" i="31"/>
  <c r="N153" i="31"/>
  <c r="N32" i="31"/>
  <c r="N85" i="31"/>
  <c r="N14" i="31"/>
  <c r="N82" i="31"/>
  <c r="N152" i="31"/>
  <c r="N170" i="31"/>
  <c r="N141" i="31"/>
  <c r="N113" i="31"/>
  <c r="N187" i="31"/>
  <c r="N160" i="31"/>
  <c r="N150" i="31"/>
  <c r="N98" i="31"/>
  <c r="N198" i="31"/>
  <c r="N34" i="31"/>
  <c r="N95" i="31"/>
  <c r="N53" i="31"/>
  <c r="N19" i="31"/>
  <c r="N127" i="31"/>
  <c r="N168" i="31"/>
  <c r="N139" i="31"/>
  <c r="N120" i="31"/>
  <c r="N118" i="31"/>
  <c r="N176" i="31"/>
  <c r="N174" i="31"/>
  <c r="N173" i="31"/>
  <c r="N91" i="31"/>
  <c r="N112" i="31"/>
  <c r="N58" i="31"/>
  <c r="N10" i="31"/>
  <c r="N56" i="31"/>
  <c r="N108" i="31"/>
  <c r="N182" i="31"/>
  <c r="N143" i="31"/>
  <c r="N167" i="31"/>
  <c r="N116" i="31"/>
  <c r="N41" i="31"/>
  <c r="N147" i="31"/>
  <c r="N172" i="31"/>
  <c r="N117" i="31"/>
  <c r="N28" i="31"/>
  <c r="N148" i="31"/>
  <c r="N26" i="31"/>
  <c r="N57" i="31"/>
  <c r="N64" i="31"/>
  <c r="N123" i="31"/>
  <c r="N162" i="31"/>
  <c r="N146" i="31"/>
  <c r="N179" i="31"/>
  <c r="N37" i="31"/>
  <c r="N126" i="31"/>
  <c r="N175" i="31"/>
  <c r="N8" i="31"/>
  <c r="N52" i="31"/>
  <c r="N163" i="31"/>
  <c r="N157" i="31"/>
  <c r="N109" i="31"/>
  <c r="N130" i="31"/>
  <c r="N145" i="31"/>
  <c r="N135" i="31"/>
  <c r="N21" i="31"/>
  <c r="N79" i="31"/>
  <c r="N75" i="31"/>
  <c r="N181" i="31"/>
  <c r="N200" i="31"/>
  <c r="N199" i="31"/>
  <c r="N96" i="31"/>
  <c r="N201" i="31"/>
  <c r="N48" i="31"/>
  <c r="N92" i="31"/>
  <c r="N18" i="31"/>
  <c r="N186" i="31"/>
  <c r="N44" i="31"/>
  <c r="N29" i="31"/>
  <c r="N17" i="31"/>
  <c r="N55" i="31"/>
  <c r="N16" i="31"/>
  <c r="N77" i="31"/>
  <c r="N134" i="31"/>
  <c r="N111" i="31"/>
  <c r="N195" i="31"/>
  <c r="N63" i="31"/>
  <c r="N81" i="31"/>
  <c r="N15" i="31"/>
  <c r="N125" i="31"/>
  <c r="N20" i="31"/>
  <c r="N165" i="31"/>
  <c r="N188" i="31"/>
  <c r="N132" i="31"/>
  <c r="N114" i="31"/>
  <c r="N138" i="31"/>
  <c r="N27" i="31"/>
  <c r="N133" i="31"/>
  <c r="N136" i="31"/>
  <c r="N60" i="31"/>
  <c r="N42" i="31"/>
  <c r="N128" i="31"/>
  <c r="Y99" i="49"/>
  <c r="B16" i="60" s="1"/>
  <c r="Y92" i="49"/>
  <c r="Y98" i="49"/>
  <c r="B15" i="60" s="1"/>
  <c r="AI6" i="3"/>
  <c r="C14" i="49"/>
  <c r="W3" i="31"/>
  <c r="Z11" i="15"/>
  <c r="I25" i="1" s="1"/>
  <c r="AK8" i="3" s="1"/>
  <c r="Y11" i="15"/>
  <c r="E25" i="1" s="1"/>
  <c r="A59" i="123" l="1"/>
  <c r="B57" i="123"/>
  <c r="E56" i="123"/>
  <c r="F56" i="123"/>
  <c r="H56" i="123"/>
  <c r="G56" i="123"/>
  <c r="A59" i="120"/>
  <c r="A59" i="117"/>
  <c r="BC328" i="31"/>
  <c r="H45" i="110"/>
  <c r="G45" i="110"/>
  <c r="EA24" i="71"/>
  <c r="EE24" i="71"/>
  <c r="EF24" i="71"/>
  <c r="EB24" i="71"/>
  <c r="DY24" i="71"/>
  <c r="ED24" i="71"/>
  <c r="DH24" i="71"/>
  <c r="DI25" i="71" s="1"/>
  <c r="DF24" i="71"/>
  <c r="DG25" i="71" s="1"/>
  <c r="DD24" i="71"/>
  <c r="DE25" i="71" s="1"/>
  <c r="DB24" i="71"/>
  <c r="DC25" i="71" s="1"/>
  <c r="CZ24" i="71"/>
  <c r="DA25" i="71" s="1"/>
  <c r="CX24" i="71"/>
  <c r="CY25" i="71" s="1"/>
  <c r="DJ24" i="71"/>
  <c r="DK25" i="71"/>
  <c r="DZ24" i="71"/>
  <c r="F45" i="110"/>
  <c r="E45" i="110"/>
  <c r="B46" i="110"/>
  <c r="J47" i="110"/>
  <c r="I47" i="110"/>
  <c r="P47" i="110"/>
  <c r="D47" i="110"/>
  <c r="O47" i="110"/>
  <c r="C47" i="110"/>
  <c r="N47" i="110"/>
  <c r="L47" i="110"/>
  <c r="M47" i="110"/>
  <c r="K47" i="110"/>
  <c r="A48" i="110"/>
  <c r="AO33" i="2"/>
  <c r="AN33" i="2"/>
  <c r="BS269" i="31"/>
  <c r="BS297" i="31"/>
  <c r="P20" i="93"/>
  <c r="V20" i="93"/>
  <c r="L20" i="93"/>
  <c r="J20" i="93"/>
  <c r="T20" i="93"/>
  <c r="H20" i="93"/>
  <c r="N20" i="93"/>
  <c r="R20" i="93"/>
  <c r="BS267" i="31"/>
  <c r="BS239" i="31"/>
  <c r="BT239" i="31" s="1"/>
  <c r="BS288" i="31"/>
  <c r="BS242" i="31"/>
  <c r="BS296" i="31"/>
  <c r="BS243" i="31"/>
  <c r="BT243" i="31" s="1"/>
  <c r="BS272" i="31"/>
  <c r="BS240" i="31"/>
  <c r="BT240" i="31" s="1"/>
  <c r="BS292" i="31"/>
  <c r="BS237" i="31"/>
  <c r="BT237" i="31" s="1"/>
  <c r="BS300" i="31"/>
  <c r="BT300" i="31" s="1"/>
  <c r="BS301" i="31"/>
  <c r="BS302" i="31"/>
  <c r="BT302" i="31" s="1"/>
  <c r="BS299" i="31"/>
  <c r="BS298" i="31"/>
  <c r="BT298" i="31" s="1"/>
  <c r="BR365" i="31"/>
  <c r="BR357" i="31"/>
  <c r="BR349" i="31"/>
  <c r="BR341" i="31"/>
  <c r="BR364" i="31"/>
  <c r="BR356" i="31"/>
  <c r="BR348" i="31"/>
  <c r="BR340" i="31"/>
  <c r="BR332" i="31"/>
  <c r="BR324" i="31"/>
  <c r="BR316" i="31"/>
  <c r="BR308" i="31"/>
  <c r="BR363" i="31"/>
  <c r="BR355" i="31"/>
  <c r="BR347" i="31"/>
  <c r="BR339" i="31"/>
  <c r="BR331" i="31"/>
  <c r="BR323" i="31"/>
  <c r="BR315" i="31"/>
  <c r="BR362" i="31"/>
  <c r="BR354" i="31"/>
  <c r="BR346" i="31"/>
  <c r="BR338" i="31"/>
  <c r="BR330" i="31"/>
  <c r="BR306" i="31"/>
  <c r="BR360" i="31"/>
  <c r="BR352" i="31"/>
  <c r="BR344" i="31"/>
  <c r="BR336" i="31"/>
  <c r="BR328" i="31"/>
  <c r="BR366" i="31"/>
  <c r="BR358" i="31"/>
  <c r="BR350" i="31"/>
  <c r="BR342" i="31"/>
  <c r="BR334" i="31"/>
  <c r="BR326" i="31"/>
  <c r="BR318" i="31"/>
  <c r="BR310" i="31"/>
  <c r="BR353" i="31"/>
  <c r="BR329" i="31"/>
  <c r="BR309" i="31"/>
  <c r="BR345" i="31"/>
  <c r="BR322" i="31"/>
  <c r="BR359" i="31"/>
  <c r="BR333" i="31"/>
  <c r="BR319" i="31"/>
  <c r="BR311" i="31"/>
  <c r="BR335" i="31"/>
  <c r="BR312" i="31"/>
  <c r="BR351" i="31"/>
  <c r="BR337" i="31"/>
  <c r="BR320" i="31"/>
  <c r="BR313" i="31"/>
  <c r="BR307" i="31"/>
  <c r="BR361" i="31"/>
  <c r="BR325" i="31"/>
  <c r="BR317" i="31"/>
  <c r="BR314" i="31"/>
  <c r="BR327" i="31"/>
  <c r="BR343" i="31"/>
  <c r="BR321" i="31"/>
  <c r="BP359" i="31"/>
  <c r="BP351" i="31"/>
  <c r="BP343" i="31"/>
  <c r="BP366" i="31"/>
  <c r="BP358" i="31"/>
  <c r="BP350" i="31"/>
  <c r="BP342" i="31"/>
  <c r="BP334" i="31"/>
  <c r="BP326" i="31"/>
  <c r="BP318" i="31"/>
  <c r="BP310" i="31"/>
  <c r="BP365" i="31"/>
  <c r="BP357" i="31"/>
  <c r="BP349" i="31"/>
  <c r="BP341" i="31"/>
  <c r="BP333" i="31"/>
  <c r="BP325" i="31"/>
  <c r="BP317" i="31"/>
  <c r="BP364" i="31"/>
  <c r="BP356" i="31"/>
  <c r="BP348" i="31"/>
  <c r="BP340" i="31"/>
  <c r="BP332" i="31"/>
  <c r="BP362" i="31"/>
  <c r="BP354" i="31"/>
  <c r="BP346" i="31"/>
  <c r="BP338" i="31"/>
  <c r="BP330" i="31"/>
  <c r="BP322" i="31"/>
  <c r="BP306" i="31"/>
  <c r="BP360" i="31"/>
  <c r="BP352" i="31"/>
  <c r="BP344" i="31"/>
  <c r="BP336" i="31"/>
  <c r="BP328" i="31"/>
  <c r="BP320" i="31"/>
  <c r="BP312" i="31"/>
  <c r="BP339" i="31"/>
  <c r="BP327" i="31"/>
  <c r="BP314" i="31"/>
  <c r="BP308" i="31"/>
  <c r="BP353" i="31"/>
  <c r="BP329" i="31"/>
  <c r="BP321" i="31"/>
  <c r="BP309" i="31"/>
  <c r="BP363" i="31"/>
  <c r="BP331" i="31"/>
  <c r="BP324" i="31"/>
  <c r="BP315" i="31"/>
  <c r="BP345" i="31"/>
  <c r="BP355" i="31"/>
  <c r="BP319" i="31"/>
  <c r="BP316" i="31"/>
  <c r="BP311" i="31"/>
  <c r="BP335" i="31"/>
  <c r="BP347" i="31"/>
  <c r="BP337" i="31"/>
  <c r="BP361" i="31"/>
  <c r="BP307" i="31"/>
  <c r="BP313" i="31"/>
  <c r="BP323" i="31"/>
  <c r="BK364" i="31"/>
  <c r="BK356" i="31"/>
  <c r="BK348" i="31"/>
  <c r="BK340" i="31"/>
  <c r="BK363" i="31"/>
  <c r="BK355" i="31"/>
  <c r="BK347" i="31"/>
  <c r="BK339" i="31"/>
  <c r="BK331" i="31"/>
  <c r="BK323" i="31"/>
  <c r="BK315" i="31"/>
  <c r="BK307" i="31"/>
  <c r="BK362" i="31"/>
  <c r="BK354" i="31"/>
  <c r="BK346" i="31"/>
  <c r="BK338" i="31"/>
  <c r="BK330" i="31"/>
  <c r="BK322" i="31"/>
  <c r="BK306" i="31"/>
  <c r="BK361" i="31"/>
  <c r="BK353" i="31"/>
  <c r="BK345" i="31"/>
  <c r="BK337" i="31"/>
  <c r="BK329" i="31"/>
  <c r="BK359" i="31"/>
  <c r="BK351" i="31"/>
  <c r="BK343" i="31"/>
  <c r="BK335" i="31"/>
  <c r="BK327" i="31"/>
  <c r="BK365" i="31"/>
  <c r="BK357" i="31"/>
  <c r="BK349" i="31"/>
  <c r="BK341" i="31"/>
  <c r="BK333" i="31"/>
  <c r="BK325" i="31"/>
  <c r="BK317" i="31"/>
  <c r="BK309" i="31"/>
  <c r="BK316" i="31"/>
  <c r="BK311" i="31"/>
  <c r="BK350" i="31"/>
  <c r="BK332" i="31"/>
  <c r="BK320" i="31"/>
  <c r="BK312" i="31"/>
  <c r="BK360" i="31"/>
  <c r="BK334" i="31"/>
  <c r="BK313" i="31"/>
  <c r="BK342" i="31"/>
  <c r="BK336" i="31"/>
  <c r="BK321" i="31"/>
  <c r="BK314" i="31"/>
  <c r="BK352" i="31"/>
  <c r="BK308" i="31"/>
  <c r="BK366" i="31"/>
  <c r="BK326" i="31"/>
  <c r="BK324" i="31"/>
  <c r="BK318" i="31"/>
  <c r="BK344" i="31"/>
  <c r="BK328" i="31"/>
  <c r="BK319" i="31"/>
  <c r="BK358" i="31"/>
  <c r="BK310" i="31"/>
  <c r="BS214" i="31"/>
  <c r="BT214" i="31" s="1"/>
  <c r="BS246" i="31"/>
  <c r="BS215" i="31"/>
  <c r="BS247" i="31"/>
  <c r="BT247" i="31" s="1"/>
  <c r="BS304" i="31"/>
  <c r="BS244" i="31"/>
  <c r="BT244" i="31" s="1"/>
  <c r="BS268" i="31"/>
  <c r="BT268" i="31" s="1"/>
  <c r="BS241" i="31"/>
  <c r="BT241" i="31" s="1"/>
  <c r="BS273" i="31"/>
  <c r="BT273" i="31" s="1"/>
  <c r="BS274" i="31"/>
  <c r="BS271" i="31"/>
  <c r="BT271" i="31" s="1"/>
  <c r="BS303" i="31"/>
  <c r="BT303" i="31" s="1"/>
  <c r="BM362" i="31"/>
  <c r="BM354" i="31"/>
  <c r="BM346" i="31"/>
  <c r="BM306" i="31"/>
  <c r="BM361" i="31"/>
  <c r="BM353" i="31"/>
  <c r="BM345" i="31"/>
  <c r="BM337" i="31"/>
  <c r="BM329" i="31"/>
  <c r="BM321" i="31"/>
  <c r="BM313" i="31"/>
  <c r="BM360" i="31"/>
  <c r="BM352" i="31"/>
  <c r="BM344" i="31"/>
  <c r="BM336" i="31"/>
  <c r="BM328" i="31"/>
  <c r="BM320" i="31"/>
  <c r="BM359" i="31"/>
  <c r="BM351" i="31"/>
  <c r="BM343" i="31"/>
  <c r="BM335" i="31"/>
  <c r="BM327" i="31"/>
  <c r="BM365" i="31"/>
  <c r="BM357" i="31"/>
  <c r="BM349" i="31"/>
  <c r="BM341" i="31"/>
  <c r="BM333" i="31"/>
  <c r="BM325" i="31"/>
  <c r="BM363" i="31"/>
  <c r="BM355" i="31"/>
  <c r="BM347" i="31"/>
  <c r="BM339" i="31"/>
  <c r="BM331" i="31"/>
  <c r="BM323" i="31"/>
  <c r="BM315" i="31"/>
  <c r="BM307" i="31"/>
  <c r="BM350" i="31"/>
  <c r="BM332" i="31"/>
  <c r="BM364" i="31"/>
  <c r="BM334" i="31"/>
  <c r="BM317" i="31"/>
  <c r="BM342" i="31"/>
  <c r="BM314" i="31"/>
  <c r="BM356" i="31"/>
  <c r="BM318" i="31"/>
  <c r="BM308" i="31"/>
  <c r="BM366" i="31"/>
  <c r="BM338" i="31"/>
  <c r="BM326" i="31"/>
  <c r="BM324" i="31"/>
  <c r="BM309" i="31"/>
  <c r="BM348" i="31"/>
  <c r="BM322" i="31"/>
  <c r="BM319" i="31"/>
  <c r="BM310" i="31"/>
  <c r="BM358" i="31"/>
  <c r="BM311" i="31"/>
  <c r="BM330" i="31"/>
  <c r="BM316" i="31"/>
  <c r="BM312" i="31"/>
  <c r="BM340" i="31"/>
  <c r="BT210" i="31"/>
  <c r="BU210" i="31" s="1"/>
  <c r="H31" i="93"/>
  <c r="T31" i="93"/>
  <c r="J31" i="93"/>
  <c r="P31" i="93"/>
  <c r="L31" i="93"/>
  <c r="N31" i="93"/>
  <c r="V31" i="93"/>
  <c r="R31" i="93"/>
  <c r="BO360" i="31"/>
  <c r="BO352" i="31"/>
  <c r="BO344" i="31"/>
  <c r="BO359" i="31"/>
  <c r="BO351" i="31"/>
  <c r="BO343" i="31"/>
  <c r="BO335" i="31"/>
  <c r="BO327" i="31"/>
  <c r="BO319" i="31"/>
  <c r="BO311" i="31"/>
  <c r="BO366" i="31"/>
  <c r="BO358" i="31"/>
  <c r="BO350" i="31"/>
  <c r="BO342" i="31"/>
  <c r="BO334" i="31"/>
  <c r="BO326" i="31"/>
  <c r="BO318" i="31"/>
  <c r="BO365" i="31"/>
  <c r="BO357" i="31"/>
  <c r="BO349" i="31"/>
  <c r="BO341" i="31"/>
  <c r="BO333" i="31"/>
  <c r="BO325" i="31"/>
  <c r="BO363" i="31"/>
  <c r="BO355" i="31"/>
  <c r="BO347" i="31"/>
  <c r="BO339" i="31"/>
  <c r="BO331" i="31"/>
  <c r="BO323" i="31"/>
  <c r="BO306" i="31"/>
  <c r="BO361" i="31"/>
  <c r="BO353" i="31"/>
  <c r="BO345" i="31"/>
  <c r="BO337" i="31"/>
  <c r="BO329" i="31"/>
  <c r="BO321" i="31"/>
  <c r="BO313" i="31"/>
  <c r="BO364" i="31"/>
  <c r="BO307" i="31"/>
  <c r="BO346" i="31"/>
  <c r="BO314" i="31"/>
  <c r="BO308" i="31"/>
  <c r="BO356" i="31"/>
  <c r="BO336" i="31"/>
  <c r="BO309" i="31"/>
  <c r="BO338" i="31"/>
  <c r="BO324" i="31"/>
  <c r="BO315" i="31"/>
  <c r="BO310" i="31"/>
  <c r="BO348" i="31"/>
  <c r="BO322" i="31"/>
  <c r="BO362" i="31"/>
  <c r="BO328" i="31"/>
  <c r="BO316" i="31"/>
  <c r="BO340" i="31"/>
  <c r="BO330" i="31"/>
  <c r="BO312" i="31"/>
  <c r="BO332" i="31"/>
  <c r="BO317" i="31"/>
  <c r="BO354" i="31"/>
  <c r="BO320" i="31"/>
  <c r="BT270" i="31"/>
  <c r="BS295" i="31"/>
  <c r="M25" i="1"/>
  <c r="C32" i="92"/>
  <c r="C32" i="94"/>
  <c r="C32" i="93"/>
  <c r="W48" i="2"/>
  <c r="AP48" i="2" s="1"/>
  <c r="C32" i="95"/>
  <c r="BS218" i="31"/>
  <c r="BT218" i="31" s="1"/>
  <c r="BS250" i="31"/>
  <c r="BS219" i="31"/>
  <c r="BS251" i="31"/>
  <c r="BT251" i="31" s="1"/>
  <c r="BS216" i="31"/>
  <c r="BT216" i="31" s="1"/>
  <c r="BS248" i="31"/>
  <c r="BT248" i="31" s="1"/>
  <c r="BS280" i="31"/>
  <c r="BT280" i="31" s="1"/>
  <c r="BS245" i="31"/>
  <c r="BT245" i="31" s="1"/>
  <c r="BS277" i="31"/>
  <c r="BT277" i="31" s="1"/>
  <c r="BS278" i="31"/>
  <c r="BS275" i="31"/>
  <c r="BT275" i="31" s="1"/>
  <c r="BI360" i="31"/>
  <c r="BI352" i="31"/>
  <c r="BI344" i="31"/>
  <c r="BI336" i="31"/>
  <c r="BI328" i="31"/>
  <c r="BI306" i="31"/>
  <c r="BI362" i="31"/>
  <c r="BI354" i="31"/>
  <c r="BI346" i="31"/>
  <c r="BI338" i="31"/>
  <c r="BS338" i="31" s="1"/>
  <c r="BT338" i="31" s="1"/>
  <c r="BI330" i="31"/>
  <c r="BI361" i="31"/>
  <c r="BI350" i="31"/>
  <c r="BI340" i="31"/>
  <c r="BI329" i="31"/>
  <c r="BI320" i="31"/>
  <c r="BI312" i="31"/>
  <c r="BI359" i="31"/>
  <c r="BI349" i="31"/>
  <c r="BI339" i="31"/>
  <c r="BI327" i="31"/>
  <c r="BI319" i="31"/>
  <c r="BS319" i="31" s="1"/>
  <c r="BI311" i="31"/>
  <c r="BI358" i="31"/>
  <c r="BI348" i="31"/>
  <c r="BI337" i="31"/>
  <c r="BS337" i="31" s="1"/>
  <c r="BI326" i="31"/>
  <c r="BI357" i="31"/>
  <c r="BI347" i="31"/>
  <c r="BI335" i="31"/>
  <c r="BI325" i="31"/>
  <c r="BI317" i="31"/>
  <c r="BI309" i="31"/>
  <c r="BI366" i="31"/>
  <c r="BI356" i="31"/>
  <c r="BI345" i="31"/>
  <c r="BI334" i="31"/>
  <c r="BI324" i="31"/>
  <c r="BI316" i="31"/>
  <c r="BI308" i="31"/>
  <c r="BI365" i="31"/>
  <c r="BI355" i="31"/>
  <c r="BS355" i="31" s="1"/>
  <c r="BI343" i="31"/>
  <c r="BI333" i="31"/>
  <c r="BI323" i="31"/>
  <c r="BI315" i="31"/>
  <c r="BI307" i="31"/>
  <c r="BI364" i="31"/>
  <c r="BI353" i="31"/>
  <c r="BI342" i="31"/>
  <c r="BS342" i="31" s="1"/>
  <c r="BI332" i="31"/>
  <c r="BI322" i="31"/>
  <c r="BI314" i="31"/>
  <c r="BI313" i="31"/>
  <c r="BI310" i="31"/>
  <c r="BI363" i="31"/>
  <c r="BI351" i="31"/>
  <c r="BI341" i="31"/>
  <c r="BI331" i="31"/>
  <c r="BI321" i="31"/>
  <c r="BI318" i="31"/>
  <c r="BL363" i="31"/>
  <c r="BL355" i="31"/>
  <c r="BL347" i="31"/>
  <c r="BL339" i="31"/>
  <c r="BL362" i="31"/>
  <c r="BL354" i="31"/>
  <c r="BL346" i="31"/>
  <c r="BL338" i="31"/>
  <c r="BL330" i="31"/>
  <c r="BL322" i="31"/>
  <c r="BL314" i="31"/>
  <c r="BL306" i="31"/>
  <c r="BL361" i="31"/>
  <c r="BL353" i="31"/>
  <c r="BL345" i="31"/>
  <c r="BL337" i="31"/>
  <c r="BL329" i="31"/>
  <c r="BL321" i="31"/>
  <c r="BL360" i="31"/>
  <c r="BL352" i="31"/>
  <c r="BL344" i="31"/>
  <c r="BL336" i="31"/>
  <c r="BL328" i="31"/>
  <c r="BL366" i="31"/>
  <c r="BL358" i="31"/>
  <c r="BL350" i="31"/>
  <c r="BL342" i="31"/>
  <c r="BL334" i="31"/>
  <c r="BL326" i="31"/>
  <c r="BL364" i="31"/>
  <c r="BL356" i="31"/>
  <c r="BL348" i="31"/>
  <c r="BL340" i="31"/>
  <c r="BL332" i="31"/>
  <c r="BL324" i="31"/>
  <c r="BL316" i="31"/>
  <c r="BL308" i="31"/>
  <c r="BL343" i="31"/>
  <c r="BL325" i="31"/>
  <c r="BL320" i="31"/>
  <c r="BL312" i="31"/>
  <c r="BL357" i="31"/>
  <c r="BL327" i="31"/>
  <c r="BL323" i="31"/>
  <c r="BL313" i="31"/>
  <c r="BL317" i="31"/>
  <c r="BL307" i="31"/>
  <c r="BL349" i="31"/>
  <c r="BL359" i="31"/>
  <c r="BL331" i="31"/>
  <c r="BL318" i="31"/>
  <c r="BL341" i="31"/>
  <c r="BL333" i="31"/>
  <c r="BL315" i="31"/>
  <c r="BL309" i="31"/>
  <c r="BL351" i="31"/>
  <c r="BL335" i="31"/>
  <c r="BL319" i="31"/>
  <c r="BL310" i="31"/>
  <c r="BL311" i="31"/>
  <c r="BL365" i="31"/>
  <c r="P31" i="94"/>
  <c r="H31" i="94"/>
  <c r="T31" i="94"/>
  <c r="J31" i="94"/>
  <c r="V31" i="94"/>
  <c r="L31" i="94"/>
  <c r="R31" i="94"/>
  <c r="N31" i="94"/>
  <c r="BS276" i="31"/>
  <c r="BT276" i="31" s="1"/>
  <c r="BS222" i="31"/>
  <c r="BS254" i="31"/>
  <c r="BT254" i="31" s="1"/>
  <c r="BS223" i="31"/>
  <c r="BS255" i="31"/>
  <c r="BT255" i="31" s="1"/>
  <c r="BS220" i="31"/>
  <c r="BT220" i="31" s="1"/>
  <c r="BS252" i="31"/>
  <c r="BT252" i="31" s="1"/>
  <c r="BS217" i="31"/>
  <c r="BS249" i="31"/>
  <c r="BT249" i="31" s="1"/>
  <c r="BS281" i="31"/>
  <c r="BT281" i="31" s="1"/>
  <c r="BS282" i="31"/>
  <c r="BT282" i="31" s="1"/>
  <c r="BS279" i="31"/>
  <c r="BT279" i="31" s="1"/>
  <c r="AZ328" i="31"/>
  <c r="BS226" i="31"/>
  <c r="BS258" i="31"/>
  <c r="BT258" i="31" s="1"/>
  <c r="BS227" i="31"/>
  <c r="BT227" i="31" s="1"/>
  <c r="BS259" i="31"/>
  <c r="BS224" i="31"/>
  <c r="BT224" i="31" s="1"/>
  <c r="BS256" i="31"/>
  <c r="BS221" i="31"/>
  <c r="BT221" i="31" s="1"/>
  <c r="BS253" i="31"/>
  <c r="BT253" i="31" s="1"/>
  <c r="BS285" i="31"/>
  <c r="BS286" i="31"/>
  <c r="BT286" i="31" s="1"/>
  <c r="BS283" i="31"/>
  <c r="BT283" i="31" s="1"/>
  <c r="R20" i="92"/>
  <c r="P20" i="92"/>
  <c r="T20" i="92"/>
  <c r="L20" i="92"/>
  <c r="N20" i="92"/>
  <c r="H20" i="92"/>
  <c r="V20" i="92"/>
  <c r="J20" i="92"/>
  <c r="V31" i="92"/>
  <c r="J31" i="92"/>
  <c r="L31" i="92"/>
  <c r="P31" i="92"/>
  <c r="H31" i="92"/>
  <c r="T31" i="92"/>
  <c r="N31" i="92"/>
  <c r="R31" i="92"/>
  <c r="BJ365" i="31"/>
  <c r="BJ357" i="31"/>
  <c r="BJ349" i="31"/>
  <c r="BJ341" i="31"/>
  <c r="BJ364" i="31"/>
  <c r="BJ356" i="31"/>
  <c r="BJ348" i="31"/>
  <c r="BJ340" i="31"/>
  <c r="BJ332" i="31"/>
  <c r="BJ324" i="31"/>
  <c r="BJ316" i="31"/>
  <c r="BJ308" i="31"/>
  <c r="BJ363" i="31"/>
  <c r="BJ355" i="31"/>
  <c r="BJ347" i="31"/>
  <c r="BJ339" i="31"/>
  <c r="BJ331" i="31"/>
  <c r="BJ323" i="31"/>
  <c r="BJ315" i="31"/>
  <c r="BJ362" i="31"/>
  <c r="BJ354" i="31"/>
  <c r="BJ346" i="31"/>
  <c r="BJ338" i="31"/>
  <c r="BJ330" i="31"/>
  <c r="BJ360" i="31"/>
  <c r="BJ352" i="31"/>
  <c r="BJ344" i="31"/>
  <c r="BJ336" i="31"/>
  <c r="BJ328" i="31"/>
  <c r="BJ366" i="31"/>
  <c r="BJ358" i="31"/>
  <c r="BJ350" i="31"/>
  <c r="BJ342" i="31"/>
  <c r="BJ334" i="31"/>
  <c r="BJ326" i="31"/>
  <c r="BJ318" i="31"/>
  <c r="BJ310" i="31"/>
  <c r="BJ361" i="31"/>
  <c r="BJ337" i="31"/>
  <c r="BJ319" i="31"/>
  <c r="BJ343" i="31"/>
  <c r="BJ325" i="31"/>
  <c r="BJ311" i="31"/>
  <c r="BJ353" i="31"/>
  <c r="BJ327" i="31"/>
  <c r="BJ320" i="31"/>
  <c r="BJ312" i="31"/>
  <c r="BJ329" i="31"/>
  <c r="BJ317" i="31"/>
  <c r="BJ313" i="31"/>
  <c r="BJ307" i="31"/>
  <c r="BJ306" i="31"/>
  <c r="BJ345" i="31"/>
  <c r="BJ321" i="31"/>
  <c r="BJ314" i="31"/>
  <c r="BJ359" i="31"/>
  <c r="BJ333" i="31"/>
  <c r="BJ322" i="31"/>
  <c r="BJ309" i="31"/>
  <c r="BJ335" i="31"/>
  <c r="BJ351" i="31"/>
  <c r="BS230" i="31"/>
  <c r="BS262" i="31"/>
  <c r="BS231" i="31"/>
  <c r="BS263" i="31"/>
  <c r="BT263" i="31" s="1"/>
  <c r="BS228" i="31"/>
  <c r="BT228" i="31" s="1"/>
  <c r="BS260" i="31"/>
  <c r="BT260" i="31" s="1"/>
  <c r="BS225" i="31"/>
  <c r="BT225" i="31" s="1"/>
  <c r="BS257" i="31"/>
  <c r="BT257" i="31" s="1"/>
  <c r="BS289" i="31"/>
  <c r="BT289" i="31" s="1"/>
  <c r="BS290" i="31"/>
  <c r="BS287" i="31"/>
  <c r="J20" i="94"/>
  <c r="T20" i="94"/>
  <c r="L20" i="94"/>
  <c r="V20" i="94"/>
  <c r="H20" i="94"/>
  <c r="R20" i="94"/>
  <c r="P20" i="94"/>
  <c r="N20" i="94"/>
  <c r="V31" i="95"/>
  <c r="P31" i="95"/>
  <c r="T31" i="95"/>
  <c r="H31" i="95"/>
  <c r="L31" i="95"/>
  <c r="R31" i="95"/>
  <c r="J31" i="95"/>
  <c r="N31" i="95"/>
  <c r="AX328" i="31"/>
  <c r="BQ366" i="31"/>
  <c r="BQ358" i="31"/>
  <c r="BQ350" i="31"/>
  <c r="BQ342" i="31"/>
  <c r="BQ365" i="31"/>
  <c r="BQ357" i="31"/>
  <c r="BQ349" i="31"/>
  <c r="BQ341" i="31"/>
  <c r="BQ333" i="31"/>
  <c r="BQ325" i="31"/>
  <c r="BQ317" i="31"/>
  <c r="BQ309" i="31"/>
  <c r="BQ364" i="31"/>
  <c r="BQ356" i="31"/>
  <c r="BQ348" i="31"/>
  <c r="BQ340" i="31"/>
  <c r="BQ332" i="31"/>
  <c r="BQ324" i="31"/>
  <c r="BQ316" i="31"/>
  <c r="BQ363" i="31"/>
  <c r="BQ355" i="31"/>
  <c r="BQ347" i="31"/>
  <c r="BQ339" i="31"/>
  <c r="BQ331" i="31"/>
  <c r="BQ306" i="31"/>
  <c r="BQ361" i="31"/>
  <c r="BQ353" i="31"/>
  <c r="BQ345" i="31"/>
  <c r="BQ337" i="31"/>
  <c r="BQ329" i="31"/>
  <c r="BQ359" i="31"/>
  <c r="BQ351" i="31"/>
  <c r="BQ343" i="31"/>
  <c r="BQ335" i="31"/>
  <c r="BQ327" i="31"/>
  <c r="BQ319" i="31"/>
  <c r="BQ311" i="31"/>
  <c r="BQ346" i="31"/>
  <c r="BQ334" i="31"/>
  <c r="BQ321" i="31"/>
  <c r="BQ360" i="31"/>
  <c r="BQ336" i="31"/>
  <c r="BQ318" i="31"/>
  <c r="BQ315" i="31"/>
  <c r="BQ338" i="31"/>
  <c r="BQ310" i="31"/>
  <c r="BQ352" i="31"/>
  <c r="BQ326" i="31"/>
  <c r="BQ322" i="31"/>
  <c r="BQ362" i="31"/>
  <c r="BQ328" i="31"/>
  <c r="BQ344" i="31"/>
  <c r="BQ330" i="31"/>
  <c r="BQ312" i="31"/>
  <c r="BQ354" i="31"/>
  <c r="BQ323" i="31"/>
  <c r="BQ320" i="31"/>
  <c r="BQ313" i="31"/>
  <c r="BQ307" i="31"/>
  <c r="BQ308" i="31"/>
  <c r="BQ314" i="31"/>
  <c r="AT208" i="31"/>
  <c r="AV208" i="31"/>
  <c r="BS234" i="31"/>
  <c r="BT234" i="31" s="1"/>
  <c r="BS266" i="31"/>
  <c r="BT266" i="31" s="1"/>
  <c r="BS235" i="31"/>
  <c r="BT235" i="31" s="1"/>
  <c r="BS284" i="31"/>
  <c r="BS232" i="31"/>
  <c r="BT232" i="31" s="1"/>
  <c r="BS264" i="31"/>
  <c r="BS229" i="31"/>
  <c r="BS261" i="31"/>
  <c r="BT261" i="31" s="1"/>
  <c r="BS293" i="31"/>
  <c r="BT293" i="31" s="1"/>
  <c r="BS294" i="31"/>
  <c r="BT294" i="31" s="1"/>
  <c r="BS291" i="31"/>
  <c r="BT291" i="31" s="1"/>
  <c r="BN306" i="31"/>
  <c r="BN361" i="31"/>
  <c r="BN353" i="31"/>
  <c r="BN345" i="31"/>
  <c r="BN360" i="31"/>
  <c r="BN352" i="31"/>
  <c r="BN344" i="31"/>
  <c r="BN336" i="31"/>
  <c r="BN328" i="31"/>
  <c r="BN320" i="31"/>
  <c r="BN312" i="31"/>
  <c r="BN359" i="31"/>
  <c r="BN351" i="31"/>
  <c r="BN343" i="31"/>
  <c r="BN335" i="31"/>
  <c r="BN327" i="31"/>
  <c r="BN319" i="31"/>
  <c r="BN366" i="31"/>
  <c r="BN358" i="31"/>
  <c r="BN350" i="31"/>
  <c r="BN342" i="31"/>
  <c r="BN334" i="31"/>
  <c r="BN326" i="31"/>
  <c r="BN364" i="31"/>
  <c r="BN356" i="31"/>
  <c r="BN348" i="31"/>
  <c r="BN340" i="31"/>
  <c r="BN332" i="31"/>
  <c r="BN324" i="31"/>
  <c r="BN362" i="31"/>
  <c r="BN354" i="31"/>
  <c r="BN346" i="31"/>
  <c r="BN338" i="31"/>
  <c r="BN330" i="31"/>
  <c r="BN322" i="31"/>
  <c r="BN314" i="31"/>
  <c r="BN357" i="31"/>
  <c r="BN323" i="31"/>
  <c r="BN317" i="31"/>
  <c r="BN313" i="31"/>
  <c r="BN339" i="31"/>
  <c r="BN307" i="31"/>
  <c r="BN349" i="31"/>
  <c r="BN329" i="31"/>
  <c r="BN321" i="31"/>
  <c r="BN318" i="31"/>
  <c r="BN308" i="31"/>
  <c r="BN363" i="31"/>
  <c r="BN331" i="31"/>
  <c r="BN309" i="31"/>
  <c r="BN341" i="31"/>
  <c r="BN333" i="31"/>
  <c r="BN315" i="31"/>
  <c r="BN310" i="31"/>
  <c r="BN355" i="31"/>
  <c r="BN311" i="31"/>
  <c r="BN365" i="31"/>
  <c r="BN316" i="31"/>
  <c r="BN347" i="31"/>
  <c r="BN325" i="31"/>
  <c r="BN337" i="31"/>
  <c r="P20" i="95"/>
  <c r="L20" i="95"/>
  <c r="V20" i="95"/>
  <c r="N20" i="95"/>
  <c r="H20" i="95"/>
  <c r="J20" i="95"/>
  <c r="T20" i="95"/>
  <c r="R20" i="95"/>
  <c r="J24" i="71"/>
  <c r="AK180" i="99"/>
  <c r="AR180" i="99"/>
  <c r="AN180" i="99"/>
  <c r="AL180" i="99"/>
  <c r="AQ180" i="99"/>
  <c r="AP180" i="99"/>
  <c r="AO180" i="99"/>
  <c r="AM180" i="99"/>
  <c r="AV180" i="99"/>
  <c r="BC180" i="99"/>
  <c r="AW180" i="99"/>
  <c r="BA180" i="99"/>
  <c r="BB180" i="99"/>
  <c r="AZ180" i="99"/>
  <c r="AY180" i="99"/>
  <c r="AX180" i="99"/>
  <c r="B121" i="95"/>
  <c r="B121" i="94"/>
  <c r="B121" i="93"/>
  <c r="B120" i="92"/>
  <c r="I119" i="92"/>
  <c r="N24" i="71"/>
  <c r="CC53" i="71"/>
  <c r="CG53" i="71"/>
  <c r="CH53" i="71"/>
  <c r="CH54" i="71"/>
  <c r="CG54" i="71"/>
  <c r="CC54" i="71"/>
  <c r="CA70" i="71"/>
  <c r="CA62" i="71" s="1"/>
  <c r="BZ70" i="71"/>
  <c r="BZ62" i="71" s="1"/>
  <c r="BW70" i="71"/>
  <c r="BW62" i="71" s="1"/>
  <c r="BX70" i="71"/>
  <c r="BX62" i="71" s="1"/>
  <c r="BY70" i="71"/>
  <c r="BY62" i="71" s="1"/>
  <c r="CC55" i="71"/>
  <c r="CH55" i="71"/>
  <c r="CG55" i="71"/>
  <c r="BW74" i="71"/>
  <c r="BW66" i="71" s="1"/>
  <c r="BY74" i="71"/>
  <c r="BY66" i="71" s="1"/>
  <c r="BX74" i="71"/>
  <c r="BX66" i="71" s="1"/>
  <c r="BZ74" i="71"/>
  <c r="BZ66" i="71" s="1"/>
  <c r="CA74" i="71"/>
  <c r="CA66" i="71" s="1"/>
  <c r="BW73" i="71"/>
  <c r="BW65" i="71" s="1"/>
  <c r="BZ73" i="71"/>
  <c r="BZ65" i="71" s="1"/>
  <c r="BX73" i="71"/>
  <c r="BX65" i="71" s="1"/>
  <c r="CA73" i="71"/>
  <c r="CA65" i="71" s="1"/>
  <c r="BY73" i="71"/>
  <c r="BY65" i="71" s="1"/>
  <c r="CG58" i="71"/>
  <c r="CC58" i="71"/>
  <c r="CH58" i="71"/>
  <c r="BW69" i="71"/>
  <c r="BW61" i="71" s="1"/>
  <c r="BX69" i="71"/>
  <c r="BX61" i="71" s="1"/>
  <c r="CA69" i="71"/>
  <c r="CA61" i="71" s="1"/>
  <c r="BY69" i="71"/>
  <c r="BY61" i="71" s="1"/>
  <c r="BZ69" i="71"/>
  <c r="BZ61" i="71" s="1"/>
  <c r="CG56" i="71"/>
  <c r="CH56" i="71"/>
  <c r="CC56" i="71"/>
  <c r="L24" i="71"/>
  <c r="L4" i="71" s="1"/>
  <c r="L3" i="71" s="1"/>
  <c r="CH57" i="71"/>
  <c r="CG57" i="71"/>
  <c r="CC57" i="71"/>
  <c r="O24" i="71"/>
  <c r="O4" i="71" s="1"/>
  <c r="O3" i="71" s="1"/>
  <c r="BY71" i="71"/>
  <c r="BY63" i="71" s="1"/>
  <c r="BX71" i="71"/>
  <c r="BX63" i="71" s="1"/>
  <c r="CA71" i="71"/>
  <c r="CA63" i="71" s="1"/>
  <c r="BW71" i="71"/>
  <c r="BW63" i="71" s="1"/>
  <c r="BZ71" i="71"/>
  <c r="BZ63" i="71" s="1"/>
  <c r="K24" i="71"/>
  <c r="K4" i="71" s="1"/>
  <c r="K3" i="71" s="1"/>
  <c r="M24" i="71"/>
  <c r="M4" i="71" s="1"/>
  <c r="M3" i="71" s="1"/>
  <c r="BX72" i="71"/>
  <c r="BX64" i="71" s="1"/>
  <c r="CA72" i="71"/>
  <c r="CA64" i="71" s="1"/>
  <c r="BZ72" i="71"/>
  <c r="BZ64" i="71" s="1"/>
  <c r="BW72" i="71"/>
  <c r="BW64" i="71" s="1"/>
  <c r="BY72" i="71"/>
  <c r="BY64" i="71" s="1"/>
  <c r="Y31" i="3"/>
  <c r="Y20" i="3"/>
  <c r="B14" i="60"/>
  <c r="W20" i="3"/>
  <c r="S20" i="3"/>
  <c r="M20" i="3"/>
  <c r="U20" i="3"/>
  <c r="K20" i="3"/>
  <c r="Q20" i="3"/>
  <c r="O20" i="3"/>
  <c r="C32" i="3"/>
  <c r="O32" i="3" s="1"/>
  <c r="DV24" i="71"/>
  <c r="EC24" i="71" s="1"/>
  <c r="CT25" i="71"/>
  <c r="CV24" i="71"/>
  <c r="CW25" i="71" s="1"/>
  <c r="P24" i="2"/>
  <c r="D24" i="2"/>
  <c r="P10" i="2"/>
  <c r="D10" i="2"/>
  <c r="O31" i="3"/>
  <c r="W31" i="3"/>
  <c r="U31" i="3"/>
  <c r="S31" i="3"/>
  <c r="Q31" i="3"/>
  <c r="M31" i="3"/>
  <c r="K31" i="3"/>
  <c r="N24" i="2"/>
  <c r="M24" i="2"/>
  <c r="L24" i="2"/>
  <c r="K24" i="2"/>
  <c r="O24" i="2"/>
  <c r="I24" i="2"/>
  <c r="J24" i="2"/>
  <c r="A25" i="2"/>
  <c r="N10" i="2"/>
  <c r="M10" i="2"/>
  <c r="L10" i="2"/>
  <c r="K10" i="2"/>
  <c r="J10" i="2"/>
  <c r="I10" i="2"/>
  <c r="A11" i="2"/>
  <c r="O10" i="2"/>
  <c r="M91" i="49"/>
  <c r="M90" i="49"/>
  <c r="B9" i="60"/>
  <c r="AI8" i="3"/>
  <c r="AC3" i="31"/>
  <c r="C22" i="49"/>
  <c r="AM6" i="3"/>
  <c r="AP6" i="3" s="1"/>
  <c r="AN6" i="3"/>
  <c r="H57" i="123" l="1"/>
  <c r="G57" i="123"/>
  <c r="F57" i="123"/>
  <c r="E57" i="123"/>
  <c r="A60" i="123"/>
  <c r="B58" i="123"/>
  <c r="A60" i="120"/>
  <c r="A60" i="117"/>
  <c r="L2" i="71"/>
  <c r="M2" i="71"/>
  <c r="N4" i="71"/>
  <c r="N3" i="71" s="1"/>
  <c r="BZ50" i="71" s="1"/>
  <c r="K2" i="71"/>
  <c r="N2" i="71"/>
  <c r="BZ49" i="71" s="1"/>
  <c r="O2" i="71"/>
  <c r="O7" i="71" s="1"/>
  <c r="N12" i="71"/>
  <c r="H46" i="110"/>
  <c r="G46" i="110"/>
  <c r="DY25" i="71"/>
  <c r="EF25" i="71"/>
  <c r="ED25" i="71"/>
  <c r="DZ25" i="71"/>
  <c r="EB25" i="71"/>
  <c r="DJ25" i="71"/>
  <c r="DK26" i="71" s="1"/>
  <c r="DH25" i="71"/>
  <c r="DI26" i="71" s="1"/>
  <c r="DF25" i="71"/>
  <c r="DG26" i="71" s="1"/>
  <c r="DD25" i="71"/>
  <c r="DE26" i="71" s="1"/>
  <c r="DB25" i="71"/>
  <c r="DC26" i="71" s="1"/>
  <c r="CZ25" i="71"/>
  <c r="DA26" i="71" s="1"/>
  <c r="CX25" i="71"/>
  <c r="CY26" i="71" s="1"/>
  <c r="EE25" i="71"/>
  <c r="EA25" i="71"/>
  <c r="P48" i="110"/>
  <c r="D48" i="110"/>
  <c r="J48" i="110"/>
  <c r="O48" i="110"/>
  <c r="C48" i="110"/>
  <c r="N48" i="110"/>
  <c r="M48" i="110"/>
  <c r="I48" i="110"/>
  <c r="L48" i="110"/>
  <c r="K48" i="110"/>
  <c r="A49" i="110"/>
  <c r="B47" i="110"/>
  <c r="F46" i="110"/>
  <c r="E46" i="110"/>
  <c r="AN48" i="2"/>
  <c r="F32" i="3"/>
  <c r="F32" i="109"/>
  <c r="R9" i="94"/>
  <c r="H9" i="93"/>
  <c r="V9" i="95"/>
  <c r="T9" i="94"/>
  <c r="BT230" i="31"/>
  <c r="BS313" i="31"/>
  <c r="BS315" i="31"/>
  <c r="BT315" i="31" s="1"/>
  <c r="BS335" i="31"/>
  <c r="BS340" i="31"/>
  <c r="BS306" i="31"/>
  <c r="BT292" i="31"/>
  <c r="BT229" i="31"/>
  <c r="BS324" i="31"/>
  <c r="BT324" i="31" s="1"/>
  <c r="BT264" i="31"/>
  <c r="BT256" i="31"/>
  <c r="BT223" i="31"/>
  <c r="BS318" i="31"/>
  <c r="BS314" i="31"/>
  <c r="BT314" i="31" s="1"/>
  <c r="BS323" i="31"/>
  <c r="BS334" i="31"/>
  <c r="BS347" i="31"/>
  <c r="BS327" i="31"/>
  <c r="BS350" i="31"/>
  <c r="BS328" i="31"/>
  <c r="BT328" i="31" s="1"/>
  <c r="V32" i="92"/>
  <c r="V9" i="92" s="1"/>
  <c r="N32" i="92"/>
  <c r="N9" i="92" s="1"/>
  <c r="P32" i="92"/>
  <c r="P9" i="92" s="1"/>
  <c r="T32" i="92"/>
  <c r="T9" i="92" s="1"/>
  <c r="L32" i="92"/>
  <c r="L9" i="92" s="1"/>
  <c r="J32" i="92"/>
  <c r="J9" i="92" s="1"/>
  <c r="H32" i="92"/>
  <c r="H9" i="92" s="1"/>
  <c r="R32" i="92"/>
  <c r="R9" i="92" s="1"/>
  <c r="BT265" i="31"/>
  <c r="BS321" i="31"/>
  <c r="BT321" i="31" s="1"/>
  <c r="BS322" i="31"/>
  <c r="BS333" i="31"/>
  <c r="BT333" i="31" s="1"/>
  <c r="BS345" i="31"/>
  <c r="BT345" i="31" s="1"/>
  <c r="BS357" i="31"/>
  <c r="BS339" i="31"/>
  <c r="BT339" i="31" s="1"/>
  <c r="BS361" i="31"/>
  <c r="BS336" i="31"/>
  <c r="BT336" i="31" s="1"/>
  <c r="BT272" i="31"/>
  <c r="BT284" i="31"/>
  <c r="BT259" i="31"/>
  <c r="BT222" i="31"/>
  <c r="BS331" i="31"/>
  <c r="BS332" i="31"/>
  <c r="BS343" i="31"/>
  <c r="BT343" i="31" s="1"/>
  <c r="BS356" i="31"/>
  <c r="BT356" i="31" s="1"/>
  <c r="BS326" i="31"/>
  <c r="BS349" i="31"/>
  <c r="BS330" i="31"/>
  <c r="BT330" i="31" s="1"/>
  <c r="BS344" i="31"/>
  <c r="H32" i="95"/>
  <c r="H9" i="95" s="1"/>
  <c r="V32" i="95"/>
  <c r="L32" i="95"/>
  <c r="L9" i="95" s="1"/>
  <c r="J32" i="95"/>
  <c r="J9" i="95" s="1"/>
  <c r="P32" i="95"/>
  <c r="P9" i="95" s="1"/>
  <c r="T32" i="95"/>
  <c r="T9" i="95" s="1"/>
  <c r="N32" i="95"/>
  <c r="N9" i="95" s="1"/>
  <c r="R32" i="95"/>
  <c r="R9" i="95" s="1"/>
  <c r="BT295" i="31"/>
  <c r="BT299" i="31"/>
  <c r="BT267" i="31"/>
  <c r="BT304" i="31"/>
  <c r="BT296" i="31"/>
  <c r="BT355" i="31"/>
  <c r="AO48" i="2"/>
  <c r="BT217" i="31"/>
  <c r="BS351" i="31"/>
  <c r="BT351" i="31" s="1"/>
  <c r="BS353" i="31"/>
  <c r="BS365" i="31"/>
  <c r="BT365" i="31" s="1"/>
  <c r="BS309" i="31"/>
  <c r="BT309" i="31" s="1"/>
  <c r="BS348" i="31"/>
  <c r="BS312" i="31"/>
  <c r="BS346" i="31"/>
  <c r="BT346" i="31" s="1"/>
  <c r="BS360" i="31"/>
  <c r="BT236" i="31"/>
  <c r="BT301" i="31"/>
  <c r="BT242" i="31"/>
  <c r="BS341" i="31"/>
  <c r="BT341" i="31" s="1"/>
  <c r="BS366" i="31"/>
  <c r="BS359" i="31"/>
  <c r="BT359" i="31" s="1"/>
  <c r="BT287" i="31"/>
  <c r="BT231" i="31"/>
  <c r="BT285" i="31"/>
  <c r="BT226" i="31"/>
  <c r="BT233" i="31"/>
  <c r="BS363" i="31"/>
  <c r="BS364" i="31"/>
  <c r="BS308" i="31"/>
  <c r="BS317" i="31"/>
  <c r="BT317" i="31" s="1"/>
  <c r="BS358" i="31"/>
  <c r="BT358" i="31" s="1"/>
  <c r="BS320" i="31"/>
  <c r="BT320" i="31" s="1"/>
  <c r="BS354" i="31"/>
  <c r="BT354" i="31" s="1"/>
  <c r="BT219" i="31"/>
  <c r="V32" i="93"/>
  <c r="V9" i="93" s="1"/>
  <c r="H32" i="93"/>
  <c r="R32" i="93"/>
  <c r="R9" i="93" s="1"/>
  <c r="L32" i="93"/>
  <c r="L9" i="93" s="1"/>
  <c r="P32" i="93"/>
  <c r="P9" i="93" s="1"/>
  <c r="J32" i="93"/>
  <c r="J9" i="93" s="1"/>
  <c r="T32" i="93"/>
  <c r="T9" i="93" s="1"/>
  <c r="N32" i="93"/>
  <c r="N9" i="93" s="1"/>
  <c r="BT215" i="31"/>
  <c r="BT238" i="31"/>
  <c r="BT288" i="31"/>
  <c r="BT297" i="31"/>
  <c r="BT337" i="31"/>
  <c r="BS352" i="31"/>
  <c r="BT352" i="31" s="1"/>
  <c r="BT290" i="31"/>
  <c r="BT262" i="31"/>
  <c r="BS310" i="31"/>
  <c r="BS307" i="31"/>
  <c r="BT307" i="31" s="1"/>
  <c r="BS316" i="31"/>
  <c r="BS325" i="31"/>
  <c r="BT325" i="31" s="1"/>
  <c r="BS311" i="31"/>
  <c r="BS329" i="31"/>
  <c r="BT329" i="31" s="1"/>
  <c r="BS362" i="31"/>
  <c r="BT362" i="31" s="1"/>
  <c r="BT278" i="31"/>
  <c r="BT250" i="31"/>
  <c r="V32" i="94"/>
  <c r="V9" i="94" s="1"/>
  <c r="P32" i="94"/>
  <c r="P9" i="94" s="1"/>
  <c r="H32" i="94"/>
  <c r="H9" i="94" s="1"/>
  <c r="T32" i="94"/>
  <c r="L32" i="94"/>
  <c r="L9" i="94" s="1"/>
  <c r="R32" i="94"/>
  <c r="N32" i="94"/>
  <c r="N9" i="94" s="1"/>
  <c r="J32" i="94"/>
  <c r="J9" i="94" s="1"/>
  <c r="BT274" i="31"/>
  <c r="BT246" i="31"/>
  <c r="BT269" i="31"/>
  <c r="AK181" i="99"/>
  <c r="AR181" i="99"/>
  <c r="AQ181" i="99"/>
  <c r="AP181" i="99"/>
  <c r="AL181" i="99"/>
  <c r="AN181" i="99"/>
  <c r="AO181" i="99"/>
  <c r="AM181" i="99"/>
  <c r="AV181" i="99"/>
  <c r="BA181" i="99"/>
  <c r="AZ181" i="99"/>
  <c r="BC181" i="99"/>
  <c r="AY181" i="99"/>
  <c r="BB181" i="99"/>
  <c r="AX181" i="99"/>
  <c r="AW181" i="99"/>
  <c r="B122" i="95"/>
  <c r="B122" i="94"/>
  <c r="B122" i="93"/>
  <c r="B121" i="92"/>
  <c r="I120" i="92"/>
  <c r="O13" i="71"/>
  <c r="M13" i="71"/>
  <c r="N10" i="71"/>
  <c r="K12" i="71"/>
  <c r="L13" i="71"/>
  <c r="N13" i="71"/>
  <c r="BX50" i="71"/>
  <c r="L10" i="71"/>
  <c r="M12" i="71"/>
  <c r="CA50" i="71"/>
  <c r="O10" i="71"/>
  <c r="BY56" i="71"/>
  <c r="BY87" i="71" s="1"/>
  <c r="CA56" i="71"/>
  <c r="CA87" i="71" s="1"/>
  <c r="BW56" i="71"/>
  <c r="BW87" i="71" s="1"/>
  <c r="BZ56" i="71"/>
  <c r="BZ87" i="71" s="1"/>
  <c r="BX56" i="71"/>
  <c r="BX87" i="71" s="1"/>
  <c r="BY50" i="71"/>
  <c r="M10" i="71"/>
  <c r="O12" i="71"/>
  <c r="L12" i="71"/>
  <c r="CA57" i="71"/>
  <c r="CA88" i="71" s="1"/>
  <c r="BW57" i="71"/>
  <c r="BW88" i="71" s="1"/>
  <c r="BZ57" i="71"/>
  <c r="BZ88" i="71" s="1"/>
  <c r="BX57" i="71"/>
  <c r="BX88" i="71" s="1"/>
  <c r="BY57" i="71"/>
  <c r="BY88" i="71" s="1"/>
  <c r="BW50" i="71"/>
  <c r="K10" i="71"/>
  <c r="K13" i="71"/>
  <c r="BW58" i="71"/>
  <c r="BW89" i="71" s="1"/>
  <c r="BZ58" i="71"/>
  <c r="BZ89" i="71" s="1"/>
  <c r="CA58" i="71"/>
  <c r="CA89" i="71" s="1"/>
  <c r="BY58" i="71"/>
  <c r="BY89" i="71" s="1"/>
  <c r="BX58" i="71"/>
  <c r="BX89" i="71" s="1"/>
  <c r="BW53" i="71"/>
  <c r="BW84" i="71" s="1"/>
  <c r="BX53" i="71"/>
  <c r="BX84" i="71" s="1"/>
  <c r="BZ53" i="71"/>
  <c r="BZ84" i="71" s="1"/>
  <c r="BY53" i="71"/>
  <c r="BY84" i="71" s="1"/>
  <c r="CA53" i="71"/>
  <c r="CA84" i="71" s="1"/>
  <c r="BZ55" i="71"/>
  <c r="BZ86" i="71" s="1"/>
  <c r="BW55" i="71"/>
  <c r="BW86" i="71" s="1"/>
  <c r="CA55" i="71"/>
  <c r="CA86" i="71" s="1"/>
  <c r="BY55" i="71"/>
  <c r="BY86" i="71" s="1"/>
  <c r="BX55" i="71"/>
  <c r="BX86" i="71" s="1"/>
  <c r="BX54" i="71"/>
  <c r="BX85" i="71" s="1"/>
  <c r="BZ54" i="71"/>
  <c r="BZ85" i="71" s="1"/>
  <c r="BW54" i="71"/>
  <c r="BW85" i="71" s="1"/>
  <c r="BY54" i="71"/>
  <c r="BY85" i="71" s="1"/>
  <c r="CA54" i="71"/>
  <c r="CA85" i="71" s="1"/>
  <c r="O9" i="3"/>
  <c r="U32" i="3"/>
  <c r="K32" i="3"/>
  <c r="K9" i="3" s="1"/>
  <c r="S32" i="3"/>
  <c r="Y32" i="3"/>
  <c r="Y9" i="3" s="1"/>
  <c r="M32" i="3"/>
  <c r="Q32" i="3"/>
  <c r="W32" i="3"/>
  <c r="DV25" i="71"/>
  <c r="EC25" i="71" s="1"/>
  <c r="CT26" i="71"/>
  <c r="CV25" i="71"/>
  <c r="CW26" i="71" s="1"/>
  <c r="P25" i="2"/>
  <c r="D25" i="2"/>
  <c r="P11" i="2"/>
  <c r="D11" i="2"/>
  <c r="N11" i="2"/>
  <c r="M11" i="2"/>
  <c r="L11" i="2"/>
  <c r="K11" i="2"/>
  <c r="J11" i="2"/>
  <c r="A12" i="2"/>
  <c r="I11" i="2"/>
  <c r="O11" i="2"/>
  <c r="N25" i="2"/>
  <c r="M25" i="2"/>
  <c r="L25" i="2"/>
  <c r="K25" i="2"/>
  <c r="A26" i="2"/>
  <c r="O25" i="2"/>
  <c r="J25" i="2"/>
  <c r="I25" i="2"/>
  <c r="AM8" i="3"/>
  <c r="AP8" i="3" s="1"/>
  <c r="AP1" i="3" s="1"/>
  <c r="AO2" i="3" s="1"/>
  <c r="AN8" i="3"/>
  <c r="A61" i="123" l="1"/>
  <c r="H58" i="123"/>
  <c r="G58" i="123"/>
  <c r="F58" i="123"/>
  <c r="E58" i="123"/>
  <c r="B59" i="123"/>
  <c r="A61" i="120"/>
  <c r="A61" i="117"/>
  <c r="B48" i="110"/>
  <c r="F48" i="110" s="1"/>
  <c r="H47" i="110"/>
  <c r="G47" i="110"/>
  <c r="DY26" i="71"/>
  <c r="DZ26" i="71"/>
  <c r="DA27" i="71"/>
  <c r="EF26" i="71"/>
  <c r="DE27" i="71"/>
  <c r="EB26" i="71"/>
  <c r="CY27" i="71"/>
  <c r="EA26" i="71"/>
  <c r="DG27" i="71"/>
  <c r="EE26" i="71"/>
  <c r="DD26" i="71"/>
  <c r="DB26" i="71"/>
  <c r="CZ26" i="71"/>
  <c r="CX26" i="71"/>
  <c r="DJ26" i="71"/>
  <c r="DK27" i="71" s="1"/>
  <c r="DF26" i="71"/>
  <c r="DH26" i="71"/>
  <c r="DI27" i="71" s="1"/>
  <c r="DC27" i="71"/>
  <c r="ED26" i="71"/>
  <c r="F47" i="110"/>
  <c r="E47" i="110"/>
  <c r="N49" i="110"/>
  <c r="M49" i="110"/>
  <c r="P49" i="110"/>
  <c r="C49" i="110"/>
  <c r="L49" i="110"/>
  <c r="D49" i="110"/>
  <c r="O49" i="110"/>
  <c r="K49" i="110"/>
  <c r="J49" i="110"/>
  <c r="I49" i="110"/>
  <c r="A50" i="110"/>
  <c r="V7" i="94"/>
  <c r="V8" i="94" s="1"/>
  <c r="T7" i="95"/>
  <c r="T8" i="95" s="1"/>
  <c r="T7" i="92"/>
  <c r="T8" i="92" s="1"/>
  <c r="N7" i="95"/>
  <c r="N8" i="95" s="1"/>
  <c r="P7" i="95"/>
  <c r="P8" i="95" s="1"/>
  <c r="P7" i="92"/>
  <c r="P8" i="92" s="1"/>
  <c r="J7" i="92"/>
  <c r="N7" i="94"/>
  <c r="N8" i="94" s="1"/>
  <c r="J7" i="95"/>
  <c r="J8" i="95" s="1"/>
  <c r="R7" i="95"/>
  <c r="R8" i="95" s="1"/>
  <c r="J7" i="94"/>
  <c r="J8" i="94" s="1"/>
  <c r="N7" i="93"/>
  <c r="N8" i="93" s="1"/>
  <c r="T7" i="93"/>
  <c r="T8" i="93" s="1"/>
  <c r="R7" i="92"/>
  <c r="R8" i="92" s="1"/>
  <c r="P7" i="94"/>
  <c r="P8" i="94" s="1"/>
  <c r="H7" i="95"/>
  <c r="H8" i="95" s="1"/>
  <c r="H7" i="92"/>
  <c r="H8" i="92" s="1"/>
  <c r="R7" i="94"/>
  <c r="R8" i="94" s="1"/>
  <c r="BT310" i="31"/>
  <c r="R7" i="93"/>
  <c r="R8" i="93" s="1"/>
  <c r="BT308" i="31"/>
  <c r="BT312" i="31"/>
  <c r="BT349" i="31"/>
  <c r="BT334" i="31"/>
  <c r="BT313" i="31"/>
  <c r="L7" i="93"/>
  <c r="L8" i="93" s="1"/>
  <c r="H7" i="93"/>
  <c r="H8" i="93" s="1"/>
  <c r="BT364" i="31"/>
  <c r="BT366" i="31"/>
  <c r="BT348" i="31"/>
  <c r="BT326" i="31"/>
  <c r="BT322" i="31"/>
  <c r="BT323" i="31"/>
  <c r="V7" i="93"/>
  <c r="V8" i="93" s="1"/>
  <c r="BT363" i="31"/>
  <c r="N7" i="92"/>
  <c r="N8" i="92" s="1"/>
  <c r="V7" i="95"/>
  <c r="V8" i="95" s="1"/>
  <c r="BT347" i="31"/>
  <c r="L7" i="94"/>
  <c r="L8" i="94" s="1"/>
  <c r="L7" i="95"/>
  <c r="L8" i="95" s="1"/>
  <c r="V7" i="92"/>
  <c r="V8" i="92" s="1"/>
  <c r="BT318" i="31"/>
  <c r="L7" i="92"/>
  <c r="L8" i="92" s="1"/>
  <c r="BT311" i="31"/>
  <c r="BT353" i="31"/>
  <c r="BT332" i="31"/>
  <c r="BT361" i="31"/>
  <c r="BT340" i="31"/>
  <c r="H7" i="94"/>
  <c r="H8" i="94" s="1"/>
  <c r="J7" i="93"/>
  <c r="J8" i="93" s="1"/>
  <c r="BT331" i="31"/>
  <c r="BT350" i="31"/>
  <c r="BT319" i="31"/>
  <c r="T7" i="94"/>
  <c r="T8" i="94" s="1"/>
  <c r="BT316" i="31"/>
  <c r="BT342" i="31"/>
  <c r="P7" i="93"/>
  <c r="P8" i="93" s="1"/>
  <c r="BT360" i="31"/>
  <c r="BT344" i="31"/>
  <c r="BT357" i="31"/>
  <c r="BT327" i="31"/>
  <c r="BT335" i="31"/>
  <c r="O7" i="3"/>
  <c r="O8" i="3" s="1"/>
  <c r="AM182" i="99"/>
  <c r="AK182" i="99"/>
  <c r="AR182" i="99"/>
  <c r="AN182" i="99"/>
  <c r="AP182" i="99"/>
  <c r="AO182" i="99"/>
  <c r="AQ182" i="99"/>
  <c r="AL182" i="99"/>
  <c r="BA182" i="99"/>
  <c r="AV182" i="99"/>
  <c r="AZ182" i="99"/>
  <c r="AW182" i="99"/>
  <c r="AX182" i="99"/>
  <c r="BC182" i="99"/>
  <c r="BB182" i="99"/>
  <c r="AY182" i="99"/>
  <c r="B123" i="95"/>
  <c r="B123" i="94"/>
  <c r="B123" i="93"/>
  <c r="B122" i="92"/>
  <c r="I121" i="92"/>
  <c r="CA49" i="71"/>
  <c r="N7" i="71"/>
  <c r="DN26" i="71"/>
  <c r="L7" i="71"/>
  <c r="BX49" i="71"/>
  <c r="BW49" i="71"/>
  <c r="K7" i="71"/>
  <c r="M7" i="71"/>
  <c r="BY49" i="71"/>
  <c r="Y7" i="3"/>
  <c r="Y8" i="3" s="1"/>
  <c r="W9" i="3"/>
  <c r="U9" i="3"/>
  <c r="S9" i="3"/>
  <c r="Q9" i="3"/>
  <c r="M9" i="3"/>
  <c r="DV26" i="71"/>
  <c r="EC26" i="71" s="1"/>
  <c r="CT27" i="71"/>
  <c r="CV26" i="71"/>
  <c r="CW27" i="71" s="1"/>
  <c r="D26" i="2"/>
  <c r="P26" i="2"/>
  <c r="P12" i="2"/>
  <c r="D12" i="2"/>
  <c r="K7" i="3"/>
  <c r="K8" i="3" s="1"/>
  <c r="N26" i="2"/>
  <c r="M26" i="2"/>
  <c r="L26" i="2"/>
  <c r="K26" i="2"/>
  <c r="J26" i="2"/>
  <c r="I26" i="2"/>
  <c r="A27" i="2"/>
  <c r="O26" i="2"/>
  <c r="M12" i="2"/>
  <c r="L12" i="2"/>
  <c r="K12" i="2"/>
  <c r="N12" i="2"/>
  <c r="I12" i="2"/>
  <c r="A13" i="2"/>
  <c r="J12" i="2"/>
  <c r="O12" i="2"/>
  <c r="B60" i="123" l="1"/>
  <c r="E59" i="123"/>
  <c r="H59" i="123"/>
  <c r="G59" i="123"/>
  <c r="F59" i="123"/>
  <c r="A62" i="123"/>
  <c r="A62" i="120"/>
  <c r="A62" i="117"/>
  <c r="E8" i="93"/>
  <c r="H5" i="93" s="1"/>
  <c r="E8" i="94"/>
  <c r="H5" i="94" s="1"/>
  <c r="AA3" i="94" s="1"/>
  <c r="AI27" i="109" s="1"/>
  <c r="G48" i="110"/>
  <c r="H48" i="110"/>
  <c r="E48" i="110"/>
  <c r="DY27" i="71"/>
  <c r="DZ27" i="71"/>
  <c r="EA27" i="71"/>
  <c r="ED27" i="71"/>
  <c r="DE28" i="71"/>
  <c r="EB27" i="71"/>
  <c r="DG28" i="71"/>
  <c r="EE27" i="71"/>
  <c r="EF27" i="71"/>
  <c r="DN27" i="71"/>
  <c r="DJ27" i="71"/>
  <c r="DK28" i="71" s="1"/>
  <c r="DH27" i="71"/>
  <c r="DI28" i="71" s="1"/>
  <c r="DF27" i="71"/>
  <c r="DD27" i="71"/>
  <c r="CX27" i="71"/>
  <c r="CY28" i="71" s="1"/>
  <c r="DB27" i="71"/>
  <c r="DC28" i="71" s="1"/>
  <c r="CZ27" i="71"/>
  <c r="DA28" i="71" s="1"/>
  <c r="L50" i="110"/>
  <c r="M50" i="110"/>
  <c r="K50" i="110"/>
  <c r="J50" i="110"/>
  <c r="I50" i="110"/>
  <c r="P50" i="110"/>
  <c r="D50" i="110"/>
  <c r="O50" i="110"/>
  <c r="C50" i="110"/>
  <c r="N50" i="110"/>
  <c r="A51" i="110"/>
  <c r="B49" i="110"/>
  <c r="AA3" i="93"/>
  <c r="AG27" i="109" s="1"/>
  <c r="J5" i="94"/>
  <c r="AA2" i="94" s="1"/>
  <c r="AI30" i="109" s="1"/>
  <c r="N5" i="93"/>
  <c r="AA7" i="93" s="1"/>
  <c r="AG32" i="109" s="1"/>
  <c r="P5" i="94"/>
  <c r="AA6" i="94" s="1"/>
  <c r="AI31" i="109" s="1"/>
  <c r="L5" i="94"/>
  <c r="AA8" i="94" s="1"/>
  <c r="AI33" i="109" s="1"/>
  <c r="S171" i="94"/>
  <c r="S167" i="94"/>
  <c r="S163" i="94"/>
  <c r="S159" i="94"/>
  <c r="S155" i="94"/>
  <c r="S151" i="94"/>
  <c r="S147" i="94"/>
  <c r="S143" i="94"/>
  <c r="S139" i="94"/>
  <c r="S135" i="94"/>
  <c r="S131" i="94"/>
  <c r="S127" i="94"/>
  <c r="S123" i="94"/>
  <c r="S119" i="94"/>
  <c r="S115" i="94"/>
  <c r="S111" i="94"/>
  <c r="S107" i="94"/>
  <c r="S103" i="94"/>
  <c r="S99" i="94"/>
  <c r="S95" i="94"/>
  <c r="S91" i="94"/>
  <c r="S87" i="94"/>
  <c r="S83" i="94"/>
  <c r="R171" i="94"/>
  <c r="R167" i="94"/>
  <c r="R163" i="94"/>
  <c r="R159" i="94"/>
  <c r="R155" i="94"/>
  <c r="R151" i="94"/>
  <c r="R147" i="94"/>
  <c r="R143" i="94"/>
  <c r="R139" i="94"/>
  <c r="R135" i="94"/>
  <c r="R131" i="94"/>
  <c r="R127" i="94"/>
  <c r="R123" i="94"/>
  <c r="R119" i="94"/>
  <c r="R115" i="94"/>
  <c r="R111" i="94"/>
  <c r="R107" i="94"/>
  <c r="R103" i="94"/>
  <c r="R99" i="94"/>
  <c r="R95" i="94"/>
  <c r="R91" i="94"/>
  <c r="R87" i="94"/>
  <c r="R83" i="94"/>
  <c r="S170" i="94"/>
  <c r="S166" i="94"/>
  <c r="S162" i="94"/>
  <c r="S158" i="94"/>
  <c r="S154" i="94"/>
  <c r="S150" i="94"/>
  <c r="S146" i="94"/>
  <c r="S142" i="94"/>
  <c r="S138" i="94"/>
  <c r="S134" i="94"/>
  <c r="S130" i="94"/>
  <c r="S126" i="94"/>
  <c r="S122" i="94"/>
  <c r="S118" i="94"/>
  <c r="S114" i="94"/>
  <c r="S110" i="94"/>
  <c r="S106" i="94"/>
  <c r="S102" i="94"/>
  <c r="S98" i="94"/>
  <c r="S94" i="94"/>
  <c r="S90" i="94"/>
  <c r="S86" i="94"/>
  <c r="S82" i="94"/>
  <c r="R170" i="94"/>
  <c r="R166" i="94"/>
  <c r="R162" i="94"/>
  <c r="R158" i="94"/>
  <c r="R154" i="94"/>
  <c r="R150" i="94"/>
  <c r="R146" i="94"/>
  <c r="R142" i="94"/>
  <c r="R138" i="94"/>
  <c r="R134" i="94"/>
  <c r="R130" i="94"/>
  <c r="R126" i="94"/>
  <c r="R122" i="94"/>
  <c r="R118" i="94"/>
  <c r="R114" i="94"/>
  <c r="R110" i="94"/>
  <c r="R106" i="94"/>
  <c r="R102" i="94"/>
  <c r="R98" i="94"/>
  <c r="R94" i="94"/>
  <c r="R90" i="94"/>
  <c r="R86" i="94"/>
  <c r="R82" i="94"/>
  <c r="S169" i="94"/>
  <c r="S165" i="94"/>
  <c r="S161" i="94"/>
  <c r="S157" i="94"/>
  <c r="S153" i="94"/>
  <c r="S149" i="94"/>
  <c r="S145" i="94"/>
  <c r="S141" i="94"/>
  <c r="S137" i="94"/>
  <c r="S133" i="94"/>
  <c r="S129" i="94"/>
  <c r="S125" i="94"/>
  <c r="S121" i="94"/>
  <c r="S117" i="94"/>
  <c r="S113" i="94"/>
  <c r="S109" i="94"/>
  <c r="S105" i="94"/>
  <c r="S101" i="94"/>
  <c r="S97" i="94"/>
  <c r="S93" i="94"/>
  <c r="S89" i="94"/>
  <c r="S85" i="94"/>
  <c r="S81" i="94"/>
  <c r="R169" i="94"/>
  <c r="R165" i="94"/>
  <c r="R161" i="94"/>
  <c r="R157" i="94"/>
  <c r="R153" i="94"/>
  <c r="R149" i="94"/>
  <c r="R145" i="94"/>
  <c r="R141" i="94"/>
  <c r="R137" i="94"/>
  <c r="R133" i="94"/>
  <c r="R129" i="94"/>
  <c r="R125" i="94"/>
  <c r="R121" i="94"/>
  <c r="R117" i="94"/>
  <c r="R113" i="94"/>
  <c r="R109" i="94"/>
  <c r="R105" i="94"/>
  <c r="R101" i="94"/>
  <c r="R97" i="94"/>
  <c r="R93" i="94"/>
  <c r="R89" i="94"/>
  <c r="R85" i="94"/>
  <c r="R81" i="94"/>
  <c r="S168" i="94"/>
  <c r="S164" i="94"/>
  <c r="S160" i="94"/>
  <c r="S156" i="94"/>
  <c r="S152" i="94"/>
  <c r="S148" i="94"/>
  <c r="S144" i="94"/>
  <c r="S140" i="94"/>
  <c r="S136" i="94"/>
  <c r="S132" i="94"/>
  <c r="S128" i="94"/>
  <c r="S124" i="94"/>
  <c r="S120" i="94"/>
  <c r="S116" i="94"/>
  <c r="S112" i="94"/>
  <c r="S108" i="94"/>
  <c r="S104" i="94"/>
  <c r="S100" i="94"/>
  <c r="S96" i="94"/>
  <c r="S92" i="94"/>
  <c r="S88" i="94"/>
  <c r="S84" i="94"/>
  <c r="R168" i="94"/>
  <c r="R164" i="94"/>
  <c r="R160" i="94"/>
  <c r="R156" i="94"/>
  <c r="R152" i="94"/>
  <c r="R148" i="94"/>
  <c r="R144" i="94"/>
  <c r="R140" i="94"/>
  <c r="R136" i="94"/>
  <c r="R132" i="94"/>
  <c r="R128" i="94"/>
  <c r="R124" i="94"/>
  <c r="R120" i="94"/>
  <c r="R116" i="94"/>
  <c r="R112" i="94"/>
  <c r="R108" i="94"/>
  <c r="R104" i="94"/>
  <c r="R100" i="94"/>
  <c r="R96" i="94"/>
  <c r="R92" i="94"/>
  <c r="R88" i="94"/>
  <c r="R84" i="94"/>
  <c r="K169" i="92"/>
  <c r="K165" i="92"/>
  <c r="J169" i="92"/>
  <c r="J165" i="92"/>
  <c r="J161" i="92"/>
  <c r="J157" i="92"/>
  <c r="J153" i="92"/>
  <c r="J149" i="92"/>
  <c r="J145" i="92"/>
  <c r="J141" i="92"/>
  <c r="J137" i="92"/>
  <c r="J133" i="92"/>
  <c r="J129" i="92"/>
  <c r="J125" i="92"/>
  <c r="J121" i="92"/>
  <c r="J117" i="92"/>
  <c r="J113" i="92"/>
  <c r="J109" i="92"/>
  <c r="K168" i="92"/>
  <c r="K164" i="92"/>
  <c r="K160" i="92"/>
  <c r="K156" i="92"/>
  <c r="K152" i="92"/>
  <c r="K171" i="92"/>
  <c r="K167" i="92"/>
  <c r="K163" i="92"/>
  <c r="K159" i="92"/>
  <c r="K155" i="92"/>
  <c r="K151" i="92"/>
  <c r="K147" i="92"/>
  <c r="K143" i="92"/>
  <c r="K139" i="92"/>
  <c r="K135" i="92"/>
  <c r="K131" i="92"/>
  <c r="K127" i="92"/>
  <c r="K123" i="92"/>
  <c r="K119" i="92"/>
  <c r="K115" i="92"/>
  <c r="K111" i="92"/>
  <c r="J171" i="92"/>
  <c r="J167" i="92"/>
  <c r="J163" i="92"/>
  <c r="J159" i="92"/>
  <c r="J155" i="92"/>
  <c r="J151" i="92"/>
  <c r="J170" i="92"/>
  <c r="J166" i="92"/>
  <c r="J162" i="92"/>
  <c r="K162" i="92"/>
  <c r="J154" i="92"/>
  <c r="J147" i="92"/>
  <c r="J142" i="92"/>
  <c r="K136" i="92"/>
  <c r="J131" i="92"/>
  <c r="J126" i="92"/>
  <c r="K120" i="92"/>
  <c r="J115" i="92"/>
  <c r="J110" i="92"/>
  <c r="K105" i="92"/>
  <c r="K101" i="92"/>
  <c r="K97" i="92"/>
  <c r="K93" i="92"/>
  <c r="K89" i="92"/>
  <c r="K85" i="92"/>
  <c r="K81" i="92"/>
  <c r="K161" i="92"/>
  <c r="K153" i="92"/>
  <c r="K146" i="92"/>
  <c r="K141" i="92"/>
  <c r="J136" i="92"/>
  <c r="K130" i="92"/>
  <c r="K125" i="92"/>
  <c r="J120" i="92"/>
  <c r="K114" i="92"/>
  <c r="K109" i="92"/>
  <c r="J105" i="92"/>
  <c r="J101" i="92"/>
  <c r="J97" i="92"/>
  <c r="J93" i="92"/>
  <c r="J89" i="92"/>
  <c r="J85" i="92"/>
  <c r="J81" i="92"/>
  <c r="K170" i="92"/>
  <c r="J164" i="92"/>
  <c r="J148" i="92"/>
  <c r="K142" i="92"/>
  <c r="J132" i="92"/>
  <c r="K121" i="92"/>
  <c r="K110" i="92"/>
  <c r="J102" i="92"/>
  <c r="J94" i="92"/>
  <c r="J86" i="92"/>
  <c r="J160" i="92"/>
  <c r="J152" i="92"/>
  <c r="J146" i="92"/>
  <c r="K140" i="92"/>
  <c r="J135" i="92"/>
  <c r="J130" i="92"/>
  <c r="K124" i="92"/>
  <c r="J119" i="92"/>
  <c r="J114" i="92"/>
  <c r="K108" i="92"/>
  <c r="K104" i="92"/>
  <c r="K100" i="92"/>
  <c r="K96" i="92"/>
  <c r="K92" i="92"/>
  <c r="K88" i="92"/>
  <c r="K84" i="92"/>
  <c r="J158" i="92"/>
  <c r="J150" i="92"/>
  <c r="K144" i="92"/>
  <c r="J139" i="92"/>
  <c r="J134" i="92"/>
  <c r="K128" i="92"/>
  <c r="J123" i="92"/>
  <c r="J118" i="92"/>
  <c r="K107" i="92"/>
  <c r="K103" i="92"/>
  <c r="K99" i="92"/>
  <c r="K95" i="92"/>
  <c r="K91" i="92"/>
  <c r="K83" i="92"/>
  <c r="K158" i="92"/>
  <c r="K150" i="92"/>
  <c r="K145" i="92"/>
  <c r="J140" i="92"/>
  <c r="K134" i="92"/>
  <c r="K129" i="92"/>
  <c r="J124" i="92"/>
  <c r="K118" i="92"/>
  <c r="K113" i="92"/>
  <c r="J108" i="92"/>
  <c r="J104" i="92"/>
  <c r="J100" i="92"/>
  <c r="J96" i="92"/>
  <c r="J92" i="92"/>
  <c r="J88" i="92"/>
  <c r="J84" i="92"/>
  <c r="K112" i="92"/>
  <c r="K87" i="92"/>
  <c r="K154" i="92"/>
  <c r="K137" i="92"/>
  <c r="K126" i="92"/>
  <c r="J116" i="92"/>
  <c r="J106" i="92"/>
  <c r="J98" i="92"/>
  <c r="J90" i="92"/>
  <c r="J82" i="92"/>
  <c r="J168" i="92"/>
  <c r="K157" i="92"/>
  <c r="K149" i="92"/>
  <c r="J144" i="92"/>
  <c r="K138" i="92"/>
  <c r="K133" i="92"/>
  <c r="J128" i="92"/>
  <c r="K122" i="92"/>
  <c r="K117" i="92"/>
  <c r="J112" i="92"/>
  <c r="J107" i="92"/>
  <c r="J103" i="92"/>
  <c r="J99" i="92"/>
  <c r="J95" i="92"/>
  <c r="J91" i="92"/>
  <c r="J87" i="92"/>
  <c r="J83" i="92"/>
  <c r="K166" i="92"/>
  <c r="J156" i="92"/>
  <c r="K148" i="92"/>
  <c r="J143" i="92"/>
  <c r="J138" i="92"/>
  <c r="K132" i="92"/>
  <c r="J127" i="92"/>
  <c r="J122" i="92"/>
  <c r="K116" i="92"/>
  <c r="J111" i="92"/>
  <c r="K106" i="92"/>
  <c r="K102" i="92"/>
  <c r="K98" i="92"/>
  <c r="K94" i="92"/>
  <c r="K90" i="92"/>
  <c r="K86" i="92"/>
  <c r="K82" i="92"/>
  <c r="V5" i="94"/>
  <c r="AA9" i="94" s="1"/>
  <c r="AI28" i="109" s="1"/>
  <c r="T5" i="94"/>
  <c r="AA4" i="94" s="1"/>
  <c r="AI29" i="109" s="1"/>
  <c r="E8" i="95"/>
  <c r="V5" i="95" s="1"/>
  <c r="AA9" i="95" s="1"/>
  <c r="U170" i="93"/>
  <c r="U166" i="93"/>
  <c r="U162" i="93"/>
  <c r="U158" i="93"/>
  <c r="U154" i="93"/>
  <c r="U150" i="93"/>
  <c r="U146" i="93"/>
  <c r="U142" i="93"/>
  <c r="U138" i="93"/>
  <c r="U134" i="93"/>
  <c r="U130" i="93"/>
  <c r="U126" i="93"/>
  <c r="U122" i="93"/>
  <c r="U118" i="93"/>
  <c r="U114" i="93"/>
  <c r="U110" i="93"/>
  <c r="U106" i="93"/>
  <c r="U102" i="93"/>
  <c r="U98" i="93"/>
  <c r="U94" i="93"/>
  <c r="U90" i="93"/>
  <c r="U86" i="93"/>
  <c r="U82" i="93"/>
  <c r="T170" i="93"/>
  <c r="T166" i="93"/>
  <c r="T162" i="93"/>
  <c r="T158" i="93"/>
  <c r="T154" i="93"/>
  <c r="T150" i="93"/>
  <c r="T146" i="93"/>
  <c r="T142" i="93"/>
  <c r="T138" i="93"/>
  <c r="T134" i="93"/>
  <c r="T130" i="93"/>
  <c r="T126" i="93"/>
  <c r="T122" i="93"/>
  <c r="T118" i="93"/>
  <c r="T114" i="93"/>
  <c r="T110" i="93"/>
  <c r="T106" i="93"/>
  <c r="T102" i="93"/>
  <c r="T98" i="93"/>
  <c r="T94" i="93"/>
  <c r="T90" i="93"/>
  <c r="T86" i="93"/>
  <c r="T82" i="93"/>
  <c r="U169" i="93"/>
  <c r="U165" i="93"/>
  <c r="U161" i="93"/>
  <c r="U157" i="93"/>
  <c r="U153" i="93"/>
  <c r="U149" i="93"/>
  <c r="U145" i="93"/>
  <c r="U141" i="93"/>
  <c r="U137" i="93"/>
  <c r="U133" i="93"/>
  <c r="U129" i="93"/>
  <c r="U125" i="93"/>
  <c r="U121" i="93"/>
  <c r="U117" i="93"/>
  <c r="U113" i="93"/>
  <c r="U109" i="93"/>
  <c r="U105" i="93"/>
  <c r="U101" i="93"/>
  <c r="U97" i="93"/>
  <c r="U93" i="93"/>
  <c r="U89" i="93"/>
  <c r="U85" i="93"/>
  <c r="U81" i="93"/>
  <c r="T169" i="93"/>
  <c r="T165" i="93"/>
  <c r="T161" i="93"/>
  <c r="T157" i="93"/>
  <c r="T153" i="93"/>
  <c r="T149" i="93"/>
  <c r="T145" i="93"/>
  <c r="T141" i="93"/>
  <c r="T137" i="93"/>
  <c r="T133" i="93"/>
  <c r="T129" i="93"/>
  <c r="T125" i="93"/>
  <c r="T121" i="93"/>
  <c r="T117" i="93"/>
  <c r="T113" i="93"/>
  <c r="T109" i="93"/>
  <c r="U168" i="93"/>
  <c r="U164" i="93"/>
  <c r="U160" i="93"/>
  <c r="U156" i="93"/>
  <c r="U152" i="93"/>
  <c r="U148" i="93"/>
  <c r="U144" i="93"/>
  <c r="U140" i="93"/>
  <c r="U136" i="93"/>
  <c r="U132" i="93"/>
  <c r="U128" i="93"/>
  <c r="U124" i="93"/>
  <c r="U120" i="93"/>
  <c r="U116" i="93"/>
  <c r="U112" i="93"/>
  <c r="U108" i="93"/>
  <c r="U104" i="93"/>
  <c r="U100" i="93"/>
  <c r="U96" i="93"/>
  <c r="U92" i="93"/>
  <c r="U88" i="93"/>
  <c r="U84" i="93"/>
  <c r="T168" i="93"/>
  <c r="T164" i="93"/>
  <c r="T160" i="93"/>
  <c r="T156" i="93"/>
  <c r="T152" i="93"/>
  <c r="T148" i="93"/>
  <c r="T144" i="93"/>
  <c r="T140" i="93"/>
  <c r="T136" i="93"/>
  <c r="T132" i="93"/>
  <c r="T128" i="93"/>
  <c r="T124" i="93"/>
  <c r="T120" i="93"/>
  <c r="T116" i="93"/>
  <c r="T112" i="93"/>
  <c r="T108" i="93"/>
  <c r="T104" i="93"/>
  <c r="T100" i="93"/>
  <c r="T96" i="93"/>
  <c r="T92" i="93"/>
  <c r="T88" i="93"/>
  <c r="T84" i="93"/>
  <c r="U171" i="93"/>
  <c r="U167" i="93"/>
  <c r="U163" i="93"/>
  <c r="U159" i="93"/>
  <c r="U155" i="93"/>
  <c r="U151" i="93"/>
  <c r="U147" i="93"/>
  <c r="U143" i="93"/>
  <c r="U139" i="93"/>
  <c r="U135" i="93"/>
  <c r="U131" i="93"/>
  <c r="U127" i="93"/>
  <c r="U123" i="93"/>
  <c r="U119" i="93"/>
  <c r="U115" i="93"/>
  <c r="U111" i="93"/>
  <c r="U107" i="93"/>
  <c r="U103" i="93"/>
  <c r="U99" i="93"/>
  <c r="T171" i="93"/>
  <c r="T167" i="93"/>
  <c r="T163" i="93"/>
  <c r="T159" i="93"/>
  <c r="T155" i="93"/>
  <c r="T151" i="93"/>
  <c r="T147" i="93"/>
  <c r="T143" i="93"/>
  <c r="T139" i="93"/>
  <c r="T135" i="93"/>
  <c r="T131" i="93"/>
  <c r="T127" i="93"/>
  <c r="T123" i="93"/>
  <c r="T119" i="93"/>
  <c r="T115" i="93"/>
  <c r="T111" i="93"/>
  <c r="T107" i="93"/>
  <c r="T103" i="93"/>
  <c r="T99" i="93"/>
  <c r="T95" i="93"/>
  <c r="T91" i="93"/>
  <c r="T87" i="93"/>
  <c r="T83" i="93"/>
  <c r="U87" i="93"/>
  <c r="T105" i="93"/>
  <c r="T85" i="93"/>
  <c r="T101" i="93"/>
  <c r="U83" i="93"/>
  <c r="T97" i="93"/>
  <c r="T81" i="93"/>
  <c r="U95" i="93"/>
  <c r="T89" i="93"/>
  <c r="T93" i="93"/>
  <c r="U91" i="93"/>
  <c r="J8" i="92"/>
  <c r="O168" i="95"/>
  <c r="O164" i="95"/>
  <c r="O160" i="95"/>
  <c r="O156" i="95"/>
  <c r="O152" i="95"/>
  <c r="O148" i="95"/>
  <c r="O144" i="95"/>
  <c r="O140" i="95"/>
  <c r="O136" i="95"/>
  <c r="O132" i="95"/>
  <c r="O128" i="95"/>
  <c r="O124" i="95"/>
  <c r="O120" i="95"/>
  <c r="O116" i="95"/>
  <c r="O112" i="95"/>
  <c r="O108" i="95"/>
  <c r="O104" i="95"/>
  <c r="O100" i="95"/>
  <c r="O96" i="95"/>
  <c r="O92" i="95"/>
  <c r="O88" i="95"/>
  <c r="O84" i="95"/>
  <c r="N168" i="95"/>
  <c r="N164" i="95"/>
  <c r="N160" i="95"/>
  <c r="N156" i="95"/>
  <c r="N152" i="95"/>
  <c r="N148" i="95"/>
  <c r="N144" i="95"/>
  <c r="N140" i="95"/>
  <c r="N136" i="95"/>
  <c r="N132" i="95"/>
  <c r="N128" i="95"/>
  <c r="N124" i="95"/>
  <c r="N120" i="95"/>
  <c r="N116" i="95"/>
  <c r="N112" i="95"/>
  <c r="N108" i="95"/>
  <c r="N104" i="95"/>
  <c r="N100" i="95"/>
  <c r="N96" i="95"/>
  <c r="N92" i="95"/>
  <c r="N88" i="95"/>
  <c r="N84" i="95"/>
  <c r="O171" i="95"/>
  <c r="O167" i="95"/>
  <c r="O163" i="95"/>
  <c r="O159" i="95"/>
  <c r="O155" i="95"/>
  <c r="O151" i="95"/>
  <c r="O147" i="95"/>
  <c r="O143" i="95"/>
  <c r="O139" i="95"/>
  <c r="O135" i="95"/>
  <c r="O131" i="95"/>
  <c r="O127" i="95"/>
  <c r="O123" i="95"/>
  <c r="O119" i="95"/>
  <c r="O115" i="95"/>
  <c r="O111" i="95"/>
  <c r="O107" i="95"/>
  <c r="O103" i="95"/>
  <c r="O99" i="95"/>
  <c r="O95" i="95"/>
  <c r="O91" i="95"/>
  <c r="O87" i="95"/>
  <c r="O83" i="95"/>
  <c r="N171" i="95"/>
  <c r="N167" i="95"/>
  <c r="N163" i="95"/>
  <c r="N159" i="95"/>
  <c r="N155" i="95"/>
  <c r="N151" i="95"/>
  <c r="N147" i="95"/>
  <c r="N143" i="95"/>
  <c r="N139" i="95"/>
  <c r="N135" i="95"/>
  <c r="N131" i="95"/>
  <c r="N127" i="95"/>
  <c r="N123" i="95"/>
  <c r="N119" i="95"/>
  <c r="N115" i="95"/>
  <c r="N111" i="95"/>
  <c r="N107" i="95"/>
  <c r="N103" i="95"/>
  <c r="N99" i="95"/>
  <c r="N95" i="95"/>
  <c r="N91" i="95"/>
  <c r="N87" i="95"/>
  <c r="N83" i="95"/>
  <c r="O170" i="95"/>
  <c r="O166" i="95"/>
  <c r="O162" i="95"/>
  <c r="O158" i="95"/>
  <c r="O154" i="95"/>
  <c r="O150" i="95"/>
  <c r="O146" i="95"/>
  <c r="O142" i="95"/>
  <c r="O138" i="95"/>
  <c r="O134" i="95"/>
  <c r="O130" i="95"/>
  <c r="O126" i="95"/>
  <c r="O122" i="95"/>
  <c r="O118" i="95"/>
  <c r="O114" i="95"/>
  <c r="O110" i="95"/>
  <c r="O106" i="95"/>
  <c r="O102" i="95"/>
  <c r="O98" i="95"/>
  <c r="O94" i="95"/>
  <c r="O90" i="95"/>
  <c r="O86" i="95"/>
  <c r="O82" i="95"/>
  <c r="N170" i="95"/>
  <c r="N166" i="95"/>
  <c r="N162" i="95"/>
  <c r="N158" i="95"/>
  <c r="N154" i="95"/>
  <c r="N150" i="95"/>
  <c r="N146" i="95"/>
  <c r="N142" i="95"/>
  <c r="N138" i="95"/>
  <c r="N134" i="95"/>
  <c r="N130" i="95"/>
  <c r="N126" i="95"/>
  <c r="N122" i="95"/>
  <c r="N118" i="95"/>
  <c r="N114" i="95"/>
  <c r="N110" i="95"/>
  <c r="N106" i="95"/>
  <c r="N102" i="95"/>
  <c r="N98" i="95"/>
  <c r="N94" i="95"/>
  <c r="N90" i="95"/>
  <c r="N86" i="95"/>
  <c r="N82" i="95"/>
  <c r="O169" i="95"/>
  <c r="O165" i="95"/>
  <c r="O161" i="95"/>
  <c r="O157" i="95"/>
  <c r="O153" i="95"/>
  <c r="O149" i="95"/>
  <c r="O145" i="95"/>
  <c r="O141" i="95"/>
  <c r="O137" i="95"/>
  <c r="O133" i="95"/>
  <c r="O129" i="95"/>
  <c r="O125" i="95"/>
  <c r="O121" i="95"/>
  <c r="O117" i="95"/>
  <c r="O113" i="95"/>
  <c r="O109" i="95"/>
  <c r="O105" i="95"/>
  <c r="O101" i="95"/>
  <c r="O97" i="95"/>
  <c r="O93" i="95"/>
  <c r="O89" i="95"/>
  <c r="O85" i="95"/>
  <c r="O81" i="95"/>
  <c r="N169" i="95"/>
  <c r="N165" i="95"/>
  <c r="N161" i="95"/>
  <c r="N157" i="95"/>
  <c r="N153" i="95"/>
  <c r="N149" i="95"/>
  <c r="N145" i="95"/>
  <c r="N141" i="95"/>
  <c r="N137" i="95"/>
  <c r="N133" i="95"/>
  <c r="N129" i="95"/>
  <c r="N125" i="95"/>
  <c r="N121" i="95"/>
  <c r="N117" i="95"/>
  <c r="N113" i="95"/>
  <c r="N109" i="95"/>
  <c r="N105" i="95"/>
  <c r="N101" i="95"/>
  <c r="N97" i="95"/>
  <c r="N93" i="95"/>
  <c r="N89" i="95"/>
  <c r="N85" i="95"/>
  <c r="N81" i="95"/>
  <c r="M7" i="3"/>
  <c r="M8" i="3" s="1"/>
  <c r="Q7" i="3"/>
  <c r="Q8" i="3" s="1"/>
  <c r="S7" i="3"/>
  <c r="S8" i="3" s="1"/>
  <c r="U7" i="3"/>
  <c r="U8" i="3" s="1"/>
  <c r="W7" i="3"/>
  <c r="W8" i="3" s="1"/>
  <c r="AM183" i="99"/>
  <c r="AK183" i="99"/>
  <c r="AR183" i="99"/>
  <c r="AP183" i="99"/>
  <c r="AN183" i="99"/>
  <c r="AL183" i="99"/>
  <c r="AO183" i="99"/>
  <c r="AQ183" i="99"/>
  <c r="AV183" i="99"/>
  <c r="BC183" i="99"/>
  <c r="BA183" i="99"/>
  <c r="AZ183" i="99"/>
  <c r="AY183" i="99"/>
  <c r="AX183" i="99"/>
  <c r="AW183" i="99"/>
  <c r="BB183" i="99"/>
  <c r="B124" i="95"/>
  <c r="B124" i="94"/>
  <c r="B124" i="93"/>
  <c r="B123" i="92"/>
  <c r="I122" i="92"/>
  <c r="DV27" i="71"/>
  <c r="EC27" i="71" s="1"/>
  <c r="CT28" i="71"/>
  <c r="CV27" i="71"/>
  <c r="CW28" i="71" s="1"/>
  <c r="D27" i="2"/>
  <c r="P27" i="2"/>
  <c r="P13" i="2"/>
  <c r="D13" i="2"/>
  <c r="L13" i="2"/>
  <c r="K13" i="2"/>
  <c r="N13" i="2"/>
  <c r="M13" i="2"/>
  <c r="J13" i="2"/>
  <c r="I13" i="2"/>
  <c r="O13" i="2"/>
  <c r="A14" i="2"/>
  <c r="N27" i="2"/>
  <c r="M27" i="2"/>
  <c r="L27" i="2"/>
  <c r="K27" i="2"/>
  <c r="A28" i="2"/>
  <c r="O27" i="2"/>
  <c r="J27" i="2"/>
  <c r="I27" i="2"/>
  <c r="A63" i="123" l="1"/>
  <c r="B62" i="123"/>
  <c r="B61" i="123"/>
  <c r="H60" i="123"/>
  <c r="G60" i="123"/>
  <c r="F60" i="123"/>
  <c r="E60" i="123"/>
  <c r="A63" i="120"/>
  <c r="AK28" i="109"/>
  <c r="A63" i="117"/>
  <c r="R5" i="94"/>
  <c r="AA5" i="94" s="1"/>
  <c r="AI34" i="109" s="1"/>
  <c r="V5" i="93"/>
  <c r="AA9" i="93" s="1"/>
  <c r="AG28" i="109" s="1"/>
  <c r="J5" i="93"/>
  <c r="AA2" i="93" s="1"/>
  <c r="AG30" i="109" s="1"/>
  <c r="P5" i="93"/>
  <c r="AA6" i="93" s="1"/>
  <c r="AG31" i="109" s="1"/>
  <c r="T5" i="93"/>
  <c r="AA4" i="93" s="1"/>
  <c r="AG29" i="109" s="1"/>
  <c r="R5" i="93"/>
  <c r="AA5" i="93" s="1"/>
  <c r="AG34" i="109" s="1"/>
  <c r="L5" i="93"/>
  <c r="AA8" i="93" s="1"/>
  <c r="AG33" i="109" s="1"/>
  <c r="J5" i="95"/>
  <c r="AA2" i="95" s="1"/>
  <c r="N5" i="94"/>
  <c r="AA7" i="94" s="1"/>
  <c r="AI32" i="109" s="1"/>
  <c r="W15" i="94"/>
  <c r="X15" i="94" s="1"/>
  <c r="W19" i="94"/>
  <c r="X19" i="94" s="1"/>
  <c r="W73" i="94"/>
  <c r="X73" i="94" s="1"/>
  <c r="W12" i="94"/>
  <c r="X12" i="94" s="1"/>
  <c r="W13" i="94"/>
  <c r="X13" i="94" s="1"/>
  <c r="W29" i="94"/>
  <c r="X29" i="94" s="1"/>
  <c r="T5" i="95"/>
  <c r="AA4" i="95" s="1"/>
  <c r="H5" i="95"/>
  <c r="AA3" i="95" s="1"/>
  <c r="W41" i="94"/>
  <c r="X41" i="94" s="1"/>
  <c r="W54" i="94"/>
  <c r="X54" i="94" s="1"/>
  <c r="W45" i="94"/>
  <c r="X45" i="94" s="1"/>
  <c r="W33" i="94"/>
  <c r="X33" i="94" s="1"/>
  <c r="W40" i="94"/>
  <c r="X40" i="94" s="1"/>
  <c r="W18" i="94"/>
  <c r="X18" i="94" s="1"/>
  <c r="H49" i="110"/>
  <c r="G49" i="110"/>
  <c r="EF28" i="71"/>
  <c r="ED28" i="71"/>
  <c r="EA28" i="71"/>
  <c r="DY28" i="71"/>
  <c r="DZ28" i="71"/>
  <c r="EB28" i="71"/>
  <c r="EE28" i="71"/>
  <c r="DN28" i="71"/>
  <c r="CZ28" i="71"/>
  <c r="DA29" i="71" s="1"/>
  <c r="CX28" i="71"/>
  <c r="CY29" i="71" s="1"/>
  <c r="DH28" i="71"/>
  <c r="DI29" i="71" s="1"/>
  <c r="DJ28" i="71"/>
  <c r="DK29" i="71" s="1"/>
  <c r="DF28" i="71"/>
  <c r="DG29" i="71" s="1"/>
  <c r="DD28" i="71"/>
  <c r="DE29" i="71" s="1"/>
  <c r="DB28" i="71"/>
  <c r="DC29" i="71" s="1"/>
  <c r="B50" i="110"/>
  <c r="F49" i="110"/>
  <c r="E49" i="110"/>
  <c r="J51" i="110"/>
  <c r="I51" i="110"/>
  <c r="P51" i="110"/>
  <c r="D51" i="110"/>
  <c r="O51" i="110"/>
  <c r="C51" i="110"/>
  <c r="L51" i="110"/>
  <c r="N51" i="110"/>
  <c r="K51" i="110"/>
  <c r="M51" i="110"/>
  <c r="A52" i="110"/>
  <c r="AB6" i="94"/>
  <c r="AK31" i="3"/>
  <c r="W46" i="94"/>
  <c r="X46" i="94" s="1"/>
  <c r="W69" i="94"/>
  <c r="X69" i="94" s="1"/>
  <c r="W51" i="94"/>
  <c r="X51" i="94" s="1"/>
  <c r="W23" i="94"/>
  <c r="X23" i="94" s="1"/>
  <c r="W42" i="94"/>
  <c r="X42" i="94" s="1"/>
  <c r="W31" i="94"/>
  <c r="X31" i="94" s="1"/>
  <c r="AB3" i="94"/>
  <c r="AK27" i="3"/>
  <c r="W67" i="93"/>
  <c r="X67" i="93" s="1"/>
  <c r="AB7" i="93"/>
  <c r="AI32" i="3"/>
  <c r="W61" i="93"/>
  <c r="X61" i="93" s="1"/>
  <c r="W58" i="93"/>
  <c r="X58" i="93" s="1"/>
  <c r="W12" i="93"/>
  <c r="X12" i="93" s="1"/>
  <c r="AB9" i="95"/>
  <c r="AM28" i="3"/>
  <c r="P5" i="95"/>
  <c r="AA6" i="95" s="1"/>
  <c r="W25" i="94"/>
  <c r="X25" i="94" s="1"/>
  <c r="W62" i="94"/>
  <c r="X62" i="94" s="1"/>
  <c r="W27" i="94"/>
  <c r="X27" i="94" s="1"/>
  <c r="W59" i="94"/>
  <c r="X59" i="94" s="1"/>
  <c r="W44" i="94"/>
  <c r="X44" i="94" s="1"/>
  <c r="W52" i="94"/>
  <c r="X52" i="94" s="1"/>
  <c r="W31" i="93"/>
  <c r="X31" i="93" s="1"/>
  <c r="AB3" i="93"/>
  <c r="AI27" i="3"/>
  <c r="AB4" i="94"/>
  <c r="AK29" i="3"/>
  <c r="AB2" i="94"/>
  <c r="AK30" i="3"/>
  <c r="W34" i="94"/>
  <c r="X34" i="94" s="1"/>
  <c r="W30" i="94"/>
  <c r="X30" i="94" s="1"/>
  <c r="W75" i="94"/>
  <c r="X75" i="94" s="1"/>
  <c r="W20" i="94"/>
  <c r="X20" i="94" s="1"/>
  <c r="W68" i="94"/>
  <c r="X68" i="94" s="1"/>
  <c r="W22" i="94"/>
  <c r="X22" i="94" s="1"/>
  <c r="W53" i="94"/>
  <c r="X53" i="94" s="1"/>
  <c r="W72" i="94"/>
  <c r="X72" i="94" s="1"/>
  <c r="W71" i="93"/>
  <c r="X71" i="93" s="1"/>
  <c r="AK32" i="3"/>
  <c r="AB9" i="94"/>
  <c r="AK28" i="3"/>
  <c r="AB4" i="93"/>
  <c r="AI29" i="3"/>
  <c r="R5" i="95"/>
  <c r="AA5" i="95" s="1"/>
  <c r="W64" i="94"/>
  <c r="X64" i="94" s="1"/>
  <c r="W76" i="94"/>
  <c r="X76" i="94" s="1"/>
  <c r="W35" i="94"/>
  <c r="X35" i="94" s="1"/>
  <c r="W28" i="94"/>
  <c r="X28" i="94" s="1"/>
  <c r="W60" i="94"/>
  <c r="X60" i="94" s="1"/>
  <c r="W63" i="94"/>
  <c r="X63" i="94" s="1"/>
  <c r="W55" i="94"/>
  <c r="X55" i="94" s="1"/>
  <c r="W61" i="94"/>
  <c r="X61" i="94" s="1"/>
  <c r="W29" i="93"/>
  <c r="X29" i="93" s="1"/>
  <c r="AB9" i="93"/>
  <c r="AI28" i="3"/>
  <c r="W28" i="93"/>
  <c r="X28" i="93" s="1"/>
  <c r="N5" i="95"/>
  <c r="AA7" i="95" s="1"/>
  <c r="L5" i="95"/>
  <c r="AA8" i="95" s="1"/>
  <c r="AB8" i="94"/>
  <c r="AK33" i="3"/>
  <c r="E8" i="92"/>
  <c r="J5" i="92" s="1"/>
  <c r="AA2" i="92" s="1"/>
  <c r="AE30" i="109" s="1"/>
  <c r="AB5" i="94"/>
  <c r="AK34" i="3"/>
  <c r="W77" i="94"/>
  <c r="X77" i="94" s="1"/>
  <c r="W32" i="94"/>
  <c r="X32" i="94" s="1"/>
  <c r="W65" i="94"/>
  <c r="X65" i="94" s="1"/>
  <c r="W37" i="94"/>
  <c r="X37" i="94" s="1"/>
  <c r="W38" i="94"/>
  <c r="X38" i="94" s="1"/>
  <c r="W10" i="94"/>
  <c r="X10" i="94" s="1"/>
  <c r="W48" i="94"/>
  <c r="X48" i="94" s="1"/>
  <c r="W71" i="94"/>
  <c r="X71" i="94" s="1"/>
  <c r="AB2" i="93"/>
  <c r="AI30" i="3"/>
  <c r="W47" i="93"/>
  <c r="X47" i="93" s="1"/>
  <c r="W40" i="93"/>
  <c r="X40" i="93" s="1"/>
  <c r="W50" i="93"/>
  <c r="X50" i="93" s="1"/>
  <c r="W20" i="93"/>
  <c r="X20" i="93" s="1"/>
  <c r="W35" i="93"/>
  <c r="X35" i="93" s="1"/>
  <c r="AK184" i="99"/>
  <c r="AR184" i="99"/>
  <c r="AN184" i="99"/>
  <c r="AL184" i="99"/>
  <c r="AQ184" i="99"/>
  <c r="AP184" i="99"/>
  <c r="AM184" i="99"/>
  <c r="AO184" i="99"/>
  <c r="AV184" i="99"/>
  <c r="AW184" i="99"/>
  <c r="BC184" i="99"/>
  <c r="BB184" i="99"/>
  <c r="BA184" i="99"/>
  <c r="AZ184" i="99"/>
  <c r="AY184" i="99"/>
  <c r="AX184" i="99"/>
  <c r="B125" i="95"/>
  <c r="B125" i="94"/>
  <c r="B125" i="93"/>
  <c r="I123" i="92"/>
  <c r="B124" i="92"/>
  <c r="DV28" i="71"/>
  <c r="EC28" i="71" s="1"/>
  <c r="CT29" i="71"/>
  <c r="CV28" i="71"/>
  <c r="CW29" i="71" s="1"/>
  <c r="H8" i="3"/>
  <c r="P28" i="2"/>
  <c r="D28" i="2"/>
  <c r="D14" i="2"/>
  <c r="P14" i="2"/>
  <c r="M28" i="2"/>
  <c r="L28" i="2"/>
  <c r="N28" i="2"/>
  <c r="K28" i="2"/>
  <c r="A29" i="2"/>
  <c r="I28" i="2"/>
  <c r="O28" i="2"/>
  <c r="J28" i="2"/>
  <c r="K14" i="2"/>
  <c r="L14" i="2"/>
  <c r="N14" i="2"/>
  <c r="M14" i="2"/>
  <c r="O14" i="2"/>
  <c r="J14" i="2"/>
  <c r="I14" i="2"/>
  <c r="A15" i="2"/>
  <c r="H61" i="123" l="1"/>
  <c r="G61" i="123"/>
  <c r="F61" i="123"/>
  <c r="E61" i="123"/>
  <c r="E62" i="123"/>
  <c r="H62" i="123"/>
  <c r="G62" i="123"/>
  <c r="F62" i="123"/>
  <c r="A64" i="123"/>
  <c r="A64" i="120"/>
  <c r="AK29" i="109"/>
  <c r="AK27" i="109"/>
  <c r="AK33" i="109"/>
  <c r="AK32" i="109"/>
  <c r="AK34" i="109"/>
  <c r="AK31" i="109"/>
  <c r="AK30" i="109"/>
  <c r="A64" i="117"/>
  <c r="W27" i="93"/>
  <c r="X27" i="93" s="1"/>
  <c r="AI34" i="3"/>
  <c r="AI31" i="3"/>
  <c r="W41" i="93"/>
  <c r="X41" i="93" s="1"/>
  <c r="W74" i="94"/>
  <c r="X74" i="94" s="1"/>
  <c r="W14" i="94"/>
  <c r="X14" i="94" s="1"/>
  <c r="AB7" i="94"/>
  <c r="W43" i="94"/>
  <c r="X43" i="94" s="1"/>
  <c r="W52" i="93"/>
  <c r="X52" i="93" s="1"/>
  <c r="W26" i="93"/>
  <c r="X26" i="93" s="1"/>
  <c r="W50" i="94"/>
  <c r="X50" i="94" s="1"/>
  <c r="W10" i="93"/>
  <c r="X10" i="93" s="1"/>
  <c r="W57" i="93"/>
  <c r="X57" i="93" s="1"/>
  <c r="W24" i="93"/>
  <c r="X24" i="93" s="1"/>
  <c r="W49" i="93"/>
  <c r="X49" i="93" s="1"/>
  <c r="W54" i="93"/>
  <c r="X54" i="93" s="1"/>
  <c r="W37" i="93"/>
  <c r="X37" i="93" s="1"/>
  <c r="W53" i="93"/>
  <c r="X53" i="93" s="1"/>
  <c r="W44" i="93"/>
  <c r="X44" i="93" s="1"/>
  <c r="W18" i="93"/>
  <c r="X18" i="93" s="1"/>
  <c r="W78" i="93"/>
  <c r="X78" i="93" s="1"/>
  <c r="W22" i="93"/>
  <c r="X22" i="93" s="1"/>
  <c r="W32" i="93"/>
  <c r="X32" i="93" s="1"/>
  <c r="W48" i="93"/>
  <c r="X48" i="93" s="1"/>
  <c r="W38" i="93"/>
  <c r="X38" i="93" s="1"/>
  <c r="W70" i="93"/>
  <c r="X70" i="93" s="1"/>
  <c r="W45" i="93"/>
  <c r="X45" i="93" s="1"/>
  <c r="W59" i="93"/>
  <c r="X59" i="93" s="1"/>
  <c r="W56" i="93"/>
  <c r="X56" i="93" s="1"/>
  <c r="W77" i="93"/>
  <c r="X77" i="93" s="1"/>
  <c r="W25" i="93"/>
  <c r="X25" i="93" s="1"/>
  <c r="W65" i="93"/>
  <c r="X65" i="93" s="1"/>
  <c r="AB6" i="93"/>
  <c r="W33" i="93"/>
  <c r="X33" i="93" s="1"/>
  <c r="W39" i="93"/>
  <c r="X39" i="93" s="1"/>
  <c r="W36" i="93"/>
  <c r="X36" i="93" s="1"/>
  <c r="AI33" i="3"/>
  <c r="W43" i="93"/>
  <c r="X43" i="93" s="1"/>
  <c r="W64" i="93"/>
  <c r="X64" i="93" s="1"/>
  <c r="AM30" i="3"/>
  <c r="W66" i="93"/>
  <c r="X66" i="93" s="1"/>
  <c r="W74" i="93"/>
  <c r="X74" i="93" s="1"/>
  <c r="W46" i="93"/>
  <c r="X46" i="93" s="1"/>
  <c r="AB8" i="93"/>
  <c r="W63" i="93"/>
  <c r="X63" i="93" s="1"/>
  <c r="W75" i="93"/>
  <c r="X75" i="93" s="1"/>
  <c r="AB2" i="95"/>
  <c r="W73" i="93"/>
  <c r="X73" i="93" s="1"/>
  <c r="W16" i="93"/>
  <c r="X16" i="93" s="1"/>
  <c r="W51" i="93"/>
  <c r="X51" i="93" s="1"/>
  <c r="W17" i="93"/>
  <c r="X17" i="93" s="1"/>
  <c r="W14" i="93"/>
  <c r="X14" i="93" s="1"/>
  <c r="W72" i="93"/>
  <c r="X72" i="93" s="1"/>
  <c r="W11" i="93"/>
  <c r="X11" i="93" s="1"/>
  <c r="W34" i="93"/>
  <c r="X34" i="93" s="1"/>
  <c r="W21" i="93"/>
  <c r="X21" i="93" s="1"/>
  <c r="W13" i="93"/>
  <c r="X13" i="93" s="1"/>
  <c r="W76" i="93"/>
  <c r="X76" i="93" s="1"/>
  <c r="W60" i="93"/>
  <c r="X60" i="93" s="1"/>
  <c r="W68" i="93"/>
  <c r="X68" i="93" s="1"/>
  <c r="AB5" i="93"/>
  <c r="W55" i="93"/>
  <c r="X55" i="93" s="1"/>
  <c r="W30" i="93"/>
  <c r="X30" i="93" s="1"/>
  <c r="W15" i="93"/>
  <c r="X15" i="93" s="1"/>
  <c r="W69" i="93"/>
  <c r="X69" i="93" s="1"/>
  <c r="W23" i="93"/>
  <c r="X23" i="93" s="1"/>
  <c r="W62" i="93"/>
  <c r="X62" i="93" s="1"/>
  <c r="W42" i="93"/>
  <c r="X42" i="93" s="1"/>
  <c r="W19" i="93"/>
  <c r="X19" i="93" s="1"/>
  <c r="W39" i="94"/>
  <c r="X39" i="94" s="1"/>
  <c r="W78" i="94"/>
  <c r="X78" i="94" s="1"/>
  <c r="W66" i="94"/>
  <c r="X66" i="94" s="1"/>
  <c r="W67" i="94"/>
  <c r="X67" i="94" s="1"/>
  <c r="AB4" i="95"/>
  <c r="W58" i="94"/>
  <c r="X58" i="94" s="1"/>
  <c r="AM29" i="3"/>
  <c r="W36" i="94"/>
  <c r="X36" i="94" s="1"/>
  <c r="W11" i="94"/>
  <c r="X11" i="94" s="1"/>
  <c r="W30" i="95"/>
  <c r="X30" i="95" s="1"/>
  <c r="W56" i="94"/>
  <c r="X56" i="94" s="1"/>
  <c r="W47" i="94"/>
  <c r="X47" i="94" s="1"/>
  <c r="W24" i="94"/>
  <c r="X24" i="94" s="1"/>
  <c r="W57" i="94"/>
  <c r="X57" i="94" s="1"/>
  <c r="W16" i="94"/>
  <c r="X16" i="94" s="1"/>
  <c r="W21" i="94"/>
  <c r="X21" i="94" s="1"/>
  <c r="W26" i="94"/>
  <c r="X26" i="94" s="1"/>
  <c r="W17" i="94"/>
  <c r="X17" i="94" s="1"/>
  <c r="W70" i="94"/>
  <c r="X70" i="94" s="1"/>
  <c r="W49" i="94"/>
  <c r="X49" i="94" s="1"/>
  <c r="W43" i="95"/>
  <c r="X43" i="95" s="1"/>
  <c r="W58" i="95"/>
  <c r="X58" i="95" s="1"/>
  <c r="W60" i="95"/>
  <c r="X60" i="95" s="1"/>
  <c r="W68" i="95"/>
  <c r="X68" i="95" s="1"/>
  <c r="W12" i="95"/>
  <c r="X12" i="95" s="1"/>
  <c r="W10" i="95"/>
  <c r="X10" i="95" s="1"/>
  <c r="W77" i="95"/>
  <c r="X77" i="95" s="1"/>
  <c r="W16" i="95"/>
  <c r="X16" i="95" s="1"/>
  <c r="F50" i="110"/>
  <c r="H50" i="110"/>
  <c r="G50" i="110"/>
  <c r="E50" i="110"/>
  <c r="ED29" i="71"/>
  <c r="DZ29" i="71"/>
  <c r="EA29" i="71"/>
  <c r="EF29" i="71"/>
  <c r="EB29" i="71"/>
  <c r="DI30" i="71"/>
  <c r="DY29" i="71"/>
  <c r="EE29" i="71"/>
  <c r="DN29" i="71"/>
  <c r="DJ29" i="71"/>
  <c r="DK30" i="71" s="1"/>
  <c r="DH29" i="71"/>
  <c r="DF29" i="71"/>
  <c r="DG30" i="71" s="1"/>
  <c r="DD29" i="71"/>
  <c r="DE30" i="71" s="1"/>
  <c r="DB29" i="71"/>
  <c r="DC30" i="71" s="1"/>
  <c r="CZ29" i="71"/>
  <c r="DA30" i="71" s="1"/>
  <c r="CX29" i="71"/>
  <c r="CY30" i="71" s="1"/>
  <c r="B51" i="110"/>
  <c r="P52" i="110"/>
  <c r="D52" i="110"/>
  <c r="O52" i="110"/>
  <c r="C52" i="110"/>
  <c r="J52" i="110"/>
  <c r="N52" i="110"/>
  <c r="M52" i="110"/>
  <c r="L52" i="110"/>
  <c r="K52" i="110"/>
  <c r="I52" i="110"/>
  <c r="A53" i="110"/>
  <c r="W21" i="95"/>
  <c r="X21" i="95" s="1"/>
  <c r="W34" i="95"/>
  <c r="X34" i="95" s="1"/>
  <c r="W42" i="95"/>
  <c r="X42" i="95" s="1"/>
  <c r="W32" i="95"/>
  <c r="X32" i="95" s="1"/>
  <c r="W66" i="95"/>
  <c r="X66" i="95" s="1"/>
  <c r="W69" i="95"/>
  <c r="X69" i="95" s="1"/>
  <c r="W64" i="95"/>
  <c r="X64" i="95" s="1"/>
  <c r="W27" i="95"/>
  <c r="X27" i="95" s="1"/>
  <c r="W51" i="95"/>
  <c r="X51" i="95" s="1"/>
  <c r="AB8" i="95"/>
  <c r="AM33" i="3"/>
  <c r="AB5" i="95"/>
  <c r="AM34" i="3"/>
  <c r="W17" i="95"/>
  <c r="X17" i="95" s="1"/>
  <c r="W33" i="95"/>
  <c r="X33" i="95" s="1"/>
  <c r="W78" i="95"/>
  <c r="X78" i="95" s="1"/>
  <c r="W31" i="95"/>
  <c r="X31" i="95" s="1"/>
  <c r="W45" i="95"/>
  <c r="X45" i="95" s="1"/>
  <c r="W29" i="95"/>
  <c r="X29" i="95" s="1"/>
  <c r="W49" i="95"/>
  <c r="X49" i="95" s="1"/>
  <c r="W38" i="95"/>
  <c r="X38" i="95" s="1"/>
  <c r="W23" i="95"/>
  <c r="X23" i="95" s="1"/>
  <c r="AB7" i="95"/>
  <c r="AM32" i="3"/>
  <c r="W24" i="95"/>
  <c r="X24" i="95" s="1"/>
  <c r="W72" i="95"/>
  <c r="X72" i="95" s="1"/>
  <c r="W56" i="95"/>
  <c r="X56" i="95" s="1"/>
  <c r="W62" i="95"/>
  <c r="X62" i="95" s="1"/>
  <c r="W53" i="95"/>
  <c r="X53" i="95" s="1"/>
  <c r="W18" i="95"/>
  <c r="X18" i="95" s="1"/>
  <c r="W70" i="95"/>
  <c r="X70" i="95" s="1"/>
  <c r="W65" i="95"/>
  <c r="X65" i="95" s="1"/>
  <c r="W61" i="95"/>
  <c r="X61" i="95" s="1"/>
  <c r="W11" i="95"/>
  <c r="X11" i="95" s="1"/>
  <c r="W55" i="95"/>
  <c r="X55" i="95" s="1"/>
  <c r="W47" i="95"/>
  <c r="X47" i="95" s="1"/>
  <c r="W39" i="95"/>
  <c r="X39" i="95" s="1"/>
  <c r="W50" i="95"/>
  <c r="X50" i="95" s="1"/>
  <c r="W14" i="95"/>
  <c r="X14" i="95" s="1"/>
  <c r="W35" i="95"/>
  <c r="X35" i="95" s="1"/>
  <c r="W44" i="95"/>
  <c r="X44" i="95" s="1"/>
  <c r="W19" i="95"/>
  <c r="X19" i="95" s="1"/>
  <c r="AB6" i="95"/>
  <c r="AM31" i="3"/>
  <c r="W59" i="95"/>
  <c r="X59" i="95" s="1"/>
  <c r="W73" i="95"/>
  <c r="X73" i="95" s="1"/>
  <c r="W26" i="95"/>
  <c r="X26" i="95" s="1"/>
  <c r="W28" i="95"/>
  <c r="X28" i="95" s="1"/>
  <c r="W40" i="95"/>
  <c r="X40" i="95" s="1"/>
  <c r="W36" i="95"/>
  <c r="X36" i="95" s="1"/>
  <c r="W13" i="95"/>
  <c r="X13" i="95" s="1"/>
  <c r="W67" i="95"/>
  <c r="X67" i="95" s="1"/>
  <c r="AB3" i="95"/>
  <c r="AM27" i="3"/>
  <c r="W54" i="95"/>
  <c r="X54" i="95" s="1"/>
  <c r="W52" i="95"/>
  <c r="X52" i="95" s="1"/>
  <c r="W25" i="95"/>
  <c r="X25" i="95" s="1"/>
  <c r="W15" i="95"/>
  <c r="X15" i="95" s="1"/>
  <c r="W63" i="95"/>
  <c r="X63" i="95" s="1"/>
  <c r="W46" i="95"/>
  <c r="X46" i="95" s="1"/>
  <c r="W57" i="95"/>
  <c r="X57" i="95" s="1"/>
  <c r="W71" i="95"/>
  <c r="X71" i="95" s="1"/>
  <c r="AB2" i="92"/>
  <c r="AG30" i="3"/>
  <c r="H5" i="92"/>
  <c r="P5" i="92"/>
  <c r="AA6" i="92" s="1"/>
  <c r="AE31" i="109" s="1"/>
  <c r="L5" i="92"/>
  <c r="AA8" i="92" s="1"/>
  <c r="AE33" i="109" s="1"/>
  <c r="R5" i="92"/>
  <c r="AA5" i="92" s="1"/>
  <c r="AE34" i="109" s="1"/>
  <c r="N5" i="92"/>
  <c r="AA7" i="92" s="1"/>
  <c r="AE32" i="109" s="1"/>
  <c r="V5" i="92"/>
  <c r="AA9" i="92" s="1"/>
  <c r="AE28" i="109" s="1"/>
  <c r="T5" i="92"/>
  <c r="AA4" i="92" s="1"/>
  <c r="AE29" i="109" s="1"/>
  <c r="W75" i="95"/>
  <c r="X75" i="95" s="1"/>
  <c r="W76" i="95"/>
  <c r="X76" i="95" s="1"/>
  <c r="W41" i="95"/>
  <c r="X41" i="95" s="1"/>
  <c r="W22" i="95"/>
  <c r="X22" i="95" s="1"/>
  <c r="W37" i="95"/>
  <c r="X37" i="95" s="1"/>
  <c r="W74" i="95"/>
  <c r="X74" i="95" s="1"/>
  <c r="W20" i="95"/>
  <c r="X20" i="95" s="1"/>
  <c r="W48" i="95"/>
  <c r="X48" i="95" s="1"/>
  <c r="AK185" i="99"/>
  <c r="AR185" i="99"/>
  <c r="AP185" i="99"/>
  <c r="AL185" i="99"/>
  <c r="AQ185" i="99"/>
  <c r="AO185" i="99"/>
  <c r="AN185" i="99"/>
  <c r="AM185" i="99"/>
  <c r="AV185" i="99"/>
  <c r="AW185" i="99"/>
  <c r="BB185" i="99"/>
  <c r="AZ185" i="99"/>
  <c r="AY185" i="99"/>
  <c r="AX185" i="99"/>
  <c r="BC185" i="99"/>
  <c r="BA185" i="99"/>
  <c r="B126" i="95"/>
  <c r="B126" i="94"/>
  <c r="B126" i="93"/>
  <c r="I124" i="92"/>
  <c r="B125" i="92"/>
  <c r="DV29" i="71"/>
  <c r="EC29" i="71" s="1"/>
  <c r="CT30" i="71"/>
  <c r="CV29" i="71"/>
  <c r="CW30" i="71" s="1"/>
  <c r="P29" i="2"/>
  <c r="D29" i="2"/>
  <c r="D15" i="2"/>
  <c r="P15" i="2"/>
  <c r="K5" i="3"/>
  <c r="Y5" i="3"/>
  <c r="AD9" i="3" s="1"/>
  <c r="L29" i="2"/>
  <c r="K29" i="2"/>
  <c r="N29" i="2"/>
  <c r="M29" i="2"/>
  <c r="A30" i="2"/>
  <c r="O29" i="2"/>
  <c r="J29" i="2"/>
  <c r="I29" i="2"/>
  <c r="N15" i="2"/>
  <c r="M15" i="2"/>
  <c r="L15" i="2"/>
  <c r="K15" i="2"/>
  <c r="O15" i="2"/>
  <c r="J15" i="2"/>
  <c r="I15" i="2"/>
  <c r="A16" i="2"/>
  <c r="M5" i="3"/>
  <c r="AD2" i="3" s="1"/>
  <c r="Q5" i="3"/>
  <c r="AD7" i="3" s="1"/>
  <c r="U5" i="3"/>
  <c r="AD5" i="3" s="1"/>
  <c r="O5" i="3"/>
  <c r="AD8" i="3" s="1"/>
  <c r="W5" i="3"/>
  <c r="AD4" i="3" s="1"/>
  <c r="S5" i="3"/>
  <c r="AD6" i="3" s="1"/>
  <c r="A65" i="123" l="1"/>
  <c r="B63" i="123"/>
  <c r="A65" i="120"/>
  <c r="A65" i="117"/>
  <c r="X9" i="93"/>
  <c r="X9" i="94"/>
  <c r="X7" i="94" s="1"/>
  <c r="X8" i="94" s="1"/>
  <c r="X9" i="95"/>
  <c r="X7" i="95" s="1"/>
  <c r="X8" i="95" s="1"/>
  <c r="E51" i="110"/>
  <c r="H51" i="110"/>
  <c r="G51" i="110"/>
  <c r="DZ30" i="71"/>
  <c r="EA30" i="71"/>
  <c r="EF30" i="71"/>
  <c r="DY30" i="71"/>
  <c r="DN30" i="71"/>
  <c r="DJ30" i="71"/>
  <c r="DK31" i="71" s="1"/>
  <c r="DH30" i="71"/>
  <c r="DI31" i="71" s="1"/>
  <c r="DF30" i="71"/>
  <c r="DG31" i="71" s="1"/>
  <c r="DD30" i="71"/>
  <c r="DB30" i="71"/>
  <c r="CX30" i="71"/>
  <c r="CY31" i="71" s="1"/>
  <c r="CZ30" i="71"/>
  <c r="DA31" i="71" s="1"/>
  <c r="DC31" i="71"/>
  <c r="ED30" i="71"/>
  <c r="DE31" i="71"/>
  <c r="EB30" i="71"/>
  <c r="EE30" i="71"/>
  <c r="F51" i="110"/>
  <c r="N53" i="110"/>
  <c r="M53" i="110"/>
  <c r="C53" i="110"/>
  <c r="L53" i="110"/>
  <c r="D53" i="110"/>
  <c r="O53" i="110"/>
  <c r="K53" i="110"/>
  <c r="J53" i="110"/>
  <c r="P53" i="110"/>
  <c r="I53" i="110"/>
  <c r="A54" i="110"/>
  <c r="B52" i="110"/>
  <c r="AB9" i="92"/>
  <c r="AG28" i="3"/>
  <c r="X7" i="93"/>
  <c r="X8" i="93" s="1"/>
  <c r="AB4" i="92"/>
  <c r="AG29" i="3"/>
  <c r="AB5" i="92"/>
  <c r="AG34" i="3"/>
  <c r="AA3" i="92"/>
  <c r="AE27" i="109" s="1"/>
  <c r="W75" i="92"/>
  <c r="X75" i="92" s="1"/>
  <c r="W39" i="92"/>
  <c r="X39" i="92" s="1"/>
  <c r="W70" i="92"/>
  <c r="X70" i="92" s="1"/>
  <c r="W71" i="92"/>
  <c r="X71" i="92" s="1"/>
  <c r="W21" i="92"/>
  <c r="X21" i="92" s="1"/>
  <c r="W76" i="92"/>
  <c r="X76" i="92" s="1"/>
  <c r="W35" i="92"/>
  <c r="X35" i="92" s="1"/>
  <c r="W10" i="92"/>
  <c r="X10" i="92" s="1"/>
  <c r="W42" i="92"/>
  <c r="X42" i="92" s="1"/>
  <c r="W72" i="92"/>
  <c r="X72" i="92" s="1"/>
  <c r="W41" i="92"/>
  <c r="X41" i="92" s="1"/>
  <c r="W50" i="92"/>
  <c r="X50" i="92" s="1"/>
  <c r="W15" i="92"/>
  <c r="X15" i="92" s="1"/>
  <c r="W67" i="92"/>
  <c r="X67" i="92" s="1"/>
  <c r="W44" i="92"/>
  <c r="X44" i="92" s="1"/>
  <c r="W24" i="92"/>
  <c r="X24" i="92" s="1"/>
  <c r="W56" i="92"/>
  <c r="X56" i="92" s="1"/>
  <c r="W17" i="92"/>
  <c r="X17" i="92" s="1"/>
  <c r="W62" i="92"/>
  <c r="X62" i="92" s="1"/>
  <c r="W63" i="92"/>
  <c r="X63" i="92" s="1"/>
  <c r="W33" i="92"/>
  <c r="X33" i="92" s="1"/>
  <c r="W49" i="92"/>
  <c r="X49" i="92" s="1"/>
  <c r="W34" i="92"/>
  <c r="X34" i="92" s="1"/>
  <c r="W54" i="92"/>
  <c r="X54" i="92" s="1"/>
  <c r="W27" i="92"/>
  <c r="X27" i="92" s="1"/>
  <c r="W16" i="92"/>
  <c r="X16" i="92" s="1"/>
  <c r="W55" i="92"/>
  <c r="X55" i="92" s="1"/>
  <c r="W74" i="92"/>
  <c r="X74" i="92" s="1"/>
  <c r="W51" i="92"/>
  <c r="X51" i="92" s="1"/>
  <c r="W59" i="92"/>
  <c r="X59" i="92" s="1"/>
  <c r="W69" i="92"/>
  <c r="X69" i="92" s="1"/>
  <c r="W14" i="92"/>
  <c r="X14" i="92" s="1"/>
  <c r="W46" i="92"/>
  <c r="X46" i="92" s="1"/>
  <c r="W23" i="92"/>
  <c r="X23" i="92" s="1"/>
  <c r="W12" i="92"/>
  <c r="X12" i="92" s="1"/>
  <c r="W43" i="92"/>
  <c r="X43" i="92" s="1"/>
  <c r="W45" i="92"/>
  <c r="X45" i="92" s="1"/>
  <c r="W77" i="92"/>
  <c r="X77" i="92" s="1"/>
  <c r="W19" i="92"/>
  <c r="X19" i="92" s="1"/>
  <c r="W53" i="92"/>
  <c r="X53" i="92" s="1"/>
  <c r="W11" i="92"/>
  <c r="X11" i="92" s="1"/>
  <c r="W26" i="92"/>
  <c r="X26" i="92" s="1"/>
  <c r="W38" i="92"/>
  <c r="X38" i="92" s="1"/>
  <c r="W18" i="92"/>
  <c r="X18" i="92" s="1"/>
  <c r="W58" i="92"/>
  <c r="X58" i="92" s="1"/>
  <c r="W28" i="92"/>
  <c r="X28" i="92" s="1"/>
  <c r="W61" i="92"/>
  <c r="X61" i="92" s="1"/>
  <c r="W25" i="92"/>
  <c r="X25" i="92" s="1"/>
  <c r="W68" i="92"/>
  <c r="X68" i="92" s="1"/>
  <c r="W36" i="92"/>
  <c r="X36" i="92" s="1"/>
  <c r="W78" i="92"/>
  <c r="X78" i="92" s="1"/>
  <c r="W29" i="92"/>
  <c r="X29" i="92" s="1"/>
  <c r="W30" i="92"/>
  <c r="X30" i="92" s="1"/>
  <c r="W65" i="92"/>
  <c r="X65" i="92" s="1"/>
  <c r="W20" i="92"/>
  <c r="X20" i="92" s="1"/>
  <c r="W73" i="92"/>
  <c r="X73" i="92" s="1"/>
  <c r="W57" i="92"/>
  <c r="X57" i="92" s="1"/>
  <c r="W37" i="92"/>
  <c r="X37" i="92" s="1"/>
  <c r="W48" i="92"/>
  <c r="X48" i="92" s="1"/>
  <c r="W47" i="92"/>
  <c r="X47" i="92" s="1"/>
  <c r="W22" i="92"/>
  <c r="X22" i="92" s="1"/>
  <c r="W13" i="92"/>
  <c r="X13" i="92" s="1"/>
  <c r="W40" i="92"/>
  <c r="X40" i="92" s="1"/>
  <c r="W31" i="92"/>
  <c r="X31" i="92" s="1"/>
  <c r="W66" i="92"/>
  <c r="X66" i="92" s="1"/>
  <c r="W64" i="92"/>
  <c r="X64" i="92" s="1"/>
  <c r="W32" i="92"/>
  <c r="X32" i="92" s="1"/>
  <c r="W52" i="92"/>
  <c r="X52" i="92" s="1"/>
  <c r="W60" i="92"/>
  <c r="X60" i="92" s="1"/>
  <c r="AB8" i="92"/>
  <c r="AG33" i="3"/>
  <c r="AB7" i="92"/>
  <c r="AG32" i="3"/>
  <c r="AB6" i="92"/>
  <c r="AG31" i="3"/>
  <c r="U2" i="99"/>
  <c r="AF2" i="99"/>
  <c r="J2" i="99"/>
  <c r="AQ2" i="99"/>
  <c r="BB2" i="99"/>
  <c r="AE34" i="3"/>
  <c r="V2" i="99"/>
  <c r="AG2" i="99"/>
  <c r="K2" i="99"/>
  <c r="AR2" i="99"/>
  <c r="BC2" i="99"/>
  <c r="AE28" i="3"/>
  <c r="AE2" i="99"/>
  <c r="T2" i="99"/>
  <c r="I2" i="99"/>
  <c r="AP2" i="99"/>
  <c r="BA2" i="99"/>
  <c r="AE32" i="3"/>
  <c r="O2" i="99"/>
  <c r="Z2" i="99"/>
  <c r="AK2" i="99"/>
  <c r="D2" i="99"/>
  <c r="AV2" i="99"/>
  <c r="AE30" i="3"/>
  <c r="AC2" i="99"/>
  <c r="R2" i="99"/>
  <c r="AY2" i="99"/>
  <c r="G2" i="99"/>
  <c r="AN2" i="99"/>
  <c r="AE33" i="3"/>
  <c r="AD2" i="99"/>
  <c r="S2" i="99"/>
  <c r="AZ2" i="99"/>
  <c r="H2" i="99"/>
  <c r="AO2" i="99"/>
  <c r="AE31" i="3"/>
  <c r="AB2" i="99"/>
  <c r="Q2" i="99"/>
  <c r="AX2" i="99"/>
  <c r="F2" i="99"/>
  <c r="AM2" i="99"/>
  <c r="AE29" i="3"/>
  <c r="AK186" i="99"/>
  <c r="AR186" i="99"/>
  <c r="AQ186" i="99"/>
  <c r="AO186" i="99"/>
  <c r="AL186" i="99"/>
  <c r="AN186" i="99"/>
  <c r="AM186" i="99"/>
  <c r="AP186" i="99"/>
  <c r="AV186" i="99"/>
  <c r="BB186" i="99"/>
  <c r="BA186" i="99"/>
  <c r="AZ186" i="99"/>
  <c r="AX186" i="99"/>
  <c r="AY186" i="99"/>
  <c r="BC186" i="99"/>
  <c r="AW186" i="99"/>
  <c r="B127" i="95"/>
  <c r="B127" i="94"/>
  <c r="B127" i="93"/>
  <c r="B126" i="92"/>
  <c r="I125" i="92"/>
  <c r="Z71" i="3"/>
  <c r="AA71" i="3" s="1"/>
  <c r="Z72" i="3"/>
  <c r="AA72" i="3" s="1"/>
  <c r="Z74" i="3"/>
  <c r="AA74" i="3" s="1"/>
  <c r="Z76" i="3"/>
  <c r="AA76" i="3" s="1"/>
  <c r="Z78" i="3"/>
  <c r="AA78" i="3" s="1"/>
  <c r="Z75" i="3"/>
  <c r="AA75" i="3" s="1"/>
  <c r="Z73" i="3"/>
  <c r="AA73" i="3" s="1"/>
  <c r="Z77" i="3"/>
  <c r="AA77" i="3" s="1"/>
  <c r="Z62" i="3"/>
  <c r="AA62" i="3" s="1"/>
  <c r="Z70" i="3"/>
  <c r="AA70" i="3" s="1"/>
  <c r="Z65" i="3"/>
  <c r="AA65" i="3" s="1"/>
  <c r="Z63" i="3"/>
  <c r="AA63" i="3" s="1"/>
  <c r="Z66" i="3"/>
  <c r="AA66" i="3" s="1"/>
  <c r="Z68" i="3"/>
  <c r="AA68" i="3" s="1"/>
  <c r="Z67" i="3"/>
  <c r="AA67" i="3" s="1"/>
  <c r="Z64" i="3"/>
  <c r="AA64" i="3" s="1"/>
  <c r="Z69" i="3"/>
  <c r="AA69" i="3" s="1"/>
  <c r="DV30" i="71"/>
  <c r="EC30" i="71" s="1"/>
  <c r="CT31" i="71"/>
  <c r="CV30" i="71"/>
  <c r="CW31" i="71" s="1"/>
  <c r="Z61" i="3"/>
  <c r="AA61" i="3" s="1"/>
  <c r="D30" i="2"/>
  <c r="P30" i="2"/>
  <c r="D16" i="2"/>
  <c r="P16" i="2"/>
  <c r="AD3" i="3"/>
  <c r="Z56" i="3"/>
  <c r="AA56" i="3" s="1"/>
  <c r="Z48" i="3"/>
  <c r="AA48" i="3" s="1"/>
  <c r="Z55" i="3"/>
  <c r="AA55" i="3" s="1"/>
  <c r="Z47" i="3"/>
  <c r="AA47" i="3" s="1"/>
  <c r="Z39" i="3"/>
  <c r="AA39" i="3" s="1"/>
  <c r="Z31" i="3"/>
  <c r="AA31" i="3" s="1"/>
  <c r="Z23" i="3"/>
  <c r="AA23" i="3" s="1"/>
  <c r="Z15" i="3"/>
  <c r="AA15" i="3" s="1"/>
  <c r="Z49" i="3"/>
  <c r="AA49" i="3" s="1"/>
  <c r="Z24" i="3"/>
  <c r="AA24" i="3" s="1"/>
  <c r="Z54" i="3"/>
  <c r="AA54" i="3" s="1"/>
  <c r="Z46" i="3"/>
  <c r="AA46" i="3" s="1"/>
  <c r="Z38" i="3"/>
  <c r="AA38" i="3" s="1"/>
  <c r="Z30" i="3"/>
  <c r="AA30" i="3" s="1"/>
  <c r="Z22" i="3"/>
  <c r="AA22" i="3" s="1"/>
  <c r="Z14" i="3"/>
  <c r="AA14" i="3" s="1"/>
  <c r="Z25" i="3"/>
  <c r="AA25" i="3" s="1"/>
  <c r="Z53" i="3"/>
  <c r="AA53" i="3" s="1"/>
  <c r="Z45" i="3"/>
  <c r="AA45" i="3" s="1"/>
  <c r="Z37" i="3"/>
  <c r="AA37" i="3" s="1"/>
  <c r="Z29" i="3"/>
  <c r="AA29" i="3" s="1"/>
  <c r="Z21" i="3"/>
  <c r="AA21" i="3" s="1"/>
  <c r="Z13" i="3"/>
  <c r="AA13" i="3" s="1"/>
  <c r="Z60" i="3"/>
  <c r="AA60" i="3" s="1"/>
  <c r="Z52" i="3"/>
  <c r="AA52" i="3" s="1"/>
  <c r="Z44" i="3"/>
  <c r="AA44" i="3" s="1"/>
  <c r="Z36" i="3"/>
  <c r="AA36" i="3" s="1"/>
  <c r="Z28" i="3"/>
  <c r="AA28" i="3" s="1"/>
  <c r="Z20" i="3"/>
  <c r="AA20" i="3" s="1"/>
  <c r="Z12" i="3"/>
  <c r="AA12" i="3" s="1"/>
  <c r="Z57" i="3"/>
  <c r="AA57" i="3" s="1"/>
  <c r="Z17" i="3"/>
  <c r="AA17" i="3" s="1"/>
  <c r="Z32" i="3"/>
  <c r="AA32" i="3" s="1"/>
  <c r="Z59" i="3"/>
  <c r="AA59" i="3" s="1"/>
  <c r="Z51" i="3"/>
  <c r="AA51" i="3" s="1"/>
  <c r="Z43" i="3"/>
  <c r="AA43" i="3" s="1"/>
  <c r="Z35" i="3"/>
  <c r="AA35" i="3" s="1"/>
  <c r="Z27" i="3"/>
  <c r="AA27" i="3" s="1"/>
  <c r="Z19" i="3"/>
  <c r="AA19" i="3" s="1"/>
  <c r="Z11" i="3"/>
  <c r="AA11" i="3" s="1"/>
  <c r="Z41" i="3"/>
  <c r="AA41" i="3" s="1"/>
  <c r="Z16" i="3"/>
  <c r="AA16" i="3" s="1"/>
  <c r="Z58" i="3"/>
  <c r="AA58" i="3" s="1"/>
  <c r="Z50" i="3"/>
  <c r="AA50" i="3" s="1"/>
  <c r="Z42" i="3"/>
  <c r="AA42" i="3" s="1"/>
  <c r="Z34" i="3"/>
  <c r="AA34" i="3" s="1"/>
  <c r="Z26" i="3"/>
  <c r="AA26" i="3" s="1"/>
  <c r="Z18" i="3"/>
  <c r="AA18" i="3" s="1"/>
  <c r="Z10" i="3"/>
  <c r="AA10" i="3" s="1"/>
  <c r="Z33" i="3"/>
  <c r="AA33" i="3" s="1"/>
  <c r="Z40" i="3"/>
  <c r="AA40" i="3" s="1"/>
  <c r="AE9" i="3"/>
  <c r="P2" i="2"/>
  <c r="K30" i="2"/>
  <c r="L30" i="2"/>
  <c r="N30" i="2"/>
  <c r="M30" i="2"/>
  <c r="I30" i="2"/>
  <c r="A31" i="2"/>
  <c r="O30" i="2"/>
  <c r="J30" i="2"/>
  <c r="N16" i="2"/>
  <c r="M16" i="2"/>
  <c r="L16" i="2"/>
  <c r="K16" i="2"/>
  <c r="O16" i="2"/>
  <c r="J16" i="2"/>
  <c r="I16" i="2"/>
  <c r="A17" i="2"/>
  <c r="L2" i="2"/>
  <c r="AE8" i="3"/>
  <c r="O2" i="2"/>
  <c r="AE5" i="3"/>
  <c r="N2" i="2"/>
  <c r="AE7" i="3"/>
  <c r="AE2" i="3"/>
  <c r="I2" i="2"/>
  <c r="AE6" i="3"/>
  <c r="M2" i="2"/>
  <c r="AE4" i="3"/>
  <c r="K2" i="2"/>
  <c r="H63" i="123" l="1"/>
  <c r="G63" i="123"/>
  <c r="F63" i="123"/>
  <c r="E63" i="123"/>
  <c r="A66" i="123"/>
  <c r="B64" i="123"/>
  <c r="A66" i="120"/>
  <c r="A66" i="117"/>
  <c r="H52" i="110"/>
  <c r="G52" i="110"/>
  <c r="EE31" i="71"/>
  <c r="EA31" i="71"/>
  <c r="DY31" i="71"/>
  <c r="DK32" i="71"/>
  <c r="DZ31" i="71"/>
  <c r="EB31" i="71"/>
  <c r="DN31" i="71"/>
  <c r="DF31" i="71"/>
  <c r="DG32" i="71" s="1"/>
  <c r="DD31" i="71"/>
  <c r="DE32" i="71" s="1"/>
  <c r="DB31" i="71"/>
  <c r="DC32" i="71" s="1"/>
  <c r="CZ31" i="71"/>
  <c r="CX31" i="71"/>
  <c r="CY32" i="71" s="1"/>
  <c r="DJ31" i="71"/>
  <c r="DH31" i="71"/>
  <c r="DI32" i="71" s="1"/>
  <c r="ED31" i="71"/>
  <c r="DA32" i="71"/>
  <c r="EF31" i="71"/>
  <c r="F52" i="110"/>
  <c r="E52" i="110"/>
  <c r="L54" i="110"/>
  <c r="K54" i="110"/>
  <c r="J54" i="110"/>
  <c r="I54" i="110"/>
  <c r="M54" i="110"/>
  <c r="P54" i="110"/>
  <c r="D54" i="110"/>
  <c r="O54" i="110"/>
  <c r="C54" i="110"/>
  <c r="N54" i="110"/>
  <c r="A55" i="110"/>
  <c r="B53" i="110"/>
  <c r="X9" i="92"/>
  <c r="AB3" i="92"/>
  <c r="AG27" i="3"/>
  <c r="AE3" i="3"/>
  <c r="AA2" i="99"/>
  <c r="Y104" i="99" s="1"/>
  <c r="P2" i="99"/>
  <c r="N184" i="99" s="1"/>
  <c r="E2" i="99"/>
  <c r="C3" i="99" s="1"/>
  <c r="AW2" i="99"/>
  <c r="AU183" i="99" s="1"/>
  <c r="AL2" i="99"/>
  <c r="AJ185" i="99" s="1"/>
  <c r="AE27" i="3"/>
  <c r="Y119" i="99"/>
  <c r="AK187" i="99"/>
  <c r="AR187" i="99"/>
  <c r="AO187" i="99"/>
  <c r="AQ187" i="99"/>
  <c r="AL187" i="99"/>
  <c r="AM187" i="99"/>
  <c r="AP187" i="99"/>
  <c r="AN187" i="99"/>
  <c r="AV187" i="99"/>
  <c r="BB187" i="99"/>
  <c r="AZ187" i="99"/>
  <c r="BC187" i="99"/>
  <c r="AY187" i="99"/>
  <c r="AW187" i="99"/>
  <c r="BA187" i="99"/>
  <c r="AX187" i="99"/>
  <c r="B128" i="95"/>
  <c r="B128" i="94"/>
  <c r="B128" i="93"/>
  <c r="B127" i="92"/>
  <c r="I126" i="92"/>
  <c r="A18" i="2"/>
  <c r="AA9" i="3"/>
  <c r="DV31" i="71"/>
  <c r="EC31" i="71" s="1"/>
  <c r="CT32" i="71"/>
  <c r="CV31" i="71"/>
  <c r="CW32" i="71" s="1"/>
  <c r="D31" i="2"/>
  <c r="P31" i="2"/>
  <c r="P17" i="2"/>
  <c r="D17" i="2"/>
  <c r="J2" i="2"/>
  <c r="B27" i="2" s="1"/>
  <c r="K31" i="2"/>
  <c r="N31" i="2"/>
  <c r="M31" i="2"/>
  <c r="L31" i="2"/>
  <c r="J31" i="2"/>
  <c r="I31" i="2"/>
  <c r="A32" i="2"/>
  <c r="O31" i="2"/>
  <c r="N17" i="2"/>
  <c r="M17" i="2"/>
  <c r="L17" i="2"/>
  <c r="K17" i="2"/>
  <c r="O17" i="2"/>
  <c r="J17" i="2"/>
  <c r="I17" i="2"/>
  <c r="H64" i="123" l="1"/>
  <c r="G64" i="123"/>
  <c r="F64" i="123"/>
  <c r="E64" i="123"/>
  <c r="B65" i="123"/>
  <c r="A67" i="123"/>
  <c r="A67" i="120"/>
  <c r="N47" i="99"/>
  <c r="N103" i="99"/>
  <c r="N108" i="99"/>
  <c r="N16" i="99"/>
  <c r="N234" i="99"/>
  <c r="N146" i="99"/>
  <c r="N214" i="99"/>
  <c r="N189" i="99"/>
  <c r="N221" i="99"/>
  <c r="N200" i="99"/>
  <c r="N204" i="99"/>
  <c r="N104" i="99"/>
  <c r="BM104" i="99" s="1"/>
  <c r="Y36" i="99"/>
  <c r="N50" i="99"/>
  <c r="N91" i="99"/>
  <c r="Y218" i="99"/>
  <c r="Y73" i="99"/>
  <c r="N228" i="99"/>
  <c r="Y224" i="99"/>
  <c r="AU184" i="99"/>
  <c r="BO184" i="99" s="1"/>
  <c r="Y7" i="99"/>
  <c r="AU182" i="99"/>
  <c r="N240" i="99"/>
  <c r="Y156" i="99"/>
  <c r="AU181" i="99"/>
  <c r="N84" i="99"/>
  <c r="Y92" i="99"/>
  <c r="Y28" i="99"/>
  <c r="AU180" i="99"/>
  <c r="N4" i="99"/>
  <c r="Y251" i="99"/>
  <c r="N238" i="99"/>
  <c r="N66" i="99"/>
  <c r="Y187" i="99"/>
  <c r="AU186" i="99"/>
  <c r="N49" i="99"/>
  <c r="Y38" i="99"/>
  <c r="AU179" i="99"/>
  <c r="AU178" i="99"/>
  <c r="AU177" i="99"/>
  <c r="AU176" i="99"/>
  <c r="N120" i="99"/>
  <c r="AU175" i="99"/>
  <c r="N233" i="99"/>
  <c r="Y205" i="99"/>
  <c r="Y193" i="99"/>
  <c r="Y129" i="99"/>
  <c r="Y65" i="99"/>
  <c r="AU3" i="99"/>
  <c r="BJ3" i="99" s="1"/>
  <c r="N70" i="99"/>
  <c r="Y69" i="99"/>
  <c r="Y166" i="99"/>
  <c r="N159" i="99"/>
  <c r="N135" i="99"/>
  <c r="Y5" i="99"/>
  <c r="Y54" i="99"/>
  <c r="AU185" i="99"/>
  <c r="BR185" i="99" s="1"/>
  <c r="N125" i="99"/>
  <c r="N187" i="99"/>
  <c r="N205" i="99"/>
  <c r="Y220" i="99"/>
  <c r="Y191" i="99"/>
  <c r="Y214" i="99"/>
  <c r="Y123" i="99"/>
  <c r="Y67" i="99"/>
  <c r="Y146" i="99"/>
  <c r="Y125" i="99"/>
  <c r="Y82" i="99"/>
  <c r="Y61" i="99"/>
  <c r="N78" i="99"/>
  <c r="N101" i="99"/>
  <c r="N25" i="99"/>
  <c r="Y197" i="99"/>
  <c r="Y18" i="99"/>
  <c r="Y94" i="99"/>
  <c r="Y212" i="99"/>
  <c r="Y216" i="99"/>
  <c r="Y84" i="99"/>
  <c r="Y59" i="99"/>
  <c r="Y152" i="99"/>
  <c r="Y20" i="99"/>
  <c r="Y238" i="99"/>
  <c r="Y88" i="99"/>
  <c r="Y10" i="99"/>
  <c r="Y133" i="99"/>
  <c r="Y210" i="99"/>
  <c r="Y24" i="99"/>
  <c r="Y249" i="99"/>
  <c r="Y142" i="99"/>
  <c r="Y144" i="99"/>
  <c r="Y96" i="99"/>
  <c r="Y80" i="99"/>
  <c r="Y189" i="99"/>
  <c r="Y183" i="99"/>
  <c r="BQ183" i="99" s="1"/>
  <c r="Y55" i="99"/>
  <c r="Y107" i="99"/>
  <c r="Y239" i="99"/>
  <c r="Y115" i="99"/>
  <c r="Y62" i="99"/>
  <c r="Y63" i="99"/>
  <c r="Y51" i="99"/>
  <c r="Y207" i="99"/>
  <c r="A67" i="117"/>
  <c r="Y154" i="99"/>
  <c r="Y127" i="99"/>
  <c r="Y243" i="99"/>
  <c r="Y76" i="99"/>
  <c r="Y235" i="99"/>
  <c r="Y137" i="99"/>
  <c r="Y198" i="99"/>
  <c r="Y171" i="99"/>
  <c r="Y57" i="99"/>
  <c r="Y177" i="99"/>
  <c r="Y45" i="99"/>
  <c r="Y68" i="99"/>
  <c r="Y99" i="99"/>
  <c r="Y202" i="99"/>
  <c r="Y199" i="99"/>
  <c r="Y169" i="99"/>
  <c r="Y74" i="99"/>
  <c r="Y117" i="99"/>
  <c r="Y192" i="99"/>
  <c r="Y231" i="99"/>
  <c r="Y9" i="99"/>
  <c r="Y145" i="99"/>
  <c r="Y168" i="99"/>
  <c r="H53" i="110"/>
  <c r="G53" i="110"/>
  <c r="Y165" i="99"/>
  <c r="Y188" i="99"/>
  <c r="Y228" i="99"/>
  <c r="Y179" i="99"/>
  <c r="BQ179" i="99" s="1"/>
  <c r="Y16" i="99"/>
  <c r="Y200" i="99"/>
  <c r="Y33" i="99"/>
  <c r="Y242" i="99"/>
  <c r="Y206" i="99"/>
  <c r="Y56" i="99"/>
  <c r="Y95" i="99"/>
  <c r="Y148" i="99"/>
  <c r="Y121" i="99"/>
  <c r="Y53" i="99"/>
  <c r="Y122" i="99"/>
  <c r="Y90" i="99"/>
  <c r="Y93" i="99"/>
  <c r="Y116" i="99"/>
  <c r="Y130" i="99"/>
  <c r="Y110" i="99"/>
  <c r="Y147" i="99"/>
  <c r="Y240" i="99"/>
  <c r="Y134" i="99"/>
  <c r="Y181" i="99"/>
  <c r="Y71" i="99"/>
  <c r="Y219" i="99"/>
  <c r="Y23" i="99"/>
  <c r="Y86" i="99"/>
  <c r="Y21" i="99"/>
  <c r="Y44" i="99"/>
  <c r="EE32" i="71"/>
  <c r="DI33" i="71"/>
  <c r="DY32" i="71"/>
  <c r="EA32" i="71"/>
  <c r="EF32" i="71"/>
  <c r="EB32" i="71"/>
  <c r="DN32" i="71"/>
  <c r="DJ32" i="71"/>
  <c r="DK33" i="71" s="1"/>
  <c r="DH32" i="71"/>
  <c r="DF32" i="71"/>
  <c r="DG33" i="71" s="1"/>
  <c r="CZ32" i="71"/>
  <c r="DA33" i="71" s="1"/>
  <c r="DD32" i="71"/>
  <c r="DE33" i="71" s="1"/>
  <c r="DB32" i="71"/>
  <c r="DC33" i="71" s="1"/>
  <c r="CX32" i="71"/>
  <c r="CY33" i="71" s="1"/>
  <c r="ED32" i="71"/>
  <c r="DZ32" i="71"/>
  <c r="F53" i="110"/>
  <c r="E53" i="110"/>
  <c r="B54" i="110"/>
  <c r="J55" i="110"/>
  <c r="L55" i="110"/>
  <c r="K55" i="110"/>
  <c r="I55" i="110"/>
  <c r="P55" i="110"/>
  <c r="D55" i="110"/>
  <c r="O55" i="110"/>
  <c r="C55" i="110"/>
  <c r="N55" i="110"/>
  <c r="M55" i="110"/>
  <c r="A56" i="110"/>
  <c r="N211" i="99"/>
  <c r="N62" i="99"/>
  <c r="BM62" i="99" s="1"/>
  <c r="N40" i="99"/>
  <c r="N73" i="99"/>
  <c r="N170" i="99"/>
  <c r="N224" i="99"/>
  <c r="N118" i="99"/>
  <c r="N54" i="99"/>
  <c r="N164" i="99"/>
  <c r="N226" i="99"/>
  <c r="N23" i="99"/>
  <c r="N95" i="99"/>
  <c r="N37" i="99"/>
  <c r="N123" i="99"/>
  <c r="N169" i="99"/>
  <c r="BM169" i="99" s="1"/>
  <c r="N134" i="99"/>
  <c r="N119" i="99"/>
  <c r="N20" i="99"/>
  <c r="N82" i="99"/>
  <c r="N136" i="99"/>
  <c r="N197" i="99"/>
  <c r="N93" i="99"/>
  <c r="BM93" i="99" s="1"/>
  <c r="N140" i="99"/>
  <c r="N202" i="99"/>
  <c r="N46" i="99"/>
  <c r="N55" i="99"/>
  <c r="BM55" i="99" s="1"/>
  <c r="N141" i="99"/>
  <c r="N227" i="99"/>
  <c r="N39" i="99"/>
  <c r="N56" i="99"/>
  <c r="N61" i="99"/>
  <c r="N147" i="99"/>
  <c r="N193" i="99"/>
  <c r="N206" i="99"/>
  <c r="N183" i="99"/>
  <c r="BO183" i="99" s="1"/>
  <c r="N106" i="99"/>
  <c r="N160" i="99"/>
  <c r="N69" i="99"/>
  <c r="BM69" i="99" s="1"/>
  <c r="N75" i="99"/>
  <c r="N100" i="99"/>
  <c r="N162" i="99"/>
  <c r="N216" i="99"/>
  <c r="N60" i="99"/>
  <c r="N110" i="99"/>
  <c r="BM110" i="99" s="1"/>
  <c r="N59" i="99"/>
  <c r="BM59" i="99" s="1"/>
  <c r="N105" i="99"/>
  <c r="N215" i="99"/>
  <c r="N181" i="99"/>
  <c r="N243" i="99"/>
  <c r="N18" i="99"/>
  <c r="BM18" i="99" s="1"/>
  <c r="N72" i="99"/>
  <c r="N124" i="99"/>
  <c r="N94" i="99"/>
  <c r="N76" i="99"/>
  <c r="N138" i="99"/>
  <c r="N192" i="99"/>
  <c r="N253" i="99"/>
  <c r="N77" i="99"/>
  <c r="N163" i="99"/>
  <c r="N209" i="99"/>
  <c r="N15" i="99"/>
  <c r="N190" i="99"/>
  <c r="N83" i="99"/>
  <c r="N129" i="99"/>
  <c r="N239" i="99"/>
  <c r="N245" i="99"/>
  <c r="N42" i="99"/>
  <c r="N96" i="99"/>
  <c r="N219" i="99"/>
  <c r="N237" i="99"/>
  <c r="N36" i="99"/>
  <c r="BM36" i="99" s="1"/>
  <c r="N98" i="99"/>
  <c r="N152" i="99"/>
  <c r="N186" i="99"/>
  <c r="BO186" i="99" s="1"/>
  <c r="N220" i="99"/>
  <c r="BM220" i="99" s="1"/>
  <c r="N198" i="99"/>
  <c r="N41" i="99"/>
  <c r="N151" i="99"/>
  <c r="N172" i="99"/>
  <c r="N179" i="99"/>
  <c r="N225" i="99"/>
  <c r="N8" i="99"/>
  <c r="N27" i="99"/>
  <c r="N213" i="99"/>
  <c r="N12" i="99"/>
  <c r="N74" i="99"/>
  <c r="N128" i="99"/>
  <c r="N188" i="99"/>
  <c r="N13" i="99"/>
  <c r="N99" i="99"/>
  <c r="N145" i="99"/>
  <c r="N14" i="99"/>
  <c r="Y253" i="99"/>
  <c r="BM253" i="99" s="1"/>
  <c r="N252" i="99"/>
  <c r="N244" i="99"/>
  <c r="N11" i="99"/>
  <c r="N65" i="99"/>
  <c r="N175" i="99"/>
  <c r="BO175" i="99" s="1"/>
  <c r="N44" i="99"/>
  <c r="N249" i="99"/>
  <c r="N32" i="99"/>
  <c r="N58" i="99"/>
  <c r="N173" i="99"/>
  <c r="N38" i="99"/>
  <c r="N34" i="99"/>
  <c r="N88" i="99"/>
  <c r="N9" i="99"/>
  <c r="N156" i="99"/>
  <c r="N218" i="99"/>
  <c r="N246" i="99"/>
  <c r="N87" i="99"/>
  <c r="N157" i="99"/>
  <c r="N115" i="99"/>
  <c r="N161" i="99"/>
  <c r="N102" i="99"/>
  <c r="N201" i="99"/>
  <c r="N149" i="99"/>
  <c r="N235" i="99"/>
  <c r="N10" i="99"/>
  <c r="N64" i="99"/>
  <c r="N250" i="99"/>
  <c r="N6" i="99"/>
  <c r="N35" i="99"/>
  <c r="N81" i="99"/>
  <c r="N191" i="99"/>
  <c r="N155" i="99"/>
  <c r="N180" i="99"/>
  <c r="BO180" i="99" s="1"/>
  <c r="N242" i="99"/>
  <c r="BM242" i="99" s="1"/>
  <c r="N71" i="99"/>
  <c r="N111" i="99"/>
  <c r="N203" i="99"/>
  <c r="N185" i="99"/>
  <c r="N166" i="99"/>
  <c r="N176" i="99"/>
  <c r="N109" i="99"/>
  <c r="N195" i="99"/>
  <c r="N241" i="99"/>
  <c r="N24" i="99"/>
  <c r="BM24" i="99" s="1"/>
  <c r="N247" i="99"/>
  <c r="N92" i="99"/>
  <c r="BM92" i="99" s="1"/>
  <c r="N154" i="99"/>
  <c r="N208" i="99"/>
  <c r="N133" i="99"/>
  <c r="N29" i="99"/>
  <c r="N51" i="99"/>
  <c r="N97" i="99"/>
  <c r="N207" i="99"/>
  <c r="N48" i="99"/>
  <c r="N85" i="99"/>
  <c r="N171" i="99"/>
  <c r="N217" i="99"/>
  <c r="N79" i="99"/>
  <c r="N137" i="99"/>
  <c r="BM137" i="99" s="1"/>
  <c r="N196" i="99"/>
  <c r="N30" i="99"/>
  <c r="N17" i="99"/>
  <c r="N127" i="99"/>
  <c r="BM127" i="99" s="1"/>
  <c r="N182" i="99"/>
  <c r="N116" i="99"/>
  <c r="N178" i="99"/>
  <c r="N232" i="99"/>
  <c r="N158" i="99"/>
  <c r="N139" i="99"/>
  <c r="N121" i="99"/>
  <c r="N231" i="99"/>
  <c r="N7" i="99"/>
  <c r="BM7" i="99" s="1"/>
  <c r="N45" i="99"/>
  <c r="N131" i="99"/>
  <c r="N177" i="99"/>
  <c r="BM177" i="99" s="1"/>
  <c r="N150" i="99"/>
  <c r="N174" i="99"/>
  <c r="N28" i="99"/>
  <c r="N90" i="99"/>
  <c r="N144" i="99"/>
  <c r="BM144" i="99" s="1"/>
  <c r="N19" i="99"/>
  <c r="N212" i="99"/>
  <c r="N126" i="99"/>
  <c r="N33" i="99"/>
  <c r="N143" i="99"/>
  <c r="N236" i="99"/>
  <c r="N21" i="99"/>
  <c r="BM21" i="99" s="1"/>
  <c r="N107" i="99"/>
  <c r="N153" i="99"/>
  <c r="N86" i="99"/>
  <c r="N230" i="99"/>
  <c r="N132" i="99"/>
  <c r="N194" i="99"/>
  <c r="N248" i="99"/>
  <c r="N31" i="99"/>
  <c r="Y170" i="99"/>
  <c r="BM170" i="99" s="1"/>
  <c r="Y75" i="99"/>
  <c r="N112" i="99"/>
  <c r="N52" i="99"/>
  <c r="N114" i="99"/>
  <c r="N168" i="99"/>
  <c r="N5" i="99"/>
  <c r="BM5" i="99" s="1"/>
  <c r="N3" i="99"/>
  <c r="BE3" i="99" s="1"/>
  <c r="N57" i="99"/>
  <c r="BM57" i="99" s="1"/>
  <c r="N167" i="99"/>
  <c r="N53" i="99"/>
  <c r="N142" i="99"/>
  <c r="BM142" i="99" s="1"/>
  <c r="N67" i="99"/>
  <c r="BM67" i="99" s="1"/>
  <c r="N113" i="99"/>
  <c r="N223" i="99"/>
  <c r="N165" i="99"/>
  <c r="N251" i="99"/>
  <c r="BM251" i="99" s="1"/>
  <c r="N26" i="99"/>
  <c r="N80" i="99"/>
  <c r="N122" i="99"/>
  <c r="N148" i="99"/>
  <c r="N210" i="99"/>
  <c r="N222" i="99"/>
  <c r="N63" i="99"/>
  <c r="N229" i="99"/>
  <c r="N22" i="99"/>
  <c r="N43" i="99"/>
  <c r="N89" i="99"/>
  <c r="N199" i="99"/>
  <c r="N117" i="99"/>
  <c r="BM117" i="99" s="1"/>
  <c r="N68" i="99"/>
  <c r="N130" i="99"/>
  <c r="Y217" i="99"/>
  <c r="Y98" i="99"/>
  <c r="X7" i="92"/>
  <c r="X8" i="92" s="1"/>
  <c r="Y246" i="99"/>
  <c r="Y72" i="99"/>
  <c r="Y195" i="99"/>
  <c r="Y196" i="99"/>
  <c r="Y250" i="99"/>
  <c r="Y41" i="99"/>
  <c r="Y103" i="99"/>
  <c r="BM103" i="99" s="1"/>
  <c r="Y32" i="99"/>
  <c r="Y60" i="99"/>
  <c r="Y114" i="99"/>
  <c r="Y184" i="99"/>
  <c r="BM184" i="99" s="1"/>
  <c r="Y141" i="99"/>
  <c r="Y244" i="99"/>
  <c r="Y19" i="99"/>
  <c r="Y89" i="99"/>
  <c r="Y151" i="99"/>
  <c r="Y149" i="99"/>
  <c r="Y203" i="99"/>
  <c r="Y150" i="99"/>
  <c r="Y40" i="99"/>
  <c r="AJ180" i="99"/>
  <c r="BR180" i="99" s="1"/>
  <c r="Y241" i="99"/>
  <c r="Y8" i="99"/>
  <c r="Y26" i="99"/>
  <c r="Y132" i="99"/>
  <c r="Y186" i="99"/>
  <c r="Y6" i="99"/>
  <c r="Y39" i="99"/>
  <c r="BM39" i="99" s="1"/>
  <c r="Y229" i="99"/>
  <c r="Y190" i="99"/>
  <c r="Y50" i="99"/>
  <c r="BM50" i="99" s="1"/>
  <c r="Y120" i="99"/>
  <c r="BM120" i="99" s="1"/>
  <c r="Y22" i="99"/>
  <c r="Y180" i="99"/>
  <c r="Y234" i="99"/>
  <c r="BM234" i="99" s="1"/>
  <c r="Y25" i="99"/>
  <c r="Y87" i="99"/>
  <c r="Y85" i="99"/>
  <c r="BM85" i="99" s="1"/>
  <c r="Y139" i="99"/>
  <c r="Y209" i="99"/>
  <c r="Y118" i="99"/>
  <c r="BM239" i="99"/>
  <c r="BM84" i="99"/>
  <c r="Y138" i="99"/>
  <c r="Y208" i="99"/>
  <c r="Y158" i="99"/>
  <c r="Y30" i="99"/>
  <c r="Y43" i="99"/>
  <c r="Y113" i="99"/>
  <c r="Y175" i="99"/>
  <c r="Y237" i="99"/>
  <c r="Y4" i="99"/>
  <c r="BM4" i="99" s="1"/>
  <c r="Y58" i="99"/>
  <c r="Y128" i="99"/>
  <c r="Y164" i="99"/>
  <c r="Y101" i="99"/>
  <c r="Y155" i="99"/>
  <c r="Y225" i="99"/>
  <c r="Y174" i="99"/>
  <c r="Y135" i="99"/>
  <c r="BM135" i="99" s="1"/>
  <c r="Y52" i="99"/>
  <c r="Y106" i="99"/>
  <c r="Y176" i="99"/>
  <c r="Y13" i="99"/>
  <c r="BM13" i="99" s="1"/>
  <c r="Y236" i="99"/>
  <c r="Y11" i="99"/>
  <c r="Y81" i="99"/>
  <c r="Y143" i="99"/>
  <c r="Y100" i="99"/>
  <c r="Y204" i="99"/>
  <c r="Y78" i="99"/>
  <c r="Y49" i="99"/>
  <c r="Y111" i="99"/>
  <c r="Y173" i="99"/>
  <c r="Y227" i="99"/>
  <c r="Y230" i="99"/>
  <c r="Y64" i="99"/>
  <c r="Y3" i="99"/>
  <c r="BF3" i="99" s="1"/>
  <c r="Y37" i="99"/>
  <c r="Y91" i="99"/>
  <c r="BM91" i="99" s="1"/>
  <c r="Y161" i="99"/>
  <c r="Y223" i="99"/>
  <c r="Y221" i="99"/>
  <c r="Y126" i="99"/>
  <c r="Y42" i="99"/>
  <c r="Y112" i="99"/>
  <c r="Y131" i="99"/>
  <c r="Y172" i="99"/>
  <c r="Y226" i="99"/>
  <c r="Y17" i="99"/>
  <c r="Y79" i="99"/>
  <c r="Y140" i="99"/>
  <c r="Y194" i="99"/>
  <c r="Y46" i="99"/>
  <c r="Y47" i="99"/>
  <c r="Y109" i="99"/>
  <c r="Y163" i="99"/>
  <c r="Y233" i="99"/>
  <c r="Y222" i="99"/>
  <c r="Y201" i="99"/>
  <c r="Y252" i="99"/>
  <c r="Y27" i="99"/>
  <c r="Y97" i="99"/>
  <c r="Y159" i="99"/>
  <c r="Y157" i="99"/>
  <c r="Y211" i="99"/>
  <c r="Y182" i="99"/>
  <c r="Y48" i="99"/>
  <c r="Y102" i="99"/>
  <c r="Y108" i="99"/>
  <c r="BM108" i="99" s="1"/>
  <c r="Y162" i="99"/>
  <c r="BM162" i="99" s="1"/>
  <c r="Y232" i="99"/>
  <c r="Y15" i="99"/>
  <c r="Y185" i="99"/>
  <c r="Y247" i="99"/>
  <c r="Y245" i="99"/>
  <c r="Y12" i="99"/>
  <c r="Y66" i="99"/>
  <c r="Y136" i="99"/>
  <c r="BM136" i="99" s="1"/>
  <c r="Y77" i="99"/>
  <c r="Y14" i="99"/>
  <c r="Y35" i="99"/>
  <c r="Y105" i="99"/>
  <c r="Y167" i="99"/>
  <c r="Y160" i="99"/>
  <c r="Y124" i="99"/>
  <c r="Y178" i="99"/>
  <c r="BQ178" i="99" s="1"/>
  <c r="Y248" i="99"/>
  <c r="Y31" i="99"/>
  <c r="Y29" i="99"/>
  <c r="Y83" i="99"/>
  <c r="Y153" i="99"/>
  <c r="Y215" i="99"/>
  <c r="Y213" i="99"/>
  <c r="Y70" i="99"/>
  <c r="BM70" i="99" s="1"/>
  <c r="Y34" i="99"/>
  <c r="AJ181" i="99"/>
  <c r="BO179" i="99"/>
  <c r="BO178" i="99"/>
  <c r="AJ179" i="99"/>
  <c r="BM191" i="99"/>
  <c r="AJ178" i="99"/>
  <c r="BR178" i="99" s="1"/>
  <c r="AJ177" i="99"/>
  <c r="AJ186" i="99"/>
  <c r="AJ184" i="99"/>
  <c r="AJ176" i="99"/>
  <c r="BM146" i="99"/>
  <c r="BM214" i="99"/>
  <c r="BM94" i="99"/>
  <c r="AJ183" i="99"/>
  <c r="AJ175" i="99"/>
  <c r="BR175" i="99" s="1"/>
  <c r="BM119" i="99"/>
  <c r="AJ182" i="99"/>
  <c r="AJ3" i="99"/>
  <c r="AJ187" i="99"/>
  <c r="AU187" i="99"/>
  <c r="AK188" i="99"/>
  <c r="AR188" i="99"/>
  <c r="AM188" i="99"/>
  <c r="AQ188" i="99"/>
  <c r="AO188" i="99"/>
  <c r="AL188" i="99"/>
  <c r="AN188" i="99"/>
  <c r="AP188" i="99"/>
  <c r="AV188" i="99"/>
  <c r="BB188" i="99"/>
  <c r="BA188" i="99"/>
  <c r="AY188" i="99"/>
  <c r="AZ188" i="99"/>
  <c r="AW188" i="99"/>
  <c r="BC188" i="99"/>
  <c r="AX188" i="99"/>
  <c r="B129" i="95"/>
  <c r="B129" i="94"/>
  <c r="B129" i="93"/>
  <c r="B128" i="92"/>
  <c r="I127" i="92"/>
  <c r="D18" i="2"/>
  <c r="P18" i="2"/>
  <c r="L18" i="2"/>
  <c r="K18" i="2"/>
  <c r="N18" i="2"/>
  <c r="M18" i="2"/>
  <c r="J18" i="2"/>
  <c r="A19" i="2"/>
  <c r="I18" i="2"/>
  <c r="O18" i="2"/>
  <c r="AA7" i="3"/>
  <c r="AA8" i="3" s="1"/>
  <c r="DV32" i="71"/>
  <c r="EC32" i="71" s="1"/>
  <c r="CT33" i="71"/>
  <c r="CV32" i="71"/>
  <c r="CW33" i="71" s="1"/>
  <c r="B16" i="2"/>
  <c r="B31" i="2"/>
  <c r="B14" i="2"/>
  <c r="B24" i="2"/>
  <c r="B25" i="2"/>
  <c r="B5" i="2"/>
  <c r="B3" i="2"/>
  <c r="B4" i="2"/>
  <c r="B11" i="2"/>
  <c r="B7" i="2"/>
  <c r="P32" i="2"/>
  <c r="D32" i="2"/>
  <c r="B17" i="2"/>
  <c r="B29" i="2"/>
  <c r="B15" i="2"/>
  <c r="B10" i="2"/>
  <c r="B12" i="2"/>
  <c r="B23" i="2"/>
  <c r="B6" i="2"/>
  <c r="B8" i="2"/>
  <c r="B26" i="2"/>
  <c r="B30" i="2"/>
  <c r="B28" i="2"/>
  <c r="B13" i="2"/>
  <c r="B9" i="2"/>
  <c r="N32" i="2"/>
  <c r="M32" i="2"/>
  <c r="L32" i="2"/>
  <c r="K32" i="2"/>
  <c r="O32" i="2"/>
  <c r="J32" i="2"/>
  <c r="I32" i="2"/>
  <c r="A33" i="2"/>
  <c r="F27" i="2"/>
  <c r="A68" i="123" l="1"/>
  <c r="B66" i="123"/>
  <c r="E65" i="123"/>
  <c r="F65" i="123"/>
  <c r="H65" i="123"/>
  <c r="G65" i="123"/>
  <c r="A68" i="120"/>
  <c r="BM96" i="99"/>
  <c r="BM145" i="99"/>
  <c r="BM238" i="99"/>
  <c r="BM189" i="99"/>
  <c r="BM14" i="99"/>
  <c r="BM180" i="99"/>
  <c r="BM217" i="99"/>
  <c r="BM126" i="99"/>
  <c r="BO185" i="99"/>
  <c r="BQ181" i="99"/>
  <c r="BM133" i="99"/>
  <c r="BM47" i="99"/>
  <c r="BM38" i="99"/>
  <c r="BO176" i="99"/>
  <c r="BR176" i="99"/>
  <c r="BM51" i="99"/>
  <c r="BM159" i="99"/>
  <c r="BM125" i="99"/>
  <c r="BM88" i="99"/>
  <c r="BM240" i="99"/>
  <c r="BM187" i="99"/>
  <c r="BQ186" i="99"/>
  <c r="BM221" i="99"/>
  <c r="BM204" i="99"/>
  <c r="BM101" i="99"/>
  <c r="BM129" i="99"/>
  <c r="BM233" i="99"/>
  <c r="BM152" i="99"/>
  <c r="BM31" i="99"/>
  <c r="BM154" i="99"/>
  <c r="BM193" i="99"/>
  <c r="BM143" i="99"/>
  <c r="BM8" i="99"/>
  <c r="BM54" i="99"/>
  <c r="BM61" i="99"/>
  <c r="BM82" i="99"/>
  <c r="BQ185" i="99"/>
  <c r="BM78" i="99"/>
  <c r="BM66" i="99"/>
  <c r="BM252" i="99"/>
  <c r="BM80" i="99"/>
  <c r="BM168" i="99"/>
  <c r="BQ182" i="99"/>
  <c r="BO182" i="99"/>
  <c r="BM41" i="99"/>
  <c r="BM9" i="99"/>
  <c r="BM171" i="99"/>
  <c r="BM216" i="99"/>
  <c r="BM224" i="99"/>
  <c r="BM73" i="99"/>
  <c r="BM207" i="99"/>
  <c r="BM201" i="99"/>
  <c r="BM205" i="99"/>
  <c r="BM200" i="99"/>
  <c r="BM49" i="99"/>
  <c r="BM156" i="99"/>
  <c r="BM25" i="99"/>
  <c r="BM199" i="99"/>
  <c r="BM107" i="99"/>
  <c r="G10" i="115"/>
  <c r="Y10" i="115" s="1"/>
  <c r="BM123" i="99"/>
  <c r="BQ177" i="99"/>
  <c r="BM28" i="99"/>
  <c r="BM16" i="99"/>
  <c r="BM166" i="99"/>
  <c r="BM218" i="99"/>
  <c r="BM245" i="99"/>
  <c r="BM63" i="99"/>
  <c r="BM212" i="99"/>
  <c r="BM249" i="99"/>
  <c r="BM65" i="99"/>
  <c r="BM243" i="99"/>
  <c r="BM10" i="99"/>
  <c r="BM222" i="99"/>
  <c r="BM228" i="99"/>
  <c r="BM79" i="99"/>
  <c r="BM197" i="99"/>
  <c r="BM20" i="99"/>
  <c r="BM45" i="99"/>
  <c r="BM26" i="99"/>
  <c r="BM115" i="99"/>
  <c r="BM74" i="99"/>
  <c r="BM179" i="99"/>
  <c r="BM235" i="99"/>
  <c r="BM210" i="99"/>
  <c r="BM90" i="99"/>
  <c r="BM76" i="99"/>
  <c r="A68" i="117"/>
  <c r="BM215" i="99"/>
  <c r="BM163" i="99"/>
  <c r="BM246" i="99"/>
  <c r="BM53" i="99"/>
  <c r="BN186" i="99"/>
  <c r="BM6" i="99"/>
  <c r="BM97" i="99"/>
  <c r="BM23" i="99"/>
  <c r="BO177" i="99"/>
  <c r="BM176" i="99"/>
  <c r="BM175" i="99"/>
  <c r="BM122" i="99"/>
  <c r="BM99" i="99"/>
  <c r="BM186" i="99"/>
  <c r="BM183" i="99"/>
  <c r="BM244" i="99"/>
  <c r="BN185" i="99"/>
  <c r="BM113" i="99"/>
  <c r="BM68" i="99"/>
  <c r="BM198" i="99"/>
  <c r="BM223" i="99"/>
  <c r="BM165" i="99"/>
  <c r="BM202" i="99"/>
  <c r="BM121" i="99"/>
  <c r="BM71" i="99"/>
  <c r="BM112" i="99"/>
  <c r="BM132" i="99"/>
  <c r="BM158" i="99"/>
  <c r="BM60" i="99"/>
  <c r="BM118" i="99"/>
  <c r="BM231" i="99"/>
  <c r="BM56" i="99"/>
  <c r="BM188" i="99"/>
  <c r="BM102" i="99"/>
  <c r="BM42" i="99"/>
  <c r="BN180" i="99"/>
  <c r="BM138" i="99"/>
  <c r="BM33" i="99"/>
  <c r="BM172" i="99"/>
  <c r="BM173" i="99"/>
  <c r="BM150" i="99"/>
  <c r="BM178" i="99"/>
  <c r="BM72" i="99"/>
  <c r="BM44" i="99"/>
  <c r="BM192" i="99"/>
  <c r="BM128" i="99"/>
  <c r="BM75" i="99"/>
  <c r="BM87" i="99"/>
  <c r="BM141" i="99"/>
  <c r="BM149" i="99"/>
  <c r="BM35" i="99"/>
  <c r="BM109" i="99"/>
  <c r="BP186" i="99"/>
  <c r="BM83" i="99"/>
  <c r="BM40" i="99"/>
  <c r="BM116" i="99"/>
  <c r="H54" i="110"/>
  <c r="G54" i="110"/>
  <c r="BM148" i="99"/>
  <c r="BM89" i="99"/>
  <c r="BM22" i="99"/>
  <c r="BQ175" i="99"/>
  <c r="BM181" i="99"/>
  <c r="BM95" i="99"/>
  <c r="BM206" i="99"/>
  <c r="BM227" i="99"/>
  <c r="BM130" i="99"/>
  <c r="BM232" i="99"/>
  <c r="BM58" i="99"/>
  <c r="BM230" i="99"/>
  <c r="BM250" i="99"/>
  <c r="BM12" i="99"/>
  <c r="BM46" i="99"/>
  <c r="BM37" i="99"/>
  <c r="BM211" i="99"/>
  <c r="BM86" i="99"/>
  <c r="BM229" i="99"/>
  <c r="BM29" i="99"/>
  <c r="BM213" i="99"/>
  <c r="BM209" i="99"/>
  <c r="BM140" i="99"/>
  <c r="BM219" i="99"/>
  <c r="BM43" i="99"/>
  <c r="BM174" i="99"/>
  <c r="BQ3" i="99"/>
  <c r="BM241" i="99"/>
  <c r="BM147" i="99"/>
  <c r="BM161" i="99"/>
  <c r="BM155" i="99"/>
  <c r="BM98" i="99"/>
  <c r="BM27" i="99"/>
  <c r="BM17" i="99"/>
  <c r="BM11" i="99"/>
  <c r="BN181" i="99"/>
  <c r="BM160" i="99"/>
  <c r="BM15" i="99"/>
  <c r="BM64" i="99"/>
  <c r="BM236" i="99"/>
  <c r="BR186" i="99"/>
  <c r="BM153" i="99"/>
  <c r="BM48" i="99"/>
  <c r="BM195" i="99"/>
  <c r="BM134" i="99"/>
  <c r="BM131" i="99"/>
  <c r="BO181" i="99"/>
  <c r="BM106" i="99"/>
  <c r="BQ176" i="99"/>
  <c r="BM52" i="99"/>
  <c r="BM157" i="99"/>
  <c r="BM208" i="99"/>
  <c r="BM77" i="99"/>
  <c r="BM105" i="99"/>
  <c r="BM167" i="99"/>
  <c r="BM248" i="99"/>
  <c r="BM34" i="99"/>
  <c r="BM81" i="99"/>
  <c r="BM114" i="99"/>
  <c r="BM194" i="99"/>
  <c r="BM19" i="99"/>
  <c r="BM139" i="99"/>
  <c r="BM124" i="99"/>
  <c r="H28" i="2"/>
  <c r="G28" i="2"/>
  <c r="H7" i="2"/>
  <c r="G7" i="2"/>
  <c r="BM3" i="99"/>
  <c r="G26" i="2"/>
  <c r="H26" i="2"/>
  <c r="BM185" i="99"/>
  <c r="BQ180" i="99"/>
  <c r="BM247" i="99"/>
  <c r="G8" i="2"/>
  <c r="H8" i="2"/>
  <c r="F4" i="2"/>
  <c r="H4" i="2"/>
  <c r="G4" i="2"/>
  <c r="BP180" i="99"/>
  <c r="BQ184" i="99"/>
  <c r="BM151" i="99"/>
  <c r="F30" i="2"/>
  <c r="H30" i="2"/>
  <c r="G30" i="2"/>
  <c r="F11" i="2"/>
  <c r="H11" i="2"/>
  <c r="G11" i="2"/>
  <c r="F6" i="2"/>
  <c r="H6" i="2"/>
  <c r="G6" i="2"/>
  <c r="H3" i="2"/>
  <c r="G3" i="2"/>
  <c r="BM111" i="99"/>
  <c r="BM32" i="99"/>
  <c r="H13" i="2"/>
  <c r="G13" i="2"/>
  <c r="H23" i="2"/>
  <c r="G23" i="2"/>
  <c r="F5" i="2"/>
  <c r="H5" i="2"/>
  <c r="G5" i="2"/>
  <c r="BM100" i="99"/>
  <c r="H25" i="2"/>
  <c r="G25" i="2"/>
  <c r="BM196" i="99"/>
  <c r="F12" i="2"/>
  <c r="H12" i="2"/>
  <c r="G12" i="2"/>
  <c r="H10" i="2"/>
  <c r="G10" i="2"/>
  <c r="H24" i="2"/>
  <c r="G24" i="2"/>
  <c r="BM225" i="99"/>
  <c r="BM190" i="99"/>
  <c r="H15" i="2"/>
  <c r="G15" i="2"/>
  <c r="G14" i="2"/>
  <c r="H14" i="2"/>
  <c r="H29" i="2"/>
  <c r="G29" i="2"/>
  <c r="H31" i="2"/>
  <c r="G31" i="2"/>
  <c r="G27" i="2"/>
  <c r="BM226" i="99"/>
  <c r="F9" i="2"/>
  <c r="H9" i="2"/>
  <c r="G9" i="2"/>
  <c r="F17" i="2"/>
  <c r="H17" i="2"/>
  <c r="G17" i="2"/>
  <c r="H16" i="2"/>
  <c r="G16" i="2"/>
  <c r="BM164" i="99"/>
  <c r="BM30" i="99"/>
  <c r="BM203" i="99"/>
  <c r="H27" i="2"/>
  <c r="DZ33" i="71"/>
  <c r="EE33" i="71"/>
  <c r="EA33" i="71"/>
  <c r="DN33" i="71"/>
  <c r="DB33" i="71"/>
  <c r="DC34" i="71" s="1"/>
  <c r="CZ33" i="71"/>
  <c r="DA34" i="71" s="1"/>
  <c r="CX33" i="71"/>
  <c r="CY34" i="71" s="1"/>
  <c r="DJ33" i="71"/>
  <c r="DK34" i="71" s="1"/>
  <c r="DH33" i="71"/>
  <c r="DI34" i="71" s="1"/>
  <c r="DD33" i="71"/>
  <c r="DE34" i="71" s="1"/>
  <c r="DF33" i="71"/>
  <c r="DG34" i="71" s="1"/>
  <c r="EB33" i="71"/>
  <c r="ED33" i="71"/>
  <c r="EF33" i="71"/>
  <c r="DY33" i="71"/>
  <c r="B55" i="110"/>
  <c r="P56" i="110"/>
  <c r="D56" i="110"/>
  <c r="O56" i="110"/>
  <c r="C56" i="110"/>
  <c r="J56" i="110"/>
  <c r="N56" i="110"/>
  <c r="M56" i="110"/>
  <c r="L56" i="110"/>
  <c r="I56" i="110"/>
  <c r="K56" i="110"/>
  <c r="A57" i="110"/>
  <c r="F54" i="110"/>
  <c r="E54" i="110"/>
  <c r="BP181" i="99"/>
  <c r="BM182" i="99"/>
  <c r="BO3" i="99"/>
  <c r="BM237" i="99"/>
  <c r="BR181" i="99"/>
  <c r="BP185" i="99"/>
  <c r="BP175" i="99"/>
  <c r="BN175" i="99"/>
  <c r="BP177" i="99"/>
  <c r="BN177" i="99"/>
  <c r="BP178" i="99"/>
  <c r="BN178" i="99"/>
  <c r="BP3" i="99"/>
  <c r="BN3" i="99"/>
  <c r="BG3" i="99"/>
  <c r="BP183" i="99"/>
  <c r="BN183" i="99"/>
  <c r="BP182" i="99"/>
  <c r="BN182" i="99"/>
  <c r="BR3" i="99"/>
  <c r="BR183" i="99"/>
  <c r="BR177" i="99"/>
  <c r="BN179" i="99"/>
  <c r="BP179" i="99"/>
  <c r="BL3" i="99"/>
  <c r="BK3" i="99"/>
  <c r="BP176" i="99"/>
  <c r="BN176" i="99"/>
  <c r="BP184" i="99"/>
  <c r="BN184" i="99"/>
  <c r="BR182" i="99"/>
  <c r="BR184" i="99"/>
  <c r="BR179" i="99"/>
  <c r="BP187" i="99"/>
  <c r="BN187" i="99"/>
  <c r="BR187" i="99"/>
  <c r="BQ187" i="99"/>
  <c r="BO187" i="99"/>
  <c r="AJ188" i="99"/>
  <c r="AU188" i="99"/>
  <c r="AK189" i="99"/>
  <c r="AR189" i="99"/>
  <c r="AQ189" i="99"/>
  <c r="AM189" i="99"/>
  <c r="AO189" i="99"/>
  <c r="AP189" i="99"/>
  <c r="AN189" i="99"/>
  <c r="AL189" i="99"/>
  <c r="AV189" i="99"/>
  <c r="BC189" i="99"/>
  <c r="BB189" i="99"/>
  <c r="AW189" i="99"/>
  <c r="AZ189" i="99"/>
  <c r="AY189" i="99"/>
  <c r="AX189" i="99"/>
  <c r="BA189" i="99"/>
  <c r="B130" i="95"/>
  <c r="B130" i="94"/>
  <c r="B130" i="93"/>
  <c r="B129" i="92"/>
  <c r="I128" i="92"/>
  <c r="B18" i="2"/>
  <c r="O19" i="2"/>
  <c r="J19" i="2"/>
  <c r="A20" i="2"/>
  <c r="P19" i="2"/>
  <c r="N19" i="2"/>
  <c r="I19" i="2"/>
  <c r="M19" i="2"/>
  <c r="D19" i="2"/>
  <c r="K19" i="2"/>
  <c r="L19" i="2"/>
  <c r="DV33" i="71"/>
  <c r="EC33" i="71" s="1"/>
  <c r="CT34" i="71"/>
  <c r="CV33" i="71"/>
  <c r="CW34" i="71" s="1"/>
  <c r="F24" i="2"/>
  <c r="F14" i="2"/>
  <c r="F25" i="2"/>
  <c r="F16" i="2"/>
  <c r="F3" i="2"/>
  <c r="F29" i="2"/>
  <c r="F7" i="2"/>
  <c r="F26" i="2"/>
  <c r="F28" i="2"/>
  <c r="B32" i="2"/>
  <c r="P33" i="2"/>
  <c r="D33" i="2"/>
  <c r="F13" i="2"/>
  <c r="F10" i="2"/>
  <c r="F15" i="2"/>
  <c r="F23" i="2"/>
  <c r="F8" i="2"/>
  <c r="F31" i="2"/>
  <c r="N33" i="2"/>
  <c r="M33" i="2"/>
  <c r="L33" i="2"/>
  <c r="K33" i="2"/>
  <c r="O33" i="2"/>
  <c r="J33" i="2"/>
  <c r="I33" i="2"/>
  <c r="A34" i="2"/>
  <c r="H66" i="123" l="1"/>
  <c r="G66" i="123"/>
  <c r="F66" i="123"/>
  <c r="E66" i="123"/>
  <c r="A69" i="123"/>
  <c r="B67" i="123"/>
  <c r="A69" i="120"/>
  <c r="U10" i="115"/>
  <c r="M10" i="115"/>
  <c r="Q10" i="115"/>
  <c r="W10" i="115"/>
  <c r="K10" i="115"/>
  <c r="S10" i="115"/>
  <c r="O10" i="115"/>
  <c r="A69" i="117"/>
  <c r="H55" i="110"/>
  <c r="G55" i="110"/>
  <c r="F18" i="2"/>
  <c r="H18" i="2"/>
  <c r="G18" i="2"/>
  <c r="G32" i="2"/>
  <c r="H32" i="2"/>
  <c r="DZ34" i="71"/>
  <c r="DI35" i="71"/>
  <c r="DY34" i="71"/>
  <c r="EA34" i="71"/>
  <c r="DC35" i="71"/>
  <c r="ED34" i="71"/>
  <c r="EF34" i="71"/>
  <c r="DN34" i="71"/>
  <c r="DJ34" i="71"/>
  <c r="DK35" i="71" s="1"/>
  <c r="DH34" i="71"/>
  <c r="DF34" i="71"/>
  <c r="DG35" i="71" s="1"/>
  <c r="DD34" i="71"/>
  <c r="DE35" i="71" s="1"/>
  <c r="DB34" i="71"/>
  <c r="CZ34" i="71"/>
  <c r="DA35" i="71" s="1"/>
  <c r="CX34" i="71"/>
  <c r="CY35" i="71" s="1"/>
  <c r="EB34" i="71"/>
  <c r="EE34" i="71"/>
  <c r="N57" i="110"/>
  <c r="M57" i="110"/>
  <c r="C57" i="110"/>
  <c r="L57" i="110"/>
  <c r="D57" i="110"/>
  <c r="K57" i="110"/>
  <c r="P57" i="110"/>
  <c r="J57" i="110"/>
  <c r="I57" i="110"/>
  <c r="O57" i="110"/>
  <c r="A58" i="110"/>
  <c r="B56" i="110"/>
  <c r="F55" i="110"/>
  <c r="E55" i="110"/>
  <c r="BI3" i="99"/>
  <c r="BH3" i="99"/>
  <c r="BP188" i="99"/>
  <c r="BN188" i="99"/>
  <c r="BR188" i="99"/>
  <c r="BQ188" i="99"/>
  <c r="BO188" i="99"/>
  <c r="AJ189" i="99"/>
  <c r="AQ190" i="99"/>
  <c r="AK190" i="99"/>
  <c r="AR190" i="99"/>
  <c r="AO190" i="99"/>
  <c r="AL190" i="99"/>
  <c r="AM190" i="99"/>
  <c r="AP190" i="99"/>
  <c r="AN190" i="99"/>
  <c r="AV190" i="99"/>
  <c r="BC190" i="99"/>
  <c r="AZ190" i="99"/>
  <c r="AX190" i="99"/>
  <c r="AW190" i="99"/>
  <c r="AY190" i="99"/>
  <c r="BA190" i="99"/>
  <c r="BB190" i="99"/>
  <c r="AU189" i="99"/>
  <c r="B131" i="95"/>
  <c r="B131" i="94"/>
  <c r="B131" i="93"/>
  <c r="B130" i="92"/>
  <c r="I129" i="92"/>
  <c r="B19" i="2"/>
  <c r="DP3" i="71"/>
  <c r="P20" i="2"/>
  <c r="O20" i="2"/>
  <c r="D20" i="2"/>
  <c r="J20" i="2"/>
  <c r="I20" i="2"/>
  <c r="M20" i="2"/>
  <c r="L20" i="2"/>
  <c r="K20" i="2"/>
  <c r="N20" i="2"/>
  <c r="A21" i="2"/>
  <c r="DV34" i="71"/>
  <c r="EC34" i="71" s="1"/>
  <c r="CT35" i="71"/>
  <c r="CV34" i="71"/>
  <c r="CW35" i="71" s="1"/>
  <c r="D34" i="2"/>
  <c r="P34" i="2"/>
  <c r="B33" i="2"/>
  <c r="F32" i="2"/>
  <c r="N34" i="2"/>
  <c r="M34" i="2"/>
  <c r="L34" i="2"/>
  <c r="K34" i="2"/>
  <c r="O34" i="2"/>
  <c r="J34" i="2"/>
  <c r="I34" i="2"/>
  <c r="A35" i="2"/>
  <c r="A70" i="123" l="1"/>
  <c r="B69" i="123"/>
  <c r="H67" i="123"/>
  <c r="G67" i="123"/>
  <c r="F67" i="123"/>
  <c r="E67" i="123"/>
  <c r="B68" i="123"/>
  <c r="A70" i="120"/>
  <c r="A70" i="117"/>
  <c r="H56" i="110"/>
  <c r="G56" i="110"/>
  <c r="H33" i="2"/>
  <c r="G33" i="2"/>
  <c r="F19" i="2"/>
  <c r="H19" i="2"/>
  <c r="G19" i="2"/>
  <c r="DZ35" i="71"/>
  <c r="EA35" i="71"/>
  <c r="EB35" i="71"/>
  <c r="ED35" i="71"/>
  <c r="EE35" i="71"/>
  <c r="DY35" i="71"/>
  <c r="EF35" i="71"/>
  <c r="DN35" i="71"/>
  <c r="CX35" i="71"/>
  <c r="CY36" i="71" s="1"/>
  <c r="DJ35" i="71"/>
  <c r="DK36" i="71" s="1"/>
  <c r="DH35" i="71"/>
  <c r="DI36" i="71" s="1"/>
  <c r="DF35" i="71"/>
  <c r="DG36" i="71" s="1"/>
  <c r="DD35" i="71"/>
  <c r="DE36" i="71" s="1"/>
  <c r="DB35" i="71"/>
  <c r="DC36" i="71" s="1"/>
  <c r="CZ35" i="71"/>
  <c r="DA36" i="71" s="1"/>
  <c r="F56" i="110"/>
  <c r="E56" i="110"/>
  <c r="L58" i="110"/>
  <c r="N58" i="110"/>
  <c r="K58" i="110"/>
  <c r="J58" i="110"/>
  <c r="M58" i="110"/>
  <c r="I58" i="110"/>
  <c r="P58" i="110"/>
  <c r="D58" i="110"/>
  <c r="O58" i="110"/>
  <c r="C58" i="110"/>
  <c r="A59" i="110"/>
  <c r="B57" i="110"/>
  <c r="BP189" i="99"/>
  <c r="BN189" i="99"/>
  <c r="BR189" i="99"/>
  <c r="BQ189" i="99"/>
  <c r="BO189" i="99"/>
  <c r="AJ190" i="99"/>
  <c r="AQ191" i="99"/>
  <c r="AK191" i="99"/>
  <c r="AR191" i="99"/>
  <c r="AL191" i="99"/>
  <c r="AP191" i="99"/>
  <c r="AN191" i="99"/>
  <c r="AM191" i="99"/>
  <c r="AO191" i="99"/>
  <c r="AU190" i="99"/>
  <c r="AV191" i="99"/>
  <c r="BC191" i="99"/>
  <c r="AX191" i="99"/>
  <c r="AW191" i="99"/>
  <c r="BA191" i="99"/>
  <c r="BB191" i="99"/>
  <c r="AZ191" i="99"/>
  <c r="AY191" i="99"/>
  <c r="B132" i="95"/>
  <c r="B132" i="94"/>
  <c r="B132" i="93"/>
  <c r="B131" i="92"/>
  <c r="I130" i="92"/>
  <c r="B20" i="2"/>
  <c r="N21" i="2"/>
  <c r="P21" i="2"/>
  <c r="A22" i="2"/>
  <c r="D21" i="2"/>
  <c r="I21" i="2"/>
  <c r="J21" i="2"/>
  <c r="O21" i="2"/>
  <c r="M21" i="2"/>
  <c r="L21" i="2"/>
  <c r="K21" i="2"/>
  <c r="DV35" i="71"/>
  <c r="EC35" i="71" s="1"/>
  <c r="CT36" i="71"/>
  <c r="CV35" i="71"/>
  <c r="CW36" i="71" s="1"/>
  <c r="D35" i="2"/>
  <c r="P35" i="2"/>
  <c r="B34" i="2"/>
  <c r="F33" i="2"/>
  <c r="N35" i="2"/>
  <c r="M35" i="2"/>
  <c r="L35" i="2"/>
  <c r="K35" i="2"/>
  <c r="O35" i="2"/>
  <c r="J35" i="2"/>
  <c r="A36" i="2"/>
  <c r="I35" i="2"/>
  <c r="A71" i="123" l="1"/>
  <c r="H69" i="123"/>
  <c r="G69" i="123"/>
  <c r="F69" i="123"/>
  <c r="E69" i="123"/>
  <c r="E68" i="123"/>
  <c r="F68" i="123"/>
  <c r="H68" i="123"/>
  <c r="G68" i="123"/>
  <c r="A71" i="120"/>
  <c r="A71" i="117"/>
  <c r="B58" i="110"/>
  <c r="H58" i="110" s="1"/>
  <c r="H57" i="110"/>
  <c r="G57" i="110"/>
  <c r="F20" i="2"/>
  <c r="G20" i="2"/>
  <c r="H20" i="2"/>
  <c r="H34" i="2"/>
  <c r="G34" i="2"/>
  <c r="DZ36" i="71"/>
  <c r="EF36" i="71"/>
  <c r="EA36" i="71"/>
  <c r="ED36" i="71"/>
  <c r="EB36" i="71"/>
  <c r="DY36" i="71"/>
  <c r="EE36" i="71"/>
  <c r="DN36" i="71"/>
  <c r="DH36" i="71"/>
  <c r="DI37" i="71" s="1"/>
  <c r="DF36" i="71"/>
  <c r="DG37" i="71" s="1"/>
  <c r="DD36" i="71"/>
  <c r="DE37" i="71" s="1"/>
  <c r="DB36" i="71"/>
  <c r="DC37" i="71" s="1"/>
  <c r="CZ36" i="71"/>
  <c r="DA37" i="71" s="1"/>
  <c r="CX36" i="71"/>
  <c r="CY37" i="71" s="1"/>
  <c r="DJ36" i="71"/>
  <c r="DK37" i="71" s="1"/>
  <c r="F57" i="110"/>
  <c r="E57" i="110"/>
  <c r="J59" i="110"/>
  <c r="I59" i="110"/>
  <c r="P59" i="110"/>
  <c r="D59" i="110"/>
  <c r="O59" i="110"/>
  <c r="C59" i="110"/>
  <c r="K59" i="110"/>
  <c r="N59" i="110"/>
  <c r="M59" i="110"/>
  <c r="L59" i="110"/>
  <c r="A60" i="110"/>
  <c r="BP190" i="99"/>
  <c r="BN190" i="99"/>
  <c r="BQ190" i="99"/>
  <c r="BR190" i="99"/>
  <c r="BO190" i="99"/>
  <c r="AJ191" i="99"/>
  <c r="AK192" i="99"/>
  <c r="AR192" i="99"/>
  <c r="AM192" i="99"/>
  <c r="AL192" i="99"/>
  <c r="AP192" i="99"/>
  <c r="AN192" i="99"/>
  <c r="AQ192" i="99"/>
  <c r="AO192" i="99"/>
  <c r="AU191" i="99"/>
  <c r="AV192" i="99"/>
  <c r="AY192" i="99"/>
  <c r="BA192" i="99"/>
  <c r="AZ192" i="99"/>
  <c r="AX192" i="99"/>
  <c r="BC192" i="99"/>
  <c r="BB192" i="99"/>
  <c r="AW192" i="99"/>
  <c r="B133" i="95"/>
  <c r="B133" i="94"/>
  <c r="B133" i="93"/>
  <c r="B132" i="92"/>
  <c r="I131" i="92"/>
  <c r="B21" i="2"/>
  <c r="O22" i="2"/>
  <c r="I22" i="2"/>
  <c r="J22" i="2"/>
  <c r="D22" i="2"/>
  <c r="K22" i="2"/>
  <c r="P22" i="2"/>
  <c r="L22" i="2"/>
  <c r="N22" i="2"/>
  <c r="M22" i="2"/>
  <c r="DP8" i="71"/>
  <c r="DV36" i="71"/>
  <c r="EC36" i="71" s="1"/>
  <c r="CT37" i="71"/>
  <c r="CV36" i="71"/>
  <c r="CW37" i="71" s="1"/>
  <c r="B35" i="2"/>
  <c r="P36" i="2"/>
  <c r="D36" i="2"/>
  <c r="F34" i="2"/>
  <c r="M36" i="2"/>
  <c r="L36" i="2"/>
  <c r="K36" i="2"/>
  <c r="N36" i="2"/>
  <c r="A37" i="2"/>
  <c r="O36" i="2"/>
  <c r="I36" i="2"/>
  <c r="J36" i="2"/>
  <c r="A72" i="123" l="1"/>
  <c r="B71" i="123"/>
  <c r="B70" i="123"/>
  <c r="A72" i="120"/>
  <c r="K30" i="115"/>
  <c r="M30" i="115"/>
  <c r="Q30" i="115"/>
  <c r="Y30" i="115"/>
  <c r="W30" i="115"/>
  <c r="S30" i="115"/>
  <c r="O30" i="115"/>
  <c r="U30" i="115"/>
  <c r="A72" i="117"/>
  <c r="E58" i="110"/>
  <c r="G58" i="110"/>
  <c r="F58" i="110"/>
  <c r="F21" i="2"/>
  <c r="H21" i="2"/>
  <c r="G21" i="2"/>
  <c r="H35" i="2"/>
  <c r="G35" i="2"/>
  <c r="EE37" i="71"/>
  <c r="EA37" i="71"/>
  <c r="DK38" i="71"/>
  <c r="DZ37" i="71"/>
  <c r="EF37" i="71"/>
  <c r="ED37" i="71"/>
  <c r="EB37" i="71"/>
  <c r="DN37" i="71"/>
  <c r="DJ37" i="71"/>
  <c r="DH37" i="71"/>
  <c r="DI38" i="71" s="1"/>
  <c r="DB37" i="71"/>
  <c r="DC38" i="71" s="1"/>
  <c r="DF37" i="71"/>
  <c r="DG38" i="71" s="1"/>
  <c r="DD37" i="71"/>
  <c r="DE38" i="71" s="1"/>
  <c r="CZ37" i="71"/>
  <c r="DA38" i="71" s="1"/>
  <c r="CX37" i="71"/>
  <c r="CY38" i="71" s="1"/>
  <c r="DY37" i="71"/>
  <c r="B59" i="110"/>
  <c r="P60" i="110"/>
  <c r="D60" i="110"/>
  <c r="I60" i="110"/>
  <c r="O60" i="110"/>
  <c r="C60" i="110"/>
  <c r="N60" i="110"/>
  <c r="M60" i="110"/>
  <c r="L60" i="110"/>
  <c r="J60" i="110"/>
  <c r="K60" i="110"/>
  <c r="A61" i="110"/>
  <c r="BP191" i="99"/>
  <c r="BN191" i="99"/>
  <c r="BR191" i="99"/>
  <c r="BQ191" i="99"/>
  <c r="BO191" i="99"/>
  <c r="AJ192" i="99"/>
  <c r="AU192" i="99"/>
  <c r="AK193" i="99"/>
  <c r="AR193" i="99"/>
  <c r="AO193" i="99"/>
  <c r="AM193" i="99"/>
  <c r="AQ193" i="99"/>
  <c r="AP193" i="99"/>
  <c r="AN193" i="99"/>
  <c r="AL193" i="99"/>
  <c r="AV193" i="99"/>
  <c r="BC193" i="99"/>
  <c r="AX193" i="99"/>
  <c r="BA193" i="99"/>
  <c r="AZ193" i="99"/>
  <c r="AY193" i="99"/>
  <c r="AW193" i="99"/>
  <c r="BB193" i="99"/>
  <c r="B134" i="95"/>
  <c r="B134" i="94"/>
  <c r="B134" i="93"/>
  <c r="I132" i="92"/>
  <c r="B133" i="92"/>
  <c r="B22" i="2"/>
  <c r="DV37" i="71"/>
  <c r="EC37" i="71" s="1"/>
  <c r="CT38" i="71"/>
  <c r="CV37" i="71"/>
  <c r="CW38" i="71" s="1"/>
  <c r="B36" i="2"/>
  <c r="P37" i="2"/>
  <c r="D37" i="2"/>
  <c r="L37" i="2"/>
  <c r="K37" i="2"/>
  <c r="N37" i="2"/>
  <c r="M37" i="2"/>
  <c r="I37" i="2"/>
  <c r="A38" i="2"/>
  <c r="J37" i="2"/>
  <c r="O37" i="2"/>
  <c r="F35" i="2"/>
  <c r="H70" i="123" l="1"/>
  <c r="G70" i="123"/>
  <c r="E70" i="123"/>
  <c r="F70" i="123"/>
  <c r="E71" i="123"/>
  <c r="H71" i="123"/>
  <c r="G71" i="123"/>
  <c r="F71" i="123"/>
  <c r="A73" i="123"/>
  <c r="A73" i="120"/>
  <c r="A73" i="117"/>
  <c r="H59" i="110"/>
  <c r="G59" i="110"/>
  <c r="H36" i="2"/>
  <c r="G36" i="2"/>
  <c r="F22" i="2"/>
  <c r="H22" i="2"/>
  <c r="G22" i="2"/>
  <c r="ED38" i="71"/>
  <c r="EF38" i="71"/>
  <c r="EA38" i="71"/>
  <c r="EE38" i="71"/>
  <c r="DY38" i="71"/>
  <c r="DZ38" i="71"/>
  <c r="EB38" i="71"/>
  <c r="DN38" i="71"/>
  <c r="DD38" i="71"/>
  <c r="DE39" i="71" s="1"/>
  <c r="DB38" i="71"/>
  <c r="DC39" i="71" s="1"/>
  <c r="CZ38" i="71"/>
  <c r="DA39" i="71" s="1"/>
  <c r="CX38" i="71"/>
  <c r="CY39" i="71" s="1"/>
  <c r="DJ38" i="71"/>
  <c r="DK39" i="71" s="1"/>
  <c r="DH38" i="71"/>
  <c r="DI39" i="71" s="1"/>
  <c r="DF38" i="71"/>
  <c r="DG39" i="71" s="1"/>
  <c r="N61" i="110"/>
  <c r="M61" i="110"/>
  <c r="P61" i="110"/>
  <c r="C61" i="110"/>
  <c r="L61" i="110"/>
  <c r="D61" i="110"/>
  <c r="K61" i="110"/>
  <c r="J61" i="110"/>
  <c r="O61" i="110"/>
  <c r="I61" i="110"/>
  <c r="A62" i="110"/>
  <c r="B60" i="110"/>
  <c r="F59" i="110"/>
  <c r="E59" i="110"/>
  <c r="BP192" i="99"/>
  <c r="BN192" i="99"/>
  <c r="BR192" i="99"/>
  <c r="BQ192" i="99"/>
  <c r="BO192" i="99"/>
  <c r="AJ193" i="99"/>
  <c r="AU193" i="99"/>
  <c r="AK194" i="99"/>
  <c r="AR194" i="99"/>
  <c r="AP194" i="99"/>
  <c r="AN194" i="99"/>
  <c r="AL194" i="99"/>
  <c r="AO194" i="99"/>
  <c r="AQ194" i="99"/>
  <c r="AM194" i="99"/>
  <c r="AV194" i="99"/>
  <c r="AZ194" i="99"/>
  <c r="AX194" i="99"/>
  <c r="AY194" i="99"/>
  <c r="AW194" i="99"/>
  <c r="BC194" i="99"/>
  <c r="BB194" i="99"/>
  <c r="BA194" i="99"/>
  <c r="B135" i="95"/>
  <c r="B135" i="94"/>
  <c r="B135" i="93"/>
  <c r="I133" i="92"/>
  <c r="B134" i="92"/>
  <c r="DP13" i="71"/>
  <c r="DV38" i="71"/>
  <c r="EC38" i="71" s="1"/>
  <c r="CT39" i="71"/>
  <c r="CV38" i="71"/>
  <c r="CW39" i="71" s="1"/>
  <c r="B37" i="2"/>
  <c r="D38" i="2"/>
  <c r="P38" i="2"/>
  <c r="K38" i="2"/>
  <c r="N38" i="2"/>
  <c r="L38" i="2"/>
  <c r="M38" i="2"/>
  <c r="O38" i="2"/>
  <c r="J38" i="2"/>
  <c r="I38" i="2"/>
  <c r="A39" i="2"/>
  <c r="F36" i="2"/>
  <c r="B73" i="123" l="1"/>
  <c r="A74" i="123"/>
  <c r="B72" i="123"/>
  <c r="A74" i="120"/>
  <c r="W28" i="115"/>
  <c r="Y28" i="115"/>
  <c r="S28" i="115"/>
  <c r="K28" i="115"/>
  <c r="M28" i="115"/>
  <c r="Q28" i="115"/>
  <c r="O28" i="115"/>
  <c r="U28" i="115"/>
  <c r="A74" i="117"/>
  <c r="H60" i="110"/>
  <c r="G60" i="110"/>
  <c r="H37" i="2"/>
  <c r="G37" i="2"/>
  <c r="ED39" i="71"/>
  <c r="EF39" i="71"/>
  <c r="EB39" i="71"/>
  <c r="DG40" i="71"/>
  <c r="EE39" i="71"/>
  <c r="DI40" i="71"/>
  <c r="DY39" i="71"/>
  <c r="CY40" i="71"/>
  <c r="EA39" i="71"/>
  <c r="DN39" i="71"/>
  <c r="DJ39" i="71"/>
  <c r="DH39" i="71"/>
  <c r="DF39" i="71"/>
  <c r="DD39" i="71"/>
  <c r="DE40" i="71" s="1"/>
  <c r="DB39" i="71"/>
  <c r="DC40" i="71" s="1"/>
  <c r="CZ39" i="71"/>
  <c r="DA40" i="71" s="1"/>
  <c r="CX39" i="71"/>
  <c r="DK40" i="71"/>
  <c r="DZ39" i="71"/>
  <c r="F60" i="110"/>
  <c r="E60" i="110"/>
  <c r="L62" i="110"/>
  <c r="N62" i="110"/>
  <c r="K62" i="110"/>
  <c r="J62" i="110"/>
  <c r="I62" i="110"/>
  <c r="P62" i="110"/>
  <c r="D62" i="110"/>
  <c r="O62" i="110"/>
  <c r="C62" i="110"/>
  <c r="M62" i="110"/>
  <c r="A63" i="110"/>
  <c r="B61" i="110"/>
  <c r="BP193" i="99"/>
  <c r="BN193" i="99"/>
  <c r="BQ193" i="99"/>
  <c r="BR193" i="99"/>
  <c r="BO193" i="99"/>
  <c r="AJ194" i="99"/>
  <c r="AU194" i="99"/>
  <c r="AK195" i="99"/>
  <c r="AR195" i="99"/>
  <c r="AO195" i="99"/>
  <c r="AQ195" i="99"/>
  <c r="AN195" i="99"/>
  <c r="AL195" i="99"/>
  <c r="AP195" i="99"/>
  <c r="AM195" i="99"/>
  <c r="AV195" i="99"/>
  <c r="AX195" i="99"/>
  <c r="BC195" i="99"/>
  <c r="AY195" i="99"/>
  <c r="AZ195" i="99"/>
  <c r="AW195" i="99"/>
  <c r="BB195" i="99"/>
  <c r="BA195" i="99"/>
  <c r="B136" i="95"/>
  <c r="B136" i="94"/>
  <c r="B136" i="93"/>
  <c r="B135" i="92"/>
  <c r="I134" i="92"/>
  <c r="DV39" i="71"/>
  <c r="EC39" i="71" s="1"/>
  <c r="CT40" i="71"/>
  <c r="CV39" i="71"/>
  <c r="CW40" i="71" s="1"/>
  <c r="D39" i="2"/>
  <c r="P39" i="2"/>
  <c r="B38" i="2"/>
  <c r="F37" i="2"/>
  <c r="K39" i="2"/>
  <c r="N39" i="2"/>
  <c r="M39" i="2"/>
  <c r="L39" i="2"/>
  <c r="A40" i="2"/>
  <c r="O39" i="2"/>
  <c r="J39" i="2"/>
  <c r="I39" i="2"/>
  <c r="A75" i="123" l="1"/>
  <c r="H72" i="123"/>
  <c r="G72" i="123"/>
  <c r="F72" i="123"/>
  <c r="E72" i="123"/>
  <c r="H73" i="123"/>
  <c r="G73" i="123"/>
  <c r="F73" i="123"/>
  <c r="E73" i="123"/>
  <c r="A75" i="120"/>
  <c r="K31" i="115"/>
  <c r="W31" i="115"/>
  <c r="Y31" i="115"/>
  <c r="Q31" i="115"/>
  <c r="S31" i="115"/>
  <c r="O31" i="115"/>
  <c r="M31" i="115"/>
  <c r="U31" i="115"/>
  <c r="A75" i="117"/>
  <c r="B62" i="110"/>
  <c r="E62" i="110" s="1"/>
  <c r="H61" i="110"/>
  <c r="G61" i="110"/>
  <c r="G38" i="2"/>
  <c r="H38" i="2"/>
  <c r="EF40" i="71"/>
  <c r="ED40" i="71"/>
  <c r="EB40" i="71"/>
  <c r="CY41" i="71"/>
  <c r="EA40" i="71"/>
  <c r="DI41" i="71"/>
  <c r="DY40" i="71"/>
  <c r="DN40" i="71"/>
  <c r="CZ40" i="71"/>
  <c r="DA41" i="71" s="1"/>
  <c r="DH40" i="71"/>
  <c r="CX40" i="71"/>
  <c r="DJ40" i="71"/>
  <c r="DF40" i="71"/>
  <c r="DD40" i="71"/>
  <c r="DE41" i="71" s="1"/>
  <c r="DB40" i="71"/>
  <c r="DC41" i="71" s="1"/>
  <c r="DK41" i="71"/>
  <c r="DZ40" i="71"/>
  <c r="DG41" i="71"/>
  <c r="EE40" i="71"/>
  <c r="E61" i="110"/>
  <c r="F61" i="110"/>
  <c r="J63" i="110"/>
  <c r="I63" i="110"/>
  <c r="P63" i="110"/>
  <c r="D63" i="110"/>
  <c r="K63" i="110"/>
  <c r="O63" i="110"/>
  <c r="C63" i="110"/>
  <c r="L63" i="110"/>
  <c r="N63" i="110"/>
  <c r="M63" i="110"/>
  <c r="A64" i="110"/>
  <c r="BP194" i="99"/>
  <c r="BN194" i="99"/>
  <c r="BQ194" i="99"/>
  <c r="BR194" i="99"/>
  <c r="BO194" i="99"/>
  <c r="AJ195" i="99"/>
  <c r="AU195" i="99"/>
  <c r="AK196" i="99"/>
  <c r="AR196" i="99"/>
  <c r="AQ196" i="99"/>
  <c r="AO196" i="99"/>
  <c r="AM196" i="99"/>
  <c r="AL196" i="99"/>
  <c r="AP196" i="99"/>
  <c r="AN196" i="99"/>
  <c r="AV196" i="99"/>
  <c r="AZ196" i="99"/>
  <c r="AX196" i="99"/>
  <c r="AW196" i="99"/>
  <c r="BB196" i="99"/>
  <c r="AY196" i="99"/>
  <c r="BA196" i="99"/>
  <c r="BC196" i="99"/>
  <c r="B137" i="95"/>
  <c r="B137" i="94"/>
  <c r="B137" i="93"/>
  <c r="B136" i="92"/>
  <c r="I135" i="92"/>
  <c r="DP18" i="71"/>
  <c r="DV40" i="71"/>
  <c r="EC40" i="71" s="1"/>
  <c r="CT41" i="71"/>
  <c r="CV40" i="71"/>
  <c r="CW41" i="71" s="1"/>
  <c r="P40" i="2"/>
  <c r="D40" i="2"/>
  <c r="B39" i="2"/>
  <c r="N40" i="2"/>
  <c r="M40" i="2"/>
  <c r="L40" i="2"/>
  <c r="K40" i="2"/>
  <c r="O40" i="2"/>
  <c r="J40" i="2"/>
  <c r="I40" i="2"/>
  <c r="A41" i="2"/>
  <c r="F38" i="2"/>
  <c r="A76" i="123" l="1"/>
  <c r="B75" i="123"/>
  <c r="B74" i="123"/>
  <c r="A76" i="120"/>
  <c r="A76" i="117"/>
  <c r="G62" i="110"/>
  <c r="F62" i="110"/>
  <c r="H62" i="110"/>
  <c r="H39" i="2"/>
  <c r="G39" i="2"/>
  <c r="EF41" i="71"/>
  <c r="ED41" i="71"/>
  <c r="EB41" i="71"/>
  <c r="DN41" i="71"/>
  <c r="DJ41" i="71"/>
  <c r="DK42" i="71" s="1"/>
  <c r="DH41" i="71"/>
  <c r="DI42" i="71" s="1"/>
  <c r="DF41" i="71"/>
  <c r="DG42" i="71" s="1"/>
  <c r="DD41" i="71"/>
  <c r="DE42" i="71" s="1"/>
  <c r="DB41" i="71"/>
  <c r="DC42" i="71" s="1"/>
  <c r="CZ41" i="71"/>
  <c r="DA42" i="71" s="1"/>
  <c r="CX41" i="71"/>
  <c r="DY41" i="71"/>
  <c r="DZ41" i="71"/>
  <c r="EE41" i="71"/>
  <c r="CY42" i="71"/>
  <c r="EA41" i="71"/>
  <c r="B63" i="110"/>
  <c r="P64" i="110"/>
  <c r="D64" i="110"/>
  <c r="O64" i="110"/>
  <c r="C64" i="110"/>
  <c r="N64" i="110"/>
  <c r="M64" i="110"/>
  <c r="I64" i="110"/>
  <c r="L64" i="110"/>
  <c r="K64" i="110"/>
  <c r="J64" i="110"/>
  <c r="A65" i="110"/>
  <c r="BP195" i="99"/>
  <c r="BN195" i="99"/>
  <c r="BR195" i="99"/>
  <c r="BQ195" i="99"/>
  <c r="BO195" i="99"/>
  <c r="AJ196" i="99"/>
  <c r="AK197" i="99"/>
  <c r="AR197" i="99"/>
  <c r="AQ197" i="99"/>
  <c r="AM197" i="99"/>
  <c r="AL197" i="99"/>
  <c r="AN197" i="99"/>
  <c r="AO197" i="99"/>
  <c r="AP197" i="99"/>
  <c r="AV197" i="99"/>
  <c r="AZ197" i="99"/>
  <c r="AY197" i="99"/>
  <c r="AX197" i="99"/>
  <c r="BC197" i="99"/>
  <c r="BB197" i="99"/>
  <c r="BA197" i="99"/>
  <c r="AW197" i="99"/>
  <c r="AU196" i="99"/>
  <c r="B138" i="95"/>
  <c r="B138" i="94"/>
  <c r="B138" i="93"/>
  <c r="B137" i="92"/>
  <c r="I136" i="92"/>
  <c r="DV41" i="71"/>
  <c r="EC41" i="71" s="1"/>
  <c r="CT42" i="71"/>
  <c r="CV41" i="71"/>
  <c r="CW42" i="71" s="1"/>
  <c r="P41" i="2"/>
  <c r="D41" i="2"/>
  <c r="B40" i="2"/>
  <c r="N41" i="2"/>
  <c r="M41" i="2"/>
  <c r="L41" i="2"/>
  <c r="K41" i="2"/>
  <c r="O41" i="2"/>
  <c r="J41" i="2"/>
  <c r="I41" i="2"/>
  <c r="A42" i="2"/>
  <c r="F39" i="2"/>
  <c r="E75" i="123" l="1"/>
  <c r="H75" i="123"/>
  <c r="G75" i="123"/>
  <c r="F75" i="123"/>
  <c r="H74" i="123"/>
  <c r="E74" i="123"/>
  <c r="G74" i="123"/>
  <c r="F74" i="123"/>
  <c r="B76" i="123"/>
  <c r="A77" i="123"/>
  <c r="A77" i="120"/>
  <c r="M72" i="115"/>
  <c r="K72" i="115"/>
  <c r="S72" i="115"/>
  <c r="W72" i="115"/>
  <c r="Q72" i="115"/>
  <c r="O72" i="115"/>
  <c r="Y72" i="115"/>
  <c r="U72" i="115"/>
  <c r="Y42" i="115"/>
  <c r="S42" i="115"/>
  <c r="Q42" i="115"/>
  <c r="W42" i="115"/>
  <c r="M42" i="115"/>
  <c r="K42" i="115"/>
  <c r="O42" i="115"/>
  <c r="U42" i="115"/>
  <c r="Y74" i="115"/>
  <c r="W74" i="115"/>
  <c r="Q74" i="115"/>
  <c r="O74" i="115"/>
  <c r="M74" i="115"/>
  <c r="K74" i="115"/>
  <c r="S74" i="115"/>
  <c r="U74" i="115"/>
  <c r="O75" i="115"/>
  <c r="Y75" i="115"/>
  <c r="W75" i="115"/>
  <c r="S75" i="115"/>
  <c r="Q75" i="115"/>
  <c r="K75" i="115"/>
  <c r="M75" i="115"/>
  <c r="U75" i="115"/>
  <c r="A77" i="117"/>
  <c r="B64" i="110"/>
  <c r="E64" i="110" s="1"/>
  <c r="H63" i="110"/>
  <c r="G63" i="110"/>
  <c r="H40" i="2"/>
  <c r="G40" i="2"/>
  <c r="EF42" i="71"/>
  <c r="ED42" i="71"/>
  <c r="EE42" i="71"/>
  <c r="DE43" i="71"/>
  <c r="EB42" i="71"/>
  <c r="DI43" i="71"/>
  <c r="DY42" i="71"/>
  <c r="DZ42" i="71"/>
  <c r="EA42" i="71"/>
  <c r="DN42" i="71"/>
  <c r="DJ42" i="71"/>
  <c r="DK43" i="71" s="1"/>
  <c r="DD42" i="71"/>
  <c r="DH42" i="71"/>
  <c r="DF42" i="71"/>
  <c r="DG43" i="71" s="1"/>
  <c r="DB42" i="71"/>
  <c r="DC43" i="71" s="1"/>
  <c r="CX42" i="71"/>
  <c r="CY43" i="71" s="1"/>
  <c r="CZ42" i="71"/>
  <c r="DA43" i="71" s="1"/>
  <c r="N65" i="110"/>
  <c r="C65" i="110"/>
  <c r="M65" i="110"/>
  <c r="O65" i="110"/>
  <c r="L65" i="110"/>
  <c r="D65" i="110"/>
  <c r="K65" i="110"/>
  <c r="J65" i="110"/>
  <c r="P65" i="110"/>
  <c r="I65" i="110"/>
  <c r="A66" i="110"/>
  <c r="E63" i="110"/>
  <c r="F63" i="110"/>
  <c r="BP196" i="99"/>
  <c r="BN196" i="99"/>
  <c r="BR196" i="99"/>
  <c r="BQ196" i="99"/>
  <c r="BO196" i="99"/>
  <c r="AJ197" i="99"/>
  <c r="AU197" i="99"/>
  <c r="AK198" i="99"/>
  <c r="AR198" i="99"/>
  <c r="AQ198" i="99"/>
  <c r="AM198" i="99"/>
  <c r="AO198" i="99"/>
  <c r="AP198" i="99"/>
  <c r="AN198" i="99"/>
  <c r="AL198" i="99"/>
  <c r="BB198" i="99"/>
  <c r="AV198" i="99"/>
  <c r="BA198" i="99"/>
  <c r="AX198" i="99"/>
  <c r="AW198" i="99"/>
  <c r="AZ198" i="99"/>
  <c r="AY198" i="99"/>
  <c r="BC198" i="99"/>
  <c r="B139" i="95"/>
  <c r="B139" i="94"/>
  <c r="B139" i="93"/>
  <c r="B138" i="92"/>
  <c r="I137" i="92"/>
  <c r="DP23" i="71"/>
  <c r="DV42" i="71"/>
  <c r="EC42" i="71" s="1"/>
  <c r="CT43" i="71"/>
  <c r="CV42" i="71"/>
  <c r="CW43" i="71" s="1"/>
  <c r="B41" i="2"/>
  <c r="D42" i="2"/>
  <c r="P42" i="2"/>
  <c r="F40" i="2"/>
  <c r="N42" i="2"/>
  <c r="M42" i="2"/>
  <c r="L42" i="2"/>
  <c r="K42" i="2"/>
  <c r="O42" i="2"/>
  <c r="J42" i="2"/>
  <c r="I42" i="2"/>
  <c r="A43" i="2"/>
  <c r="H76" i="123" l="1"/>
  <c r="E76" i="123"/>
  <c r="F76" i="123"/>
  <c r="G76" i="123"/>
  <c r="A78" i="123"/>
  <c r="A78" i="120"/>
  <c r="K61" i="115"/>
  <c r="M61" i="115"/>
  <c r="Y61" i="115"/>
  <c r="W61" i="115"/>
  <c r="S61" i="115"/>
  <c r="O61" i="115"/>
  <c r="Q61" i="115"/>
  <c r="U61" i="115"/>
  <c r="A78" i="117"/>
  <c r="F64" i="110"/>
  <c r="G64" i="110"/>
  <c r="H64" i="110"/>
  <c r="H41" i="2"/>
  <c r="G41" i="2"/>
  <c r="EF43" i="71"/>
  <c r="CY44" i="71"/>
  <c r="EA43" i="71"/>
  <c r="ED43" i="71"/>
  <c r="EE43" i="71"/>
  <c r="DN43" i="71"/>
  <c r="DF43" i="71"/>
  <c r="DG44" i="71" s="1"/>
  <c r="DD43" i="71"/>
  <c r="DE44" i="71" s="1"/>
  <c r="DB43" i="71"/>
  <c r="DC44" i="71" s="1"/>
  <c r="CZ43" i="71"/>
  <c r="DA44" i="71" s="1"/>
  <c r="CX43" i="71"/>
  <c r="DJ43" i="71"/>
  <c r="DH43" i="71"/>
  <c r="DI44" i="71" s="1"/>
  <c r="DY43" i="71"/>
  <c r="DK44" i="71"/>
  <c r="DZ43" i="71"/>
  <c r="EB43" i="71"/>
  <c r="B65" i="110"/>
  <c r="E65" i="110" s="1"/>
  <c r="L66" i="110"/>
  <c r="K66" i="110"/>
  <c r="N66" i="110"/>
  <c r="J66" i="110"/>
  <c r="I66" i="110"/>
  <c r="P66" i="110"/>
  <c r="D66" i="110"/>
  <c r="O66" i="110"/>
  <c r="C66" i="110"/>
  <c r="M66" i="110"/>
  <c r="A67" i="110"/>
  <c r="BP197" i="99"/>
  <c r="BN197" i="99"/>
  <c r="BR197" i="99"/>
  <c r="BQ197" i="99"/>
  <c r="BO197" i="99"/>
  <c r="AJ198" i="99"/>
  <c r="AU198" i="99"/>
  <c r="AQ199" i="99"/>
  <c r="AK199" i="99"/>
  <c r="AR199" i="99"/>
  <c r="AO199" i="99"/>
  <c r="AN199" i="99"/>
  <c r="AM199" i="99"/>
  <c r="AL199" i="99"/>
  <c r="AP199" i="99"/>
  <c r="BC199" i="99"/>
  <c r="BB199" i="99"/>
  <c r="AZ199" i="99"/>
  <c r="AY199" i="99"/>
  <c r="AX199" i="99"/>
  <c r="AV199" i="99"/>
  <c r="BA199" i="99"/>
  <c r="AW199" i="99"/>
  <c r="B140" i="95"/>
  <c r="B140" i="94"/>
  <c r="B140" i="93"/>
  <c r="B139" i="92"/>
  <c r="I138" i="92"/>
  <c r="CT44" i="71"/>
  <c r="CV43" i="71"/>
  <c r="CW44" i="71" s="1"/>
  <c r="DV43" i="71"/>
  <c r="EC43" i="71" s="1"/>
  <c r="B42" i="2"/>
  <c r="D43" i="2"/>
  <c r="P43" i="2"/>
  <c r="F41" i="2"/>
  <c r="N43" i="2"/>
  <c r="M43" i="2"/>
  <c r="L43" i="2"/>
  <c r="K43" i="2"/>
  <c r="A44" i="2"/>
  <c r="O43" i="2"/>
  <c r="J43" i="2"/>
  <c r="I43" i="2"/>
  <c r="B77" i="123" l="1"/>
  <c r="A79" i="123"/>
  <c r="B78" i="123"/>
  <c r="A79" i="120"/>
  <c r="A79" i="117"/>
  <c r="F65" i="110"/>
  <c r="H65" i="110"/>
  <c r="G65" i="110"/>
  <c r="D27" i="49"/>
  <c r="H42" i="2"/>
  <c r="G42" i="2"/>
  <c r="EB44" i="71"/>
  <c r="EE44" i="71"/>
  <c r="DC45" i="71"/>
  <c r="ED44" i="71"/>
  <c r="DA45" i="71"/>
  <c r="EF44" i="71"/>
  <c r="DN44" i="71"/>
  <c r="DJ44" i="71"/>
  <c r="DK45" i="71" s="1"/>
  <c r="DH44" i="71"/>
  <c r="DI45" i="71" s="1"/>
  <c r="DF44" i="71"/>
  <c r="DG45" i="71" s="1"/>
  <c r="DD44" i="71"/>
  <c r="DE45" i="71" s="1"/>
  <c r="DB44" i="71"/>
  <c r="CZ44" i="71"/>
  <c r="CX44" i="71"/>
  <c r="DZ44" i="71"/>
  <c r="DY44" i="71"/>
  <c r="CY45" i="71"/>
  <c r="EA44" i="71"/>
  <c r="B66" i="110"/>
  <c r="J67" i="110"/>
  <c r="I67" i="110"/>
  <c r="P67" i="110"/>
  <c r="D67" i="110"/>
  <c r="O67" i="110"/>
  <c r="C67" i="110"/>
  <c r="L67" i="110"/>
  <c r="N67" i="110"/>
  <c r="K67" i="110"/>
  <c r="M67" i="110"/>
  <c r="A68" i="110"/>
  <c r="BP198" i="99"/>
  <c r="BN198" i="99"/>
  <c r="BQ198" i="99"/>
  <c r="BR198" i="99"/>
  <c r="BO198" i="99"/>
  <c r="AJ199" i="99"/>
  <c r="AK200" i="99"/>
  <c r="AR200" i="99"/>
  <c r="AN200" i="99"/>
  <c r="AP200" i="99"/>
  <c r="AQ200" i="99"/>
  <c r="AO200" i="99"/>
  <c r="AM200" i="99"/>
  <c r="AL200" i="99"/>
  <c r="AU199" i="99"/>
  <c r="AV200" i="99"/>
  <c r="AW200" i="99"/>
  <c r="BB200" i="99"/>
  <c r="BA200" i="99"/>
  <c r="AZ200" i="99"/>
  <c r="AX200" i="99"/>
  <c r="BC200" i="99"/>
  <c r="AY200" i="99"/>
  <c r="B141" i="95"/>
  <c r="B141" i="94"/>
  <c r="B141" i="93"/>
  <c r="I139" i="92"/>
  <c r="B140" i="92"/>
  <c r="DP28" i="71"/>
  <c r="DV44" i="71"/>
  <c r="EC44" i="71" s="1"/>
  <c r="CT45" i="71"/>
  <c r="CV44" i="71"/>
  <c r="CW45" i="71" s="1"/>
  <c r="P44" i="2"/>
  <c r="D44" i="2"/>
  <c r="B43" i="2"/>
  <c r="M44" i="2"/>
  <c r="L44" i="2"/>
  <c r="K44" i="2"/>
  <c r="N44" i="2"/>
  <c r="J44" i="2"/>
  <c r="I44" i="2"/>
  <c r="A45" i="2"/>
  <c r="O44" i="2"/>
  <c r="F42" i="2"/>
  <c r="E78" i="123" l="1"/>
  <c r="H78" i="123"/>
  <c r="G78" i="123"/>
  <c r="F78" i="123"/>
  <c r="A80" i="123"/>
  <c r="H77" i="123"/>
  <c r="G77" i="123"/>
  <c r="E77" i="123"/>
  <c r="F77" i="123"/>
  <c r="A80" i="120"/>
  <c r="O51" i="115"/>
  <c r="K51" i="115"/>
  <c r="M51" i="115"/>
  <c r="Y51" i="115"/>
  <c r="W51" i="115"/>
  <c r="S51" i="115"/>
  <c r="Q51" i="115"/>
  <c r="U51" i="115"/>
  <c r="A80" i="117"/>
  <c r="H66" i="110"/>
  <c r="G66" i="110"/>
  <c r="H43" i="2"/>
  <c r="G43" i="2"/>
  <c r="DY45" i="71"/>
  <c r="EB45" i="71"/>
  <c r="DK46" i="71"/>
  <c r="DZ45" i="71"/>
  <c r="EE45" i="71"/>
  <c r="CY46" i="71"/>
  <c r="EA45" i="71"/>
  <c r="DN45" i="71"/>
  <c r="DB45" i="71"/>
  <c r="DC46" i="71" s="1"/>
  <c r="CZ45" i="71"/>
  <c r="CX45" i="71"/>
  <c r="DJ45" i="71"/>
  <c r="DH45" i="71"/>
  <c r="DI46" i="71" s="1"/>
  <c r="DD45" i="71"/>
  <c r="DE46" i="71" s="1"/>
  <c r="DF45" i="71"/>
  <c r="DG46" i="71" s="1"/>
  <c r="DA46" i="71"/>
  <c r="EF45" i="71"/>
  <c r="ED45" i="71"/>
  <c r="B67" i="110"/>
  <c r="P68" i="110"/>
  <c r="D68" i="110"/>
  <c r="O68" i="110"/>
  <c r="C68" i="110"/>
  <c r="N68" i="110"/>
  <c r="I68" i="110"/>
  <c r="M68" i="110"/>
  <c r="L68" i="110"/>
  <c r="K68" i="110"/>
  <c r="J68" i="110"/>
  <c r="A69" i="110"/>
  <c r="F66" i="110"/>
  <c r="E66" i="110"/>
  <c r="BP199" i="99"/>
  <c r="BN199" i="99"/>
  <c r="BR199" i="99"/>
  <c r="BQ199" i="99"/>
  <c r="BO199" i="99"/>
  <c r="AJ200" i="99"/>
  <c r="AU200" i="99"/>
  <c r="AK201" i="99"/>
  <c r="AR201" i="99"/>
  <c r="AQ201" i="99"/>
  <c r="AO201" i="99"/>
  <c r="AM201" i="99"/>
  <c r="AP201" i="99"/>
  <c r="AN201" i="99"/>
  <c r="AL201" i="99"/>
  <c r="AV201" i="99"/>
  <c r="BB201" i="99"/>
  <c r="AZ201" i="99"/>
  <c r="AY201" i="99"/>
  <c r="AX201" i="99"/>
  <c r="BC201" i="99"/>
  <c r="BA201" i="99"/>
  <c r="AW201" i="99"/>
  <c r="B142" i="95"/>
  <c r="B142" i="94"/>
  <c r="B142" i="93"/>
  <c r="I140" i="92"/>
  <c r="B141" i="92"/>
  <c r="AM1" i="31"/>
  <c r="AZ1" i="31" s="1"/>
  <c r="AS1" i="31"/>
  <c r="AV1" i="31" s="1"/>
  <c r="AX1" i="31" s="1"/>
  <c r="DV45" i="71"/>
  <c r="EC45" i="71" s="1"/>
  <c r="CT46" i="71"/>
  <c r="CV45" i="71"/>
  <c r="CW46" i="71" s="1"/>
  <c r="B44" i="2"/>
  <c r="P45" i="2"/>
  <c r="D45" i="2"/>
  <c r="Z1" i="31"/>
  <c r="AB1" i="31" s="1"/>
  <c r="K1" i="31"/>
  <c r="J4" i="31" s="1"/>
  <c r="N1" i="31"/>
  <c r="F43" i="2"/>
  <c r="AG1" i="31"/>
  <c r="L45" i="2"/>
  <c r="K45" i="2"/>
  <c r="M45" i="2"/>
  <c r="N45" i="2"/>
  <c r="O45" i="2"/>
  <c r="J45" i="2"/>
  <c r="I45" i="2"/>
  <c r="A46" i="2"/>
  <c r="A81" i="123" l="1"/>
  <c r="B79" i="123"/>
  <c r="A81" i="120"/>
  <c r="A81" i="117"/>
  <c r="B68" i="110"/>
  <c r="F68" i="110" s="1"/>
  <c r="F67" i="110"/>
  <c r="H67" i="110"/>
  <c r="G67" i="110"/>
  <c r="G44" i="2"/>
  <c r="H44" i="2"/>
  <c r="ED46" i="71"/>
  <c r="EE46" i="71"/>
  <c r="EB46" i="71"/>
  <c r="DY46" i="71"/>
  <c r="EA46" i="71"/>
  <c r="EF46" i="71"/>
  <c r="DZ46" i="71"/>
  <c r="DN46" i="71"/>
  <c r="DJ46" i="71"/>
  <c r="DK47" i="71" s="1"/>
  <c r="DH46" i="71"/>
  <c r="DI47" i="71" s="1"/>
  <c r="DF46" i="71"/>
  <c r="DG47" i="71" s="1"/>
  <c r="DD46" i="71"/>
  <c r="DE47" i="71" s="1"/>
  <c r="DB46" i="71"/>
  <c r="DC47" i="71" s="1"/>
  <c r="CZ46" i="71"/>
  <c r="DA47" i="71" s="1"/>
  <c r="CX46" i="71"/>
  <c r="CY47" i="71" s="1"/>
  <c r="E67" i="110"/>
  <c r="N69" i="110"/>
  <c r="P69" i="110"/>
  <c r="O69" i="110"/>
  <c r="M69" i="110"/>
  <c r="L69" i="110"/>
  <c r="D69" i="110"/>
  <c r="K69" i="110"/>
  <c r="C69" i="110"/>
  <c r="J69" i="110"/>
  <c r="I69" i="110"/>
  <c r="A70" i="110"/>
  <c r="BP200" i="99"/>
  <c r="BN200" i="99"/>
  <c r="BR200" i="99"/>
  <c r="BQ200" i="99"/>
  <c r="BO200" i="99"/>
  <c r="AJ201" i="99"/>
  <c r="AU201" i="99"/>
  <c r="AR202" i="99"/>
  <c r="AK202" i="99"/>
  <c r="AQ202" i="99"/>
  <c r="AO202" i="99"/>
  <c r="AM202" i="99"/>
  <c r="AP202" i="99"/>
  <c r="AL202" i="99"/>
  <c r="AN202" i="99"/>
  <c r="AV202" i="99"/>
  <c r="BB202" i="99"/>
  <c r="BA202" i="99"/>
  <c r="AZ202" i="99"/>
  <c r="AX202" i="99"/>
  <c r="AY202" i="99"/>
  <c r="BC202" i="99"/>
  <c r="AW202" i="99"/>
  <c r="B143" i="95"/>
  <c r="B143" i="94"/>
  <c r="B143" i="93"/>
  <c r="B142" i="92"/>
  <c r="I141" i="92"/>
  <c r="DP33" i="71"/>
  <c r="DV46" i="71"/>
  <c r="EC46" i="71" s="1"/>
  <c r="CT47" i="71"/>
  <c r="CV46" i="71"/>
  <c r="CW47" i="71" s="1"/>
  <c r="B45" i="2"/>
  <c r="D46" i="2"/>
  <c r="P46" i="2"/>
  <c r="K46" i="2"/>
  <c r="L46" i="2"/>
  <c r="N46" i="2"/>
  <c r="M46" i="2"/>
  <c r="O46" i="2"/>
  <c r="J46" i="2"/>
  <c r="I46" i="2"/>
  <c r="A47" i="2"/>
  <c r="K16" i="31"/>
  <c r="K153" i="31"/>
  <c r="K196" i="31"/>
  <c r="K10" i="31"/>
  <c r="K67" i="31"/>
  <c r="K86" i="31"/>
  <c r="K100" i="31"/>
  <c r="K111" i="31"/>
  <c r="K72" i="31"/>
  <c r="K131" i="31"/>
  <c r="K62" i="31"/>
  <c r="K174" i="31"/>
  <c r="K36" i="31"/>
  <c r="K150" i="31"/>
  <c r="K106" i="31"/>
  <c r="K24" i="31"/>
  <c r="K103" i="31"/>
  <c r="K63" i="31"/>
  <c r="K23" i="31"/>
  <c r="K156" i="31"/>
  <c r="K136" i="31"/>
  <c r="K56" i="31"/>
  <c r="K22" i="31"/>
  <c r="K141" i="31"/>
  <c r="K149" i="31"/>
  <c r="K38" i="31"/>
  <c r="K121" i="31"/>
  <c r="K118" i="31"/>
  <c r="K166" i="31"/>
  <c r="K15" i="31"/>
  <c r="K113" i="31"/>
  <c r="K47" i="31"/>
  <c r="K180" i="31"/>
  <c r="K52" i="31"/>
  <c r="K134" i="31"/>
  <c r="K91" i="31"/>
  <c r="K7" i="31"/>
  <c r="K8" i="31"/>
  <c r="K182" i="31"/>
  <c r="K168" i="31"/>
  <c r="K97" i="31"/>
  <c r="K93" i="31"/>
  <c r="K146" i="31"/>
  <c r="K26" i="31"/>
  <c r="K98" i="31"/>
  <c r="K147" i="31"/>
  <c r="K161" i="31"/>
  <c r="K117" i="31"/>
  <c r="K110" i="31"/>
  <c r="K199" i="31"/>
  <c r="K200" i="31"/>
  <c r="K185" i="31"/>
  <c r="K12" i="31"/>
  <c r="K132" i="31"/>
  <c r="K158" i="31"/>
  <c r="K115" i="31"/>
  <c r="K78" i="31"/>
  <c r="K112" i="31"/>
  <c r="K194" i="31"/>
  <c r="K144" i="31"/>
  <c r="K32" i="31"/>
  <c r="K17" i="31"/>
  <c r="K195" i="31"/>
  <c r="K116" i="31"/>
  <c r="K186" i="31"/>
  <c r="K89" i="31"/>
  <c r="K40" i="31"/>
  <c r="K152" i="31"/>
  <c r="K165" i="31"/>
  <c r="K18" i="31"/>
  <c r="K172" i="31"/>
  <c r="K181" i="31"/>
  <c r="K27" i="31"/>
  <c r="K21" i="31"/>
  <c r="K73" i="31"/>
  <c r="K60" i="31"/>
  <c r="K69" i="31"/>
  <c r="K57" i="31"/>
  <c r="K129" i="31"/>
  <c r="K31" i="31"/>
  <c r="K84" i="31"/>
  <c r="K123" i="31"/>
  <c r="K148" i="31"/>
  <c r="K44" i="31"/>
  <c r="K175" i="31"/>
  <c r="K189" i="31"/>
  <c r="K39" i="31"/>
  <c r="K76" i="31"/>
  <c r="K114" i="31"/>
  <c r="K190" i="31"/>
  <c r="K179" i="31"/>
  <c r="K197" i="31"/>
  <c r="K45" i="31"/>
  <c r="K28" i="31"/>
  <c r="K137" i="31"/>
  <c r="K19" i="31"/>
  <c r="K193" i="31"/>
  <c r="K90" i="31"/>
  <c r="K13" i="31"/>
  <c r="K30" i="31"/>
  <c r="K77" i="31"/>
  <c r="K133" i="31"/>
  <c r="K6" i="31"/>
  <c r="K71" i="31"/>
  <c r="K177" i="31"/>
  <c r="K198" i="31"/>
  <c r="K142" i="31"/>
  <c r="K191" i="31"/>
  <c r="K58" i="31"/>
  <c r="K35" i="31"/>
  <c r="K122" i="31"/>
  <c r="K80" i="31"/>
  <c r="K127" i="31"/>
  <c r="K151" i="31"/>
  <c r="K140" i="31"/>
  <c r="K138" i="31"/>
  <c r="K46" i="31"/>
  <c r="K55" i="31"/>
  <c r="K109" i="31"/>
  <c r="K74" i="31"/>
  <c r="K169" i="31"/>
  <c r="K128" i="31"/>
  <c r="K171" i="31"/>
  <c r="K33" i="31"/>
  <c r="K157" i="31"/>
  <c r="K79" i="31"/>
  <c r="K14" i="31"/>
  <c r="K94" i="31"/>
  <c r="K68" i="31"/>
  <c r="K53" i="31"/>
  <c r="K48" i="31"/>
  <c r="K183" i="31"/>
  <c r="K49" i="31"/>
  <c r="K105" i="31"/>
  <c r="K170" i="31"/>
  <c r="K173" i="31"/>
  <c r="K37" i="31"/>
  <c r="K135" i="31"/>
  <c r="K88" i="31"/>
  <c r="K50" i="31"/>
  <c r="K64" i="31"/>
  <c r="K107" i="31"/>
  <c r="K163" i="31"/>
  <c r="K124" i="31"/>
  <c r="K143" i="31"/>
  <c r="K99" i="31"/>
  <c r="K160" i="31"/>
  <c r="K119" i="31"/>
  <c r="K159" i="31"/>
  <c r="K145" i="31"/>
  <c r="K120" i="31"/>
  <c r="K101" i="31"/>
  <c r="K187" i="31"/>
  <c r="K54" i="31"/>
  <c r="K66" i="31"/>
  <c r="K125" i="31"/>
  <c r="K25" i="31"/>
  <c r="K192" i="31"/>
  <c r="K75" i="31"/>
  <c r="K108" i="31"/>
  <c r="K102" i="31"/>
  <c r="K184" i="31"/>
  <c r="K59" i="31"/>
  <c r="K176" i="31"/>
  <c r="K11" i="31"/>
  <c r="K139" i="31"/>
  <c r="K65" i="31"/>
  <c r="K43" i="31"/>
  <c r="K20" i="31"/>
  <c r="K29" i="31"/>
  <c r="K154" i="31"/>
  <c r="K42" i="31"/>
  <c r="K87" i="31"/>
  <c r="K155" i="31"/>
  <c r="K167" i="31"/>
  <c r="K82" i="31"/>
  <c r="K34" i="31"/>
  <c r="K201" i="31"/>
  <c r="K85" i="31"/>
  <c r="K5" i="31"/>
  <c r="K104" i="31"/>
  <c r="K61" i="31"/>
  <c r="K51" i="31"/>
  <c r="K130" i="31"/>
  <c r="K202" i="31"/>
  <c r="K178" i="31"/>
  <c r="K83" i="31"/>
  <c r="K188" i="31"/>
  <c r="K41" i="31"/>
  <c r="K95" i="31"/>
  <c r="K81" i="31"/>
  <c r="K92" i="31"/>
  <c r="K126" i="31"/>
  <c r="K96" i="31"/>
  <c r="K162" i="31"/>
  <c r="K164" i="31"/>
  <c r="K9" i="31"/>
  <c r="K70" i="31"/>
  <c r="F44" i="2"/>
  <c r="H79" i="123" l="1"/>
  <c r="G79" i="123"/>
  <c r="F79" i="123"/>
  <c r="E79" i="123"/>
  <c r="A82" i="123"/>
  <c r="B80" i="123"/>
  <c r="A82" i="120"/>
  <c r="A82" i="117"/>
  <c r="E68" i="110"/>
  <c r="H68" i="110"/>
  <c r="G68" i="110"/>
  <c r="H45" i="2"/>
  <c r="G45" i="2"/>
  <c r="DZ47" i="71"/>
  <c r="DY47" i="71"/>
  <c r="ED47" i="71"/>
  <c r="EB47" i="71"/>
  <c r="DG48" i="71"/>
  <c r="EE47" i="71"/>
  <c r="DA48" i="71"/>
  <c r="EF47" i="71"/>
  <c r="DN47" i="71"/>
  <c r="DF47" i="71"/>
  <c r="CX47" i="71"/>
  <c r="CZ47" i="71"/>
  <c r="DJ47" i="71"/>
  <c r="DK48" i="71" s="1"/>
  <c r="DH47" i="71"/>
  <c r="DI48" i="71" s="1"/>
  <c r="DD47" i="71"/>
  <c r="DE48" i="71" s="1"/>
  <c r="DB47" i="71"/>
  <c r="DC48" i="71" s="1"/>
  <c r="CY48" i="71"/>
  <c r="EA47" i="71"/>
  <c r="L70" i="110"/>
  <c r="K70" i="110"/>
  <c r="M70" i="110"/>
  <c r="J70" i="110"/>
  <c r="I70" i="110"/>
  <c r="P70" i="110"/>
  <c r="D70" i="110"/>
  <c r="N70" i="110"/>
  <c r="O70" i="110"/>
  <c r="C70" i="110"/>
  <c r="A71" i="110"/>
  <c r="B69" i="110"/>
  <c r="BP201" i="99"/>
  <c r="BN201" i="99"/>
  <c r="BR201" i="99"/>
  <c r="BQ201" i="99"/>
  <c r="BO201" i="99"/>
  <c r="AJ202" i="99"/>
  <c r="AU202" i="99"/>
  <c r="AK203" i="99"/>
  <c r="AR203" i="99"/>
  <c r="AO203" i="99"/>
  <c r="AQ203" i="99"/>
  <c r="AM203" i="99"/>
  <c r="AP203" i="99"/>
  <c r="AN203" i="99"/>
  <c r="AL203" i="99"/>
  <c r="AV203" i="99"/>
  <c r="BC203" i="99"/>
  <c r="BB203" i="99"/>
  <c r="AZ203" i="99"/>
  <c r="AW203" i="99"/>
  <c r="AY203" i="99"/>
  <c r="BA203" i="99"/>
  <c r="AX203" i="99"/>
  <c r="B144" i="95"/>
  <c r="B144" i="94"/>
  <c r="B144" i="93"/>
  <c r="B143" i="92"/>
  <c r="I142" i="92"/>
  <c r="AW204" i="31"/>
  <c r="AN204" i="31"/>
  <c r="X204" i="31"/>
  <c r="P204" i="31"/>
  <c r="Y204" i="31"/>
  <c r="AV204" i="31"/>
  <c r="AM204" i="31"/>
  <c r="AE204" i="31"/>
  <c r="W204" i="31"/>
  <c r="O204" i="31"/>
  <c r="Q204" i="31"/>
  <c r="AU204" i="31"/>
  <c r="AL204" i="31"/>
  <c r="AD204" i="31"/>
  <c r="V204" i="31"/>
  <c r="N204" i="31"/>
  <c r="AS204" i="31"/>
  <c r="AK204" i="31"/>
  <c r="AC204" i="31"/>
  <c r="U204" i="31"/>
  <c r="AR204" i="31"/>
  <c r="AJ204" i="31"/>
  <c r="T204" i="31"/>
  <c r="AX204" i="31"/>
  <c r="AZ204" i="31"/>
  <c r="AQ204" i="31"/>
  <c r="AI204" i="31"/>
  <c r="S204" i="31"/>
  <c r="AO204" i="31"/>
  <c r="AY204" i="31"/>
  <c r="AP204" i="31"/>
  <c r="AH204" i="31"/>
  <c r="Z204" i="31"/>
  <c r="R204" i="31"/>
  <c r="AG204" i="31"/>
  <c r="AT204" i="31"/>
  <c r="DV47" i="71"/>
  <c r="EC47" i="71" s="1"/>
  <c r="CT48" i="71"/>
  <c r="CV47" i="71"/>
  <c r="CW48" i="71" s="1"/>
  <c r="B46" i="2"/>
  <c r="D47" i="2"/>
  <c r="P47" i="2"/>
  <c r="BD37" i="31"/>
  <c r="BD186" i="31"/>
  <c r="BL16" i="31"/>
  <c r="BI16" i="31"/>
  <c r="BH16" i="31"/>
  <c r="F45" i="2"/>
  <c r="BH92" i="31"/>
  <c r="BI92" i="31"/>
  <c r="BL92" i="31"/>
  <c r="BD92" i="31"/>
  <c r="BL82" i="31"/>
  <c r="BD82" i="31"/>
  <c r="BI43" i="31"/>
  <c r="BH43" i="31"/>
  <c r="BL43" i="31"/>
  <c r="BL101" i="31"/>
  <c r="BL124" i="31"/>
  <c r="BI124" i="31"/>
  <c r="BH124" i="31"/>
  <c r="BL94" i="31"/>
  <c r="BD94" i="31"/>
  <c r="BI94" i="31"/>
  <c r="BH94" i="31"/>
  <c r="BH71" i="31"/>
  <c r="BI71" i="31"/>
  <c r="BL71" i="31"/>
  <c r="BD71" i="31"/>
  <c r="BI19" i="31"/>
  <c r="BL19" i="31"/>
  <c r="BD19" i="31"/>
  <c r="BH19" i="31"/>
  <c r="BL76" i="31"/>
  <c r="BD76" i="31"/>
  <c r="BD181" i="31"/>
  <c r="BL181" i="31"/>
  <c r="BD115" i="31"/>
  <c r="BL115" i="31"/>
  <c r="BD117" i="31"/>
  <c r="BL117" i="31"/>
  <c r="BD47" i="31"/>
  <c r="BD24" i="31"/>
  <c r="N47" i="2"/>
  <c r="M47" i="2"/>
  <c r="K47" i="2"/>
  <c r="L47" i="2"/>
  <c r="O47" i="2"/>
  <c r="J47" i="2"/>
  <c r="I47" i="2"/>
  <c r="A48" i="2"/>
  <c r="BH127" i="31"/>
  <c r="BI127" i="31"/>
  <c r="BD193" i="31"/>
  <c r="BI193" i="31"/>
  <c r="BL193" i="31"/>
  <c r="BH193" i="31"/>
  <c r="BD84" i="31"/>
  <c r="BI84" i="31"/>
  <c r="BH84" i="31"/>
  <c r="BL180" i="31"/>
  <c r="BD180" i="31"/>
  <c r="BI103" i="31"/>
  <c r="BH103" i="31"/>
  <c r="BL103" i="31"/>
  <c r="BD81" i="31"/>
  <c r="BL137" i="31"/>
  <c r="BI137" i="31"/>
  <c r="BH137" i="31"/>
  <c r="BD137" i="31"/>
  <c r="BI70" i="31"/>
  <c r="BL70" i="31"/>
  <c r="BH70" i="31"/>
  <c r="BL95" i="31"/>
  <c r="BL139" i="31"/>
  <c r="BD139" i="31"/>
  <c r="BL145" i="31"/>
  <c r="BD145" i="31"/>
  <c r="BH145" i="31"/>
  <c r="BI145" i="31"/>
  <c r="BD55" i="31"/>
  <c r="BD35" i="31"/>
  <c r="BH133" i="31"/>
  <c r="BL133" i="31"/>
  <c r="BD133" i="31"/>
  <c r="BI133" i="31"/>
  <c r="BL28" i="31"/>
  <c r="BI28" i="31"/>
  <c r="BH28" i="31"/>
  <c r="BD57" i="31"/>
  <c r="BD17" i="31"/>
  <c r="BH132" i="31"/>
  <c r="BD132" i="31"/>
  <c r="BI132" i="31"/>
  <c r="BL132" i="31"/>
  <c r="BH147" i="31"/>
  <c r="BI147" i="31"/>
  <c r="BL147" i="31"/>
  <c r="BD147" i="31"/>
  <c r="BD15" i="31"/>
  <c r="BH15" i="31"/>
  <c r="BI15" i="31"/>
  <c r="BH56" i="31"/>
  <c r="BI56" i="31"/>
  <c r="BL56" i="31"/>
  <c r="BL86" i="31"/>
  <c r="BD86" i="31"/>
  <c r="BD20" i="31"/>
  <c r="BI169" i="31"/>
  <c r="BL169" i="31"/>
  <c r="BH169" i="31"/>
  <c r="BD110" i="31"/>
  <c r="BH14" i="31"/>
  <c r="BD14" i="31"/>
  <c r="BI14" i="31"/>
  <c r="BL14" i="31"/>
  <c r="BD122" i="31"/>
  <c r="BL122" i="31"/>
  <c r="BH122" i="31"/>
  <c r="BI122" i="31"/>
  <c r="BH22" i="31"/>
  <c r="BI22" i="31"/>
  <c r="BD22" i="31"/>
  <c r="BD87" i="31"/>
  <c r="BL87" i="31"/>
  <c r="BI11" i="31"/>
  <c r="BD11" i="31"/>
  <c r="BL11" i="31"/>
  <c r="BH11" i="31"/>
  <c r="BL49" i="31"/>
  <c r="BI49" i="31"/>
  <c r="BH49" i="31"/>
  <c r="BL58" i="31"/>
  <c r="BD58" i="31"/>
  <c r="BD175" i="31"/>
  <c r="BL165" i="31"/>
  <c r="BL32" i="31"/>
  <c r="BI32" i="31"/>
  <c r="BH32" i="31"/>
  <c r="BI12" i="31"/>
  <c r="BL12" i="31"/>
  <c r="BH12" i="31"/>
  <c r="BL7" i="31"/>
  <c r="BI166" i="31"/>
  <c r="BL166" i="31"/>
  <c r="BH166" i="31"/>
  <c r="BL136" i="31"/>
  <c r="BI136" i="31"/>
  <c r="BH136" i="31"/>
  <c r="BD136" i="31"/>
  <c r="BD67" i="31"/>
  <c r="BH67" i="31"/>
  <c r="BL67" i="31"/>
  <c r="BI67" i="31"/>
  <c r="BL51" i="31"/>
  <c r="BL6" i="31"/>
  <c r="BH195" i="31"/>
  <c r="BD195" i="31"/>
  <c r="BI195" i="31"/>
  <c r="BL195" i="31"/>
  <c r="BL176" i="31"/>
  <c r="BI176" i="31"/>
  <c r="BD176" i="31"/>
  <c r="BH176" i="31"/>
  <c r="BI191" i="31"/>
  <c r="BH191" i="31"/>
  <c r="BL191" i="31"/>
  <c r="BL44" i="31"/>
  <c r="BI44" i="31"/>
  <c r="BH44" i="31"/>
  <c r="BL152" i="31"/>
  <c r="BH152" i="31"/>
  <c r="BI152" i="31"/>
  <c r="BD144" i="31"/>
  <c r="BH91" i="31"/>
  <c r="BI91" i="31"/>
  <c r="BL91" i="31"/>
  <c r="BD91" i="31"/>
  <c r="BD156" i="31"/>
  <c r="BD174" i="31"/>
  <c r="BH187" i="31"/>
  <c r="BL187" i="31"/>
  <c r="BD187" i="31"/>
  <c r="BI187" i="31"/>
  <c r="BI177" i="31"/>
  <c r="BH177" i="31"/>
  <c r="BD177" i="31"/>
  <c r="BL177" i="31"/>
  <c r="BD114" i="31"/>
  <c r="BD97" i="31"/>
  <c r="BH149" i="31"/>
  <c r="BI149" i="31"/>
  <c r="BL72" i="31"/>
  <c r="BI72" i="31"/>
  <c r="BH72" i="31"/>
  <c r="BD164" i="31"/>
  <c r="K3" i="31"/>
  <c r="BI42" i="31"/>
  <c r="BH42" i="31"/>
  <c r="BD42" i="31"/>
  <c r="BL42" i="31"/>
  <c r="BL33" i="31"/>
  <c r="BI30" i="31"/>
  <c r="BH30" i="31"/>
  <c r="BD30" i="31"/>
  <c r="BD185" i="31"/>
  <c r="BL185" i="31"/>
  <c r="BH162" i="31"/>
  <c r="BI162" i="31"/>
  <c r="BD162" i="31"/>
  <c r="BH83" i="31"/>
  <c r="BD83" i="31"/>
  <c r="BL83" i="31"/>
  <c r="BI83" i="31"/>
  <c r="BD85" i="31"/>
  <c r="BI85" i="31"/>
  <c r="BH85" i="31"/>
  <c r="BL85" i="31"/>
  <c r="BL59" i="31"/>
  <c r="BD59" i="31"/>
  <c r="BH66" i="31"/>
  <c r="BD66" i="31"/>
  <c r="BI66" i="31"/>
  <c r="BL66" i="31"/>
  <c r="BL160" i="31"/>
  <c r="BL88" i="31"/>
  <c r="BD48" i="31"/>
  <c r="BH171" i="31"/>
  <c r="BL171" i="31"/>
  <c r="BD171" i="31"/>
  <c r="BI171" i="31"/>
  <c r="BD142" i="31"/>
  <c r="BD148" i="31"/>
  <c r="BI148" i="31"/>
  <c r="BH148" i="31"/>
  <c r="BD73" i="31"/>
  <c r="BI194" i="31"/>
  <c r="BH194" i="31"/>
  <c r="BL194" i="31"/>
  <c r="BD194" i="31"/>
  <c r="BD146" i="31"/>
  <c r="BI146" i="31"/>
  <c r="BH146" i="31"/>
  <c r="BL146" i="31"/>
  <c r="BD121" i="31"/>
  <c r="BI62" i="31"/>
  <c r="BL62" i="31"/>
  <c r="BH62" i="31"/>
  <c r="BD202" i="31"/>
  <c r="BH167" i="31"/>
  <c r="BL167" i="31"/>
  <c r="BI167" i="31"/>
  <c r="BD75" i="31"/>
  <c r="BD170" i="31"/>
  <c r="BI170" i="31"/>
  <c r="BL170" i="31"/>
  <c r="BH170" i="31"/>
  <c r="BI109" i="31"/>
  <c r="BH109" i="31"/>
  <c r="BL109" i="31"/>
  <c r="BD172" i="31"/>
  <c r="BD161" i="31"/>
  <c r="BD113" i="31"/>
  <c r="BL201" i="31"/>
  <c r="BD201" i="31"/>
  <c r="BD29" i="31"/>
  <c r="BL29" i="31"/>
  <c r="BI53" i="31"/>
  <c r="BD53" i="31"/>
  <c r="BH53" i="31"/>
  <c r="BL128" i="31"/>
  <c r="BD128" i="31"/>
  <c r="BI151" i="31"/>
  <c r="BL151" i="31"/>
  <c r="BH151" i="31"/>
  <c r="BD151" i="31"/>
  <c r="BL198" i="31"/>
  <c r="BD198" i="31"/>
  <c r="BI198" i="31"/>
  <c r="BH198" i="31"/>
  <c r="BL190" i="31"/>
  <c r="BL21" i="31"/>
  <c r="BH21" i="31"/>
  <c r="BI21" i="31"/>
  <c r="BD89" i="31"/>
  <c r="BH89" i="31"/>
  <c r="BI89" i="31"/>
  <c r="BI112" i="31"/>
  <c r="BL112" i="31"/>
  <c r="BH112" i="31"/>
  <c r="BL199" i="31"/>
  <c r="BL52" i="31"/>
  <c r="BH52" i="31"/>
  <c r="BI52" i="31"/>
  <c r="BH38" i="31"/>
  <c r="BL38" i="31"/>
  <c r="BD38" i="31"/>
  <c r="BI38" i="31"/>
  <c r="BL63" i="31"/>
  <c r="BD131" i="31"/>
  <c r="BD153" i="31"/>
  <c r="BL153" i="31"/>
  <c r="A83" i="123" l="1"/>
  <c r="H80" i="123"/>
  <c r="G80" i="123"/>
  <c r="F80" i="123"/>
  <c r="E80" i="123"/>
  <c r="B81" i="123"/>
  <c r="A83" i="120"/>
  <c r="A83" i="117"/>
  <c r="H69" i="110"/>
  <c r="G69" i="110"/>
  <c r="H46" i="2"/>
  <c r="G46" i="2"/>
  <c r="ED48" i="71"/>
  <c r="EB48" i="71"/>
  <c r="DI49" i="71"/>
  <c r="DY48" i="71"/>
  <c r="DK49" i="71"/>
  <c r="DZ48" i="71"/>
  <c r="EA48" i="71"/>
  <c r="DG49" i="71"/>
  <c r="EE48" i="71"/>
  <c r="DN48" i="71"/>
  <c r="DH48" i="71"/>
  <c r="DJ48" i="71"/>
  <c r="DF48" i="71"/>
  <c r="DD48" i="71"/>
  <c r="DE49" i="71" s="1"/>
  <c r="DB48" i="71"/>
  <c r="DC49" i="71" s="1"/>
  <c r="CZ48" i="71"/>
  <c r="CX48" i="71"/>
  <c r="CY49" i="71" s="1"/>
  <c r="DA49" i="71"/>
  <c r="EF48" i="71"/>
  <c r="B70" i="110"/>
  <c r="E69" i="110"/>
  <c r="F69" i="110"/>
  <c r="J71" i="110"/>
  <c r="I71" i="110"/>
  <c r="L71" i="110"/>
  <c r="P71" i="110"/>
  <c r="D71" i="110"/>
  <c r="K71" i="110"/>
  <c r="O71" i="110"/>
  <c r="C71" i="110"/>
  <c r="N71" i="110"/>
  <c r="M71" i="110"/>
  <c r="A72" i="110"/>
  <c r="BP202" i="99"/>
  <c r="BN202" i="99"/>
  <c r="BQ202" i="99"/>
  <c r="BR202" i="99"/>
  <c r="BO202" i="99"/>
  <c r="AJ203" i="99"/>
  <c r="AU203" i="99"/>
  <c r="AK204" i="99"/>
  <c r="AR204" i="99"/>
  <c r="AQ204" i="99"/>
  <c r="AO204" i="99"/>
  <c r="AM204" i="99"/>
  <c r="AN204" i="99"/>
  <c r="AL204" i="99"/>
  <c r="AP204" i="99"/>
  <c r="AV204" i="99"/>
  <c r="BB204" i="99"/>
  <c r="BA204" i="99"/>
  <c r="AZ204" i="99"/>
  <c r="BC204" i="99"/>
  <c r="AW204" i="99"/>
  <c r="AY204" i="99"/>
  <c r="AX204" i="99"/>
  <c r="B145" i="95"/>
  <c r="B145" i="94"/>
  <c r="B145" i="93"/>
  <c r="B144" i="92"/>
  <c r="I143" i="92"/>
  <c r="DP38" i="71"/>
  <c r="CT49" i="71"/>
  <c r="CV48" i="71"/>
  <c r="CW49" i="71" s="1"/>
  <c r="DV48" i="71"/>
  <c r="EC48" i="71" s="1"/>
  <c r="P48" i="2"/>
  <c r="D48" i="2"/>
  <c r="B47" i="2"/>
  <c r="BI4" i="31"/>
  <c r="F46" i="2"/>
  <c r="BL4" i="31"/>
  <c r="BH4" i="31"/>
  <c r="N48" i="2"/>
  <c r="M48" i="2"/>
  <c r="L48" i="2"/>
  <c r="K48" i="2"/>
  <c r="A49" i="2"/>
  <c r="O48" i="2"/>
  <c r="J48" i="2"/>
  <c r="I48" i="2"/>
  <c r="BD4" i="31"/>
  <c r="E81" i="123" l="1"/>
  <c r="H81" i="123"/>
  <c r="G81" i="123"/>
  <c r="F81" i="123"/>
  <c r="A84" i="123"/>
  <c r="B82" i="123"/>
  <c r="A84" i="120"/>
  <c r="A84" i="117"/>
  <c r="E70" i="110"/>
  <c r="H70" i="110"/>
  <c r="G70" i="110"/>
  <c r="AI1" i="31"/>
  <c r="H47" i="2"/>
  <c r="G47" i="2"/>
  <c r="EA49" i="71"/>
  <c r="EB49" i="71"/>
  <c r="ED49" i="71"/>
  <c r="DK50" i="71"/>
  <c r="DZ49" i="71"/>
  <c r="DN49" i="71"/>
  <c r="DB49" i="71"/>
  <c r="DC50" i="71" s="1"/>
  <c r="CZ49" i="71"/>
  <c r="DA50" i="71" s="1"/>
  <c r="CX49" i="71"/>
  <c r="CY50" i="71" s="1"/>
  <c r="DJ49" i="71"/>
  <c r="DH49" i="71"/>
  <c r="DD49" i="71"/>
  <c r="DE50" i="71" s="1"/>
  <c r="DF49" i="71"/>
  <c r="DG50" i="71" s="1"/>
  <c r="EE49" i="71"/>
  <c r="EF49" i="71"/>
  <c r="DI50" i="71"/>
  <c r="DY49" i="71"/>
  <c r="B71" i="110"/>
  <c r="E71" i="110" s="1"/>
  <c r="F70" i="110"/>
  <c r="P72" i="110"/>
  <c r="D72" i="110"/>
  <c r="O72" i="110"/>
  <c r="C72" i="110"/>
  <c r="N72" i="110"/>
  <c r="M72" i="110"/>
  <c r="L72" i="110"/>
  <c r="K72" i="110"/>
  <c r="J72" i="110"/>
  <c r="I72" i="110"/>
  <c r="A73" i="110"/>
  <c r="BR203" i="99"/>
  <c r="BQ203" i="99"/>
  <c r="BO203" i="99"/>
  <c r="BP203" i="99"/>
  <c r="BN203" i="99"/>
  <c r="AJ204" i="99"/>
  <c r="AK205" i="99"/>
  <c r="AR205" i="99"/>
  <c r="AM205" i="99"/>
  <c r="AQ205" i="99"/>
  <c r="AO205" i="99"/>
  <c r="AP205" i="99"/>
  <c r="AN205" i="99"/>
  <c r="AL205" i="99"/>
  <c r="AU204" i="99"/>
  <c r="AV205" i="99"/>
  <c r="BC205" i="99"/>
  <c r="BB205" i="99"/>
  <c r="AY205" i="99"/>
  <c r="AX205" i="99"/>
  <c r="BA205" i="99"/>
  <c r="AW205" i="99"/>
  <c r="AZ205" i="99"/>
  <c r="B146" i="95"/>
  <c r="B146" i="94"/>
  <c r="B146" i="93"/>
  <c r="B145" i="92"/>
  <c r="I144" i="92"/>
  <c r="DV49" i="71"/>
  <c r="EC49" i="71" s="1"/>
  <c r="CT50" i="71"/>
  <c r="CV49" i="71"/>
  <c r="CW50" i="71" s="1"/>
  <c r="P49" i="2"/>
  <c r="D49" i="2"/>
  <c r="B48" i="2"/>
  <c r="AB31" i="31"/>
  <c r="AB116" i="31"/>
  <c r="AB47" i="31"/>
  <c r="AB102" i="31"/>
  <c r="AB180" i="31"/>
  <c r="AB189" i="31"/>
  <c r="AB65" i="31"/>
  <c r="AB104" i="31"/>
  <c r="AB46" i="31"/>
  <c r="AB100" i="31"/>
  <c r="AB197" i="31"/>
  <c r="AB156" i="31"/>
  <c r="AB10" i="31"/>
  <c r="AB27" i="31"/>
  <c r="AB138" i="31"/>
  <c r="AB188" i="31"/>
  <c r="AB178" i="31"/>
  <c r="AB135" i="31"/>
  <c r="AB131" i="31"/>
  <c r="AB33" i="31"/>
  <c r="AB160" i="31"/>
  <c r="AB23" i="31"/>
  <c r="AB37" i="31"/>
  <c r="AB108" i="31"/>
  <c r="AB24" i="31"/>
  <c r="AB55" i="31"/>
  <c r="AB18" i="31"/>
  <c r="AB159" i="31"/>
  <c r="AB165" i="31"/>
  <c r="AB7" i="31"/>
  <c r="AB60" i="31"/>
  <c r="AB164" i="31"/>
  <c r="AB88" i="31"/>
  <c r="AB142" i="31"/>
  <c r="AB73" i="31"/>
  <c r="AB121" i="31"/>
  <c r="AB90" i="31"/>
  <c r="AB184" i="31"/>
  <c r="AB130" i="31"/>
  <c r="AB82" i="31"/>
  <c r="AB117" i="31"/>
  <c r="AB61" i="31"/>
  <c r="AB139" i="31"/>
  <c r="AB129" i="31"/>
  <c r="AB9" i="31"/>
  <c r="AB175" i="31"/>
  <c r="AB183" i="31"/>
  <c r="AB144" i="31"/>
  <c r="AB50" i="31"/>
  <c r="AB75" i="31"/>
  <c r="AB172" i="31"/>
  <c r="AB201" i="31"/>
  <c r="AB123" i="31"/>
  <c r="AB199" i="31"/>
  <c r="AB153" i="31"/>
  <c r="AB185" i="31"/>
  <c r="AB154" i="31"/>
  <c r="AB179" i="31"/>
  <c r="AB202" i="31"/>
  <c r="AB113" i="31"/>
  <c r="AB96" i="31"/>
  <c r="AB99" i="31"/>
  <c r="AB63" i="31"/>
  <c r="AB17" i="31"/>
  <c r="AB58" i="31"/>
  <c r="AB48" i="31"/>
  <c r="AB200" i="31"/>
  <c r="AB93" i="31"/>
  <c r="AB29" i="31"/>
  <c r="AB190" i="31"/>
  <c r="AB168" i="31"/>
  <c r="AB78" i="31"/>
  <c r="AB105" i="31"/>
  <c r="AB8" i="31"/>
  <c r="AB86" i="31"/>
  <c r="AB41" i="31"/>
  <c r="AB64" i="31"/>
  <c r="AB157" i="31"/>
  <c r="AB69" i="31"/>
  <c r="AB36" i="31"/>
  <c r="AB182" i="31"/>
  <c r="AB87" i="31"/>
  <c r="AB111" i="31"/>
  <c r="AB126" i="31"/>
  <c r="AB107" i="31"/>
  <c r="AB79" i="31"/>
  <c r="AB25" i="31"/>
  <c r="AB45" i="31"/>
  <c r="AB6" i="31"/>
  <c r="AB119" i="31"/>
  <c r="AB26" i="31"/>
  <c r="AB118" i="31"/>
  <c r="AB174" i="31"/>
  <c r="AB114" i="31"/>
  <c r="AB97" i="31"/>
  <c r="AB125" i="31"/>
  <c r="AB134" i="31"/>
  <c r="AB196" i="31"/>
  <c r="AB54" i="31"/>
  <c r="AB74" i="31"/>
  <c r="AB76" i="31"/>
  <c r="AB115" i="31"/>
  <c r="AB143" i="31"/>
  <c r="AB120" i="31"/>
  <c r="AB68" i="31"/>
  <c r="AB140" i="31"/>
  <c r="AB186" i="31"/>
  <c r="AB101" i="31"/>
  <c r="AB173" i="31"/>
  <c r="AB181" i="31"/>
  <c r="AB141" i="31"/>
  <c r="AB95" i="31"/>
  <c r="AB155" i="31"/>
  <c r="AB20" i="31"/>
  <c r="AB110" i="31"/>
  <c r="AB158" i="31"/>
  <c r="AB98" i="31"/>
  <c r="AB51" i="31"/>
  <c r="AB34" i="31"/>
  <c r="AB5" i="31"/>
  <c r="AB59" i="31"/>
  <c r="AB13" i="31"/>
  <c r="AB40" i="31"/>
  <c r="AB39" i="31"/>
  <c r="AB161" i="31"/>
  <c r="AB106" i="31"/>
  <c r="AB128" i="31"/>
  <c r="AB80" i="31"/>
  <c r="AB81" i="31"/>
  <c r="AB192" i="31"/>
  <c r="AB35" i="31"/>
  <c r="AB57" i="31"/>
  <c r="AB150" i="31"/>
  <c r="AB77" i="31"/>
  <c r="AB163" i="31"/>
  <c r="F47" i="2"/>
  <c r="AA61" i="31"/>
  <c r="AA159" i="31"/>
  <c r="AA165" i="31"/>
  <c r="AA183" i="31"/>
  <c r="AA60" i="31"/>
  <c r="AA154" i="31"/>
  <c r="AA96" i="31"/>
  <c r="AA99" i="31"/>
  <c r="AA69" i="31"/>
  <c r="AA13" i="31"/>
  <c r="AA31" i="31"/>
  <c r="AA127" i="31"/>
  <c r="AA105" i="31"/>
  <c r="AA189" i="31"/>
  <c r="AA9" i="31"/>
  <c r="AA163" i="31"/>
  <c r="AA100" i="31"/>
  <c r="AA50" i="31"/>
  <c r="AA179" i="31"/>
  <c r="AA123" i="31"/>
  <c r="AA199" i="31"/>
  <c r="AA63" i="31"/>
  <c r="AA62" i="31"/>
  <c r="AA52" i="31"/>
  <c r="AA192" i="31"/>
  <c r="AA6" i="31"/>
  <c r="AA26" i="31"/>
  <c r="AA40" i="31"/>
  <c r="AA134" i="31"/>
  <c r="AA39" i="31"/>
  <c r="AA112" i="31"/>
  <c r="AA124" i="31"/>
  <c r="AA80" i="31"/>
  <c r="AA116" i="31"/>
  <c r="AA126" i="31"/>
  <c r="AA143" i="31"/>
  <c r="AA78" i="31"/>
  <c r="AA8" i="31"/>
  <c r="AA65" i="31"/>
  <c r="AA49" i="31"/>
  <c r="AA77" i="31"/>
  <c r="AA12" i="31"/>
  <c r="AA7" i="31"/>
  <c r="AA197" i="31"/>
  <c r="AA149" i="31"/>
  <c r="AA138" i="31"/>
  <c r="AA184" i="31"/>
  <c r="AA90" i="31"/>
  <c r="AA88" i="31"/>
  <c r="AA109" i="31"/>
  <c r="AA95" i="31"/>
  <c r="AA182" i="31"/>
  <c r="AA106" i="31"/>
  <c r="AA27" i="31"/>
  <c r="AA167" i="31"/>
  <c r="AA16" i="31"/>
  <c r="AA130" i="31"/>
  <c r="AA173" i="31"/>
  <c r="AA70" i="31"/>
  <c r="AA18" i="31"/>
  <c r="AA56" i="31"/>
  <c r="AA169" i="31"/>
  <c r="AA129" i="31"/>
  <c r="AA45" i="31"/>
  <c r="AA98" i="31"/>
  <c r="AA118" i="31"/>
  <c r="AA68" i="31"/>
  <c r="AA51" i="31"/>
  <c r="AA74" i="31"/>
  <c r="AA150" i="31"/>
  <c r="AA64" i="31"/>
  <c r="AA36" i="31"/>
  <c r="AA34" i="31"/>
  <c r="AA140" i="31"/>
  <c r="AA200" i="31"/>
  <c r="AA23" i="31"/>
  <c r="AA101" i="31"/>
  <c r="AA141" i="31"/>
  <c r="AA103" i="31"/>
  <c r="AA33" i="31"/>
  <c r="AA196" i="31"/>
  <c r="AA21" i="31"/>
  <c r="AA43" i="31"/>
  <c r="AA168" i="31"/>
  <c r="AA111" i="31"/>
  <c r="AA102" i="31"/>
  <c r="AA79" i="31"/>
  <c r="AA120" i="31"/>
  <c r="AA41" i="31"/>
  <c r="AA25" i="31"/>
  <c r="AA157" i="31"/>
  <c r="AA32" i="31"/>
  <c r="AA166" i="31"/>
  <c r="AA188" i="31"/>
  <c r="AA119" i="31"/>
  <c r="AA191" i="31"/>
  <c r="AA44" i="31"/>
  <c r="AA152" i="31"/>
  <c r="AA72" i="31"/>
  <c r="AA125" i="31"/>
  <c r="AA160" i="31"/>
  <c r="AA178" i="31"/>
  <c r="AA54" i="31"/>
  <c r="AA135" i="31"/>
  <c r="AA190" i="31"/>
  <c r="AA93" i="31"/>
  <c r="AA108" i="31"/>
  <c r="AA155" i="31"/>
  <c r="AA107" i="31"/>
  <c r="AA28" i="31"/>
  <c r="AA158" i="31"/>
  <c r="AA104" i="31"/>
  <c r="AA46" i="31"/>
  <c r="AA10" i="31"/>
  <c r="AA5" i="31"/>
  <c r="N49" i="2"/>
  <c r="M49" i="2"/>
  <c r="L49" i="2"/>
  <c r="K49" i="2"/>
  <c r="A50" i="2"/>
  <c r="O49" i="2"/>
  <c r="J49" i="2"/>
  <c r="I49" i="2"/>
  <c r="AF108" i="31"/>
  <c r="AF80" i="31"/>
  <c r="AF24" i="31"/>
  <c r="AF127" i="31"/>
  <c r="AF81" i="31"/>
  <c r="AF18" i="31"/>
  <c r="AF8" i="31"/>
  <c r="AF77" i="31"/>
  <c r="AF175" i="31"/>
  <c r="AF164" i="31"/>
  <c r="AF184" i="31"/>
  <c r="AF90" i="31"/>
  <c r="AF78" i="31"/>
  <c r="AF57" i="31"/>
  <c r="AF41" i="31"/>
  <c r="AF148" i="31"/>
  <c r="AF135" i="31"/>
  <c r="AF116" i="31"/>
  <c r="AF102" i="31"/>
  <c r="AF84" i="31"/>
  <c r="AF61" i="31"/>
  <c r="AF65" i="31"/>
  <c r="AF129" i="31"/>
  <c r="AF104" i="31"/>
  <c r="AF46" i="31"/>
  <c r="AF144" i="31"/>
  <c r="AF10" i="31"/>
  <c r="AF149" i="31"/>
  <c r="AF138" i="31"/>
  <c r="AF154" i="31"/>
  <c r="AF202" i="31"/>
  <c r="AF75" i="31"/>
  <c r="AF172" i="31"/>
  <c r="AF96" i="31"/>
  <c r="AF53" i="31"/>
  <c r="AF123" i="31"/>
  <c r="AF114" i="31"/>
  <c r="AF23" i="31"/>
  <c r="AF161" i="31"/>
  <c r="AF54" i="31"/>
  <c r="AF125" i="31"/>
  <c r="AF37" i="31"/>
  <c r="AF47" i="31"/>
  <c r="AF105" i="31"/>
  <c r="AF55" i="31"/>
  <c r="AF189" i="31"/>
  <c r="AF163" i="31"/>
  <c r="AF100" i="31"/>
  <c r="AF156" i="31"/>
  <c r="AF27" i="31"/>
  <c r="AF179" i="31"/>
  <c r="AF73" i="31"/>
  <c r="AF121" i="31"/>
  <c r="AF113" i="31"/>
  <c r="AF99" i="31"/>
  <c r="AF50" i="31"/>
  <c r="AF142" i="31"/>
  <c r="AF89" i="31"/>
  <c r="AF158" i="31"/>
  <c r="AF64" i="31"/>
  <c r="AF98" i="31"/>
  <c r="AF48" i="31"/>
  <c r="AF111" i="31"/>
  <c r="AF143" i="31"/>
  <c r="AF22" i="31"/>
  <c r="AF25" i="31"/>
  <c r="AF188" i="31"/>
  <c r="AF26" i="31"/>
  <c r="AF34" i="31"/>
  <c r="AF30" i="31"/>
  <c r="AF130" i="31"/>
  <c r="AF168" i="31"/>
  <c r="AF141" i="31"/>
  <c r="AF192" i="31"/>
  <c r="AF157" i="31"/>
  <c r="AF69" i="31"/>
  <c r="AF68" i="31"/>
  <c r="AF5" i="31"/>
  <c r="AF13" i="31"/>
  <c r="AF40" i="31"/>
  <c r="AF39" i="31"/>
  <c r="AF106" i="31"/>
  <c r="AF93" i="31"/>
  <c r="AF173" i="31"/>
  <c r="AF126" i="31"/>
  <c r="AF155" i="31"/>
  <c r="AF35" i="31"/>
  <c r="AF36" i="31"/>
  <c r="AF119" i="31"/>
  <c r="AF74" i="31"/>
  <c r="AF107" i="31"/>
  <c r="AF17" i="31"/>
  <c r="AF150" i="31"/>
  <c r="AF45" i="31"/>
  <c r="AF182" i="31"/>
  <c r="AF118" i="31"/>
  <c r="AF174" i="31"/>
  <c r="AF97" i="31"/>
  <c r="AF200" i="31"/>
  <c r="AF134" i="31"/>
  <c r="AF196" i="31"/>
  <c r="AF131" i="31"/>
  <c r="AF186" i="31"/>
  <c r="AF31" i="31"/>
  <c r="AF79" i="31"/>
  <c r="AF15" i="31"/>
  <c r="AF20" i="31"/>
  <c r="AF110" i="31"/>
  <c r="AF120" i="31"/>
  <c r="AF9" i="31"/>
  <c r="AF159" i="31"/>
  <c r="AF183" i="31"/>
  <c r="AF197" i="31"/>
  <c r="AF60" i="31"/>
  <c r="AF162" i="31"/>
  <c r="AF140" i="31"/>
  <c r="AF178" i="31"/>
  <c r="A85" i="123" l="1"/>
  <c r="B84" i="123"/>
  <c r="B83" i="123"/>
  <c r="H82" i="123"/>
  <c r="G82" i="123"/>
  <c r="F82" i="123"/>
  <c r="E82" i="123"/>
  <c r="A85" i="120"/>
  <c r="K37" i="115"/>
  <c r="M37" i="115"/>
  <c r="S37" i="115"/>
  <c r="W37" i="115"/>
  <c r="O37" i="115"/>
  <c r="Y37" i="115"/>
  <c r="Q37" i="115"/>
  <c r="U37" i="115"/>
  <c r="A85" i="117"/>
  <c r="F71" i="110"/>
  <c r="H71" i="110"/>
  <c r="G71" i="110"/>
  <c r="H48" i="2"/>
  <c r="G48" i="2"/>
  <c r="EB50" i="71"/>
  <c r="EA50" i="71"/>
  <c r="DA51" i="71"/>
  <c r="EF50" i="71"/>
  <c r="DC51" i="71"/>
  <c r="ED50" i="71"/>
  <c r="DN50" i="71"/>
  <c r="DJ50" i="71"/>
  <c r="DK51" i="71" s="1"/>
  <c r="DD50" i="71"/>
  <c r="DE51" i="71" s="1"/>
  <c r="DH50" i="71"/>
  <c r="DI51" i="71" s="1"/>
  <c r="DF50" i="71"/>
  <c r="DB50" i="71"/>
  <c r="CZ50" i="71"/>
  <c r="CX50" i="71"/>
  <c r="CY51" i="71" s="1"/>
  <c r="DY50" i="71"/>
  <c r="DZ50" i="71"/>
  <c r="DG51" i="71"/>
  <c r="EE50" i="71"/>
  <c r="N73" i="110"/>
  <c r="M73" i="110"/>
  <c r="O73" i="110"/>
  <c r="L73" i="110"/>
  <c r="D73" i="110"/>
  <c r="K73" i="110"/>
  <c r="P73" i="110"/>
  <c r="J73" i="110"/>
  <c r="C73" i="110"/>
  <c r="I73" i="110"/>
  <c r="A74" i="110"/>
  <c r="B72" i="110"/>
  <c r="M23" i="1"/>
  <c r="M35" i="1"/>
  <c r="M36" i="1"/>
  <c r="M24" i="1"/>
  <c r="M44" i="1"/>
  <c r="M40" i="1"/>
  <c r="M21" i="1"/>
  <c r="M70" i="1"/>
  <c r="M68" i="1"/>
  <c r="M3" i="1"/>
  <c r="M67" i="1"/>
  <c r="M30" i="1"/>
  <c r="M65" i="1"/>
  <c r="M54" i="1"/>
  <c r="BP204" i="99"/>
  <c r="BN204" i="99"/>
  <c r="BR204" i="99"/>
  <c r="BQ204" i="99"/>
  <c r="BO204" i="99"/>
  <c r="AJ205" i="99"/>
  <c r="AU205" i="99"/>
  <c r="AQ206" i="99"/>
  <c r="AK206" i="99"/>
  <c r="AR206" i="99"/>
  <c r="AO206" i="99"/>
  <c r="AP206" i="99"/>
  <c r="AM206" i="99"/>
  <c r="AN206" i="99"/>
  <c r="AL206" i="99"/>
  <c r="AV206" i="99"/>
  <c r="AZ206" i="99"/>
  <c r="AW206" i="99"/>
  <c r="BC206" i="99"/>
  <c r="BB206" i="99"/>
  <c r="AY206" i="99"/>
  <c r="BA206" i="99"/>
  <c r="AX206" i="99"/>
  <c r="B147" i="95"/>
  <c r="B147" i="94"/>
  <c r="B147" i="93"/>
  <c r="B146" i="92"/>
  <c r="I145" i="92"/>
  <c r="AA204" i="31"/>
  <c r="AF204" i="31"/>
  <c r="DP43" i="71"/>
  <c r="AB204" i="31"/>
  <c r="C1" i="49"/>
  <c r="H27" i="49" s="1"/>
  <c r="P1" i="31"/>
  <c r="DV50" i="71"/>
  <c r="EC50" i="71" s="1"/>
  <c r="CT51" i="71"/>
  <c r="CV50" i="71"/>
  <c r="CW51" i="71" s="1"/>
  <c r="B49" i="2"/>
  <c r="D50" i="2"/>
  <c r="P50" i="2"/>
  <c r="F48" i="2"/>
  <c r="N50" i="2"/>
  <c r="M50" i="2"/>
  <c r="L50" i="2"/>
  <c r="K50" i="2"/>
  <c r="I50" i="2"/>
  <c r="A51" i="2"/>
  <c r="O50" i="2"/>
  <c r="J50" i="2"/>
  <c r="H83" i="123" l="1"/>
  <c r="G83" i="123"/>
  <c r="F83" i="123"/>
  <c r="E83" i="123"/>
  <c r="E84" i="123"/>
  <c r="H84" i="123"/>
  <c r="G84" i="123"/>
  <c r="F84" i="123"/>
  <c r="A86" i="123"/>
  <c r="A86" i="120"/>
  <c r="M77" i="115"/>
  <c r="W77" i="115"/>
  <c r="Q77" i="115"/>
  <c r="Y77" i="115"/>
  <c r="S77" i="115"/>
  <c r="O77" i="115"/>
  <c r="K77" i="115"/>
  <c r="U77" i="115"/>
  <c r="A86" i="117"/>
  <c r="H72" i="110"/>
  <c r="G72" i="110"/>
  <c r="H49" i="2"/>
  <c r="G49" i="2"/>
  <c r="DZ51" i="71"/>
  <c r="DE52" i="71"/>
  <c r="EB51" i="71"/>
  <c r="DY51" i="71"/>
  <c r="EA51" i="71"/>
  <c r="DC52" i="71"/>
  <c r="ED51" i="71"/>
  <c r="DN51" i="71"/>
  <c r="CX51" i="71"/>
  <c r="CY52" i="71" s="1"/>
  <c r="DD51" i="71"/>
  <c r="DB51" i="71"/>
  <c r="CZ51" i="71"/>
  <c r="DJ51" i="71"/>
  <c r="DK52" i="71" s="1"/>
  <c r="DH51" i="71"/>
  <c r="DI52" i="71" s="1"/>
  <c r="DF51" i="71"/>
  <c r="DG52" i="71" s="1"/>
  <c r="EE51" i="71"/>
  <c r="DA52" i="71"/>
  <c r="EF51" i="71"/>
  <c r="E72" i="110"/>
  <c r="F72" i="110"/>
  <c r="K74" i="110"/>
  <c r="P74" i="110"/>
  <c r="M74" i="110"/>
  <c r="O74" i="110"/>
  <c r="L74" i="110"/>
  <c r="J74" i="110"/>
  <c r="I74" i="110"/>
  <c r="N74" i="110"/>
  <c r="D74" i="110"/>
  <c r="C74" i="110"/>
  <c r="A75" i="110"/>
  <c r="B73" i="110"/>
  <c r="F61" i="3"/>
  <c r="H61" i="3" s="1"/>
  <c r="F61" i="109"/>
  <c r="F47" i="3"/>
  <c r="H47" i="3" s="1"/>
  <c r="F47" i="109"/>
  <c r="F72" i="3"/>
  <c r="H72" i="3" s="1"/>
  <c r="F72" i="109"/>
  <c r="F51" i="3"/>
  <c r="H51" i="3" s="1"/>
  <c r="F51" i="109"/>
  <c r="F37" i="3"/>
  <c r="H37" i="3" s="1"/>
  <c r="F37" i="109"/>
  <c r="F31" i="3"/>
  <c r="H31" i="3" s="1"/>
  <c r="F31" i="109"/>
  <c r="F74" i="3"/>
  <c r="H74" i="3" s="1"/>
  <c r="F74" i="109"/>
  <c r="F43" i="3"/>
  <c r="H43" i="3" s="1"/>
  <c r="F43" i="109"/>
  <c r="F77" i="3"/>
  <c r="H77" i="3" s="1"/>
  <c r="F77" i="109"/>
  <c r="F28" i="3"/>
  <c r="H28" i="3" s="1"/>
  <c r="F28" i="109"/>
  <c r="F10" i="3"/>
  <c r="H10" i="3" s="1"/>
  <c r="F10" i="109"/>
  <c r="F42" i="3"/>
  <c r="H42" i="3" s="1"/>
  <c r="F42" i="109"/>
  <c r="F75" i="3"/>
  <c r="H75" i="3" s="1"/>
  <c r="F75" i="109"/>
  <c r="F30" i="3"/>
  <c r="H30" i="3" s="1"/>
  <c r="F30" i="109"/>
  <c r="BP205" i="99"/>
  <c r="BN205" i="99"/>
  <c r="BR205" i="99"/>
  <c r="BQ205" i="99"/>
  <c r="BO205" i="99"/>
  <c r="AJ206" i="99"/>
  <c r="AU206" i="99"/>
  <c r="AQ207" i="99"/>
  <c r="AK207" i="99"/>
  <c r="AR207" i="99"/>
  <c r="AO207" i="99"/>
  <c r="AP207" i="99"/>
  <c r="AM207" i="99"/>
  <c r="AN207" i="99"/>
  <c r="AL207" i="99"/>
  <c r="BC207" i="99"/>
  <c r="AV207" i="99"/>
  <c r="AY207" i="99"/>
  <c r="AZ207" i="99"/>
  <c r="AX207" i="99"/>
  <c r="AW207" i="99"/>
  <c r="BA207" i="99"/>
  <c r="BB207" i="99"/>
  <c r="B148" i="95"/>
  <c r="B148" i="94"/>
  <c r="B148" i="93"/>
  <c r="B147" i="92"/>
  <c r="I146" i="92"/>
  <c r="G27" i="49"/>
  <c r="G71" i="49" s="1"/>
  <c r="O85" i="49" s="1"/>
  <c r="F27" i="49"/>
  <c r="F71" i="49" s="1"/>
  <c r="O84" i="49" s="1"/>
  <c r="Q27" i="49"/>
  <c r="Q71" i="49" s="1"/>
  <c r="E27" i="49"/>
  <c r="E71" i="49" s="1"/>
  <c r="I27" i="49"/>
  <c r="I71" i="49" s="1"/>
  <c r="O87" i="49" s="1"/>
  <c r="O27" i="49"/>
  <c r="O71" i="49" s="1"/>
  <c r="AE1" i="31"/>
  <c r="H71" i="49"/>
  <c r="O86" i="49" s="1"/>
  <c r="DV51" i="71"/>
  <c r="EC51" i="71" s="1"/>
  <c r="CT52" i="71"/>
  <c r="CV51" i="71"/>
  <c r="CW52" i="71" s="1"/>
  <c r="D51" i="2"/>
  <c r="P51" i="2"/>
  <c r="B50" i="2"/>
  <c r="N51" i="2"/>
  <c r="M51" i="2"/>
  <c r="L51" i="2"/>
  <c r="K51" i="2"/>
  <c r="J51" i="2"/>
  <c r="I51" i="2"/>
  <c r="A52" i="2"/>
  <c r="O51" i="2"/>
  <c r="F49" i="2"/>
  <c r="AK1" i="31"/>
  <c r="AN1" i="31" s="1"/>
  <c r="AO1" i="31" s="1"/>
  <c r="AW1" i="31" s="1"/>
  <c r="AY1" i="31" s="1"/>
  <c r="AD1" i="31"/>
  <c r="AJ1" i="31"/>
  <c r="Q1" i="31"/>
  <c r="A87" i="123" l="1"/>
  <c r="B85" i="123"/>
  <c r="A87" i="120"/>
  <c r="A87" i="117"/>
  <c r="H73" i="110"/>
  <c r="G73" i="110"/>
  <c r="G50" i="2"/>
  <c r="H50" i="2"/>
  <c r="EA52" i="71"/>
  <c r="EE52" i="71"/>
  <c r="DY52" i="71"/>
  <c r="DK53" i="71"/>
  <c r="DZ52" i="71"/>
  <c r="DN52" i="71"/>
  <c r="DH52" i="71"/>
  <c r="DI53" i="71" s="1"/>
  <c r="DF52" i="71"/>
  <c r="DG53" i="71" s="1"/>
  <c r="CZ52" i="71"/>
  <c r="DA53" i="71" s="1"/>
  <c r="DJ52" i="71"/>
  <c r="DD52" i="71"/>
  <c r="DB52" i="71"/>
  <c r="CX52" i="71"/>
  <c r="CY53" i="71" s="1"/>
  <c r="DC53" i="71"/>
  <c r="ED52" i="71"/>
  <c r="EF52" i="71"/>
  <c r="DE53" i="71"/>
  <c r="EB52" i="71"/>
  <c r="J75" i="110"/>
  <c r="I75" i="110"/>
  <c r="N75" i="110"/>
  <c r="O75" i="110"/>
  <c r="P75" i="110"/>
  <c r="M75" i="110"/>
  <c r="L75" i="110"/>
  <c r="K75" i="110"/>
  <c r="D75" i="110"/>
  <c r="C75" i="110"/>
  <c r="A76" i="110"/>
  <c r="F73" i="110"/>
  <c r="E73" i="110"/>
  <c r="B74" i="110"/>
  <c r="BP206" i="99"/>
  <c r="BN206" i="99"/>
  <c r="BQ206" i="99"/>
  <c r="BR206" i="99"/>
  <c r="BO206" i="99"/>
  <c r="AJ207" i="99"/>
  <c r="AU207" i="99"/>
  <c r="AK208" i="99"/>
  <c r="AR208" i="99"/>
  <c r="AM208" i="99"/>
  <c r="AL208" i="99"/>
  <c r="AP208" i="99"/>
  <c r="AN208" i="99"/>
  <c r="AQ208" i="99"/>
  <c r="AO208" i="99"/>
  <c r="AV208" i="99"/>
  <c r="BA208" i="99"/>
  <c r="AZ208" i="99"/>
  <c r="AX208" i="99"/>
  <c r="AW208" i="99"/>
  <c r="BC208" i="99"/>
  <c r="AY208" i="99"/>
  <c r="BB208" i="99"/>
  <c r="B149" i="95"/>
  <c r="B149" i="94"/>
  <c r="B149" i="93"/>
  <c r="I147" i="92"/>
  <c r="B148" i="92"/>
  <c r="DP48" i="71"/>
  <c r="L27" i="49"/>
  <c r="M27" i="49"/>
  <c r="M71" i="49" s="1"/>
  <c r="K27" i="49"/>
  <c r="K71" i="49" s="1"/>
  <c r="R1" i="31"/>
  <c r="O83" i="49"/>
  <c r="O93" i="49"/>
  <c r="DV52" i="71"/>
  <c r="EC52" i="71" s="1"/>
  <c r="CT53" i="71"/>
  <c r="CV52" i="71"/>
  <c r="CW53" i="71" s="1"/>
  <c r="B51" i="2"/>
  <c r="P52" i="2"/>
  <c r="D52" i="2"/>
  <c r="M52" i="2"/>
  <c r="L52" i="2"/>
  <c r="K52" i="2"/>
  <c r="N52" i="2"/>
  <c r="O52" i="2"/>
  <c r="J52" i="2"/>
  <c r="I52" i="2"/>
  <c r="A53" i="2"/>
  <c r="AF1" i="31"/>
  <c r="F50" i="2"/>
  <c r="H85" i="123" l="1"/>
  <c r="G85" i="123"/>
  <c r="F85" i="123"/>
  <c r="E85" i="123"/>
  <c r="A88" i="123"/>
  <c r="B86" i="123"/>
  <c r="A88" i="120"/>
  <c r="S43" i="115"/>
  <c r="K43" i="115"/>
  <c r="Q43" i="115"/>
  <c r="O43" i="115"/>
  <c r="Y43" i="115"/>
  <c r="M43" i="115"/>
  <c r="W43" i="115"/>
  <c r="U43" i="115"/>
  <c r="Y11" i="115"/>
  <c r="M11" i="115"/>
  <c r="W11" i="115"/>
  <c r="O11" i="115"/>
  <c r="S11" i="115"/>
  <c r="K11" i="115"/>
  <c r="Q11" i="115"/>
  <c r="U11" i="115"/>
  <c r="A88" i="117"/>
  <c r="H74" i="110"/>
  <c r="G74" i="110"/>
  <c r="H51" i="2"/>
  <c r="G51" i="2"/>
  <c r="EE53" i="71"/>
  <c r="EF53" i="71"/>
  <c r="DY53" i="71"/>
  <c r="EA53" i="71"/>
  <c r="DK54" i="71"/>
  <c r="DZ53" i="71"/>
  <c r="DE54" i="71"/>
  <c r="EB53" i="71"/>
  <c r="ED53" i="71"/>
  <c r="DN53" i="71"/>
  <c r="DJ53" i="71"/>
  <c r="DF53" i="71"/>
  <c r="DG54" i="71" s="1"/>
  <c r="DD53" i="71"/>
  <c r="DB53" i="71"/>
  <c r="DC54" i="71" s="1"/>
  <c r="CZ53" i="71"/>
  <c r="DA54" i="71" s="1"/>
  <c r="CX53" i="71"/>
  <c r="CY54" i="71" s="1"/>
  <c r="DH53" i="71"/>
  <c r="DI54" i="71" s="1"/>
  <c r="E74" i="110"/>
  <c r="F74" i="110"/>
  <c r="I76" i="110"/>
  <c r="P76" i="110"/>
  <c r="D76" i="110"/>
  <c r="O76" i="110"/>
  <c r="C76" i="110"/>
  <c r="L76" i="110"/>
  <c r="N76" i="110"/>
  <c r="M76" i="110"/>
  <c r="K76" i="110"/>
  <c r="J76" i="110"/>
  <c r="A77" i="110"/>
  <c r="B75" i="110"/>
  <c r="BP207" i="99"/>
  <c r="BN207" i="99"/>
  <c r="BR207" i="99"/>
  <c r="BQ207" i="99"/>
  <c r="BO207" i="99"/>
  <c r="AJ208" i="99"/>
  <c r="AU208" i="99"/>
  <c r="AK209" i="99"/>
  <c r="AR209" i="99"/>
  <c r="AM209" i="99"/>
  <c r="AO209" i="99"/>
  <c r="AQ209" i="99"/>
  <c r="AP209" i="99"/>
  <c r="AN209" i="99"/>
  <c r="AL209" i="99"/>
  <c r="AV209" i="99"/>
  <c r="AW209" i="99"/>
  <c r="BB209" i="99"/>
  <c r="AZ209" i="99"/>
  <c r="AY209" i="99"/>
  <c r="AX209" i="99"/>
  <c r="BA209" i="99"/>
  <c r="BC209" i="99"/>
  <c r="B150" i="95"/>
  <c r="B150" i="94"/>
  <c r="B150" i="93"/>
  <c r="I148" i="92"/>
  <c r="B149" i="92"/>
  <c r="O90" i="49"/>
  <c r="K72" i="49"/>
  <c r="DV53" i="71"/>
  <c r="EC53" i="71" s="1"/>
  <c r="CT54" i="71"/>
  <c r="CV53" i="71"/>
  <c r="CW54" i="71" s="1"/>
  <c r="B52" i="2"/>
  <c r="P53" i="2"/>
  <c r="D53" i="2"/>
  <c r="F51" i="2"/>
  <c r="L53" i="2"/>
  <c r="K53" i="2"/>
  <c r="M53" i="2"/>
  <c r="N53" i="2"/>
  <c r="O53" i="2"/>
  <c r="J53" i="2"/>
  <c r="I53" i="2"/>
  <c r="A54" i="2"/>
  <c r="H86" i="123" l="1"/>
  <c r="G86" i="123"/>
  <c r="F86" i="123"/>
  <c r="E86" i="123"/>
  <c r="B87" i="123"/>
  <c r="B88" i="123"/>
  <c r="A89" i="123"/>
  <c r="A89" i="120"/>
  <c r="Q18" i="115"/>
  <c r="Y18" i="115"/>
  <c r="W18" i="115"/>
  <c r="S18" i="115"/>
  <c r="M18" i="115"/>
  <c r="K18" i="115"/>
  <c r="O18" i="115"/>
  <c r="U18" i="115"/>
  <c r="Q20" i="115"/>
  <c r="Y20" i="115"/>
  <c r="O20" i="115"/>
  <c r="M20" i="115"/>
  <c r="S20" i="115"/>
  <c r="W20" i="115"/>
  <c r="K20" i="115"/>
  <c r="U20" i="115"/>
  <c r="Q17" i="115"/>
  <c r="S17" i="115"/>
  <c r="K17" i="115"/>
  <c r="Y17" i="115"/>
  <c r="O17" i="115"/>
  <c r="W17" i="115"/>
  <c r="M17" i="115"/>
  <c r="U17" i="115"/>
  <c r="O71" i="115"/>
  <c r="W71" i="115"/>
  <c r="U71" i="115"/>
  <c r="Q71" i="115"/>
  <c r="Y71" i="115"/>
  <c r="K71" i="115"/>
  <c r="M71" i="115"/>
  <c r="S71" i="115"/>
  <c r="W19" i="115"/>
  <c r="Y19" i="115"/>
  <c r="M19" i="115"/>
  <c r="S19" i="115"/>
  <c r="Q19" i="115"/>
  <c r="K19" i="115"/>
  <c r="O19" i="115"/>
  <c r="U19" i="115"/>
  <c r="Q47" i="115"/>
  <c r="S47" i="115"/>
  <c r="O47" i="115"/>
  <c r="Y47" i="115"/>
  <c r="W47" i="115"/>
  <c r="M47" i="115"/>
  <c r="K47" i="115"/>
  <c r="U47" i="115"/>
  <c r="S16" i="115"/>
  <c r="K16" i="115"/>
  <c r="W16" i="115"/>
  <c r="Y16" i="115"/>
  <c r="O16" i="115"/>
  <c r="M16" i="115"/>
  <c r="Q16" i="115"/>
  <c r="U16" i="115"/>
  <c r="A89" i="117"/>
  <c r="H75" i="110"/>
  <c r="G75" i="110"/>
  <c r="H52" i="2"/>
  <c r="G52" i="2"/>
  <c r="EE54" i="71"/>
  <c r="EA54" i="71"/>
  <c r="EF54" i="71"/>
  <c r="DC55" i="71"/>
  <c r="ED54" i="71"/>
  <c r="DI55" i="71"/>
  <c r="DY54" i="71"/>
  <c r="DK55" i="71"/>
  <c r="DZ54" i="71"/>
  <c r="EB54" i="71"/>
  <c r="DN54" i="71"/>
  <c r="DD54" i="71"/>
  <c r="DE55" i="71" s="1"/>
  <c r="DB54" i="71"/>
  <c r="DF54" i="71"/>
  <c r="DG55" i="71" s="1"/>
  <c r="DJ54" i="71"/>
  <c r="DH54" i="71"/>
  <c r="CZ54" i="71"/>
  <c r="DA55" i="71" s="1"/>
  <c r="CX54" i="71"/>
  <c r="CY55" i="71" s="1"/>
  <c r="F75" i="110"/>
  <c r="E75" i="110"/>
  <c r="O77" i="110"/>
  <c r="C77" i="110"/>
  <c r="N77" i="110"/>
  <c r="M77" i="110"/>
  <c r="J77" i="110"/>
  <c r="K77" i="110"/>
  <c r="I77" i="110"/>
  <c r="D77" i="110"/>
  <c r="L77" i="110"/>
  <c r="P77" i="110"/>
  <c r="A78" i="110"/>
  <c r="B76" i="110"/>
  <c r="M31" i="1"/>
  <c r="M33" i="1"/>
  <c r="BP208" i="99"/>
  <c r="BN208" i="99"/>
  <c r="BQ208" i="99"/>
  <c r="BR208" i="99"/>
  <c r="BO208" i="99"/>
  <c r="AJ209" i="99"/>
  <c r="AU209" i="99"/>
  <c r="AK210" i="99"/>
  <c r="AR210" i="99"/>
  <c r="AO210" i="99"/>
  <c r="AM210" i="99"/>
  <c r="AQ210" i="99"/>
  <c r="AP210" i="99"/>
  <c r="AN210" i="99"/>
  <c r="AL210" i="99"/>
  <c r="AV210" i="99"/>
  <c r="AW210" i="99"/>
  <c r="BB210" i="99"/>
  <c r="AY210" i="99"/>
  <c r="BC210" i="99"/>
  <c r="BA210" i="99"/>
  <c r="AZ210" i="99"/>
  <c r="AX210" i="99"/>
  <c r="B151" i="95"/>
  <c r="B151" i="94"/>
  <c r="B151" i="93"/>
  <c r="I149" i="92"/>
  <c r="B150" i="92"/>
  <c r="DP53" i="71"/>
  <c r="DV54" i="71"/>
  <c r="EC54" i="71" s="1"/>
  <c r="CT55" i="71"/>
  <c r="CV54" i="71"/>
  <c r="CW55" i="71" s="1"/>
  <c r="D54" i="2"/>
  <c r="P54" i="2"/>
  <c r="B53" i="2"/>
  <c r="F52" i="2"/>
  <c r="K54" i="2"/>
  <c r="N54" i="2"/>
  <c r="M54" i="2"/>
  <c r="L54" i="2"/>
  <c r="O54" i="2"/>
  <c r="J54" i="2"/>
  <c r="I54" i="2"/>
  <c r="A55" i="2"/>
  <c r="A90" i="123" l="1"/>
  <c r="H88" i="123"/>
  <c r="G88" i="123"/>
  <c r="F88" i="123"/>
  <c r="E88" i="123"/>
  <c r="E87" i="123"/>
  <c r="H87" i="123"/>
  <c r="G87" i="123"/>
  <c r="F87" i="123"/>
  <c r="A90" i="120"/>
  <c r="M29" i="115"/>
  <c r="O29" i="115"/>
  <c r="Y29" i="115"/>
  <c r="Q29" i="115"/>
  <c r="W29" i="115"/>
  <c r="S29" i="115"/>
  <c r="K29" i="115"/>
  <c r="U29" i="115"/>
  <c r="S21" i="115"/>
  <c r="Y21" i="115"/>
  <c r="W21" i="115"/>
  <c r="M21" i="115"/>
  <c r="K21" i="115"/>
  <c r="O21" i="115"/>
  <c r="Q21" i="115"/>
  <c r="U21" i="115"/>
  <c r="Q22" i="115"/>
  <c r="Y22" i="115"/>
  <c r="S22" i="115"/>
  <c r="O22" i="115"/>
  <c r="W22" i="115"/>
  <c r="K22" i="115"/>
  <c r="M22" i="115"/>
  <c r="U22" i="115"/>
  <c r="M32" i="115"/>
  <c r="K32" i="115"/>
  <c r="O32" i="115"/>
  <c r="Q32" i="115"/>
  <c r="Y32" i="115"/>
  <c r="W32" i="115"/>
  <c r="S32" i="115"/>
  <c r="U32" i="115"/>
  <c r="O27" i="115"/>
  <c r="Y27" i="115"/>
  <c r="Q27" i="115"/>
  <c r="W27" i="115"/>
  <c r="K27" i="115"/>
  <c r="S27" i="115"/>
  <c r="M27" i="115"/>
  <c r="U27" i="115"/>
  <c r="A90" i="117"/>
  <c r="H76" i="110"/>
  <c r="G76" i="110"/>
  <c r="H53" i="2"/>
  <c r="G53" i="2"/>
  <c r="EB55" i="71"/>
  <c r="EA55" i="71"/>
  <c r="EF55" i="71"/>
  <c r="DG56" i="71"/>
  <c r="EE55" i="71"/>
  <c r="DK56" i="71"/>
  <c r="DZ55" i="71"/>
  <c r="DI56" i="71"/>
  <c r="DY55" i="71"/>
  <c r="ED55" i="71"/>
  <c r="DN55" i="71"/>
  <c r="DF55" i="71"/>
  <c r="DJ55" i="71"/>
  <c r="DH55" i="71"/>
  <c r="DD55" i="71"/>
  <c r="DE56" i="71" s="1"/>
  <c r="DB55" i="71"/>
  <c r="DC56" i="71" s="1"/>
  <c r="CZ55" i="71"/>
  <c r="DA56" i="71" s="1"/>
  <c r="CX55" i="71"/>
  <c r="CY56" i="71" s="1"/>
  <c r="E76" i="110"/>
  <c r="F76" i="110"/>
  <c r="M78" i="110"/>
  <c r="L78" i="110"/>
  <c r="K78" i="110"/>
  <c r="P78" i="110"/>
  <c r="D78" i="110"/>
  <c r="O78" i="110"/>
  <c r="N78" i="110"/>
  <c r="J78" i="110"/>
  <c r="I78" i="110"/>
  <c r="C78" i="110"/>
  <c r="A79" i="110"/>
  <c r="B77" i="110"/>
  <c r="F40" i="3"/>
  <c r="H40" i="3" s="1"/>
  <c r="F40" i="109"/>
  <c r="F38" i="3"/>
  <c r="H38" i="3" s="1"/>
  <c r="F38" i="109"/>
  <c r="M69" i="1"/>
  <c r="M7" i="1"/>
  <c r="M26" i="1"/>
  <c r="M27" i="1"/>
  <c r="M66" i="1"/>
  <c r="M28" i="1"/>
  <c r="M34" i="1"/>
  <c r="M43" i="1"/>
  <c r="M37" i="1"/>
  <c r="M5" i="1"/>
  <c r="M45" i="1"/>
  <c r="M6" i="1"/>
  <c r="BP209" i="99"/>
  <c r="BN209" i="99"/>
  <c r="BR209" i="99"/>
  <c r="BQ209" i="99"/>
  <c r="BO209" i="99"/>
  <c r="AJ210" i="99"/>
  <c r="AU210" i="99"/>
  <c r="AK211" i="99"/>
  <c r="AR211" i="99"/>
  <c r="AQ211" i="99"/>
  <c r="AO211" i="99"/>
  <c r="AN211" i="99"/>
  <c r="AL211" i="99"/>
  <c r="AP211" i="99"/>
  <c r="AM211" i="99"/>
  <c r="AV211" i="99"/>
  <c r="AX211" i="99"/>
  <c r="BC211" i="99"/>
  <c r="AY211" i="99"/>
  <c r="AZ211" i="99"/>
  <c r="AW211" i="99"/>
  <c r="BB211" i="99"/>
  <c r="BA211" i="99"/>
  <c r="B152" i="95"/>
  <c r="B152" i="94"/>
  <c r="B152" i="93"/>
  <c r="B151" i="92"/>
  <c r="I150" i="92"/>
  <c r="D31" i="49"/>
  <c r="S101" i="49" s="1"/>
  <c r="D34" i="49"/>
  <c r="U101" i="49" s="1"/>
  <c r="DV55" i="71"/>
  <c r="EC55" i="71" s="1"/>
  <c r="CT56" i="71"/>
  <c r="CV55" i="71"/>
  <c r="CW56" i="71" s="1"/>
  <c r="D55" i="2"/>
  <c r="P55" i="2"/>
  <c r="B54" i="2"/>
  <c r="F53" i="2"/>
  <c r="K55" i="2"/>
  <c r="N55" i="2"/>
  <c r="M55" i="2"/>
  <c r="L55" i="2"/>
  <c r="O55" i="2"/>
  <c r="J55" i="2"/>
  <c r="I55" i="2"/>
  <c r="A56" i="2"/>
  <c r="A91" i="123" l="1"/>
  <c r="B90" i="123"/>
  <c r="B89" i="123"/>
  <c r="A91" i="120"/>
  <c r="A91" i="117"/>
  <c r="H77" i="110"/>
  <c r="G77" i="110"/>
  <c r="H54" i="2"/>
  <c r="G54" i="2"/>
  <c r="EA56" i="71"/>
  <c r="EF56" i="71"/>
  <c r="ED56" i="71"/>
  <c r="EB56" i="71"/>
  <c r="DY56" i="71"/>
  <c r="DK57" i="71"/>
  <c r="DZ56" i="71"/>
  <c r="EE56" i="71"/>
  <c r="DN56" i="71"/>
  <c r="CZ56" i="71"/>
  <c r="DA57" i="71" s="1"/>
  <c r="CX56" i="71"/>
  <c r="CY57" i="71" s="1"/>
  <c r="DJ56" i="71"/>
  <c r="DH56" i="71"/>
  <c r="DI57" i="71" s="1"/>
  <c r="DF56" i="71"/>
  <c r="DG57" i="71" s="1"/>
  <c r="DD56" i="71"/>
  <c r="DE57" i="71" s="1"/>
  <c r="DB56" i="71"/>
  <c r="DC57" i="71" s="1"/>
  <c r="K79" i="110"/>
  <c r="J79" i="110"/>
  <c r="I79" i="110"/>
  <c r="N79" i="110"/>
  <c r="C79" i="110"/>
  <c r="L79" i="110"/>
  <c r="P79" i="110"/>
  <c r="O79" i="110"/>
  <c r="M79" i="110"/>
  <c r="D79" i="110"/>
  <c r="A80" i="110"/>
  <c r="B78" i="110"/>
  <c r="F77" i="110"/>
  <c r="E77" i="110"/>
  <c r="F52" i="3"/>
  <c r="H52" i="3" s="1"/>
  <c r="F52" i="109"/>
  <c r="F14" i="3"/>
  <c r="H14" i="3" s="1"/>
  <c r="F14" i="109"/>
  <c r="F44" i="3"/>
  <c r="H44" i="3" s="1"/>
  <c r="F44" i="109"/>
  <c r="F76" i="3"/>
  <c r="H76" i="3" s="1"/>
  <c r="F76" i="109"/>
  <c r="F13" i="3"/>
  <c r="H13" i="3" s="1"/>
  <c r="F13" i="109"/>
  <c r="F50" i="3"/>
  <c r="H50" i="3" s="1"/>
  <c r="F50" i="109"/>
  <c r="F34" i="3"/>
  <c r="H34" i="3" s="1"/>
  <c r="F34" i="109"/>
  <c r="F12" i="3"/>
  <c r="H12" i="3" s="1"/>
  <c r="F12" i="109"/>
  <c r="F41" i="3"/>
  <c r="H41" i="3" s="1"/>
  <c r="F41" i="109"/>
  <c r="F35" i="3"/>
  <c r="H35" i="3" s="1"/>
  <c r="F35" i="109"/>
  <c r="F33" i="3"/>
  <c r="H33" i="3" s="1"/>
  <c r="F33" i="109"/>
  <c r="F73" i="3"/>
  <c r="H73" i="3" s="1"/>
  <c r="F73" i="109"/>
  <c r="BP210" i="99"/>
  <c r="BN210" i="99"/>
  <c r="BQ210" i="99"/>
  <c r="BR210" i="99"/>
  <c r="BO210" i="99"/>
  <c r="AJ211" i="99"/>
  <c r="AK212" i="99"/>
  <c r="AR212" i="99"/>
  <c r="AO212" i="99"/>
  <c r="AM212" i="99"/>
  <c r="AQ212" i="99"/>
  <c r="AL212" i="99"/>
  <c r="AP212" i="99"/>
  <c r="AN212" i="99"/>
  <c r="AV212" i="99"/>
  <c r="AZ212" i="99"/>
  <c r="AX212" i="99"/>
  <c r="AW212" i="99"/>
  <c r="BB212" i="99"/>
  <c r="BA212" i="99"/>
  <c r="BC212" i="99"/>
  <c r="AY212" i="99"/>
  <c r="AU211" i="99"/>
  <c r="B153" i="95"/>
  <c r="B153" i="94"/>
  <c r="B153" i="93"/>
  <c r="B152" i="92"/>
  <c r="I151" i="92"/>
  <c r="DP58" i="71"/>
  <c r="Q31" i="49"/>
  <c r="Q62" i="49" s="1"/>
  <c r="Q75" i="49" s="1"/>
  <c r="U93" i="49" s="1"/>
  <c r="L34" i="49"/>
  <c r="L75" i="49" s="1"/>
  <c r="U89" i="49" s="1"/>
  <c r="I31" i="49"/>
  <c r="I74" i="49" s="1"/>
  <c r="S87" i="49" s="1"/>
  <c r="G34" i="49"/>
  <c r="J34" i="49"/>
  <c r="J75" i="49" s="1"/>
  <c r="U88" i="49" s="1"/>
  <c r="E34" i="49"/>
  <c r="E75" i="49" s="1"/>
  <c r="U83" i="49" s="1"/>
  <c r="H34" i="49"/>
  <c r="E31" i="49"/>
  <c r="F34" i="49"/>
  <c r="F75" i="49" s="1"/>
  <c r="U84" i="49" s="1"/>
  <c r="J31" i="49"/>
  <c r="J74" i="49" s="1"/>
  <c r="S88" i="49" s="1"/>
  <c r="O31" i="49"/>
  <c r="O62" i="49" s="1"/>
  <c r="I34" i="49"/>
  <c r="I75" i="49" s="1"/>
  <c r="U87" i="49" s="1"/>
  <c r="N62" i="49"/>
  <c r="DV56" i="71"/>
  <c r="EC56" i="71" s="1"/>
  <c r="CT57" i="71"/>
  <c r="CV56" i="71"/>
  <c r="CW57" i="71" s="1"/>
  <c r="P56" i="2"/>
  <c r="D56" i="2"/>
  <c r="B55" i="2"/>
  <c r="N56" i="2"/>
  <c r="M56" i="2"/>
  <c r="L56" i="2"/>
  <c r="K56" i="2"/>
  <c r="O56" i="2"/>
  <c r="J56" i="2"/>
  <c r="I56" i="2"/>
  <c r="A57" i="2"/>
  <c r="F54" i="2"/>
  <c r="E90" i="123" l="1"/>
  <c r="H90" i="123"/>
  <c r="G90" i="123"/>
  <c r="F90" i="123"/>
  <c r="H89" i="123"/>
  <c r="G89" i="123"/>
  <c r="F89" i="123"/>
  <c r="E89" i="123"/>
  <c r="A92" i="123"/>
  <c r="A92" i="120"/>
  <c r="A92" i="117"/>
  <c r="O75" i="49"/>
  <c r="O73" i="49"/>
  <c r="H78" i="110"/>
  <c r="G78" i="110"/>
  <c r="M29" i="1"/>
  <c r="F36" i="109" s="1"/>
  <c r="H55" i="2"/>
  <c r="G55" i="2"/>
  <c r="EA57" i="71"/>
  <c r="EF57" i="71"/>
  <c r="DE58" i="71"/>
  <c r="EB57" i="71"/>
  <c r="DC58" i="71"/>
  <c r="ED57" i="71"/>
  <c r="DG58" i="71"/>
  <c r="EE57" i="71"/>
  <c r="DN57" i="71"/>
  <c r="DJ57" i="71"/>
  <c r="DK58" i="71" s="1"/>
  <c r="DH57" i="71"/>
  <c r="DB57" i="71"/>
  <c r="DF57" i="71"/>
  <c r="DD57" i="71"/>
  <c r="CZ57" i="71"/>
  <c r="DA58" i="71" s="1"/>
  <c r="CX57" i="71"/>
  <c r="CY58" i="71" s="1"/>
  <c r="DZ57" i="71"/>
  <c r="DI58" i="71"/>
  <c r="DY57" i="71"/>
  <c r="F78" i="110"/>
  <c r="E78" i="110"/>
  <c r="I80" i="110"/>
  <c r="P80" i="110"/>
  <c r="D80" i="110"/>
  <c r="O80" i="110"/>
  <c r="C80" i="110"/>
  <c r="L80" i="110"/>
  <c r="M80" i="110"/>
  <c r="K80" i="110"/>
  <c r="J80" i="110"/>
  <c r="N80" i="110"/>
  <c r="A81" i="110"/>
  <c r="B79" i="110"/>
  <c r="BP211" i="99"/>
  <c r="BN211" i="99"/>
  <c r="BR211" i="99"/>
  <c r="BQ211" i="99"/>
  <c r="BO211" i="99"/>
  <c r="AJ212" i="99"/>
  <c r="AU212" i="99"/>
  <c r="AK213" i="99"/>
  <c r="AR213" i="99"/>
  <c r="AQ213" i="99"/>
  <c r="AM213" i="99"/>
  <c r="AL213" i="99"/>
  <c r="AO213" i="99"/>
  <c r="AN213" i="99"/>
  <c r="AP213" i="99"/>
  <c r="AV213" i="99"/>
  <c r="AZ213" i="99"/>
  <c r="AY213" i="99"/>
  <c r="AX213" i="99"/>
  <c r="BC213" i="99"/>
  <c r="BB213" i="99"/>
  <c r="AW213" i="99"/>
  <c r="BA213" i="99"/>
  <c r="B154" i="95"/>
  <c r="B154" i="94"/>
  <c r="B154" i="93"/>
  <c r="B153" i="92"/>
  <c r="I152" i="92"/>
  <c r="Q74" i="49"/>
  <c r="S93" i="49" s="1"/>
  <c r="J62" i="49"/>
  <c r="I62" i="49"/>
  <c r="H62" i="49"/>
  <c r="H73" i="49" s="1"/>
  <c r="W86" i="49" s="1"/>
  <c r="H75" i="49"/>
  <c r="U86" i="49" s="1"/>
  <c r="F62" i="49"/>
  <c r="K34" i="49"/>
  <c r="G62" i="49"/>
  <c r="G75" i="49"/>
  <c r="U85" i="49" s="1"/>
  <c r="E62" i="49"/>
  <c r="E74" i="49"/>
  <c r="E77" i="49" s="1"/>
  <c r="M31" i="49"/>
  <c r="L31" i="49"/>
  <c r="L74" i="49" s="1"/>
  <c r="S89" i="49" s="1"/>
  <c r="O74" i="49"/>
  <c r="N74" i="49"/>
  <c r="N72" i="49"/>
  <c r="Q91" i="49" s="1"/>
  <c r="N75" i="49"/>
  <c r="U91" i="49" s="1"/>
  <c r="N71" i="49"/>
  <c r="DV57" i="71"/>
  <c r="EC57" i="71" s="1"/>
  <c r="CT58" i="71"/>
  <c r="CV57" i="71"/>
  <c r="CW58" i="71" s="1"/>
  <c r="P57" i="2"/>
  <c r="D57" i="2"/>
  <c r="B56" i="2"/>
  <c r="F55" i="2"/>
  <c r="N57" i="2"/>
  <c r="M57" i="2"/>
  <c r="L57" i="2"/>
  <c r="K57" i="2"/>
  <c r="O57" i="2"/>
  <c r="J57" i="2"/>
  <c r="I57" i="2"/>
  <c r="A58" i="2"/>
  <c r="A93" i="123" l="1"/>
  <c r="B91" i="123"/>
  <c r="A93" i="120"/>
  <c r="O77" i="49"/>
  <c r="F36" i="3"/>
  <c r="H36" i="3" s="1"/>
  <c r="I70" i="49"/>
  <c r="M87" i="49" s="1"/>
  <c r="I73" i="49"/>
  <c r="W87" i="49" s="1"/>
  <c r="F69" i="49"/>
  <c r="K84" i="49" s="1"/>
  <c r="F73" i="49"/>
  <c r="W84" i="49" s="1"/>
  <c r="J68" i="49"/>
  <c r="I88" i="49" s="1"/>
  <c r="J73" i="49"/>
  <c r="W88" i="49" s="1"/>
  <c r="A93" i="117"/>
  <c r="H79" i="110"/>
  <c r="G79" i="110"/>
  <c r="G56" i="2"/>
  <c r="H56" i="2"/>
  <c r="DZ58" i="71"/>
  <c r="EA58" i="71"/>
  <c r="EF58" i="71"/>
  <c r="DN58" i="71"/>
  <c r="DB58" i="71"/>
  <c r="DC59" i="71" s="1"/>
  <c r="CZ58" i="71"/>
  <c r="DA59" i="71" s="1"/>
  <c r="CX58" i="71"/>
  <c r="CY59" i="71" s="1"/>
  <c r="DF58" i="71"/>
  <c r="DG59" i="71" s="1"/>
  <c r="DJ58" i="71"/>
  <c r="DK59" i="71" s="1"/>
  <c r="DH58" i="71"/>
  <c r="DD58" i="71"/>
  <c r="EE58" i="71"/>
  <c r="ED58" i="71"/>
  <c r="DI59" i="71"/>
  <c r="DY58" i="71"/>
  <c r="DE59" i="71"/>
  <c r="EB58" i="71"/>
  <c r="E79" i="110"/>
  <c r="F79" i="110"/>
  <c r="O81" i="110"/>
  <c r="C81" i="110"/>
  <c r="N81" i="110"/>
  <c r="M81" i="110"/>
  <c r="J81" i="110"/>
  <c r="P81" i="110"/>
  <c r="D81" i="110"/>
  <c r="L81" i="110"/>
  <c r="K81" i="110"/>
  <c r="I81" i="110"/>
  <c r="A82" i="110"/>
  <c r="B80" i="110"/>
  <c r="BP212" i="99"/>
  <c r="BN212" i="99"/>
  <c r="BR212" i="99"/>
  <c r="BQ212" i="99"/>
  <c r="BO212" i="99"/>
  <c r="AJ213" i="99"/>
  <c r="AU213" i="99"/>
  <c r="AK214" i="99"/>
  <c r="AR214" i="99"/>
  <c r="AN214" i="99"/>
  <c r="AL214" i="99"/>
  <c r="AQ214" i="99"/>
  <c r="AO214" i="99"/>
  <c r="AP214" i="99"/>
  <c r="AM214" i="99"/>
  <c r="AW214" i="99"/>
  <c r="AV214" i="99"/>
  <c r="AX214" i="99"/>
  <c r="BB214" i="99"/>
  <c r="BA214" i="99"/>
  <c r="AZ214" i="99"/>
  <c r="AY214" i="99"/>
  <c r="BC214" i="99"/>
  <c r="B155" i="95"/>
  <c r="B155" i="94"/>
  <c r="B155" i="93"/>
  <c r="B154" i="92"/>
  <c r="I153" i="92"/>
  <c r="DP63" i="71"/>
  <c r="J70" i="49"/>
  <c r="M88" i="49" s="1"/>
  <c r="J71" i="49"/>
  <c r="O88" i="49" s="1"/>
  <c r="J69" i="49"/>
  <c r="K88" i="49" s="1"/>
  <c r="Q77" i="49"/>
  <c r="Y93" i="49" s="1"/>
  <c r="B10" i="60" s="1"/>
  <c r="I68" i="49"/>
  <c r="I87" i="49" s="1"/>
  <c r="J72" i="49"/>
  <c r="Q88" i="49" s="1"/>
  <c r="I67" i="49"/>
  <c r="G87" i="49" s="1"/>
  <c r="J67" i="49"/>
  <c r="G88" i="49" s="1"/>
  <c r="Y31" i="49"/>
  <c r="H74" i="49"/>
  <c r="S86" i="49" s="1"/>
  <c r="H72" i="49"/>
  <c r="Q86" i="49" s="1"/>
  <c r="H69" i="49"/>
  <c r="K62" i="49"/>
  <c r="K73" i="49" s="1"/>
  <c r="Y34" i="49"/>
  <c r="K75" i="49"/>
  <c r="F74" i="49"/>
  <c r="S84" i="49" s="1"/>
  <c r="F72" i="49"/>
  <c r="Q84" i="49" s="1"/>
  <c r="M74" i="49"/>
  <c r="M62" i="49"/>
  <c r="M75" i="49" s="1"/>
  <c r="U90" i="49" s="1"/>
  <c r="S83" i="49"/>
  <c r="Y83" i="49"/>
  <c r="B2" i="60" s="1"/>
  <c r="I69" i="49"/>
  <c r="K87" i="49" s="1"/>
  <c r="G69" i="49"/>
  <c r="G74" i="49"/>
  <c r="S85" i="49" s="1"/>
  <c r="S91" i="49"/>
  <c r="N77" i="49"/>
  <c r="Y91" i="49" s="1"/>
  <c r="O91" i="49"/>
  <c r="DV58" i="71"/>
  <c r="EC58" i="71" s="1"/>
  <c r="CT59" i="71"/>
  <c r="CV58" i="71"/>
  <c r="CW59" i="71" s="1"/>
  <c r="D58" i="2"/>
  <c r="P58" i="2"/>
  <c r="B57" i="2"/>
  <c r="N58" i="2"/>
  <c r="M58" i="2"/>
  <c r="L58" i="2"/>
  <c r="K58" i="2"/>
  <c r="O58" i="2"/>
  <c r="A59" i="2"/>
  <c r="J58" i="2"/>
  <c r="I58" i="2"/>
  <c r="F56" i="2"/>
  <c r="H91" i="123" l="1"/>
  <c r="G91" i="123"/>
  <c r="F91" i="123"/>
  <c r="E91" i="123"/>
  <c r="A94" i="123"/>
  <c r="B92" i="123"/>
  <c r="A94" i="120"/>
  <c r="K46" i="115"/>
  <c r="W46" i="115"/>
  <c r="O46" i="115"/>
  <c r="M46" i="115"/>
  <c r="Q46" i="115"/>
  <c r="Y46" i="115"/>
  <c r="S46" i="115"/>
  <c r="U46" i="115"/>
  <c r="W13" i="115"/>
  <c r="M13" i="115"/>
  <c r="O13" i="115"/>
  <c r="S13" i="115"/>
  <c r="Y13" i="115"/>
  <c r="Q13" i="115"/>
  <c r="K13" i="115"/>
  <c r="U13" i="115"/>
  <c r="O50" i="115"/>
  <c r="K50" i="115"/>
  <c r="W50" i="115"/>
  <c r="Q50" i="115"/>
  <c r="M50" i="115"/>
  <c r="S50" i="115"/>
  <c r="Y50" i="115"/>
  <c r="U50" i="115"/>
  <c r="M14" i="115"/>
  <c r="Y14" i="115"/>
  <c r="S14" i="115"/>
  <c r="Q14" i="115"/>
  <c r="K14" i="115"/>
  <c r="W14" i="115"/>
  <c r="O14" i="115"/>
  <c r="U14" i="115"/>
  <c r="M12" i="115"/>
  <c r="W12" i="115"/>
  <c r="Y12" i="115"/>
  <c r="Q12" i="115"/>
  <c r="O12" i="115"/>
  <c r="S12" i="115"/>
  <c r="K12" i="115"/>
  <c r="U12" i="115"/>
  <c r="A94" i="117"/>
  <c r="H80" i="110"/>
  <c r="G80" i="110"/>
  <c r="H57" i="2"/>
  <c r="G57" i="2"/>
  <c r="DZ59" i="71"/>
  <c r="EE59" i="71"/>
  <c r="EF59" i="71"/>
  <c r="EA59" i="71"/>
  <c r="ED59" i="71"/>
  <c r="DE60" i="71"/>
  <c r="EB59" i="71"/>
  <c r="DY59" i="71"/>
  <c r="DN59" i="71"/>
  <c r="DJ59" i="71"/>
  <c r="DK60" i="71" s="1"/>
  <c r="DH59" i="71"/>
  <c r="DI60" i="71" s="1"/>
  <c r="DF59" i="71"/>
  <c r="DG60" i="71" s="1"/>
  <c r="DD59" i="71"/>
  <c r="CX59" i="71"/>
  <c r="CY60" i="71" s="1"/>
  <c r="CZ59" i="71"/>
  <c r="DA60" i="71" s="1"/>
  <c r="DB59" i="71"/>
  <c r="DC60" i="71" s="1"/>
  <c r="E80" i="110"/>
  <c r="F80" i="110"/>
  <c r="M82" i="110"/>
  <c r="L82" i="110"/>
  <c r="K82" i="110"/>
  <c r="P82" i="110"/>
  <c r="D82" i="110"/>
  <c r="I82" i="110"/>
  <c r="C82" i="110"/>
  <c r="J82" i="110"/>
  <c r="N82" i="110"/>
  <c r="O82" i="110"/>
  <c r="A83" i="110"/>
  <c r="B81" i="110"/>
  <c r="BP213" i="99"/>
  <c r="BN213" i="99"/>
  <c r="BR213" i="99"/>
  <c r="BQ213" i="99"/>
  <c r="BO213" i="99"/>
  <c r="AJ214" i="99"/>
  <c r="AU214" i="99"/>
  <c r="AM215" i="99"/>
  <c r="AK215" i="99"/>
  <c r="AR215" i="99"/>
  <c r="AO215" i="99"/>
  <c r="AN215" i="99"/>
  <c r="AQ215" i="99"/>
  <c r="AP215" i="99"/>
  <c r="AL215" i="99"/>
  <c r="BC215" i="99"/>
  <c r="BB215" i="99"/>
  <c r="AZ215" i="99"/>
  <c r="AY215" i="99"/>
  <c r="AX215" i="99"/>
  <c r="AV215" i="99"/>
  <c r="AW215" i="99"/>
  <c r="BA215" i="99"/>
  <c r="B156" i="95"/>
  <c r="B156" i="94"/>
  <c r="B156" i="93"/>
  <c r="B155" i="92"/>
  <c r="I154" i="92"/>
  <c r="Y68" i="49"/>
  <c r="Z68" i="49" s="1"/>
  <c r="I102" i="49" s="1"/>
  <c r="J77" i="49"/>
  <c r="Y88" i="49" s="1"/>
  <c r="Y67" i="49"/>
  <c r="Z67" i="49" s="1"/>
  <c r="G102" i="49" s="1"/>
  <c r="H77" i="49"/>
  <c r="Y86" i="49" s="1"/>
  <c r="B5" i="60" s="1"/>
  <c r="K86" i="49"/>
  <c r="I77" i="49"/>
  <c r="Y87" i="49" s="1"/>
  <c r="K74" i="49"/>
  <c r="Y74" i="49" s="1"/>
  <c r="S100" i="49" s="1"/>
  <c r="K69" i="49"/>
  <c r="S90" i="49"/>
  <c r="M77" i="49"/>
  <c r="Y90" i="49" s="1"/>
  <c r="B7" i="60" s="1"/>
  <c r="Y75" i="49"/>
  <c r="U100" i="49" s="1"/>
  <c r="F77" i="49"/>
  <c r="Y84" i="49" s="1"/>
  <c r="B3" i="60" s="1"/>
  <c r="G77" i="49"/>
  <c r="Y85" i="49" s="1"/>
  <c r="K85" i="49"/>
  <c r="G80" i="49"/>
  <c r="B8" i="60"/>
  <c r="DV59" i="71"/>
  <c r="EC59" i="71" s="1"/>
  <c r="CT60" i="71"/>
  <c r="CV59" i="71"/>
  <c r="CW60" i="71" s="1"/>
  <c r="B58" i="2"/>
  <c r="D59" i="2"/>
  <c r="P59" i="2"/>
  <c r="F57" i="2"/>
  <c r="N59" i="2"/>
  <c r="M59" i="2"/>
  <c r="L59" i="2"/>
  <c r="K59" i="2"/>
  <c r="A60" i="2"/>
  <c r="O59" i="2"/>
  <c r="J59" i="2"/>
  <c r="I59" i="2"/>
  <c r="A95" i="123" l="1"/>
  <c r="H92" i="123"/>
  <c r="G92" i="123"/>
  <c r="F92" i="123"/>
  <c r="E92" i="123"/>
  <c r="B93" i="123"/>
  <c r="A95" i="120"/>
  <c r="A95" i="117"/>
  <c r="B4" i="60"/>
  <c r="B82" i="110"/>
  <c r="H82" i="110" s="1"/>
  <c r="H81" i="110"/>
  <c r="G81" i="110"/>
  <c r="H58" i="2"/>
  <c r="G58" i="2"/>
  <c r="EE60" i="71"/>
  <c r="DY60" i="71"/>
  <c r="ED60" i="71"/>
  <c r="DZ60" i="71"/>
  <c r="CY61" i="71"/>
  <c r="EA60" i="71"/>
  <c r="DA61" i="71"/>
  <c r="EF60" i="71"/>
  <c r="EB60" i="71"/>
  <c r="DN60" i="71"/>
  <c r="CX60" i="71"/>
  <c r="DH60" i="71"/>
  <c r="DI61" i="71" s="1"/>
  <c r="DB60" i="71"/>
  <c r="DC61" i="71" s="1"/>
  <c r="DF60" i="71"/>
  <c r="DG61" i="71" s="1"/>
  <c r="DJ60" i="71"/>
  <c r="DK61" i="71" s="1"/>
  <c r="DD60" i="71"/>
  <c r="DE61" i="71" s="1"/>
  <c r="CZ60" i="71"/>
  <c r="F81" i="110"/>
  <c r="E81" i="110"/>
  <c r="K83" i="110"/>
  <c r="J83" i="110"/>
  <c r="I83" i="110"/>
  <c r="N83" i="110"/>
  <c r="O83" i="110"/>
  <c r="M83" i="110"/>
  <c r="P83" i="110"/>
  <c r="L83" i="110"/>
  <c r="D83" i="110"/>
  <c r="C83" i="110"/>
  <c r="A84" i="110"/>
  <c r="BP214" i="99"/>
  <c r="BN214" i="99"/>
  <c r="BQ214" i="99"/>
  <c r="BR214" i="99"/>
  <c r="BO214" i="99"/>
  <c r="AJ215" i="99"/>
  <c r="AK216" i="99"/>
  <c r="AR216" i="99"/>
  <c r="AL216" i="99"/>
  <c r="AM216" i="99"/>
  <c r="AO216" i="99"/>
  <c r="AQ216" i="99"/>
  <c r="AP216" i="99"/>
  <c r="AN216" i="99"/>
  <c r="AU215" i="99"/>
  <c r="AV216" i="99"/>
  <c r="BB216" i="99"/>
  <c r="BA216" i="99"/>
  <c r="AZ216" i="99"/>
  <c r="AX216" i="99"/>
  <c r="AW216" i="99"/>
  <c r="AY216" i="99"/>
  <c r="BC216" i="99"/>
  <c r="B157" i="95"/>
  <c r="B157" i="94"/>
  <c r="B157" i="93"/>
  <c r="I155" i="92"/>
  <c r="B156" i="92"/>
  <c r="DP68" i="71"/>
  <c r="I100" i="49"/>
  <c r="G100" i="49"/>
  <c r="Z75" i="49"/>
  <c r="U102" i="49" s="1"/>
  <c r="Z74" i="49"/>
  <c r="S102" i="49" s="1"/>
  <c r="K77" i="49"/>
  <c r="Y69" i="49"/>
  <c r="DV60" i="71"/>
  <c r="EC60" i="71" s="1"/>
  <c r="CT61" i="71"/>
  <c r="CV60" i="71"/>
  <c r="CW61" i="71" s="1"/>
  <c r="B59" i="2"/>
  <c r="P60" i="2"/>
  <c r="D60" i="2"/>
  <c r="F58" i="2"/>
  <c r="M60" i="2"/>
  <c r="L60" i="2"/>
  <c r="K60" i="2"/>
  <c r="N60" i="2"/>
  <c r="O60" i="2"/>
  <c r="J60" i="2"/>
  <c r="I60" i="2"/>
  <c r="A61" i="2"/>
  <c r="A96" i="123" l="1"/>
  <c r="B94" i="123"/>
  <c r="E93" i="123"/>
  <c r="H93" i="123"/>
  <c r="G93" i="123"/>
  <c r="F93" i="123"/>
  <c r="A96" i="120"/>
  <c r="M34" i="115"/>
  <c r="Y34" i="115"/>
  <c r="O34" i="115"/>
  <c r="Q34" i="115"/>
  <c r="S34" i="115"/>
  <c r="K34" i="115"/>
  <c r="W34" i="115"/>
  <c r="U34" i="115"/>
  <c r="O38" i="115"/>
  <c r="W38" i="115"/>
  <c r="M38" i="115"/>
  <c r="K38" i="115"/>
  <c r="Q38" i="115"/>
  <c r="S38" i="115"/>
  <c r="Y38" i="115"/>
  <c r="U38" i="115"/>
  <c r="S33" i="115"/>
  <c r="Y33" i="115"/>
  <c r="W33" i="115"/>
  <c r="O33" i="115"/>
  <c r="K33" i="115"/>
  <c r="Q33" i="115"/>
  <c r="M33" i="115"/>
  <c r="U33" i="115"/>
  <c r="Q40" i="115"/>
  <c r="K40" i="115"/>
  <c r="W40" i="115"/>
  <c r="S40" i="115"/>
  <c r="M40" i="115"/>
  <c r="Y40" i="115"/>
  <c r="O40" i="115"/>
  <c r="U40" i="115"/>
  <c r="A96" i="117"/>
  <c r="G82" i="110"/>
  <c r="F82" i="110"/>
  <c r="E82" i="110"/>
  <c r="H59" i="2"/>
  <c r="G59" i="2"/>
  <c r="EE61" i="71"/>
  <c r="DY61" i="71"/>
  <c r="EB61" i="71"/>
  <c r="DZ61" i="71"/>
  <c r="DC62" i="71"/>
  <c r="ED61" i="71"/>
  <c r="DA62" i="71"/>
  <c r="EF61" i="71"/>
  <c r="EA61" i="71"/>
  <c r="DN61" i="71"/>
  <c r="DH61" i="71"/>
  <c r="DI62" i="71" s="1"/>
  <c r="DF61" i="71"/>
  <c r="DG62" i="71" s="1"/>
  <c r="DD61" i="71"/>
  <c r="DE62" i="71" s="1"/>
  <c r="DB61" i="71"/>
  <c r="CZ61" i="71"/>
  <c r="DJ61" i="71"/>
  <c r="DK62" i="71" s="1"/>
  <c r="CX61" i="71"/>
  <c r="CY62" i="71" s="1"/>
  <c r="B83" i="110"/>
  <c r="F83" i="110" s="1"/>
  <c r="I84" i="110"/>
  <c r="P84" i="110"/>
  <c r="D84" i="110"/>
  <c r="O84" i="110"/>
  <c r="C84" i="110"/>
  <c r="L84" i="110"/>
  <c r="J84" i="110"/>
  <c r="N84" i="110"/>
  <c r="M84" i="110"/>
  <c r="K84" i="110"/>
  <c r="A85" i="110"/>
  <c r="BP215" i="99"/>
  <c r="BN215" i="99"/>
  <c r="BR215" i="99"/>
  <c r="BQ215" i="99"/>
  <c r="BO215" i="99"/>
  <c r="AJ216" i="99"/>
  <c r="AU216" i="99"/>
  <c r="AK217" i="99"/>
  <c r="AR217" i="99"/>
  <c r="AN217" i="99"/>
  <c r="AP217" i="99"/>
  <c r="AM217" i="99"/>
  <c r="AQ217" i="99"/>
  <c r="AO217" i="99"/>
  <c r="AL217" i="99"/>
  <c r="AV217" i="99"/>
  <c r="BB217" i="99"/>
  <c r="AZ217" i="99"/>
  <c r="AY217" i="99"/>
  <c r="BC217" i="99"/>
  <c r="BA217" i="99"/>
  <c r="AW217" i="99"/>
  <c r="AX217" i="99"/>
  <c r="B158" i="95"/>
  <c r="B158" i="94"/>
  <c r="B158" i="93"/>
  <c r="I156" i="92"/>
  <c r="B157" i="92"/>
  <c r="K100" i="49"/>
  <c r="Z69" i="49"/>
  <c r="K102" i="49" s="1"/>
  <c r="DV61" i="71"/>
  <c r="EC61" i="71" s="1"/>
  <c r="CT62" i="71"/>
  <c r="CV61" i="71"/>
  <c r="CW62" i="71" s="1"/>
  <c r="P61" i="2"/>
  <c r="D61" i="2"/>
  <c r="B60" i="2"/>
  <c r="L61" i="2"/>
  <c r="K61" i="2"/>
  <c r="N61" i="2"/>
  <c r="M61" i="2"/>
  <c r="O61" i="2"/>
  <c r="J61" i="2"/>
  <c r="I61" i="2"/>
  <c r="A62" i="2"/>
  <c r="F59" i="2"/>
  <c r="H94" i="123" l="1"/>
  <c r="G94" i="123"/>
  <c r="E94" i="123"/>
  <c r="F94" i="123"/>
  <c r="A97" i="123"/>
  <c r="B95" i="123"/>
  <c r="A97" i="120"/>
  <c r="K35" i="115"/>
  <c r="Q35" i="115"/>
  <c r="Y35" i="115"/>
  <c r="M35" i="115"/>
  <c r="O35" i="115"/>
  <c r="W35" i="115"/>
  <c r="S35" i="115"/>
  <c r="U35" i="115"/>
  <c r="Q73" i="115"/>
  <c r="K73" i="115"/>
  <c r="W73" i="115"/>
  <c r="M73" i="115"/>
  <c r="Y73" i="115"/>
  <c r="S73" i="115"/>
  <c r="O73" i="115"/>
  <c r="U73" i="115"/>
  <c r="Y76" i="115"/>
  <c r="K76" i="115"/>
  <c r="O76" i="115"/>
  <c r="M76" i="115"/>
  <c r="S76" i="115"/>
  <c r="Q76" i="115"/>
  <c r="W76" i="115"/>
  <c r="U76" i="115"/>
  <c r="A97" i="117"/>
  <c r="H83" i="110"/>
  <c r="G83" i="110"/>
  <c r="E83" i="110"/>
  <c r="H60" i="2"/>
  <c r="G60" i="2"/>
  <c r="EE62" i="71"/>
  <c r="DY62" i="71"/>
  <c r="DK63" i="71"/>
  <c r="DZ62" i="71"/>
  <c r="CY63" i="71"/>
  <c r="EA62" i="71"/>
  <c r="DE63" i="71"/>
  <c r="EB62" i="71"/>
  <c r="EF62" i="71"/>
  <c r="ED62" i="71"/>
  <c r="DN62" i="71"/>
  <c r="DJ62" i="71"/>
  <c r="DD62" i="71"/>
  <c r="CX62" i="71"/>
  <c r="DH62" i="71"/>
  <c r="DI63" i="71" s="1"/>
  <c r="DF62" i="71"/>
  <c r="DG63" i="71" s="1"/>
  <c r="DB62" i="71"/>
  <c r="DC63" i="71" s="1"/>
  <c r="CZ62" i="71"/>
  <c r="DA63" i="71" s="1"/>
  <c r="O85" i="110"/>
  <c r="C85" i="110"/>
  <c r="N85" i="110"/>
  <c r="M85" i="110"/>
  <c r="J85" i="110"/>
  <c r="K85" i="110"/>
  <c r="I85" i="110"/>
  <c r="D85" i="110"/>
  <c r="L85" i="110"/>
  <c r="P85" i="110"/>
  <c r="A86" i="110"/>
  <c r="B84" i="110"/>
  <c r="AP1" i="31"/>
  <c r="M48" i="1"/>
  <c r="BP216" i="99"/>
  <c r="BN216" i="99"/>
  <c r="BQ216" i="99"/>
  <c r="BR216" i="99"/>
  <c r="BO216" i="99"/>
  <c r="AJ217" i="99"/>
  <c r="AU217" i="99"/>
  <c r="AK218" i="99"/>
  <c r="AR218" i="99"/>
  <c r="AQ218" i="99"/>
  <c r="AM218" i="99"/>
  <c r="AL218" i="99"/>
  <c r="AN218" i="99"/>
  <c r="AP218" i="99"/>
  <c r="AO218" i="99"/>
  <c r="AV218" i="99"/>
  <c r="BB218" i="99"/>
  <c r="BA218" i="99"/>
  <c r="AZ218" i="99"/>
  <c r="AX218" i="99"/>
  <c r="AW218" i="99"/>
  <c r="AY218" i="99"/>
  <c r="BC218" i="99"/>
  <c r="B159" i="95"/>
  <c r="B159" i="94"/>
  <c r="B159" i="93"/>
  <c r="I157" i="92"/>
  <c r="B158" i="92"/>
  <c r="DP73" i="71"/>
  <c r="DV62" i="71"/>
  <c r="EC62" i="71" s="1"/>
  <c r="CT63" i="71"/>
  <c r="CV62" i="71"/>
  <c r="CW63" i="71" s="1"/>
  <c r="B61" i="2"/>
  <c r="D62" i="2"/>
  <c r="P62" i="2"/>
  <c r="F60" i="2"/>
  <c r="K62" i="2"/>
  <c r="L62" i="2"/>
  <c r="N62" i="2"/>
  <c r="M62" i="2"/>
  <c r="O62" i="2"/>
  <c r="J62" i="2"/>
  <c r="I62" i="2"/>
  <c r="A63" i="2"/>
  <c r="H95" i="123" l="1"/>
  <c r="G95" i="123"/>
  <c r="F95" i="123"/>
  <c r="E95" i="123"/>
  <c r="B96" i="123"/>
  <c r="B97" i="123"/>
  <c r="A98" i="123"/>
  <c r="A98" i="120"/>
  <c r="K41" i="115"/>
  <c r="W41" i="115"/>
  <c r="M41" i="115"/>
  <c r="Q41" i="115"/>
  <c r="Y41" i="115"/>
  <c r="O41" i="115"/>
  <c r="S41" i="115"/>
  <c r="U41" i="115"/>
  <c r="S44" i="115"/>
  <c r="K44" i="115"/>
  <c r="Y44" i="115"/>
  <c r="Q44" i="115"/>
  <c r="O44" i="115"/>
  <c r="M44" i="115"/>
  <c r="W44" i="115"/>
  <c r="U44" i="115"/>
  <c r="A98" i="117"/>
  <c r="B85" i="110"/>
  <c r="E85" i="110" s="1"/>
  <c r="H84" i="110"/>
  <c r="G84" i="110"/>
  <c r="H61" i="2"/>
  <c r="G61" i="2"/>
  <c r="ED63" i="71"/>
  <c r="EE63" i="71"/>
  <c r="DI64" i="71"/>
  <c r="DY63" i="71"/>
  <c r="DA64" i="71"/>
  <c r="EF63" i="71"/>
  <c r="CY64" i="71"/>
  <c r="EA63" i="71"/>
  <c r="DN63" i="71"/>
  <c r="DD63" i="71"/>
  <c r="DE64" i="71" s="1"/>
  <c r="DB63" i="71"/>
  <c r="DC64" i="71" s="1"/>
  <c r="CZ63" i="71"/>
  <c r="CX63" i="71"/>
  <c r="DH63" i="71"/>
  <c r="DF63" i="71"/>
  <c r="DG64" i="71" s="1"/>
  <c r="DJ63" i="71"/>
  <c r="EB63" i="71"/>
  <c r="DK64" i="71"/>
  <c r="DZ63" i="71"/>
  <c r="F84" i="110"/>
  <c r="E84" i="110"/>
  <c r="M86" i="110"/>
  <c r="L86" i="110"/>
  <c r="K86" i="110"/>
  <c r="P86" i="110"/>
  <c r="D86" i="110"/>
  <c r="O86" i="110"/>
  <c r="N86" i="110"/>
  <c r="J86" i="110"/>
  <c r="I86" i="110"/>
  <c r="C86" i="110"/>
  <c r="A87" i="110"/>
  <c r="F55" i="3"/>
  <c r="H55" i="3" s="1"/>
  <c r="F55" i="109"/>
  <c r="BP217" i="99"/>
  <c r="BN217" i="99"/>
  <c r="BQ217" i="99"/>
  <c r="BR217" i="99"/>
  <c r="BO217" i="99"/>
  <c r="AJ218" i="99"/>
  <c r="AU218" i="99"/>
  <c r="AK219" i="99"/>
  <c r="AR219" i="99"/>
  <c r="AO219" i="99"/>
  <c r="AM219" i="99"/>
  <c r="AN219" i="99"/>
  <c r="AL219" i="99"/>
  <c r="AQ219" i="99"/>
  <c r="AP219" i="99"/>
  <c r="AV219" i="99"/>
  <c r="BC219" i="99"/>
  <c r="BB219" i="99"/>
  <c r="AZ219" i="99"/>
  <c r="AY219" i="99"/>
  <c r="AX219" i="99"/>
  <c r="AW219" i="99"/>
  <c r="BA219" i="99"/>
  <c r="B160" i="95"/>
  <c r="B160" i="94"/>
  <c r="B160" i="93"/>
  <c r="B159" i="92"/>
  <c r="I158" i="92"/>
  <c r="DV63" i="71"/>
  <c r="EC63" i="71" s="1"/>
  <c r="CT64" i="71"/>
  <c r="CV63" i="71"/>
  <c r="CW64" i="71" s="1"/>
  <c r="B62" i="2"/>
  <c r="D63" i="2"/>
  <c r="P63" i="2"/>
  <c r="N63" i="2"/>
  <c r="M63" i="2"/>
  <c r="L63" i="2"/>
  <c r="K63" i="2"/>
  <c r="O63" i="2"/>
  <c r="J63" i="2"/>
  <c r="A64" i="2"/>
  <c r="I63" i="2"/>
  <c r="F61" i="2"/>
  <c r="A99" i="123" l="1"/>
  <c r="E96" i="123"/>
  <c r="H96" i="123"/>
  <c r="G96" i="123"/>
  <c r="F96" i="123"/>
  <c r="H97" i="123"/>
  <c r="G97" i="123"/>
  <c r="F97" i="123"/>
  <c r="E97" i="123"/>
  <c r="A99" i="120"/>
  <c r="M36" i="115"/>
  <c r="K36" i="115"/>
  <c r="Q36" i="115"/>
  <c r="Y36" i="115"/>
  <c r="O36" i="115"/>
  <c r="S36" i="115"/>
  <c r="W36" i="115"/>
  <c r="U36" i="115"/>
  <c r="M52" i="115"/>
  <c r="Q52" i="115"/>
  <c r="S52" i="115"/>
  <c r="K52" i="115"/>
  <c r="Y52" i="115"/>
  <c r="W52" i="115"/>
  <c r="O52" i="115"/>
  <c r="U52" i="115"/>
  <c r="A99" i="117"/>
  <c r="F85" i="110"/>
  <c r="H85" i="110"/>
  <c r="G85" i="110"/>
  <c r="G62" i="2"/>
  <c r="H62" i="2"/>
  <c r="ED64" i="71"/>
  <c r="EB64" i="71"/>
  <c r="EE64" i="71"/>
  <c r="EA64" i="71"/>
  <c r="DI65" i="71"/>
  <c r="DY64" i="71"/>
  <c r="DA65" i="71"/>
  <c r="EF64" i="71"/>
  <c r="DZ64" i="71"/>
  <c r="DN64" i="71"/>
  <c r="DJ64" i="71"/>
  <c r="DK65" i="71" s="1"/>
  <c r="DH64" i="71"/>
  <c r="DF64" i="71"/>
  <c r="DG65" i="71" s="1"/>
  <c r="CZ64" i="71"/>
  <c r="DD64" i="71"/>
  <c r="DE65" i="71" s="1"/>
  <c r="DB64" i="71"/>
  <c r="DC65" i="71" s="1"/>
  <c r="CX64" i="71"/>
  <c r="CY65" i="71" s="1"/>
  <c r="K87" i="110"/>
  <c r="J87" i="110"/>
  <c r="I87" i="110"/>
  <c r="P87" i="110"/>
  <c r="N87" i="110"/>
  <c r="C87" i="110"/>
  <c r="D87" i="110"/>
  <c r="O87" i="110"/>
  <c r="L87" i="110"/>
  <c r="M87" i="110"/>
  <c r="A88" i="110"/>
  <c r="B86" i="110"/>
  <c r="BP218" i="99"/>
  <c r="BN218" i="99"/>
  <c r="BQ218" i="99"/>
  <c r="BR218" i="99"/>
  <c r="BO218" i="99"/>
  <c r="AJ219" i="99"/>
  <c r="AU219" i="99"/>
  <c r="AK220" i="99"/>
  <c r="AR220" i="99"/>
  <c r="AL220" i="99"/>
  <c r="AM220" i="99"/>
  <c r="AP220" i="99"/>
  <c r="AO220" i="99"/>
  <c r="AQ220" i="99"/>
  <c r="AN220" i="99"/>
  <c r="AV220" i="99"/>
  <c r="BA220" i="99"/>
  <c r="BB220" i="99"/>
  <c r="AY220" i="99"/>
  <c r="AW220" i="99"/>
  <c r="AZ220" i="99"/>
  <c r="AX220" i="99"/>
  <c r="BC220" i="99"/>
  <c r="B161" i="95"/>
  <c r="B161" i="94"/>
  <c r="B161" i="93"/>
  <c r="B160" i="92"/>
  <c r="I159" i="92"/>
  <c r="DP78" i="71"/>
  <c r="DV64" i="71"/>
  <c r="EC64" i="71" s="1"/>
  <c r="CT65" i="71"/>
  <c r="CV64" i="71"/>
  <c r="CW65" i="71" s="1"/>
  <c r="P64" i="2"/>
  <c r="D64" i="2"/>
  <c r="B63" i="2"/>
  <c r="F62" i="2"/>
  <c r="N64" i="2"/>
  <c r="M64" i="2"/>
  <c r="L64" i="2"/>
  <c r="K64" i="2"/>
  <c r="O64" i="2"/>
  <c r="J64" i="2"/>
  <c r="I64" i="2"/>
  <c r="A65" i="2"/>
  <c r="A100" i="123" l="1"/>
  <c r="B99" i="123"/>
  <c r="B98" i="123"/>
  <c r="A100" i="120"/>
  <c r="A100" i="117"/>
  <c r="H86" i="110"/>
  <c r="G86" i="110"/>
  <c r="H63" i="2"/>
  <c r="G63" i="2"/>
  <c r="DZ65" i="71"/>
  <c r="CY66" i="71"/>
  <c r="EA65" i="71"/>
  <c r="ED65" i="71"/>
  <c r="DE66" i="71"/>
  <c r="EB65" i="71"/>
  <c r="DG66" i="71"/>
  <c r="EE65" i="71"/>
  <c r="DN65" i="71"/>
  <c r="CZ65" i="71"/>
  <c r="DA66" i="71" s="1"/>
  <c r="CX65" i="71"/>
  <c r="DJ65" i="71"/>
  <c r="DK66" i="71" s="1"/>
  <c r="DD65" i="71"/>
  <c r="DH65" i="71"/>
  <c r="DF65" i="71"/>
  <c r="DB65" i="71"/>
  <c r="DC66" i="71" s="1"/>
  <c r="DI66" i="71"/>
  <c r="DY65" i="71"/>
  <c r="EF65" i="71"/>
  <c r="E86" i="110"/>
  <c r="F86" i="110"/>
  <c r="I88" i="110"/>
  <c r="P88" i="110"/>
  <c r="D88" i="110"/>
  <c r="O88" i="110"/>
  <c r="C88" i="110"/>
  <c r="N88" i="110"/>
  <c r="M88" i="110"/>
  <c r="L88" i="110"/>
  <c r="K88" i="110"/>
  <c r="J88" i="110"/>
  <c r="A89" i="110"/>
  <c r="B87" i="110"/>
  <c r="M71" i="1"/>
  <c r="M17" i="1"/>
  <c r="M16" i="1"/>
  <c r="M38" i="1"/>
  <c r="M41" i="1"/>
  <c r="BP219" i="99"/>
  <c r="BN219" i="99"/>
  <c r="BR219" i="99"/>
  <c r="BQ219" i="99"/>
  <c r="BO219" i="99"/>
  <c r="AJ220" i="99"/>
  <c r="AU220" i="99"/>
  <c r="AK221" i="99"/>
  <c r="AR221" i="99"/>
  <c r="AL221" i="99"/>
  <c r="AN221" i="99"/>
  <c r="AP221" i="99"/>
  <c r="AQ221" i="99"/>
  <c r="AM221" i="99"/>
  <c r="AO221" i="99"/>
  <c r="AV221" i="99"/>
  <c r="BC221" i="99"/>
  <c r="AZ221" i="99"/>
  <c r="AY221" i="99"/>
  <c r="AX221" i="99"/>
  <c r="BB221" i="99"/>
  <c r="AW221" i="99"/>
  <c r="BA221" i="99"/>
  <c r="B162" i="95"/>
  <c r="B162" i="94"/>
  <c r="B162" i="93"/>
  <c r="B161" i="92"/>
  <c r="I160" i="92"/>
  <c r="DV65" i="71"/>
  <c r="EC65" i="71" s="1"/>
  <c r="CT66" i="71"/>
  <c r="CV65" i="71"/>
  <c r="CW66" i="71" s="1"/>
  <c r="P65" i="2"/>
  <c r="D65" i="2"/>
  <c r="B64" i="2"/>
  <c r="N65" i="2"/>
  <c r="M65" i="2"/>
  <c r="L65" i="2"/>
  <c r="K65" i="2"/>
  <c r="O65" i="2"/>
  <c r="J65" i="2"/>
  <c r="I65" i="2"/>
  <c r="A66" i="2"/>
  <c r="F63" i="2"/>
  <c r="E99" i="123" l="1"/>
  <c r="H99" i="123"/>
  <c r="G99" i="123"/>
  <c r="F99" i="123"/>
  <c r="H98" i="123"/>
  <c r="G98" i="123"/>
  <c r="F98" i="123"/>
  <c r="E98" i="123"/>
  <c r="A101" i="123"/>
  <c r="A101" i="120"/>
  <c r="A101" i="117"/>
  <c r="H87" i="110"/>
  <c r="G87" i="110"/>
  <c r="H64" i="2"/>
  <c r="G64" i="2"/>
  <c r="DZ66" i="71"/>
  <c r="EF66" i="71"/>
  <c r="ED66" i="71"/>
  <c r="DG67" i="71"/>
  <c r="EE66" i="71"/>
  <c r="DE67" i="71"/>
  <c r="EB66" i="71"/>
  <c r="DI67" i="71"/>
  <c r="DY66" i="71"/>
  <c r="EA66" i="71"/>
  <c r="DN66" i="71"/>
  <c r="DJ66" i="71"/>
  <c r="DK67" i="71" s="1"/>
  <c r="DH66" i="71"/>
  <c r="DF66" i="71"/>
  <c r="DD66" i="71"/>
  <c r="DB66" i="71"/>
  <c r="DC67" i="71" s="1"/>
  <c r="CZ66" i="71"/>
  <c r="DA67" i="71" s="1"/>
  <c r="CX66" i="71"/>
  <c r="CY67" i="71" s="1"/>
  <c r="O89" i="110"/>
  <c r="C89" i="110"/>
  <c r="N89" i="110"/>
  <c r="M89" i="110"/>
  <c r="L89" i="110"/>
  <c r="K89" i="110"/>
  <c r="J89" i="110"/>
  <c r="I89" i="110"/>
  <c r="D89" i="110"/>
  <c r="P89" i="110"/>
  <c r="A90" i="110"/>
  <c r="B88" i="110"/>
  <c r="E87" i="110"/>
  <c r="F87" i="110"/>
  <c r="F48" i="3"/>
  <c r="H48" i="3" s="1"/>
  <c r="F48" i="109"/>
  <c r="F45" i="3"/>
  <c r="H45" i="3" s="1"/>
  <c r="F45" i="109"/>
  <c r="F23" i="3"/>
  <c r="H23" i="3" s="1"/>
  <c r="F23" i="109"/>
  <c r="F24" i="3"/>
  <c r="H24" i="3" s="1"/>
  <c r="F24" i="109"/>
  <c r="F78" i="3"/>
  <c r="H78" i="3" s="1"/>
  <c r="F78" i="109"/>
  <c r="BP220" i="99"/>
  <c r="BN220" i="99"/>
  <c r="BR220" i="99"/>
  <c r="BQ220" i="99"/>
  <c r="BO220" i="99"/>
  <c r="AJ221" i="99"/>
  <c r="AU221" i="99"/>
  <c r="AK222" i="99"/>
  <c r="AR222" i="99"/>
  <c r="AL222" i="99"/>
  <c r="AQ222" i="99"/>
  <c r="AM222" i="99"/>
  <c r="AP222" i="99"/>
  <c r="AO222" i="99"/>
  <c r="AN222" i="99"/>
  <c r="AV222" i="99"/>
  <c r="BA222" i="99"/>
  <c r="AX222" i="99"/>
  <c r="AW222" i="99"/>
  <c r="AZ222" i="99"/>
  <c r="AY222" i="99"/>
  <c r="BC222" i="99"/>
  <c r="BB222" i="99"/>
  <c r="B163" i="95"/>
  <c r="B163" i="94"/>
  <c r="B163" i="93"/>
  <c r="B162" i="92"/>
  <c r="I161" i="92"/>
  <c r="DP83" i="71"/>
  <c r="DV66" i="71"/>
  <c r="EC66" i="71" s="1"/>
  <c r="CT67" i="71"/>
  <c r="CV66" i="71"/>
  <c r="CW67" i="71" s="1"/>
  <c r="D66" i="2"/>
  <c r="P66" i="2"/>
  <c r="B65" i="2"/>
  <c r="F64" i="2"/>
  <c r="N66" i="2"/>
  <c r="M66" i="2"/>
  <c r="L66" i="2"/>
  <c r="K66" i="2"/>
  <c r="O66" i="2"/>
  <c r="J66" i="2"/>
  <c r="I66" i="2"/>
  <c r="A67" i="2"/>
  <c r="A102" i="123" l="1"/>
  <c r="B100" i="123"/>
  <c r="A102" i="120"/>
  <c r="A102" i="117"/>
  <c r="B89" i="110"/>
  <c r="F89" i="110" s="1"/>
  <c r="H88" i="110"/>
  <c r="G88" i="110"/>
  <c r="H65" i="2"/>
  <c r="G65" i="2"/>
  <c r="DZ67" i="71"/>
  <c r="EF67" i="71"/>
  <c r="EA67" i="71"/>
  <c r="ED67" i="71"/>
  <c r="DE68" i="71"/>
  <c r="EB67" i="71"/>
  <c r="DI68" i="71"/>
  <c r="DY67" i="71"/>
  <c r="EE67" i="71"/>
  <c r="DN67" i="71"/>
  <c r="DF67" i="71"/>
  <c r="DG68" i="71" s="1"/>
  <c r="CZ67" i="71"/>
  <c r="DA68" i="71" s="1"/>
  <c r="DD67" i="71"/>
  <c r="DB67" i="71"/>
  <c r="DC68" i="71" s="1"/>
  <c r="CX67" i="71"/>
  <c r="CY68" i="71" s="1"/>
  <c r="DH67" i="71"/>
  <c r="DJ67" i="71"/>
  <c r="DK68" i="71" s="1"/>
  <c r="F88" i="110"/>
  <c r="E88" i="110"/>
  <c r="M90" i="110"/>
  <c r="L90" i="110"/>
  <c r="K90" i="110"/>
  <c r="J90" i="110"/>
  <c r="I90" i="110"/>
  <c r="P90" i="110"/>
  <c r="D90" i="110"/>
  <c r="C90" i="110"/>
  <c r="O90" i="110"/>
  <c r="N90" i="110"/>
  <c r="A91" i="110"/>
  <c r="BP221" i="99"/>
  <c r="BN221" i="99"/>
  <c r="BR221" i="99"/>
  <c r="BQ221" i="99"/>
  <c r="BO221" i="99"/>
  <c r="AJ222" i="99"/>
  <c r="AU222" i="99"/>
  <c r="AO223" i="99"/>
  <c r="AK223" i="99"/>
  <c r="AR223" i="99"/>
  <c r="AM223" i="99"/>
  <c r="AP223" i="99"/>
  <c r="AL223" i="99"/>
  <c r="AQ223" i="99"/>
  <c r="AN223" i="99"/>
  <c r="AY223" i="99"/>
  <c r="BC223" i="99"/>
  <c r="AV223" i="99"/>
  <c r="BB223" i="99"/>
  <c r="AZ223" i="99"/>
  <c r="AX223" i="99"/>
  <c r="AW223" i="99"/>
  <c r="BA223" i="99"/>
  <c r="B164" i="95"/>
  <c r="B164" i="94"/>
  <c r="B164" i="93"/>
  <c r="B163" i="92"/>
  <c r="I162" i="92"/>
  <c r="DV67" i="71"/>
  <c r="EC67" i="71" s="1"/>
  <c r="CT68" i="71"/>
  <c r="CV67" i="71"/>
  <c r="CW68" i="71" s="1"/>
  <c r="B66" i="2"/>
  <c r="D67" i="2"/>
  <c r="P67" i="2"/>
  <c r="N67" i="2"/>
  <c r="M67" i="2"/>
  <c r="L67" i="2"/>
  <c r="K67" i="2"/>
  <c r="O67" i="2"/>
  <c r="J67" i="2"/>
  <c r="A68" i="2"/>
  <c r="I67" i="2"/>
  <c r="F65" i="2"/>
  <c r="H100" i="123" l="1"/>
  <c r="G100" i="123"/>
  <c r="F100" i="123"/>
  <c r="E100" i="123"/>
  <c r="A103" i="123"/>
  <c r="B101" i="123"/>
  <c r="A103" i="120"/>
  <c r="A103" i="117"/>
  <c r="G89" i="110"/>
  <c r="H89" i="110"/>
  <c r="E89" i="110"/>
  <c r="H66" i="2"/>
  <c r="G66" i="2"/>
  <c r="EF68" i="71"/>
  <c r="DZ68" i="71"/>
  <c r="EA68" i="71"/>
  <c r="DG69" i="71"/>
  <c r="EE68" i="71"/>
  <c r="DC69" i="71"/>
  <c r="ED68" i="71"/>
  <c r="EB68" i="71"/>
  <c r="DN68" i="71"/>
  <c r="DF68" i="71"/>
  <c r="DD68" i="71"/>
  <c r="DE69" i="71" s="1"/>
  <c r="DB68" i="71"/>
  <c r="CZ68" i="71"/>
  <c r="DA69" i="71" s="1"/>
  <c r="CX68" i="71"/>
  <c r="CY69" i="71" s="1"/>
  <c r="DJ68" i="71"/>
  <c r="DK69" i="71" s="1"/>
  <c r="DH68" i="71"/>
  <c r="DI69" i="71" s="1"/>
  <c r="DY68" i="71"/>
  <c r="B90" i="110"/>
  <c r="K91" i="110"/>
  <c r="J91" i="110"/>
  <c r="I91" i="110"/>
  <c r="P91" i="110"/>
  <c r="D91" i="110"/>
  <c r="O91" i="110"/>
  <c r="C91" i="110"/>
  <c r="N91" i="110"/>
  <c r="M91" i="110"/>
  <c r="L91" i="110"/>
  <c r="A92" i="110"/>
  <c r="AT1" i="31"/>
  <c r="M61" i="1"/>
  <c r="M60" i="1"/>
  <c r="M62" i="1"/>
  <c r="M59" i="1"/>
  <c r="M63" i="1"/>
  <c r="M55" i="1"/>
  <c r="M56" i="1"/>
  <c r="M57" i="1"/>
  <c r="M58" i="1"/>
  <c r="BP222" i="99"/>
  <c r="BN222" i="99"/>
  <c r="BQ222" i="99"/>
  <c r="BR222" i="99"/>
  <c r="BO222" i="99"/>
  <c r="AJ223" i="99"/>
  <c r="AU223" i="99"/>
  <c r="AK224" i="99"/>
  <c r="AR224" i="99"/>
  <c r="AL224" i="99"/>
  <c r="AM224" i="99"/>
  <c r="AO224" i="99"/>
  <c r="AN224" i="99"/>
  <c r="AQ224" i="99"/>
  <c r="AP224" i="99"/>
  <c r="AV224" i="99"/>
  <c r="BB224" i="99"/>
  <c r="BA224" i="99"/>
  <c r="AZ224" i="99"/>
  <c r="AX224" i="99"/>
  <c r="AW224" i="99"/>
  <c r="BC224" i="99"/>
  <c r="AY224" i="99"/>
  <c r="B165" i="95"/>
  <c r="B165" i="94"/>
  <c r="B165" i="93"/>
  <c r="I163" i="92"/>
  <c r="B164" i="92"/>
  <c r="DV68" i="71"/>
  <c r="EC68" i="71" s="1"/>
  <c r="CT69" i="71"/>
  <c r="CV68" i="71"/>
  <c r="CW69" i="71" s="1"/>
  <c r="B67" i="2"/>
  <c r="P68" i="2"/>
  <c r="D68" i="2"/>
  <c r="F66" i="2"/>
  <c r="M68" i="2"/>
  <c r="L68" i="2"/>
  <c r="K68" i="2"/>
  <c r="N68" i="2"/>
  <c r="A69" i="2"/>
  <c r="O68" i="2"/>
  <c r="I68" i="2"/>
  <c r="J68" i="2"/>
  <c r="H101" i="123" l="1"/>
  <c r="G101" i="123"/>
  <c r="F101" i="123"/>
  <c r="E101" i="123"/>
  <c r="B102" i="123"/>
  <c r="B103" i="123"/>
  <c r="A104" i="123"/>
  <c r="A104" i="120"/>
  <c r="A104" i="117"/>
  <c r="H90" i="110"/>
  <c r="G90" i="110"/>
  <c r="H67" i="2"/>
  <c r="G67" i="2"/>
  <c r="DZ69" i="71"/>
  <c r="DY69" i="71"/>
  <c r="EA69" i="71"/>
  <c r="EF69" i="71"/>
  <c r="DC70" i="71"/>
  <c r="ED69" i="71"/>
  <c r="DE70" i="71"/>
  <c r="EB69" i="71"/>
  <c r="DN69" i="71"/>
  <c r="DJ69" i="71"/>
  <c r="DK70" i="71" s="1"/>
  <c r="DH69" i="71"/>
  <c r="DI70" i="71" s="1"/>
  <c r="DF69" i="71"/>
  <c r="DB69" i="71"/>
  <c r="CX69" i="71"/>
  <c r="CY70" i="71" s="1"/>
  <c r="CZ69" i="71"/>
  <c r="DA70" i="71" s="1"/>
  <c r="DD69" i="71"/>
  <c r="DG70" i="71"/>
  <c r="EE69" i="71"/>
  <c r="B91" i="110"/>
  <c r="I92" i="110"/>
  <c r="P92" i="110"/>
  <c r="D92" i="110"/>
  <c r="O92" i="110"/>
  <c r="C92" i="110"/>
  <c r="N92" i="110"/>
  <c r="M92" i="110"/>
  <c r="L92" i="110"/>
  <c r="K92" i="110"/>
  <c r="J92" i="110"/>
  <c r="A93" i="110"/>
  <c r="F90" i="110"/>
  <c r="E90" i="110"/>
  <c r="F70" i="3"/>
  <c r="H70" i="3" s="1"/>
  <c r="F70" i="109"/>
  <c r="F66" i="3"/>
  <c r="H66" i="3" s="1"/>
  <c r="F66" i="109"/>
  <c r="F69" i="3"/>
  <c r="H69" i="3" s="1"/>
  <c r="F69" i="109"/>
  <c r="F63" i="3"/>
  <c r="H63" i="3" s="1"/>
  <c r="F63" i="109"/>
  <c r="F67" i="3"/>
  <c r="H67" i="3" s="1"/>
  <c r="F67" i="109"/>
  <c r="F62" i="3"/>
  <c r="H62" i="3" s="1"/>
  <c r="F62" i="109"/>
  <c r="F65" i="3"/>
  <c r="H65" i="3" s="1"/>
  <c r="F65" i="109"/>
  <c r="F68" i="3"/>
  <c r="H68" i="3" s="1"/>
  <c r="F68" i="109"/>
  <c r="F64" i="3"/>
  <c r="H64" i="3" s="1"/>
  <c r="F64" i="109"/>
  <c r="BP223" i="99"/>
  <c r="BN223" i="99"/>
  <c r="BR223" i="99"/>
  <c r="BQ223" i="99"/>
  <c r="BO223" i="99"/>
  <c r="AJ224" i="99"/>
  <c r="AU224" i="99"/>
  <c r="AK225" i="99"/>
  <c r="AR225" i="99"/>
  <c r="AO225" i="99"/>
  <c r="AM225" i="99"/>
  <c r="AL225" i="99"/>
  <c r="AN225" i="99"/>
  <c r="AP225" i="99"/>
  <c r="AQ225" i="99"/>
  <c r="AV225" i="99"/>
  <c r="BB225" i="99"/>
  <c r="BC225" i="99"/>
  <c r="AZ225" i="99"/>
  <c r="AY225" i="99"/>
  <c r="AX225" i="99"/>
  <c r="AW225" i="99"/>
  <c r="BA225" i="99"/>
  <c r="B166" i="95"/>
  <c r="B166" i="94"/>
  <c r="B166" i="93"/>
  <c r="I164" i="92"/>
  <c r="B165" i="92"/>
  <c r="DV69" i="71"/>
  <c r="EC69" i="71" s="1"/>
  <c r="CT70" i="71"/>
  <c r="CV69" i="71"/>
  <c r="CW70" i="71" s="1"/>
  <c r="B68" i="2"/>
  <c r="P69" i="2"/>
  <c r="D69" i="2"/>
  <c r="L69" i="2"/>
  <c r="K69" i="2"/>
  <c r="M69" i="2"/>
  <c r="N69" i="2"/>
  <c r="A70" i="2"/>
  <c r="O69" i="2"/>
  <c r="J69" i="2"/>
  <c r="I69" i="2"/>
  <c r="F67" i="2"/>
  <c r="E102" i="123" l="1"/>
  <c r="H102" i="123"/>
  <c r="G102" i="123"/>
  <c r="F102" i="123"/>
  <c r="E103" i="123"/>
  <c r="H103" i="123"/>
  <c r="G103" i="123"/>
  <c r="F103" i="123"/>
  <c r="A105" i="123"/>
  <c r="A105" i="120"/>
  <c r="A105" i="117"/>
  <c r="H91" i="110"/>
  <c r="G91" i="110"/>
  <c r="G68" i="2"/>
  <c r="H68" i="2"/>
  <c r="DY70" i="71"/>
  <c r="DZ70" i="71"/>
  <c r="EA70" i="71"/>
  <c r="EB70" i="71"/>
  <c r="DC71" i="71"/>
  <c r="ED70" i="71"/>
  <c r="DG71" i="71"/>
  <c r="EE70" i="71"/>
  <c r="EF70" i="71"/>
  <c r="DN70" i="71"/>
  <c r="DB70" i="71"/>
  <c r="CZ70" i="71"/>
  <c r="DA71" i="71" s="1"/>
  <c r="CX70" i="71"/>
  <c r="CY71" i="71" s="1"/>
  <c r="DH70" i="71"/>
  <c r="DI71" i="71" s="1"/>
  <c r="DF70" i="71"/>
  <c r="DJ70" i="71"/>
  <c r="DK71" i="71" s="1"/>
  <c r="DD70" i="71"/>
  <c r="DE71" i="71" s="1"/>
  <c r="O93" i="110"/>
  <c r="C93" i="110"/>
  <c r="N93" i="110"/>
  <c r="M93" i="110"/>
  <c r="L93" i="110"/>
  <c r="K93" i="110"/>
  <c r="J93" i="110"/>
  <c r="I93" i="110"/>
  <c r="D93" i="110"/>
  <c r="P93" i="110"/>
  <c r="A94" i="110"/>
  <c r="B92" i="110"/>
  <c r="E91" i="110"/>
  <c r="F91" i="110"/>
  <c r="BP224" i="99"/>
  <c r="BN224" i="99"/>
  <c r="BR224" i="99"/>
  <c r="BQ224" i="99"/>
  <c r="BO224" i="99"/>
  <c r="AJ225" i="99"/>
  <c r="AK226" i="99"/>
  <c r="AR226" i="99"/>
  <c r="AQ226" i="99"/>
  <c r="AP226" i="99"/>
  <c r="AO226" i="99"/>
  <c r="AN226" i="99"/>
  <c r="AM226" i="99"/>
  <c r="AL226" i="99"/>
  <c r="AU225" i="99"/>
  <c r="AV226" i="99"/>
  <c r="BB226" i="99"/>
  <c r="BA226" i="99"/>
  <c r="AZ226" i="99"/>
  <c r="AW226" i="99"/>
  <c r="AY226" i="99"/>
  <c r="BC226" i="99"/>
  <c r="AX226" i="99"/>
  <c r="B167" i="95"/>
  <c r="B167" i="94"/>
  <c r="B167" i="93"/>
  <c r="B166" i="92"/>
  <c r="I165" i="92"/>
  <c r="DV70" i="71"/>
  <c r="EC70" i="71" s="1"/>
  <c r="CT71" i="71"/>
  <c r="CV70" i="71"/>
  <c r="CW71" i="71" s="1"/>
  <c r="D70" i="2"/>
  <c r="P70" i="2"/>
  <c r="B69" i="2"/>
  <c r="F68" i="2"/>
  <c r="K70" i="2"/>
  <c r="N70" i="2"/>
  <c r="L70" i="2"/>
  <c r="M70" i="2"/>
  <c r="I70" i="2"/>
  <c r="A71" i="2"/>
  <c r="O70" i="2"/>
  <c r="J70" i="2"/>
  <c r="A106" i="123" l="1"/>
  <c r="B104" i="123"/>
  <c r="A106" i="120"/>
  <c r="Y55" i="115"/>
  <c r="O55" i="115"/>
  <c r="S55" i="115"/>
  <c r="Q55" i="115"/>
  <c r="K55" i="115"/>
  <c r="W55" i="115"/>
  <c r="M55" i="115"/>
  <c r="U55" i="115"/>
  <c r="K23" i="115"/>
  <c r="O23" i="115"/>
  <c r="S23" i="115"/>
  <c r="Y23" i="115"/>
  <c r="W23" i="115"/>
  <c r="M23" i="115"/>
  <c r="Q23" i="115"/>
  <c r="U23" i="115"/>
  <c r="M24" i="115"/>
  <c r="S24" i="115"/>
  <c r="K24" i="115"/>
  <c r="Y24" i="115"/>
  <c r="Q24" i="115"/>
  <c r="O24" i="115"/>
  <c r="W24" i="115"/>
  <c r="U24" i="115"/>
  <c r="A106" i="117"/>
  <c r="B93" i="110"/>
  <c r="H93" i="110" s="1"/>
  <c r="H92" i="110"/>
  <c r="G92" i="110"/>
  <c r="H69" i="2"/>
  <c r="G69" i="2"/>
  <c r="EF71" i="71"/>
  <c r="EB71" i="71"/>
  <c r="DK72" i="71"/>
  <c r="DZ71" i="71"/>
  <c r="DI72" i="71"/>
  <c r="DY71" i="71"/>
  <c r="EA71" i="71"/>
  <c r="EE71" i="71"/>
  <c r="ED71" i="71"/>
  <c r="DN71" i="71"/>
  <c r="DJ71" i="71"/>
  <c r="DH71" i="71"/>
  <c r="DF71" i="71"/>
  <c r="DG72" i="71" s="1"/>
  <c r="DD71" i="71"/>
  <c r="DE72" i="71" s="1"/>
  <c r="DB71" i="71"/>
  <c r="DC72" i="71" s="1"/>
  <c r="CZ71" i="71"/>
  <c r="DA72" i="71" s="1"/>
  <c r="CX71" i="71"/>
  <c r="CY72" i="71" s="1"/>
  <c r="F92" i="110"/>
  <c r="E92" i="110"/>
  <c r="M94" i="110"/>
  <c r="L94" i="110"/>
  <c r="K94" i="110"/>
  <c r="J94" i="110"/>
  <c r="I94" i="110"/>
  <c r="P94" i="110"/>
  <c r="D94" i="110"/>
  <c r="O94" i="110"/>
  <c r="N94" i="110"/>
  <c r="C94" i="110"/>
  <c r="A95" i="110"/>
  <c r="AQ1" i="31"/>
  <c r="M49" i="1"/>
  <c r="BP225" i="99"/>
  <c r="BN225" i="99"/>
  <c r="BR225" i="99"/>
  <c r="BQ225" i="99"/>
  <c r="BO225" i="99"/>
  <c r="AJ226" i="99"/>
  <c r="AU226" i="99"/>
  <c r="AK227" i="99"/>
  <c r="AR227" i="99"/>
  <c r="AO227" i="99"/>
  <c r="AM227" i="99"/>
  <c r="AN227" i="99"/>
  <c r="AQ227" i="99"/>
  <c r="AP227" i="99"/>
  <c r="AL227" i="99"/>
  <c r="AV227" i="99"/>
  <c r="BC227" i="99"/>
  <c r="AZ227" i="99"/>
  <c r="AX227" i="99"/>
  <c r="AY227" i="99"/>
  <c r="AW227" i="99"/>
  <c r="BA227" i="99"/>
  <c r="BB227" i="99"/>
  <c r="B168" i="95"/>
  <c r="B168" i="94"/>
  <c r="B168" i="93"/>
  <c r="B167" i="92"/>
  <c r="I166" i="92"/>
  <c r="DV71" i="71"/>
  <c r="EC71" i="71" s="1"/>
  <c r="CT72" i="71"/>
  <c r="CV71" i="71"/>
  <c r="CW72" i="71" s="1"/>
  <c r="D71" i="2"/>
  <c r="P71" i="2"/>
  <c r="B70" i="2"/>
  <c r="N71" i="2"/>
  <c r="K71" i="2"/>
  <c r="M71" i="2"/>
  <c r="L71" i="2"/>
  <c r="J71" i="2"/>
  <c r="I71" i="2"/>
  <c r="A72" i="2"/>
  <c r="O71" i="2"/>
  <c r="F69" i="2"/>
  <c r="A107" i="123" l="1"/>
  <c r="H104" i="123"/>
  <c r="G104" i="123"/>
  <c r="F104" i="123"/>
  <c r="E104" i="123"/>
  <c r="B105" i="123"/>
  <c r="A107" i="120"/>
  <c r="Y78" i="115"/>
  <c r="M78" i="115"/>
  <c r="Q78" i="115"/>
  <c r="W78" i="115"/>
  <c r="S78" i="115"/>
  <c r="O78" i="115"/>
  <c r="K78" i="115"/>
  <c r="U78" i="115"/>
  <c r="A107" i="117"/>
  <c r="F93" i="110"/>
  <c r="G93" i="110"/>
  <c r="E93" i="110"/>
  <c r="B94" i="110"/>
  <c r="E94" i="110" s="1"/>
  <c r="H70" i="2"/>
  <c r="G70" i="2"/>
  <c r="ED72" i="71"/>
  <c r="EF72" i="71"/>
  <c r="EA72" i="71"/>
  <c r="DE73" i="71"/>
  <c r="EB72" i="71"/>
  <c r="DG73" i="71"/>
  <c r="EE72" i="71"/>
  <c r="DN72" i="71"/>
  <c r="CX72" i="71"/>
  <c r="CY73" i="71" s="1"/>
  <c r="DJ72" i="71"/>
  <c r="DH72" i="71"/>
  <c r="DD72" i="71"/>
  <c r="DB72" i="71"/>
  <c r="DC73" i="71" s="1"/>
  <c r="DF72" i="71"/>
  <c r="CZ72" i="71"/>
  <c r="DA73" i="71" s="1"/>
  <c r="DI73" i="71"/>
  <c r="DY72" i="71"/>
  <c r="DK73" i="71"/>
  <c r="DZ72" i="71"/>
  <c r="K95" i="110"/>
  <c r="J95" i="110"/>
  <c r="I95" i="110"/>
  <c r="P95" i="110"/>
  <c r="D95" i="110"/>
  <c r="O95" i="110"/>
  <c r="C95" i="110"/>
  <c r="N95" i="110"/>
  <c r="M95" i="110"/>
  <c r="L95" i="110"/>
  <c r="A96" i="110"/>
  <c r="F56" i="3"/>
  <c r="H56" i="3" s="1"/>
  <c r="F56" i="109"/>
  <c r="BP226" i="99"/>
  <c r="BN226" i="99"/>
  <c r="BQ226" i="99"/>
  <c r="BR226" i="99"/>
  <c r="BO226" i="99"/>
  <c r="AJ227" i="99"/>
  <c r="AU227" i="99"/>
  <c r="AK228" i="99"/>
  <c r="AL228" i="99"/>
  <c r="AM228" i="99"/>
  <c r="AR228" i="99"/>
  <c r="AQ228" i="99"/>
  <c r="AO228" i="99"/>
  <c r="AN228" i="99"/>
  <c r="AP228" i="99"/>
  <c r="AV228" i="99"/>
  <c r="AW228" i="99"/>
  <c r="BC228" i="99"/>
  <c r="AY228" i="99"/>
  <c r="BB228" i="99"/>
  <c r="BA228" i="99"/>
  <c r="AZ228" i="99"/>
  <c r="AX228" i="99"/>
  <c r="B169" i="95"/>
  <c r="B169" i="94"/>
  <c r="B169" i="93"/>
  <c r="B168" i="92"/>
  <c r="I167" i="92"/>
  <c r="DV72" i="71"/>
  <c r="EC72" i="71" s="1"/>
  <c r="CT73" i="71"/>
  <c r="CV72" i="71"/>
  <c r="CW73" i="71" s="1"/>
  <c r="B71" i="2"/>
  <c r="P72" i="2"/>
  <c r="D72" i="2"/>
  <c r="N72" i="2"/>
  <c r="M72" i="2"/>
  <c r="L72" i="2"/>
  <c r="K72" i="2"/>
  <c r="O72" i="2"/>
  <c r="A73" i="2"/>
  <c r="J72" i="2"/>
  <c r="I72" i="2"/>
  <c r="F70" i="2"/>
  <c r="A108" i="123" l="1"/>
  <c r="H105" i="123"/>
  <c r="G105" i="123"/>
  <c r="F105" i="123"/>
  <c r="E105" i="123"/>
  <c r="B106" i="123"/>
  <c r="A108" i="120"/>
  <c r="S45" i="115"/>
  <c r="Q45" i="115"/>
  <c r="K45" i="115"/>
  <c r="Y45" i="115"/>
  <c r="W45" i="115"/>
  <c r="O45" i="115"/>
  <c r="M45" i="115"/>
  <c r="U45" i="115"/>
  <c r="A108" i="117"/>
  <c r="G94" i="110"/>
  <c r="H94" i="110"/>
  <c r="F94" i="110"/>
  <c r="H71" i="2"/>
  <c r="G71" i="2"/>
  <c r="EA73" i="71"/>
  <c r="EF73" i="71"/>
  <c r="ED73" i="71"/>
  <c r="DN73" i="71"/>
  <c r="DH73" i="71"/>
  <c r="DI74" i="71" s="1"/>
  <c r="DF73" i="71"/>
  <c r="DG74" i="71" s="1"/>
  <c r="DD73" i="71"/>
  <c r="DE74" i="71" s="1"/>
  <c r="DB73" i="71"/>
  <c r="DC74" i="71" s="1"/>
  <c r="CZ73" i="71"/>
  <c r="DA74" i="71" s="1"/>
  <c r="CX73" i="71"/>
  <c r="CY74" i="71" s="1"/>
  <c r="DJ73" i="71"/>
  <c r="EE73" i="71"/>
  <c r="EB73" i="71"/>
  <c r="DY73" i="71"/>
  <c r="DK74" i="71"/>
  <c r="DZ73" i="71"/>
  <c r="B95" i="110"/>
  <c r="I96" i="110"/>
  <c r="P96" i="110"/>
  <c r="D96" i="110"/>
  <c r="O96" i="110"/>
  <c r="C96" i="110"/>
  <c r="N96" i="110"/>
  <c r="M96" i="110"/>
  <c r="L96" i="110"/>
  <c r="K96" i="110"/>
  <c r="J96" i="110"/>
  <c r="A97" i="110"/>
  <c r="BP227" i="99"/>
  <c r="BN227" i="99"/>
  <c r="BR227" i="99"/>
  <c r="BQ227" i="99"/>
  <c r="BO227" i="99"/>
  <c r="AJ228" i="99"/>
  <c r="AU228" i="99"/>
  <c r="AK229" i="99"/>
  <c r="AR229" i="99"/>
  <c r="AO229" i="99"/>
  <c r="AM229" i="99"/>
  <c r="AL229" i="99"/>
  <c r="AN229" i="99"/>
  <c r="AP229" i="99"/>
  <c r="AQ229" i="99"/>
  <c r="AV229" i="99"/>
  <c r="BB229" i="99"/>
  <c r="BC229" i="99"/>
  <c r="AZ229" i="99"/>
  <c r="AY229" i="99"/>
  <c r="AX229" i="99"/>
  <c r="BA229" i="99"/>
  <c r="AW229" i="99"/>
  <c r="B170" i="95"/>
  <c r="B170" i="94"/>
  <c r="B170" i="93"/>
  <c r="B169" i="92"/>
  <c r="I168" i="92"/>
  <c r="DV73" i="71"/>
  <c r="EC73" i="71" s="1"/>
  <c r="CT74" i="71"/>
  <c r="CV73" i="71"/>
  <c r="CW74" i="71" s="1"/>
  <c r="P73" i="2"/>
  <c r="D73" i="2"/>
  <c r="B72" i="2"/>
  <c r="N73" i="2"/>
  <c r="M73" i="2"/>
  <c r="L73" i="2"/>
  <c r="K73" i="2"/>
  <c r="I73" i="2"/>
  <c r="A74" i="2"/>
  <c r="O73" i="2"/>
  <c r="J73" i="2"/>
  <c r="F71" i="2"/>
  <c r="H106" i="123" l="1"/>
  <c r="G106" i="123"/>
  <c r="F106" i="123"/>
  <c r="E106" i="123"/>
  <c r="A109" i="123"/>
  <c r="B108" i="123"/>
  <c r="B107" i="123"/>
  <c r="A109" i="120"/>
  <c r="M48" i="115"/>
  <c r="K48" i="115"/>
  <c r="Y48" i="115"/>
  <c r="S48" i="115"/>
  <c r="Q48" i="115"/>
  <c r="O48" i="115"/>
  <c r="W48" i="115"/>
  <c r="U48" i="115"/>
  <c r="A109" i="117"/>
  <c r="H95" i="110"/>
  <c r="G95" i="110"/>
  <c r="AH1" i="31"/>
  <c r="H72" i="2"/>
  <c r="G72" i="2"/>
  <c r="EA74" i="71"/>
  <c r="EF74" i="71"/>
  <c r="ED74" i="71"/>
  <c r="EB74" i="71"/>
  <c r="DG75" i="71"/>
  <c r="EE74" i="71"/>
  <c r="DI75" i="71"/>
  <c r="DY74" i="71"/>
  <c r="DZ74" i="71"/>
  <c r="DN74" i="71"/>
  <c r="DJ74" i="71"/>
  <c r="DK75" i="71" s="1"/>
  <c r="DH74" i="71"/>
  <c r="DF74" i="71"/>
  <c r="DD74" i="71"/>
  <c r="DE75" i="71" s="1"/>
  <c r="CZ74" i="71"/>
  <c r="DA75" i="71" s="1"/>
  <c r="CX74" i="71"/>
  <c r="CY75" i="71" s="1"/>
  <c r="DB74" i="71"/>
  <c r="DC75" i="71" s="1"/>
  <c r="O97" i="110"/>
  <c r="C97" i="110"/>
  <c r="N97" i="110"/>
  <c r="M97" i="110"/>
  <c r="L97" i="110"/>
  <c r="K97" i="110"/>
  <c r="J97" i="110"/>
  <c r="P97" i="110"/>
  <c r="I97" i="110"/>
  <c r="D97" i="110"/>
  <c r="A98" i="110"/>
  <c r="B96" i="110"/>
  <c r="F95" i="110"/>
  <c r="E95" i="110"/>
  <c r="BR228" i="99"/>
  <c r="BQ228" i="99"/>
  <c r="BO228" i="99"/>
  <c r="BP228" i="99"/>
  <c r="BN228" i="99"/>
  <c r="AJ229" i="99"/>
  <c r="AK230" i="99"/>
  <c r="AR230" i="99"/>
  <c r="AM230" i="99"/>
  <c r="AL230" i="99"/>
  <c r="AQ230" i="99"/>
  <c r="AN230" i="99"/>
  <c r="AP230" i="99"/>
  <c r="AO230" i="99"/>
  <c r="BB230" i="99"/>
  <c r="AV230" i="99"/>
  <c r="AW230" i="99"/>
  <c r="AX230" i="99"/>
  <c r="BA230" i="99"/>
  <c r="AZ230" i="99"/>
  <c r="AY230" i="99"/>
  <c r="BC230" i="99"/>
  <c r="AU229" i="99"/>
  <c r="B171" i="95"/>
  <c r="B171" i="94"/>
  <c r="B171" i="93"/>
  <c r="B170" i="92"/>
  <c r="I169" i="92"/>
  <c r="DV74" i="71"/>
  <c r="EC74" i="71" s="1"/>
  <c r="CT75" i="71"/>
  <c r="CV74" i="71"/>
  <c r="CW75" i="71" s="1"/>
  <c r="B73" i="2"/>
  <c r="D74" i="2"/>
  <c r="P74" i="2"/>
  <c r="N74" i="2"/>
  <c r="M74" i="2"/>
  <c r="L74" i="2"/>
  <c r="K74" i="2"/>
  <c r="J74" i="2"/>
  <c r="A75" i="2"/>
  <c r="I74" i="2"/>
  <c r="O74" i="2"/>
  <c r="F72" i="2"/>
  <c r="G108" i="123" l="1"/>
  <c r="F108" i="123"/>
  <c r="E108" i="123"/>
  <c r="H108" i="123"/>
  <c r="A110" i="123"/>
  <c r="H107" i="123"/>
  <c r="G107" i="123"/>
  <c r="F107" i="123"/>
  <c r="E107" i="123"/>
  <c r="A110" i="120"/>
  <c r="A110" i="117"/>
  <c r="H96" i="110"/>
  <c r="G96" i="110"/>
  <c r="M46" i="1"/>
  <c r="F53" i="3" s="1"/>
  <c r="H53" i="3" s="1"/>
  <c r="H73" i="2"/>
  <c r="G73" i="2"/>
  <c r="EA75" i="71"/>
  <c r="DZ75" i="71"/>
  <c r="DC76" i="71"/>
  <c r="ED75" i="71"/>
  <c r="DA76" i="71"/>
  <c r="EF75" i="71"/>
  <c r="EB75" i="71"/>
  <c r="DN75" i="71"/>
  <c r="DD75" i="71"/>
  <c r="DE76" i="71" s="1"/>
  <c r="DB75" i="71"/>
  <c r="CZ75" i="71"/>
  <c r="CX75" i="71"/>
  <c r="CY76" i="71" s="1"/>
  <c r="DJ75" i="71"/>
  <c r="DK76" i="71" s="1"/>
  <c r="DH75" i="71"/>
  <c r="DF75" i="71"/>
  <c r="DG76" i="71"/>
  <c r="EE75" i="71"/>
  <c r="DI76" i="71"/>
  <c r="DY75" i="71"/>
  <c r="E96" i="110"/>
  <c r="F96" i="110"/>
  <c r="M98" i="110"/>
  <c r="L98" i="110"/>
  <c r="K98" i="110"/>
  <c r="J98" i="110"/>
  <c r="I98" i="110"/>
  <c r="P98" i="110"/>
  <c r="D98" i="110"/>
  <c r="O98" i="110"/>
  <c r="N98" i="110"/>
  <c r="C98" i="110"/>
  <c r="A99" i="110"/>
  <c r="B97" i="110"/>
  <c r="BP229" i="99"/>
  <c r="BN229" i="99"/>
  <c r="BR229" i="99"/>
  <c r="BQ229" i="99"/>
  <c r="BO229" i="99"/>
  <c r="AJ230" i="99"/>
  <c r="AN231" i="99"/>
  <c r="AK231" i="99"/>
  <c r="AR231" i="99"/>
  <c r="AM231" i="99"/>
  <c r="AO231" i="99"/>
  <c r="AP231" i="99"/>
  <c r="AL231" i="99"/>
  <c r="AQ231" i="99"/>
  <c r="AU230" i="99"/>
  <c r="AV231" i="99"/>
  <c r="BC231" i="99"/>
  <c r="BB231" i="99"/>
  <c r="AY231" i="99"/>
  <c r="AX231" i="99"/>
  <c r="AW231" i="99"/>
  <c r="BA231" i="99"/>
  <c r="AZ231" i="99"/>
  <c r="B171" i="92"/>
  <c r="I171" i="92" s="1"/>
  <c r="I170" i="92"/>
  <c r="DV75" i="71"/>
  <c r="EC75" i="71" s="1"/>
  <c r="CT76" i="71"/>
  <c r="CV75" i="71"/>
  <c r="CW76" i="71" s="1"/>
  <c r="B74" i="2"/>
  <c r="D75" i="2"/>
  <c r="P75" i="2"/>
  <c r="N75" i="2"/>
  <c r="M75" i="2"/>
  <c r="L75" i="2"/>
  <c r="K75" i="2"/>
  <c r="A76" i="2"/>
  <c r="I75" i="2"/>
  <c r="O75" i="2"/>
  <c r="J75" i="2"/>
  <c r="F73" i="2"/>
  <c r="A111" i="123" l="1"/>
  <c r="B110" i="123"/>
  <c r="B109" i="123"/>
  <c r="A111" i="120"/>
  <c r="F53" i="109"/>
  <c r="A111" i="117"/>
  <c r="H97" i="110"/>
  <c r="G97" i="110"/>
  <c r="G74" i="2"/>
  <c r="H74" i="2"/>
  <c r="EA76" i="71"/>
  <c r="EB76" i="71"/>
  <c r="DZ76" i="71"/>
  <c r="DN76" i="71"/>
  <c r="DJ76" i="71"/>
  <c r="DK77" i="71" s="1"/>
  <c r="DH76" i="71"/>
  <c r="DI77" i="71" s="1"/>
  <c r="DF76" i="71"/>
  <c r="DG77" i="71" s="1"/>
  <c r="DD76" i="71"/>
  <c r="DE77" i="71" s="1"/>
  <c r="DB76" i="71"/>
  <c r="DC77" i="71" s="1"/>
  <c r="CZ76" i="71"/>
  <c r="CX76" i="71"/>
  <c r="CY77" i="71" s="1"/>
  <c r="EE76" i="71"/>
  <c r="DY76" i="71"/>
  <c r="DA77" i="71"/>
  <c r="EF76" i="71"/>
  <c r="ED76" i="71"/>
  <c r="F97" i="110"/>
  <c r="E97" i="110"/>
  <c r="K99" i="110"/>
  <c r="J99" i="110"/>
  <c r="I99" i="110"/>
  <c r="P99" i="110"/>
  <c r="D99" i="110"/>
  <c r="O99" i="110"/>
  <c r="C99" i="110"/>
  <c r="N99" i="110"/>
  <c r="M99" i="110"/>
  <c r="L99" i="110"/>
  <c r="A100" i="110"/>
  <c r="B98" i="110"/>
  <c r="BP230" i="99"/>
  <c r="BN230" i="99"/>
  <c r="BQ230" i="99"/>
  <c r="BR230" i="99"/>
  <c r="BO230" i="99"/>
  <c r="AJ231" i="99"/>
  <c r="AU231" i="99"/>
  <c r="AK232" i="99"/>
  <c r="AR232" i="99"/>
  <c r="AL232" i="99"/>
  <c r="AM232" i="99"/>
  <c r="AN232" i="99"/>
  <c r="AP232" i="99"/>
  <c r="AQ232" i="99"/>
  <c r="AO232" i="99"/>
  <c r="AV232" i="99"/>
  <c r="AW232" i="99"/>
  <c r="BC232" i="99"/>
  <c r="AY232" i="99"/>
  <c r="BB232" i="99"/>
  <c r="BA232" i="99"/>
  <c r="AZ232" i="99"/>
  <c r="AX232" i="99"/>
  <c r="DV76" i="71"/>
  <c r="EC76" i="71" s="1"/>
  <c r="CT77" i="71"/>
  <c r="CV76" i="71"/>
  <c r="CW77" i="71" s="1"/>
  <c r="B75" i="2"/>
  <c r="P76" i="2"/>
  <c r="D76" i="2"/>
  <c r="M76" i="2"/>
  <c r="L76" i="2"/>
  <c r="K76" i="2"/>
  <c r="N76" i="2"/>
  <c r="O76" i="2"/>
  <c r="J76" i="2"/>
  <c r="I76" i="2"/>
  <c r="A77" i="2"/>
  <c r="F74" i="2"/>
  <c r="G109" i="123" l="1"/>
  <c r="E109" i="123"/>
  <c r="H109" i="123"/>
  <c r="F109" i="123"/>
  <c r="H110" i="123"/>
  <c r="G110" i="123"/>
  <c r="E110" i="123"/>
  <c r="F110" i="123"/>
  <c r="A112" i="123"/>
  <c r="B111" i="123"/>
  <c r="A112" i="120"/>
  <c r="A112" i="117"/>
  <c r="H98" i="110"/>
  <c r="G98" i="110"/>
  <c r="H75" i="2"/>
  <c r="G75" i="2"/>
  <c r="EE77" i="71"/>
  <c r="EB77" i="71"/>
  <c r="EA77" i="71"/>
  <c r="DY77" i="71"/>
  <c r="ED77" i="71"/>
  <c r="DK78" i="71"/>
  <c r="DZ77" i="71"/>
  <c r="EF77" i="71"/>
  <c r="DN77" i="71"/>
  <c r="CZ77" i="71"/>
  <c r="DA78" i="71" s="1"/>
  <c r="CX77" i="71"/>
  <c r="CY78" i="71" s="1"/>
  <c r="DJ77" i="71"/>
  <c r="DF77" i="71"/>
  <c r="DG78" i="71" s="1"/>
  <c r="DD77" i="71"/>
  <c r="DE78" i="71" s="1"/>
  <c r="DH77" i="71"/>
  <c r="DI78" i="71" s="1"/>
  <c r="DB77" i="71"/>
  <c r="DC78" i="71" s="1"/>
  <c r="B99" i="110"/>
  <c r="I100" i="110"/>
  <c r="P100" i="110"/>
  <c r="D100" i="110"/>
  <c r="O100" i="110"/>
  <c r="C100" i="110"/>
  <c r="N100" i="110"/>
  <c r="M100" i="110"/>
  <c r="L100" i="110"/>
  <c r="K100" i="110"/>
  <c r="J100" i="110"/>
  <c r="A101" i="110"/>
  <c r="F98" i="110"/>
  <c r="E98" i="110"/>
  <c r="M18" i="1"/>
  <c r="M19" i="1"/>
  <c r="BP231" i="99"/>
  <c r="BN231" i="99"/>
  <c r="BR231" i="99"/>
  <c r="BQ231" i="99"/>
  <c r="BO231" i="99"/>
  <c r="AJ232" i="99"/>
  <c r="AU232" i="99"/>
  <c r="AK233" i="99"/>
  <c r="AR233" i="99"/>
  <c r="AN233" i="99"/>
  <c r="AP233" i="99"/>
  <c r="AL233" i="99"/>
  <c r="AQ233" i="99"/>
  <c r="AO233" i="99"/>
  <c r="AM233" i="99"/>
  <c r="AV233" i="99"/>
  <c r="AY233" i="99"/>
  <c r="AX233" i="99"/>
  <c r="BB233" i="99"/>
  <c r="BC233" i="99"/>
  <c r="AZ233" i="99"/>
  <c r="AW233" i="99"/>
  <c r="BA233" i="99"/>
  <c r="DV77" i="71"/>
  <c r="EC77" i="71" s="1"/>
  <c r="CT78" i="71"/>
  <c r="CV77" i="71"/>
  <c r="CW78" i="71" s="1"/>
  <c r="B76" i="2"/>
  <c r="P77" i="2"/>
  <c r="D77" i="2"/>
  <c r="L77" i="2"/>
  <c r="K77" i="2"/>
  <c r="M77" i="2"/>
  <c r="N77" i="2"/>
  <c r="A78" i="2"/>
  <c r="O77" i="2"/>
  <c r="J77" i="2"/>
  <c r="I77" i="2"/>
  <c r="F75" i="2"/>
  <c r="E111" i="123" l="1"/>
  <c r="H111" i="123"/>
  <c r="G111" i="123"/>
  <c r="F111" i="123"/>
  <c r="A113" i="123"/>
  <c r="A113" i="120"/>
  <c r="W65" i="115"/>
  <c r="M65" i="115"/>
  <c r="Q65" i="115"/>
  <c r="Y65" i="115"/>
  <c r="K65" i="115"/>
  <c r="S65" i="115"/>
  <c r="O65" i="115"/>
  <c r="U65" i="115"/>
  <c r="O67" i="115"/>
  <c r="M67" i="115"/>
  <c r="Q67" i="115"/>
  <c r="Y67" i="115"/>
  <c r="W67" i="115"/>
  <c r="S67" i="115"/>
  <c r="K67" i="115"/>
  <c r="U67" i="115"/>
  <c r="S69" i="115"/>
  <c r="Y69" i="115"/>
  <c r="W69" i="115"/>
  <c r="K69" i="115"/>
  <c r="O69" i="115"/>
  <c r="M69" i="115"/>
  <c r="Q69" i="115"/>
  <c r="U69" i="115"/>
  <c r="K70" i="115"/>
  <c r="S70" i="115"/>
  <c r="Q70" i="115"/>
  <c r="W70" i="115"/>
  <c r="M70" i="115"/>
  <c r="O70" i="115"/>
  <c r="Y70" i="115"/>
  <c r="U70" i="115"/>
  <c r="O66" i="115"/>
  <c r="K66" i="115"/>
  <c r="W66" i="115"/>
  <c r="S66" i="115"/>
  <c r="Y66" i="115"/>
  <c r="M66" i="115"/>
  <c r="Q66" i="115"/>
  <c r="U66" i="115"/>
  <c r="S68" i="115"/>
  <c r="M68" i="115"/>
  <c r="W68" i="115"/>
  <c r="K68" i="115"/>
  <c r="Q68" i="115"/>
  <c r="Y68" i="115"/>
  <c r="O68" i="115"/>
  <c r="U68" i="115"/>
  <c r="Q62" i="115"/>
  <c r="S62" i="115"/>
  <c r="O62" i="115"/>
  <c r="M62" i="115"/>
  <c r="W62" i="115"/>
  <c r="K62" i="115"/>
  <c r="Y62" i="115"/>
  <c r="U62" i="115"/>
  <c r="O63" i="115"/>
  <c r="W63" i="115"/>
  <c r="S63" i="115"/>
  <c r="Q63" i="115"/>
  <c r="K63" i="115"/>
  <c r="M63" i="115"/>
  <c r="Y63" i="115"/>
  <c r="U63" i="115"/>
  <c r="O64" i="115"/>
  <c r="Q64" i="115"/>
  <c r="W64" i="115"/>
  <c r="S64" i="115"/>
  <c r="K64" i="115"/>
  <c r="M64" i="115"/>
  <c r="Y64" i="115"/>
  <c r="U64" i="115"/>
  <c r="A113" i="117"/>
  <c r="F99" i="110"/>
  <c r="H99" i="110"/>
  <c r="G99" i="110"/>
  <c r="H76" i="2"/>
  <c r="G76" i="2"/>
  <c r="EF78" i="71"/>
  <c r="EA78" i="71"/>
  <c r="EB78" i="71"/>
  <c r="ED78" i="71"/>
  <c r="DI79" i="71"/>
  <c r="DY78" i="71"/>
  <c r="EE78" i="71"/>
  <c r="DN78" i="71"/>
  <c r="DJ78" i="71"/>
  <c r="DH78" i="71"/>
  <c r="DF78" i="71"/>
  <c r="DG79" i="71" s="1"/>
  <c r="DD78" i="71"/>
  <c r="DE79" i="71" s="1"/>
  <c r="DB78" i="71"/>
  <c r="DC79" i="71" s="1"/>
  <c r="CZ78" i="71"/>
  <c r="DA79" i="71" s="1"/>
  <c r="CX78" i="71"/>
  <c r="CY79" i="71" s="1"/>
  <c r="DK79" i="71"/>
  <c r="DZ78" i="71"/>
  <c r="E99" i="110"/>
  <c r="O101" i="110"/>
  <c r="C101" i="110"/>
  <c r="N101" i="110"/>
  <c r="M101" i="110"/>
  <c r="L101" i="110"/>
  <c r="K101" i="110"/>
  <c r="J101" i="110"/>
  <c r="P101" i="110"/>
  <c r="I101" i="110"/>
  <c r="D101" i="110"/>
  <c r="A102" i="110"/>
  <c r="B100" i="110"/>
  <c r="F26" i="3"/>
  <c r="H26" i="3" s="1"/>
  <c r="F26" i="109"/>
  <c r="F25" i="3"/>
  <c r="H25" i="3" s="1"/>
  <c r="F25" i="109"/>
  <c r="BP232" i="99"/>
  <c r="BN232" i="99"/>
  <c r="BR232" i="99"/>
  <c r="BQ232" i="99"/>
  <c r="BO232" i="99"/>
  <c r="AJ233" i="99"/>
  <c r="AK234" i="99"/>
  <c r="AR234" i="99"/>
  <c r="AQ234" i="99"/>
  <c r="AO234" i="99"/>
  <c r="AN234" i="99"/>
  <c r="AM234" i="99"/>
  <c r="AL234" i="99"/>
  <c r="AP234" i="99"/>
  <c r="AU233" i="99"/>
  <c r="AV234" i="99"/>
  <c r="BB234" i="99"/>
  <c r="AX234" i="99"/>
  <c r="AW234" i="99"/>
  <c r="BA234" i="99"/>
  <c r="AZ234" i="99"/>
  <c r="AY234" i="99"/>
  <c r="BC234" i="99"/>
  <c r="DV78" i="71"/>
  <c r="EC78" i="71" s="1"/>
  <c r="CT79" i="71"/>
  <c r="CV78" i="71"/>
  <c r="CW79" i="71" s="1"/>
  <c r="B77" i="2"/>
  <c r="D78" i="2"/>
  <c r="P78" i="2"/>
  <c r="F76" i="2"/>
  <c r="K78" i="2"/>
  <c r="N78" i="2"/>
  <c r="M78" i="2"/>
  <c r="L78" i="2"/>
  <c r="A79" i="2"/>
  <c r="O78" i="2"/>
  <c r="J78" i="2"/>
  <c r="I78" i="2"/>
  <c r="A114" i="123" l="1"/>
  <c r="B112" i="123"/>
  <c r="A114" i="120"/>
  <c r="S56" i="115"/>
  <c r="W56" i="115"/>
  <c r="M56" i="115"/>
  <c r="Y56" i="115"/>
  <c r="K56" i="115"/>
  <c r="Q56" i="115"/>
  <c r="O56" i="115"/>
  <c r="U56" i="115"/>
  <c r="A114" i="117"/>
  <c r="H100" i="110"/>
  <c r="G100" i="110"/>
  <c r="M32" i="1"/>
  <c r="F39" i="3" s="1"/>
  <c r="H39" i="3" s="1"/>
  <c r="H77" i="2"/>
  <c r="G77" i="2"/>
  <c r="EF79" i="71"/>
  <c r="EA79" i="71"/>
  <c r="EB79" i="71"/>
  <c r="DZ79" i="71"/>
  <c r="DC80" i="71"/>
  <c r="ED79" i="71"/>
  <c r="DN79" i="71"/>
  <c r="DJ79" i="71"/>
  <c r="DK80" i="71" s="1"/>
  <c r="DH79" i="71"/>
  <c r="DF79" i="71"/>
  <c r="DB79" i="71"/>
  <c r="CZ79" i="71"/>
  <c r="DA80" i="71" s="1"/>
  <c r="DD79" i="71"/>
  <c r="DE80" i="71" s="1"/>
  <c r="CX79" i="71"/>
  <c r="CY80" i="71" s="1"/>
  <c r="DG80" i="71"/>
  <c r="EE79" i="71"/>
  <c r="DI80" i="71"/>
  <c r="DY79" i="71"/>
  <c r="M102" i="110"/>
  <c r="L102" i="110"/>
  <c r="K102" i="110"/>
  <c r="J102" i="110"/>
  <c r="I102" i="110"/>
  <c r="P102" i="110"/>
  <c r="D102" i="110"/>
  <c r="C102" i="110"/>
  <c r="N102" i="110"/>
  <c r="O102" i="110"/>
  <c r="A103" i="110"/>
  <c r="F100" i="110"/>
  <c r="E100" i="110"/>
  <c r="B101" i="110"/>
  <c r="BP233" i="99"/>
  <c r="BN233" i="99"/>
  <c r="BR233" i="99"/>
  <c r="BQ233" i="99"/>
  <c r="BO233" i="99"/>
  <c r="AJ234" i="99"/>
  <c r="AU234" i="99"/>
  <c r="AK235" i="99"/>
  <c r="AR235" i="99"/>
  <c r="AO235" i="99"/>
  <c r="AM235" i="99"/>
  <c r="AN235" i="99"/>
  <c r="AQ235" i="99"/>
  <c r="AL235" i="99"/>
  <c r="AP235" i="99"/>
  <c r="AV235" i="99"/>
  <c r="BA235" i="99"/>
  <c r="BC235" i="99"/>
  <c r="AY235" i="99"/>
  <c r="AX235" i="99"/>
  <c r="BB235" i="99"/>
  <c r="AW235" i="99"/>
  <c r="AZ235" i="99"/>
  <c r="DV79" i="71"/>
  <c r="EC79" i="71" s="1"/>
  <c r="CT80" i="71"/>
  <c r="CV79" i="71"/>
  <c r="CW80" i="71" s="1"/>
  <c r="B78" i="2"/>
  <c r="D79" i="2"/>
  <c r="P79" i="2"/>
  <c r="F77" i="2"/>
  <c r="N79" i="2"/>
  <c r="M79" i="2"/>
  <c r="K79" i="2"/>
  <c r="L79" i="2"/>
  <c r="A80" i="2"/>
  <c r="O79" i="2"/>
  <c r="J79" i="2"/>
  <c r="I79" i="2"/>
  <c r="H112" i="123" l="1"/>
  <c r="G112" i="123"/>
  <c r="F112" i="123"/>
  <c r="E112" i="123"/>
  <c r="A115" i="123"/>
  <c r="B113" i="123"/>
  <c r="A115" i="120"/>
  <c r="A115" i="117"/>
  <c r="F39" i="109"/>
  <c r="B102" i="110"/>
  <c r="E102" i="110" s="1"/>
  <c r="H101" i="110"/>
  <c r="G101" i="110"/>
  <c r="H78" i="2"/>
  <c r="G78" i="2"/>
  <c r="EF80" i="71"/>
  <c r="DZ80" i="71"/>
  <c r="CY81" i="71"/>
  <c r="EA80" i="71"/>
  <c r="DE81" i="71"/>
  <c r="EB80" i="71"/>
  <c r="ED80" i="71"/>
  <c r="DN80" i="71"/>
  <c r="DF80" i="71"/>
  <c r="DG81" i="71" s="1"/>
  <c r="DD80" i="71"/>
  <c r="DB80" i="71"/>
  <c r="DC81" i="71" s="1"/>
  <c r="CZ80" i="71"/>
  <c r="DA81" i="71" s="1"/>
  <c r="CX80" i="71"/>
  <c r="DJ80" i="71"/>
  <c r="DK81" i="71" s="1"/>
  <c r="DH80" i="71"/>
  <c r="EE80" i="71"/>
  <c r="DI81" i="71"/>
  <c r="DY80" i="71"/>
  <c r="K103" i="110"/>
  <c r="J103" i="110"/>
  <c r="I103" i="110"/>
  <c r="P103" i="110"/>
  <c r="D103" i="110"/>
  <c r="O103" i="110"/>
  <c r="C103" i="110"/>
  <c r="N103" i="110"/>
  <c r="M103" i="110"/>
  <c r="L103" i="110"/>
  <c r="A104" i="110"/>
  <c r="F101" i="110"/>
  <c r="E101" i="110"/>
  <c r="BP234" i="99"/>
  <c r="BN234" i="99"/>
  <c r="BQ234" i="99"/>
  <c r="BR234" i="99"/>
  <c r="BO234" i="99"/>
  <c r="AJ235" i="99"/>
  <c r="AU235" i="99"/>
  <c r="AK236" i="99"/>
  <c r="AM236" i="99"/>
  <c r="AR236" i="99"/>
  <c r="AL236" i="99"/>
  <c r="AO236" i="99"/>
  <c r="AP236" i="99"/>
  <c r="AN236" i="99"/>
  <c r="AQ236" i="99"/>
  <c r="AV236" i="99"/>
  <c r="BB236" i="99"/>
  <c r="AW236" i="99"/>
  <c r="BC236" i="99"/>
  <c r="AY236" i="99"/>
  <c r="BA236" i="99"/>
  <c r="AZ236" i="99"/>
  <c r="AX236" i="99"/>
  <c r="CT81" i="71"/>
  <c r="CV80" i="71"/>
  <c r="CW81" i="71" s="1"/>
  <c r="DV80" i="71"/>
  <c r="EC80" i="71" s="1"/>
  <c r="B79" i="2"/>
  <c r="P80" i="2"/>
  <c r="D80" i="2"/>
  <c r="N80" i="2"/>
  <c r="M80" i="2"/>
  <c r="L80" i="2"/>
  <c r="K80" i="2"/>
  <c r="I80" i="2"/>
  <c r="A81" i="2"/>
  <c r="O80" i="2"/>
  <c r="J80" i="2"/>
  <c r="F78" i="2"/>
  <c r="A116" i="123" l="1"/>
  <c r="H113" i="123"/>
  <c r="G113" i="123"/>
  <c r="F113" i="123"/>
  <c r="E113" i="123"/>
  <c r="B114" i="123"/>
  <c r="A116" i="120"/>
  <c r="A116" i="117"/>
  <c r="F102" i="110"/>
  <c r="H102" i="110"/>
  <c r="G102" i="110"/>
  <c r="H79" i="2"/>
  <c r="G79" i="2"/>
  <c r="DZ81" i="71"/>
  <c r="EE81" i="71"/>
  <c r="EF81" i="71"/>
  <c r="DI82" i="71"/>
  <c r="DY81" i="71"/>
  <c r="ED81" i="71"/>
  <c r="EA81" i="71"/>
  <c r="EB81" i="71"/>
  <c r="DN81" i="71"/>
  <c r="DJ81" i="71"/>
  <c r="DK82" i="71" s="1"/>
  <c r="DH81" i="71"/>
  <c r="DF81" i="71"/>
  <c r="DG82" i="71" s="1"/>
  <c r="DD81" i="71"/>
  <c r="DE82" i="71" s="1"/>
  <c r="DB81" i="71"/>
  <c r="DC82" i="71" s="1"/>
  <c r="CX81" i="71"/>
  <c r="CY82" i="71" s="1"/>
  <c r="CZ81" i="71"/>
  <c r="DA82" i="71" s="1"/>
  <c r="B103" i="110"/>
  <c r="I104" i="110"/>
  <c r="P104" i="110"/>
  <c r="D104" i="110"/>
  <c r="O104" i="110"/>
  <c r="C104" i="110"/>
  <c r="N104" i="110"/>
  <c r="M104" i="110"/>
  <c r="L104" i="110"/>
  <c r="K104" i="110"/>
  <c r="J104" i="110"/>
  <c r="A105" i="110"/>
  <c r="BP235" i="99"/>
  <c r="BN235" i="99"/>
  <c r="BR235" i="99"/>
  <c r="BQ235" i="99"/>
  <c r="BO235" i="99"/>
  <c r="AJ236" i="99"/>
  <c r="AV249" i="99"/>
  <c r="BC249" i="99"/>
  <c r="AZ249" i="99"/>
  <c r="AY249" i="99"/>
  <c r="AX249" i="99"/>
  <c r="BB249" i="99"/>
  <c r="AW249" i="99"/>
  <c r="BA249" i="99"/>
  <c r="AO247" i="99"/>
  <c r="AK247" i="99"/>
  <c r="AR247" i="99"/>
  <c r="AN247" i="99"/>
  <c r="AL247" i="99"/>
  <c r="AQ247" i="99"/>
  <c r="AP247" i="99"/>
  <c r="AM247" i="99"/>
  <c r="AK245" i="99"/>
  <c r="AR245" i="99"/>
  <c r="AM245" i="99"/>
  <c r="AL245" i="99"/>
  <c r="AO245" i="99"/>
  <c r="AQ245" i="99"/>
  <c r="AN245" i="99"/>
  <c r="AP245" i="99"/>
  <c r="AK237" i="99"/>
  <c r="AR237" i="99"/>
  <c r="AQ237" i="99"/>
  <c r="AM237" i="99"/>
  <c r="AN237" i="99"/>
  <c r="AP237" i="99"/>
  <c r="AL237" i="99"/>
  <c r="AO237" i="99"/>
  <c r="AV247" i="99"/>
  <c r="BC247" i="99"/>
  <c r="BB247" i="99"/>
  <c r="AZ247" i="99"/>
  <c r="AX247" i="99"/>
  <c r="AW247" i="99"/>
  <c r="BA247" i="99"/>
  <c r="AY247" i="99"/>
  <c r="AU236" i="99"/>
  <c r="AV246" i="99"/>
  <c r="BA246" i="99"/>
  <c r="AX246" i="99"/>
  <c r="AZ246" i="99"/>
  <c r="AY246" i="99"/>
  <c r="BC246" i="99"/>
  <c r="BB246" i="99"/>
  <c r="AW246" i="99"/>
  <c r="AV239" i="99"/>
  <c r="AZ239" i="99"/>
  <c r="AY239" i="99"/>
  <c r="AX239" i="99"/>
  <c r="AW239" i="99"/>
  <c r="BA239" i="99"/>
  <c r="BC239" i="99"/>
  <c r="BB239" i="99"/>
  <c r="AK251" i="99"/>
  <c r="AR251" i="99"/>
  <c r="AM251" i="99"/>
  <c r="AN251" i="99"/>
  <c r="AO251" i="99"/>
  <c r="AL251" i="99"/>
  <c r="AQ251" i="99"/>
  <c r="AP251" i="99"/>
  <c r="AK242" i="99"/>
  <c r="AR242" i="99"/>
  <c r="AQ242" i="99"/>
  <c r="AL242" i="99"/>
  <c r="AM242" i="99"/>
  <c r="AP242" i="99"/>
  <c r="AO242" i="99"/>
  <c r="AN242" i="99"/>
  <c r="AV245" i="99"/>
  <c r="BB245" i="99"/>
  <c r="BC245" i="99"/>
  <c r="AZ245" i="99"/>
  <c r="AY245" i="99"/>
  <c r="AX245" i="99"/>
  <c r="AW245" i="99"/>
  <c r="BA245" i="99"/>
  <c r="AK244" i="99"/>
  <c r="AM244" i="99"/>
  <c r="AR244" i="99"/>
  <c r="AL244" i="99"/>
  <c r="AN244" i="99"/>
  <c r="AQ244" i="99"/>
  <c r="AP244" i="99"/>
  <c r="AO244" i="99"/>
  <c r="AV237" i="99"/>
  <c r="AY237" i="99"/>
  <c r="AX237" i="99"/>
  <c r="BB237" i="99"/>
  <c r="BC237" i="99"/>
  <c r="AZ237" i="99"/>
  <c r="AW237" i="99"/>
  <c r="BA237" i="99"/>
  <c r="AK240" i="99"/>
  <c r="AR240" i="99"/>
  <c r="AM240" i="99"/>
  <c r="AL240" i="99"/>
  <c r="AP240" i="99"/>
  <c r="AO240" i="99"/>
  <c r="AQ240" i="99"/>
  <c r="AN240" i="99"/>
  <c r="AK241" i="99"/>
  <c r="AR241" i="99"/>
  <c r="AO241" i="99"/>
  <c r="AQ241" i="99"/>
  <c r="AL241" i="99"/>
  <c r="AN241" i="99"/>
  <c r="AP241" i="99"/>
  <c r="AM241" i="99"/>
  <c r="AV251" i="99"/>
  <c r="AZ251" i="99"/>
  <c r="BC251" i="99"/>
  <c r="BB251" i="99"/>
  <c r="AW251" i="99"/>
  <c r="BA251" i="99"/>
  <c r="AY251" i="99"/>
  <c r="AX251" i="99"/>
  <c r="AK253" i="99"/>
  <c r="AR253" i="99"/>
  <c r="AL253" i="99"/>
  <c r="AN253" i="99"/>
  <c r="AP253" i="99"/>
  <c r="AQ253" i="99"/>
  <c r="AM253" i="99"/>
  <c r="AO253" i="99"/>
  <c r="AV242" i="99"/>
  <c r="BC242" i="99"/>
  <c r="AW242" i="99"/>
  <c r="AX242" i="99"/>
  <c r="BA242" i="99"/>
  <c r="AZ242" i="99"/>
  <c r="BB242" i="99"/>
  <c r="AY242" i="99"/>
  <c r="AK243" i="99"/>
  <c r="AR243" i="99"/>
  <c r="AO243" i="99"/>
  <c r="AM243" i="99"/>
  <c r="AN243" i="99"/>
  <c r="AP243" i="99"/>
  <c r="AL243" i="99"/>
  <c r="AQ243" i="99"/>
  <c r="AV244" i="99"/>
  <c r="BB244" i="99"/>
  <c r="BA244" i="99"/>
  <c r="AZ244" i="99"/>
  <c r="AX244" i="99"/>
  <c r="AW244" i="99"/>
  <c r="BC244" i="99"/>
  <c r="AY244" i="99"/>
  <c r="AV240" i="99"/>
  <c r="BB240" i="99"/>
  <c r="BA240" i="99"/>
  <c r="AZ240" i="99"/>
  <c r="AX240" i="99"/>
  <c r="AW240" i="99"/>
  <c r="BC240" i="99"/>
  <c r="AY240" i="99"/>
  <c r="AV241" i="99"/>
  <c r="AX241" i="99"/>
  <c r="BB241" i="99"/>
  <c r="BC241" i="99"/>
  <c r="AZ241" i="99"/>
  <c r="AY241" i="99"/>
  <c r="AW241" i="99"/>
  <c r="BA241" i="99"/>
  <c r="AK238" i="99"/>
  <c r="AR238" i="99"/>
  <c r="AN238" i="99"/>
  <c r="AO238" i="99"/>
  <c r="AM238" i="99"/>
  <c r="AL238" i="99"/>
  <c r="AQ238" i="99"/>
  <c r="AP238" i="99"/>
  <c r="AK248" i="99"/>
  <c r="AR248" i="99"/>
  <c r="AM248" i="99"/>
  <c r="AL248" i="99"/>
  <c r="AP248" i="99"/>
  <c r="AO248" i="99"/>
  <c r="AQ248" i="99"/>
  <c r="AN248" i="99"/>
  <c r="AV253" i="99"/>
  <c r="AZ253" i="99"/>
  <c r="AY253" i="99"/>
  <c r="AX253" i="99"/>
  <c r="BB253" i="99"/>
  <c r="BC253" i="99"/>
  <c r="AW253" i="99"/>
  <c r="BA253" i="99"/>
  <c r="AK250" i="99"/>
  <c r="AR250" i="99"/>
  <c r="AQ250" i="99"/>
  <c r="AP250" i="99"/>
  <c r="AO250" i="99"/>
  <c r="AN250" i="99"/>
  <c r="AM250" i="99"/>
  <c r="AL250" i="99"/>
  <c r="AV243" i="99"/>
  <c r="AY243" i="99"/>
  <c r="AX243" i="99"/>
  <c r="AW243" i="99"/>
  <c r="BA243" i="99"/>
  <c r="BC243" i="99"/>
  <c r="BB243" i="99"/>
  <c r="AZ243" i="99"/>
  <c r="AK252" i="99"/>
  <c r="AR252" i="99"/>
  <c r="AL252" i="99"/>
  <c r="AM252" i="99"/>
  <c r="AP252" i="99"/>
  <c r="AN252" i="99"/>
  <c r="AO252" i="99"/>
  <c r="AQ252" i="99"/>
  <c r="BB238" i="99"/>
  <c r="AV238" i="99"/>
  <c r="AW238" i="99"/>
  <c r="AX238" i="99"/>
  <c r="BA238" i="99"/>
  <c r="AZ238" i="99"/>
  <c r="AY238" i="99"/>
  <c r="BC238" i="99"/>
  <c r="AK249" i="99"/>
  <c r="AR249" i="99"/>
  <c r="AN249" i="99"/>
  <c r="AP249" i="99"/>
  <c r="AM249" i="99"/>
  <c r="AQ249" i="99"/>
  <c r="AO249" i="99"/>
  <c r="AL249" i="99"/>
  <c r="AV250" i="99"/>
  <c r="AX250" i="99"/>
  <c r="AW250" i="99"/>
  <c r="BA250" i="99"/>
  <c r="AZ250" i="99"/>
  <c r="AY250" i="99"/>
  <c r="BC250" i="99"/>
  <c r="BB250" i="99"/>
  <c r="AK246" i="99"/>
  <c r="AR246" i="99"/>
  <c r="AN246" i="99"/>
  <c r="AM246" i="99"/>
  <c r="AL246" i="99"/>
  <c r="AQ246" i="99"/>
  <c r="AO246" i="99"/>
  <c r="AP246" i="99"/>
  <c r="AV252" i="99"/>
  <c r="BB252" i="99"/>
  <c r="BA252" i="99"/>
  <c r="AW252" i="99"/>
  <c r="BC252" i="99"/>
  <c r="AY252" i="99"/>
  <c r="AX252" i="99"/>
  <c r="AZ252" i="99"/>
  <c r="AO239" i="99"/>
  <c r="AK239" i="99"/>
  <c r="AR239" i="99"/>
  <c r="AM239" i="99"/>
  <c r="AN239" i="99"/>
  <c r="AQ239" i="99"/>
  <c r="AL239" i="99"/>
  <c r="AP239" i="99"/>
  <c r="AV248" i="99"/>
  <c r="AZ248" i="99"/>
  <c r="BB248" i="99"/>
  <c r="BA248" i="99"/>
  <c r="AW248" i="99"/>
  <c r="BC248" i="99"/>
  <c r="AX248" i="99"/>
  <c r="AY248" i="99"/>
  <c r="DV81" i="71"/>
  <c r="EC81" i="71" s="1"/>
  <c r="CT82" i="71"/>
  <c r="CV81" i="71"/>
  <c r="CW82" i="71" s="1"/>
  <c r="B80" i="2"/>
  <c r="P81" i="2"/>
  <c r="D81" i="2"/>
  <c r="F79" i="2"/>
  <c r="N81" i="2"/>
  <c r="M81" i="2"/>
  <c r="L81" i="2"/>
  <c r="K81" i="2"/>
  <c r="J81" i="2"/>
  <c r="I81" i="2"/>
  <c r="A82" i="2"/>
  <c r="O81" i="2"/>
  <c r="B115" i="123" l="1"/>
  <c r="A117" i="123"/>
  <c r="H114" i="123"/>
  <c r="G114" i="123"/>
  <c r="F114" i="123"/>
  <c r="E114" i="123"/>
  <c r="A117" i="120"/>
  <c r="A117" i="117"/>
  <c r="H103" i="110"/>
  <c r="G103" i="110"/>
  <c r="G80" i="2"/>
  <c r="H80" i="2"/>
  <c r="DZ82" i="71"/>
  <c r="ED82" i="71"/>
  <c r="EB82" i="71"/>
  <c r="DA83" i="71"/>
  <c r="EF83" i="71" s="1"/>
  <c r="EF1" i="71" s="1"/>
  <c r="EF82" i="71"/>
  <c r="EE82" i="71"/>
  <c r="CY83" i="71"/>
  <c r="EA83" i="71" s="1"/>
  <c r="EA1" i="71" s="1"/>
  <c r="EA82" i="71"/>
  <c r="DY82" i="71"/>
  <c r="DN82" i="71"/>
  <c r="DB82" i="71"/>
  <c r="DC83" i="71" s="1"/>
  <c r="ED83" i="71" s="1"/>
  <c r="ED1" i="71" s="1"/>
  <c r="CZ82" i="71"/>
  <c r="CX82" i="71"/>
  <c r="DH82" i="71"/>
  <c r="DI83" i="71" s="1"/>
  <c r="DY83" i="71" s="1"/>
  <c r="DY1" i="71" s="1"/>
  <c r="DF82" i="71"/>
  <c r="DG83" i="71" s="1"/>
  <c r="EE83" i="71" s="1"/>
  <c r="EE1" i="71" s="1"/>
  <c r="DJ82" i="71"/>
  <c r="DK83" i="71" s="1"/>
  <c r="DZ83" i="71" s="1"/>
  <c r="DZ1" i="71" s="1"/>
  <c r="DD82" i="71"/>
  <c r="DE83" i="71" s="1"/>
  <c r="EB83" i="71" s="1"/>
  <c r="EB1" i="71" s="1"/>
  <c r="O105" i="110"/>
  <c r="C105" i="110"/>
  <c r="N105" i="110"/>
  <c r="M105" i="110"/>
  <c r="L105" i="110"/>
  <c r="K105" i="110"/>
  <c r="J105" i="110"/>
  <c r="I105" i="110"/>
  <c r="D105" i="110"/>
  <c r="P105" i="110"/>
  <c r="A106" i="110"/>
  <c r="B104" i="110"/>
  <c r="F103" i="110"/>
  <c r="E103" i="110"/>
  <c r="BP236" i="99"/>
  <c r="BN236" i="99"/>
  <c r="BR236" i="99"/>
  <c r="BQ236" i="99"/>
  <c r="BO236" i="99"/>
  <c r="AJ246" i="99"/>
  <c r="AJ239" i="99"/>
  <c r="AJ249" i="99"/>
  <c r="AJ252" i="99"/>
  <c r="AJ250" i="99"/>
  <c r="AJ248" i="99"/>
  <c r="AJ238" i="99"/>
  <c r="AJ241" i="99"/>
  <c r="AJ240" i="99"/>
  <c r="AJ244" i="99"/>
  <c r="AJ242" i="99"/>
  <c r="AJ251" i="99"/>
  <c r="AJ247" i="99"/>
  <c r="AJ253" i="99"/>
  <c r="AJ237" i="99"/>
  <c r="AJ245" i="99"/>
  <c r="AJ243" i="99"/>
  <c r="AU249" i="99"/>
  <c r="AU248" i="99"/>
  <c r="AU252" i="99"/>
  <c r="AU240" i="99"/>
  <c r="AU244" i="99"/>
  <c r="AU242" i="99"/>
  <c r="AU251" i="99"/>
  <c r="AU237" i="99"/>
  <c r="AU245" i="99"/>
  <c r="AU238" i="99"/>
  <c r="AU250" i="99"/>
  <c r="AU243" i="99"/>
  <c r="AU241" i="99"/>
  <c r="AU239" i="99"/>
  <c r="AU246" i="99"/>
  <c r="AU253" i="99"/>
  <c r="AU247" i="99"/>
  <c r="DV82" i="71"/>
  <c r="EC82" i="71" s="1"/>
  <c r="CT83" i="71"/>
  <c r="CV82" i="71"/>
  <c r="CW83" i="71" s="1"/>
  <c r="DV83" i="71" s="1"/>
  <c r="D82" i="2"/>
  <c r="P82" i="2"/>
  <c r="B81" i="2"/>
  <c r="N82" i="2"/>
  <c r="M82" i="2"/>
  <c r="L82" i="2"/>
  <c r="K82" i="2"/>
  <c r="O82" i="2"/>
  <c r="J82" i="2"/>
  <c r="I82" i="2"/>
  <c r="A83" i="2"/>
  <c r="F80" i="2"/>
  <c r="B116" i="123" l="1"/>
  <c r="B117" i="123"/>
  <c r="A118" i="123"/>
  <c r="H115" i="123"/>
  <c r="G115" i="123"/>
  <c r="F115" i="123"/>
  <c r="E115" i="123"/>
  <c r="A118" i="120"/>
  <c r="W26" i="115"/>
  <c r="M26" i="115"/>
  <c r="K26" i="115"/>
  <c r="S26" i="115"/>
  <c r="Q26" i="115"/>
  <c r="Y26" i="115"/>
  <c r="O26" i="115"/>
  <c r="U26" i="115"/>
  <c r="S25" i="115"/>
  <c r="W25" i="115"/>
  <c r="M25" i="115"/>
  <c r="Y25" i="115"/>
  <c r="Q25" i="115"/>
  <c r="O25" i="115"/>
  <c r="K25" i="115"/>
  <c r="U25" i="115"/>
  <c r="A118" i="117"/>
  <c r="B105" i="110"/>
  <c r="E105" i="110" s="1"/>
  <c r="H104" i="110"/>
  <c r="G104" i="110"/>
  <c r="H81" i="2"/>
  <c r="G81" i="2"/>
  <c r="DV88" i="71"/>
  <c r="DV86" i="71" s="1"/>
  <c r="EC83" i="71"/>
  <c r="EC1" i="71" s="1"/>
  <c r="DN83" i="71"/>
  <c r="DJ83" i="71"/>
  <c r="DH83" i="71"/>
  <c r="DF83" i="71"/>
  <c r="DD83" i="71"/>
  <c r="DB83" i="71"/>
  <c r="CZ83" i="71"/>
  <c r="CX83" i="71"/>
  <c r="F104" i="110"/>
  <c r="E104" i="110"/>
  <c r="M106" i="110"/>
  <c r="L106" i="110"/>
  <c r="K106" i="110"/>
  <c r="J106" i="110"/>
  <c r="I106" i="110"/>
  <c r="P106" i="110"/>
  <c r="D106" i="110"/>
  <c r="O106" i="110"/>
  <c r="C106" i="110"/>
  <c r="N106" i="110"/>
  <c r="A107" i="110"/>
  <c r="BR253" i="99"/>
  <c r="BQ253" i="99"/>
  <c r="BO253" i="99"/>
  <c r="BP245" i="99"/>
  <c r="BN245" i="99"/>
  <c r="BP241" i="99"/>
  <c r="BN241" i="99"/>
  <c r="BP240" i="99"/>
  <c r="BN240" i="99"/>
  <c r="BP237" i="99"/>
  <c r="BN237" i="99"/>
  <c r="BP238" i="99"/>
  <c r="BN238" i="99"/>
  <c r="BP246" i="99"/>
  <c r="BN246" i="99"/>
  <c r="BQ242" i="99"/>
  <c r="BR242" i="99"/>
  <c r="BO242" i="99"/>
  <c r="BR241" i="99"/>
  <c r="BQ241" i="99"/>
  <c r="BO241" i="99"/>
  <c r="BR244" i="99"/>
  <c r="BQ244" i="99"/>
  <c r="BO244" i="99"/>
  <c r="BP253" i="99"/>
  <c r="BN253" i="99"/>
  <c r="BP248" i="99"/>
  <c r="BN248" i="99"/>
  <c r="BP243" i="99"/>
  <c r="BN243" i="99"/>
  <c r="BR243" i="99"/>
  <c r="BQ243" i="99"/>
  <c r="BO243" i="99"/>
  <c r="BQ240" i="99"/>
  <c r="BR240" i="99"/>
  <c r="BO240" i="99"/>
  <c r="BP247" i="99"/>
  <c r="BN247" i="99"/>
  <c r="BP250" i="99"/>
  <c r="BN250" i="99"/>
  <c r="BR237" i="99"/>
  <c r="BQ237" i="99"/>
  <c r="BO237" i="99"/>
  <c r="BR239" i="99"/>
  <c r="BQ239" i="99"/>
  <c r="BO239" i="99"/>
  <c r="BQ250" i="99"/>
  <c r="BR250" i="99"/>
  <c r="BO250" i="99"/>
  <c r="BR252" i="99"/>
  <c r="BQ252" i="99"/>
  <c r="BO252" i="99"/>
  <c r="BP251" i="99"/>
  <c r="BN251" i="99"/>
  <c r="BP252" i="99"/>
  <c r="BN252" i="99"/>
  <c r="BQ246" i="99"/>
  <c r="BR246" i="99"/>
  <c r="BO246" i="99"/>
  <c r="BQ238" i="99"/>
  <c r="BR238" i="99"/>
  <c r="BO238" i="99"/>
  <c r="BR248" i="99"/>
  <c r="BQ248" i="99"/>
  <c r="BO248" i="99"/>
  <c r="BP242" i="99"/>
  <c r="BN242" i="99"/>
  <c r="BP249" i="99"/>
  <c r="BN249" i="99"/>
  <c r="BR251" i="99"/>
  <c r="BQ251" i="99"/>
  <c r="BO251" i="99"/>
  <c r="BR247" i="99"/>
  <c r="BQ247" i="99"/>
  <c r="BO247" i="99"/>
  <c r="BR245" i="99"/>
  <c r="BQ245" i="99"/>
  <c r="BO245" i="99"/>
  <c r="BQ249" i="99"/>
  <c r="BR249" i="99"/>
  <c r="BO249" i="99"/>
  <c r="BP244" i="99"/>
  <c r="BN244" i="99"/>
  <c r="BP239" i="99"/>
  <c r="BN239" i="99"/>
  <c r="DV90" i="71"/>
  <c r="CV83" i="71"/>
  <c r="A84" i="2"/>
  <c r="A85" i="2" s="1"/>
  <c r="D83" i="2"/>
  <c r="P83" i="2"/>
  <c r="B82" i="2"/>
  <c r="N84" i="2"/>
  <c r="F81" i="2"/>
  <c r="N83" i="2"/>
  <c r="M83" i="2"/>
  <c r="L83" i="2"/>
  <c r="K83" i="2"/>
  <c r="O83" i="2"/>
  <c r="J83" i="2"/>
  <c r="I83" i="2"/>
  <c r="A119" i="123" l="1"/>
  <c r="H117" i="123"/>
  <c r="G117" i="123"/>
  <c r="F117" i="123"/>
  <c r="E117" i="123"/>
  <c r="H116" i="123"/>
  <c r="G116" i="123"/>
  <c r="E116" i="123"/>
  <c r="F116" i="123"/>
  <c r="A119" i="120"/>
  <c r="Y53" i="115"/>
  <c r="W53" i="115"/>
  <c r="M53" i="115"/>
  <c r="Q53" i="115"/>
  <c r="S53" i="115"/>
  <c r="K53" i="115"/>
  <c r="O53" i="115"/>
  <c r="U53" i="115"/>
  <c r="A119" i="117"/>
  <c r="DV89" i="71"/>
  <c r="DV93" i="71" s="1"/>
  <c r="DV87" i="71"/>
  <c r="DV92" i="71" s="1"/>
  <c r="F105" i="110"/>
  <c r="G105" i="110"/>
  <c r="H105" i="110"/>
  <c r="B106" i="110"/>
  <c r="H106" i="110" s="1"/>
  <c r="H82" i="2"/>
  <c r="G82" i="2"/>
  <c r="K107" i="110"/>
  <c r="J107" i="110"/>
  <c r="I107" i="110"/>
  <c r="P107" i="110"/>
  <c r="D107" i="110"/>
  <c r="O107" i="110"/>
  <c r="C107" i="110"/>
  <c r="N107" i="110"/>
  <c r="M107" i="110"/>
  <c r="L107" i="110"/>
  <c r="A108" i="110"/>
  <c r="O84" i="2"/>
  <c r="M84" i="2"/>
  <c r="L84" i="2"/>
  <c r="K84" i="2"/>
  <c r="I84" i="2"/>
  <c r="J84" i="2"/>
  <c r="B83" i="2"/>
  <c r="P85" i="2"/>
  <c r="D85" i="2"/>
  <c r="P84" i="2"/>
  <c r="D84" i="2"/>
  <c r="K85" i="2"/>
  <c r="A86" i="2"/>
  <c r="L85" i="2"/>
  <c r="I85" i="2"/>
  <c r="J85" i="2"/>
  <c r="N85" i="2"/>
  <c r="O85" i="2"/>
  <c r="M85" i="2"/>
  <c r="F82" i="2"/>
  <c r="A120" i="123" l="1"/>
  <c r="B118" i="123"/>
  <c r="A120" i="120"/>
  <c r="A120" i="117"/>
  <c r="F106" i="110"/>
  <c r="E106" i="110"/>
  <c r="G106" i="110"/>
  <c r="H83" i="2"/>
  <c r="G83" i="2"/>
  <c r="I108" i="110"/>
  <c r="P108" i="110"/>
  <c r="D108" i="110"/>
  <c r="O108" i="110"/>
  <c r="C108" i="110"/>
  <c r="N108" i="110"/>
  <c r="M108" i="110"/>
  <c r="L108" i="110"/>
  <c r="K108" i="110"/>
  <c r="J108" i="110"/>
  <c r="A109" i="110"/>
  <c r="B107" i="110"/>
  <c r="M8" i="1"/>
  <c r="M42" i="1"/>
  <c r="B84" i="2"/>
  <c r="B85" i="2"/>
  <c r="D86" i="2"/>
  <c r="P86" i="2"/>
  <c r="K86" i="2"/>
  <c r="L86" i="2"/>
  <c r="M86" i="2"/>
  <c r="A87" i="2"/>
  <c r="O86" i="2"/>
  <c r="N86" i="2"/>
  <c r="I86" i="2"/>
  <c r="J86" i="2"/>
  <c r="F83" i="2"/>
  <c r="H118" i="123" l="1"/>
  <c r="G118" i="123"/>
  <c r="F118" i="123"/>
  <c r="E118" i="123"/>
  <c r="B119" i="123"/>
  <c r="B120" i="123"/>
  <c r="A121" i="123"/>
  <c r="A121" i="120"/>
  <c r="O39" i="115"/>
  <c r="M39" i="115"/>
  <c r="Y39" i="115"/>
  <c r="Q39" i="115"/>
  <c r="K39" i="115"/>
  <c r="S39" i="115"/>
  <c r="W39" i="115"/>
  <c r="U39" i="115"/>
  <c r="A121" i="117"/>
  <c r="H107" i="110"/>
  <c r="G107" i="110"/>
  <c r="H85" i="2"/>
  <c r="G85" i="2"/>
  <c r="H84" i="2"/>
  <c r="G84" i="2"/>
  <c r="F107" i="110"/>
  <c r="E107" i="110"/>
  <c r="O109" i="110"/>
  <c r="C109" i="110"/>
  <c r="N109" i="110"/>
  <c r="M109" i="110"/>
  <c r="L109" i="110"/>
  <c r="K109" i="110"/>
  <c r="J109" i="110"/>
  <c r="D109" i="110"/>
  <c r="I109" i="110"/>
  <c r="P109" i="110"/>
  <c r="A110" i="110"/>
  <c r="B108" i="110"/>
  <c r="F49" i="3"/>
  <c r="H49" i="3" s="1"/>
  <c r="F49" i="109"/>
  <c r="F15" i="3"/>
  <c r="H15" i="3" s="1"/>
  <c r="F15" i="109"/>
  <c r="F84" i="2"/>
  <c r="D87" i="2"/>
  <c r="P87" i="2"/>
  <c r="B86" i="2"/>
  <c r="F85" i="2"/>
  <c r="K87" i="2"/>
  <c r="I87" i="2"/>
  <c r="A88" i="2"/>
  <c r="O87" i="2"/>
  <c r="N87" i="2"/>
  <c r="M87" i="2"/>
  <c r="L87" i="2"/>
  <c r="J87" i="2"/>
  <c r="A122" i="123" l="1"/>
  <c r="H120" i="123"/>
  <c r="G120" i="123"/>
  <c r="F120" i="123"/>
  <c r="E120" i="123"/>
  <c r="H119" i="123"/>
  <c r="G119" i="123"/>
  <c r="E119" i="123"/>
  <c r="F119" i="123"/>
  <c r="A122" i="120"/>
  <c r="A122" i="117"/>
  <c r="H108" i="110"/>
  <c r="G108" i="110"/>
  <c r="G86" i="2"/>
  <c r="H86" i="2"/>
  <c r="B109" i="110"/>
  <c r="E108" i="110"/>
  <c r="F108" i="110"/>
  <c r="M110" i="110"/>
  <c r="L110" i="110"/>
  <c r="K110" i="110"/>
  <c r="J110" i="110"/>
  <c r="I110" i="110"/>
  <c r="P110" i="110"/>
  <c r="D110" i="110"/>
  <c r="O110" i="110"/>
  <c r="N110" i="110"/>
  <c r="C110" i="110"/>
  <c r="A111" i="110"/>
  <c r="B87" i="2"/>
  <c r="A89" i="2"/>
  <c r="P88" i="2"/>
  <c r="D88" i="2"/>
  <c r="F86" i="2"/>
  <c r="K88" i="2"/>
  <c r="O88" i="2"/>
  <c r="N88" i="2"/>
  <c r="M88" i="2"/>
  <c r="L88" i="2"/>
  <c r="I88" i="2"/>
  <c r="J88" i="2"/>
  <c r="A123" i="123" l="1"/>
  <c r="B122" i="123"/>
  <c r="B121" i="123"/>
  <c r="A123" i="120"/>
  <c r="O15" i="115"/>
  <c r="W15" i="115"/>
  <c r="Y15" i="115"/>
  <c r="S15" i="115"/>
  <c r="Q15" i="115"/>
  <c r="K15" i="115"/>
  <c r="M15" i="115"/>
  <c r="U15" i="115"/>
  <c r="A123" i="117"/>
  <c r="B110" i="110"/>
  <c r="E110" i="110" s="1"/>
  <c r="H109" i="110"/>
  <c r="G109" i="110"/>
  <c r="H87" i="2"/>
  <c r="G87" i="2"/>
  <c r="K111" i="110"/>
  <c r="J111" i="110"/>
  <c r="I111" i="110"/>
  <c r="P111" i="110"/>
  <c r="D111" i="110"/>
  <c r="O111" i="110"/>
  <c r="C111" i="110"/>
  <c r="N111" i="110"/>
  <c r="M111" i="110"/>
  <c r="L111" i="110"/>
  <c r="A112" i="110"/>
  <c r="E109" i="110"/>
  <c r="F109" i="110"/>
  <c r="O89" i="2"/>
  <c r="L89" i="2"/>
  <c r="N89" i="2"/>
  <c r="K89" i="2"/>
  <c r="M89" i="2"/>
  <c r="J89" i="2"/>
  <c r="I89" i="2"/>
  <c r="A90" i="2"/>
  <c r="B88" i="2"/>
  <c r="P89" i="2"/>
  <c r="D89" i="2"/>
  <c r="F87" i="2"/>
  <c r="H122" i="123" l="1"/>
  <c r="G122" i="123"/>
  <c r="E122" i="123"/>
  <c r="F122" i="123"/>
  <c r="E121" i="123"/>
  <c r="H121" i="123"/>
  <c r="G121" i="123"/>
  <c r="F121" i="123"/>
  <c r="A124" i="123"/>
  <c r="A124" i="120"/>
  <c r="A124" i="117"/>
  <c r="F110" i="110"/>
  <c r="G110" i="110"/>
  <c r="H110" i="110"/>
  <c r="H88" i="2"/>
  <c r="G88" i="2"/>
  <c r="I112" i="110"/>
  <c r="P112" i="110"/>
  <c r="D112" i="110"/>
  <c r="O112" i="110"/>
  <c r="C112" i="110"/>
  <c r="N112" i="110"/>
  <c r="M112" i="110"/>
  <c r="L112" i="110"/>
  <c r="J112" i="110"/>
  <c r="K112" i="110"/>
  <c r="A113" i="110"/>
  <c r="B111" i="110"/>
  <c r="L90" i="2"/>
  <c r="B89" i="2"/>
  <c r="O90" i="2"/>
  <c r="P90" i="2"/>
  <c r="N90" i="2"/>
  <c r="I90" i="2"/>
  <c r="D90" i="2"/>
  <c r="A91" i="2"/>
  <c r="J90" i="2"/>
  <c r="M90" i="2"/>
  <c r="K90" i="2"/>
  <c r="F88" i="2"/>
  <c r="B123" i="123" l="1"/>
  <c r="A125" i="123"/>
  <c r="A125" i="120"/>
  <c r="A125" i="117"/>
  <c r="H111" i="110"/>
  <c r="G111" i="110"/>
  <c r="F89" i="2"/>
  <c r="H89" i="2"/>
  <c r="G89" i="2"/>
  <c r="F111" i="110"/>
  <c r="E111" i="110"/>
  <c r="O113" i="110"/>
  <c r="C113" i="110"/>
  <c r="N113" i="110"/>
  <c r="M113" i="110"/>
  <c r="L113" i="110"/>
  <c r="K113" i="110"/>
  <c r="J113" i="110"/>
  <c r="P113" i="110"/>
  <c r="I113" i="110"/>
  <c r="D113" i="110"/>
  <c r="A114" i="110"/>
  <c r="B112" i="110"/>
  <c r="N91" i="2"/>
  <c r="M91" i="2"/>
  <c r="P91" i="2"/>
  <c r="K91" i="2"/>
  <c r="A92" i="2"/>
  <c r="D91" i="2"/>
  <c r="L91" i="2"/>
  <c r="O91" i="2"/>
  <c r="J91" i="2"/>
  <c r="I91" i="2"/>
  <c r="B90" i="2"/>
  <c r="B124" i="123" l="1"/>
  <c r="A126" i="123"/>
  <c r="B125" i="123"/>
  <c r="H123" i="123"/>
  <c r="G123" i="123"/>
  <c r="F123" i="123"/>
  <c r="E123" i="123"/>
  <c r="A126" i="120"/>
  <c r="A126" i="117"/>
  <c r="H112" i="110"/>
  <c r="G112" i="110"/>
  <c r="F90" i="2"/>
  <c r="H90" i="2"/>
  <c r="G90" i="2"/>
  <c r="M114" i="110"/>
  <c r="L114" i="110"/>
  <c r="K114" i="110"/>
  <c r="J114" i="110"/>
  <c r="I114" i="110"/>
  <c r="P114" i="110"/>
  <c r="D114" i="110"/>
  <c r="O114" i="110"/>
  <c r="N114" i="110"/>
  <c r="C114" i="110"/>
  <c r="A115" i="110"/>
  <c r="B113" i="110"/>
  <c r="F112" i="110"/>
  <c r="E112" i="110"/>
  <c r="N92" i="2"/>
  <c r="L92" i="2"/>
  <c r="I92" i="2"/>
  <c r="J92" i="2"/>
  <c r="A93" i="2"/>
  <c r="P92" i="2"/>
  <c r="K92" i="2"/>
  <c r="O92" i="2"/>
  <c r="D92" i="2"/>
  <c r="M92" i="2"/>
  <c r="B91" i="2"/>
  <c r="H125" i="123" l="1"/>
  <c r="G125" i="123"/>
  <c r="E125" i="123"/>
  <c r="F125" i="123"/>
  <c r="A127" i="123"/>
  <c r="H124" i="123"/>
  <c r="E124" i="123"/>
  <c r="G124" i="123"/>
  <c r="F124" i="123"/>
  <c r="A127" i="120"/>
  <c r="A127" i="117"/>
  <c r="H113" i="110"/>
  <c r="G113" i="110"/>
  <c r="F91" i="2"/>
  <c r="H91" i="2"/>
  <c r="G91" i="2"/>
  <c r="B114" i="110"/>
  <c r="E113" i="110"/>
  <c r="F113" i="110"/>
  <c r="K115" i="110"/>
  <c r="J115" i="110"/>
  <c r="I115" i="110"/>
  <c r="P115" i="110"/>
  <c r="D115" i="110"/>
  <c r="O115" i="110"/>
  <c r="C115" i="110"/>
  <c r="N115" i="110"/>
  <c r="L115" i="110"/>
  <c r="M115" i="110"/>
  <c r="A116" i="110"/>
  <c r="M93" i="2"/>
  <c r="J93" i="2"/>
  <c r="K93" i="2"/>
  <c r="O93" i="2"/>
  <c r="D93" i="2"/>
  <c r="N93" i="2"/>
  <c r="P93" i="2"/>
  <c r="L93" i="2"/>
  <c r="I93" i="2"/>
  <c r="A94" i="2"/>
  <c r="B92" i="2"/>
  <c r="D94" i="2"/>
  <c r="L94" i="2"/>
  <c r="I94" i="2"/>
  <c r="A128" i="123" l="1"/>
  <c r="B126" i="123"/>
  <c r="A128" i="120"/>
  <c r="W49" i="115"/>
  <c r="S49" i="115"/>
  <c r="O49" i="115"/>
  <c r="M49" i="115"/>
  <c r="Y49" i="115"/>
  <c r="K49" i="115"/>
  <c r="Q49" i="115"/>
  <c r="U49" i="115"/>
  <c r="A128" i="117"/>
  <c r="B115" i="110"/>
  <c r="F115" i="110" s="1"/>
  <c r="H114" i="110"/>
  <c r="G114" i="110"/>
  <c r="B93" i="2"/>
  <c r="H93" i="2" s="1"/>
  <c r="F92" i="2"/>
  <c r="G92" i="2"/>
  <c r="H92" i="2"/>
  <c r="I116" i="110"/>
  <c r="P116" i="110"/>
  <c r="D116" i="110"/>
  <c r="O116" i="110"/>
  <c r="C116" i="110"/>
  <c r="N116" i="110"/>
  <c r="M116" i="110"/>
  <c r="L116" i="110"/>
  <c r="K116" i="110"/>
  <c r="J116" i="110"/>
  <c r="A117" i="110"/>
  <c r="F114" i="110"/>
  <c r="E114" i="110"/>
  <c r="A95" i="2"/>
  <c r="N94" i="2"/>
  <c r="K94" i="2"/>
  <c r="J94" i="2"/>
  <c r="O94" i="2"/>
  <c r="M94" i="2"/>
  <c r="P94" i="2"/>
  <c r="D95" i="2"/>
  <c r="P95" i="2"/>
  <c r="J95" i="2"/>
  <c r="M95" i="2"/>
  <c r="K95" i="2"/>
  <c r="I95" i="2"/>
  <c r="A96" i="2"/>
  <c r="N95" i="2"/>
  <c r="L95" i="2"/>
  <c r="O95" i="2"/>
  <c r="H126" i="123" l="1"/>
  <c r="G126" i="123"/>
  <c r="F126" i="123"/>
  <c r="E126" i="123"/>
  <c r="A129" i="123"/>
  <c r="B127" i="123"/>
  <c r="A129" i="120"/>
  <c r="M47" i="1"/>
  <c r="F54" i="3" s="1"/>
  <c r="H54" i="3" s="1"/>
  <c r="F93" i="2"/>
  <c r="A129" i="117"/>
  <c r="G93" i="2"/>
  <c r="E115" i="110"/>
  <c r="G115" i="110"/>
  <c r="H115" i="110"/>
  <c r="B94" i="2"/>
  <c r="F94" i="2" s="1"/>
  <c r="O117" i="110"/>
  <c r="C117" i="110"/>
  <c r="N117" i="110"/>
  <c r="M117" i="110"/>
  <c r="L117" i="110"/>
  <c r="K117" i="110"/>
  <c r="J117" i="110"/>
  <c r="P117" i="110"/>
  <c r="I117" i="110"/>
  <c r="D117" i="110"/>
  <c r="A118" i="110"/>
  <c r="B116" i="110"/>
  <c r="P96" i="2"/>
  <c r="D96" i="2"/>
  <c r="B95" i="2"/>
  <c r="N96" i="2"/>
  <c r="I96" i="2"/>
  <c r="A97" i="2"/>
  <c r="M96" i="2"/>
  <c r="L96" i="2"/>
  <c r="K96" i="2"/>
  <c r="J96" i="2"/>
  <c r="O96" i="2"/>
  <c r="B129" i="123" l="1"/>
  <c r="A130" i="123"/>
  <c r="H127" i="123"/>
  <c r="G127" i="123"/>
  <c r="F127" i="123"/>
  <c r="E127" i="123"/>
  <c r="B128" i="123"/>
  <c r="A130" i="120"/>
  <c r="F54" i="109"/>
  <c r="A130" i="117"/>
  <c r="H116" i="110"/>
  <c r="G116" i="110"/>
  <c r="H95" i="2"/>
  <c r="G95" i="2"/>
  <c r="H94" i="2"/>
  <c r="G94" i="2"/>
  <c r="M118" i="110"/>
  <c r="L118" i="110"/>
  <c r="K118" i="110"/>
  <c r="J118" i="110"/>
  <c r="I118" i="110"/>
  <c r="P118" i="110"/>
  <c r="D118" i="110"/>
  <c r="C118" i="110"/>
  <c r="O118" i="110"/>
  <c r="N118" i="110"/>
  <c r="A119" i="110"/>
  <c r="E116" i="110"/>
  <c r="F116" i="110"/>
  <c r="B117" i="110"/>
  <c r="AR1" i="31"/>
  <c r="L44" i="31" s="1"/>
  <c r="M44" i="31" s="1"/>
  <c r="M53" i="1"/>
  <c r="B96" i="2"/>
  <c r="P97" i="2"/>
  <c r="D97" i="2"/>
  <c r="A98" i="2"/>
  <c r="N97" i="2"/>
  <c r="M97" i="2"/>
  <c r="L97" i="2"/>
  <c r="J97" i="2"/>
  <c r="K97" i="2"/>
  <c r="I97" i="2"/>
  <c r="O97" i="2"/>
  <c r="F95" i="2"/>
  <c r="H129" i="123" l="1"/>
  <c r="G129" i="123"/>
  <c r="F129" i="123"/>
  <c r="E129" i="123"/>
  <c r="A131" i="123"/>
  <c r="H128" i="123"/>
  <c r="G128" i="123"/>
  <c r="F128" i="123"/>
  <c r="E128" i="123"/>
  <c r="A131" i="120"/>
  <c r="L159" i="31"/>
  <c r="M159" i="31" s="1"/>
  <c r="L140" i="31"/>
  <c r="M140" i="31" s="1"/>
  <c r="A131" i="117"/>
  <c r="L83" i="31"/>
  <c r="M83" i="31" s="1"/>
  <c r="L137" i="31"/>
  <c r="M137" i="31" s="1"/>
  <c r="L145" i="31"/>
  <c r="M145" i="31" s="1"/>
  <c r="L65" i="31"/>
  <c r="M65" i="31" s="1"/>
  <c r="L27" i="31"/>
  <c r="M27" i="31" s="1"/>
  <c r="L18" i="31"/>
  <c r="M18" i="31" s="1"/>
  <c r="L139" i="31"/>
  <c r="M139" i="31" s="1"/>
  <c r="L81" i="31"/>
  <c r="M81" i="31" s="1"/>
  <c r="H117" i="110"/>
  <c r="G117" i="110"/>
  <c r="L100" i="31"/>
  <c r="M100" i="31" s="1"/>
  <c r="L95" i="31"/>
  <c r="M95" i="31" s="1"/>
  <c r="L121" i="31"/>
  <c r="M121" i="31" s="1"/>
  <c r="L45" i="31"/>
  <c r="M45" i="31" s="1"/>
  <c r="L96" i="31"/>
  <c r="M96" i="31" s="1"/>
  <c r="L52" i="31"/>
  <c r="M52" i="31" s="1"/>
  <c r="L29" i="31"/>
  <c r="M29" i="31" s="1"/>
  <c r="L34" i="31"/>
  <c r="M34" i="31" s="1"/>
  <c r="L104" i="31"/>
  <c r="M104" i="31" s="1"/>
  <c r="L101" i="31"/>
  <c r="M101" i="31" s="1"/>
  <c r="L120" i="31"/>
  <c r="M120" i="31" s="1"/>
  <c r="L129" i="31"/>
  <c r="M129" i="31" s="1"/>
  <c r="L106" i="31"/>
  <c r="M106" i="31" s="1"/>
  <c r="L178" i="31"/>
  <c r="M178" i="31" s="1"/>
  <c r="L77" i="31"/>
  <c r="M77" i="31" s="1"/>
  <c r="L173" i="31"/>
  <c r="M173" i="31" s="1"/>
  <c r="L11" i="31"/>
  <c r="M11" i="31" s="1"/>
  <c r="L61" i="31"/>
  <c r="M61" i="31" s="1"/>
  <c r="L40" i="31"/>
  <c r="M40" i="31" s="1"/>
  <c r="L188" i="31"/>
  <c r="M188" i="31" s="1"/>
  <c r="L185" i="31"/>
  <c r="M185" i="31" s="1"/>
  <c r="L149" i="31"/>
  <c r="M149" i="31" s="1"/>
  <c r="L6" i="31"/>
  <c r="M6" i="31" s="1"/>
  <c r="L19" i="31"/>
  <c r="M19" i="31" s="1"/>
  <c r="L92" i="31"/>
  <c r="M92" i="31" s="1"/>
  <c r="L94" i="31"/>
  <c r="M94" i="31" s="1"/>
  <c r="L112" i="31"/>
  <c r="M112" i="31" s="1"/>
  <c r="L108" i="31"/>
  <c r="M108" i="31" s="1"/>
  <c r="L89" i="31"/>
  <c r="M89" i="31" s="1"/>
  <c r="L33" i="31"/>
  <c r="M33" i="31" s="1"/>
  <c r="L68" i="31"/>
  <c r="M68" i="31" s="1"/>
  <c r="L135" i="31"/>
  <c r="M135" i="31" s="1"/>
  <c r="L157" i="31"/>
  <c r="M157" i="31" s="1"/>
  <c r="L80" i="31"/>
  <c r="M80" i="31" s="1"/>
  <c r="L38" i="31"/>
  <c r="M38" i="31" s="1"/>
  <c r="L47" i="31"/>
  <c r="M47" i="31" s="1"/>
  <c r="L155" i="31"/>
  <c r="M155" i="31" s="1"/>
  <c r="L198" i="31"/>
  <c r="M198" i="31" s="1"/>
  <c r="L66" i="31"/>
  <c r="M66" i="31" s="1"/>
  <c r="L172" i="31"/>
  <c r="M172" i="31" s="1"/>
  <c r="L152" i="31"/>
  <c r="M152" i="31" s="1"/>
  <c r="L111" i="31"/>
  <c r="M111" i="31" s="1"/>
  <c r="L162" i="31"/>
  <c r="M162" i="31" s="1"/>
  <c r="L181" i="31"/>
  <c r="M181" i="31" s="1"/>
  <c r="L16" i="31"/>
  <c r="M16" i="31" s="1"/>
  <c r="L201" i="31"/>
  <c r="M201" i="31" s="1"/>
  <c r="L69" i="31"/>
  <c r="M69" i="31" s="1"/>
  <c r="L119" i="31"/>
  <c r="M119" i="31" s="1"/>
  <c r="L199" i="31"/>
  <c r="M199" i="31" s="1"/>
  <c r="L192" i="31"/>
  <c r="M192" i="31" s="1"/>
  <c r="L131" i="31"/>
  <c r="M131" i="31" s="1"/>
  <c r="L36" i="31"/>
  <c r="M36" i="31" s="1"/>
  <c r="L138" i="31"/>
  <c r="M138" i="31" s="1"/>
  <c r="L175" i="31"/>
  <c r="M175" i="31" s="1"/>
  <c r="L124" i="31"/>
  <c r="M124" i="31" s="1"/>
  <c r="L144" i="31"/>
  <c r="M144" i="31" s="1"/>
  <c r="L158" i="31"/>
  <c r="M158" i="31" s="1"/>
  <c r="L49" i="31"/>
  <c r="M49" i="31" s="1"/>
  <c r="L22" i="31"/>
  <c r="M22" i="31" s="1"/>
  <c r="L53" i="31"/>
  <c r="M53" i="31" s="1"/>
  <c r="L60" i="31"/>
  <c r="M60" i="31" s="1"/>
  <c r="L99" i="31"/>
  <c r="M99" i="31" s="1"/>
  <c r="L105" i="31"/>
  <c r="M105" i="31" s="1"/>
  <c r="L123" i="31"/>
  <c r="M123" i="31" s="1"/>
  <c r="L116" i="31"/>
  <c r="M116" i="31" s="1"/>
  <c r="L189" i="31"/>
  <c r="M189" i="31" s="1"/>
  <c r="L194" i="31"/>
  <c r="M194" i="31" s="1"/>
  <c r="H96" i="2"/>
  <c r="G96" i="2"/>
  <c r="L97" i="31"/>
  <c r="M97" i="31" s="1"/>
  <c r="L70" i="31"/>
  <c r="M70" i="31" s="1"/>
  <c r="L57" i="31"/>
  <c r="M57" i="31" s="1"/>
  <c r="L125" i="31"/>
  <c r="M125" i="31" s="1"/>
  <c r="L41" i="31"/>
  <c r="M41" i="31" s="1"/>
  <c r="L128" i="31"/>
  <c r="M128" i="31" s="1"/>
  <c r="L179" i="31"/>
  <c r="M179" i="31" s="1"/>
  <c r="L73" i="31"/>
  <c r="M73" i="31" s="1"/>
  <c r="L72" i="31"/>
  <c r="M72" i="31" s="1"/>
  <c r="B118" i="110"/>
  <c r="E118" i="110" s="1"/>
  <c r="E117" i="110"/>
  <c r="F117" i="110"/>
  <c r="K119" i="110"/>
  <c r="J119" i="110"/>
  <c r="I119" i="110"/>
  <c r="P119" i="110"/>
  <c r="D119" i="110"/>
  <c r="O119" i="110"/>
  <c r="C119" i="110"/>
  <c r="N119" i="110"/>
  <c r="M119" i="110"/>
  <c r="L119" i="110"/>
  <c r="A120" i="110"/>
  <c r="L12" i="31"/>
  <c r="M12" i="31" s="1"/>
  <c r="L74" i="31"/>
  <c r="M74" i="31" s="1"/>
  <c r="L43" i="31"/>
  <c r="M43" i="31" s="1"/>
  <c r="L102" i="31"/>
  <c r="M102" i="31" s="1"/>
  <c r="L78" i="31"/>
  <c r="M78" i="31" s="1"/>
  <c r="L91" i="31"/>
  <c r="M91" i="31" s="1"/>
  <c r="L174" i="31"/>
  <c r="M174" i="31" s="1"/>
  <c r="L197" i="31"/>
  <c r="M197" i="31" s="1"/>
  <c r="L107" i="31"/>
  <c r="M107" i="31" s="1"/>
  <c r="L127" i="31"/>
  <c r="M127" i="31" s="1"/>
  <c r="L113" i="31"/>
  <c r="M113" i="31" s="1"/>
  <c r="L82" i="31"/>
  <c r="M82" i="31" s="1"/>
  <c r="L56" i="31"/>
  <c r="M56" i="31" s="1"/>
  <c r="L54" i="31"/>
  <c r="M54" i="31" s="1"/>
  <c r="L160" i="31"/>
  <c r="M160" i="31" s="1"/>
  <c r="L167" i="31"/>
  <c r="M167" i="31" s="1"/>
  <c r="L169" i="31"/>
  <c r="M169" i="31" s="1"/>
  <c r="L148" i="31"/>
  <c r="M148" i="31" s="1"/>
  <c r="L176" i="31"/>
  <c r="M176" i="31" s="1"/>
  <c r="L153" i="31"/>
  <c r="M153" i="31" s="1"/>
  <c r="L142" i="31"/>
  <c r="M142" i="31" s="1"/>
  <c r="L141" i="31"/>
  <c r="M141" i="31" s="1"/>
  <c r="L163" i="31"/>
  <c r="M163" i="31" s="1"/>
  <c r="L8" i="31"/>
  <c r="M8" i="31" s="1"/>
  <c r="L114" i="31"/>
  <c r="M114" i="31" s="1"/>
  <c r="L103" i="31"/>
  <c r="M103" i="31" s="1"/>
  <c r="L110" i="31"/>
  <c r="M110" i="31" s="1"/>
  <c r="L35" i="31"/>
  <c r="M35" i="31" s="1"/>
  <c r="L136" i="31"/>
  <c r="M136" i="31" s="1"/>
  <c r="L118" i="31"/>
  <c r="M118" i="31" s="1"/>
  <c r="L190" i="31"/>
  <c r="M190" i="31" s="1"/>
  <c r="L15" i="31"/>
  <c r="M15" i="31" s="1"/>
  <c r="L79" i="31"/>
  <c r="M79" i="31" s="1"/>
  <c r="L7" i="31"/>
  <c r="M7" i="31" s="1"/>
  <c r="L134" i="31"/>
  <c r="M134" i="31" s="1"/>
  <c r="L62" i="31"/>
  <c r="M62" i="31" s="1"/>
  <c r="L31" i="31"/>
  <c r="M31" i="31" s="1"/>
  <c r="L161" i="31"/>
  <c r="M161" i="31" s="1"/>
  <c r="L85" i="31"/>
  <c r="M85" i="31" s="1"/>
  <c r="L17" i="31"/>
  <c r="M17" i="31" s="1"/>
  <c r="L46" i="31"/>
  <c r="M46" i="31" s="1"/>
  <c r="L150" i="31"/>
  <c r="M150" i="31" s="1"/>
  <c r="L26" i="31"/>
  <c r="M26" i="31" s="1"/>
  <c r="L202" i="31"/>
  <c r="M202" i="31" s="1"/>
  <c r="L25" i="31"/>
  <c r="M25" i="31" s="1"/>
  <c r="L147" i="31"/>
  <c r="M147" i="31" s="1"/>
  <c r="L90" i="31"/>
  <c r="M90" i="31" s="1"/>
  <c r="L98" i="31"/>
  <c r="M98" i="31" s="1"/>
  <c r="L9" i="31"/>
  <c r="M9" i="31" s="1"/>
  <c r="L67" i="31"/>
  <c r="M67" i="31" s="1"/>
  <c r="L187" i="31"/>
  <c r="M187" i="31" s="1"/>
  <c r="L132" i="31"/>
  <c r="M132" i="31" s="1"/>
  <c r="L195" i="31"/>
  <c r="M195" i="31" s="1"/>
  <c r="L84" i="31"/>
  <c r="M84" i="31" s="1"/>
  <c r="L166" i="31"/>
  <c r="M166" i="31" s="1"/>
  <c r="L87" i="31"/>
  <c r="M87" i="31" s="1"/>
  <c r="L71" i="31"/>
  <c r="M71" i="31" s="1"/>
  <c r="L146" i="31"/>
  <c r="M146" i="31" s="1"/>
  <c r="L14" i="31"/>
  <c r="M14" i="31" s="1"/>
  <c r="L171" i="31"/>
  <c r="M171" i="31" s="1"/>
  <c r="L86" i="31"/>
  <c r="M86" i="31" s="1"/>
  <c r="L13" i="31"/>
  <c r="M13" i="31" s="1"/>
  <c r="L48" i="31"/>
  <c r="M48" i="31" s="1"/>
  <c r="L32" i="31"/>
  <c r="M32" i="31" s="1"/>
  <c r="L30" i="31"/>
  <c r="M30" i="31" s="1"/>
  <c r="L143" i="31"/>
  <c r="M143" i="31" s="1"/>
  <c r="L39" i="31"/>
  <c r="M39" i="31" s="1"/>
  <c r="L151" i="31"/>
  <c r="M151" i="31" s="1"/>
  <c r="L63" i="31"/>
  <c r="M63" i="31" s="1"/>
  <c r="L75" i="31"/>
  <c r="M75" i="31" s="1"/>
  <c r="L58" i="31"/>
  <c r="M58" i="31" s="1"/>
  <c r="L122" i="31"/>
  <c r="M122" i="31" s="1"/>
  <c r="L183" i="31"/>
  <c r="M183" i="31" s="1"/>
  <c r="L51" i="31"/>
  <c r="M51" i="31" s="1"/>
  <c r="L21" i="31"/>
  <c r="M21" i="31" s="1"/>
  <c r="L76" i="31"/>
  <c r="M76" i="31" s="1"/>
  <c r="L59" i="31"/>
  <c r="M59" i="31" s="1"/>
  <c r="L168" i="31"/>
  <c r="M168" i="31" s="1"/>
  <c r="L186" i="31"/>
  <c r="M186" i="31" s="1"/>
  <c r="L130" i="31"/>
  <c r="M130" i="31" s="1"/>
  <c r="L193" i="31"/>
  <c r="M193" i="31" s="1"/>
  <c r="L126" i="31"/>
  <c r="M126" i="31" s="1"/>
  <c r="L165" i="31"/>
  <c r="M165" i="31" s="1"/>
  <c r="L42" i="31"/>
  <c r="M42" i="31" s="1"/>
  <c r="L88" i="31"/>
  <c r="M88" i="31" s="1"/>
  <c r="L115" i="31"/>
  <c r="M115" i="31" s="1"/>
  <c r="L50" i="31"/>
  <c r="M50" i="31" s="1"/>
  <c r="L23" i="31"/>
  <c r="M23" i="31" s="1"/>
  <c r="L93" i="31"/>
  <c r="M93" i="31" s="1"/>
  <c r="L180" i="31"/>
  <c r="M180" i="31" s="1"/>
  <c r="L117" i="31"/>
  <c r="M117" i="31" s="1"/>
  <c r="L191" i="31"/>
  <c r="M191" i="31" s="1"/>
  <c r="L133" i="31"/>
  <c r="M133" i="31" s="1"/>
  <c r="L24" i="31"/>
  <c r="M24" i="31" s="1"/>
  <c r="L164" i="31"/>
  <c r="M164" i="31" s="1"/>
  <c r="L170" i="31"/>
  <c r="M170" i="31" s="1"/>
  <c r="L55" i="31"/>
  <c r="M55" i="31" s="1"/>
  <c r="L184" i="31"/>
  <c r="M184" i="31" s="1"/>
  <c r="L182" i="31"/>
  <c r="M182" i="31" s="1"/>
  <c r="L5" i="31"/>
  <c r="M5" i="31" s="1"/>
  <c r="L177" i="31"/>
  <c r="M177" i="31" s="1"/>
  <c r="L37" i="31"/>
  <c r="M37" i="31" s="1"/>
  <c r="L64" i="31"/>
  <c r="M64" i="31" s="1"/>
  <c r="L196" i="31"/>
  <c r="M196" i="31" s="1"/>
  <c r="L28" i="31"/>
  <c r="M28" i="31" s="1"/>
  <c r="L109" i="31"/>
  <c r="M109" i="31" s="1"/>
  <c r="L154" i="31"/>
  <c r="M154" i="31" s="1"/>
  <c r="L20" i="31"/>
  <c r="M20" i="31" s="1"/>
  <c r="L200" i="31"/>
  <c r="M200" i="31" s="1"/>
  <c r="L156" i="31"/>
  <c r="M156" i="31" s="1"/>
  <c r="L10" i="31"/>
  <c r="M10" i="31" s="1"/>
  <c r="F60" i="3"/>
  <c r="H60" i="3" s="1"/>
  <c r="F60" i="109"/>
  <c r="B97" i="2"/>
  <c r="D98" i="2"/>
  <c r="P98" i="2"/>
  <c r="M98" i="2"/>
  <c r="N98" i="2"/>
  <c r="K98" i="2"/>
  <c r="L98" i="2"/>
  <c r="I98" i="2"/>
  <c r="J98" i="2"/>
  <c r="A99" i="2"/>
  <c r="O98" i="2"/>
  <c r="F96" i="2"/>
  <c r="A132" i="123" l="1"/>
  <c r="B131" i="123"/>
  <c r="B130" i="123"/>
  <c r="A132" i="120"/>
  <c r="A132" i="117"/>
  <c r="F118" i="110"/>
  <c r="H118" i="110"/>
  <c r="G118" i="110"/>
  <c r="H97" i="2"/>
  <c r="G97" i="2"/>
  <c r="B119" i="110"/>
  <c r="I120" i="110"/>
  <c r="P120" i="110"/>
  <c r="D120" i="110"/>
  <c r="O120" i="110"/>
  <c r="C120" i="110"/>
  <c r="N120" i="110"/>
  <c r="M120" i="110"/>
  <c r="L120" i="110"/>
  <c r="K120" i="110"/>
  <c r="J120" i="110"/>
  <c r="A121" i="110"/>
  <c r="B98" i="2"/>
  <c r="D99" i="2"/>
  <c r="P99" i="2"/>
  <c r="A100" i="2"/>
  <c r="K99" i="2"/>
  <c r="L99" i="2"/>
  <c r="I99" i="2"/>
  <c r="M99" i="2"/>
  <c r="N99" i="2"/>
  <c r="J99" i="2"/>
  <c r="O99" i="2"/>
  <c r="F97" i="2"/>
  <c r="H131" i="123" l="1"/>
  <c r="G131" i="123"/>
  <c r="F131" i="123"/>
  <c r="E131" i="123"/>
  <c r="H130" i="123"/>
  <c r="G130" i="123"/>
  <c r="F130" i="123"/>
  <c r="E130" i="123"/>
  <c r="A133" i="123"/>
  <c r="A133" i="120"/>
  <c r="A133" i="117"/>
  <c r="H119" i="110"/>
  <c r="G119" i="110"/>
  <c r="G98" i="2"/>
  <c r="H98" i="2"/>
  <c r="B120" i="110"/>
  <c r="O121" i="110"/>
  <c r="C121" i="110"/>
  <c r="N121" i="110"/>
  <c r="M121" i="110"/>
  <c r="L121" i="110"/>
  <c r="K121" i="110"/>
  <c r="J121" i="110"/>
  <c r="I121" i="110"/>
  <c r="D121" i="110"/>
  <c r="P121" i="110"/>
  <c r="A122" i="110"/>
  <c r="E119" i="110"/>
  <c r="F119" i="110"/>
  <c r="B99" i="2"/>
  <c r="P100" i="2"/>
  <c r="D100" i="2"/>
  <c r="F98" i="2"/>
  <c r="K100" i="2"/>
  <c r="I100" i="2"/>
  <c r="N100" i="2"/>
  <c r="M100" i="2"/>
  <c r="L100" i="2"/>
  <c r="J100" i="2"/>
  <c r="A101" i="2"/>
  <c r="O100" i="2"/>
  <c r="B132" i="123" l="1"/>
  <c r="A134" i="123"/>
  <c r="A134" i="120"/>
  <c r="A134" i="117"/>
  <c r="H120" i="110"/>
  <c r="G120" i="110"/>
  <c r="H99" i="2"/>
  <c r="G99" i="2"/>
  <c r="M122" i="110"/>
  <c r="L122" i="110"/>
  <c r="K122" i="110"/>
  <c r="J122" i="110"/>
  <c r="I122" i="110"/>
  <c r="P122" i="110"/>
  <c r="D122" i="110"/>
  <c r="C122" i="110"/>
  <c r="O122" i="110"/>
  <c r="N122" i="110"/>
  <c r="A123" i="110"/>
  <c r="B121" i="110"/>
  <c r="E120" i="110"/>
  <c r="F120" i="110"/>
  <c r="B100" i="2"/>
  <c r="P101" i="2"/>
  <c r="D101" i="2"/>
  <c r="F99" i="2"/>
  <c r="N101" i="2"/>
  <c r="L101" i="2"/>
  <c r="K101" i="2"/>
  <c r="J101" i="2"/>
  <c r="M101" i="2"/>
  <c r="I101" i="2"/>
  <c r="A102" i="2"/>
  <c r="O101" i="2"/>
  <c r="A135" i="123" l="1"/>
  <c r="B134" i="123"/>
  <c r="B133" i="123"/>
  <c r="F132" i="123"/>
  <c r="E132" i="123"/>
  <c r="H132" i="123"/>
  <c r="G132" i="123"/>
  <c r="A135" i="120"/>
  <c r="A135" i="117"/>
  <c r="B122" i="110"/>
  <c r="H122" i="110" s="1"/>
  <c r="H121" i="110"/>
  <c r="G121" i="110"/>
  <c r="H100" i="2"/>
  <c r="G100" i="2"/>
  <c r="K123" i="110"/>
  <c r="J123" i="110"/>
  <c r="I123" i="110"/>
  <c r="P123" i="110"/>
  <c r="D123" i="110"/>
  <c r="O123" i="110"/>
  <c r="C123" i="110"/>
  <c r="N123" i="110"/>
  <c r="M123" i="110"/>
  <c r="L123" i="110"/>
  <c r="A124" i="110"/>
  <c r="E121" i="110"/>
  <c r="F121" i="110"/>
  <c r="B101" i="2"/>
  <c r="D102" i="2"/>
  <c r="P102" i="2"/>
  <c r="I102" i="2"/>
  <c r="J102" i="2"/>
  <c r="L102" i="2"/>
  <c r="M102" i="2"/>
  <c r="A103" i="2"/>
  <c r="N102" i="2"/>
  <c r="K102" i="2"/>
  <c r="O102" i="2"/>
  <c r="F100" i="2"/>
  <c r="H133" i="123" l="1"/>
  <c r="G133" i="123"/>
  <c r="F133" i="123"/>
  <c r="E133" i="123"/>
  <c r="H134" i="123"/>
  <c r="G134" i="123"/>
  <c r="F134" i="123"/>
  <c r="E134" i="123"/>
  <c r="B135" i="123"/>
  <c r="A136" i="123"/>
  <c r="A136" i="120"/>
  <c r="A136" i="117"/>
  <c r="E122" i="110"/>
  <c r="F122" i="110"/>
  <c r="G122" i="110"/>
  <c r="H101" i="2"/>
  <c r="G101" i="2"/>
  <c r="B123" i="110"/>
  <c r="I124" i="110"/>
  <c r="P124" i="110"/>
  <c r="D124" i="110"/>
  <c r="O124" i="110"/>
  <c r="C124" i="110"/>
  <c r="N124" i="110"/>
  <c r="M124" i="110"/>
  <c r="L124" i="110"/>
  <c r="K124" i="110"/>
  <c r="J124" i="110"/>
  <c r="A125" i="110"/>
  <c r="D103" i="2"/>
  <c r="P103" i="2"/>
  <c r="B102" i="2"/>
  <c r="F101" i="2"/>
  <c r="L103" i="2"/>
  <c r="A104" i="2"/>
  <c r="J103" i="2"/>
  <c r="M103" i="2"/>
  <c r="K103" i="2"/>
  <c r="N103" i="2"/>
  <c r="I103" i="2"/>
  <c r="O103" i="2"/>
  <c r="A137" i="123" l="1"/>
  <c r="G135" i="123"/>
  <c r="H135" i="123"/>
  <c r="F135" i="123"/>
  <c r="E135" i="123"/>
  <c r="A137" i="120"/>
  <c r="O54" i="115"/>
  <c r="M54" i="115"/>
  <c r="K54" i="115"/>
  <c r="Q54" i="115"/>
  <c r="Y54" i="115"/>
  <c r="W54" i="115"/>
  <c r="S54" i="115"/>
  <c r="U54" i="115"/>
  <c r="A137" i="117"/>
  <c r="F123" i="110"/>
  <c r="H123" i="110"/>
  <c r="G123" i="110"/>
  <c r="H102" i="2"/>
  <c r="G102" i="2"/>
  <c r="E123" i="110"/>
  <c r="B124" i="110"/>
  <c r="O125" i="110"/>
  <c r="C125" i="110"/>
  <c r="N125" i="110"/>
  <c r="M125" i="110"/>
  <c r="L125" i="110"/>
  <c r="K125" i="110"/>
  <c r="J125" i="110"/>
  <c r="I125" i="110"/>
  <c r="D125" i="110"/>
  <c r="P125" i="110"/>
  <c r="A126" i="110"/>
  <c r="B103" i="2"/>
  <c r="P104" i="2"/>
  <c r="D104" i="2"/>
  <c r="F102" i="2"/>
  <c r="K104" i="2"/>
  <c r="J104" i="2"/>
  <c r="I104" i="2"/>
  <c r="N104" i="2"/>
  <c r="L104" i="2"/>
  <c r="A105" i="2"/>
  <c r="M104" i="2"/>
  <c r="O104" i="2"/>
  <c r="B136" i="123" l="1"/>
  <c r="A138" i="123"/>
  <c r="B137" i="123"/>
  <c r="A138" i="120"/>
  <c r="A138" i="117"/>
  <c r="H124" i="110"/>
  <c r="G124" i="110"/>
  <c r="H103" i="2"/>
  <c r="G103" i="2"/>
  <c r="M126" i="110"/>
  <c r="L126" i="110"/>
  <c r="K126" i="110"/>
  <c r="J126" i="110"/>
  <c r="I126" i="110"/>
  <c r="P126" i="110"/>
  <c r="D126" i="110"/>
  <c r="O126" i="110"/>
  <c r="N126" i="110"/>
  <c r="C126" i="110"/>
  <c r="A127" i="110"/>
  <c r="B125" i="110"/>
  <c r="E124" i="110"/>
  <c r="F124" i="110"/>
  <c r="P105" i="2"/>
  <c r="D105" i="2"/>
  <c r="B104" i="2"/>
  <c r="F103" i="2"/>
  <c r="N105" i="2"/>
  <c r="M105" i="2"/>
  <c r="J105" i="2"/>
  <c r="A106" i="2"/>
  <c r="L105" i="2"/>
  <c r="K105" i="2"/>
  <c r="I105" i="2"/>
  <c r="O105" i="2"/>
  <c r="H137" i="123" l="1"/>
  <c r="G137" i="123"/>
  <c r="F137" i="123"/>
  <c r="E137" i="123"/>
  <c r="A139" i="123"/>
  <c r="H136" i="123"/>
  <c r="G136" i="123"/>
  <c r="F136" i="123"/>
  <c r="E136" i="123"/>
  <c r="A139" i="120"/>
  <c r="M60" i="115"/>
  <c r="W60" i="115"/>
  <c r="Q60" i="115"/>
  <c r="S60" i="115"/>
  <c r="Y60" i="115"/>
  <c r="O60" i="115"/>
  <c r="K60" i="115"/>
  <c r="U60" i="115"/>
  <c r="A139" i="117"/>
  <c r="H125" i="110"/>
  <c r="G125" i="110"/>
  <c r="G104" i="2"/>
  <c r="H104" i="2"/>
  <c r="F125" i="110"/>
  <c r="E125" i="110"/>
  <c r="B126" i="110"/>
  <c r="K127" i="110"/>
  <c r="J127" i="110"/>
  <c r="I127" i="110"/>
  <c r="P127" i="110"/>
  <c r="D127" i="110"/>
  <c r="O127" i="110"/>
  <c r="C127" i="110"/>
  <c r="N127" i="110"/>
  <c r="M127" i="110"/>
  <c r="L127" i="110"/>
  <c r="A128" i="110"/>
  <c r="D106" i="2"/>
  <c r="P106" i="2"/>
  <c r="B105" i="2"/>
  <c r="F104" i="2"/>
  <c r="M106" i="2"/>
  <c r="I106" i="2"/>
  <c r="N106" i="2"/>
  <c r="L106" i="2"/>
  <c r="J106" i="2"/>
  <c r="K106" i="2"/>
  <c r="A107" i="2"/>
  <c r="O106" i="2"/>
  <c r="B138" i="123" l="1"/>
  <c r="A140" i="123"/>
  <c r="A140" i="120"/>
  <c r="A140" i="117"/>
  <c r="B127" i="110"/>
  <c r="H127" i="110" s="1"/>
  <c r="H126" i="110"/>
  <c r="G126" i="110"/>
  <c r="H105" i="2"/>
  <c r="G105" i="2"/>
  <c r="E126" i="110"/>
  <c r="F126" i="110"/>
  <c r="I128" i="110"/>
  <c r="P128" i="110"/>
  <c r="D128" i="110"/>
  <c r="O128" i="110"/>
  <c r="C128" i="110"/>
  <c r="N128" i="110"/>
  <c r="M128" i="110"/>
  <c r="L128" i="110"/>
  <c r="J128" i="110"/>
  <c r="K128" i="110"/>
  <c r="A129" i="110"/>
  <c r="B106" i="2"/>
  <c r="D107" i="2"/>
  <c r="P107" i="2"/>
  <c r="F105" i="2"/>
  <c r="N107" i="2"/>
  <c r="K107" i="2"/>
  <c r="I107" i="2"/>
  <c r="L107" i="2"/>
  <c r="J107" i="2"/>
  <c r="M107" i="2"/>
  <c r="A108" i="2"/>
  <c r="O107" i="2"/>
  <c r="B140" i="123" l="1"/>
  <c r="A141" i="123"/>
  <c r="B139" i="123"/>
  <c r="G138" i="123"/>
  <c r="H138" i="123"/>
  <c r="F138" i="123"/>
  <c r="E138" i="123"/>
  <c r="A141" i="120"/>
  <c r="A141" i="117"/>
  <c r="F127" i="110"/>
  <c r="E127" i="110"/>
  <c r="G127" i="110"/>
  <c r="H106" i="2"/>
  <c r="G106" i="2"/>
  <c r="B128" i="110"/>
  <c r="E128" i="110" s="1"/>
  <c r="O129" i="110"/>
  <c r="C129" i="110"/>
  <c r="N129" i="110"/>
  <c r="M129" i="110"/>
  <c r="L129" i="110"/>
  <c r="K129" i="110"/>
  <c r="J129" i="110"/>
  <c r="P129" i="110"/>
  <c r="I129" i="110"/>
  <c r="D129" i="110"/>
  <c r="A130" i="110"/>
  <c r="B107" i="2"/>
  <c r="P108" i="2"/>
  <c r="D108" i="2"/>
  <c r="K108" i="2"/>
  <c r="M108" i="2"/>
  <c r="L108" i="2"/>
  <c r="J108" i="2"/>
  <c r="I108" i="2"/>
  <c r="N108" i="2"/>
  <c r="A109" i="2"/>
  <c r="O108" i="2"/>
  <c r="F106" i="2"/>
  <c r="H140" i="123" l="1"/>
  <c r="G140" i="123"/>
  <c r="F140" i="123"/>
  <c r="E140" i="123"/>
  <c r="H139" i="123"/>
  <c r="G139" i="123"/>
  <c r="F139" i="123"/>
  <c r="E139" i="123"/>
  <c r="B141" i="123"/>
  <c r="A142" i="123"/>
  <c r="A142" i="120"/>
  <c r="A142" i="117"/>
  <c r="F128" i="110"/>
  <c r="H128" i="110"/>
  <c r="G128" i="110"/>
  <c r="F107" i="2"/>
  <c r="H107" i="2"/>
  <c r="G107" i="2"/>
  <c r="B129" i="110"/>
  <c r="M130" i="110"/>
  <c r="L130" i="110"/>
  <c r="K130" i="110"/>
  <c r="J130" i="110"/>
  <c r="I130" i="110"/>
  <c r="P130" i="110"/>
  <c r="D130" i="110"/>
  <c r="O130" i="110"/>
  <c r="N130" i="110"/>
  <c r="C130" i="110"/>
  <c r="A131" i="110"/>
  <c r="B108" i="2"/>
  <c r="P109" i="2"/>
  <c r="D109" i="2"/>
  <c r="N109" i="2"/>
  <c r="I109" i="2"/>
  <c r="L109" i="2"/>
  <c r="J109" i="2"/>
  <c r="M109" i="2"/>
  <c r="A110" i="2"/>
  <c r="K109" i="2"/>
  <c r="O109" i="2"/>
  <c r="A143" i="123" l="1"/>
  <c r="B142" i="123"/>
  <c r="H141" i="123"/>
  <c r="G141" i="123"/>
  <c r="F141" i="123"/>
  <c r="E141" i="123"/>
  <c r="A143" i="120"/>
  <c r="A143" i="117"/>
  <c r="H129" i="110"/>
  <c r="G129" i="110"/>
  <c r="H108" i="2"/>
  <c r="G108" i="2"/>
  <c r="B130" i="110"/>
  <c r="F130" i="110" s="1"/>
  <c r="K131" i="110"/>
  <c r="J131" i="110"/>
  <c r="I131" i="110"/>
  <c r="P131" i="110"/>
  <c r="D131" i="110"/>
  <c r="O131" i="110"/>
  <c r="C131" i="110"/>
  <c r="N131" i="110"/>
  <c r="L131" i="110"/>
  <c r="M131" i="110"/>
  <c r="A132" i="110"/>
  <c r="E129" i="110"/>
  <c r="F129" i="110"/>
  <c r="B109" i="2"/>
  <c r="D110" i="2"/>
  <c r="P110" i="2"/>
  <c r="I110" i="2"/>
  <c r="J110" i="2"/>
  <c r="M110" i="2"/>
  <c r="K110" i="2"/>
  <c r="A111" i="2"/>
  <c r="N110" i="2"/>
  <c r="L110" i="2"/>
  <c r="O110" i="2"/>
  <c r="F108" i="2"/>
  <c r="H142" i="123" l="1"/>
  <c r="G142" i="123"/>
  <c r="E142" i="123"/>
  <c r="F142" i="123"/>
  <c r="A144" i="123"/>
  <c r="A144" i="120"/>
  <c r="A144" i="117"/>
  <c r="E130" i="110"/>
  <c r="H130" i="110"/>
  <c r="G130" i="110"/>
  <c r="H109" i="2"/>
  <c r="G109" i="2"/>
  <c r="B131" i="110"/>
  <c r="I132" i="110"/>
  <c r="P132" i="110"/>
  <c r="D132" i="110"/>
  <c r="O132" i="110"/>
  <c r="C132" i="110"/>
  <c r="N132" i="110"/>
  <c r="M132" i="110"/>
  <c r="L132" i="110"/>
  <c r="K132" i="110"/>
  <c r="J132" i="110"/>
  <c r="A133" i="110"/>
  <c r="D111" i="2"/>
  <c r="P111" i="2"/>
  <c r="B110" i="2"/>
  <c r="N111" i="2"/>
  <c r="M111" i="2"/>
  <c r="A112" i="2"/>
  <c r="K111" i="2"/>
  <c r="J111" i="2"/>
  <c r="O111" i="2"/>
  <c r="I111" i="2"/>
  <c r="L111" i="2"/>
  <c r="F109" i="2"/>
  <c r="A145" i="123" l="1"/>
  <c r="B143" i="123"/>
  <c r="A145" i="120"/>
  <c r="A145" i="117"/>
  <c r="E131" i="110"/>
  <c r="H131" i="110"/>
  <c r="G131" i="110"/>
  <c r="G110" i="2"/>
  <c r="H110" i="2"/>
  <c r="F131" i="110"/>
  <c r="B132" i="110"/>
  <c r="O133" i="110"/>
  <c r="C133" i="110"/>
  <c r="N133" i="110"/>
  <c r="M133" i="110"/>
  <c r="L133" i="110"/>
  <c r="K133" i="110"/>
  <c r="J133" i="110"/>
  <c r="P133" i="110"/>
  <c r="I133" i="110"/>
  <c r="D133" i="110"/>
  <c r="A134" i="110"/>
  <c r="B111" i="2"/>
  <c r="P112" i="2"/>
  <c r="D112" i="2"/>
  <c r="A113" i="2"/>
  <c r="L112" i="2"/>
  <c r="J112" i="2"/>
  <c r="O112" i="2"/>
  <c r="I112" i="2"/>
  <c r="N112" i="2"/>
  <c r="K112" i="2"/>
  <c r="M112" i="2"/>
  <c r="F110" i="2"/>
  <c r="A146" i="123" l="1"/>
  <c r="B145" i="123"/>
  <c r="G143" i="123"/>
  <c r="H143" i="123"/>
  <c r="F143" i="123"/>
  <c r="E143" i="123"/>
  <c r="B144" i="123"/>
  <c r="A146" i="120"/>
  <c r="A146" i="117"/>
  <c r="H132" i="110"/>
  <c r="G132" i="110"/>
  <c r="F111" i="2"/>
  <c r="H111" i="2"/>
  <c r="G111" i="2"/>
  <c r="B133" i="110"/>
  <c r="F133" i="110" s="1"/>
  <c r="M134" i="110"/>
  <c r="L134" i="110"/>
  <c r="K134" i="110"/>
  <c r="J134" i="110"/>
  <c r="I134" i="110"/>
  <c r="P134" i="110"/>
  <c r="D134" i="110"/>
  <c r="C134" i="110"/>
  <c r="O134" i="110"/>
  <c r="N134" i="110"/>
  <c r="A135" i="110"/>
  <c r="F132" i="110"/>
  <c r="E132" i="110"/>
  <c r="B112" i="2"/>
  <c r="P113" i="2"/>
  <c r="D113" i="2"/>
  <c r="N113" i="2"/>
  <c r="M113" i="2"/>
  <c r="K113" i="2"/>
  <c r="L113" i="2"/>
  <c r="J113" i="2"/>
  <c r="O113" i="2"/>
  <c r="I113" i="2"/>
  <c r="A114" i="2"/>
  <c r="H145" i="123" l="1"/>
  <c r="G145" i="123"/>
  <c r="E145" i="123"/>
  <c r="F145" i="123"/>
  <c r="H144" i="123"/>
  <c r="G144" i="123"/>
  <c r="E144" i="123"/>
  <c r="F144" i="123"/>
  <c r="A147" i="123"/>
  <c r="A147" i="120"/>
  <c r="A147" i="117"/>
  <c r="B134" i="110"/>
  <c r="E134" i="110" s="1"/>
  <c r="E133" i="110"/>
  <c r="H133" i="110"/>
  <c r="G133" i="110"/>
  <c r="H112" i="2"/>
  <c r="G112" i="2"/>
  <c r="K135" i="110"/>
  <c r="J135" i="110"/>
  <c r="I135" i="110"/>
  <c r="P135" i="110"/>
  <c r="D135" i="110"/>
  <c r="O135" i="110"/>
  <c r="C135" i="110"/>
  <c r="N135" i="110"/>
  <c r="M135" i="110"/>
  <c r="L135" i="110"/>
  <c r="A136" i="110"/>
  <c r="B113" i="2"/>
  <c r="D114" i="2"/>
  <c r="P114" i="2"/>
  <c r="F112" i="2"/>
  <c r="J114" i="2"/>
  <c r="M114" i="2"/>
  <c r="A115" i="2"/>
  <c r="O114" i="2"/>
  <c r="L114" i="2"/>
  <c r="I114" i="2"/>
  <c r="N114" i="2"/>
  <c r="K114" i="2"/>
  <c r="B146" i="123" l="1"/>
  <c r="A148" i="123"/>
  <c r="A148" i="120"/>
  <c r="A148" i="117"/>
  <c r="F134" i="110"/>
  <c r="G134" i="110"/>
  <c r="H134" i="110"/>
  <c r="H113" i="2"/>
  <c r="G113" i="2"/>
  <c r="B135" i="110"/>
  <c r="P136" i="110"/>
  <c r="D136" i="110"/>
  <c r="O136" i="110"/>
  <c r="C136" i="110"/>
  <c r="N136" i="110"/>
  <c r="M136" i="110"/>
  <c r="K136" i="110"/>
  <c r="L136" i="110"/>
  <c r="J136" i="110"/>
  <c r="I136" i="110"/>
  <c r="A137" i="110"/>
  <c r="B114" i="2"/>
  <c r="D115" i="2"/>
  <c r="P115" i="2"/>
  <c r="L115" i="2"/>
  <c r="M115" i="2"/>
  <c r="K115" i="2"/>
  <c r="J115" i="2"/>
  <c r="I115" i="2"/>
  <c r="A116" i="2"/>
  <c r="O115" i="2"/>
  <c r="N115" i="2"/>
  <c r="F113" i="2"/>
  <c r="A149" i="123" l="1"/>
  <c r="B148" i="123"/>
  <c r="B147" i="123"/>
  <c r="H146" i="123"/>
  <c r="G146" i="123"/>
  <c r="F146" i="123"/>
  <c r="E146" i="123"/>
  <c r="A149" i="120"/>
  <c r="A149" i="117"/>
  <c r="H135" i="110"/>
  <c r="G135" i="110"/>
  <c r="H114" i="2"/>
  <c r="G114" i="2"/>
  <c r="B136" i="110"/>
  <c r="N137" i="110"/>
  <c r="M137" i="110"/>
  <c r="L137" i="110"/>
  <c r="K137" i="110"/>
  <c r="I137" i="110"/>
  <c r="P137" i="110"/>
  <c r="O137" i="110"/>
  <c r="J137" i="110"/>
  <c r="D137" i="110"/>
  <c r="C137" i="110"/>
  <c r="A138" i="110"/>
  <c r="F135" i="110"/>
  <c r="E135" i="110"/>
  <c r="B115" i="2"/>
  <c r="P116" i="2"/>
  <c r="D116" i="2"/>
  <c r="O116" i="2"/>
  <c r="M116" i="2"/>
  <c r="I116" i="2"/>
  <c r="A117" i="2"/>
  <c r="J116" i="2"/>
  <c r="L116" i="2"/>
  <c r="K116" i="2"/>
  <c r="N116" i="2"/>
  <c r="F114" i="2"/>
  <c r="H147" i="123" l="1"/>
  <c r="G147" i="123"/>
  <c r="E147" i="123"/>
  <c r="F147" i="123"/>
  <c r="H148" i="123"/>
  <c r="G148" i="123"/>
  <c r="F148" i="123"/>
  <c r="E148" i="123"/>
  <c r="A150" i="123"/>
  <c r="A150" i="120"/>
  <c r="A150" i="117"/>
  <c r="H136" i="110"/>
  <c r="G136" i="110"/>
  <c r="F115" i="2"/>
  <c r="H115" i="2"/>
  <c r="G115" i="2"/>
  <c r="B137" i="110"/>
  <c r="L138" i="110"/>
  <c r="K138" i="110"/>
  <c r="J138" i="110"/>
  <c r="I138" i="110"/>
  <c r="O138" i="110"/>
  <c r="C138" i="110"/>
  <c r="N138" i="110"/>
  <c r="M138" i="110"/>
  <c r="D138" i="110"/>
  <c r="P138" i="110"/>
  <c r="A139" i="110"/>
  <c r="E136" i="110"/>
  <c r="F136" i="110"/>
  <c r="P117" i="2"/>
  <c r="D117" i="2"/>
  <c r="B116" i="2"/>
  <c r="O117" i="2"/>
  <c r="L117" i="2"/>
  <c r="N117" i="2"/>
  <c r="I117" i="2"/>
  <c r="A118" i="2"/>
  <c r="K117" i="2"/>
  <c r="M117" i="2"/>
  <c r="J117" i="2"/>
  <c r="B149" i="123" l="1"/>
  <c r="A151" i="123"/>
  <c r="A151" i="120"/>
  <c r="A151" i="117"/>
  <c r="H137" i="110"/>
  <c r="G137" i="110"/>
  <c r="M50" i="1"/>
  <c r="F57" i="3" s="1"/>
  <c r="H57" i="3" s="1"/>
  <c r="G116" i="2"/>
  <c r="H116" i="2"/>
  <c r="B138" i="110"/>
  <c r="J139" i="110"/>
  <c r="I139" i="110"/>
  <c r="P139" i="110"/>
  <c r="D139" i="110"/>
  <c r="O139" i="110"/>
  <c r="C139" i="110"/>
  <c r="M139" i="110"/>
  <c r="N139" i="110"/>
  <c r="L139" i="110"/>
  <c r="K139" i="110"/>
  <c r="A140" i="110"/>
  <c r="F137" i="110"/>
  <c r="E137" i="110"/>
  <c r="B117" i="2"/>
  <c r="D118" i="2"/>
  <c r="P118" i="2"/>
  <c r="F116" i="2"/>
  <c r="I118" i="2"/>
  <c r="A119" i="2"/>
  <c r="N118" i="2"/>
  <c r="M118" i="2"/>
  <c r="K118" i="2"/>
  <c r="O118" i="2"/>
  <c r="J118" i="2"/>
  <c r="L118" i="2"/>
  <c r="A152" i="123" l="1"/>
  <c r="B151" i="123"/>
  <c r="B150" i="123"/>
  <c r="H149" i="123"/>
  <c r="G149" i="123"/>
  <c r="F149" i="123"/>
  <c r="E149" i="123"/>
  <c r="A152" i="120"/>
  <c r="F57" i="109"/>
  <c r="A152" i="117"/>
  <c r="H138" i="110"/>
  <c r="G138" i="110"/>
  <c r="F117" i="2"/>
  <c r="H117" i="2"/>
  <c r="G117" i="2"/>
  <c r="B139" i="110"/>
  <c r="P140" i="110"/>
  <c r="D140" i="110"/>
  <c r="O140" i="110"/>
  <c r="C140" i="110"/>
  <c r="N140" i="110"/>
  <c r="M140" i="110"/>
  <c r="K140" i="110"/>
  <c r="L140" i="110"/>
  <c r="J140" i="110"/>
  <c r="I140" i="110"/>
  <c r="A141" i="110"/>
  <c r="E138" i="110"/>
  <c r="F138" i="110"/>
  <c r="D119" i="2"/>
  <c r="P119" i="2"/>
  <c r="B118" i="2"/>
  <c r="L119" i="2"/>
  <c r="O119" i="2"/>
  <c r="K119" i="2"/>
  <c r="I119" i="2"/>
  <c r="A120" i="2"/>
  <c r="M119" i="2"/>
  <c r="N119" i="2"/>
  <c r="J119" i="2"/>
  <c r="H150" i="123" l="1"/>
  <c r="G150" i="123"/>
  <c r="E150" i="123"/>
  <c r="F150" i="123"/>
  <c r="H151" i="123"/>
  <c r="G151" i="123"/>
  <c r="F151" i="123"/>
  <c r="E151" i="123"/>
  <c r="A153" i="123"/>
  <c r="A153" i="120"/>
  <c r="A153" i="117"/>
  <c r="H139" i="110"/>
  <c r="G139" i="110"/>
  <c r="H118" i="2"/>
  <c r="G118" i="2"/>
  <c r="B140" i="110"/>
  <c r="N141" i="110"/>
  <c r="M141" i="110"/>
  <c r="L141" i="110"/>
  <c r="K141" i="110"/>
  <c r="I141" i="110"/>
  <c r="C141" i="110"/>
  <c r="P141" i="110"/>
  <c r="O141" i="110"/>
  <c r="J141" i="110"/>
  <c r="D141" i="110"/>
  <c r="A142" i="110"/>
  <c r="F139" i="110"/>
  <c r="E139" i="110"/>
  <c r="B119" i="2"/>
  <c r="P120" i="2"/>
  <c r="D120" i="2"/>
  <c r="I120" i="2"/>
  <c r="M120" i="2"/>
  <c r="A121" i="2"/>
  <c r="J120" i="2"/>
  <c r="K120" i="2"/>
  <c r="O120" i="2"/>
  <c r="N120" i="2"/>
  <c r="L120" i="2"/>
  <c r="F118" i="2"/>
  <c r="A154" i="123" l="1"/>
  <c r="B152" i="123"/>
  <c r="A154" i="120"/>
  <c r="A154" i="117"/>
  <c r="H140" i="110"/>
  <c r="G140" i="110"/>
  <c r="H119" i="2"/>
  <c r="G119" i="2"/>
  <c r="B141" i="110"/>
  <c r="L142" i="110"/>
  <c r="K142" i="110"/>
  <c r="J142" i="110"/>
  <c r="I142" i="110"/>
  <c r="O142" i="110"/>
  <c r="C142" i="110"/>
  <c r="P142" i="110"/>
  <c r="N142" i="110"/>
  <c r="M142" i="110"/>
  <c r="D142" i="110"/>
  <c r="A143" i="110"/>
  <c r="E140" i="110"/>
  <c r="F140" i="110"/>
  <c r="B120" i="2"/>
  <c r="P121" i="2"/>
  <c r="D121" i="2"/>
  <c r="F119" i="2"/>
  <c r="L121" i="2"/>
  <c r="M121" i="2"/>
  <c r="K121" i="2"/>
  <c r="J121" i="2"/>
  <c r="I121" i="2"/>
  <c r="A122" i="2"/>
  <c r="O121" i="2"/>
  <c r="N121" i="2"/>
  <c r="H152" i="123" l="1"/>
  <c r="G152" i="123"/>
  <c r="F152" i="123"/>
  <c r="E152" i="123"/>
  <c r="A155" i="123"/>
  <c r="B154" i="123"/>
  <c r="B153" i="123"/>
  <c r="A155" i="120"/>
  <c r="A155" i="117"/>
  <c r="H141" i="110"/>
  <c r="G141" i="110"/>
  <c r="F120" i="2"/>
  <c r="H120" i="2"/>
  <c r="G120" i="2"/>
  <c r="B142" i="110"/>
  <c r="J143" i="110"/>
  <c r="I143" i="110"/>
  <c r="P143" i="110"/>
  <c r="D143" i="110"/>
  <c r="O143" i="110"/>
  <c r="C143" i="110"/>
  <c r="M143" i="110"/>
  <c r="N143" i="110"/>
  <c r="L143" i="110"/>
  <c r="K143" i="110"/>
  <c r="A144" i="110"/>
  <c r="F141" i="110"/>
  <c r="E141" i="110"/>
  <c r="D122" i="2"/>
  <c r="P122" i="2"/>
  <c r="B121" i="2"/>
  <c r="O122" i="2"/>
  <c r="K122" i="2"/>
  <c r="N122" i="2"/>
  <c r="A123" i="2"/>
  <c r="J122" i="2"/>
  <c r="I122" i="2"/>
  <c r="L122" i="2"/>
  <c r="M122" i="2"/>
  <c r="H153" i="123" l="1"/>
  <c r="G153" i="123"/>
  <c r="E153" i="123"/>
  <c r="F153" i="123"/>
  <c r="H154" i="123"/>
  <c r="G154" i="123"/>
  <c r="F154" i="123"/>
  <c r="E154" i="123"/>
  <c r="A156" i="123"/>
  <c r="B155" i="123"/>
  <c r="A156" i="120"/>
  <c r="A156" i="117"/>
  <c r="H142" i="110"/>
  <c r="G142" i="110"/>
  <c r="H121" i="2"/>
  <c r="G121" i="2"/>
  <c r="B143" i="110"/>
  <c r="P144" i="110"/>
  <c r="D144" i="110"/>
  <c r="O144" i="110"/>
  <c r="C144" i="110"/>
  <c r="N144" i="110"/>
  <c r="M144" i="110"/>
  <c r="K144" i="110"/>
  <c r="L144" i="110"/>
  <c r="J144" i="110"/>
  <c r="I144" i="110"/>
  <c r="A145" i="110"/>
  <c r="F142" i="110"/>
  <c r="E142" i="110"/>
  <c r="B122" i="2"/>
  <c r="D123" i="2"/>
  <c r="P123" i="2"/>
  <c r="L123" i="2"/>
  <c r="J123" i="2"/>
  <c r="K123" i="2"/>
  <c r="I123" i="2"/>
  <c r="A124" i="2"/>
  <c r="M123" i="2"/>
  <c r="O123" i="2"/>
  <c r="N123" i="2"/>
  <c r="F121" i="2"/>
  <c r="H155" i="123" l="1"/>
  <c r="G155" i="123"/>
  <c r="F155" i="123"/>
  <c r="E155" i="123"/>
  <c r="B156" i="123"/>
  <c r="A157" i="123"/>
  <c r="A157" i="120"/>
  <c r="A157" i="117"/>
  <c r="H143" i="110"/>
  <c r="G143" i="110"/>
  <c r="G122" i="2"/>
  <c r="H122" i="2"/>
  <c r="N145" i="110"/>
  <c r="M145" i="110"/>
  <c r="L145" i="110"/>
  <c r="K145" i="110"/>
  <c r="I145" i="110"/>
  <c r="D145" i="110"/>
  <c r="C145" i="110"/>
  <c r="P145" i="110"/>
  <c r="O145" i="110"/>
  <c r="J145" i="110"/>
  <c r="A146" i="110"/>
  <c r="B144" i="110"/>
  <c r="E143" i="110"/>
  <c r="F143" i="110"/>
  <c r="B123" i="2"/>
  <c r="P124" i="2"/>
  <c r="D124" i="2"/>
  <c r="F122" i="2"/>
  <c r="A125" i="2"/>
  <c r="O124" i="2"/>
  <c r="M124" i="2"/>
  <c r="N124" i="2"/>
  <c r="L124" i="2"/>
  <c r="K124" i="2"/>
  <c r="J124" i="2"/>
  <c r="I124" i="2"/>
  <c r="A158" i="123" l="1"/>
  <c r="B157" i="123"/>
  <c r="H156" i="123"/>
  <c r="G156" i="123"/>
  <c r="E156" i="123"/>
  <c r="F156" i="123"/>
  <c r="A158" i="120"/>
  <c r="A158" i="117"/>
  <c r="H144" i="110"/>
  <c r="G144" i="110"/>
  <c r="H123" i="2"/>
  <c r="G123" i="2"/>
  <c r="B145" i="110"/>
  <c r="F144" i="110"/>
  <c r="E144" i="110"/>
  <c r="L146" i="110"/>
  <c r="K146" i="110"/>
  <c r="J146" i="110"/>
  <c r="I146" i="110"/>
  <c r="O146" i="110"/>
  <c r="C146" i="110"/>
  <c r="P146" i="110"/>
  <c r="N146" i="110"/>
  <c r="M146" i="110"/>
  <c r="D146" i="110"/>
  <c r="A147" i="110"/>
  <c r="P125" i="2"/>
  <c r="D125" i="2"/>
  <c r="B124" i="2"/>
  <c r="F123" i="2"/>
  <c r="M125" i="2"/>
  <c r="N125" i="2"/>
  <c r="L125" i="2"/>
  <c r="K125" i="2"/>
  <c r="A126" i="2"/>
  <c r="J125" i="2"/>
  <c r="O125" i="2"/>
  <c r="I125" i="2"/>
  <c r="H157" i="123" l="1"/>
  <c r="G157" i="123"/>
  <c r="F157" i="123"/>
  <c r="E157" i="123"/>
  <c r="A159" i="123"/>
  <c r="A159" i="120"/>
  <c r="S57" i="115"/>
  <c r="K57" i="115"/>
  <c r="O57" i="115"/>
  <c r="M57" i="115"/>
  <c r="Q57" i="115"/>
  <c r="Y57" i="115"/>
  <c r="W57" i="115"/>
  <c r="U57" i="115"/>
  <c r="A159" i="117"/>
  <c r="B146" i="110"/>
  <c r="H146" i="110" s="1"/>
  <c r="H145" i="110"/>
  <c r="G145" i="110"/>
  <c r="H124" i="2"/>
  <c r="G124" i="2"/>
  <c r="J147" i="110"/>
  <c r="I147" i="110"/>
  <c r="P147" i="110"/>
  <c r="D147" i="110"/>
  <c r="O147" i="110"/>
  <c r="C147" i="110"/>
  <c r="M147" i="110"/>
  <c r="K147" i="110"/>
  <c r="N147" i="110"/>
  <c r="L147" i="110"/>
  <c r="A148" i="110"/>
  <c r="F145" i="110"/>
  <c r="E145" i="110"/>
  <c r="B125" i="2"/>
  <c r="D126" i="2"/>
  <c r="P126" i="2"/>
  <c r="F124" i="2"/>
  <c r="M126" i="2"/>
  <c r="K126" i="2"/>
  <c r="J126" i="2"/>
  <c r="L126" i="2"/>
  <c r="I126" i="2"/>
  <c r="A127" i="2"/>
  <c r="O126" i="2"/>
  <c r="N126" i="2"/>
  <c r="B158" i="123" l="1"/>
  <c r="A160" i="123"/>
  <c r="A160" i="120"/>
  <c r="A160" i="117"/>
  <c r="E146" i="110"/>
  <c r="F146" i="110"/>
  <c r="G146" i="110"/>
  <c r="H125" i="2"/>
  <c r="G125" i="2"/>
  <c r="B147" i="110"/>
  <c r="P148" i="110"/>
  <c r="D148" i="110"/>
  <c r="O148" i="110"/>
  <c r="C148" i="110"/>
  <c r="N148" i="110"/>
  <c r="M148" i="110"/>
  <c r="K148" i="110"/>
  <c r="L148" i="110"/>
  <c r="J148" i="110"/>
  <c r="I148" i="110"/>
  <c r="A149" i="110"/>
  <c r="D127" i="2"/>
  <c r="P127" i="2"/>
  <c r="B126" i="2"/>
  <c r="F125" i="2"/>
  <c r="I127" i="2"/>
  <c r="N127" i="2"/>
  <c r="A128" i="2"/>
  <c r="O127" i="2"/>
  <c r="L127" i="2"/>
  <c r="M127" i="2"/>
  <c r="K127" i="2"/>
  <c r="J127" i="2"/>
  <c r="B159" i="123" l="1"/>
  <c r="A161" i="123"/>
  <c r="B160" i="123"/>
  <c r="H158" i="123"/>
  <c r="G158" i="123"/>
  <c r="F158" i="123"/>
  <c r="E158" i="123"/>
  <c r="A161" i="120"/>
  <c r="A161" i="117"/>
  <c r="H147" i="110"/>
  <c r="G147" i="110"/>
  <c r="H126" i="2"/>
  <c r="G126" i="2"/>
  <c r="N149" i="110"/>
  <c r="M149" i="110"/>
  <c r="L149" i="110"/>
  <c r="K149" i="110"/>
  <c r="I149" i="110"/>
  <c r="J149" i="110"/>
  <c r="D149" i="110"/>
  <c r="C149" i="110"/>
  <c r="P149" i="110"/>
  <c r="O149" i="110"/>
  <c r="A150" i="110"/>
  <c r="B148" i="110"/>
  <c r="E147" i="110"/>
  <c r="F147" i="110"/>
  <c r="B127" i="2"/>
  <c r="P128" i="2"/>
  <c r="D128" i="2"/>
  <c r="F126" i="2"/>
  <c r="L128" i="2"/>
  <c r="I128" i="2"/>
  <c r="K128" i="2"/>
  <c r="A129" i="2"/>
  <c r="J128" i="2"/>
  <c r="O128" i="2"/>
  <c r="N128" i="2"/>
  <c r="M128" i="2"/>
  <c r="H160" i="123" l="1"/>
  <c r="G160" i="123"/>
  <c r="F160" i="123"/>
  <c r="E160" i="123"/>
  <c r="A162" i="123"/>
  <c r="H159" i="123"/>
  <c r="G159" i="123"/>
  <c r="E159" i="123"/>
  <c r="F159" i="123"/>
  <c r="A162" i="120"/>
  <c r="A162" i="117"/>
  <c r="B149" i="110"/>
  <c r="F149" i="110" s="1"/>
  <c r="H148" i="110"/>
  <c r="G148" i="110"/>
  <c r="H127" i="2"/>
  <c r="G127" i="2"/>
  <c r="F148" i="110"/>
  <c r="E148" i="110"/>
  <c r="L150" i="110"/>
  <c r="K150" i="110"/>
  <c r="J150" i="110"/>
  <c r="I150" i="110"/>
  <c r="O150" i="110"/>
  <c r="C150" i="110"/>
  <c r="P150" i="110"/>
  <c r="N150" i="110"/>
  <c r="M150" i="110"/>
  <c r="D150" i="110"/>
  <c r="A151" i="110"/>
  <c r="B128" i="2"/>
  <c r="P129" i="2"/>
  <c r="D129" i="2"/>
  <c r="O129" i="2"/>
  <c r="L129" i="2"/>
  <c r="J129" i="2"/>
  <c r="N129" i="2"/>
  <c r="K129" i="2"/>
  <c r="I129" i="2"/>
  <c r="M129" i="2"/>
  <c r="A130" i="2"/>
  <c r="F127" i="2"/>
  <c r="B161" i="123" l="1"/>
  <c r="A163" i="123"/>
  <c r="A163" i="120"/>
  <c r="A163" i="117"/>
  <c r="G149" i="110"/>
  <c r="E149" i="110"/>
  <c r="H149" i="110"/>
  <c r="B150" i="110"/>
  <c r="H150" i="110" s="1"/>
  <c r="F128" i="2"/>
  <c r="G128" i="2"/>
  <c r="H128" i="2"/>
  <c r="J151" i="110"/>
  <c r="I151" i="110"/>
  <c r="P151" i="110"/>
  <c r="D151" i="110"/>
  <c r="O151" i="110"/>
  <c r="C151" i="110"/>
  <c r="M151" i="110"/>
  <c r="L151" i="110"/>
  <c r="K151" i="110"/>
  <c r="N151" i="110"/>
  <c r="A152" i="110"/>
  <c r="B129" i="2"/>
  <c r="D130" i="2"/>
  <c r="P130" i="2"/>
  <c r="K130" i="2"/>
  <c r="J130" i="2"/>
  <c r="O130" i="2"/>
  <c r="I130" i="2"/>
  <c r="N130" i="2"/>
  <c r="A131" i="2"/>
  <c r="M130" i="2"/>
  <c r="L130" i="2"/>
  <c r="B162" i="123" l="1"/>
  <c r="A164" i="123"/>
  <c r="H161" i="123"/>
  <c r="G161" i="123"/>
  <c r="F161" i="123"/>
  <c r="E161" i="123"/>
  <c r="A164" i="120"/>
  <c r="A164" i="117"/>
  <c r="E150" i="110"/>
  <c r="F150" i="110"/>
  <c r="G150" i="110"/>
  <c r="H129" i="2"/>
  <c r="G129" i="2"/>
  <c r="B151" i="110"/>
  <c r="P152" i="110"/>
  <c r="D152" i="110"/>
  <c r="O152" i="110"/>
  <c r="C152" i="110"/>
  <c r="N152" i="110"/>
  <c r="M152" i="110"/>
  <c r="K152" i="110"/>
  <c r="L152" i="110"/>
  <c r="J152" i="110"/>
  <c r="I152" i="110"/>
  <c r="A153" i="110"/>
  <c r="B130" i="2"/>
  <c r="D131" i="2"/>
  <c r="P131" i="2"/>
  <c r="F129" i="2"/>
  <c r="M131" i="2"/>
  <c r="I131" i="2"/>
  <c r="L131" i="2"/>
  <c r="K131" i="2"/>
  <c r="A132" i="2"/>
  <c r="J131" i="2"/>
  <c r="O131" i="2"/>
  <c r="N131" i="2"/>
  <c r="A165" i="123" l="1"/>
  <c r="B164" i="123"/>
  <c r="B163" i="123"/>
  <c r="H162" i="123"/>
  <c r="G162" i="123"/>
  <c r="E162" i="123"/>
  <c r="F162" i="123"/>
  <c r="A165" i="120"/>
  <c r="A165" i="117"/>
  <c r="H151" i="110"/>
  <c r="G151" i="110"/>
  <c r="H130" i="2"/>
  <c r="G130" i="2"/>
  <c r="B152" i="110"/>
  <c r="N153" i="110"/>
  <c r="M153" i="110"/>
  <c r="L153" i="110"/>
  <c r="K153" i="110"/>
  <c r="I153" i="110"/>
  <c r="O153" i="110"/>
  <c r="J153" i="110"/>
  <c r="D153" i="110"/>
  <c r="C153" i="110"/>
  <c r="P153" i="110"/>
  <c r="A154" i="110"/>
  <c r="F151" i="110"/>
  <c r="E151" i="110"/>
  <c r="B131" i="2"/>
  <c r="P132" i="2"/>
  <c r="D132" i="2"/>
  <c r="J132" i="2"/>
  <c r="I132" i="2"/>
  <c r="K132" i="2"/>
  <c r="A133" i="2"/>
  <c r="O132" i="2"/>
  <c r="M132" i="2"/>
  <c r="N132" i="2"/>
  <c r="L132" i="2"/>
  <c r="F130" i="2"/>
  <c r="H164" i="123" l="1"/>
  <c r="G164" i="123"/>
  <c r="F164" i="123"/>
  <c r="E164" i="123"/>
  <c r="H163" i="123"/>
  <c r="G163" i="123"/>
  <c r="F163" i="123"/>
  <c r="E163" i="123"/>
  <c r="B165" i="123"/>
  <c r="A166" i="123"/>
  <c r="A166" i="120"/>
  <c r="A166" i="117"/>
  <c r="H152" i="110"/>
  <c r="G152" i="110"/>
  <c r="E152" i="110"/>
  <c r="F152" i="110"/>
  <c r="F131" i="2"/>
  <c r="H131" i="2"/>
  <c r="G131" i="2"/>
  <c r="B153" i="110"/>
  <c r="L154" i="110"/>
  <c r="K154" i="110"/>
  <c r="J154" i="110"/>
  <c r="I154" i="110"/>
  <c r="O154" i="110"/>
  <c r="C154" i="110"/>
  <c r="P154" i="110"/>
  <c r="N154" i="110"/>
  <c r="M154" i="110"/>
  <c r="D154" i="110"/>
  <c r="A155" i="110"/>
  <c r="B132" i="2"/>
  <c r="P133" i="2"/>
  <c r="D133" i="2"/>
  <c r="M133" i="2"/>
  <c r="J133" i="2"/>
  <c r="L133" i="2"/>
  <c r="A134" i="2"/>
  <c r="O133" i="2"/>
  <c r="K133" i="2"/>
  <c r="I133" i="2"/>
  <c r="N133" i="2"/>
  <c r="H165" i="123" l="1"/>
  <c r="G165" i="123"/>
  <c r="E165" i="123"/>
  <c r="F165" i="123"/>
  <c r="A167" i="123"/>
  <c r="B166" i="123"/>
  <c r="A167" i="120"/>
  <c r="A167" i="117"/>
  <c r="H153" i="110"/>
  <c r="G153" i="110"/>
  <c r="H132" i="2"/>
  <c r="G132" i="2"/>
  <c r="B154" i="110"/>
  <c r="J155" i="110"/>
  <c r="I155" i="110"/>
  <c r="P155" i="110"/>
  <c r="D155" i="110"/>
  <c r="O155" i="110"/>
  <c r="C155" i="110"/>
  <c r="M155" i="110"/>
  <c r="N155" i="110"/>
  <c r="L155" i="110"/>
  <c r="K155" i="110"/>
  <c r="A156" i="110"/>
  <c r="F153" i="110"/>
  <c r="E153" i="110"/>
  <c r="D134" i="2"/>
  <c r="P134" i="2"/>
  <c r="B133" i="2"/>
  <c r="N134" i="2"/>
  <c r="L134" i="2"/>
  <c r="I134" i="2"/>
  <c r="O134" i="2"/>
  <c r="K134" i="2"/>
  <c r="M134" i="2"/>
  <c r="J134" i="2"/>
  <c r="A135" i="2"/>
  <c r="F132" i="2"/>
  <c r="H166" i="123" l="1"/>
  <c r="G166" i="123"/>
  <c r="F166" i="123"/>
  <c r="E166" i="123"/>
  <c r="A168" i="123"/>
  <c r="A168" i="120"/>
  <c r="A168" i="117"/>
  <c r="H154" i="110"/>
  <c r="G154" i="110"/>
  <c r="E154" i="110"/>
  <c r="F154" i="110"/>
  <c r="F133" i="2"/>
  <c r="H133" i="2"/>
  <c r="G133" i="2"/>
  <c r="P156" i="110"/>
  <c r="D156" i="110"/>
  <c r="O156" i="110"/>
  <c r="C156" i="110"/>
  <c r="N156" i="110"/>
  <c r="M156" i="110"/>
  <c r="K156" i="110"/>
  <c r="L156" i="110"/>
  <c r="J156" i="110"/>
  <c r="I156" i="110"/>
  <c r="A157" i="110"/>
  <c r="B155" i="110"/>
  <c r="B134" i="2"/>
  <c r="D135" i="2"/>
  <c r="P135" i="2"/>
  <c r="N135" i="2"/>
  <c r="A136" i="2"/>
  <c r="J135" i="2"/>
  <c r="O135" i="2"/>
  <c r="L135" i="2"/>
  <c r="M135" i="2"/>
  <c r="I135" i="2"/>
  <c r="K135" i="2"/>
  <c r="B167" i="123" l="1"/>
  <c r="A169" i="123"/>
  <c r="A169" i="120"/>
  <c r="A169" i="117"/>
  <c r="H155" i="110"/>
  <c r="G155" i="110"/>
  <c r="G134" i="2"/>
  <c r="H134" i="2"/>
  <c r="E155" i="110"/>
  <c r="F155" i="110"/>
  <c r="N157" i="110"/>
  <c r="M157" i="110"/>
  <c r="L157" i="110"/>
  <c r="K157" i="110"/>
  <c r="I157" i="110"/>
  <c r="P157" i="110"/>
  <c r="O157" i="110"/>
  <c r="J157" i="110"/>
  <c r="D157" i="110"/>
  <c r="C157" i="110"/>
  <c r="A158" i="110"/>
  <c r="B156" i="110"/>
  <c r="B135" i="2"/>
  <c r="P136" i="2"/>
  <c r="D136" i="2"/>
  <c r="M136" i="2"/>
  <c r="A137" i="2"/>
  <c r="N136" i="2"/>
  <c r="O136" i="2"/>
  <c r="L136" i="2"/>
  <c r="J136" i="2"/>
  <c r="I136" i="2"/>
  <c r="K136" i="2"/>
  <c r="F134" i="2"/>
  <c r="B168" i="123" l="1"/>
  <c r="A170" i="123"/>
  <c r="H167" i="123"/>
  <c r="G167" i="123"/>
  <c r="F167" i="123"/>
  <c r="E167" i="123"/>
  <c r="A170" i="120"/>
  <c r="A170" i="117"/>
  <c r="B157" i="110"/>
  <c r="H157" i="110" s="1"/>
  <c r="H156" i="110"/>
  <c r="G156" i="110"/>
  <c r="H135" i="2"/>
  <c r="G135" i="2"/>
  <c r="F156" i="110"/>
  <c r="E156" i="110"/>
  <c r="L158" i="110"/>
  <c r="K158" i="110"/>
  <c r="J158" i="110"/>
  <c r="I158" i="110"/>
  <c r="O158" i="110"/>
  <c r="C158" i="110"/>
  <c r="P158" i="110"/>
  <c r="N158" i="110"/>
  <c r="D158" i="110"/>
  <c r="M158" i="110"/>
  <c r="A159" i="110"/>
  <c r="P137" i="2"/>
  <c r="D137" i="2"/>
  <c r="B136" i="2"/>
  <c r="I137" i="2"/>
  <c r="A138" i="2"/>
  <c r="J137" i="2"/>
  <c r="K137" i="2"/>
  <c r="O137" i="2"/>
  <c r="N137" i="2"/>
  <c r="M137" i="2"/>
  <c r="L137" i="2"/>
  <c r="F135" i="2"/>
  <c r="A171" i="123" l="1"/>
  <c r="B170" i="123"/>
  <c r="B169" i="123"/>
  <c r="H168" i="123"/>
  <c r="G168" i="123"/>
  <c r="E168" i="123"/>
  <c r="F168" i="123"/>
  <c r="A171" i="120"/>
  <c r="A171" i="117"/>
  <c r="E157" i="110"/>
  <c r="F157" i="110"/>
  <c r="G157" i="110"/>
  <c r="B158" i="110"/>
  <c r="H158" i="110" s="1"/>
  <c r="H136" i="2"/>
  <c r="G136" i="2"/>
  <c r="J159" i="110"/>
  <c r="I159" i="110"/>
  <c r="P159" i="110"/>
  <c r="D159" i="110"/>
  <c r="O159" i="110"/>
  <c r="C159" i="110"/>
  <c r="M159" i="110"/>
  <c r="N159" i="110"/>
  <c r="L159" i="110"/>
  <c r="K159" i="110"/>
  <c r="A160" i="110"/>
  <c r="B137" i="2"/>
  <c r="D138" i="2"/>
  <c r="P138" i="2"/>
  <c r="O138" i="2"/>
  <c r="N138" i="2"/>
  <c r="J138" i="2"/>
  <c r="M138" i="2"/>
  <c r="A139" i="2"/>
  <c r="L138" i="2"/>
  <c r="K138" i="2"/>
  <c r="I138" i="2"/>
  <c r="F136" i="2"/>
  <c r="H169" i="123" l="1"/>
  <c r="G169" i="123"/>
  <c r="F169" i="123"/>
  <c r="E169" i="123"/>
  <c r="B171" i="123"/>
  <c r="A172" i="123"/>
  <c r="H170" i="123"/>
  <c r="G170" i="123"/>
  <c r="F170" i="123"/>
  <c r="E170" i="123"/>
  <c r="A172" i="120"/>
  <c r="A172" i="117"/>
  <c r="E158" i="110"/>
  <c r="F158" i="110"/>
  <c r="G158" i="110"/>
  <c r="H137" i="2"/>
  <c r="G137" i="2"/>
  <c r="B159" i="110"/>
  <c r="P160" i="110"/>
  <c r="D160" i="110"/>
  <c r="O160" i="110"/>
  <c r="C160" i="110"/>
  <c r="N160" i="110"/>
  <c r="M160" i="110"/>
  <c r="K160" i="110"/>
  <c r="I160" i="110"/>
  <c r="L160" i="110"/>
  <c r="J160" i="110"/>
  <c r="A161" i="110"/>
  <c r="D139" i="2"/>
  <c r="P139" i="2"/>
  <c r="B138" i="2"/>
  <c r="A140" i="2"/>
  <c r="O139" i="2"/>
  <c r="M139" i="2"/>
  <c r="N139" i="2"/>
  <c r="J139" i="2"/>
  <c r="L139" i="2"/>
  <c r="K139" i="2"/>
  <c r="I139" i="2"/>
  <c r="F137" i="2"/>
  <c r="H171" i="123" l="1"/>
  <c r="G171" i="123"/>
  <c r="E171" i="123"/>
  <c r="F171" i="123"/>
  <c r="A173" i="123"/>
  <c r="B172" i="123"/>
  <c r="A173" i="120"/>
  <c r="A173" i="117"/>
  <c r="H159" i="110"/>
  <c r="G159" i="110"/>
  <c r="H138" i="2"/>
  <c r="G138" i="2"/>
  <c r="N161" i="110"/>
  <c r="M161" i="110"/>
  <c r="L161" i="110"/>
  <c r="K161" i="110"/>
  <c r="J161" i="110"/>
  <c r="I161" i="110"/>
  <c r="P161" i="110"/>
  <c r="O161" i="110"/>
  <c r="D161" i="110"/>
  <c r="C161" i="110"/>
  <c r="A162" i="110"/>
  <c r="B160" i="110"/>
  <c r="F159" i="110"/>
  <c r="E159" i="110"/>
  <c r="B139" i="2"/>
  <c r="P140" i="2"/>
  <c r="D140" i="2"/>
  <c r="F138" i="2"/>
  <c r="M140" i="2"/>
  <c r="O140" i="2"/>
  <c r="A141" i="2"/>
  <c r="L140" i="2"/>
  <c r="K140" i="2"/>
  <c r="N140" i="2"/>
  <c r="J140" i="2"/>
  <c r="I140" i="2"/>
  <c r="H172" i="123" l="1"/>
  <c r="G172" i="123"/>
  <c r="F172" i="123"/>
  <c r="E172" i="123"/>
  <c r="A174" i="123"/>
  <c r="A174" i="120"/>
  <c r="A174" i="117"/>
  <c r="B161" i="110"/>
  <c r="E161" i="110" s="1"/>
  <c r="H160" i="110"/>
  <c r="G160" i="110"/>
  <c r="H139" i="2"/>
  <c r="G139" i="2"/>
  <c r="E160" i="110"/>
  <c r="F160" i="110"/>
  <c r="L162" i="110"/>
  <c r="K162" i="110"/>
  <c r="J162" i="110"/>
  <c r="I162" i="110"/>
  <c r="P162" i="110"/>
  <c r="D162" i="110"/>
  <c r="O162" i="110"/>
  <c r="C162" i="110"/>
  <c r="N162" i="110"/>
  <c r="M162" i="110"/>
  <c r="A163" i="110"/>
  <c r="B140" i="2"/>
  <c r="P141" i="2"/>
  <c r="D141" i="2"/>
  <c r="O141" i="2"/>
  <c r="N141" i="2"/>
  <c r="K141" i="2"/>
  <c r="M141" i="2"/>
  <c r="J141" i="2"/>
  <c r="L141" i="2"/>
  <c r="I141" i="2"/>
  <c r="A142" i="2"/>
  <c r="F139" i="2"/>
  <c r="B173" i="123" l="1"/>
  <c r="A175" i="123"/>
  <c r="A175" i="120"/>
  <c r="A175" i="117"/>
  <c r="G161" i="110"/>
  <c r="F161" i="110"/>
  <c r="H161" i="110"/>
  <c r="B162" i="110"/>
  <c r="F162" i="110" s="1"/>
  <c r="G140" i="2"/>
  <c r="H140" i="2"/>
  <c r="J163" i="110"/>
  <c r="I163" i="110"/>
  <c r="P163" i="110"/>
  <c r="D163" i="110"/>
  <c r="O163" i="110"/>
  <c r="C163" i="110"/>
  <c r="N163" i="110"/>
  <c r="M163" i="110"/>
  <c r="L163" i="110"/>
  <c r="K163" i="110"/>
  <c r="A164" i="110"/>
  <c r="D142" i="2"/>
  <c r="P142" i="2"/>
  <c r="B141" i="2"/>
  <c r="F140" i="2"/>
  <c r="I142" i="2"/>
  <c r="A143" i="2"/>
  <c r="O142" i="2"/>
  <c r="N142" i="2"/>
  <c r="K142" i="2"/>
  <c r="J142" i="2"/>
  <c r="M142" i="2"/>
  <c r="L142" i="2"/>
  <c r="A176" i="123" l="1"/>
  <c r="B175" i="123"/>
  <c r="B174" i="123"/>
  <c r="H173" i="123"/>
  <c r="G173" i="123"/>
  <c r="F173" i="123"/>
  <c r="E173" i="123"/>
  <c r="A176" i="120"/>
  <c r="A176" i="117"/>
  <c r="G162" i="110"/>
  <c r="E162" i="110"/>
  <c r="H162" i="110"/>
  <c r="H141" i="2"/>
  <c r="G141" i="2"/>
  <c r="B163" i="110"/>
  <c r="P164" i="110"/>
  <c r="D164" i="110"/>
  <c r="O164" i="110"/>
  <c r="C164" i="110"/>
  <c r="N164" i="110"/>
  <c r="M164" i="110"/>
  <c r="L164" i="110"/>
  <c r="K164" i="110"/>
  <c r="J164" i="110"/>
  <c r="I164" i="110"/>
  <c r="A165" i="110"/>
  <c r="B142" i="2"/>
  <c r="D143" i="2"/>
  <c r="P143" i="2"/>
  <c r="F141" i="2"/>
  <c r="N143" i="2"/>
  <c r="M143" i="2"/>
  <c r="J143" i="2"/>
  <c r="I143" i="2"/>
  <c r="L143" i="2"/>
  <c r="O143" i="2"/>
  <c r="A144" i="2"/>
  <c r="K143" i="2"/>
  <c r="H174" i="123" l="1"/>
  <c r="G174" i="123"/>
  <c r="E174" i="123"/>
  <c r="F174" i="123"/>
  <c r="H175" i="123"/>
  <c r="G175" i="123"/>
  <c r="F175" i="123"/>
  <c r="E175" i="123"/>
  <c r="A177" i="123"/>
  <c r="B176" i="123"/>
  <c r="A177" i="120"/>
  <c r="A177" i="117"/>
  <c r="H163" i="110"/>
  <c r="G163" i="110"/>
  <c r="H142" i="2"/>
  <c r="G142" i="2"/>
  <c r="B164" i="110"/>
  <c r="N165" i="110"/>
  <c r="M165" i="110"/>
  <c r="L165" i="110"/>
  <c r="K165" i="110"/>
  <c r="J165" i="110"/>
  <c r="I165" i="110"/>
  <c r="P165" i="110"/>
  <c r="O165" i="110"/>
  <c r="D165" i="110"/>
  <c r="C165" i="110"/>
  <c r="A166" i="110"/>
  <c r="E163" i="110"/>
  <c r="F163" i="110"/>
  <c r="B143" i="2"/>
  <c r="P144" i="2"/>
  <c r="D144" i="2"/>
  <c r="A145" i="2"/>
  <c r="O144" i="2"/>
  <c r="I144" i="2"/>
  <c r="N144" i="2"/>
  <c r="L144" i="2"/>
  <c r="M144" i="2"/>
  <c r="K144" i="2"/>
  <c r="J144" i="2"/>
  <c r="F142" i="2"/>
  <c r="G176" i="123" l="1"/>
  <c r="H176" i="123"/>
  <c r="E176" i="123"/>
  <c r="F176" i="123"/>
  <c r="B177" i="123"/>
  <c r="A178" i="123"/>
  <c r="A178" i="120"/>
  <c r="A178" i="117"/>
  <c r="B165" i="110"/>
  <c r="E165" i="110" s="1"/>
  <c r="H164" i="110"/>
  <c r="G164" i="110"/>
  <c r="F143" i="2"/>
  <c r="H143" i="2"/>
  <c r="G143" i="2"/>
  <c r="L166" i="110"/>
  <c r="K166" i="110"/>
  <c r="J166" i="110"/>
  <c r="I166" i="110"/>
  <c r="P166" i="110"/>
  <c r="D166" i="110"/>
  <c r="O166" i="110"/>
  <c r="C166" i="110"/>
  <c r="N166" i="110"/>
  <c r="M166" i="110"/>
  <c r="A167" i="110"/>
  <c r="E164" i="110"/>
  <c r="F164" i="110"/>
  <c r="P145" i="2"/>
  <c r="D145" i="2"/>
  <c r="B144" i="2"/>
  <c r="L145" i="2"/>
  <c r="A146" i="2"/>
  <c r="O145" i="2"/>
  <c r="K145" i="2"/>
  <c r="I145" i="2"/>
  <c r="N145" i="2"/>
  <c r="J145" i="2"/>
  <c r="M145" i="2"/>
  <c r="A179" i="123" l="1"/>
  <c r="B178" i="123"/>
  <c r="H177" i="123"/>
  <c r="G177" i="123"/>
  <c r="F177" i="123"/>
  <c r="E177" i="123"/>
  <c r="A179" i="120"/>
  <c r="A179" i="117"/>
  <c r="F165" i="110"/>
  <c r="G165" i="110"/>
  <c r="H165" i="110"/>
  <c r="H144" i="2"/>
  <c r="G144" i="2"/>
  <c r="B166" i="110"/>
  <c r="J167" i="110"/>
  <c r="I167" i="110"/>
  <c r="P167" i="110"/>
  <c r="D167" i="110"/>
  <c r="O167" i="110"/>
  <c r="C167" i="110"/>
  <c r="N167" i="110"/>
  <c r="M167" i="110"/>
  <c r="L167" i="110"/>
  <c r="K167" i="110"/>
  <c r="A168" i="110"/>
  <c r="D146" i="2"/>
  <c r="P146" i="2"/>
  <c r="B145" i="2"/>
  <c r="M146" i="2"/>
  <c r="J146" i="2"/>
  <c r="L146" i="2"/>
  <c r="I146" i="2"/>
  <c r="K146" i="2"/>
  <c r="O146" i="2"/>
  <c r="A147" i="2"/>
  <c r="N146" i="2"/>
  <c r="F144" i="2"/>
  <c r="H178" i="123" l="1"/>
  <c r="G178" i="123"/>
  <c r="F178" i="123"/>
  <c r="E178" i="123"/>
  <c r="A180" i="123"/>
  <c r="A180" i="120"/>
  <c r="A180" i="117"/>
  <c r="H166" i="110"/>
  <c r="G166" i="110"/>
  <c r="H145" i="2"/>
  <c r="G145" i="2"/>
  <c r="B167" i="110"/>
  <c r="P168" i="110"/>
  <c r="D168" i="110"/>
  <c r="O168" i="110"/>
  <c r="C168" i="110"/>
  <c r="N168" i="110"/>
  <c r="M168" i="110"/>
  <c r="L168" i="110"/>
  <c r="K168" i="110"/>
  <c r="J168" i="110"/>
  <c r="I168" i="110"/>
  <c r="A169" i="110"/>
  <c r="E166" i="110"/>
  <c r="F166" i="110"/>
  <c r="B146" i="2"/>
  <c r="D147" i="2"/>
  <c r="P147" i="2"/>
  <c r="F145" i="2"/>
  <c r="N147" i="2"/>
  <c r="M147" i="2"/>
  <c r="J147" i="2"/>
  <c r="O147" i="2"/>
  <c r="I147" i="2"/>
  <c r="L147" i="2"/>
  <c r="A148" i="2"/>
  <c r="K147" i="2"/>
  <c r="A181" i="123" l="1"/>
  <c r="B179" i="123"/>
  <c r="A181" i="120"/>
  <c r="A181" i="117"/>
  <c r="H167" i="110"/>
  <c r="G167" i="110"/>
  <c r="G146" i="2"/>
  <c r="H146" i="2"/>
  <c r="N169" i="110"/>
  <c r="M169" i="110"/>
  <c r="L169" i="110"/>
  <c r="K169" i="110"/>
  <c r="J169" i="110"/>
  <c r="I169" i="110"/>
  <c r="D169" i="110"/>
  <c r="C169" i="110"/>
  <c r="P169" i="110"/>
  <c r="O169" i="110"/>
  <c r="A170" i="110"/>
  <c r="B168" i="110"/>
  <c r="E167" i="110"/>
  <c r="F167" i="110"/>
  <c r="B147" i="2"/>
  <c r="P148" i="2"/>
  <c r="D148" i="2"/>
  <c r="M148" i="2"/>
  <c r="L148" i="2"/>
  <c r="A149" i="2"/>
  <c r="K148" i="2"/>
  <c r="I148" i="2"/>
  <c r="O148" i="2"/>
  <c r="J148" i="2"/>
  <c r="N148" i="2"/>
  <c r="F146" i="2"/>
  <c r="G179" i="123" l="1"/>
  <c r="H179" i="123"/>
  <c r="F179" i="123"/>
  <c r="E179" i="123"/>
  <c r="A182" i="123"/>
  <c r="B180" i="123"/>
  <c r="A182" i="120"/>
  <c r="A182" i="117"/>
  <c r="B169" i="110"/>
  <c r="F169" i="110" s="1"/>
  <c r="H168" i="110"/>
  <c r="G168" i="110"/>
  <c r="F147" i="2"/>
  <c r="H147" i="2"/>
  <c r="G147" i="2"/>
  <c r="E168" i="110"/>
  <c r="F168" i="110"/>
  <c r="L170" i="110"/>
  <c r="K170" i="110"/>
  <c r="J170" i="110"/>
  <c r="I170" i="110"/>
  <c r="P170" i="110"/>
  <c r="D170" i="110"/>
  <c r="O170" i="110"/>
  <c r="C170" i="110"/>
  <c r="N170" i="110"/>
  <c r="M170" i="110"/>
  <c r="A171" i="110"/>
  <c r="B148" i="2"/>
  <c r="P149" i="2"/>
  <c r="D149" i="2"/>
  <c r="O149" i="2"/>
  <c r="M149" i="2"/>
  <c r="I149" i="2"/>
  <c r="A150" i="2"/>
  <c r="N149" i="2"/>
  <c r="K149" i="2"/>
  <c r="J149" i="2"/>
  <c r="L149" i="2"/>
  <c r="H180" i="123" l="1"/>
  <c r="G180" i="123"/>
  <c r="E180" i="123"/>
  <c r="F180" i="123"/>
  <c r="B181" i="123"/>
  <c r="A183" i="123"/>
  <c r="A183" i="120"/>
  <c r="A183" i="117"/>
  <c r="E169" i="110"/>
  <c r="G169" i="110"/>
  <c r="H169" i="110"/>
  <c r="B170" i="110"/>
  <c r="F170" i="110" s="1"/>
  <c r="H148" i="2"/>
  <c r="G148" i="2"/>
  <c r="J171" i="110"/>
  <c r="I171" i="110"/>
  <c r="P171" i="110"/>
  <c r="D171" i="110"/>
  <c r="O171" i="110"/>
  <c r="C171" i="110"/>
  <c r="N171" i="110"/>
  <c r="M171" i="110"/>
  <c r="L171" i="110"/>
  <c r="K171" i="110"/>
  <c r="A172" i="110"/>
  <c r="B149" i="2"/>
  <c r="D150" i="2"/>
  <c r="P150" i="2"/>
  <c r="M150" i="2"/>
  <c r="O150" i="2"/>
  <c r="I150" i="2"/>
  <c r="L150" i="2"/>
  <c r="J150" i="2"/>
  <c r="A151" i="2"/>
  <c r="K150" i="2"/>
  <c r="N150" i="2"/>
  <c r="F148" i="2"/>
  <c r="H181" i="123" l="1"/>
  <c r="G181" i="123"/>
  <c r="F181" i="123"/>
  <c r="E181" i="123"/>
  <c r="A184" i="123"/>
  <c r="B182" i="123"/>
  <c r="A184" i="120"/>
  <c r="A184" i="117"/>
  <c r="E170" i="110"/>
  <c r="G170" i="110"/>
  <c r="H170" i="110"/>
  <c r="H149" i="2"/>
  <c r="G149" i="2"/>
  <c r="P172" i="110"/>
  <c r="D172" i="110"/>
  <c r="O172" i="110"/>
  <c r="C172" i="110"/>
  <c r="N172" i="110"/>
  <c r="M172" i="110"/>
  <c r="L172" i="110"/>
  <c r="K172" i="110"/>
  <c r="J172" i="110"/>
  <c r="I172" i="110"/>
  <c r="A173" i="110"/>
  <c r="B171" i="110"/>
  <c r="B150" i="2"/>
  <c r="D151" i="2"/>
  <c r="P151" i="2"/>
  <c r="F149" i="2"/>
  <c r="O151" i="2"/>
  <c r="N151" i="2"/>
  <c r="K151" i="2"/>
  <c r="A152" i="2"/>
  <c r="M151" i="2"/>
  <c r="L151" i="2"/>
  <c r="J151" i="2"/>
  <c r="I151" i="2"/>
  <c r="G182" i="123" l="1"/>
  <c r="H182" i="123"/>
  <c r="F182" i="123"/>
  <c r="E182" i="123"/>
  <c r="A185" i="123"/>
  <c r="B183" i="123"/>
  <c r="A185" i="120"/>
  <c r="A185" i="117"/>
  <c r="H171" i="110"/>
  <c r="G171" i="110"/>
  <c r="H150" i="2"/>
  <c r="G150" i="2"/>
  <c r="E171" i="110"/>
  <c r="F171" i="110"/>
  <c r="N173" i="110"/>
  <c r="M173" i="110"/>
  <c r="L173" i="110"/>
  <c r="K173" i="110"/>
  <c r="J173" i="110"/>
  <c r="I173" i="110"/>
  <c r="P173" i="110"/>
  <c r="O173" i="110"/>
  <c r="D173" i="110"/>
  <c r="C173" i="110"/>
  <c r="A174" i="110"/>
  <c r="B172" i="110"/>
  <c r="B151" i="2"/>
  <c r="P152" i="2"/>
  <c r="D152" i="2"/>
  <c r="F150" i="2"/>
  <c r="K152" i="2"/>
  <c r="J152" i="2"/>
  <c r="N152" i="2"/>
  <c r="I152" i="2"/>
  <c r="O152" i="2"/>
  <c r="M152" i="2"/>
  <c r="L152" i="2"/>
  <c r="A153" i="2"/>
  <c r="H183" i="123" l="1"/>
  <c r="G183" i="123"/>
  <c r="E183" i="123"/>
  <c r="F183" i="123"/>
  <c r="A186" i="123"/>
  <c r="B184" i="123"/>
  <c r="A186" i="120"/>
  <c r="A186" i="117"/>
  <c r="B173" i="110"/>
  <c r="E173" i="110" s="1"/>
  <c r="H172" i="110"/>
  <c r="G172" i="110"/>
  <c r="F151" i="2"/>
  <c r="H151" i="2"/>
  <c r="G151" i="2"/>
  <c r="E172" i="110"/>
  <c r="F172" i="110"/>
  <c r="L174" i="110"/>
  <c r="K174" i="110"/>
  <c r="J174" i="110"/>
  <c r="I174" i="110"/>
  <c r="P174" i="110"/>
  <c r="D174" i="110"/>
  <c r="O174" i="110"/>
  <c r="C174" i="110"/>
  <c r="N174" i="110"/>
  <c r="M174" i="110"/>
  <c r="A175" i="110"/>
  <c r="B152" i="2"/>
  <c r="P153" i="2"/>
  <c r="D153" i="2"/>
  <c r="M153" i="2"/>
  <c r="O153" i="2"/>
  <c r="K153" i="2"/>
  <c r="L153" i="2"/>
  <c r="A154" i="2"/>
  <c r="J153" i="2"/>
  <c r="I153" i="2"/>
  <c r="N153" i="2"/>
  <c r="H184" i="123" l="1"/>
  <c r="G184" i="123"/>
  <c r="F184" i="123"/>
  <c r="E184" i="123"/>
  <c r="B186" i="123"/>
  <c r="A187" i="123"/>
  <c r="B185" i="123"/>
  <c r="A187" i="120"/>
  <c r="A187" i="117"/>
  <c r="F173" i="110"/>
  <c r="G173" i="110"/>
  <c r="H173" i="110"/>
  <c r="B174" i="110"/>
  <c r="H174" i="110" s="1"/>
  <c r="F152" i="2"/>
  <c r="G152" i="2"/>
  <c r="H152" i="2"/>
  <c r="J175" i="110"/>
  <c r="I175" i="110"/>
  <c r="P175" i="110"/>
  <c r="D175" i="110"/>
  <c r="O175" i="110"/>
  <c r="C175" i="110"/>
  <c r="N175" i="110"/>
  <c r="M175" i="110"/>
  <c r="L175" i="110"/>
  <c r="K175" i="110"/>
  <c r="A176" i="110"/>
  <c r="B153" i="2"/>
  <c r="D154" i="2"/>
  <c r="P154" i="2"/>
  <c r="I154" i="2"/>
  <c r="N154" i="2"/>
  <c r="A155" i="2"/>
  <c r="L154" i="2"/>
  <c r="O154" i="2"/>
  <c r="J154" i="2"/>
  <c r="M154" i="2"/>
  <c r="K154" i="2"/>
  <c r="G185" i="123" l="1"/>
  <c r="H185" i="123"/>
  <c r="F185" i="123"/>
  <c r="E185" i="123"/>
  <c r="A188" i="123"/>
  <c r="H186" i="123"/>
  <c r="G186" i="123"/>
  <c r="E186" i="123"/>
  <c r="F186" i="123"/>
  <c r="A188" i="120"/>
  <c r="A188" i="117"/>
  <c r="F174" i="110"/>
  <c r="E174" i="110"/>
  <c r="G174" i="110"/>
  <c r="H153" i="2"/>
  <c r="G153" i="2"/>
  <c r="B175" i="110"/>
  <c r="P176" i="110"/>
  <c r="D176" i="110"/>
  <c r="O176" i="110"/>
  <c r="C176" i="110"/>
  <c r="N176" i="110"/>
  <c r="M176" i="110"/>
  <c r="L176" i="110"/>
  <c r="K176" i="110"/>
  <c r="J176" i="110"/>
  <c r="I176" i="110"/>
  <c r="A177" i="110"/>
  <c r="D155" i="2"/>
  <c r="P155" i="2"/>
  <c r="B154" i="2"/>
  <c r="L155" i="2"/>
  <c r="M155" i="2"/>
  <c r="I155" i="2"/>
  <c r="K155" i="2"/>
  <c r="A156" i="2"/>
  <c r="J155" i="2"/>
  <c r="O155" i="2"/>
  <c r="N155" i="2"/>
  <c r="F153" i="2"/>
  <c r="B188" i="123" l="1"/>
  <c r="A189" i="123"/>
  <c r="B187" i="123"/>
  <c r="A189" i="120"/>
  <c r="A189" i="117"/>
  <c r="H175" i="110"/>
  <c r="G175" i="110"/>
  <c r="H154" i="2"/>
  <c r="G154" i="2"/>
  <c r="N177" i="110"/>
  <c r="M177" i="110"/>
  <c r="L177" i="110"/>
  <c r="K177" i="110"/>
  <c r="J177" i="110"/>
  <c r="I177" i="110"/>
  <c r="P177" i="110"/>
  <c r="O177" i="110"/>
  <c r="D177" i="110"/>
  <c r="C177" i="110"/>
  <c r="A178" i="110"/>
  <c r="B176" i="110"/>
  <c r="E175" i="110"/>
  <c r="F175" i="110"/>
  <c r="B155" i="2"/>
  <c r="P156" i="2"/>
  <c r="D156" i="2"/>
  <c r="O156" i="2"/>
  <c r="N156" i="2"/>
  <c r="I156" i="2"/>
  <c r="J156" i="2"/>
  <c r="L156" i="2"/>
  <c r="M156" i="2"/>
  <c r="K156" i="2"/>
  <c r="A157" i="2"/>
  <c r="F154" i="2"/>
  <c r="G188" i="123" l="1"/>
  <c r="H188" i="123"/>
  <c r="F188" i="123"/>
  <c r="E188" i="123"/>
  <c r="B189" i="123"/>
  <c r="A190" i="123"/>
  <c r="H187" i="123"/>
  <c r="G187" i="123"/>
  <c r="F187" i="123"/>
  <c r="E187" i="123"/>
  <c r="A190" i="120"/>
  <c r="A190" i="117"/>
  <c r="H176" i="110"/>
  <c r="G176" i="110"/>
  <c r="H155" i="2"/>
  <c r="G155" i="2"/>
  <c r="B177" i="110"/>
  <c r="F176" i="110"/>
  <c r="E176" i="110"/>
  <c r="L178" i="110"/>
  <c r="K178" i="110"/>
  <c r="J178" i="110"/>
  <c r="I178" i="110"/>
  <c r="P178" i="110"/>
  <c r="D178" i="110"/>
  <c r="O178" i="110"/>
  <c r="C178" i="110"/>
  <c r="N178" i="110"/>
  <c r="M178" i="110"/>
  <c r="A179" i="110"/>
  <c r="B156" i="2"/>
  <c r="P157" i="2"/>
  <c r="D157" i="2"/>
  <c r="F155" i="2"/>
  <c r="J157" i="2"/>
  <c r="O157" i="2"/>
  <c r="I157" i="2"/>
  <c r="L157" i="2"/>
  <c r="K157" i="2"/>
  <c r="N157" i="2"/>
  <c r="A158" i="2"/>
  <c r="M157" i="2"/>
  <c r="A191" i="123" l="1"/>
  <c r="B190" i="123"/>
  <c r="H189" i="123"/>
  <c r="G189" i="123"/>
  <c r="E189" i="123"/>
  <c r="F189" i="123"/>
  <c r="A191" i="120"/>
  <c r="A191" i="117"/>
  <c r="B178" i="110"/>
  <c r="H178" i="110" s="1"/>
  <c r="F177" i="110"/>
  <c r="H177" i="110"/>
  <c r="G177" i="110"/>
  <c r="H156" i="2"/>
  <c r="G156" i="2"/>
  <c r="E177" i="110"/>
  <c r="J179" i="110"/>
  <c r="I179" i="110"/>
  <c r="P179" i="110"/>
  <c r="D179" i="110"/>
  <c r="O179" i="110"/>
  <c r="C179" i="110"/>
  <c r="N179" i="110"/>
  <c r="M179" i="110"/>
  <c r="L179" i="110"/>
  <c r="K179" i="110"/>
  <c r="A180" i="110"/>
  <c r="B157" i="2"/>
  <c r="D158" i="2"/>
  <c r="P158" i="2"/>
  <c r="J158" i="2"/>
  <c r="K158" i="2"/>
  <c r="N158" i="2"/>
  <c r="M158" i="2"/>
  <c r="A159" i="2"/>
  <c r="L158" i="2"/>
  <c r="O158" i="2"/>
  <c r="I158" i="2"/>
  <c r="F156" i="2"/>
  <c r="H190" i="123" l="1"/>
  <c r="G190" i="123"/>
  <c r="F190" i="123"/>
  <c r="E190" i="123"/>
  <c r="A192" i="123"/>
  <c r="A192" i="120"/>
  <c r="A192" i="117"/>
  <c r="F178" i="110"/>
  <c r="E178" i="110"/>
  <c r="G178" i="110"/>
  <c r="F157" i="2"/>
  <c r="H157" i="2"/>
  <c r="G157" i="2"/>
  <c r="P180" i="110"/>
  <c r="D180" i="110"/>
  <c r="O180" i="110"/>
  <c r="C180" i="110"/>
  <c r="N180" i="110"/>
  <c r="M180" i="110"/>
  <c r="L180" i="110"/>
  <c r="K180" i="110"/>
  <c r="J180" i="110"/>
  <c r="I180" i="110"/>
  <c r="A181" i="110"/>
  <c r="B179" i="110"/>
  <c r="B158" i="2"/>
  <c r="D159" i="2"/>
  <c r="P159" i="2"/>
  <c r="A160" i="2"/>
  <c r="K159" i="2"/>
  <c r="O159" i="2"/>
  <c r="N159" i="2"/>
  <c r="J159" i="2"/>
  <c r="M159" i="2"/>
  <c r="L159" i="2"/>
  <c r="I159" i="2"/>
  <c r="A193" i="123" l="1"/>
  <c r="B191" i="123"/>
  <c r="A193" i="120"/>
  <c r="A193" i="117"/>
  <c r="H179" i="110"/>
  <c r="G179" i="110"/>
  <c r="G158" i="2"/>
  <c r="H158" i="2"/>
  <c r="F179" i="110"/>
  <c r="E179" i="110"/>
  <c r="B180" i="110"/>
  <c r="N181" i="110"/>
  <c r="M181" i="110"/>
  <c r="L181" i="110"/>
  <c r="K181" i="110"/>
  <c r="J181" i="110"/>
  <c r="I181" i="110"/>
  <c r="P181" i="110"/>
  <c r="O181" i="110"/>
  <c r="D181" i="110"/>
  <c r="C181" i="110"/>
  <c r="A182" i="110"/>
  <c r="P160" i="2"/>
  <c r="D160" i="2"/>
  <c r="B159" i="2"/>
  <c r="L160" i="2"/>
  <c r="K160" i="2"/>
  <c r="M160" i="2"/>
  <c r="A161" i="2"/>
  <c r="J160" i="2"/>
  <c r="O160" i="2"/>
  <c r="I160" i="2"/>
  <c r="N160" i="2"/>
  <c r="F158" i="2"/>
  <c r="A194" i="123" l="1"/>
  <c r="B193" i="123"/>
  <c r="G191" i="123"/>
  <c r="H191" i="123"/>
  <c r="F191" i="123"/>
  <c r="E191" i="123"/>
  <c r="B192" i="123"/>
  <c r="A194" i="120"/>
  <c r="A194" i="117"/>
  <c r="H180" i="110"/>
  <c r="G180" i="110"/>
  <c r="M51" i="1"/>
  <c r="F58" i="3" s="1"/>
  <c r="H58" i="3" s="1"/>
  <c r="H159" i="2"/>
  <c r="G159" i="2"/>
  <c r="L182" i="110"/>
  <c r="K182" i="110"/>
  <c r="J182" i="110"/>
  <c r="I182" i="110"/>
  <c r="P182" i="110"/>
  <c r="D182" i="110"/>
  <c r="O182" i="110"/>
  <c r="C182" i="110"/>
  <c r="N182" i="110"/>
  <c r="M182" i="110"/>
  <c r="A183" i="110"/>
  <c r="E180" i="110"/>
  <c r="F180" i="110"/>
  <c r="B181" i="110"/>
  <c r="P161" i="2"/>
  <c r="D161" i="2"/>
  <c r="B160" i="2"/>
  <c r="F159" i="2"/>
  <c r="M161" i="2"/>
  <c r="K161" i="2"/>
  <c r="O161" i="2"/>
  <c r="J161" i="2"/>
  <c r="L161" i="2"/>
  <c r="A162" i="2"/>
  <c r="N161" i="2"/>
  <c r="I161" i="2"/>
  <c r="H193" i="123" l="1"/>
  <c r="G193" i="123"/>
  <c r="F193" i="123"/>
  <c r="E193" i="123"/>
  <c r="H192" i="123"/>
  <c r="G192" i="123"/>
  <c r="E192" i="123"/>
  <c r="F192" i="123"/>
  <c r="A195" i="123"/>
  <c r="A195" i="120"/>
  <c r="F58" i="109"/>
  <c r="A195" i="117"/>
  <c r="H181" i="110"/>
  <c r="G181" i="110"/>
  <c r="H160" i="2"/>
  <c r="G160" i="2"/>
  <c r="B182" i="110"/>
  <c r="J183" i="110"/>
  <c r="I183" i="110"/>
  <c r="P183" i="110"/>
  <c r="D183" i="110"/>
  <c r="O183" i="110"/>
  <c r="C183" i="110"/>
  <c r="N183" i="110"/>
  <c r="M183" i="110"/>
  <c r="L183" i="110"/>
  <c r="K183" i="110"/>
  <c r="A184" i="110"/>
  <c r="F181" i="110"/>
  <c r="E181" i="110"/>
  <c r="B161" i="2"/>
  <c r="D162" i="2"/>
  <c r="P162" i="2"/>
  <c r="F160" i="2"/>
  <c r="J162" i="2"/>
  <c r="I162" i="2"/>
  <c r="A163" i="2"/>
  <c r="O162" i="2"/>
  <c r="K162" i="2"/>
  <c r="N162" i="2"/>
  <c r="M162" i="2"/>
  <c r="L162" i="2"/>
  <c r="A196" i="123" l="1"/>
  <c r="B194" i="123"/>
  <c r="A196" i="120"/>
  <c r="A196" i="117"/>
  <c r="H182" i="110"/>
  <c r="G182" i="110"/>
  <c r="H161" i="2"/>
  <c r="G161" i="2"/>
  <c r="P184" i="110"/>
  <c r="D184" i="110"/>
  <c r="O184" i="110"/>
  <c r="C184" i="110"/>
  <c r="N184" i="110"/>
  <c r="M184" i="110"/>
  <c r="L184" i="110"/>
  <c r="K184" i="110"/>
  <c r="J184" i="110"/>
  <c r="I184" i="110"/>
  <c r="A185" i="110"/>
  <c r="B183" i="110"/>
  <c r="F182" i="110"/>
  <c r="E182" i="110"/>
  <c r="B162" i="2"/>
  <c r="D163" i="2"/>
  <c r="P163" i="2"/>
  <c r="F161" i="2"/>
  <c r="M163" i="2"/>
  <c r="L163" i="2"/>
  <c r="A164" i="2"/>
  <c r="O163" i="2"/>
  <c r="I163" i="2"/>
  <c r="K163" i="2"/>
  <c r="J163" i="2"/>
  <c r="N163" i="2"/>
  <c r="G194" i="123" l="1"/>
  <c r="H194" i="123"/>
  <c r="F194" i="123"/>
  <c r="E194" i="123"/>
  <c r="A197" i="123"/>
  <c r="B195" i="123"/>
  <c r="A197" i="120"/>
  <c r="A197" i="117"/>
  <c r="H183" i="110"/>
  <c r="G183" i="110"/>
  <c r="H162" i="2"/>
  <c r="G162" i="2"/>
  <c r="E183" i="110"/>
  <c r="F183" i="110"/>
  <c r="N185" i="110"/>
  <c r="M185" i="110"/>
  <c r="L185" i="110"/>
  <c r="K185" i="110"/>
  <c r="J185" i="110"/>
  <c r="I185" i="110"/>
  <c r="D185" i="110"/>
  <c r="C185" i="110"/>
  <c r="P185" i="110"/>
  <c r="O185" i="110"/>
  <c r="A186" i="110"/>
  <c r="B184" i="110"/>
  <c r="B163" i="2"/>
  <c r="P164" i="2"/>
  <c r="D164" i="2"/>
  <c r="F162" i="2"/>
  <c r="O164" i="2"/>
  <c r="N164" i="2"/>
  <c r="M164" i="2"/>
  <c r="J164" i="2"/>
  <c r="L164" i="2"/>
  <c r="I164" i="2"/>
  <c r="A165" i="2"/>
  <c r="K164" i="2"/>
  <c r="B196" i="123" l="1"/>
  <c r="H195" i="123"/>
  <c r="G195" i="123"/>
  <c r="E195" i="123"/>
  <c r="F195" i="123"/>
  <c r="A198" i="123"/>
  <c r="A198" i="120"/>
  <c r="A198" i="117"/>
  <c r="B185" i="110"/>
  <c r="H185" i="110" s="1"/>
  <c r="H184" i="110"/>
  <c r="G184" i="110"/>
  <c r="H163" i="2"/>
  <c r="G163" i="2"/>
  <c r="L186" i="110"/>
  <c r="K186" i="110"/>
  <c r="J186" i="110"/>
  <c r="I186" i="110"/>
  <c r="P186" i="110"/>
  <c r="D186" i="110"/>
  <c r="O186" i="110"/>
  <c r="C186" i="110"/>
  <c r="N186" i="110"/>
  <c r="M186" i="110"/>
  <c r="A187" i="110"/>
  <c r="E184" i="110"/>
  <c r="F184" i="110"/>
  <c r="B164" i="2"/>
  <c r="P165" i="2"/>
  <c r="D165" i="2"/>
  <c r="F163" i="2"/>
  <c r="L165" i="2"/>
  <c r="M165" i="2"/>
  <c r="K165" i="2"/>
  <c r="J165" i="2"/>
  <c r="O165" i="2"/>
  <c r="I165" i="2"/>
  <c r="A166" i="2"/>
  <c r="N165" i="2"/>
  <c r="A199" i="123" l="1"/>
  <c r="B197" i="123"/>
  <c r="H196" i="123"/>
  <c r="G196" i="123"/>
  <c r="F196" i="123"/>
  <c r="E196" i="123"/>
  <c r="A199" i="120"/>
  <c r="A199" i="117"/>
  <c r="F185" i="110"/>
  <c r="G185" i="110"/>
  <c r="E185" i="110"/>
  <c r="G164" i="2"/>
  <c r="H164" i="2"/>
  <c r="B186" i="110"/>
  <c r="J187" i="110"/>
  <c r="I187" i="110"/>
  <c r="P187" i="110"/>
  <c r="D187" i="110"/>
  <c r="O187" i="110"/>
  <c r="C187" i="110"/>
  <c r="N187" i="110"/>
  <c r="M187" i="110"/>
  <c r="L187" i="110"/>
  <c r="K187" i="110"/>
  <c r="A188" i="110"/>
  <c r="D166" i="2"/>
  <c r="P166" i="2"/>
  <c r="B165" i="2"/>
  <c r="F164" i="2"/>
  <c r="I166" i="2"/>
  <c r="A167" i="2"/>
  <c r="N166" i="2"/>
  <c r="M166" i="2"/>
  <c r="K166" i="2"/>
  <c r="J166" i="2"/>
  <c r="L166" i="2"/>
  <c r="O166" i="2"/>
  <c r="G197" i="123" l="1"/>
  <c r="H197" i="123"/>
  <c r="F197" i="123"/>
  <c r="E197" i="123"/>
  <c r="B198" i="123"/>
  <c r="A200" i="123"/>
  <c r="A200" i="120"/>
  <c r="A200" i="117"/>
  <c r="H186" i="110"/>
  <c r="G186" i="110"/>
  <c r="F165" i="2"/>
  <c r="H165" i="2"/>
  <c r="G165" i="2"/>
  <c r="P188" i="110"/>
  <c r="D188" i="110"/>
  <c r="O188" i="110"/>
  <c r="C188" i="110"/>
  <c r="N188" i="110"/>
  <c r="M188" i="110"/>
  <c r="L188" i="110"/>
  <c r="K188" i="110"/>
  <c r="J188" i="110"/>
  <c r="I188" i="110"/>
  <c r="A189" i="110"/>
  <c r="B187" i="110"/>
  <c r="F186" i="110"/>
  <c r="E186" i="110"/>
  <c r="B166" i="2"/>
  <c r="D167" i="2"/>
  <c r="P167" i="2"/>
  <c r="O167" i="2"/>
  <c r="M167" i="2"/>
  <c r="N167" i="2"/>
  <c r="L167" i="2"/>
  <c r="A168" i="2"/>
  <c r="K167" i="2"/>
  <c r="I167" i="2"/>
  <c r="J167" i="2"/>
  <c r="B200" i="123" l="1"/>
  <c r="A201" i="123"/>
  <c r="H198" i="123"/>
  <c r="G198" i="123"/>
  <c r="E198" i="123"/>
  <c r="F198" i="123"/>
  <c r="B199" i="123"/>
  <c r="A201" i="120"/>
  <c r="A201" i="117"/>
  <c r="H187" i="110"/>
  <c r="G187" i="110"/>
  <c r="F166" i="2"/>
  <c r="H166" i="2"/>
  <c r="G166" i="2"/>
  <c r="E187" i="110"/>
  <c r="F187" i="110"/>
  <c r="N189" i="110"/>
  <c r="M189" i="110"/>
  <c r="L189" i="110"/>
  <c r="K189" i="110"/>
  <c r="J189" i="110"/>
  <c r="I189" i="110"/>
  <c r="P189" i="110"/>
  <c r="O189" i="110"/>
  <c r="D189" i="110"/>
  <c r="C189" i="110"/>
  <c r="A190" i="110"/>
  <c r="B188" i="110"/>
  <c r="B167" i="2"/>
  <c r="P168" i="2"/>
  <c r="D168" i="2"/>
  <c r="L168" i="2"/>
  <c r="A169" i="2"/>
  <c r="O168" i="2"/>
  <c r="K168" i="2"/>
  <c r="J168" i="2"/>
  <c r="I168" i="2"/>
  <c r="M168" i="2"/>
  <c r="N168" i="2"/>
  <c r="A202" i="123" l="1"/>
  <c r="H200" i="123"/>
  <c r="G200" i="123"/>
  <c r="F200" i="123"/>
  <c r="E200" i="123"/>
  <c r="H199" i="123"/>
  <c r="G199" i="123"/>
  <c r="F199" i="123"/>
  <c r="E199" i="123"/>
  <c r="A202" i="120"/>
  <c r="Q58" i="115"/>
  <c r="K58" i="115"/>
  <c r="W58" i="115"/>
  <c r="Y58" i="115"/>
  <c r="M58" i="115"/>
  <c r="O58" i="115"/>
  <c r="S58" i="115"/>
  <c r="U58" i="115"/>
  <c r="A202" i="117"/>
  <c r="B189" i="110"/>
  <c r="E189" i="110" s="1"/>
  <c r="H188" i="110"/>
  <c r="G188" i="110"/>
  <c r="H167" i="2"/>
  <c r="G167" i="2"/>
  <c r="L190" i="110"/>
  <c r="K190" i="110"/>
  <c r="J190" i="110"/>
  <c r="I190" i="110"/>
  <c r="P190" i="110"/>
  <c r="D190" i="110"/>
  <c r="O190" i="110"/>
  <c r="C190" i="110"/>
  <c r="N190" i="110"/>
  <c r="M190" i="110"/>
  <c r="A191" i="110"/>
  <c r="F188" i="110"/>
  <c r="E188" i="110"/>
  <c r="P169" i="2"/>
  <c r="D169" i="2"/>
  <c r="B168" i="2"/>
  <c r="N169" i="2"/>
  <c r="M169" i="2"/>
  <c r="I169" i="2"/>
  <c r="A170" i="2"/>
  <c r="K169" i="2"/>
  <c r="L169" i="2"/>
  <c r="O169" i="2"/>
  <c r="J169" i="2"/>
  <c r="F167" i="2"/>
  <c r="B201" i="123" l="1"/>
  <c r="A203" i="123"/>
  <c r="B202" i="123"/>
  <c r="A203" i="120"/>
  <c r="A203" i="117"/>
  <c r="F189" i="110"/>
  <c r="G189" i="110"/>
  <c r="H189" i="110"/>
  <c r="F168" i="2"/>
  <c r="H168" i="2"/>
  <c r="G168" i="2"/>
  <c r="B190" i="110"/>
  <c r="J191" i="110"/>
  <c r="I191" i="110"/>
  <c r="P191" i="110"/>
  <c r="D191" i="110"/>
  <c r="O191" i="110"/>
  <c r="C191" i="110"/>
  <c r="N191" i="110"/>
  <c r="M191" i="110"/>
  <c r="L191" i="110"/>
  <c r="K191" i="110"/>
  <c r="A192" i="110"/>
  <c r="B169" i="2"/>
  <c r="D170" i="2"/>
  <c r="P170" i="2"/>
  <c r="I170" i="2"/>
  <c r="N170" i="2"/>
  <c r="A171" i="2"/>
  <c r="M170" i="2"/>
  <c r="O170" i="2"/>
  <c r="L170" i="2"/>
  <c r="K170" i="2"/>
  <c r="J170" i="2"/>
  <c r="H202" i="123" l="1"/>
  <c r="G202" i="123"/>
  <c r="F202" i="123"/>
  <c r="E202" i="123"/>
  <c r="H201" i="123"/>
  <c r="G201" i="123"/>
  <c r="E201" i="123"/>
  <c r="F201" i="123"/>
  <c r="H190" i="110"/>
  <c r="G190" i="110"/>
  <c r="F169" i="2"/>
  <c r="H169" i="2"/>
  <c r="G169" i="2"/>
  <c r="B191" i="110"/>
  <c r="P192" i="110"/>
  <c r="D192" i="110"/>
  <c r="O192" i="110"/>
  <c r="C192" i="110"/>
  <c r="N192" i="110"/>
  <c r="M192" i="110"/>
  <c r="L192" i="110"/>
  <c r="K192" i="110"/>
  <c r="J192" i="110"/>
  <c r="I192" i="110"/>
  <c r="A193" i="110"/>
  <c r="F190" i="110"/>
  <c r="E190" i="110"/>
  <c r="B170" i="2"/>
  <c r="D171" i="2"/>
  <c r="P171" i="2"/>
  <c r="M171" i="2"/>
  <c r="I171" i="2"/>
  <c r="L171" i="2"/>
  <c r="K171" i="2"/>
  <c r="A172" i="2"/>
  <c r="J171" i="2"/>
  <c r="N171" i="2"/>
  <c r="O171" i="2"/>
  <c r="B203" i="123" l="1"/>
  <c r="H191" i="110"/>
  <c r="G191" i="110"/>
  <c r="G170" i="2"/>
  <c r="H170" i="2"/>
  <c r="N193" i="110"/>
  <c r="M193" i="110"/>
  <c r="L193" i="110"/>
  <c r="K193" i="110"/>
  <c r="J193" i="110"/>
  <c r="I193" i="110"/>
  <c r="P193" i="110"/>
  <c r="O193" i="110"/>
  <c r="D193" i="110"/>
  <c r="C193" i="110"/>
  <c r="A194" i="110"/>
  <c r="B192" i="110"/>
  <c r="E191" i="110"/>
  <c r="F191" i="110"/>
  <c r="B171" i="2"/>
  <c r="P172" i="2"/>
  <c r="D172" i="2"/>
  <c r="O172" i="2"/>
  <c r="L172" i="2"/>
  <c r="K172" i="2"/>
  <c r="A173" i="2"/>
  <c r="N172" i="2"/>
  <c r="M172" i="2"/>
  <c r="J172" i="2"/>
  <c r="I172" i="2"/>
  <c r="F170" i="2"/>
  <c r="H203" i="123" l="1"/>
  <c r="G203" i="123"/>
  <c r="F203" i="123"/>
  <c r="E203" i="123"/>
  <c r="B193" i="110"/>
  <c r="H193" i="110" s="1"/>
  <c r="H192" i="110"/>
  <c r="G192" i="110"/>
  <c r="H171" i="2"/>
  <c r="G171" i="2"/>
  <c r="F192" i="110"/>
  <c r="E192" i="110"/>
  <c r="L194" i="110"/>
  <c r="K194" i="110"/>
  <c r="J194" i="110"/>
  <c r="I194" i="110"/>
  <c r="P194" i="110"/>
  <c r="D194" i="110"/>
  <c r="O194" i="110"/>
  <c r="C194" i="110"/>
  <c r="N194" i="110"/>
  <c r="M194" i="110"/>
  <c r="A195" i="110"/>
  <c r="B172" i="2"/>
  <c r="P173" i="2"/>
  <c r="D173" i="2"/>
  <c r="L173" i="2"/>
  <c r="K173" i="2"/>
  <c r="J173" i="2"/>
  <c r="O173" i="2"/>
  <c r="I173" i="2"/>
  <c r="N173" i="2"/>
  <c r="A174" i="2"/>
  <c r="M173" i="2"/>
  <c r="F171" i="2"/>
  <c r="F193" i="110" l="1"/>
  <c r="E193" i="110"/>
  <c r="G193" i="110"/>
  <c r="H172" i="2"/>
  <c r="G172" i="2"/>
  <c r="B194" i="110"/>
  <c r="E194" i="110" s="1"/>
  <c r="J195" i="110"/>
  <c r="I195" i="110"/>
  <c r="P195" i="110"/>
  <c r="D195" i="110"/>
  <c r="O195" i="110"/>
  <c r="C195" i="110"/>
  <c r="N195" i="110"/>
  <c r="M195" i="110"/>
  <c r="K195" i="110"/>
  <c r="L195" i="110"/>
  <c r="A196" i="110"/>
  <c r="B173" i="2"/>
  <c r="D174" i="2"/>
  <c r="P174" i="2"/>
  <c r="J174" i="2"/>
  <c r="L174" i="2"/>
  <c r="N174" i="2"/>
  <c r="I174" i="2"/>
  <c r="K174" i="2"/>
  <c r="A175" i="2"/>
  <c r="O174" i="2"/>
  <c r="M174" i="2"/>
  <c r="F172" i="2"/>
  <c r="F194" i="110" l="1"/>
  <c r="H194" i="110"/>
  <c r="G194" i="110"/>
  <c r="H173" i="2"/>
  <c r="G173" i="2"/>
  <c r="P196" i="110"/>
  <c r="D196" i="110"/>
  <c r="O196" i="110"/>
  <c r="C196" i="110"/>
  <c r="N196" i="110"/>
  <c r="M196" i="110"/>
  <c r="L196" i="110"/>
  <c r="K196" i="110"/>
  <c r="J196" i="110"/>
  <c r="I196" i="110"/>
  <c r="A197" i="110"/>
  <c r="B195" i="110"/>
  <c r="B174" i="2"/>
  <c r="D175" i="2"/>
  <c r="P175" i="2"/>
  <c r="F173" i="2"/>
  <c r="A176" i="2"/>
  <c r="O175" i="2"/>
  <c r="K175" i="2"/>
  <c r="M175" i="2"/>
  <c r="N175" i="2"/>
  <c r="L175" i="2"/>
  <c r="J175" i="2"/>
  <c r="I175" i="2"/>
  <c r="H195" i="110" l="1"/>
  <c r="G195" i="110"/>
  <c r="H174" i="2"/>
  <c r="G174" i="2"/>
  <c r="F195" i="110"/>
  <c r="E195" i="110"/>
  <c r="N197" i="110"/>
  <c r="M197" i="110"/>
  <c r="L197" i="110"/>
  <c r="K197" i="110"/>
  <c r="J197" i="110"/>
  <c r="I197" i="110"/>
  <c r="P197" i="110"/>
  <c r="O197" i="110"/>
  <c r="D197" i="110"/>
  <c r="C197" i="110"/>
  <c r="A198" i="110"/>
  <c r="B196" i="110"/>
  <c r="B175" i="2"/>
  <c r="P176" i="2"/>
  <c r="D176" i="2"/>
  <c r="N176" i="2"/>
  <c r="I176" i="2"/>
  <c r="M176" i="2"/>
  <c r="O176" i="2"/>
  <c r="L176" i="2"/>
  <c r="K176" i="2"/>
  <c r="A177" i="2"/>
  <c r="J176" i="2"/>
  <c r="F174" i="2"/>
  <c r="B197" i="110" l="1"/>
  <c r="H197" i="110" s="1"/>
  <c r="H196" i="110"/>
  <c r="G196" i="110"/>
  <c r="H175" i="2"/>
  <c r="G175" i="2"/>
  <c r="F196" i="110"/>
  <c r="E196" i="110"/>
  <c r="L198" i="110"/>
  <c r="K198" i="110"/>
  <c r="J198" i="110"/>
  <c r="I198" i="110"/>
  <c r="P198" i="110"/>
  <c r="D198" i="110"/>
  <c r="O198" i="110"/>
  <c r="C198" i="110"/>
  <c r="N198" i="110"/>
  <c r="M198" i="110"/>
  <c r="A199" i="110"/>
  <c r="B176" i="2"/>
  <c r="P177" i="2"/>
  <c r="D177" i="2"/>
  <c r="K177" i="2"/>
  <c r="J177" i="2"/>
  <c r="L177" i="2"/>
  <c r="I177" i="2"/>
  <c r="M177" i="2"/>
  <c r="A178" i="2"/>
  <c r="O177" i="2"/>
  <c r="N177" i="2"/>
  <c r="F175" i="2"/>
  <c r="F197" i="110" l="1"/>
  <c r="E197" i="110"/>
  <c r="G197" i="110"/>
  <c r="B198" i="110"/>
  <c r="F198" i="110" s="1"/>
  <c r="G176" i="2"/>
  <c r="H176" i="2"/>
  <c r="J199" i="110"/>
  <c r="I199" i="110"/>
  <c r="P199" i="110"/>
  <c r="D199" i="110"/>
  <c r="O199" i="110"/>
  <c r="C199" i="110"/>
  <c r="N199" i="110"/>
  <c r="M199" i="110"/>
  <c r="L199" i="110"/>
  <c r="K199" i="110"/>
  <c r="A200" i="110"/>
  <c r="B177" i="2"/>
  <c r="D178" i="2"/>
  <c r="P178" i="2"/>
  <c r="K178" i="2"/>
  <c r="A179" i="2"/>
  <c r="O178" i="2"/>
  <c r="L178" i="2"/>
  <c r="J178" i="2"/>
  <c r="N178" i="2"/>
  <c r="I178" i="2"/>
  <c r="M178" i="2"/>
  <c r="F176" i="2"/>
  <c r="E198" i="110" l="1"/>
  <c r="H198" i="110"/>
  <c r="G198" i="110"/>
  <c r="H177" i="2"/>
  <c r="G177" i="2"/>
  <c r="B199" i="110"/>
  <c r="P200" i="110"/>
  <c r="D200" i="110"/>
  <c r="O200" i="110"/>
  <c r="C200" i="110"/>
  <c r="N200" i="110"/>
  <c r="M200" i="110"/>
  <c r="L200" i="110"/>
  <c r="K200" i="110"/>
  <c r="J200" i="110"/>
  <c r="I200" i="110"/>
  <c r="A201" i="110"/>
  <c r="D179" i="2"/>
  <c r="P179" i="2"/>
  <c r="B178" i="2"/>
  <c r="F177" i="2"/>
  <c r="A180" i="2"/>
  <c r="J179" i="2"/>
  <c r="N179" i="2"/>
  <c r="O179" i="2"/>
  <c r="M179" i="2"/>
  <c r="I179" i="2"/>
  <c r="L179" i="2"/>
  <c r="K179" i="2"/>
  <c r="H199" i="110" l="1"/>
  <c r="G199" i="110"/>
  <c r="H178" i="2"/>
  <c r="G178" i="2"/>
  <c r="B200" i="110"/>
  <c r="N201" i="110"/>
  <c r="M201" i="110"/>
  <c r="L201" i="110"/>
  <c r="K201" i="110"/>
  <c r="J201" i="110"/>
  <c r="I201" i="110"/>
  <c r="D201" i="110"/>
  <c r="C201" i="110"/>
  <c r="P201" i="110"/>
  <c r="O201" i="110"/>
  <c r="A202" i="110"/>
  <c r="F199" i="110"/>
  <c r="E199" i="110"/>
  <c r="P180" i="2"/>
  <c r="D180" i="2"/>
  <c r="B179" i="2"/>
  <c r="F178" i="2"/>
  <c r="K180" i="2"/>
  <c r="M180" i="2"/>
  <c r="J180" i="2"/>
  <c r="A181" i="2"/>
  <c r="O180" i="2"/>
  <c r="I180" i="2"/>
  <c r="L180" i="2"/>
  <c r="N180" i="2"/>
  <c r="B201" i="110" l="1"/>
  <c r="F201" i="110" s="1"/>
  <c r="H200" i="110"/>
  <c r="G200" i="110"/>
  <c r="H179" i="2"/>
  <c r="G179" i="2"/>
  <c r="L202" i="110"/>
  <c r="K202" i="110"/>
  <c r="J202" i="110"/>
  <c r="I202" i="110"/>
  <c r="P202" i="110"/>
  <c r="D202" i="110"/>
  <c r="O202" i="110"/>
  <c r="C202" i="110"/>
  <c r="N202" i="110"/>
  <c r="M202" i="110"/>
  <c r="A203" i="110"/>
  <c r="E200" i="110"/>
  <c r="F200" i="110"/>
  <c r="B180" i="2"/>
  <c r="P181" i="2"/>
  <c r="D181" i="2"/>
  <c r="F179" i="2"/>
  <c r="J181" i="2"/>
  <c r="O181" i="2"/>
  <c r="I181" i="2"/>
  <c r="A182" i="2"/>
  <c r="L181" i="2"/>
  <c r="N181" i="2"/>
  <c r="K181" i="2"/>
  <c r="M181" i="2"/>
  <c r="E201" i="110" l="1"/>
  <c r="G201" i="110"/>
  <c r="H201" i="110"/>
  <c r="H180" i="2"/>
  <c r="G180" i="2"/>
  <c r="B202" i="110"/>
  <c r="J203" i="110"/>
  <c r="I203" i="110"/>
  <c r="P203" i="110"/>
  <c r="D203" i="110"/>
  <c r="O203" i="110"/>
  <c r="C203" i="110"/>
  <c r="N203" i="110"/>
  <c r="M203" i="110"/>
  <c r="L203" i="110"/>
  <c r="K203" i="110"/>
  <c r="B181" i="2"/>
  <c r="D182" i="2"/>
  <c r="P182" i="2"/>
  <c r="J182" i="2"/>
  <c r="L182" i="2"/>
  <c r="O182" i="2"/>
  <c r="N182" i="2"/>
  <c r="I182" i="2"/>
  <c r="K182" i="2"/>
  <c r="A183" i="2"/>
  <c r="M182" i="2"/>
  <c r="F180" i="2"/>
  <c r="H202" i="110" l="1"/>
  <c r="G202" i="110"/>
  <c r="H181" i="2"/>
  <c r="G181" i="2"/>
  <c r="B203" i="110"/>
  <c r="E202" i="110"/>
  <c r="F202" i="110"/>
  <c r="B182" i="2"/>
  <c r="D183" i="2"/>
  <c r="P183" i="2"/>
  <c r="O183" i="2"/>
  <c r="M183" i="2"/>
  <c r="N183" i="2"/>
  <c r="J183" i="2"/>
  <c r="I183" i="2"/>
  <c r="L183" i="2"/>
  <c r="K183" i="2"/>
  <c r="A184" i="2"/>
  <c r="F181" i="2"/>
  <c r="H203" i="110" l="1"/>
  <c r="G203" i="110"/>
  <c r="G182" i="2"/>
  <c r="H182" i="2"/>
  <c r="F203" i="110"/>
  <c r="E203" i="110"/>
  <c r="P184" i="2"/>
  <c r="D184" i="2"/>
  <c r="B183" i="2"/>
  <c r="F182" i="2"/>
  <c r="K184" i="2"/>
  <c r="J184" i="2"/>
  <c r="O184" i="2"/>
  <c r="A185" i="2"/>
  <c r="I184" i="2"/>
  <c r="N184" i="2"/>
  <c r="M184" i="2"/>
  <c r="L184" i="2"/>
  <c r="H183" i="2" l="1"/>
  <c r="G183" i="2"/>
  <c r="B184" i="2"/>
  <c r="P185" i="2"/>
  <c r="D185" i="2"/>
  <c r="A186" i="2"/>
  <c r="O185" i="2"/>
  <c r="N185" i="2"/>
  <c r="M185" i="2"/>
  <c r="K185" i="2"/>
  <c r="L185" i="2"/>
  <c r="J185" i="2"/>
  <c r="I185" i="2"/>
  <c r="F183" i="2"/>
  <c r="H184" i="2" l="1"/>
  <c r="G184" i="2"/>
  <c r="D186" i="2"/>
  <c r="P186" i="2"/>
  <c r="B185" i="2"/>
  <c r="F184" i="2"/>
  <c r="L186" i="2"/>
  <c r="K186" i="2"/>
  <c r="I186" i="2"/>
  <c r="J186" i="2"/>
  <c r="O186" i="2"/>
  <c r="N186" i="2"/>
  <c r="A187" i="2"/>
  <c r="M186" i="2"/>
  <c r="H185" i="2" l="1"/>
  <c r="G185" i="2"/>
  <c r="B186" i="2"/>
  <c r="D187" i="2"/>
  <c r="P187" i="2"/>
  <c r="F185" i="2"/>
  <c r="A188" i="2"/>
  <c r="J187" i="2"/>
  <c r="O187" i="2"/>
  <c r="L187" i="2"/>
  <c r="K187" i="2"/>
  <c r="N187" i="2"/>
  <c r="M187" i="2"/>
  <c r="I187" i="2"/>
  <c r="H186" i="2" l="1"/>
  <c r="G186" i="2"/>
  <c r="A189" i="2"/>
  <c r="P188" i="2"/>
  <c r="D188" i="2"/>
  <c r="B187" i="2"/>
  <c r="K188" i="2"/>
  <c r="M188" i="2"/>
  <c r="J188" i="2"/>
  <c r="I188" i="2"/>
  <c r="O188" i="2"/>
  <c r="N188" i="2"/>
  <c r="L188" i="2"/>
  <c r="F186" i="2"/>
  <c r="H187" i="2" l="1"/>
  <c r="G187" i="2"/>
  <c r="B188" i="2"/>
  <c r="K189" i="2"/>
  <c r="I189" i="2"/>
  <c r="A190" i="2"/>
  <c r="D189" i="2"/>
  <c r="P189" i="2"/>
  <c r="O189" i="2"/>
  <c r="N189" i="2"/>
  <c r="M189" i="2"/>
  <c r="L189" i="2"/>
  <c r="J189" i="2"/>
  <c r="F187" i="2"/>
  <c r="G188" i="2" l="1"/>
  <c r="H188" i="2"/>
  <c r="J190" i="2"/>
  <c r="K190" i="2"/>
  <c r="A191" i="2"/>
  <c r="L190" i="2"/>
  <c r="I190" i="2"/>
  <c r="M190" i="2"/>
  <c r="D190" i="2"/>
  <c r="N190" i="2"/>
  <c r="O190" i="2"/>
  <c r="P190" i="2"/>
  <c r="B189" i="2"/>
  <c r="F188" i="2"/>
  <c r="H189" i="2" l="1"/>
  <c r="G189" i="2"/>
  <c r="B190" i="2"/>
  <c r="O191" i="2"/>
  <c r="M191" i="2"/>
  <c r="L191" i="2"/>
  <c r="N191" i="2"/>
  <c r="K191" i="2"/>
  <c r="D191" i="2"/>
  <c r="J191" i="2"/>
  <c r="A192" i="2"/>
  <c r="I191" i="2"/>
  <c r="P191" i="2"/>
  <c r="F189" i="2"/>
  <c r="H190" i="2" l="1"/>
  <c r="G190" i="2"/>
  <c r="F190" i="2"/>
  <c r="M52" i="1"/>
  <c r="B191" i="2"/>
  <c r="N192" i="2"/>
  <c r="A193" i="2"/>
  <c r="D192" i="2"/>
  <c r="I192" i="2"/>
  <c r="O192" i="2"/>
  <c r="P192" i="2"/>
  <c r="M192" i="2"/>
  <c r="L192" i="2"/>
  <c r="K192" i="2"/>
  <c r="J192" i="2"/>
  <c r="H191" i="2" l="1"/>
  <c r="G191" i="2"/>
  <c r="F59" i="3"/>
  <c r="H59" i="3" s="1"/>
  <c r="G4" i="3" s="1"/>
  <c r="G5" i="3" s="1"/>
  <c r="F59" i="109"/>
  <c r="C85" i="3"/>
  <c r="C84" i="3"/>
  <c r="C82" i="3"/>
  <c r="C91" i="3"/>
  <c r="C83" i="3"/>
  <c r="C88" i="3"/>
  <c r="C81" i="3"/>
  <c r="D81" i="3" s="1"/>
  <c r="C87" i="3"/>
  <c r="C86" i="3"/>
  <c r="C89" i="3"/>
  <c r="C90" i="3"/>
  <c r="C92" i="3"/>
  <c r="B192" i="2"/>
  <c r="F191" i="2"/>
  <c r="L193" i="2"/>
  <c r="P193" i="2"/>
  <c r="K193" i="2"/>
  <c r="O193" i="2"/>
  <c r="J193" i="2"/>
  <c r="I193" i="2"/>
  <c r="N193" i="2"/>
  <c r="A194" i="2"/>
  <c r="D193" i="2"/>
  <c r="M193" i="2"/>
  <c r="H192" i="2" l="1"/>
  <c r="G192" i="2"/>
  <c r="D90" i="3"/>
  <c r="E90" i="3" s="1"/>
  <c r="D86" i="3"/>
  <c r="E86" i="3" s="1"/>
  <c r="D92" i="3"/>
  <c r="E92" i="3" s="1"/>
  <c r="E81" i="3"/>
  <c r="D83" i="3"/>
  <c r="D89" i="3"/>
  <c r="E89" i="3" s="1"/>
  <c r="D85" i="3"/>
  <c r="E85" i="3" s="1"/>
  <c r="D87" i="3"/>
  <c r="E87" i="3" s="1"/>
  <c r="D88" i="3"/>
  <c r="E88" i="3" s="1"/>
  <c r="E83" i="3"/>
  <c r="D91" i="3"/>
  <c r="E91" i="3" s="1"/>
  <c r="D82" i="3"/>
  <c r="E82" i="3" s="1"/>
  <c r="D84" i="3"/>
  <c r="E84" i="3" s="1"/>
  <c r="D194" i="2"/>
  <c r="I194" i="2"/>
  <c r="N194" i="2"/>
  <c r="M194" i="2"/>
  <c r="K194" i="2"/>
  <c r="J194" i="2"/>
  <c r="L194" i="2"/>
  <c r="P194" i="2"/>
  <c r="A195" i="2"/>
  <c r="O194" i="2"/>
  <c r="B193" i="2"/>
  <c r="F192" i="2"/>
  <c r="H193" i="2" l="1"/>
  <c r="G193" i="2"/>
  <c r="B194" i="2"/>
  <c r="J195" i="2"/>
  <c r="A196" i="2"/>
  <c r="M195" i="2"/>
  <c r="P195" i="2"/>
  <c r="O195" i="2"/>
  <c r="K195" i="2"/>
  <c r="L195" i="2"/>
  <c r="N195" i="2"/>
  <c r="D195" i="2"/>
  <c r="I195" i="2"/>
  <c r="F193" i="2"/>
  <c r="G194" i="2" l="1"/>
  <c r="H194" i="2"/>
  <c r="F194" i="2"/>
  <c r="D196" i="2"/>
  <c r="O196" i="2"/>
  <c r="P196" i="2"/>
  <c r="K196" i="2"/>
  <c r="N196" i="2"/>
  <c r="M196" i="2"/>
  <c r="L196" i="2"/>
  <c r="J196" i="2"/>
  <c r="I196" i="2"/>
  <c r="A197" i="2"/>
  <c r="B195" i="2"/>
  <c r="H195" i="2" l="1"/>
  <c r="G195" i="2"/>
  <c r="B196" i="2"/>
  <c r="F195" i="2"/>
  <c r="O197" i="2"/>
  <c r="J197" i="2"/>
  <c r="I197" i="2"/>
  <c r="D197" i="2"/>
  <c r="M197" i="2"/>
  <c r="K197" i="2"/>
  <c r="A198" i="2"/>
  <c r="N197" i="2"/>
  <c r="L197" i="2"/>
  <c r="P197" i="2"/>
  <c r="H196" i="2" l="1"/>
  <c r="G196" i="2"/>
  <c r="A199" i="2"/>
  <c r="B197" i="2"/>
  <c r="F196" i="2"/>
  <c r="M198" i="2"/>
  <c r="J198" i="2"/>
  <c r="L198" i="2"/>
  <c r="I198" i="2"/>
  <c r="K198" i="2"/>
  <c r="P198" i="2"/>
  <c r="D198" i="2"/>
  <c r="O198" i="2"/>
  <c r="N198" i="2"/>
  <c r="F197" i="2" l="1"/>
  <c r="H197" i="2"/>
  <c r="G197" i="2"/>
  <c r="M199" i="2"/>
  <c r="I199" i="2"/>
  <c r="D199" i="2"/>
  <c r="P199" i="2"/>
  <c r="N199" i="2"/>
  <c r="A200" i="2"/>
  <c r="J199" i="2"/>
  <c r="K199" i="2"/>
  <c r="O199" i="2"/>
  <c r="L199" i="2"/>
  <c r="B198" i="2"/>
  <c r="Q59" i="115" l="1"/>
  <c r="Q9" i="115" s="1"/>
  <c r="Q7" i="115" s="1"/>
  <c r="Q8" i="115" s="1"/>
  <c r="Y59" i="115"/>
  <c r="Y9" i="115" s="1"/>
  <c r="Y7" i="115" s="1"/>
  <c r="Y8" i="115" s="1"/>
  <c r="O59" i="115"/>
  <c r="O9" i="115" s="1"/>
  <c r="W59" i="115"/>
  <c r="W9" i="115" s="1"/>
  <c r="W7" i="115" s="1"/>
  <c r="W8" i="115" s="1"/>
  <c r="K59" i="115"/>
  <c r="K9" i="115" s="1"/>
  <c r="K7" i="115" s="1"/>
  <c r="K8" i="115" s="1"/>
  <c r="M59" i="115"/>
  <c r="M9" i="115" s="1"/>
  <c r="M7" i="115" s="1"/>
  <c r="M8" i="115" s="1"/>
  <c r="S59" i="115"/>
  <c r="S9" i="115" s="1"/>
  <c r="S7" i="115" s="1"/>
  <c r="S8" i="115" s="1"/>
  <c r="U59" i="115"/>
  <c r="U9" i="115" s="1"/>
  <c r="U7" i="115" s="1"/>
  <c r="U8" i="115" s="1"/>
  <c r="F198" i="2"/>
  <c r="H198" i="2"/>
  <c r="G198" i="2"/>
  <c r="J200" i="2"/>
  <c r="K200" i="2"/>
  <c r="D200" i="2"/>
  <c r="O200" i="2"/>
  <c r="P200" i="2"/>
  <c r="M200" i="2"/>
  <c r="L200" i="2"/>
  <c r="N200" i="2"/>
  <c r="I200" i="2"/>
  <c r="A201" i="2"/>
  <c r="B199" i="2"/>
  <c r="C198" i="2"/>
  <c r="E198" i="2" s="1"/>
  <c r="C197" i="2"/>
  <c r="E197" i="2" s="1"/>
  <c r="C196" i="2"/>
  <c r="E196" i="2" s="1"/>
  <c r="C195" i="2"/>
  <c r="E195" i="2" s="1"/>
  <c r="C194" i="2"/>
  <c r="E194" i="2" s="1"/>
  <c r="C193" i="2"/>
  <c r="E193" i="2" s="1"/>
  <c r="C192" i="2"/>
  <c r="E192" i="2" s="1"/>
  <c r="C191" i="2"/>
  <c r="E191" i="2" s="1"/>
  <c r="C190" i="2"/>
  <c r="E190" i="2" s="1"/>
  <c r="C189" i="2"/>
  <c r="E189" i="2" s="1"/>
  <c r="C188" i="2"/>
  <c r="E188" i="2" s="1"/>
  <c r="C187" i="2"/>
  <c r="E187" i="2" s="1"/>
  <c r="C186" i="2"/>
  <c r="E186" i="2" s="1"/>
  <c r="C185" i="2"/>
  <c r="E185" i="2" s="1"/>
  <c r="C184" i="2"/>
  <c r="E184" i="2" s="1"/>
  <c r="C183" i="2"/>
  <c r="E183" i="2" s="1"/>
  <c r="C182" i="2"/>
  <c r="E182" i="2" s="1"/>
  <c r="C181" i="2"/>
  <c r="E181" i="2" s="1"/>
  <c r="C180" i="2"/>
  <c r="E180" i="2" s="1"/>
  <c r="C179" i="2"/>
  <c r="E179" i="2" s="1"/>
  <c r="C178" i="2"/>
  <c r="E178" i="2" s="1"/>
  <c r="C177" i="2"/>
  <c r="E177" i="2" s="1"/>
  <c r="C176" i="2"/>
  <c r="E176" i="2" s="1"/>
  <c r="C175" i="2"/>
  <c r="E175" i="2" s="1"/>
  <c r="C174" i="2"/>
  <c r="E174" i="2" s="1"/>
  <c r="C173" i="2"/>
  <c r="E173" i="2" s="1"/>
  <c r="C172" i="2"/>
  <c r="E172" i="2" s="1"/>
  <c r="C171" i="2"/>
  <c r="E171" i="2" s="1"/>
  <c r="C170" i="2"/>
  <c r="E170" i="2" s="1"/>
  <c r="C169" i="2"/>
  <c r="E169" i="2" s="1"/>
  <c r="C168" i="2"/>
  <c r="E168" i="2" s="1"/>
  <c r="C167" i="2"/>
  <c r="E167" i="2" s="1"/>
  <c r="C166" i="2"/>
  <c r="E166" i="2" s="1"/>
  <c r="C165" i="2"/>
  <c r="E165" i="2" s="1"/>
  <c r="C164" i="2"/>
  <c r="E164" i="2" s="1"/>
  <c r="C163" i="2"/>
  <c r="E163" i="2" s="1"/>
  <c r="C162" i="2"/>
  <c r="E162" i="2" s="1"/>
  <c r="C161" i="2"/>
  <c r="E161" i="2" s="1"/>
  <c r="C160" i="2"/>
  <c r="E160" i="2" s="1"/>
  <c r="C159" i="2"/>
  <c r="E159" i="2" s="1"/>
  <c r="C158" i="2"/>
  <c r="E158" i="2" s="1"/>
  <c r="C157" i="2"/>
  <c r="E157" i="2" s="1"/>
  <c r="C156" i="2"/>
  <c r="E156" i="2" s="1"/>
  <c r="C155" i="2"/>
  <c r="E155" i="2" s="1"/>
  <c r="C154" i="2"/>
  <c r="E154" i="2" s="1"/>
  <c r="C153" i="2"/>
  <c r="E153" i="2" s="1"/>
  <c r="C152" i="2"/>
  <c r="E152" i="2" s="1"/>
  <c r="C151" i="2"/>
  <c r="E151" i="2" s="1"/>
  <c r="C150" i="2"/>
  <c r="E150" i="2" s="1"/>
  <c r="C149" i="2"/>
  <c r="E149" i="2" s="1"/>
  <c r="C148" i="2"/>
  <c r="E148" i="2" s="1"/>
  <c r="C147" i="2"/>
  <c r="E147" i="2" s="1"/>
  <c r="C146" i="2"/>
  <c r="E146" i="2" s="1"/>
  <c r="C145" i="2"/>
  <c r="E145" i="2" s="1"/>
  <c r="C144" i="2"/>
  <c r="E144" i="2" s="1"/>
  <c r="C143" i="2"/>
  <c r="E143" i="2" s="1"/>
  <c r="C142" i="2"/>
  <c r="E142" i="2" s="1"/>
  <c r="C141" i="2"/>
  <c r="E141" i="2" s="1"/>
  <c r="C140" i="2"/>
  <c r="E140" i="2" s="1"/>
  <c r="C139" i="2"/>
  <c r="E139" i="2" s="1"/>
  <c r="C138" i="2"/>
  <c r="E138" i="2" s="1"/>
  <c r="C137" i="2"/>
  <c r="E137" i="2" s="1"/>
  <c r="C136" i="2"/>
  <c r="E136" i="2" s="1"/>
  <c r="C135" i="2"/>
  <c r="E135" i="2" s="1"/>
  <c r="C134" i="2"/>
  <c r="E134" i="2" s="1"/>
  <c r="C133" i="2"/>
  <c r="E133" i="2" s="1"/>
  <c r="C132" i="2"/>
  <c r="E132" i="2" s="1"/>
  <c r="C131" i="2"/>
  <c r="E131" i="2" s="1"/>
  <c r="C130" i="2"/>
  <c r="E130" i="2" s="1"/>
  <c r="C129" i="2"/>
  <c r="E129" i="2" s="1"/>
  <c r="C128" i="2"/>
  <c r="E128" i="2" s="1"/>
  <c r="C127" i="2"/>
  <c r="E127" i="2" s="1"/>
  <c r="C126" i="2"/>
  <c r="E126" i="2" s="1"/>
  <c r="C125" i="2"/>
  <c r="E125" i="2" s="1"/>
  <c r="C124" i="2"/>
  <c r="E124" i="2" s="1"/>
  <c r="C123" i="2"/>
  <c r="E123" i="2" s="1"/>
  <c r="C122" i="2"/>
  <c r="E122" i="2" s="1"/>
  <c r="C121" i="2"/>
  <c r="E121" i="2" s="1"/>
  <c r="C120" i="2"/>
  <c r="E120" i="2" s="1"/>
  <c r="C119" i="2"/>
  <c r="E119" i="2" s="1"/>
  <c r="C118" i="2"/>
  <c r="E118" i="2" s="1"/>
  <c r="C117" i="2"/>
  <c r="E117" i="2" s="1"/>
  <c r="C116" i="2"/>
  <c r="E116" i="2" s="1"/>
  <c r="C115" i="2"/>
  <c r="E115" i="2" s="1"/>
  <c r="C114" i="2"/>
  <c r="E114" i="2" s="1"/>
  <c r="C113" i="2"/>
  <c r="E113" i="2" s="1"/>
  <c r="C112" i="2"/>
  <c r="E112" i="2" s="1"/>
  <c r="C111" i="2"/>
  <c r="E111" i="2" s="1"/>
  <c r="C110" i="2"/>
  <c r="E110" i="2" s="1"/>
  <c r="C109" i="2"/>
  <c r="E109" i="2" s="1"/>
  <c r="C108" i="2"/>
  <c r="E108" i="2" s="1"/>
  <c r="C107" i="2"/>
  <c r="E107" i="2" s="1"/>
  <c r="C106" i="2"/>
  <c r="E106" i="2" s="1"/>
  <c r="C105" i="2"/>
  <c r="E105" i="2" s="1"/>
  <c r="C104" i="2"/>
  <c r="E104" i="2" s="1"/>
  <c r="C103" i="2"/>
  <c r="E103" i="2" s="1"/>
  <c r="C102" i="2"/>
  <c r="E102" i="2" s="1"/>
  <c r="C101" i="2"/>
  <c r="E101" i="2" s="1"/>
  <c r="C100" i="2"/>
  <c r="E100" i="2" s="1"/>
  <c r="C99" i="2"/>
  <c r="E99" i="2" s="1"/>
  <c r="C98" i="2"/>
  <c r="E98" i="2" s="1"/>
  <c r="C97" i="2"/>
  <c r="E97" i="2" s="1"/>
  <c r="C96" i="2"/>
  <c r="E96" i="2" s="1"/>
  <c r="C95" i="2"/>
  <c r="E95" i="2" s="1"/>
  <c r="C94" i="2"/>
  <c r="E94" i="2" s="1"/>
  <c r="C93" i="2"/>
  <c r="E93" i="2" s="1"/>
  <c r="C92" i="2"/>
  <c r="E92" i="2" s="1"/>
  <c r="C91" i="2"/>
  <c r="E91" i="2" s="1"/>
  <c r="C90" i="2"/>
  <c r="E90" i="2" s="1"/>
  <c r="C89" i="2"/>
  <c r="E89" i="2" s="1"/>
  <c r="C88" i="2"/>
  <c r="E88" i="2" s="1"/>
  <c r="C87" i="2"/>
  <c r="E87" i="2" s="1"/>
  <c r="C86" i="2"/>
  <c r="E86" i="2" s="1"/>
  <c r="C84" i="2"/>
  <c r="E84" i="2" s="1"/>
  <c r="C85" i="2"/>
  <c r="E85" i="2" s="1"/>
  <c r="C83" i="2"/>
  <c r="E83" i="2" s="1"/>
  <c r="C82" i="2"/>
  <c r="E82" i="2" s="1"/>
  <c r="C81" i="2"/>
  <c r="E81" i="2" s="1"/>
  <c r="C80" i="2"/>
  <c r="E80" i="2" s="1"/>
  <c r="C79" i="2"/>
  <c r="E79" i="2" s="1"/>
  <c r="C78" i="2"/>
  <c r="E78" i="2" s="1"/>
  <c r="C77" i="2"/>
  <c r="E77" i="2" s="1"/>
  <c r="C76" i="2"/>
  <c r="E76" i="2" s="1"/>
  <c r="C75" i="2"/>
  <c r="E75" i="2" s="1"/>
  <c r="C74" i="2"/>
  <c r="E74" i="2" s="1"/>
  <c r="C73" i="2"/>
  <c r="E73" i="2" s="1"/>
  <c r="C72" i="2"/>
  <c r="E72" i="2" s="1"/>
  <c r="C71" i="2"/>
  <c r="E71" i="2" s="1"/>
  <c r="C70" i="2"/>
  <c r="E70" i="2" s="1"/>
  <c r="C69" i="2"/>
  <c r="E69" i="2" s="1"/>
  <c r="C68" i="2"/>
  <c r="E68" i="2" s="1"/>
  <c r="C67" i="2"/>
  <c r="E67" i="2" s="1"/>
  <c r="C66" i="2"/>
  <c r="E66" i="2" s="1"/>
  <c r="C65" i="2"/>
  <c r="E65" i="2" s="1"/>
  <c r="C64" i="2"/>
  <c r="E64" i="2" s="1"/>
  <c r="C63" i="2"/>
  <c r="E63" i="2" s="1"/>
  <c r="C62" i="2"/>
  <c r="E62" i="2" s="1"/>
  <c r="C61" i="2"/>
  <c r="E61" i="2" s="1"/>
  <c r="C60" i="2"/>
  <c r="E60" i="2" s="1"/>
  <c r="C59" i="2"/>
  <c r="E59" i="2" s="1"/>
  <c r="C58" i="2"/>
  <c r="E58" i="2" s="1"/>
  <c r="C57" i="2"/>
  <c r="E57" i="2" s="1"/>
  <c r="C56" i="2"/>
  <c r="E56" i="2" s="1"/>
  <c r="C55" i="2"/>
  <c r="E55" i="2" s="1"/>
  <c r="C54" i="2"/>
  <c r="E54" i="2" s="1"/>
  <c r="C53" i="2"/>
  <c r="E53" i="2" s="1"/>
  <c r="C52" i="2"/>
  <c r="E52" i="2" s="1"/>
  <c r="C51" i="2"/>
  <c r="E51" i="2" s="1"/>
  <c r="C50" i="2"/>
  <c r="E50" i="2" s="1"/>
  <c r="C49" i="2"/>
  <c r="E49" i="2" s="1"/>
  <c r="C48" i="2"/>
  <c r="E48" i="2" s="1"/>
  <c r="C47" i="2"/>
  <c r="E47" i="2" s="1"/>
  <c r="C46" i="2"/>
  <c r="E46" i="2" s="1"/>
  <c r="C45" i="2"/>
  <c r="E45" i="2" s="1"/>
  <c r="C44" i="2"/>
  <c r="E44" i="2" s="1"/>
  <c r="C43" i="2"/>
  <c r="E43" i="2" s="1"/>
  <c r="C42" i="2"/>
  <c r="E42" i="2" s="1"/>
  <c r="C41" i="2"/>
  <c r="E41" i="2" s="1"/>
  <c r="C40" i="2"/>
  <c r="E40" i="2" s="1"/>
  <c r="C39" i="2"/>
  <c r="E39" i="2" s="1"/>
  <c r="C38" i="2"/>
  <c r="E38" i="2" s="1"/>
  <c r="C37" i="2"/>
  <c r="E37" i="2" s="1"/>
  <c r="C36" i="2"/>
  <c r="E36" i="2" s="1"/>
  <c r="C35" i="2"/>
  <c r="E35" i="2" s="1"/>
  <c r="C34" i="2"/>
  <c r="E34" i="2" s="1"/>
  <c r="C33" i="2"/>
  <c r="E33" i="2" s="1"/>
  <c r="C32" i="2"/>
  <c r="E32" i="2" s="1"/>
  <c r="C19" i="2"/>
  <c r="E19" i="2" s="1"/>
  <c r="C30" i="2"/>
  <c r="E30" i="2" s="1"/>
  <c r="C21" i="2"/>
  <c r="E21" i="2" s="1"/>
  <c r="C11" i="2"/>
  <c r="E11" i="2" s="1"/>
  <c r="C3" i="2"/>
  <c r="E3" i="2" s="1"/>
  <c r="C31" i="2"/>
  <c r="E31" i="2" s="1"/>
  <c r="C9" i="2"/>
  <c r="E9" i="2" s="1"/>
  <c r="C201" i="2"/>
  <c r="C4" i="2"/>
  <c r="E4" i="2" s="1"/>
  <c r="C15" i="2"/>
  <c r="E15" i="2" s="1"/>
  <c r="C5" i="2"/>
  <c r="E5" i="2" s="1"/>
  <c r="C20" i="2"/>
  <c r="E20" i="2" s="1"/>
  <c r="C18" i="2"/>
  <c r="E18" i="2" s="1"/>
  <c r="C200" i="2"/>
  <c r="C16" i="2"/>
  <c r="E16" i="2" s="1"/>
  <c r="C7" i="2"/>
  <c r="E7" i="2" s="1"/>
  <c r="C12" i="2"/>
  <c r="E12" i="2" s="1"/>
  <c r="C25" i="2"/>
  <c r="E25" i="2" s="1"/>
  <c r="C14" i="2"/>
  <c r="E14" i="2" s="1"/>
  <c r="C10" i="2"/>
  <c r="E10" i="2" s="1"/>
  <c r="C22" i="2"/>
  <c r="E22" i="2" s="1"/>
  <c r="C8" i="2"/>
  <c r="E8" i="2" s="1"/>
  <c r="C28" i="2"/>
  <c r="E28" i="2" s="1"/>
  <c r="C17" i="2"/>
  <c r="E17" i="2" s="1"/>
  <c r="C199" i="2"/>
  <c r="C29" i="2"/>
  <c r="E29" i="2" s="1"/>
  <c r="C13" i="2"/>
  <c r="E13" i="2" s="1"/>
  <c r="C6" i="2"/>
  <c r="E6" i="2" s="1"/>
  <c r="C23" i="2"/>
  <c r="E23" i="2" s="1"/>
  <c r="C26" i="2"/>
  <c r="E26" i="2" s="1"/>
  <c r="C24" i="2"/>
  <c r="E24" i="2" s="1"/>
  <c r="C27" i="2"/>
  <c r="E27" i="2" s="1"/>
  <c r="AR8" i="3"/>
  <c r="AS8" i="3" s="1"/>
  <c r="AR6" i="3"/>
  <c r="AS6" i="3" s="1"/>
  <c r="AR5" i="3"/>
  <c r="AS5" i="3" s="1"/>
  <c r="AR16" i="3"/>
  <c r="AS16" i="3" s="1"/>
  <c r="AR15" i="3"/>
  <c r="AS15" i="3" s="1"/>
  <c r="AR21" i="3"/>
  <c r="AS21" i="3" s="1"/>
  <c r="AR7" i="3"/>
  <c r="AS7" i="3" s="1"/>
  <c r="AR9" i="3"/>
  <c r="AS9" i="3" s="1"/>
  <c r="AR10" i="3"/>
  <c r="AS10" i="3" s="1"/>
  <c r="AR11" i="3"/>
  <c r="AS11" i="3" s="1"/>
  <c r="AR12" i="3"/>
  <c r="AS12" i="3" s="1"/>
  <c r="AR20" i="3"/>
  <c r="AS20" i="3" s="1"/>
  <c r="AR19" i="3"/>
  <c r="AS19" i="3" s="1"/>
  <c r="AR13" i="3"/>
  <c r="AS13" i="3" s="1"/>
  <c r="AR18" i="3"/>
  <c r="AS18" i="3" s="1"/>
  <c r="AR17" i="3"/>
  <c r="AS17" i="3" s="1"/>
  <c r="AR4" i="3"/>
  <c r="AS4" i="3" s="1"/>
  <c r="AR14" i="3"/>
  <c r="AS14" i="3" s="1"/>
  <c r="O7" i="115" l="1"/>
  <c r="O8" i="115" s="1"/>
  <c r="F199" i="2"/>
  <c r="H199" i="2"/>
  <c r="G199" i="2"/>
  <c r="E199" i="2"/>
  <c r="I201" i="2"/>
  <c r="K201" i="2"/>
  <c r="P201" i="2"/>
  <c r="O201" i="2"/>
  <c r="M201" i="2"/>
  <c r="L201" i="2"/>
  <c r="D201" i="2"/>
  <c r="N201" i="2"/>
  <c r="J201" i="2"/>
  <c r="A202" i="2"/>
  <c r="B200" i="2"/>
  <c r="AS1" i="3"/>
  <c r="AR2" i="3" s="1"/>
  <c r="L72" i="49"/>
  <c r="L17" i="49"/>
  <c r="Y17" i="49" s="1"/>
  <c r="H8" i="115" l="1"/>
  <c r="F200" i="2"/>
  <c r="G200" i="2"/>
  <c r="H200" i="2"/>
  <c r="L202" i="2"/>
  <c r="K202" i="2"/>
  <c r="J202" i="2"/>
  <c r="N202" i="2"/>
  <c r="O202" i="2"/>
  <c r="I202" i="2"/>
  <c r="M202" i="2"/>
  <c r="A203" i="2"/>
  <c r="D202" i="2"/>
  <c r="P202" i="2"/>
  <c r="C202" i="2"/>
  <c r="B201" i="2"/>
  <c r="E200" i="2"/>
  <c r="Y72" i="49"/>
  <c r="Q100" i="49" s="1"/>
  <c r="Q89" i="49"/>
  <c r="L71" i="49"/>
  <c r="L62" i="49"/>
  <c r="L73" i="49" s="1"/>
  <c r="Y36" i="49"/>
  <c r="Y27" i="49"/>
  <c r="L70" i="49"/>
  <c r="W89" i="49" l="1"/>
  <c r="Y73" i="49"/>
  <c r="U5" i="115"/>
  <c r="AD5" i="115" s="1"/>
  <c r="S5" i="115"/>
  <c r="AD6" i="115" s="1"/>
  <c r="K5" i="115"/>
  <c r="Y5" i="115"/>
  <c r="AD9" i="115" s="1"/>
  <c r="M5" i="115"/>
  <c r="AD2" i="115" s="1"/>
  <c r="W5" i="115"/>
  <c r="AD4" i="115" s="1"/>
  <c r="Q5" i="115"/>
  <c r="AD7" i="115" s="1"/>
  <c r="O5" i="115"/>
  <c r="AD8" i="115" s="1"/>
  <c r="H201" i="2"/>
  <c r="G201" i="2"/>
  <c r="B202" i="2"/>
  <c r="F201" i="2"/>
  <c r="E201" i="2"/>
  <c r="L77" i="49"/>
  <c r="Y89" i="49" s="1"/>
  <c r="I203" i="2"/>
  <c r="L203" i="2"/>
  <c r="K203" i="2"/>
  <c r="N203" i="2"/>
  <c r="P203" i="2"/>
  <c r="J203" i="2"/>
  <c r="O203" i="2"/>
  <c r="D203" i="2"/>
  <c r="M203" i="2"/>
  <c r="C203" i="2"/>
  <c r="Z72" i="49"/>
  <c r="Q102" i="49" s="1"/>
  <c r="Y71" i="49"/>
  <c r="O100" i="49" s="1"/>
  <c r="O89" i="49"/>
  <c r="Y62" i="49"/>
  <c r="Y70" i="49"/>
  <c r="M89" i="49"/>
  <c r="K2" i="117" l="1"/>
  <c r="AE4" i="115"/>
  <c r="N2" i="117"/>
  <c r="AE7" i="115"/>
  <c r="P2" i="117"/>
  <c r="AE9" i="115"/>
  <c r="I2" i="117"/>
  <c r="AE2" i="115"/>
  <c r="M2" i="117"/>
  <c r="AE6" i="115"/>
  <c r="L2" i="117"/>
  <c r="AE8" i="115"/>
  <c r="Z50" i="115"/>
  <c r="AA50" i="115" s="1"/>
  <c r="Z15" i="115"/>
  <c r="AA15" i="115" s="1"/>
  <c r="Z45" i="115"/>
  <c r="AA45" i="115" s="1"/>
  <c r="Z33" i="115"/>
  <c r="AA33" i="115" s="1"/>
  <c r="Z55" i="115"/>
  <c r="AA55" i="115" s="1"/>
  <c r="Z67" i="115"/>
  <c r="AA67" i="115" s="1"/>
  <c r="Z23" i="115"/>
  <c r="AA23" i="115" s="1"/>
  <c r="Z37" i="115"/>
  <c r="AA37" i="115" s="1"/>
  <c r="Z68" i="115"/>
  <c r="AA68" i="115" s="1"/>
  <c r="Z78" i="115"/>
  <c r="AA78" i="115" s="1"/>
  <c r="Z16" i="115"/>
  <c r="AA16" i="115" s="1"/>
  <c r="Z77" i="115"/>
  <c r="AA77" i="115" s="1"/>
  <c r="AD3" i="115"/>
  <c r="B4" i="120" s="1"/>
  <c r="Z47" i="115"/>
  <c r="AA47" i="115" s="1"/>
  <c r="Z75" i="115"/>
  <c r="AA75" i="115" s="1"/>
  <c r="Z46" i="115"/>
  <c r="AA46" i="115" s="1"/>
  <c r="Z59" i="115"/>
  <c r="AA59" i="115" s="1"/>
  <c r="Z26" i="115"/>
  <c r="AA26" i="115" s="1"/>
  <c r="Z39" i="115"/>
  <c r="AA39" i="115" s="1"/>
  <c r="Z54" i="115"/>
  <c r="AA54" i="115" s="1"/>
  <c r="Z53" i="115"/>
  <c r="AA53" i="115" s="1"/>
  <c r="Z48" i="115"/>
  <c r="AA48" i="115" s="1"/>
  <c r="Z36" i="115"/>
  <c r="AA36" i="115" s="1"/>
  <c r="Z63" i="115"/>
  <c r="AA63" i="115" s="1"/>
  <c r="Z40" i="115"/>
  <c r="AA40" i="115" s="1"/>
  <c r="Z12" i="115"/>
  <c r="AA12" i="115" s="1"/>
  <c r="Z10" i="115"/>
  <c r="AA10" i="115" s="1"/>
  <c r="Z34" i="115"/>
  <c r="AA34" i="115" s="1"/>
  <c r="Z61" i="115"/>
  <c r="AA61" i="115" s="1"/>
  <c r="Z13" i="115"/>
  <c r="AA13" i="115" s="1"/>
  <c r="Z30" i="115"/>
  <c r="AA30" i="115" s="1"/>
  <c r="Z38" i="115"/>
  <c r="AA38" i="115" s="1"/>
  <c r="Z25" i="115"/>
  <c r="AA25" i="115" s="1"/>
  <c r="Z64" i="115"/>
  <c r="AA64" i="115" s="1"/>
  <c r="Z58" i="115"/>
  <c r="AA58" i="115" s="1"/>
  <c r="Z31" i="115"/>
  <c r="AA31" i="115" s="1"/>
  <c r="Z28" i="115"/>
  <c r="AA28" i="115" s="1"/>
  <c r="Z60" i="115"/>
  <c r="AA60" i="115" s="1"/>
  <c r="Z62" i="115"/>
  <c r="AA62" i="115" s="1"/>
  <c r="Z52" i="115"/>
  <c r="AA52" i="115" s="1"/>
  <c r="Z20" i="115"/>
  <c r="AA20" i="115" s="1"/>
  <c r="Z18" i="115"/>
  <c r="AA18" i="115" s="1"/>
  <c r="Z43" i="115"/>
  <c r="AA43" i="115" s="1"/>
  <c r="Z65" i="115"/>
  <c r="AA65" i="115" s="1"/>
  <c r="Z14" i="115"/>
  <c r="AA14" i="115" s="1"/>
  <c r="Z44" i="115"/>
  <c r="AA44" i="115" s="1"/>
  <c r="Z51" i="115"/>
  <c r="AA51" i="115" s="1"/>
  <c r="Z70" i="115"/>
  <c r="AA70" i="115" s="1"/>
  <c r="Z19" i="115"/>
  <c r="AA19" i="115" s="1"/>
  <c r="Z73" i="115"/>
  <c r="AA73" i="115" s="1"/>
  <c r="Z72" i="115"/>
  <c r="AA72" i="115" s="1"/>
  <c r="Z29" i="115"/>
  <c r="AA29" i="115" s="1"/>
  <c r="Z57" i="115"/>
  <c r="AA57" i="115" s="1"/>
  <c r="Z49" i="115"/>
  <c r="AA49" i="115" s="1"/>
  <c r="Z21" i="115"/>
  <c r="AA21" i="115" s="1"/>
  <c r="Z11" i="115"/>
  <c r="AA11" i="115" s="1"/>
  <c r="Z56" i="115"/>
  <c r="AA56" i="115" s="1"/>
  <c r="Z42" i="115"/>
  <c r="AA42" i="115" s="1"/>
  <c r="Z17" i="115"/>
  <c r="AA17" i="115" s="1"/>
  <c r="Z69" i="115"/>
  <c r="AA69" i="115" s="1"/>
  <c r="Z66" i="115"/>
  <c r="AA66" i="115" s="1"/>
  <c r="Z35" i="115"/>
  <c r="AA35" i="115" s="1"/>
  <c r="Z71" i="115"/>
  <c r="AA71" i="115" s="1"/>
  <c r="Z32" i="115"/>
  <c r="AA32" i="115" s="1"/>
  <c r="Z74" i="115"/>
  <c r="AA74" i="115" s="1"/>
  <c r="Z41" i="115"/>
  <c r="AA41" i="115" s="1"/>
  <c r="Z76" i="115"/>
  <c r="AA76" i="115" s="1"/>
  <c r="Z27" i="115"/>
  <c r="AA27" i="115" s="1"/>
  <c r="Z24" i="115"/>
  <c r="AA24" i="115" s="1"/>
  <c r="Z22" i="115"/>
  <c r="AA22" i="115" s="1"/>
  <c r="O2" i="117"/>
  <c r="AE5" i="115"/>
  <c r="Z73" i="49"/>
  <c r="W102" i="49" s="1"/>
  <c r="W100" i="49"/>
  <c r="F202" i="2"/>
  <c r="H202" i="2"/>
  <c r="G202" i="2"/>
  <c r="Y78" i="49"/>
  <c r="E202" i="2"/>
  <c r="Y77" i="49"/>
  <c r="B203" i="2"/>
  <c r="Z71" i="49"/>
  <c r="O102" i="49" s="1"/>
  <c r="Z70" i="49"/>
  <c r="M102" i="49" s="1"/>
  <c r="M100" i="49"/>
  <c r="H4" i="120" l="1"/>
  <c r="E4" i="120"/>
  <c r="G4" i="120"/>
  <c r="F4" i="120"/>
  <c r="B194" i="120"/>
  <c r="B169" i="120"/>
  <c r="B157" i="120"/>
  <c r="B146" i="120"/>
  <c r="B134" i="120"/>
  <c r="B123" i="120"/>
  <c r="B110" i="120"/>
  <c r="B98" i="120"/>
  <c r="B86" i="120"/>
  <c r="B74" i="120"/>
  <c r="B61" i="120"/>
  <c r="B50" i="120"/>
  <c r="B22" i="120"/>
  <c r="B16" i="120"/>
  <c r="B9" i="120"/>
  <c r="B182" i="120"/>
  <c r="B193" i="120"/>
  <c r="B181" i="120"/>
  <c r="B170" i="120"/>
  <c r="B158" i="120"/>
  <c r="B144" i="120"/>
  <c r="B132" i="120"/>
  <c r="B121" i="120"/>
  <c r="B109" i="120"/>
  <c r="B97" i="120"/>
  <c r="B84" i="120"/>
  <c r="B73" i="120"/>
  <c r="B62" i="120"/>
  <c r="B49" i="120"/>
  <c r="B20" i="120"/>
  <c r="B33" i="120"/>
  <c r="B8" i="120"/>
  <c r="B192" i="120"/>
  <c r="B180" i="120"/>
  <c r="B168" i="120"/>
  <c r="B156" i="120"/>
  <c r="B145" i="120"/>
  <c r="B133" i="120"/>
  <c r="B120" i="120"/>
  <c r="B108" i="120"/>
  <c r="B96" i="120"/>
  <c r="B85" i="120"/>
  <c r="B72" i="120"/>
  <c r="B60" i="120"/>
  <c r="B48" i="120"/>
  <c r="B39" i="120"/>
  <c r="B14" i="120"/>
  <c r="B27" i="120"/>
  <c r="B202" i="120"/>
  <c r="B190" i="120"/>
  <c r="B179" i="120"/>
  <c r="B167" i="120"/>
  <c r="B155" i="120"/>
  <c r="B143" i="120"/>
  <c r="B131" i="120"/>
  <c r="B119" i="120"/>
  <c r="B107" i="120"/>
  <c r="B95" i="120"/>
  <c r="B83" i="120"/>
  <c r="B71" i="120"/>
  <c r="B58" i="120"/>
  <c r="B47" i="120"/>
  <c r="B19" i="120"/>
  <c r="B13" i="120"/>
  <c r="B7" i="120"/>
  <c r="B203" i="120"/>
  <c r="B191" i="120"/>
  <c r="B177" i="120"/>
  <c r="B165" i="120"/>
  <c r="B153" i="120"/>
  <c r="B141" i="120"/>
  <c r="B130" i="120"/>
  <c r="B117" i="120"/>
  <c r="B105" i="120"/>
  <c r="B94" i="120"/>
  <c r="B82" i="120"/>
  <c r="B69" i="120"/>
  <c r="B59" i="120"/>
  <c r="B46" i="120"/>
  <c r="B18" i="120"/>
  <c r="B32" i="120"/>
  <c r="B5" i="120"/>
  <c r="B201" i="120"/>
  <c r="B189" i="120"/>
  <c r="B178" i="120"/>
  <c r="B166" i="120"/>
  <c r="B154" i="120"/>
  <c r="B142" i="120"/>
  <c r="B128" i="120"/>
  <c r="B118" i="120"/>
  <c r="B106" i="120"/>
  <c r="B93" i="120"/>
  <c r="B81" i="120"/>
  <c r="B70" i="120"/>
  <c r="B57" i="120"/>
  <c r="B45" i="120"/>
  <c r="B38" i="120"/>
  <c r="B31" i="120"/>
  <c r="B26" i="120"/>
  <c r="B200" i="120"/>
  <c r="B188" i="120"/>
  <c r="B176" i="120"/>
  <c r="B164" i="120"/>
  <c r="B151" i="120"/>
  <c r="B140" i="120"/>
  <c r="B129" i="120"/>
  <c r="B116" i="120"/>
  <c r="B104" i="120"/>
  <c r="B92" i="120"/>
  <c r="B80" i="120"/>
  <c r="B68" i="120"/>
  <c r="B56" i="120"/>
  <c r="B44" i="120"/>
  <c r="B37" i="120"/>
  <c r="B12" i="120"/>
  <c r="B23" i="120"/>
  <c r="B199" i="120"/>
  <c r="B186" i="120"/>
  <c r="B174" i="120"/>
  <c r="B163" i="120"/>
  <c r="B152" i="120"/>
  <c r="B139" i="120"/>
  <c r="B127" i="120"/>
  <c r="B115" i="120"/>
  <c r="B102" i="120"/>
  <c r="B90" i="120"/>
  <c r="B79" i="120"/>
  <c r="B67" i="120"/>
  <c r="B55" i="120"/>
  <c r="B42" i="120"/>
  <c r="B36" i="120"/>
  <c r="B29" i="120"/>
  <c r="B25" i="120"/>
  <c r="B198" i="120"/>
  <c r="B187" i="120"/>
  <c r="B175" i="120"/>
  <c r="B162" i="120"/>
  <c r="B150" i="120"/>
  <c r="B138" i="120"/>
  <c r="B126" i="120"/>
  <c r="B114" i="120"/>
  <c r="B103" i="120"/>
  <c r="B91" i="120"/>
  <c r="B78" i="120"/>
  <c r="B66" i="120"/>
  <c r="B54" i="120"/>
  <c r="B43" i="120"/>
  <c r="B35" i="120"/>
  <c r="B30" i="120"/>
  <c r="B6" i="120"/>
  <c r="B197" i="120"/>
  <c r="B185" i="120"/>
  <c r="B173" i="120"/>
  <c r="B161" i="120"/>
  <c r="B149" i="120"/>
  <c r="B137" i="120"/>
  <c r="B125" i="120"/>
  <c r="B113" i="120"/>
  <c r="B101" i="120"/>
  <c r="B89" i="120"/>
  <c r="B77" i="120"/>
  <c r="B65" i="120"/>
  <c r="B52" i="120"/>
  <c r="B41" i="120"/>
  <c r="B17" i="120"/>
  <c r="B10" i="120"/>
  <c r="B3" i="120"/>
  <c r="B195" i="120"/>
  <c r="B184" i="120"/>
  <c r="B171" i="120"/>
  <c r="B159" i="120"/>
  <c r="B147" i="120"/>
  <c r="B136" i="120"/>
  <c r="B124" i="120"/>
  <c r="B111" i="120"/>
  <c r="B100" i="120"/>
  <c r="B88" i="120"/>
  <c r="B76" i="120"/>
  <c r="B64" i="120"/>
  <c r="B53" i="120"/>
  <c r="B40" i="120"/>
  <c r="B15" i="120"/>
  <c r="B11" i="120"/>
  <c r="B24" i="120"/>
  <c r="B196" i="120"/>
  <c r="B183" i="120"/>
  <c r="B172" i="120"/>
  <c r="B160" i="120"/>
  <c r="B148" i="120"/>
  <c r="B135" i="120"/>
  <c r="B122" i="120"/>
  <c r="B112" i="120"/>
  <c r="B99" i="120"/>
  <c r="B87" i="120"/>
  <c r="B75" i="120"/>
  <c r="B63" i="120"/>
  <c r="B51" i="120"/>
  <c r="B21" i="120"/>
  <c r="B34" i="120"/>
  <c r="B28" i="120"/>
  <c r="AA9" i="115"/>
  <c r="AA7" i="115" s="1"/>
  <c r="AA8" i="115" s="1"/>
  <c r="J2" i="117"/>
  <c r="B4" i="117" s="1"/>
  <c r="AE3" i="115"/>
  <c r="F203" i="2"/>
  <c r="H203" i="2"/>
  <c r="G203" i="2"/>
  <c r="E203" i="2"/>
  <c r="G79" i="49"/>
  <c r="E79" i="49" s="1"/>
  <c r="B6" i="60"/>
  <c r="Z77" i="49"/>
  <c r="Y100" i="49"/>
  <c r="H160" i="120" l="1"/>
  <c r="G160" i="120"/>
  <c r="F160" i="120"/>
  <c r="E160" i="120"/>
  <c r="H100" i="120"/>
  <c r="F100" i="120"/>
  <c r="G100" i="120"/>
  <c r="E100" i="120"/>
  <c r="H41" i="120"/>
  <c r="G41" i="120"/>
  <c r="E41" i="120"/>
  <c r="F41" i="120"/>
  <c r="H185" i="120"/>
  <c r="G185" i="120"/>
  <c r="E185" i="120"/>
  <c r="F185" i="120"/>
  <c r="H126" i="120"/>
  <c r="G126" i="120"/>
  <c r="F126" i="120"/>
  <c r="E126" i="120"/>
  <c r="G67" i="120"/>
  <c r="H67" i="120"/>
  <c r="F67" i="120"/>
  <c r="E67" i="120"/>
  <c r="F23" i="120"/>
  <c r="G23" i="120"/>
  <c r="E23" i="120"/>
  <c r="H23" i="120"/>
  <c r="G151" i="120"/>
  <c r="H151" i="120"/>
  <c r="F151" i="120"/>
  <c r="E151" i="120"/>
  <c r="H93" i="120"/>
  <c r="E93" i="120"/>
  <c r="G93" i="120"/>
  <c r="F93" i="120"/>
  <c r="H18" i="120"/>
  <c r="E18" i="120"/>
  <c r="G18" i="120"/>
  <c r="F18" i="120"/>
  <c r="H177" i="120"/>
  <c r="G177" i="120"/>
  <c r="E177" i="120"/>
  <c r="F177" i="120"/>
  <c r="H119" i="120"/>
  <c r="G119" i="120"/>
  <c r="F119" i="120"/>
  <c r="E119" i="120"/>
  <c r="H60" i="120"/>
  <c r="G60" i="120"/>
  <c r="F60" i="120"/>
  <c r="E60" i="120"/>
  <c r="G8" i="120"/>
  <c r="E8" i="120"/>
  <c r="F8" i="120"/>
  <c r="H8" i="120"/>
  <c r="H158" i="120"/>
  <c r="G158" i="120"/>
  <c r="F158" i="120"/>
  <c r="E158" i="120"/>
  <c r="H98" i="120"/>
  <c r="G98" i="120"/>
  <c r="F98" i="120"/>
  <c r="E98" i="120"/>
  <c r="G79" i="120"/>
  <c r="H79" i="120"/>
  <c r="E79" i="120"/>
  <c r="F79" i="120"/>
  <c r="F12" i="120"/>
  <c r="E12" i="120"/>
  <c r="H12" i="120"/>
  <c r="G12" i="120"/>
  <c r="H164" i="120"/>
  <c r="G164" i="120"/>
  <c r="F164" i="120"/>
  <c r="E164" i="120"/>
  <c r="H106" i="120"/>
  <c r="G106" i="120"/>
  <c r="F106" i="120"/>
  <c r="E106" i="120"/>
  <c r="H46" i="120"/>
  <c r="G46" i="120"/>
  <c r="E46" i="120"/>
  <c r="F46" i="120"/>
  <c r="H191" i="120"/>
  <c r="G191" i="120"/>
  <c r="F191" i="120"/>
  <c r="E191" i="120"/>
  <c r="H131" i="120"/>
  <c r="G131" i="120"/>
  <c r="F131" i="120"/>
  <c r="E131" i="120"/>
  <c r="H72" i="120"/>
  <c r="G72" i="120"/>
  <c r="F72" i="120"/>
  <c r="E72" i="120"/>
  <c r="H33" i="120"/>
  <c r="G33" i="120"/>
  <c r="F33" i="120"/>
  <c r="E33" i="120"/>
  <c r="H170" i="120"/>
  <c r="G170" i="120"/>
  <c r="F170" i="120"/>
  <c r="E170" i="120"/>
  <c r="H110" i="120"/>
  <c r="G110" i="120"/>
  <c r="E110" i="120"/>
  <c r="F110" i="120"/>
  <c r="H124" i="120"/>
  <c r="G124" i="120"/>
  <c r="E124" i="120"/>
  <c r="F124" i="120"/>
  <c r="H65" i="120"/>
  <c r="G65" i="120"/>
  <c r="F65" i="120"/>
  <c r="E65" i="120"/>
  <c r="G6" i="120"/>
  <c r="F6" i="120"/>
  <c r="E6" i="120"/>
  <c r="H6" i="120"/>
  <c r="H150" i="120"/>
  <c r="G150" i="120"/>
  <c r="E150" i="120"/>
  <c r="F150" i="120"/>
  <c r="G90" i="120"/>
  <c r="E90" i="120"/>
  <c r="H90" i="120"/>
  <c r="F90" i="120"/>
  <c r="F37" i="120"/>
  <c r="E37" i="120"/>
  <c r="G37" i="120"/>
  <c r="H37" i="120"/>
  <c r="H176" i="120"/>
  <c r="G176" i="120"/>
  <c r="F176" i="120"/>
  <c r="E176" i="120"/>
  <c r="F118" i="120"/>
  <c r="G118" i="120"/>
  <c r="E118" i="120"/>
  <c r="H118" i="120"/>
  <c r="H59" i="120"/>
  <c r="G59" i="120"/>
  <c r="E59" i="120"/>
  <c r="F59" i="120"/>
  <c r="H203" i="120"/>
  <c r="G203" i="120"/>
  <c r="E203" i="120"/>
  <c r="F203" i="120"/>
  <c r="H143" i="120"/>
  <c r="G143" i="120"/>
  <c r="E143" i="120"/>
  <c r="F143" i="120"/>
  <c r="F85" i="120"/>
  <c r="E85" i="120"/>
  <c r="G85" i="120"/>
  <c r="H85" i="120"/>
  <c r="H20" i="120"/>
  <c r="G20" i="120"/>
  <c r="E20" i="120"/>
  <c r="F20" i="120"/>
  <c r="G181" i="120"/>
  <c r="H181" i="120"/>
  <c r="F181" i="120"/>
  <c r="E181" i="120"/>
  <c r="H123" i="120"/>
  <c r="G123" i="120"/>
  <c r="F123" i="120"/>
  <c r="E123" i="120"/>
  <c r="H136" i="120"/>
  <c r="G136" i="120"/>
  <c r="E136" i="120"/>
  <c r="F136" i="120"/>
  <c r="H102" i="120"/>
  <c r="G102" i="120"/>
  <c r="E102" i="120"/>
  <c r="F102" i="120"/>
  <c r="H44" i="120"/>
  <c r="G44" i="120"/>
  <c r="E44" i="120"/>
  <c r="F44" i="120"/>
  <c r="H188" i="120"/>
  <c r="G188" i="120"/>
  <c r="F188" i="120"/>
  <c r="E188" i="120"/>
  <c r="H128" i="120"/>
  <c r="G128" i="120"/>
  <c r="F128" i="120"/>
  <c r="E128" i="120"/>
  <c r="H69" i="120"/>
  <c r="F69" i="120"/>
  <c r="G69" i="120"/>
  <c r="E69" i="120"/>
  <c r="G7" i="120"/>
  <c r="H7" i="120"/>
  <c r="F7" i="120"/>
  <c r="E7" i="120"/>
  <c r="H155" i="120"/>
  <c r="G155" i="120"/>
  <c r="F155" i="120"/>
  <c r="E155" i="120"/>
  <c r="H96" i="120"/>
  <c r="E96" i="120"/>
  <c r="G96" i="120"/>
  <c r="F96" i="120"/>
  <c r="G49" i="120"/>
  <c r="H49" i="120"/>
  <c r="E49" i="120"/>
  <c r="F49" i="120"/>
  <c r="G193" i="120"/>
  <c r="H193" i="120"/>
  <c r="F193" i="120"/>
  <c r="E193" i="120"/>
  <c r="H134" i="120"/>
  <c r="G134" i="120"/>
  <c r="F134" i="120"/>
  <c r="E134" i="120"/>
  <c r="H21" i="120"/>
  <c r="E21" i="120"/>
  <c r="G21" i="120"/>
  <c r="F21" i="120"/>
  <c r="G24" i="120"/>
  <c r="F24" i="120"/>
  <c r="E24" i="120"/>
  <c r="H24" i="120"/>
  <c r="G175" i="120"/>
  <c r="H175" i="120"/>
  <c r="F175" i="120"/>
  <c r="E175" i="120"/>
  <c r="G115" i="120"/>
  <c r="H115" i="120"/>
  <c r="E115" i="120"/>
  <c r="F115" i="120"/>
  <c r="H56" i="120"/>
  <c r="G56" i="120"/>
  <c r="E56" i="120"/>
  <c r="F56" i="120"/>
  <c r="H200" i="120"/>
  <c r="G200" i="120"/>
  <c r="F200" i="120"/>
  <c r="E200" i="120"/>
  <c r="H142" i="120"/>
  <c r="G142" i="120"/>
  <c r="F142" i="120"/>
  <c r="E142" i="120"/>
  <c r="H82" i="120"/>
  <c r="G82" i="120"/>
  <c r="E82" i="120"/>
  <c r="F82" i="120"/>
  <c r="G13" i="120"/>
  <c r="H13" i="120"/>
  <c r="F13" i="120"/>
  <c r="E13" i="120"/>
  <c r="H167" i="120"/>
  <c r="G167" i="120"/>
  <c r="F167" i="120"/>
  <c r="E167" i="120"/>
  <c r="H108" i="120"/>
  <c r="G108" i="120"/>
  <c r="E108" i="120"/>
  <c r="F108" i="120"/>
  <c r="H62" i="120"/>
  <c r="G62" i="120"/>
  <c r="E62" i="120"/>
  <c r="F62" i="120"/>
  <c r="H182" i="120"/>
  <c r="G182" i="120"/>
  <c r="F182" i="120"/>
  <c r="E182" i="120"/>
  <c r="H146" i="120"/>
  <c r="G146" i="120"/>
  <c r="F146" i="120"/>
  <c r="E146" i="120"/>
  <c r="H34" i="120"/>
  <c r="G34" i="120"/>
  <c r="F34" i="120"/>
  <c r="E34" i="120"/>
  <c r="H77" i="120"/>
  <c r="E77" i="120"/>
  <c r="G77" i="120"/>
  <c r="F77" i="120"/>
  <c r="H101" i="120"/>
  <c r="G101" i="120"/>
  <c r="F101" i="120"/>
  <c r="E101" i="120"/>
  <c r="G127" i="120"/>
  <c r="H127" i="120"/>
  <c r="E127" i="120"/>
  <c r="F127" i="120"/>
  <c r="H68" i="120"/>
  <c r="G68" i="120"/>
  <c r="F68" i="120"/>
  <c r="E68" i="120"/>
  <c r="H26" i="120"/>
  <c r="G26" i="120"/>
  <c r="E26" i="120"/>
  <c r="F26" i="120"/>
  <c r="H154" i="120"/>
  <c r="G154" i="120"/>
  <c r="F154" i="120"/>
  <c r="E154" i="120"/>
  <c r="H94" i="120"/>
  <c r="G94" i="120"/>
  <c r="E94" i="120"/>
  <c r="F94" i="120"/>
  <c r="G19" i="120"/>
  <c r="H19" i="120"/>
  <c r="F19" i="120"/>
  <c r="E19" i="120"/>
  <c r="H179" i="120"/>
  <c r="G179" i="120"/>
  <c r="E179" i="120"/>
  <c r="F179" i="120"/>
  <c r="H120" i="120"/>
  <c r="G120" i="120"/>
  <c r="F120" i="120"/>
  <c r="E120" i="120"/>
  <c r="G73" i="120"/>
  <c r="H73" i="120"/>
  <c r="E73" i="120"/>
  <c r="F73" i="120"/>
  <c r="H9" i="120"/>
  <c r="G9" i="120"/>
  <c r="F9" i="120"/>
  <c r="E9" i="120"/>
  <c r="G157" i="120"/>
  <c r="H157" i="120"/>
  <c r="F157" i="120"/>
  <c r="E157" i="120"/>
  <c r="H111" i="120"/>
  <c r="G111" i="120"/>
  <c r="F111" i="120"/>
  <c r="E111" i="120"/>
  <c r="H183" i="120"/>
  <c r="G183" i="120"/>
  <c r="F183" i="120"/>
  <c r="E183" i="120"/>
  <c r="H35" i="120"/>
  <c r="G35" i="120"/>
  <c r="E35" i="120"/>
  <c r="F35" i="120"/>
  <c r="H15" i="120"/>
  <c r="G15" i="120"/>
  <c r="F15" i="120"/>
  <c r="E15" i="120"/>
  <c r="H113" i="120"/>
  <c r="G113" i="120"/>
  <c r="F113" i="120"/>
  <c r="E113" i="120"/>
  <c r="H54" i="120"/>
  <c r="G54" i="120"/>
  <c r="F54" i="120"/>
  <c r="E54" i="120"/>
  <c r="H198" i="120"/>
  <c r="G198" i="120"/>
  <c r="F198" i="120"/>
  <c r="E198" i="120"/>
  <c r="G139" i="120"/>
  <c r="H139" i="120"/>
  <c r="E139" i="120"/>
  <c r="F139" i="120"/>
  <c r="H80" i="120"/>
  <c r="G80" i="120"/>
  <c r="E80" i="120"/>
  <c r="F80" i="120"/>
  <c r="G31" i="120"/>
  <c r="H31" i="120"/>
  <c r="F31" i="120"/>
  <c r="E31" i="120"/>
  <c r="H166" i="120"/>
  <c r="G166" i="120"/>
  <c r="F166" i="120"/>
  <c r="E166" i="120"/>
  <c r="H105" i="120"/>
  <c r="G105" i="120"/>
  <c r="F105" i="120"/>
  <c r="E105" i="120"/>
  <c r="H47" i="120"/>
  <c r="G47" i="120"/>
  <c r="E47" i="120"/>
  <c r="F47" i="120"/>
  <c r="H190" i="120"/>
  <c r="G190" i="120"/>
  <c r="F190" i="120"/>
  <c r="E190" i="120"/>
  <c r="G133" i="120"/>
  <c r="H133" i="120"/>
  <c r="E133" i="120"/>
  <c r="F133" i="120"/>
  <c r="H84" i="120"/>
  <c r="F84" i="120"/>
  <c r="G84" i="120"/>
  <c r="E84" i="120"/>
  <c r="E16" i="120"/>
  <c r="H16" i="120"/>
  <c r="G16" i="120"/>
  <c r="F16" i="120"/>
  <c r="G169" i="120"/>
  <c r="H169" i="120"/>
  <c r="F169" i="120"/>
  <c r="E169" i="120"/>
  <c r="H52" i="120"/>
  <c r="G52" i="120"/>
  <c r="E52" i="120"/>
  <c r="F52" i="120"/>
  <c r="H51" i="120"/>
  <c r="G51" i="120"/>
  <c r="F51" i="120"/>
  <c r="E51" i="120"/>
  <c r="H63" i="120"/>
  <c r="G63" i="120"/>
  <c r="F63" i="120"/>
  <c r="E63" i="120"/>
  <c r="H75" i="120"/>
  <c r="E75" i="120"/>
  <c r="G75" i="120"/>
  <c r="F75" i="120"/>
  <c r="G43" i="120"/>
  <c r="H43" i="120"/>
  <c r="F43" i="120"/>
  <c r="E43" i="120"/>
  <c r="H40" i="120"/>
  <c r="G40" i="120"/>
  <c r="F40" i="120"/>
  <c r="E40" i="120"/>
  <c r="H184" i="120"/>
  <c r="G184" i="120"/>
  <c r="F184" i="120"/>
  <c r="E184" i="120"/>
  <c r="H125" i="120"/>
  <c r="G125" i="120"/>
  <c r="F125" i="120"/>
  <c r="E125" i="120"/>
  <c r="H66" i="120"/>
  <c r="G66" i="120"/>
  <c r="F66" i="120"/>
  <c r="E66" i="120"/>
  <c r="F25" i="120"/>
  <c r="E25" i="120"/>
  <c r="G25" i="120"/>
  <c r="H25" i="120"/>
  <c r="H152" i="120"/>
  <c r="G152" i="120"/>
  <c r="F152" i="120"/>
  <c r="E152" i="120"/>
  <c r="H92" i="120"/>
  <c r="G92" i="120"/>
  <c r="F92" i="120"/>
  <c r="E92" i="120"/>
  <c r="H38" i="120"/>
  <c r="G38" i="120"/>
  <c r="E38" i="120"/>
  <c r="F38" i="120"/>
  <c r="H178" i="120"/>
  <c r="G178" i="120"/>
  <c r="F178" i="120"/>
  <c r="E178" i="120"/>
  <c r="H117" i="120"/>
  <c r="F117" i="120"/>
  <c r="E117" i="120"/>
  <c r="G117" i="120"/>
  <c r="H58" i="120"/>
  <c r="G58" i="120"/>
  <c r="E58" i="120"/>
  <c r="F58" i="120"/>
  <c r="H202" i="120"/>
  <c r="G202" i="120"/>
  <c r="F202" i="120"/>
  <c r="E202" i="120"/>
  <c r="G145" i="120"/>
  <c r="H145" i="120"/>
  <c r="F145" i="120"/>
  <c r="E145" i="120"/>
  <c r="G97" i="120"/>
  <c r="E97" i="120"/>
  <c r="H97" i="120"/>
  <c r="F97" i="120"/>
  <c r="H22" i="120"/>
  <c r="G22" i="120"/>
  <c r="F22" i="120"/>
  <c r="E22" i="120"/>
  <c r="H194" i="120"/>
  <c r="G194" i="120"/>
  <c r="E194" i="120"/>
  <c r="F194" i="120"/>
  <c r="H28" i="120"/>
  <c r="G28" i="120"/>
  <c r="F28" i="120"/>
  <c r="E28" i="120"/>
  <c r="H162" i="120"/>
  <c r="G162" i="120"/>
  <c r="E162" i="120"/>
  <c r="F162" i="120"/>
  <c r="G187" i="120"/>
  <c r="H187" i="120"/>
  <c r="F187" i="120"/>
  <c r="E187" i="120"/>
  <c r="H99" i="120"/>
  <c r="G99" i="120"/>
  <c r="E99" i="120"/>
  <c r="F99" i="120"/>
  <c r="H112" i="120"/>
  <c r="G112" i="120"/>
  <c r="E112" i="120"/>
  <c r="F112" i="120"/>
  <c r="H53" i="120"/>
  <c r="G53" i="120"/>
  <c r="E53" i="120"/>
  <c r="F53" i="120"/>
  <c r="H195" i="120"/>
  <c r="G195" i="120"/>
  <c r="F195" i="120"/>
  <c r="E195" i="120"/>
  <c r="H137" i="120"/>
  <c r="G137" i="120"/>
  <c r="F137" i="120"/>
  <c r="E137" i="120"/>
  <c r="H78" i="120"/>
  <c r="G78" i="120"/>
  <c r="E78" i="120"/>
  <c r="F78" i="120"/>
  <c r="H29" i="120"/>
  <c r="G29" i="120"/>
  <c r="E29" i="120"/>
  <c r="F29" i="120"/>
  <c r="G163" i="120"/>
  <c r="H163" i="120"/>
  <c r="F163" i="120"/>
  <c r="E163" i="120"/>
  <c r="H104" i="120"/>
  <c r="G104" i="120"/>
  <c r="F104" i="120"/>
  <c r="E104" i="120"/>
  <c r="H45" i="120"/>
  <c r="G45" i="120"/>
  <c r="E45" i="120"/>
  <c r="F45" i="120"/>
  <c r="H189" i="120"/>
  <c r="G189" i="120"/>
  <c r="F189" i="120"/>
  <c r="E189" i="120"/>
  <c r="H130" i="120"/>
  <c r="G130" i="120"/>
  <c r="E130" i="120"/>
  <c r="F130" i="120"/>
  <c r="H71" i="120"/>
  <c r="G71" i="120"/>
  <c r="E71" i="120"/>
  <c r="F71" i="120"/>
  <c r="H27" i="120"/>
  <c r="G27" i="120"/>
  <c r="F27" i="120"/>
  <c r="E27" i="120"/>
  <c r="H156" i="120"/>
  <c r="G156" i="120"/>
  <c r="E156" i="120"/>
  <c r="F156" i="120"/>
  <c r="G109" i="120"/>
  <c r="F109" i="120"/>
  <c r="H109" i="120"/>
  <c r="E109" i="120"/>
  <c r="H50" i="120"/>
  <c r="G50" i="120"/>
  <c r="E50" i="120"/>
  <c r="F50" i="120"/>
  <c r="H172" i="120"/>
  <c r="G172" i="120"/>
  <c r="F172" i="120"/>
  <c r="E172" i="120"/>
  <c r="H30" i="120"/>
  <c r="G30" i="120"/>
  <c r="F30" i="120"/>
  <c r="E30" i="120"/>
  <c r="H147" i="120"/>
  <c r="G147" i="120"/>
  <c r="E147" i="120"/>
  <c r="F147" i="120"/>
  <c r="E11" i="120"/>
  <c r="F11" i="120"/>
  <c r="H11" i="120"/>
  <c r="G11" i="120"/>
  <c r="H87" i="120"/>
  <c r="E87" i="120"/>
  <c r="G87" i="120"/>
  <c r="F87" i="120"/>
  <c r="H64" i="120"/>
  <c r="G64" i="120"/>
  <c r="E64" i="120"/>
  <c r="F64" i="120"/>
  <c r="H149" i="120"/>
  <c r="G149" i="120"/>
  <c r="F149" i="120"/>
  <c r="E149" i="120"/>
  <c r="G91" i="120"/>
  <c r="F91" i="120"/>
  <c r="H91" i="120"/>
  <c r="E91" i="120"/>
  <c r="H36" i="120"/>
  <c r="G36" i="120"/>
  <c r="F36" i="120"/>
  <c r="E36" i="120"/>
  <c r="H174" i="120"/>
  <c r="G174" i="120"/>
  <c r="E174" i="120"/>
  <c r="F174" i="120"/>
  <c r="H116" i="120"/>
  <c r="G116" i="120"/>
  <c r="F116" i="120"/>
  <c r="E116" i="120"/>
  <c r="H57" i="120"/>
  <c r="G57" i="120"/>
  <c r="F57" i="120"/>
  <c r="E57" i="120"/>
  <c r="H201" i="120"/>
  <c r="G201" i="120"/>
  <c r="F201" i="120"/>
  <c r="E201" i="120"/>
  <c r="H141" i="120"/>
  <c r="G141" i="120"/>
  <c r="F141" i="120"/>
  <c r="E141" i="120"/>
  <c r="H83" i="120"/>
  <c r="G83" i="120"/>
  <c r="F83" i="120"/>
  <c r="E83" i="120"/>
  <c r="F14" i="120"/>
  <c r="G14" i="120"/>
  <c r="H14" i="120"/>
  <c r="E14" i="120"/>
  <c r="H168" i="120"/>
  <c r="G168" i="120"/>
  <c r="E168" i="120"/>
  <c r="F168" i="120"/>
  <c r="G121" i="120"/>
  <c r="E121" i="120"/>
  <c r="F121" i="120"/>
  <c r="H121" i="120"/>
  <c r="G61" i="120"/>
  <c r="H61" i="120"/>
  <c r="E61" i="120"/>
  <c r="F61" i="120"/>
  <c r="H138" i="120"/>
  <c r="G138" i="120"/>
  <c r="F138" i="120"/>
  <c r="E138" i="120"/>
  <c r="F10" i="120"/>
  <c r="E10" i="120"/>
  <c r="H10" i="120"/>
  <c r="G10" i="120"/>
  <c r="G103" i="120"/>
  <c r="H103" i="120"/>
  <c r="E103" i="120"/>
  <c r="F103" i="120"/>
  <c r="H186" i="120"/>
  <c r="G186" i="120"/>
  <c r="F186" i="120"/>
  <c r="E186" i="120"/>
  <c r="H129" i="120"/>
  <c r="G129" i="120"/>
  <c r="F129" i="120"/>
  <c r="E129" i="120"/>
  <c r="E70" i="120"/>
  <c r="H70" i="120"/>
  <c r="G70" i="120"/>
  <c r="F70" i="120"/>
  <c r="E5" i="120"/>
  <c r="F5" i="120"/>
  <c r="G5" i="120"/>
  <c r="H5" i="120"/>
  <c r="H153" i="120"/>
  <c r="G153" i="120"/>
  <c r="E153" i="120"/>
  <c r="F153" i="120"/>
  <c r="H95" i="120"/>
  <c r="F95" i="120"/>
  <c r="G95" i="120"/>
  <c r="E95" i="120"/>
  <c r="H39" i="120"/>
  <c r="G39" i="120"/>
  <c r="E39" i="120"/>
  <c r="F39" i="120"/>
  <c r="H180" i="120"/>
  <c r="G180" i="120"/>
  <c r="F180" i="120"/>
  <c r="E180" i="120"/>
  <c r="H132" i="120"/>
  <c r="G132" i="120"/>
  <c r="F132" i="120"/>
  <c r="E132" i="120"/>
  <c r="H74" i="120"/>
  <c r="G74" i="120"/>
  <c r="F74" i="120"/>
  <c r="E74" i="120"/>
  <c r="H197" i="120"/>
  <c r="E197" i="120"/>
  <c r="F197" i="120"/>
  <c r="G197" i="120"/>
  <c r="H196" i="120"/>
  <c r="G196" i="120"/>
  <c r="F196" i="120"/>
  <c r="E196" i="120"/>
  <c r="H89" i="120"/>
  <c r="G89" i="120"/>
  <c r="F89" i="120"/>
  <c r="E89" i="120"/>
  <c r="H159" i="120"/>
  <c r="G159" i="120"/>
  <c r="E159" i="120"/>
  <c r="F159" i="120"/>
  <c r="H171" i="120"/>
  <c r="G171" i="120"/>
  <c r="E171" i="120"/>
  <c r="F171" i="120"/>
  <c r="H122" i="120"/>
  <c r="F122" i="120"/>
  <c r="G122" i="120"/>
  <c r="E122" i="120"/>
  <c r="F3" i="120"/>
  <c r="E3" i="120"/>
  <c r="H3" i="120"/>
  <c r="G3" i="120"/>
  <c r="H135" i="120"/>
  <c r="G135" i="120"/>
  <c r="F135" i="120"/>
  <c r="E135" i="120"/>
  <c r="G76" i="120"/>
  <c r="F76" i="120"/>
  <c r="H76" i="120"/>
  <c r="E76" i="120"/>
  <c r="H161" i="120"/>
  <c r="G161" i="120"/>
  <c r="F161" i="120"/>
  <c r="E161" i="120"/>
  <c r="H42" i="120"/>
  <c r="G42" i="120"/>
  <c r="F42" i="120"/>
  <c r="E42" i="120"/>
  <c r="H148" i="120"/>
  <c r="G148" i="120"/>
  <c r="F148" i="120"/>
  <c r="E148" i="120"/>
  <c r="H88" i="120"/>
  <c r="G88" i="120"/>
  <c r="E88" i="120"/>
  <c r="F88" i="120"/>
  <c r="H17" i="120"/>
  <c r="G17" i="120"/>
  <c r="E17" i="120"/>
  <c r="F17" i="120"/>
  <c r="H173" i="120"/>
  <c r="G173" i="120"/>
  <c r="F173" i="120"/>
  <c r="E173" i="120"/>
  <c r="H114" i="120"/>
  <c r="G114" i="120"/>
  <c r="F114" i="120"/>
  <c r="E114" i="120"/>
  <c r="G55" i="120"/>
  <c r="H55" i="120"/>
  <c r="E55" i="120"/>
  <c r="F55" i="120"/>
  <c r="G199" i="120"/>
  <c r="H199" i="120"/>
  <c r="F199" i="120"/>
  <c r="E199" i="120"/>
  <c r="H140" i="120"/>
  <c r="G140" i="120"/>
  <c r="F140" i="120"/>
  <c r="E140" i="120"/>
  <c r="H81" i="120"/>
  <c r="G81" i="120"/>
  <c r="F81" i="120"/>
  <c r="E81" i="120"/>
  <c r="H32" i="120"/>
  <c r="G32" i="120"/>
  <c r="E32" i="120"/>
  <c r="F32" i="120"/>
  <c r="H165" i="120"/>
  <c r="G165" i="120"/>
  <c r="E165" i="120"/>
  <c r="F165" i="120"/>
  <c r="H107" i="120"/>
  <c r="F107" i="120"/>
  <c r="E107" i="120"/>
  <c r="G107" i="120"/>
  <c r="H48" i="120"/>
  <c r="G48" i="120"/>
  <c r="F48" i="120"/>
  <c r="E48" i="120"/>
  <c r="H192" i="120"/>
  <c r="G192" i="120"/>
  <c r="F192" i="120"/>
  <c r="E192" i="120"/>
  <c r="H144" i="120"/>
  <c r="G144" i="120"/>
  <c r="E144" i="120"/>
  <c r="F144" i="120"/>
  <c r="H86" i="120"/>
  <c r="G86" i="120"/>
  <c r="E86" i="120"/>
  <c r="F86" i="120"/>
  <c r="B146" i="117"/>
  <c r="G146" i="117" s="1"/>
  <c r="B98" i="117"/>
  <c r="H98" i="117" s="1"/>
  <c r="B134" i="117"/>
  <c r="G134" i="117" s="1"/>
  <c r="B86" i="117"/>
  <c r="E86" i="117" s="1"/>
  <c r="B122" i="117"/>
  <c r="H122" i="117" s="1"/>
  <c r="B110" i="117"/>
  <c r="H110" i="117" s="1"/>
  <c r="B74" i="117"/>
  <c r="H74" i="117" s="1"/>
  <c r="B61" i="117"/>
  <c r="H61" i="117" s="1"/>
  <c r="B50" i="117"/>
  <c r="F50" i="117" s="1"/>
  <c r="B183" i="117"/>
  <c r="E183" i="117" s="1"/>
  <c r="B40" i="117"/>
  <c r="H40" i="117" s="1"/>
  <c r="B14" i="117"/>
  <c r="G14" i="117" s="1"/>
  <c r="B194" i="117"/>
  <c r="F194" i="117" s="1"/>
  <c r="B170" i="117"/>
  <c r="H170" i="117" s="1"/>
  <c r="B158" i="117"/>
  <c r="E158" i="117" s="1"/>
  <c r="B28" i="117"/>
  <c r="G28" i="117" s="1"/>
  <c r="H4" i="117"/>
  <c r="E4" i="117"/>
  <c r="G4" i="117"/>
  <c r="F4" i="117"/>
  <c r="B120" i="117"/>
  <c r="B109" i="117"/>
  <c r="B97" i="117"/>
  <c r="B85" i="117"/>
  <c r="B73" i="117"/>
  <c r="B62" i="117"/>
  <c r="B49" i="117"/>
  <c r="B20" i="117"/>
  <c r="B34" i="117"/>
  <c r="B7" i="117"/>
  <c r="B192" i="117"/>
  <c r="B121" i="117"/>
  <c r="B108" i="117"/>
  <c r="B96" i="117"/>
  <c r="B84" i="117"/>
  <c r="B72" i="117"/>
  <c r="B60" i="117"/>
  <c r="B48" i="117"/>
  <c r="B39" i="117"/>
  <c r="B13" i="117"/>
  <c r="B8" i="117"/>
  <c r="B168" i="117"/>
  <c r="B167" i="117"/>
  <c r="B155" i="117"/>
  <c r="B143" i="117"/>
  <c r="B131" i="117"/>
  <c r="B119" i="117"/>
  <c r="B107" i="117"/>
  <c r="B95" i="117"/>
  <c r="B83" i="117"/>
  <c r="B71" i="117"/>
  <c r="B59" i="117"/>
  <c r="B47" i="117"/>
  <c r="B19" i="117"/>
  <c r="B33" i="117"/>
  <c r="B27" i="117"/>
  <c r="B145" i="117"/>
  <c r="B178" i="117"/>
  <c r="B118" i="117"/>
  <c r="B106" i="117"/>
  <c r="B94" i="117"/>
  <c r="B82" i="117"/>
  <c r="B70" i="117"/>
  <c r="B58" i="117"/>
  <c r="B45" i="117"/>
  <c r="B38" i="117"/>
  <c r="B12" i="117"/>
  <c r="B6" i="117"/>
  <c r="B181" i="117"/>
  <c r="B144" i="117"/>
  <c r="B202" i="117"/>
  <c r="B188" i="117"/>
  <c r="B165" i="117"/>
  <c r="B153" i="117"/>
  <c r="B141" i="117"/>
  <c r="B130" i="117"/>
  <c r="B117" i="117"/>
  <c r="B105" i="117"/>
  <c r="B93" i="117"/>
  <c r="B81" i="117"/>
  <c r="B68" i="117"/>
  <c r="B57" i="117"/>
  <c r="B46" i="117"/>
  <c r="B18" i="117"/>
  <c r="B11" i="117"/>
  <c r="B26" i="117"/>
  <c r="B193" i="117"/>
  <c r="B132" i="117"/>
  <c r="B142" i="117"/>
  <c r="B176" i="117"/>
  <c r="B140" i="117"/>
  <c r="B128" i="117"/>
  <c r="B116" i="117"/>
  <c r="B104" i="117"/>
  <c r="B92" i="117"/>
  <c r="B80" i="117"/>
  <c r="B69" i="117"/>
  <c r="B56" i="117"/>
  <c r="B44" i="117"/>
  <c r="B17" i="117"/>
  <c r="B32" i="117"/>
  <c r="B25" i="117"/>
  <c r="B157" i="117"/>
  <c r="B203" i="117"/>
  <c r="B190" i="117"/>
  <c r="B187" i="117"/>
  <c r="B127" i="117"/>
  <c r="B115" i="117"/>
  <c r="B103" i="117"/>
  <c r="B91" i="117"/>
  <c r="B79" i="117"/>
  <c r="B67" i="117"/>
  <c r="B55" i="117"/>
  <c r="B22" i="117"/>
  <c r="B37" i="117"/>
  <c r="B31" i="117"/>
  <c r="B24" i="117"/>
  <c r="B180" i="117"/>
  <c r="B129" i="117"/>
  <c r="B199" i="117"/>
  <c r="B163" i="117"/>
  <c r="B186" i="117"/>
  <c r="B174" i="117"/>
  <c r="B161" i="117"/>
  <c r="B150" i="117"/>
  <c r="B138" i="117"/>
  <c r="B126" i="117"/>
  <c r="B114" i="117"/>
  <c r="B102" i="117"/>
  <c r="B90" i="117"/>
  <c r="B77" i="117"/>
  <c r="B66" i="117"/>
  <c r="B54" i="117"/>
  <c r="B43" i="117"/>
  <c r="B16" i="117"/>
  <c r="B30" i="117"/>
  <c r="B3" i="117"/>
  <c r="B133" i="117"/>
  <c r="B191" i="117"/>
  <c r="B154" i="117"/>
  <c r="B177" i="117"/>
  <c r="B152" i="117"/>
  <c r="B175" i="117"/>
  <c r="B197" i="117"/>
  <c r="B173" i="117"/>
  <c r="B162" i="117"/>
  <c r="B149" i="117"/>
  <c r="B137" i="117"/>
  <c r="B124" i="117"/>
  <c r="B113" i="117"/>
  <c r="B101" i="117"/>
  <c r="B89" i="117"/>
  <c r="B78" i="117"/>
  <c r="B65" i="117"/>
  <c r="B53" i="117"/>
  <c r="B42" i="117"/>
  <c r="B36" i="117"/>
  <c r="B9" i="117"/>
  <c r="B23" i="117"/>
  <c r="B179" i="117"/>
  <c r="B164" i="117"/>
  <c r="B151" i="117"/>
  <c r="B198" i="117"/>
  <c r="B172" i="117"/>
  <c r="B148" i="117"/>
  <c r="B125" i="117"/>
  <c r="B112" i="117"/>
  <c r="B100" i="117"/>
  <c r="B88" i="117"/>
  <c r="B76" i="117"/>
  <c r="B64" i="117"/>
  <c r="B52" i="117"/>
  <c r="B41" i="117"/>
  <c r="B35" i="117"/>
  <c r="B10" i="117"/>
  <c r="B5" i="117"/>
  <c r="B169" i="117"/>
  <c r="B156" i="117"/>
  <c r="B166" i="117"/>
  <c r="B201" i="117"/>
  <c r="B189" i="117"/>
  <c r="B200" i="117"/>
  <c r="B139" i="117"/>
  <c r="B185" i="117"/>
  <c r="B196" i="117"/>
  <c r="B184" i="117"/>
  <c r="B160" i="117"/>
  <c r="B135" i="117"/>
  <c r="B195" i="117"/>
  <c r="B182" i="117"/>
  <c r="B171" i="117"/>
  <c r="B159" i="117"/>
  <c r="B147" i="117"/>
  <c r="B136" i="117"/>
  <c r="B123" i="117"/>
  <c r="B111" i="117"/>
  <c r="B99" i="117"/>
  <c r="B87" i="117"/>
  <c r="B75" i="117"/>
  <c r="B63" i="117"/>
  <c r="B51" i="117"/>
  <c r="B21" i="117"/>
  <c r="B15" i="117"/>
  <c r="B29" i="117"/>
  <c r="H80" i="49"/>
  <c r="K79" i="49"/>
  <c r="H79" i="49"/>
  <c r="Y102" i="49"/>
  <c r="B17" i="60"/>
  <c r="I17" i="60"/>
  <c r="N17" i="60"/>
  <c r="D17" i="60"/>
  <c r="R17" i="60"/>
  <c r="K17" i="60"/>
  <c r="S17" i="60"/>
  <c r="T17" i="60"/>
  <c r="M17" i="60"/>
  <c r="J17" i="60"/>
  <c r="F17" i="60"/>
  <c r="G17" i="60"/>
  <c r="O17" i="60"/>
  <c r="E17" i="60"/>
  <c r="P17" i="60"/>
  <c r="Q17" i="60"/>
  <c r="L17" i="60"/>
  <c r="H194" i="117" l="1"/>
  <c r="G194" i="117"/>
  <c r="E194" i="117"/>
  <c r="H134" i="117"/>
  <c r="F134" i="117"/>
  <c r="E134" i="117"/>
  <c r="E170" i="117"/>
  <c r="G170" i="117"/>
  <c r="F170" i="117"/>
  <c r="H146" i="117"/>
  <c r="F146" i="117"/>
  <c r="E146" i="117"/>
  <c r="G98" i="117"/>
  <c r="E98" i="117"/>
  <c r="F98" i="117"/>
  <c r="H158" i="117"/>
  <c r="F122" i="117"/>
  <c r="G74" i="117"/>
  <c r="F74" i="117"/>
  <c r="G158" i="117"/>
  <c r="F158" i="117"/>
  <c r="F86" i="117"/>
  <c r="H28" i="117"/>
  <c r="E122" i="117"/>
  <c r="G122" i="117"/>
  <c r="E61" i="117"/>
  <c r="F61" i="117"/>
  <c r="G61" i="117"/>
  <c r="E40" i="117"/>
  <c r="F40" i="117"/>
  <c r="G40" i="117"/>
  <c r="E28" i="117"/>
  <c r="F183" i="117"/>
  <c r="G183" i="117"/>
  <c r="H86" i="117"/>
  <c r="H183" i="117"/>
  <c r="G86" i="117"/>
  <c r="F28" i="117"/>
  <c r="G50" i="117"/>
  <c r="H50" i="117"/>
  <c r="E74" i="117"/>
  <c r="G110" i="117"/>
  <c r="F14" i="117"/>
  <c r="F110" i="117"/>
  <c r="E110" i="117"/>
  <c r="H14" i="117"/>
  <c r="E14" i="117"/>
  <c r="E50" i="117"/>
  <c r="G42" i="117"/>
  <c r="F42" i="117"/>
  <c r="E42" i="117"/>
  <c r="H42" i="117"/>
  <c r="G6" i="117"/>
  <c r="E6" i="117"/>
  <c r="H6" i="117"/>
  <c r="F6" i="117"/>
  <c r="H15" i="117"/>
  <c r="G15" i="117"/>
  <c r="F15" i="117"/>
  <c r="E15" i="117"/>
  <c r="H171" i="117"/>
  <c r="E171" i="117"/>
  <c r="G171" i="117"/>
  <c r="F171" i="117"/>
  <c r="H166" i="117"/>
  <c r="G166" i="117"/>
  <c r="F166" i="117"/>
  <c r="E166" i="117"/>
  <c r="E10" i="117"/>
  <c r="H10" i="117"/>
  <c r="F10" i="117"/>
  <c r="G10" i="117"/>
  <c r="H198" i="117"/>
  <c r="G198" i="117"/>
  <c r="F198" i="117"/>
  <c r="E198" i="117"/>
  <c r="E53" i="117"/>
  <c r="G53" i="117"/>
  <c r="H53" i="117"/>
  <c r="F53" i="117"/>
  <c r="H175" i="117"/>
  <c r="F175" i="117"/>
  <c r="E175" i="117"/>
  <c r="G175" i="117"/>
  <c r="G126" i="117"/>
  <c r="F126" i="117"/>
  <c r="H126" i="117"/>
  <c r="E126" i="117"/>
  <c r="G127" i="117"/>
  <c r="F127" i="117"/>
  <c r="E127" i="117"/>
  <c r="H127" i="117"/>
  <c r="G44" i="117"/>
  <c r="H44" i="117"/>
  <c r="F44" i="117"/>
  <c r="E44" i="117"/>
  <c r="H193" i="117"/>
  <c r="G193" i="117"/>
  <c r="E193" i="117"/>
  <c r="F193" i="117"/>
  <c r="F46" i="117"/>
  <c r="E46" i="117"/>
  <c r="H46" i="117"/>
  <c r="G46" i="117"/>
  <c r="G202" i="117"/>
  <c r="E202" i="117"/>
  <c r="H202" i="117"/>
  <c r="F202" i="117"/>
  <c r="E12" i="117"/>
  <c r="H12" i="117"/>
  <c r="G12" i="117"/>
  <c r="F12" i="117"/>
  <c r="G119" i="117"/>
  <c r="E119" i="117"/>
  <c r="F119" i="117"/>
  <c r="H119" i="117"/>
  <c r="H39" i="117"/>
  <c r="G39" i="117"/>
  <c r="F39" i="117"/>
  <c r="E39" i="117"/>
  <c r="H97" i="117"/>
  <c r="G97" i="117"/>
  <c r="F97" i="117"/>
  <c r="E97" i="117"/>
  <c r="H172" i="117"/>
  <c r="G172" i="117"/>
  <c r="F172" i="117"/>
  <c r="E172" i="117"/>
  <c r="H21" i="117"/>
  <c r="G21" i="117"/>
  <c r="F21" i="117"/>
  <c r="E21" i="117"/>
  <c r="H182" i="117"/>
  <c r="G182" i="117"/>
  <c r="E182" i="117"/>
  <c r="F182" i="117"/>
  <c r="H156" i="117"/>
  <c r="G156" i="117"/>
  <c r="F156" i="117"/>
  <c r="E156" i="117"/>
  <c r="H35" i="117"/>
  <c r="G35" i="117"/>
  <c r="F35" i="117"/>
  <c r="E35" i="117"/>
  <c r="E151" i="117"/>
  <c r="H151" i="117"/>
  <c r="F151" i="117"/>
  <c r="G151" i="117"/>
  <c r="G65" i="117"/>
  <c r="F65" i="117"/>
  <c r="E65" i="117"/>
  <c r="H65" i="117"/>
  <c r="H152" i="117"/>
  <c r="F152" i="117"/>
  <c r="G152" i="117"/>
  <c r="E152" i="117"/>
  <c r="G138" i="117"/>
  <c r="F138" i="117"/>
  <c r="E138" i="117"/>
  <c r="H138" i="117"/>
  <c r="H187" i="117"/>
  <c r="E187" i="117"/>
  <c r="G187" i="117"/>
  <c r="F187" i="117"/>
  <c r="H56" i="117"/>
  <c r="G56" i="117"/>
  <c r="F56" i="117"/>
  <c r="E56" i="117"/>
  <c r="G57" i="117"/>
  <c r="E57" i="117"/>
  <c r="H57" i="117"/>
  <c r="F57" i="117"/>
  <c r="E144" i="117"/>
  <c r="H144" i="117"/>
  <c r="G144" i="117"/>
  <c r="F144" i="117"/>
  <c r="H38" i="117"/>
  <c r="E38" i="117"/>
  <c r="G38" i="117"/>
  <c r="F38" i="117"/>
  <c r="H131" i="117"/>
  <c r="G131" i="117"/>
  <c r="E131" i="117"/>
  <c r="F131" i="117"/>
  <c r="H48" i="117"/>
  <c r="G48" i="117"/>
  <c r="F48" i="117"/>
  <c r="E48" i="117"/>
  <c r="E109" i="117"/>
  <c r="H109" i="117"/>
  <c r="G109" i="117"/>
  <c r="F109" i="117"/>
  <c r="E197" i="117"/>
  <c r="H197" i="117"/>
  <c r="G197" i="117"/>
  <c r="F197" i="117"/>
  <c r="H188" i="117"/>
  <c r="F188" i="117"/>
  <c r="E188" i="117"/>
  <c r="G188" i="117"/>
  <c r="F51" i="117"/>
  <c r="E51" i="117"/>
  <c r="H51" i="117"/>
  <c r="G51" i="117"/>
  <c r="H195" i="117"/>
  <c r="F195" i="117"/>
  <c r="G195" i="117"/>
  <c r="E195" i="117"/>
  <c r="H169" i="117"/>
  <c r="E169" i="117"/>
  <c r="G169" i="117"/>
  <c r="F169" i="117"/>
  <c r="H41" i="117"/>
  <c r="E41" i="117"/>
  <c r="G41" i="117"/>
  <c r="F41" i="117"/>
  <c r="H164" i="117"/>
  <c r="G164" i="117"/>
  <c r="F164" i="117"/>
  <c r="E164" i="117"/>
  <c r="G78" i="117"/>
  <c r="E78" i="117"/>
  <c r="F78" i="117"/>
  <c r="H78" i="117"/>
  <c r="H177" i="117"/>
  <c r="F177" i="117"/>
  <c r="E177" i="117"/>
  <c r="G177" i="117"/>
  <c r="G3" i="117"/>
  <c r="F3" i="117"/>
  <c r="E3" i="117"/>
  <c r="H3" i="117"/>
  <c r="H150" i="117"/>
  <c r="F150" i="117"/>
  <c r="G150" i="117"/>
  <c r="E150" i="117"/>
  <c r="F24" i="117"/>
  <c r="E24" i="117"/>
  <c r="H24" i="117"/>
  <c r="G24" i="117"/>
  <c r="G190" i="117"/>
  <c r="E190" i="117"/>
  <c r="F190" i="117"/>
  <c r="H190" i="117"/>
  <c r="F69" i="117"/>
  <c r="E69" i="117"/>
  <c r="G69" i="117"/>
  <c r="H69" i="117"/>
  <c r="G68" i="117"/>
  <c r="F68" i="117"/>
  <c r="H68" i="117"/>
  <c r="E68" i="117"/>
  <c r="E181" i="117"/>
  <c r="H181" i="117"/>
  <c r="G181" i="117"/>
  <c r="F181" i="117"/>
  <c r="H45" i="117"/>
  <c r="F45" i="117"/>
  <c r="E45" i="117"/>
  <c r="G45" i="117"/>
  <c r="H143" i="117"/>
  <c r="G143" i="117"/>
  <c r="F143" i="117"/>
  <c r="E143" i="117"/>
  <c r="G60" i="117"/>
  <c r="F60" i="117"/>
  <c r="E60" i="117"/>
  <c r="H60" i="117"/>
  <c r="H120" i="117"/>
  <c r="G120" i="117"/>
  <c r="E120" i="117"/>
  <c r="F120" i="117"/>
  <c r="G29" i="117"/>
  <c r="F29" i="117"/>
  <c r="E29" i="117"/>
  <c r="H29" i="117"/>
  <c r="H115" i="117"/>
  <c r="E115" i="117"/>
  <c r="G115" i="117"/>
  <c r="F115" i="117"/>
  <c r="H52" i="117"/>
  <c r="G52" i="117"/>
  <c r="F52" i="117"/>
  <c r="E52" i="117"/>
  <c r="F179" i="117"/>
  <c r="E179" i="117"/>
  <c r="G179" i="117"/>
  <c r="H179" i="117"/>
  <c r="H89" i="117"/>
  <c r="F89" i="117"/>
  <c r="E89" i="117"/>
  <c r="G89" i="117"/>
  <c r="F154" i="117"/>
  <c r="E154" i="117"/>
  <c r="G154" i="117"/>
  <c r="H154" i="117"/>
  <c r="H30" i="117"/>
  <c r="G30" i="117"/>
  <c r="E30" i="117"/>
  <c r="F30" i="117"/>
  <c r="E161" i="117"/>
  <c r="F161" i="117"/>
  <c r="H161" i="117"/>
  <c r="G161" i="117"/>
  <c r="F31" i="117"/>
  <c r="E31" i="117"/>
  <c r="H31" i="117"/>
  <c r="G31" i="117"/>
  <c r="E203" i="117"/>
  <c r="G203" i="117"/>
  <c r="F203" i="117"/>
  <c r="H203" i="117"/>
  <c r="F80" i="117"/>
  <c r="E80" i="117"/>
  <c r="G80" i="117"/>
  <c r="H80" i="117"/>
  <c r="G81" i="117"/>
  <c r="F81" i="117"/>
  <c r="H81" i="117"/>
  <c r="E81" i="117"/>
  <c r="H58" i="117"/>
  <c r="G58" i="117"/>
  <c r="F58" i="117"/>
  <c r="E58" i="117"/>
  <c r="G27" i="117"/>
  <c r="H27" i="117"/>
  <c r="F27" i="117"/>
  <c r="E27" i="117"/>
  <c r="H155" i="117"/>
  <c r="G155" i="117"/>
  <c r="E155" i="117"/>
  <c r="F155" i="117"/>
  <c r="H72" i="117"/>
  <c r="G72" i="117"/>
  <c r="F72" i="117"/>
  <c r="E72" i="117"/>
  <c r="H201" i="117"/>
  <c r="F201" i="117"/>
  <c r="G201" i="117"/>
  <c r="E201" i="117"/>
  <c r="E132" i="117"/>
  <c r="H132" i="117"/>
  <c r="G132" i="117"/>
  <c r="F132" i="117"/>
  <c r="G75" i="117"/>
  <c r="F75" i="117"/>
  <c r="H75" i="117"/>
  <c r="E75" i="117"/>
  <c r="H160" i="117"/>
  <c r="G160" i="117"/>
  <c r="F160" i="117"/>
  <c r="E160" i="117"/>
  <c r="H64" i="117"/>
  <c r="G64" i="117"/>
  <c r="F64" i="117"/>
  <c r="E64" i="117"/>
  <c r="G101" i="117"/>
  <c r="F101" i="117"/>
  <c r="E101" i="117"/>
  <c r="H101" i="117"/>
  <c r="E191" i="117"/>
  <c r="G191" i="117"/>
  <c r="H191" i="117"/>
  <c r="F191" i="117"/>
  <c r="H16" i="117"/>
  <c r="G16" i="117"/>
  <c r="F16" i="117"/>
  <c r="E16" i="117"/>
  <c r="E174" i="117"/>
  <c r="G174" i="117"/>
  <c r="H174" i="117"/>
  <c r="F174" i="117"/>
  <c r="H37" i="117"/>
  <c r="G37" i="117"/>
  <c r="F37" i="117"/>
  <c r="E37" i="117"/>
  <c r="G157" i="117"/>
  <c r="F157" i="117"/>
  <c r="E157" i="117"/>
  <c r="H157" i="117"/>
  <c r="H92" i="117"/>
  <c r="F92" i="117"/>
  <c r="E92" i="117"/>
  <c r="G92" i="117"/>
  <c r="H93" i="117"/>
  <c r="G93" i="117"/>
  <c r="F93" i="117"/>
  <c r="E93" i="117"/>
  <c r="F70" i="117"/>
  <c r="H70" i="117"/>
  <c r="G70" i="117"/>
  <c r="E70" i="117"/>
  <c r="H33" i="117"/>
  <c r="G33" i="117"/>
  <c r="F33" i="117"/>
  <c r="E33" i="117"/>
  <c r="G167" i="117"/>
  <c r="H167" i="117"/>
  <c r="E167" i="117"/>
  <c r="F167" i="117"/>
  <c r="G84" i="117"/>
  <c r="E84" i="117"/>
  <c r="H84" i="117"/>
  <c r="F84" i="117"/>
  <c r="G107" i="117"/>
  <c r="H107" i="117"/>
  <c r="F107" i="117"/>
  <c r="E107" i="117"/>
  <c r="H184" i="117"/>
  <c r="F184" i="117"/>
  <c r="G184" i="117"/>
  <c r="E184" i="117"/>
  <c r="G76" i="117"/>
  <c r="F76" i="117"/>
  <c r="H76" i="117"/>
  <c r="E76" i="117"/>
  <c r="G113" i="117"/>
  <c r="H113" i="117"/>
  <c r="E113" i="117"/>
  <c r="F113" i="117"/>
  <c r="F133" i="117"/>
  <c r="H133" i="117"/>
  <c r="G133" i="117"/>
  <c r="E133" i="117"/>
  <c r="H43" i="117"/>
  <c r="G43" i="117"/>
  <c r="F43" i="117"/>
  <c r="E43" i="117"/>
  <c r="E186" i="117"/>
  <c r="F186" i="117"/>
  <c r="G186" i="117"/>
  <c r="H186" i="117"/>
  <c r="H22" i="117"/>
  <c r="G22" i="117"/>
  <c r="F22" i="117"/>
  <c r="E22" i="117"/>
  <c r="G104" i="117"/>
  <c r="F104" i="117"/>
  <c r="H104" i="117"/>
  <c r="E104" i="117"/>
  <c r="G105" i="117"/>
  <c r="E105" i="117"/>
  <c r="F105" i="117"/>
  <c r="H105" i="117"/>
  <c r="G82" i="117"/>
  <c r="F82" i="117"/>
  <c r="E82" i="117"/>
  <c r="H82" i="117"/>
  <c r="H19" i="117"/>
  <c r="E19" i="117"/>
  <c r="G19" i="117"/>
  <c r="F19" i="117"/>
  <c r="E168" i="117"/>
  <c r="H168" i="117"/>
  <c r="F168" i="117"/>
  <c r="G168" i="117"/>
  <c r="F96" i="117"/>
  <c r="H96" i="117"/>
  <c r="E96" i="117"/>
  <c r="G96" i="117"/>
  <c r="H7" i="117"/>
  <c r="F7" i="117"/>
  <c r="G7" i="117"/>
  <c r="E7" i="117"/>
  <c r="E13" i="117"/>
  <c r="H13" i="117"/>
  <c r="G13" i="117"/>
  <c r="F13" i="117"/>
  <c r="H99" i="117"/>
  <c r="F99" i="117"/>
  <c r="E99" i="117"/>
  <c r="G99" i="117"/>
  <c r="H196" i="117"/>
  <c r="G196" i="117"/>
  <c r="F196" i="117"/>
  <c r="E196" i="117"/>
  <c r="E88" i="117"/>
  <c r="H88" i="117"/>
  <c r="F88" i="117"/>
  <c r="G88" i="117"/>
  <c r="G124" i="117"/>
  <c r="F124" i="117"/>
  <c r="E124" i="117"/>
  <c r="H124" i="117"/>
  <c r="H54" i="117"/>
  <c r="G54" i="117"/>
  <c r="F54" i="117"/>
  <c r="E54" i="117"/>
  <c r="H163" i="117"/>
  <c r="F163" i="117"/>
  <c r="E163" i="117"/>
  <c r="G163" i="117"/>
  <c r="G55" i="117"/>
  <c r="F55" i="117"/>
  <c r="E55" i="117"/>
  <c r="H55" i="117"/>
  <c r="G116" i="117"/>
  <c r="E116" i="117"/>
  <c r="F116" i="117"/>
  <c r="H116" i="117"/>
  <c r="H117" i="117"/>
  <c r="G117" i="117"/>
  <c r="F117" i="117"/>
  <c r="E117" i="117"/>
  <c r="F94" i="117"/>
  <c r="E94" i="117"/>
  <c r="G94" i="117"/>
  <c r="H94" i="117"/>
  <c r="G47" i="117"/>
  <c r="H47" i="117"/>
  <c r="F47" i="117"/>
  <c r="E47" i="117"/>
  <c r="G108" i="117"/>
  <c r="F108" i="117"/>
  <c r="H108" i="117"/>
  <c r="E108" i="117"/>
  <c r="H34" i="117"/>
  <c r="G34" i="117"/>
  <c r="F34" i="117"/>
  <c r="E34" i="117"/>
  <c r="H114" i="117"/>
  <c r="G114" i="117"/>
  <c r="E114" i="117"/>
  <c r="F114" i="117"/>
  <c r="E85" i="117"/>
  <c r="H85" i="117"/>
  <c r="F85" i="117"/>
  <c r="G85" i="117"/>
  <c r="H63" i="117"/>
  <c r="G63" i="117"/>
  <c r="F63" i="117"/>
  <c r="E63" i="117"/>
  <c r="F87" i="117"/>
  <c r="H87" i="117"/>
  <c r="G87" i="117"/>
  <c r="E87" i="117"/>
  <c r="H111" i="117"/>
  <c r="G111" i="117"/>
  <c r="F111" i="117"/>
  <c r="E111" i="117"/>
  <c r="H185" i="117"/>
  <c r="G185" i="117"/>
  <c r="E185" i="117"/>
  <c r="F185" i="117"/>
  <c r="H100" i="117"/>
  <c r="G100" i="117"/>
  <c r="F100" i="117"/>
  <c r="E100" i="117"/>
  <c r="E137" i="117"/>
  <c r="F137" i="117"/>
  <c r="H137" i="117"/>
  <c r="G137" i="117"/>
  <c r="G66" i="117"/>
  <c r="F66" i="117"/>
  <c r="E66" i="117"/>
  <c r="H66" i="117"/>
  <c r="F199" i="117"/>
  <c r="E199" i="117"/>
  <c r="H199" i="117"/>
  <c r="G199" i="117"/>
  <c r="H67" i="117"/>
  <c r="G67" i="117"/>
  <c r="E67" i="117"/>
  <c r="F67" i="117"/>
  <c r="H128" i="117"/>
  <c r="G128" i="117"/>
  <c r="E128" i="117"/>
  <c r="F128" i="117"/>
  <c r="G130" i="117"/>
  <c r="F130" i="117"/>
  <c r="E130" i="117"/>
  <c r="H130" i="117"/>
  <c r="G106" i="117"/>
  <c r="H106" i="117"/>
  <c r="E106" i="117"/>
  <c r="F106" i="117"/>
  <c r="H59" i="117"/>
  <c r="G59" i="117"/>
  <c r="F59" i="117"/>
  <c r="E59" i="117"/>
  <c r="G121" i="117"/>
  <c r="F121" i="117"/>
  <c r="E121" i="117"/>
  <c r="H121" i="117"/>
  <c r="H20" i="117"/>
  <c r="G20" i="117"/>
  <c r="F20" i="117"/>
  <c r="E20" i="117"/>
  <c r="F5" i="117"/>
  <c r="E5" i="117"/>
  <c r="G5" i="117"/>
  <c r="H5" i="117"/>
  <c r="E17" i="117"/>
  <c r="G17" i="117"/>
  <c r="F17" i="117"/>
  <c r="H17" i="117"/>
  <c r="H135" i="117"/>
  <c r="G135" i="117"/>
  <c r="E135" i="117"/>
  <c r="F135" i="117"/>
  <c r="K80" i="49"/>
  <c r="H123" i="117"/>
  <c r="G123" i="117"/>
  <c r="F123" i="117"/>
  <c r="E123" i="117"/>
  <c r="F139" i="117"/>
  <c r="H139" i="117"/>
  <c r="G139" i="117"/>
  <c r="E139" i="117"/>
  <c r="H112" i="117"/>
  <c r="G112" i="117"/>
  <c r="E112" i="117"/>
  <c r="F112" i="117"/>
  <c r="F23" i="117"/>
  <c r="E23" i="117"/>
  <c r="H23" i="117"/>
  <c r="G23" i="117"/>
  <c r="H149" i="117"/>
  <c r="G149" i="117"/>
  <c r="F149" i="117"/>
  <c r="E149" i="117"/>
  <c r="H77" i="117"/>
  <c r="F77" i="117"/>
  <c r="G77" i="117"/>
  <c r="E77" i="117"/>
  <c r="H129" i="117"/>
  <c r="G129" i="117"/>
  <c r="F129" i="117"/>
  <c r="E129" i="117"/>
  <c r="H79" i="117"/>
  <c r="G79" i="117"/>
  <c r="F79" i="117"/>
  <c r="E79" i="117"/>
  <c r="H140" i="117"/>
  <c r="E140" i="117"/>
  <c r="F140" i="117"/>
  <c r="G140" i="117"/>
  <c r="E141" i="117"/>
  <c r="G141" i="117"/>
  <c r="F141" i="117"/>
  <c r="H141" i="117"/>
  <c r="G118" i="117"/>
  <c r="E118" i="117"/>
  <c r="H118" i="117"/>
  <c r="F118" i="117"/>
  <c r="G71" i="117"/>
  <c r="F71" i="117"/>
  <c r="E71" i="117"/>
  <c r="H71" i="117"/>
  <c r="H192" i="117"/>
  <c r="F192" i="117"/>
  <c r="G192" i="117"/>
  <c r="E192" i="117"/>
  <c r="H49" i="117"/>
  <c r="G49" i="117"/>
  <c r="F49" i="117"/>
  <c r="E49" i="117"/>
  <c r="G159" i="117"/>
  <c r="H159" i="117"/>
  <c r="F159" i="117"/>
  <c r="E159" i="117"/>
  <c r="G136" i="117"/>
  <c r="F136" i="117"/>
  <c r="H136" i="117"/>
  <c r="E136" i="117"/>
  <c r="E200" i="117"/>
  <c r="G200" i="117"/>
  <c r="H200" i="117"/>
  <c r="F200" i="117"/>
  <c r="H125" i="117"/>
  <c r="G125" i="117"/>
  <c r="E125" i="117"/>
  <c r="F125" i="117"/>
  <c r="E9" i="117"/>
  <c r="G9" i="117"/>
  <c r="F9" i="117"/>
  <c r="H9" i="117"/>
  <c r="E162" i="117"/>
  <c r="G162" i="117"/>
  <c r="H162" i="117"/>
  <c r="F162" i="117"/>
  <c r="H90" i="117"/>
  <c r="G90" i="117"/>
  <c r="F90" i="117"/>
  <c r="E90" i="117"/>
  <c r="E180" i="117"/>
  <c r="G180" i="117"/>
  <c r="H180" i="117"/>
  <c r="F180" i="117"/>
  <c r="G91" i="117"/>
  <c r="E91" i="117"/>
  <c r="H91" i="117"/>
  <c r="F91" i="117"/>
  <c r="F25" i="117"/>
  <c r="E25" i="117"/>
  <c r="H25" i="117"/>
  <c r="G25" i="117"/>
  <c r="H176" i="117"/>
  <c r="G176" i="117"/>
  <c r="F176" i="117"/>
  <c r="E176" i="117"/>
  <c r="F26" i="117"/>
  <c r="E26" i="117"/>
  <c r="H26" i="117"/>
  <c r="G26" i="117"/>
  <c r="H153" i="117"/>
  <c r="G153" i="117"/>
  <c r="E153" i="117"/>
  <c r="F153" i="117"/>
  <c r="H178" i="117"/>
  <c r="F178" i="117"/>
  <c r="E178" i="117"/>
  <c r="G178" i="117"/>
  <c r="F83" i="117"/>
  <c r="E83" i="117"/>
  <c r="H83" i="117"/>
  <c r="G83" i="117"/>
  <c r="G62" i="117"/>
  <c r="F62" i="117"/>
  <c r="E62" i="117"/>
  <c r="H62" i="117"/>
  <c r="G18" i="117"/>
  <c r="E18" i="117"/>
  <c r="H18" i="117"/>
  <c r="F18" i="117"/>
  <c r="H147" i="117"/>
  <c r="E147" i="117"/>
  <c r="F147" i="117"/>
  <c r="G147" i="117"/>
  <c r="E189" i="117"/>
  <c r="F189" i="117"/>
  <c r="G189" i="117"/>
  <c r="H189" i="117"/>
  <c r="G148" i="117"/>
  <c r="F148" i="117"/>
  <c r="E148" i="117"/>
  <c r="H148" i="117"/>
  <c r="G36" i="117"/>
  <c r="F36" i="117"/>
  <c r="E36" i="117"/>
  <c r="H36" i="117"/>
  <c r="E173" i="117"/>
  <c r="H173" i="117"/>
  <c r="G173" i="117"/>
  <c r="F173" i="117"/>
  <c r="H102" i="117"/>
  <c r="E102" i="117"/>
  <c r="G102" i="117"/>
  <c r="F102" i="117"/>
  <c r="H103" i="117"/>
  <c r="G103" i="117"/>
  <c r="F103" i="117"/>
  <c r="E103" i="117"/>
  <c r="H32" i="117"/>
  <c r="G32" i="117"/>
  <c r="F32" i="117"/>
  <c r="E32" i="117"/>
  <c r="E142" i="117"/>
  <c r="H142" i="117"/>
  <c r="G142" i="117"/>
  <c r="F142" i="117"/>
  <c r="E11" i="117"/>
  <c r="H11" i="117"/>
  <c r="G11" i="117"/>
  <c r="F11" i="117"/>
  <c r="E165" i="117"/>
  <c r="H165" i="117"/>
  <c r="F165" i="117"/>
  <c r="G165" i="117"/>
  <c r="H145" i="117"/>
  <c r="E145" i="117"/>
  <c r="G145" i="117"/>
  <c r="F145" i="117"/>
  <c r="H95" i="117"/>
  <c r="G95" i="117"/>
  <c r="E95" i="117"/>
  <c r="F95" i="117"/>
  <c r="H8" i="117"/>
  <c r="F8" i="117"/>
  <c r="E8" i="117"/>
  <c r="G8" i="117"/>
  <c r="H73" i="117"/>
  <c r="F73" i="117"/>
  <c r="E73" i="117"/>
  <c r="G73" i="117"/>
  <c r="DQ43" i="71"/>
  <c r="DQ63" i="71"/>
  <c r="DQ58" i="71"/>
  <c r="DQ48" i="71"/>
  <c r="DQ18" i="71"/>
  <c r="DQ13" i="71"/>
  <c r="DQ53" i="71"/>
  <c r="DQ8" i="71"/>
  <c r="DQ33" i="71"/>
  <c r="DQ78" i="71"/>
  <c r="DQ38" i="71"/>
  <c r="DQ83" i="71"/>
  <c r="DQ23" i="71"/>
  <c r="DQ3" i="71"/>
  <c r="DQ68" i="71"/>
  <c r="DQ28" i="71"/>
  <c r="DQ73" i="71"/>
  <c r="DT88" i="71" l="1"/>
  <c r="DQ24" i="71"/>
  <c r="DQ49" i="71"/>
  <c r="DQ14" i="71"/>
  <c r="DQ4" i="71"/>
  <c r="DQ79" i="71"/>
  <c r="DQ54" i="71"/>
  <c r="DQ44" i="71"/>
  <c r="DQ74" i="71"/>
  <c r="DQ59" i="71"/>
  <c r="DQ64" i="71"/>
  <c r="DQ9" i="71"/>
  <c r="DQ19" i="71"/>
  <c r="DQ34" i="71"/>
  <c r="DQ69" i="71"/>
  <c r="DQ29" i="71"/>
  <c r="DQ39" i="71"/>
  <c r="DR33" i="71" l="1"/>
  <c r="DS33" i="71" s="1"/>
  <c r="DR18" i="71"/>
  <c r="DS18" i="71" s="1"/>
  <c r="DR53" i="71"/>
  <c r="DS53" i="71" s="1"/>
  <c r="DR23" i="71"/>
  <c r="DS23" i="71" s="1"/>
  <c r="DR63" i="71"/>
  <c r="DS63" i="71" s="1"/>
  <c r="DR43" i="71"/>
  <c r="DS43" i="71" s="1"/>
  <c r="DR78" i="71"/>
  <c r="DS78" i="71" s="1"/>
  <c r="DR68" i="71"/>
  <c r="DS68" i="71" s="1"/>
  <c r="DR8" i="71"/>
  <c r="DS8" i="71" s="1"/>
  <c r="DR73" i="71"/>
  <c r="DS73" i="71" s="1"/>
  <c r="DR38" i="71"/>
  <c r="DS38" i="71" s="1"/>
  <c r="DR3" i="71"/>
  <c r="DS3" i="71" s="1"/>
  <c r="DT4" i="71" s="1"/>
  <c r="DU4" i="71" s="1"/>
  <c r="DR48" i="71"/>
  <c r="DS48" i="71" s="1"/>
  <c r="DR58" i="71"/>
  <c r="DS58" i="71" s="1"/>
  <c r="DR28" i="71"/>
  <c r="DS28" i="71" s="1"/>
  <c r="DR13" i="71"/>
  <c r="DS13" i="71" s="1"/>
  <c r="DQ45" i="71"/>
  <c r="DQ25" i="71"/>
  <c r="DQ60" i="71"/>
  <c r="DQ65" i="71"/>
  <c r="DQ30" i="71"/>
  <c r="DQ50" i="71"/>
  <c r="DQ5" i="71"/>
  <c r="DQ40" i="71"/>
  <c r="DQ35" i="71"/>
  <c r="DQ75" i="71"/>
  <c r="DQ80" i="71"/>
  <c r="DQ10" i="71"/>
  <c r="DQ15" i="71"/>
  <c r="DQ70" i="71"/>
  <c r="DQ55" i="71"/>
  <c r="DQ20" i="71"/>
  <c r="DT87" i="71"/>
  <c r="DT92" i="71" s="1"/>
  <c r="DT89" i="71"/>
  <c r="DT93" i="71" s="1"/>
  <c r="DR44" i="71" l="1"/>
  <c r="DS44" i="71" s="1"/>
  <c r="DR24" i="71"/>
  <c r="DS24" i="71" s="1"/>
  <c r="DR9" i="71"/>
  <c r="DS9" i="71" s="1"/>
  <c r="DR59" i="71"/>
  <c r="DS59" i="71" s="1"/>
  <c r="DR64" i="71"/>
  <c r="DS64" i="71" s="1"/>
  <c r="DR69" i="71"/>
  <c r="DS69" i="71" s="1"/>
  <c r="DR39" i="71"/>
  <c r="DS39" i="71" s="1"/>
  <c r="DR4" i="71"/>
  <c r="DS4" i="71" s="1"/>
  <c r="DT5" i="71" s="1"/>
  <c r="DU5" i="71" s="1"/>
  <c r="DR54" i="71"/>
  <c r="DS54" i="71" s="1"/>
  <c r="DR49" i="71"/>
  <c r="DS49" i="71" s="1"/>
  <c r="DR19" i="71"/>
  <c r="DS19" i="71" s="1"/>
  <c r="DR14" i="71"/>
  <c r="DS14" i="71" s="1"/>
  <c r="DR79" i="71"/>
  <c r="DS79" i="71" s="1"/>
  <c r="DR74" i="71"/>
  <c r="DS74" i="71" s="1"/>
  <c r="DR34" i="71"/>
  <c r="DS34" i="71" s="1"/>
  <c r="DR29" i="71"/>
  <c r="DS29" i="71" s="1"/>
  <c r="DQ46" i="71"/>
  <c r="DQ66" i="71"/>
  <c r="DQ31" i="71"/>
  <c r="DQ61" i="71"/>
  <c r="DQ26" i="71"/>
  <c r="DQ81" i="71"/>
  <c r="DQ76" i="71"/>
  <c r="DQ36" i="71"/>
  <c r="DQ51" i="71"/>
  <c r="DQ41" i="71"/>
  <c r="DQ6" i="71"/>
  <c r="DQ21" i="71"/>
  <c r="DQ56" i="71"/>
  <c r="DQ71" i="71"/>
  <c r="DQ16" i="71"/>
  <c r="DQ11" i="71"/>
  <c r="DR45" i="71" l="1"/>
  <c r="DS45" i="71" s="1"/>
  <c r="DR30" i="71"/>
  <c r="DS30" i="71" s="1"/>
  <c r="DR15" i="71"/>
  <c r="DS15" i="71" s="1"/>
  <c r="DQ32" i="71"/>
  <c r="DR60" i="71"/>
  <c r="DS60" i="71" s="1"/>
  <c r="DR20" i="71"/>
  <c r="DS20" i="71" s="1"/>
  <c r="DR35" i="71"/>
  <c r="DS35" i="71" s="1"/>
  <c r="DR65" i="71"/>
  <c r="DS65" i="71" s="1"/>
  <c r="DR75" i="71"/>
  <c r="DS75" i="71" s="1"/>
  <c r="DR70" i="71"/>
  <c r="DS70" i="71" s="1"/>
  <c r="DR55" i="71"/>
  <c r="DS55" i="71" s="1"/>
  <c r="DR5" i="71"/>
  <c r="DS5" i="71" s="1"/>
  <c r="DT6" i="71" s="1"/>
  <c r="DU6" i="71" s="1"/>
  <c r="DR40" i="71"/>
  <c r="DS40" i="71" s="1"/>
  <c r="DR50" i="71"/>
  <c r="DS50" i="71" s="1"/>
  <c r="DR80" i="71"/>
  <c r="DS80" i="71" s="1"/>
  <c r="DR10" i="71"/>
  <c r="DS10" i="71" s="1"/>
  <c r="DR25" i="71"/>
  <c r="DS25" i="71" s="1"/>
  <c r="DQ67" i="71"/>
  <c r="DQ47" i="71"/>
  <c r="DQ27" i="71"/>
  <c r="DQ62" i="71"/>
  <c r="DQ52" i="71"/>
  <c r="DQ37" i="71"/>
  <c r="DQ42" i="71"/>
  <c r="DQ77" i="71"/>
  <c r="DQ7" i="71"/>
  <c r="DQ82" i="71"/>
  <c r="DQ57" i="71"/>
  <c r="DQ12" i="71"/>
  <c r="DQ22" i="71"/>
  <c r="DQ72" i="71"/>
  <c r="DQ17" i="71"/>
  <c r="DR12" i="71" l="1"/>
  <c r="DR11" i="71"/>
  <c r="DS11" i="71" s="1"/>
  <c r="DR6" i="71"/>
  <c r="DS6" i="71" s="1"/>
  <c r="DT7" i="71" s="1"/>
  <c r="DU7" i="71" s="1"/>
  <c r="DR7" i="71"/>
  <c r="DS7" i="71" s="1"/>
  <c r="DR21" i="71"/>
  <c r="DS21" i="71" s="1"/>
  <c r="DR22" i="71"/>
  <c r="DS22" i="71" s="1"/>
  <c r="DR81" i="71"/>
  <c r="DS81" i="71" s="1"/>
  <c r="DR82" i="71"/>
  <c r="DS82" i="71" s="1"/>
  <c r="DR76" i="71"/>
  <c r="DS76" i="71" s="1"/>
  <c r="DR77" i="71"/>
  <c r="DS77" i="71" s="1"/>
  <c r="DR66" i="71"/>
  <c r="DS66" i="71" s="1"/>
  <c r="DR67" i="71"/>
  <c r="DS67" i="71" s="1"/>
  <c r="DR56" i="71"/>
  <c r="DR57" i="71"/>
  <c r="DS57" i="71" s="1"/>
  <c r="DR41" i="71"/>
  <c r="DS41" i="71" s="1"/>
  <c r="DR42" i="71"/>
  <c r="DS42" i="71" s="1"/>
  <c r="DR16" i="71"/>
  <c r="DS16" i="71" s="1"/>
  <c r="DR17" i="71"/>
  <c r="DS17" i="71" s="1"/>
  <c r="DR26" i="71"/>
  <c r="DS26" i="71" s="1"/>
  <c r="DR27" i="71"/>
  <c r="DS27" i="71" s="1"/>
  <c r="DR31" i="71"/>
  <c r="DS31" i="71" s="1"/>
  <c r="DR32" i="71"/>
  <c r="DS32" i="71" s="1"/>
  <c r="DR36" i="71"/>
  <c r="DS36" i="71" s="1"/>
  <c r="DR37" i="71"/>
  <c r="DS37" i="71" s="1"/>
  <c r="DR51" i="71"/>
  <c r="DR52" i="71"/>
  <c r="DS52" i="71" s="1"/>
  <c r="DR61" i="71"/>
  <c r="DS61" i="71" s="1"/>
  <c r="DR62" i="71"/>
  <c r="DS62" i="71" s="1"/>
  <c r="DR71" i="71"/>
  <c r="DS71" i="71" s="1"/>
  <c r="DR72" i="71"/>
  <c r="DS72" i="71" s="1"/>
  <c r="DR46" i="71"/>
  <c r="DS46" i="71" s="1"/>
  <c r="DR47" i="71"/>
  <c r="DS47" i="71" s="1"/>
  <c r="DS56" i="71"/>
  <c r="DS51" i="71"/>
  <c r="DS12" i="71"/>
  <c r="DT8" i="71" l="1"/>
  <c r="DT9" i="71" s="1"/>
  <c r="DT10" i="71" s="1"/>
  <c r="DT11" i="71" s="1"/>
  <c r="DT12" i="71" s="1"/>
  <c r="DT13" i="71" s="1"/>
  <c r="DT14" i="71" s="1"/>
  <c r="DT15" i="71" s="1"/>
  <c r="DT16" i="71" s="1"/>
  <c r="DT17" i="71" s="1"/>
  <c r="DT18" i="71" s="1"/>
  <c r="DT19" i="71" s="1"/>
  <c r="DT20" i="71" s="1"/>
  <c r="DT21" i="71" s="1"/>
  <c r="DT22" i="71" s="1"/>
  <c r="DT23" i="71" s="1"/>
  <c r="DT24" i="71" s="1"/>
  <c r="DT25" i="71" s="1"/>
  <c r="DT26" i="71" s="1"/>
  <c r="DT27" i="71" s="1"/>
  <c r="DT28" i="71" s="1"/>
  <c r="DT29" i="71" s="1"/>
  <c r="DT30" i="71" s="1"/>
  <c r="DT31" i="71" s="1"/>
  <c r="DT32" i="71" s="1"/>
  <c r="DT33" i="71" s="1"/>
  <c r="DT34" i="71" s="1"/>
  <c r="DT35" i="71" s="1"/>
  <c r="DT36" i="71" s="1"/>
  <c r="DT37" i="71" s="1"/>
  <c r="DT38" i="71" s="1"/>
  <c r="DT39" i="71" s="1"/>
  <c r="DT40" i="71" s="1"/>
  <c r="DT41" i="71" s="1"/>
  <c r="DT42" i="71" s="1"/>
  <c r="DT43" i="71" s="1"/>
  <c r="DT44" i="71" s="1"/>
  <c r="DT45" i="71" s="1"/>
  <c r="DT46" i="71" s="1"/>
  <c r="DT47" i="71" s="1"/>
  <c r="DT48" i="71" s="1"/>
  <c r="DT49" i="71" s="1"/>
  <c r="DT50" i="71" s="1"/>
  <c r="DT51" i="71" s="1"/>
  <c r="DT52" i="71" s="1"/>
  <c r="DT53" i="71" s="1"/>
  <c r="DT54" i="71" s="1"/>
  <c r="DT55" i="71" s="1"/>
  <c r="DT56" i="71" s="1"/>
  <c r="DT57" i="71" s="1"/>
  <c r="DT58" i="71" s="1"/>
  <c r="DT59" i="71" s="1"/>
  <c r="DT60" i="71" s="1"/>
  <c r="DT61" i="71" s="1"/>
  <c r="DT62" i="71" s="1"/>
  <c r="DT63" i="71" s="1"/>
  <c r="DT64" i="71" s="1"/>
  <c r="DT65" i="71" s="1"/>
  <c r="DT66" i="71" s="1"/>
  <c r="DT67" i="71" s="1"/>
  <c r="DT68" i="71" s="1"/>
  <c r="DT69" i="71" s="1"/>
  <c r="DT70" i="71" s="1"/>
  <c r="DT71" i="71" s="1"/>
  <c r="DT72" i="71" s="1"/>
  <c r="DT73" i="71" s="1"/>
  <c r="DT74" i="71" s="1"/>
  <c r="DT75" i="71" s="1"/>
  <c r="DT76" i="71" s="1"/>
  <c r="DT77" i="71" s="1"/>
  <c r="DT78" i="71" s="1"/>
  <c r="DT79" i="71" s="1"/>
  <c r="DT80" i="71" s="1"/>
  <c r="DT81" i="71" s="1"/>
  <c r="DT82" i="71" s="1"/>
  <c r="DT83" i="71" s="1"/>
  <c r="DU8" i="71" l="1"/>
  <c r="DU9" i="71"/>
  <c r="DU10" i="71"/>
  <c r="DU11" i="71" l="1"/>
  <c r="DU12" i="71" l="1"/>
  <c r="DU13" i="71" l="1"/>
  <c r="DU14" i="71" l="1"/>
  <c r="DU15" i="71" l="1"/>
  <c r="DU16" i="71" l="1"/>
  <c r="DU17" i="71" l="1"/>
  <c r="DU18" i="71" l="1"/>
  <c r="DU19" i="71" l="1"/>
  <c r="DU20" i="71" l="1"/>
  <c r="DU21" i="71" l="1"/>
  <c r="DU22" i="71" l="1"/>
  <c r="DU23" i="71" l="1"/>
  <c r="DU24" i="71" l="1"/>
  <c r="DU25" i="71" l="1"/>
  <c r="DU26" i="71" l="1"/>
  <c r="DU27" i="71" l="1"/>
  <c r="DU28" i="71" l="1"/>
  <c r="DU29" i="71" l="1"/>
  <c r="DU30" i="71" l="1"/>
  <c r="DU31" i="71" l="1"/>
  <c r="DU32" i="71" l="1"/>
  <c r="DU33" i="71" l="1"/>
  <c r="DU34" i="71" l="1"/>
  <c r="DU35" i="71" l="1"/>
  <c r="DU36" i="71" l="1"/>
  <c r="DU37" i="71" l="1"/>
  <c r="DU38" i="71" l="1"/>
  <c r="DU39" i="71" l="1"/>
  <c r="DU40" i="71" l="1"/>
  <c r="DU41" i="71" l="1"/>
  <c r="DU42" i="71" l="1"/>
  <c r="DU43" i="71" l="1"/>
  <c r="DU44" i="71" l="1"/>
  <c r="DU45" i="71" l="1"/>
  <c r="DU46" i="71" l="1"/>
  <c r="DU47" i="71" l="1"/>
  <c r="DU48" i="71" l="1"/>
  <c r="DU49" i="71" l="1"/>
  <c r="DU50" i="71" l="1"/>
  <c r="DU51" i="71" l="1"/>
  <c r="DU52" i="71" l="1"/>
  <c r="DU53" i="71" l="1"/>
  <c r="DU54" i="71" l="1"/>
  <c r="DU55" i="71" l="1"/>
  <c r="DU56" i="71" l="1"/>
  <c r="DU57" i="71" l="1"/>
  <c r="DU58" i="71" l="1"/>
  <c r="DU59" i="71" l="1"/>
  <c r="DU60" i="71" l="1"/>
  <c r="DU61" i="71" l="1"/>
  <c r="DU62" i="71" l="1"/>
  <c r="DU63" i="71" l="1"/>
  <c r="DU64" i="71" l="1"/>
  <c r="DU65" i="71" l="1"/>
  <c r="DU66" i="71" l="1"/>
  <c r="DU67" i="71" l="1"/>
  <c r="DU68" i="71" l="1"/>
  <c r="DU69" i="71" l="1"/>
  <c r="DU70" i="71" l="1"/>
  <c r="DU71" i="71" l="1"/>
  <c r="DU72" i="71" l="1"/>
  <c r="DU73" i="71" l="1"/>
  <c r="DU74" i="71" l="1"/>
  <c r="DU75" i="71" l="1"/>
  <c r="DU76" i="71" l="1"/>
  <c r="DU77" i="71" l="1"/>
  <c r="DU78" i="71" l="1"/>
  <c r="DU79" i="71" l="1"/>
  <c r="DU80" i="71" l="1"/>
  <c r="DU81" i="71" l="1"/>
  <c r="DU83" i="71" l="1"/>
  <c r="DU88" i="71" s="1"/>
  <c r="DU82" i="71"/>
  <c r="DU89" i="71" l="1"/>
  <c r="DU93" i="71" s="1"/>
  <c r="DU87" i="71"/>
  <c r="DU92" i="71" s="1"/>
  <c r="AO118" i="99" l="1"/>
  <c r="AK118" i="99"/>
  <c r="AR118" i="99"/>
  <c r="AP118" i="99"/>
  <c r="AN118" i="99"/>
  <c r="AL118" i="99"/>
  <c r="AQ118" i="99"/>
  <c r="AM118" i="99"/>
  <c r="AK66" i="99"/>
  <c r="AR66" i="99"/>
  <c r="AQ66" i="99"/>
  <c r="AL66" i="99"/>
  <c r="AP66" i="99"/>
  <c r="AM66" i="99"/>
  <c r="AO66" i="99"/>
  <c r="AN66" i="99"/>
  <c r="AK120" i="99"/>
  <c r="AR120" i="99"/>
  <c r="AQ120" i="99"/>
  <c r="AO120" i="99"/>
  <c r="AL120" i="99"/>
  <c r="AM120" i="99"/>
  <c r="AP120" i="99"/>
  <c r="AN120" i="99"/>
  <c r="AK77" i="99"/>
  <c r="AR77" i="99"/>
  <c r="AN77" i="99"/>
  <c r="AM77" i="99"/>
  <c r="AQ77" i="99"/>
  <c r="AP77" i="99"/>
  <c r="AO77" i="99"/>
  <c r="AL77" i="99"/>
  <c r="BC78" i="99"/>
  <c r="AV78" i="99"/>
  <c r="AW78" i="99"/>
  <c r="BA78" i="99"/>
  <c r="AY78" i="99"/>
  <c r="BB78" i="99"/>
  <c r="AX78" i="99"/>
  <c r="AZ78" i="99"/>
  <c r="AV72" i="99"/>
  <c r="BC72" i="99"/>
  <c r="BB72" i="99"/>
  <c r="AZ72" i="99"/>
  <c r="AY72" i="99"/>
  <c r="AX72" i="99"/>
  <c r="AW72" i="99"/>
  <c r="BA72" i="99"/>
  <c r="AO23" i="99"/>
  <c r="AK23" i="99"/>
  <c r="AR23" i="99"/>
  <c r="AM23" i="99"/>
  <c r="AL23" i="99"/>
  <c r="AN23" i="99"/>
  <c r="AQ23" i="99"/>
  <c r="AP23" i="99"/>
  <c r="AV43" i="99"/>
  <c r="AZ43" i="99"/>
  <c r="AW43" i="99"/>
  <c r="BA43" i="99"/>
  <c r="BC43" i="99"/>
  <c r="AX43" i="99"/>
  <c r="AY43" i="99"/>
  <c r="BB43" i="99"/>
  <c r="AV149" i="99"/>
  <c r="BC149" i="99"/>
  <c r="BA149" i="99"/>
  <c r="AY149" i="99"/>
  <c r="BB149" i="99"/>
  <c r="AZ149" i="99"/>
  <c r="AW149" i="99"/>
  <c r="AX149" i="99"/>
  <c r="AK82" i="99"/>
  <c r="AR82" i="99"/>
  <c r="AM82" i="99"/>
  <c r="AQ82" i="99"/>
  <c r="AN82" i="99"/>
  <c r="AL82" i="99"/>
  <c r="AO82" i="99"/>
  <c r="AP82" i="99"/>
  <c r="AM142" i="99"/>
  <c r="AK142" i="99"/>
  <c r="AR142" i="99"/>
  <c r="AN142" i="99"/>
  <c r="AO142" i="99"/>
  <c r="AP142" i="99"/>
  <c r="AQ142" i="99"/>
  <c r="AL142" i="99"/>
  <c r="AV25" i="99"/>
  <c r="AZ25" i="99"/>
  <c r="AX25" i="99"/>
  <c r="AW25" i="99"/>
  <c r="BA25" i="99"/>
  <c r="AY25" i="99"/>
  <c r="BC25" i="99"/>
  <c r="BB25" i="99"/>
  <c r="AK49" i="99"/>
  <c r="AR49" i="99"/>
  <c r="AO49" i="99"/>
  <c r="AN49" i="99"/>
  <c r="AQ49" i="99"/>
  <c r="AM49" i="99"/>
  <c r="AP49" i="99"/>
  <c r="AL49" i="99"/>
  <c r="AK107" i="99"/>
  <c r="AR107" i="99"/>
  <c r="AN107" i="99"/>
  <c r="AQ107" i="99"/>
  <c r="AP107" i="99"/>
  <c r="AO107" i="99"/>
  <c r="AM107" i="99"/>
  <c r="AL107" i="99"/>
  <c r="BC126" i="99"/>
  <c r="AV126" i="99"/>
  <c r="AW126" i="99"/>
  <c r="AX126" i="99"/>
  <c r="AZ126" i="99"/>
  <c r="BA126" i="99"/>
  <c r="AY126" i="99"/>
  <c r="BB126" i="99"/>
  <c r="AK101" i="99"/>
  <c r="AR101" i="99"/>
  <c r="AO101" i="99"/>
  <c r="AP101" i="99"/>
  <c r="AL101" i="99"/>
  <c r="AN101" i="99"/>
  <c r="AM101" i="99"/>
  <c r="AQ101" i="99"/>
  <c r="BB70" i="99"/>
  <c r="AV70" i="99"/>
  <c r="BC70" i="99"/>
  <c r="AW70" i="99"/>
  <c r="AZ70" i="99"/>
  <c r="BA70" i="99"/>
  <c r="AX70" i="99"/>
  <c r="AY70" i="99"/>
  <c r="AV89" i="99"/>
  <c r="AY89" i="99"/>
  <c r="BC89" i="99"/>
  <c r="BA89" i="99"/>
  <c r="AW89" i="99"/>
  <c r="AZ89" i="99"/>
  <c r="AX89" i="99"/>
  <c r="BB89" i="99"/>
  <c r="AK165" i="99"/>
  <c r="AR165" i="99"/>
  <c r="AL165" i="99"/>
  <c r="AP165" i="99"/>
  <c r="AO165" i="99"/>
  <c r="AN165" i="99"/>
  <c r="AQ165" i="99"/>
  <c r="AM165" i="99"/>
  <c r="AV154" i="99"/>
  <c r="AW154" i="99"/>
  <c r="BC154" i="99"/>
  <c r="BA154" i="99"/>
  <c r="AZ154" i="99"/>
  <c r="AY154" i="99"/>
  <c r="AX154" i="99"/>
  <c r="BB154" i="99"/>
  <c r="AK127" i="99"/>
  <c r="AR127" i="99"/>
  <c r="AL127" i="99"/>
  <c r="AQ127" i="99"/>
  <c r="AM127" i="99"/>
  <c r="AP127" i="99"/>
  <c r="AO127" i="99"/>
  <c r="AN127" i="99"/>
  <c r="AZ118" i="99"/>
  <c r="AV118" i="99"/>
  <c r="BA118" i="99"/>
  <c r="AX118" i="99"/>
  <c r="BB118" i="99"/>
  <c r="AW118" i="99"/>
  <c r="AY118" i="99"/>
  <c r="BC118" i="99"/>
  <c r="AV66" i="99"/>
  <c r="BB66" i="99"/>
  <c r="AY66" i="99"/>
  <c r="BC66" i="99"/>
  <c r="AW66" i="99"/>
  <c r="AZ66" i="99"/>
  <c r="BA66" i="99"/>
  <c r="AX66" i="99"/>
  <c r="AK125" i="99"/>
  <c r="AQ125" i="99"/>
  <c r="AO125" i="99"/>
  <c r="AN125" i="99"/>
  <c r="AM125" i="99"/>
  <c r="AR125" i="99"/>
  <c r="AP125" i="99"/>
  <c r="AL125" i="99"/>
  <c r="AV120" i="99"/>
  <c r="BB120" i="99"/>
  <c r="AZ120" i="99"/>
  <c r="BC120" i="99"/>
  <c r="BA120" i="99"/>
  <c r="AW120" i="99"/>
  <c r="AX120" i="99"/>
  <c r="AY120" i="99"/>
  <c r="AO54" i="99"/>
  <c r="AK54" i="99"/>
  <c r="AR54" i="99"/>
  <c r="AQ54" i="99"/>
  <c r="AP54" i="99"/>
  <c r="AL54" i="99"/>
  <c r="AN54" i="99"/>
  <c r="AM54" i="99"/>
  <c r="AV74" i="99"/>
  <c r="BB74" i="99"/>
  <c r="AZ74" i="99"/>
  <c r="AY74" i="99"/>
  <c r="AX74" i="99"/>
  <c r="BC74" i="99"/>
  <c r="BA74" i="99"/>
  <c r="AW74" i="99"/>
  <c r="AK47" i="99"/>
  <c r="AR47" i="99"/>
  <c r="AM47" i="99"/>
  <c r="AO47" i="99"/>
  <c r="AN47" i="99"/>
  <c r="AQ47" i="99"/>
  <c r="AL47" i="99"/>
  <c r="AP47" i="99"/>
  <c r="AV77" i="99"/>
  <c r="AZ77" i="99"/>
  <c r="BC77" i="99"/>
  <c r="AW77" i="99"/>
  <c r="AY77" i="99"/>
  <c r="BB77" i="99"/>
  <c r="AX77" i="99"/>
  <c r="BA77" i="99"/>
  <c r="AK145" i="99"/>
  <c r="AR145" i="99"/>
  <c r="AP145" i="99"/>
  <c r="AO145" i="99"/>
  <c r="AM145" i="99"/>
  <c r="AQ145" i="99"/>
  <c r="AL145" i="99"/>
  <c r="AN145" i="99"/>
  <c r="BA166" i="99"/>
  <c r="AV166" i="99"/>
  <c r="BC166" i="99"/>
  <c r="AY166" i="99"/>
  <c r="AW166" i="99"/>
  <c r="AZ166" i="99"/>
  <c r="AX166" i="99"/>
  <c r="BB166" i="99"/>
  <c r="AV79" i="99"/>
  <c r="BB79" i="99"/>
  <c r="AX79" i="99"/>
  <c r="AZ79" i="99"/>
  <c r="BC79" i="99"/>
  <c r="AY79" i="99"/>
  <c r="BA79" i="99"/>
  <c r="AW79" i="99"/>
  <c r="AK99" i="99"/>
  <c r="AR99" i="99"/>
  <c r="AN99" i="99"/>
  <c r="AQ99" i="99"/>
  <c r="AP99" i="99"/>
  <c r="AO99" i="99"/>
  <c r="AM99" i="99"/>
  <c r="AL99" i="99"/>
  <c r="AK87" i="99"/>
  <c r="AR87" i="99"/>
  <c r="AL87" i="99"/>
  <c r="AM87" i="99"/>
  <c r="AN87" i="99"/>
  <c r="AO87" i="99"/>
  <c r="AP87" i="99"/>
  <c r="AQ87" i="99"/>
  <c r="AV91" i="99"/>
  <c r="BB91" i="99"/>
  <c r="BA91" i="99"/>
  <c r="AZ91" i="99"/>
  <c r="BC91" i="99"/>
  <c r="AX91" i="99"/>
  <c r="AW91" i="99"/>
  <c r="AY91" i="99"/>
  <c r="AV170" i="99"/>
  <c r="AZ170" i="99"/>
  <c r="AY170" i="99"/>
  <c r="AX170" i="99"/>
  <c r="AW170" i="99"/>
  <c r="BC170" i="99"/>
  <c r="BA170" i="99"/>
  <c r="BB170" i="99"/>
  <c r="AK56" i="99"/>
  <c r="AR56" i="99"/>
  <c r="AP56" i="99"/>
  <c r="AM56" i="99"/>
  <c r="AQ56" i="99"/>
  <c r="AN56" i="99"/>
  <c r="AL56" i="99"/>
  <c r="AO56" i="99"/>
  <c r="AV107" i="99"/>
  <c r="AX107" i="99"/>
  <c r="BC107" i="99"/>
  <c r="BB107" i="99"/>
  <c r="AW107" i="99"/>
  <c r="AY107" i="99"/>
  <c r="BA107" i="99"/>
  <c r="AZ107" i="99"/>
  <c r="AK161" i="99"/>
  <c r="AR161" i="99"/>
  <c r="AQ161" i="99"/>
  <c r="AP161" i="99"/>
  <c r="AL161" i="99"/>
  <c r="AO161" i="99"/>
  <c r="AN161" i="99"/>
  <c r="AM161" i="99"/>
  <c r="AV23" i="99"/>
  <c r="BA23" i="99"/>
  <c r="BB23" i="99"/>
  <c r="AW23" i="99"/>
  <c r="BC23" i="99"/>
  <c r="AX23" i="99"/>
  <c r="AY23" i="99"/>
  <c r="AZ23" i="99"/>
  <c r="AV55" i="99"/>
  <c r="BB55" i="99"/>
  <c r="AX55" i="99"/>
  <c r="AY55" i="99"/>
  <c r="AZ55" i="99"/>
  <c r="BA55" i="99"/>
  <c r="BC55" i="99"/>
  <c r="AW55" i="99"/>
  <c r="AK76" i="99"/>
  <c r="AR76" i="99"/>
  <c r="AP76" i="99"/>
  <c r="AM76" i="99"/>
  <c r="AL76" i="99"/>
  <c r="AQ76" i="99"/>
  <c r="AN76" i="99"/>
  <c r="AO76" i="99"/>
  <c r="AK98" i="99"/>
  <c r="AR98" i="99"/>
  <c r="AN98" i="99"/>
  <c r="AM98" i="99"/>
  <c r="AL98" i="99"/>
  <c r="AP98" i="99"/>
  <c r="AO98" i="99"/>
  <c r="AQ98" i="99"/>
  <c r="AV24" i="99"/>
  <c r="AZ24" i="99"/>
  <c r="AY24" i="99"/>
  <c r="AX24" i="99"/>
  <c r="BC24" i="99"/>
  <c r="BB24" i="99"/>
  <c r="BA24" i="99"/>
  <c r="AW24" i="99"/>
  <c r="AV129" i="99"/>
  <c r="AX129" i="99"/>
  <c r="BA129" i="99"/>
  <c r="AZ129" i="99"/>
  <c r="AY129" i="99"/>
  <c r="BB129" i="99"/>
  <c r="BC129" i="99"/>
  <c r="AW129" i="99"/>
  <c r="AK124" i="99"/>
  <c r="AR124" i="99"/>
  <c r="AQ124" i="99"/>
  <c r="AP124" i="99"/>
  <c r="AO124" i="99"/>
  <c r="AN124" i="99"/>
  <c r="AM124" i="99"/>
  <c r="AL124" i="99"/>
  <c r="AK160" i="99"/>
  <c r="AR160" i="99"/>
  <c r="AL160" i="99"/>
  <c r="AQ160" i="99"/>
  <c r="AN160" i="99"/>
  <c r="AP160" i="99"/>
  <c r="AO160" i="99"/>
  <c r="AM160" i="99"/>
  <c r="AV108" i="99"/>
  <c r="BB108" i="99"/>
  <c r="AZ108" i="99"/>
  <c r="BC108" i="99"/>
  <c r="AY108" i="99"/>
  <c r="AW108" i="99"/>
  <c r="BA108" i="99"/>
  <c r="AX108" i="99"/>
  <c r="AK42" i="99"/>
  <c r="AR42" i="99"/>
  <c r="AL42" i="99"/>
  <c r="AQ42" i="99"/>
  <c r="AO42" i="99"/>
  <c r="AN42" i="99"/>
  <c r="AP42" i="99"/>
  <c r="AM42" i="99"/>
  <c r="BC119" i="99"/>
  <c r="AV119" i="99"/>
  <c r="AY119" i="99"/>
  <c r="AW119" i="99"/>
  <c r="BB119" i="99"/>
  <c r="AX119" i="99"/>
  <c r="AZ119" i="99"/>
  <c r="BA119" i="99"/>
  <c r="AV97" i="99"/>
  <c r="AY97" i="99"/>
  <c r="AW97" i="99"/>
  <c r="BA97" i="99"/>
  <c r="AX97" i="99"/>
  <c r="AZ97" i="99"/>
  <c r="BC97" i="99"/>
  <c r="BB97" i="99"/>
  <c r="AK92" i="99"/>
  <c r="AR92" i="99"/>
  <c r="AM92" i="99"/>
  <c r="AN92" i="99"/>
  <c r="AL92" i="99"/>
  <c r="AO92" i="99"/>
  <c r="AQ92" i="99"/>
  <c r="AP92" i="99"/>
  <c r="AK128" i="99"/>
  <c r="AR128" i="99"/>
  <c r="AN128" i="99"/>
  <c r="AP128" i="99"/>
  <c r="AL128" i="99"/>
  <c r="AM128" i="99"/>
  <c r="AQ128" i="99"/>
  <c r="AO128" i="99"/>
  <c r="AV52" i="99"/>
  <c r="AX52" i="99"/>
  <c r="BB52" i="99"/>
  <c r="BC52" i="99"/>
  <c r="AZ52" i="99"/>
  <c r="AW52" i="99"/>
  <c r="AY52" i="99"/>
  <c r="BA52" i="99"/>
  <c r="AM174" i="99"/>
  <c r="AK174" i="99"/>
  <c r="AR174" i="99"/>
  <c r="AN174" i="99"/>
  <c r="AO174" i="99"/>
  <c r="AP174" i="99"/>
  <c r="AQ174" i="99"/>
  <c r="AL174" i="99"/>
  <c r="AK154" i="99"/>
  <c r="AR154" i="99"/>
  <c r="AP154" i="99"/>
  <c r="AO154" i="99"/>
  <c r="AN154" i="99"/>
  <c r="AM154" i="99"/>
  <c r="AL154" i="99"/>
  <c r="AQ154" i="99"/>
  <c r="AV96" i="99"/>
  <c r="BB96" i="99"/>
  <c r="AZ96" i="99"/>
  <c r="BC96" i="99"/>
  <c r="AW96" i="99"/>
  <c r="BA96" i="99"/>
  <c r="AX96" i="99"/>
  <c r="AY96" i="99"/>
  <c r="BC151" i="99"/>
  <c r="AX151" i="99"/>
  <c r="AV151" i="99"/>
  <c r="BB151" i="99"/>
  <c r="AY151" i="99"/>
  <c r="AW151" i="99"/>
  <c r="BA151" i="99"/>
  <c r="AZ151" i="99"/>
  <c r="AV162" i="99"/>
  <c r="AY162" i="99"/>
  <c r="AX162" i="99"/>
  <c r="AW162" i="99"/>
  <c r="BC162" i="99"/>
  <c r="BA162" i="99"/>
  <c r="AZ162" i="99"/>
  <c r="BB162" i="99"/>
  <c r="AO55" i="99"/>
  <c r="AK55" i="99"/>
  <c r="AR55" i="99"/>
  <c r="AL55" i="99"/>
  <c r="AN55" i="99"/>
  <c r="AM55" i="99"/>
  <c r="AQ55" i="99"/>
  <c r="AP55" i="99"/>
  <c r="AK119" i="99"/>
  <c r="AR119" i="99"/>
  <c r="AQ119" i="99"/>
  <c r="AP119" i="99"/>
  <c r="AO119" i="99"/>
  <c r="AM119" i="99"/>
  <c r="AN119" i="99"/>
  <c r="AL119" i="99"/>
  <c r="AV117" i="99"/>
  <c r="BB117" i="99"/>
  <c r="AY117" i="99"/>
  <c r="AW117" i="99"/>
  <c r="BA117" i="99"/>
  <c r="AZ117" i="99"/>
  <c r="AX117" i="99"/>
  <c r="BC117" i="99"/>
  <c r="AK111" i="99"/>
  <c r="AR111" i="99"/>
  <c r="AL111" i="99"/>
  <c r="AQ111" i="99"/>
  <c r="AP111" i="99"/>
  <c r="AM111" i="99"/>
  <c r="AN111" i="99"/>
  <c r="AO111" i="99"/>
  <c r="AK85" i="99"/>
  <c r="AR85" i="99"/>
  <c r="AQ85" i="99"/>
  <c r="AP85" i="99"/>
  <c r="AO85" i="99"/>
  <c r="AM85" i="99"/>
  <c r="AL85" i="99"/>
  <c r="AN85" i="99"/>
  <c r="AV48" i="99"/>
  <c r="AX48" i="99"/>
  <c r="AY48" i="99"/>
  <c r="BC48" i="99"/>
  <c r="BB48" i="99"/>
  <c r="AZ48" i="99"/>
  <c r="BA48" i="99"/>
  <c r="AW48" i="99"/>
  <c r="AK144" i="99"/>
  <c r="AR144" i="99"/>
  <c r="AN144" i="99"/>
  <c r="AL144" i="99"/>
  <c r="AP144" i="99"/>
  <c r="AM144" i="99"/>
  <c r="AQ144" i="99"/>
  <c r="AO144" i="99"/>
  <c r="AW102" i="99"/>
  <c r="AV102" i="99"/>
  <c r="AX102" i="99"/>
  <c r="AY102" i="99"/>
  <c r="BA102" i="99"/>
  <c r="BB102" i="99"/>
  <c r="AZ102" i="99"/>
  <c r="BC102" i="99"/>
  <c r="AV82" i="99"/>
  <c r="AW82" i="99"/>
  <c r="BA82" i="99"/>
  <c r="AZ82" i="99"/>
  <c r="AY82" i="99"/>
  <c r="AX82" i="99"/>
  <c r="BC82" i="99"/>
  <c r="BB82" i="99"/>
  <c r="AK41" i="99"/>
  <c r="AR41" i="99"/>
  <c r="AQ41" i="99"/>
  <c r="AN41" i="99"/>
  <c r="AP41" i="99"/>
  <c r="AO41" i="99"/>
  <c r="AM41" i="99"/>
  <c r="AL41" i="99"/>
  <c r="BA142" i="99"/>
  <c r="AV142" i="99"/>
  <c r="AY142" i="99"/>
  <c r="BC142" i="99"/>
  <c r="AW142" i="99"/>
  <c r="AX142" i="99"/>
  <c r="AZ142" i="99"/>
  <c r="BB142" i="99"/>
  <c r="AV111" i="99"/>
  <c r="BB111" i="99"/>
  <c r="AX111" i="99"/>
  <c r="BC111" i="99"/>
  <c r="BA111" i="99"/>
  <c r="AZ111" i="99"/>
  <c r="AY111" i="99"/>
  <c r="AW111" i="99"/>
  <c r="AK115" i="99"/>
  <c r="AR115" i="99"/>
  <c r="AM115" i="99"/>
  <c r="AN115" i="99"/>
  <c r="AQ115" i="99"/>
  <c r="AO115" i="99"/>
  <c r="AL115" i="99"/>
  <c r="AP115" i="99"/>
  <c r="AK65" i="99"/>
  <c r="AR65" i="99"/>
  <c r="AQ65" i="99"/>
  <c r="AO65" i="99"/>
  <c r="AN65" i="99"/>
  <c r="AM65" i="99"/>
  <c r="AP65" i="99"/>
  <c r="AL65" i="99"/>
  <c r="AV85" i="99"/>
  <c r="BC85" i="99"/>
  <c r="AW85" i="99"/>
  <c r="AZ85" i="99"/>
  <c r="AX85" i="99"/>
  <c r="AY85" i="99"/>
  <c r="BA85" i="99"/>
  <c r="BB85" i="99"/>
  <c r="AK29" i="99"/>
  <c r="AR29" i="99"/>
  <c r="AP29" i="99"/>
  <c r="AN29" i="99"/>
  <c r="AL29" i="99"/>
  <c r="AO29" i="99"/>
  <c r="AQ29" i="99"/>
  <c r="AM29" i="99"/>
  <c r="AV122" i="99"/>
  <c r="AZ122" i="99"/>
  <c r="AX122" i="99"/>
  <c r="BC122" i="99"/>
  <c r="AY122" i="99"/>
  <c r="AW122" i="99"/>
  <c r="BA122" i="99"/>
  <c r="BB122" i="99"/>
  <c r="AM63" i="99"/>
  <c r="AK63" i="99"/>
  <c r="AR63" i="99"/>
  <c r="AO63" i="99"/>
  <c r="AN63" i="99"/>
  <c r="AQ63" i="99"/>
  <c r="AL63" i="99"/>
  <c r="AP63" i="99"/>
  <c r="AZ22" i="99"/>
  <c r="AV22" i="99"/>
  <c r="BB22" i="99"/>
  <c r="BC22" i="99"/>
  <c r="AW22" i="99"/>
  <c r="BA22" i="99"/>
  <c r="AX22" i="99"/>
  <c r="AY22" i="99"/>
  <c r="AV144" i="99"/>
  <c r="BC144" i="99"/>
  <c r="AW144" i="99"/>
  <c r="BB144" i="99"/>
  <c r="AZ144" i="99"/>
  <c r="AY144" i="99"/>
  <c r="AX144" i="99"/>
  <c r="BA144" i="99"/>
  <c r="AV49" i="99"/>
  <c r="BB49" i="99"/>
  <c r="BA49" i="99"/>
  <c r="AX49" i="99"/>
  <c r="AW49" i="99"/>
  <c r="AZ49" i="99"/>
  <c r="BC49" i="99"/>
  <c r="AY49" i="99"/>
  <c r="AK139" i="99"/>
  <c r="AR139" i="99"/>
  <c r="AQ139" i="99"/>
  <c r="AP139" i="99"/>
  <c r="AN139" i="99"/>
  <c r="AM139" i="99"/>
  <c r="AO139" i="99"/>
  <c r="AL139" i="99"/>
  <c r="AL167" i="99"/>
  <c r="AK167" i="99"/>
  <c r="AR167" i="99"/>
  <c r="AN167" i="99"/>
  <c r="AM167" i="99"/>
  <c r="AP167" i="99"/>
  <c r="AQ167" i="99"/>
  <c r="AO167" i="99"/>
  <c r="AV99" i="99"/>
  <c r="BB99" i="99"/>
  <c r="AX99" i="99"/>
  <c r="BC99" i="99"/>
  <c r="AW99" i="99"/>
  <c r="AY99" i="99"/>
  <c r="BA99" i="99"/>
  <c r="AZ99" i="99"/>
  <c r="AK61" i="99"/>
  <c r="AR61" i="99"/>
  <c r="AP61" i="99"/>
  <c r="AL61" i="99"/>
  <c r="AM61" i="99"/>
  <c r="AN61" i="99"/>
  <c r="AQ61" i="99"/>
  <c r="AO61" i="99"/>
  <c r="BB71" i="99"/>
  <c r="AW71" i="99"/>
  <c r="AV71" i="99"/>
  <c r="BC71" i="99"/>
  <c r="AY71" i="99"/>
  <c r="BA71" i="99"/>
  <c r="AZ71" i="99"/>
  <c r="AX71" i="99"/>
  <c r="AK84" i="99"/>
  <c r="AR84" i="99"/>
  <c r="AN84" i="99"/>
  <c r="AM84" i="99"/>
  <c r="AO84" i="99"/>
  <c r="AP84" i="99"/>
  <c r="AL84" i="99"/>
  <c r="AQ84" i="99"/>
  <c r="AK94" i="99"/>
  <c r="AR94" i="99"/>
  <c r="AQ94" i="99"/>
  <c r="AM94" i="99"/>
  <c r="AO94" i="99"/>
  <c r="AL94" i="99"/>
  <c r="AP94" i="99"/>
  <c r="AN94" i="99"/>
  <c r="AY110" i="99"/>
  <c r="AV110" i="99"/>
  <c r="AZ110" i="99"/>
  <c r="BA110" i="99"/>
  <c r="BC110" i="99"/>
  <c r="AX110" i="99"/>
  <c r="BB110" i="99"/>
  <c r="AW110" i="99"/>
  <c r="AK26" i="99"/>
  <c r="AR26" i="99"/>
  <c r="AN26" i="99"/>
  <c r="AL26" i="99"/>
  <c r="AM26" i="99"/>
  <c r="AQ26" i="99"/>
  <c r="AP26" i="99"/>
  <c r="AO26" i="99"/>
  <c r="BC103" i="99"/>
  <c r="AV103" i="99"/>
  <c r="BB103" i="99"/>
  <c r="AX103" i="99"/>
  <c r="AZ103" i="99"/>
  <c r="AW103" i="99"/>
  <c r="BA103" i="99"/>
  <c r="AY103" i="99"/>
  <c r="AV153" i="99"/>
  <c r="AX153" i="99"/>
  <c r="BC153" i="99"/>
  <c r="BA153" i="99"/>
  <c r="AY153" i="99"/>
  <c r="AW153" i="99"/>
  <c r="BB153" i="99"/>
  <c r="AZ153" i="99"/>
  <c r="AK116" i="99"/>
  <c r="AR116" i="99"/>
  <c r="AO116" i="99"/>
  <c r="AQ116" i="99"/>
  <c r="AP116" i="99"/>
  <c r="AN116" i="99"/>
  <c r="AM116" i="99"/>
  <c r="AL116" i="99"/>
  <c r="AK104" i="99"/>
  <c r="AR104" i="99"/>
  <c r="AQ104" i="99"/>
  <c r="AP104" i="99"/>
  <c r="AN104" i="99"/>
  <c r="AM104" i="99"/>
  <c r="AO104" i="99"/>
  <c r="AL104" i="99"/>
  <c r="AV76" i="99"/>
  <c r="BB76" i="99"/>
  <c r="AY76" i="99"/>
  <c r="BA76" i="99"/>
  <c r="AZ76" i="99"/>
  <c r="AW76" i="99"/>
  <c r="BC76" i="99"/>
  <c r="AX76" i="99"/>
  <c r="AV169" i="99"/>
  <c r="AX169" i="99"/>
  <c r="BC169" i="99"/>
  <c r="BA169" i="99"/>
  <c r="BB169" i="99"/>
  <c r="AZ169" i="99"/>
  <c r="AY169" i="99"/>
  <c r="AW169" i="99"/>
  <c r="AK132" i="99"/>
  <c r="AR132" i="99"/>
  <c r="AO132" i="99"/>
  <c r="AN132" i="99"/>
  <c r="AP132" i="99"/>
  <c r="AQ132" i="99"/>
  <c r="AL132" i="99"/>
  <c r="AM132" i="99"/>
  <c r="AK168" i="99"/>
  <c r="AR168" i="99"/>
  <c r="AN168" i="99"/>
  <c r="AL168" i="99"/>
  <c r="AQ168" i="99"/>
  <c r="AO168" i="99"/>
  <c r="AP168" i="99"/>
  <c r="AM168" i="99"/>
  <c r="AV124" i="99"/>
  <c r="AZ124" i="99"/>
  <c r="BB124" i="99"/>
  <c r="BC124" i="99"/>
  <c r="BA124" i="99"/>
  <c r="AW124" i="99"/>
  <c r="AY124" i="99"/>
  <c r="AX124" i="99"/>
  <c r="AK37" i="99"/>
  <c r="AR37" i="99"/>
  <c r="AN37" i="99"/>
  <c r="AL37" i="99"/>
  <c r="AQ37" i="99"/>
  <c r="AM37" i="99"/>
  <c r="AO37" i="99"/>
  <c r="AP37" i="99"/>
  <c r="AV101" i="99"/>
  <c r="AW101" i="99"/>
  <c r="BA101" i="99"/>
  <c r="AY101" i="99"/>
  <c r="BB101" i="99"/>
  <c r="BC101" i="99"/>
  <c r="AX101" i="99"/>
  <c r="AZ101" i="99"/>
  <c r="AV137" i="99"/>
  <c r="BB137" i="99"/>
  <c r="AZ137" i="99"/>
  <c r="BC137" i="99"/>
  <c r="BA137" i="99"/>
  <c r="AY137" i="99"/>
  <c r="AX137" i="99"/>
  <c r="AW137" i="99"/>
  <c r="AK100" i="99"/>
  <c r="AR100" i="99"/>
  <c r="AP100" i="99"/>
  <c r="AN100" i="99"/>
  <c r="AQ100" i="99"/>
  <c r="AO100" i="99"/>
  <c r="AM100" i="99"/>
  <c r="AL100" i="99"/>
  <c r="AK136" i="99"/>
  <c r="AR136" i="99"/>
  <c r="AL136" i="99"/>
  <c r="AQ136" i="99"/>
  <c r="AO136" i="99"/>
  <c r="AN136" i="99"/>
  <c r="AP136" i="99"/>
  <c r="AM136" i="99"/>
  <c r="AV92" i="99"/>
  <c r="AZ92" i="99"/>
  <c r="AY92" i="99"/>
  <c r="AX92" i="99"/>
  <c r="BC92" i="99"/>
  <c r="AW92" i="99"/>
  <c r="BA92" i="99"/>
  <c r="BB92" i="99"/>
  <c r="AK21" i="99"/>
  <c r="AR21" i="99"/>
  <c r="AN21" i="99"/>
  <c r="AL21" i="99"/>
  <c r="AP21" i="99"/>
  <c r="AO21" i="99"/>
  <c r="AQ21" i="99"/>
  <c r="AM21" i="99"/>
  <c r="AW150" i="99"/>
  <c r="AV150" i="99"/>
  <c r="AX150" i="99"/>
  <c r="BC150" i="99"/>
  <c r="AY150" i="99"/>
  <c r="BA150" i="99"/>
  <c r="AZ150" i="99"/>
  <c r="BB150" i="99"/>
  <c r="AK60" i="99"/>
  <c r="AR60" i="99"/>
  <c r="AP60" i="99"/>
  <c r="AM60" i="99"/>
  <c r="AL60" i="99"/>
  <c r="AN60" i="99"/>
  <c r="AQ60" i="99"/>
  <c r="AO60" i="99"/>
  <c r="AK170" i="99"/>
  <c r="AR170" i="99"/>
  <c r="AP170" i="99"/>
  <c r="AO170" i="99"/>
  <c r="AN170" i="99"/>
  <c r="AM170" i="99"/>
  <c r="AL170" i="99"/>
  <c r="AQ170" i="99"/>
  <c r="AZ134" i="99"/>
  <c r="AV134" i="99"/>
  <c r="BA134" i="99"/>
  <c r="AX134" i="99"/>
  <c r="AW134" i="99"/>
  <c r="BC134" i="99"/>
  <c r="AY134" i="99"/>
  <c r="BB134" i="99"/>
  <c r="AV59" i="99"/>
  <c r="BC59" i="99"/>
  <c r="AX59" i="99"/>
  <c r="AY59" i="99"/>
  <c r="BA59" i="99"/>
  <c r="AZ59" i="99"/>
  <c r="AW59" i="99"/>
  <c r="BB59" i="99"/>
  <c r="AK24" i="99"/>
  <c r="AR24" i="99"/>
  <c r="AO24" i="99"/>
  <c r="AN24" i="99"/>
  <c r="AQ24" i="99"/>
  <c r="AM24" i="99"/>
  <c r="AL24" i="99"/>
  <c r="AP24" i="99"/>
  <c r="BB46" i="99"/>
  <c r="AV46" i="99"/>
  <c r="BC46" i="99"/>
  <c r="AZ46" i="99"/>
  <c r="AY46" i="99"/>
  <c r="AW46" i="99"/>
  <c r="BA46" i="99"/>
  <c r="AX46" i="99"/>
  <c r="AV157" i="99"/>
  <c r="BC157" i="99"/>
  <c r="BB157" i="99"/>
  <c r="BA157" i="99"/>
  <c r="AZ157" i="99"/>
  <c r="AX157" i="99"/>
  <c r="AY157" i="99"/>
  <c r="AW157" i="99"/>
  <c r="AK122" i="99"/>
  <c r="AR122" i="99"/>
  <c r="AP122" i="99"/>
  <c r="AO122" i="99"/>
  <c r="AN122" i="99"/>
  <c r="AM122" i="99"/>
  <c r="AL122" i="99"/>
  <c r="AQ122" i="99"/>
  <c r="BA86" i="99"/>
  <c r="AV86" i="99"/>
  <c r="AW86" i="99"/>
  <c r="AX86" i="99"/>
  <c r="AZ86" i="99"/>
  <c r="AY86" i="99"/>
  <c r="BB86" i="99"/>
  <c r="BC86" i="99"/>
  <c r="AO71" i="99"/>
  <c r="AK71" i="99"/>
  <c r="AR71" i="99"/>
  <c r="AL71" i="99"/>
  <c r="AM71" i="99"/>
  <c r="AP71" i="99"/>
  <c r="AQ71" i="99"/>
  <c r="AN71" i="99"/>
  <c r="AK110" i="99"/>
  <c r="AR110" i="99"/>
  <c r="AL110" i="99"/>
  <c r="AN110" i="99"/>
  <c r="AO110" i="99"/>
  <c r="AM110" i="99"/>
  <c r="AQ110" i="99"/>
  <c r="AP110" i="99"/>
  <c r="AN103" i="99"/>
  <c r="AK103" i="99"/>
  <c r="AR103" i="99"/>
  <c r="AO103" i="99"/>
  <c r="AL103" i="99"/>
  <c r="AQ103" i="99"/>
  <c r="AP103" i="99"/>
  <c r="AM103" i="99"/>
  <c r="AK153" i="99"/>
  <c r="AR153" i="99"/>
  <c r="AP153" i="99"/>
  <c r="AO153" i="99"/>
  <c r="AL153" i="99"/>
  <c r="AQ153" i="99"/>
  <c r="AN153" i="99"/>
  <c r="AM153" i="99"/>
  <c r="AV138" i="99"/>
  <c r="BC138" i="99"/>
  <c r="AZ138" i="99"/>
  <c r="AX138" i="99"/>
  <c r="BA138" i="99"/>
  <c r="AY138" i="99"/>
  <c r="AW138" i="99"/>
  <c r="BB138" i="99"/>
  <c r="AK52" i="99"/>
  <c r="AR52" i="99"/>
  <c r="AQ52" i="99"/>
  <c r="AP52" i="99"/>
  <c r="AO52" i="99"/>
  <c r="AM52" i="99"/>
  <c r="AN52" i="99"/>
  <c r="AL52" i="99"/>
  <c r="AK113" i="99"/>
  <c r="AR113" i="99"/>
  <c r="AQ113" i="99"/>
  <c r="AO113" i="99"/>
  <c r="AM113" i="99"/>
  <c r="AL113" i="99"/>
  <c r="AP113" i="99"/>
  <c r="AN113" i="99"/>
  <c r="AV165" i="99"/>
  <c r="BC165" i="99"/>
  <c r="AZ165" i="99"/>
  <c r="BB165" i="99"/>
  <c r="AY165" i="99"/>
  <c r="AX165" i="99"/>
  <c r="BA165" i="99"/>
  <c r="AW165" i="99"/>
  <c r="AV127" i="99"/>
  <c r="BB127" i="99"/>
  <c r="AX127" i="99"/>
  <c r="BC127" i="99"/>
  <c r="AY127" i="99"/>
  <c r="AW127" i="99"/>
  <c r="AZ127" i="99"/>
  <c r="BA127" i="99"/>
  <c r="AK155" i="99"/>
  <c r="AR155" i="99"/>
  <c r="AM155" i="99"/>
  <c r="AL155" i="99"/>
  <c r="AP155" i="99"/>
  <c r="AN155" i="99"/>
  <c r="AO155" i="99"/>
  <c r="AQ155" i="99"/>
  <c r="AK32" i="99"/>
  <c r="AR32" i="99"/>
  <c r="AP32" i="99"/>
  <c r="AO32" i="99"/>
  <c r="AN32" i="99"/>
  <c r="AL32" i="99"/>
  <c r="AQ32" i="99"/>
  <c r="AM32" i="99"/>
  <c r="AV115" i="99"/>
  <c r="BB115" i="99"/>
  <c r="BC115" i="99"/>
  <c r="AW115" i="99"/>
  <c r="AY115" i="99"/>
  <c r="AX115" i="99"/>
  <c r="AZ115" i="99"/>
  <c r="BA115" i="99"/>
  <c r="AV125" i="99"/>
  <c r="BA125" i="99"/>
  <c r="AY125" i="99"/>
  <c r="AW125" i="99"/>
  <c r="AZ125" i="99"/>
  <c r="AX125" i="99"/>
  <c r="BB125" i="99"/>
  <c r="BC125" i="99"/>
  <c r="AP143" i="99"/>
  <c r="AK143" i="99"/>
  <c r="AR143" i="99"/>
  <c r="AQ143" i="99"/>
  <c r="AM143" i="99"/>
  <c r="AN143" i="99"/>
  <c r="AL143" i="99"/>
  <c r="AO143" i="99"/>
  <c r="BC54" i="99"/>
  <c r="AV54" i="99"/>
  <c r="AZ54" i="99"/>
  <c r="AW54" i="99"/>
  <c r="BB54" i="99"/>
  <c r="BA54" i="99"/>
  <c r="AY54" i="99"/>
  <c r="AX54" i="99"/>
  <c r="AV47" i="99"/>
  <c r="BB47" i="99"/>
  <c r="AZ47" i="99"/>
  <c r="AW47" i="99"/>
  <c r="BA47" i="99"/>
  <c r="BC47" i="99"/>
  <c r="AX47" i="99"/>
  <c r="AY47" i="99"/>
  <c r="AK83" i="99"/>
  <c r="AR83" i="99"/>
  <c r="AQ83" i="99"/>
  <c r="AO83" i="99"/>
  <c r="AM83" i="99"/>
  <c r="AL83" i="99"/>
  <c r="AN83" i="99"/>
  <c r="AP83" i="99"/>
  <c r="AV145" i="99"/>
  <c r="AZ145" i="99"/>
  <c r="BC145" i="99"/>
  <c r="AY145" i="99"/>
  <c r="BA145" i="99"/>
  <c r="AW145" i="99"/>
  <c r="BB145" i="99"/>
  <c r="AX145" i="99"/>
  <c r="AK147" i="99"/>
  <c r="AR147" i="99"/>
  <c r="AP147" i="99"/>
  <c r="AN147" i="99"/>
  <c r="AM147" i="99"/>
  <c r="AL147" i="99"/>
  <c r="AQ147" i="99"/>
  <c r="AO147" i="99"/>
  <c r="AK88" i="99"/>
  <c r="AR88" i="99"/>
  <c r="AL88" i="99"/>
  <c r="AN88" i="99"/>
  <c r="AQ88" i="99"/>
  <c r="AO88" i="99"/>
  <c r="AM88" i="99"/>
  <c r="AP88" i="99"/>
  <c r="AV139" i="99"/>
  <c r="AX139" i="99"/>
  <c r="BB139" i="99"/>
  <c r="BC139" i="99"/>
  <c r="AW139" i="99"/>
  <c r="AY139" i="99"/>
  <c r="AZ139" i="99"/>
  <c r="BA139" i="99"/>
  <c r="AK109" i="99"/>
  <c r="AR109" i="99"/>
  <c r="AP109" i="99"/>
  <c r="AO109" i="99"/>
  <c r="AL109" i="99"/>
  <c r="AM109" i="99"/>
  <c r="AQ109" i="99"/>
  <c r="AN109" i="99"/>
  <c r="AX87" i="99"/>
  <c r="AV87" i="99"/>
  <c r="BB87" i="99"/>
  <c r="AZ87" i="99"/>
  <c r="BC87" i="99"/>
  <c r="AY87" i="99"/>
  <c r="BA87" i="99"/>
  <c r="AW87" i="99"/>
  <c r="AV84" i="99"/>
  <c r="AY84" i="99"/>
  <c r="BC84" i="99"/>
  <c r="BA84" i="99"/>
  <c r="AW84" i="99"/>
  <c r="AZ84" i="99"/>
  <c r="BB84" i="99"/>
  <c r="AX84" i="99"/>
  <c r="AK130" i="99"/>
  <c r="AR130" i="99"/>
  <c r="AL130" i="99"/>
  <c r="AM130" i="99"/>
  <c r="AQ130" i="99"/>
  <c r="AP130" i="99"/>
  <c r="AO130" i="99"/>
  <c r="AN130" i="99"/>
  <c r="AV56" i="99"/>
  <c r="AX56" i="99"/>
  <c r="BC56" i="99"/>
  <c r="BB56" i="99"/>
  <c r="AZ56" i="99"/>
  <c r="AY56" i="99"/>
  <c r="BA56" i="99"/>
  <c r="AW56" i="99"/>
  <c r="AV161" i="99"/>
  <c r="BB161" i="99"/>
  <c r="BA161" i="99"/>
  <c r="AZ161" i="99"/>
  <c r="BC161" i="99"/>
  <c r="AY161" i="99"/>
  <c r="AX161" i="99"/>
  <c r="AW161" i="99"/>
  <c r="AK156" i="99"/>
  <c r="AR156" i="99"/>
  <c r="AN156" i="99"/>
  <c r="AL156" i="99"/>
  <c r="AQ156" i="99"/>
  <c r="AP156" i="99"/>
  <c r="AM156" i="99"/>
  <c r="AO156" i="99"/>
  <c r="AK141" i="99"/>
  <c r="AR141" i="99"/>
  <c r="AP141" i="99"/>
  <c r="AO141" i="99"/>
  <c r="AM141" i="99"/>
  <c r="AQ141" i="99"/>
  <c r="AL141" i="99"/>
  <c r="AN141" i="99"/>
  <c r="AV116" i="99"/>
  <c r="BC116" i="99"/>
  <c r="AW116" i="99"/>
  <c r="BB116" i="99"/>
  <c r="BA116" i="99"/>
  <c r="AZ116" i="99"/>
  <c r="AX116" i="99"/>
  <c r="AY116" i="99"/>
  <c r="AK33" i="99"/>
  <c r="AR33" i="99"/>
  <c r="AP33" i="99"/>
  <c r="AN33" i="99"/>
  <c r="AL33" i="99"/>
  <c r="AO33" i="99"/>
  <c r="AQ33" i="99"/>
  <c r="AM33" i="99"/>
  <c r="AV98" i="99"/>
  <c r="BC98" i="99"/>
  <c r="AZ98" i="99"/>
  <c r="BA98" i="99"/>
  <c r="AY98" i="99"/>
  <c r="AX98" i="99"/>
  <c r="AW98" i="99"/>
  <c r="BB98" i="99"/>
  <c r="AK172" i="99"/>
  <c r="AR172" i="99"/>
  <c r="AN172" i="99"/>
  <c r="AL172" i="99"/>
  <c r="AQ172" i="99"/>
  <c r="AM172" i="99"/>
  <c r="AO172" i="99"/>
  <c r="AP172" i="99"/>
  <c r="AL38" i="99"/>
  <c r="AK38" i="99"/>
  <c r="AR38" i="99"/>
  <c r="AQ38" i="99"/>
  <c r="AP38" i="99"/>
  <c r="AO38" i="99"/>
  <c r="AN38" i="99"/>
  <c r="AM38" i="99"/>
  <c r="AV132" i="99"/>
  <c r="AY132" i="99"/>
  <c r="BC132" i="99"/>
  <c r="BB132" i="99"/>
  <c r="BA132" i="99"/>
  <c r="AZ132" i="99"/>
  <c r="AX132" i="99"/>
  <c r="AW132" i="99"/>
  <c r="AK27" i="99"/>
  <c r="AR27" i="99"/>
  <c r="AP27" i="99"/>
  <c r="AN27" i="99"/>
  <c r="AM27" i="99"/>
  <c r="AO27" i="99"/>
  <c r="AL27" i="99"/>
  <c r="AQ27" i="99"/>
  <c r="AV160" i="99"/>
  <c r="AW160" i="99"/>
  <c r="BC160" i="99"/>
  <c r="BB160" i="99"/>
  <c r="AX160" i="99"/>
  <c r="BA160" i="99"/>
  <c r="AZ160" i="99"/>
  <c r="AY160" i="99"/>
  <c r="AK146" i="99"/>
  <c r="AR146" i="99"/>
  <c r="AL146" i="99"/>
  <c r="AP146" i="99"/>
  <c r="AO146" i="99"/>
  <c r="AN146" i="99"/>
  <c r="AM146" i="99"/>
  <c r="AQ146" i="99"/>
  <c r="AV42" i="99"/>
  <c r="AX42" i="99"/>
  <c r="AW42" i="99"/>
  <c r="BB42" i="99"/>
  <c r="BC42" i="99"/>
  <c r="AZ42" i="99"/>
  <c r="BA42" i="99"/>
  <c r="AY42" i="99"/>
  <c r="AK140" i="99"/>
  <c r="AR140" i="99"/>
  <c r="AO140" i="99"/>
  <c r="AN140" i="99"/>
  <c r="AQ140" i="99"/>
  <c r="AL140" i="99"/>
  <c r="AP140" i="99"/>
  <c r="AM140" i="99"/>
  <c r="AK45" i="99"/>
  <c r="AR45" i="99"/>
  <c r="AO45" i="99"/>
  <c r="AL45" i="99"/>
  <c r="AM45" i="99"/>
  <c r="AP45" i="99"/>
  <c r="AQ45" i="99"/>
  <c r="AN45" i="99"/>
  <c r="AV100" i="99"/>
  <c r="BC100" i="99"/>
  <c r="BB100" i="99"/>
  <c r="AZ100" i="99"/>
  <c r="AY100" i="99"/>
  <c r="AW100" i="99"/>
  <c r="AX100" i="99"/>
  <c r="BA100" i="99"/>
  <c r="AK34" i="99"/>
  <c r="AR34" i="99"/>
  <c r="AN34" i="99"/>
  <c r="AL34" i="99"/>
  <c r="AM34" i="99"/>
  <c r="AO34" i="99"/>
  <c r="AQ34" i="99"/>
  <c r="AP34" i="99"/>
  <c r="AV128" i="99"/>
  <c r="AW128" i="99"/>
  <c r="BB128" i="99"/>
  <c r="BC128" i="99"/>
  <c r="BA128" i="99"/>
  <c r="AY128" i="99"/>
  <c r="AZ128" i="99"/>
  <c r="AX128" i="99"/>
  <c r="AK20" i="99"/>
  <c r="AR20" i="99"/>
  <c r="AQ20" i="99"/>
  <c r="AO20" i="99"/>
  <c r="AM20" i="99"/>
  <c r="AP20" i="99"/>
  <c r="AL20" i="99"/>
  <c r="AN20" i="99"/>
  <c r="BA174" i="99"/>
  <c r="AV174" i="99"/>
  <c r="BC174" i="99"/>
  <c r="AX174" i="99"/>
  <c r="AY174" i="99"/>
  <c r="AW174" i="99"/>
  <c r="AZ174" i="99"/>
  <c r="BB174" i="99"/>
  <c r="AV106" i="99"/>
  <c r="BA106" i="99"/>
  <c r="AY106" i="99"/>
  <c r="AZ106" i="99"/>
  <c r="AX106" i="99"/>
  <c r="AW106" i="99"/>
  <c r="BC106" i="99"/>
  <c r="BB106" i="99"/>
  <c r="AK74" i="99"/>
  <c r="AR74" i="99"/>
  <c r="AO74" i="99"/>
  <c r="AL74" i="99"/>
  <c r="AQ74" i="99"/>
  <c r="AN74" i="99"/>
  <c r="AP74" i="99"/>
  <c r="AM74" i="99"/>
  <c r="AV93" i="99"/>
  <c r="AW93" i="99"/>
  <c r="BA93" i="99"/>
  <c r="AY93" i="99"/>
  <c r="AX93" i="99"/>
  <c r="AZ93" i="99"/>
  <c r="BB93" i="99"/>
  <c r="BC93" i="99"/>
  <c r="AV114" i="99"/>
  <c r="AZ114" i="99"/>
  <c r="AX114" i="99"/>
  <c r="BA114" i="99"/>
  <c r="AY114" i="99"/>
  <c r="AW114" i="99"/>
  <c r="BC114" i="99"/>
  <c r="BB114" i="99"/>
  <c r="AV60" i="99"/>
  <c r="BC60" i="99"/>
  <c r="AZ60" i="99"/>
  <c r="AY60" i="99"/>
  <c r="AX60" i="99"/>
  <c r="BB60" i="99"/>
  <c r="BA60" i="99"/>
  <c r="AW60" i="99"/>
  <c r="AK91" i="99"/>
  <c r="AR91" i="99"/>
  <c r="AL91" i="99"/>
  <c r="AP91" i="99"/>
  <c r="AQ91" i="99"/>
  <c r="AO91" i="99"/>
  <c r="AN91" i="99"/>
  <c r="AM91" i="99"/>
  <c r="AV67" i="99"/>
  <c r="BB67" i="99"/>
  <c r="AZ67" i="99"/>
  <c r="BA67" i="99"/>
  <c r="AX67" i="99"/>
  <c r="BC67" i="99"/>
  <c r="AY67" i="99"/>
  <c r="AW67" i="99"/>
  <c r="AV41" i="99"/>
  <c r="AX41" i="99"/>
  <c r="AW41" i="99"/>
  <c r="BB41" i="99"/>
  <c r="BA41" i="99"/>
  <c r="AZ41" i="99"/>
  <c r="AY41" i="99"/>
  <c r="BC41" i="99"/>
  <c r="AK163" i="99"/>
  <c r="AR163" i="99"/>
  <c r="AP163" i="99"/>
  <c r="AN163" i="99"/>
  <c r="AM163" i="99"/>
  <c r="AL163" i="99"/>
  <c r="AO163" i="99"/>
  <c r="AQ163" i="99"/>
  <c r="AK40" i="99"/>
  <c r="AR40" i="99"/>
  <c r="AM40" i="99"/>
  <c r="AQ40" i="99"/>
  <c r="AP40" i="99"/>
  <c r="AO40" i="99"/>
  <c r="AL40" i="99"/>
  <c r="AN40" i="99"/>
  <c r="AV155" i="99"/>
  <c r="AY155" i="99"/>
  <c r="AX155" i="99"/>
  <c r="AW155" i="99"/>
  <c r="BC155" i="99"/>
  <c r="BB155" i="99"/>
  <c r="AZ155" i="99"/>
  <c r="BA155" i="99"/>
  <c r="AK19" i="99"/>
  <c r="AR19" i="99"/>
  <c r="AP19" i="99"/>
  <c r="AM19" i="99"/>
  <c r="AO19" i="99"/>
  <c r="AN19" i="99"/>
  <c r="AL19" i="99"/>
  <c r="AQ19" i="99"/>
  <c r="AV65" i="99"/>
  <c r="BA65" i="99"/>
  <c r="AX65" i="99"/>
  <c r="AW65" i="99"/>
  <c r="AZ65" i="99"/>
  <c r="BB65" i="99"/>
  <c r="AY65" i="99"/>
  <c r="BC65" i="99"/>
  <c r="AK36" i="99"/>
  <c r="AR36" i="99"/>
  <c r="AQ36" i="99"/>
  <c r="AP36" i="99"/>
  <c r="AM36" i="99"/>
  <c r="AO36" i="99"/>
  <c r="AN36" i="99"/>
  <c r="AL36" i="99"/>
  <c r="AK81" i="99"/>
  <c r="AR81" i="99"/>
  <c r="AN81" i="99"/>
  <c r="AL81" i="99"/>
  <c r="AP81" i="99"/>
  <c r="AM81" i="99"/>
  <c r="AQ81" i="99"/>
  <c r="AO81" i="99"/>
  <c r="AV29" i="99"/>
  <c r="AZ29" i="99"/>
  <c r="AX29" i="99"/>
  <c r="AW29" i="99"/>
  <c r="BA29" i="99"/>
  <c r="AY29" i="99"/>
  <c r="BC29" i="99"/>
  <c r="BB29" i="99"/>
  <c r="AV63" i="99"/>
  <c r="BB63" i="99"/>
  <c r="AZ63" i="99"/>
  <c r="AW63" i="99"/>
  <c r="BA63" i="99"/>
  <c r="BC63" i="99"/>
  <c r="AY63" i="99"/>
  <c r="AX63" i="99"/>
  <c r="AK123" i="99"/>
  <c r="AR123" i="99"/>
  <c r="AM123" i="99"/>
  <c r="AL123" i="99"/>
  <c r="AP123" i="99"/>
  <c r="AO123" i="99"/>
  <c r="AN123" i="99"/>
  <c r="AQ123" i="99"/>
  <c r="AQ135" i="99"/>
  <c r="AK135" i="99"/>
  <c r="AR135" i="99"/>
  <c r="AN135" i="99"/>
  <c r="AM135" i="99"/>
  <c r="AP135" i="99"/>
  <c r="AO135" i="99"/>
  <c r="AL135" i="99"/>
  <c r="AV83" i="99"/>
  <c r="BB83" i="99"/>
  <c r="AX83" i="99"/>
  <c r="BA83" i="99"/>
  <c r="BC83" i="99"/>
  <c r="AY83" i="99"/>
  <c r="AW83" i="99"/>
  <c r="AZ83" i="99"/>
  <c r="AK68" i="99"/>
  <c r="AR68" i="99"/>
  <c r="AQ68" i="99"/>
  <c r="AP68" i="99"/>
  <c r="AO68" i="99"/>
  <c r="AM68" i="99"/>
  <c r="AN68" i="99"/>
  <c r="AL68" i="99"/>
  <c r="AK112" i="99"/>
  <c r="AR112" i="99"/>
  <c r="AO112" i="99"/>
  <c r="AQ112" i="99"/>
  <c r="AN112" i="99"/>
  <c r="AP112" i="99"/>
  <c r="AM112" i="99"/>
  <c r="AL112" i="99"/>
  <c r="AV147" i="99"/>
  <c r="AY147" i="99"/>
  <c r="AW147" i="99"/>
  <c r="BC147" i="99"/>
  <c r="AX147" i="99"/>
  <c r="BB147" i="99"/>
  <c r="AZ147" i="99"/>
  <c r="BA147" i="99"/>
  <c r="AK90" i="99"/>
  <c r="AR90" i="99"/>
  <c r="AQ90" i="99"/>
  <c r="AP90" i="99"/>
  <c r="AO90" i="99"/>
  <c r="AN90" i="99"/>
  <c r="AM90" i="99"/>
  <c r="AL90" i="99"/>
  <c r="BC167" i="99"/>
  <c r="AZ167" i="99"/>
  <c r="AY167" i="99"/>
  <c r="AV167" i="99"/>
  <c r="AX167" i="99"/>
  <c r="AW167" i="99"/>
  <c r="BB167" i="99"/>
  <c r="BA167" i="99"/>
  <c r="AK53" i="99"/>
  <c r="AR53" i="99"/>
  <c r="AN53" i="99"/>
  <c r="AQ53" i="99"/>
  <c r="AL53" i="99"/>
  <c r="AM53" i="99"/>
  <c r="AO53" i="99"/>
  <c r="AP53" i="99"/>
  <c r="AV61" i="99"/>
  <c r="AX61" i="99"/>
  <c r="BB61" i="99"/>
  <c r="BA61" i="99"/>
  <c r="AZ61" i="99"/>
  <c r="AW61" i="99"/>
  <c r="BC61" i="99"/>
  <c r="AY61" i="99"/>
  <c r="AK148" i="99"/>
  <c r="AR148" i="99"/>
  <c r="AQ148" i="99"/>
  <c r="AN148" i="99"/>
  <c r="AM148" i="99"/>
  <c r="AO148" i="99"/>
  <c r="AL148" i="99"/>
  <c r="AP148" i="99"/>
  <c r="AK105" i="99"/>
  <c r="AR105" i="99"/>
  <c r="AO105" i="99"/>
  <c r="AN105" i="99"/>
  <c r="AQ105" i="99"/>
  <c r="AM105" i="99"/>
  <c r="AP105" i="99"/>
  <c r="AL105" i="99"/>
  <c r="BC94" i="99"/>
  <c r="AV94" i="99"/>
  <c r="AW94" i="99"/>
  <c r="BB94" i="99"/>
  <c r="AY94" i="99"/>
  <c r="AZ94" i="99"/>
  <c r="AX94" i="99"/>
  <c r="BA94" i="99"/>
  <c r="AK133" i="99"/>
  <c r="AR133" i="99"/>
  <c r="AP133" i="99"/>
  <c r="AN133" i="99"/>
  <c r="AQ133" i="99"/>
  <c r="AO133" i="99"/>
  <c r="AM133" i="99"/>
  <c r="AL133" i="99"/>
  <c r="AV26" i="99"/>
  <c r="AZ26" i="99"/>
  <c r="AX26" i="99"/>
  <c r="BC26" i="99"/>
  <c r="BB26" i="99"/>
  <c r="AY26" i="99"/>
  <c r="BA26" i="99"/>
  <c r="AW26" i="99"/>
  <c r="AK164" i="99"/>
  <c r="AN164" i="99"/>
  <c r="AL164" i="99"/>
  <c r="AQ164" i="99"/>
  <c r="AR164" i="99"/>
  <c r="AM164" i="99"/>
  <c r="AP164" i="99"/>
  <c r="AO164" i="99"/>
  <c r="AK173" i="99"/>
  <c r="AR173" i="99"/>
  <c r="AL173" i="99"/>
  <c r="AQ173" i="99"/>
  <c r="AP173" i="99"/>
  <c r="AO173" i="99"/>
  <c r="AM173" i="99"/>
  <c r="AN173" i="99"/>
  <c r="AV156" i="99"/>
  <c r="BC156" i="99"/>
  <c r="BB156" i="99"/>
  <c r="AW156" i="99"/>
  <c r="BA156" i="99"/>
  <c r="AZ156" i="99"/>
  <c r="AY156" i="99"/>
  <c r="AX156" i="99"/>
  <c r="AK18" i="99"/>
  <c r="AR18" i="99"/>
  <c r="AL18" i="99"/>
  <c r="AM18" i="99"/>
  <c r="AN18" i="99"/>
  <c r="AO18" i="99"/>
  <c r="AP18" i="99"/>
  <c r="AQ18" i="99"/>
  <c r="AV104" i="99"/>
  <c r="AZ104" i="99"/>
  <c r="BC104" i="99"/>
  <c r="BB104" i="99"/>
  <c r="AW104" i="99"/>
  <c r="BA104" i="99"/>
  <c r="AY104" i="99"/>
  <c r="AX104" i="99"/>
  <c r="AK95" i="99"/>
  <c r="AR95" i="99"/>
  <c r="AQ95" i="99"/>
  <c r="AP95" i="99"/>
  <c r="AO95" i="99"/>
  <c r="AN95" i="99"/>
  <c r="AM95" i="99"/>
  <c r="AL95" i="99"/>
  <c r="AV172" i="99"/>
  <c r="BC172" i="99"/>
  <c r="AW172" i="99"/>
  <c r="BB172" i="99"/>
  <c r="BA172" i="99"/>
  <c r="AZ172" i="99"/>
  <c r="AY172" i="99"/>
  <c r="AX172" i="99"/>
  <c r="AV168" i="99"/>
  <c r="BC168" i="99"/>
  <c r="BB168" i="99"/>
  <c r="AW168" i="99"/>
  <c r="AY168" i="99"/>
  <c r="BA168" i="99"/>
  <c r="AZ168" i="99"/>
  <c r="AX168" i="99"/>
  <c r="AL30" i="99"/>
  <c r="AK30" i="99"/>
  <c r="AR30" i="99"/>
  <c r="AN30" i="99"/>
  <c r="AM30" i="99"/>
  <c r="AO30" i="99"/>
  <c r="AQ30" i="99"/>
  <c r="AP30" i="99"/>
  <c r="AV37" i="99"/>
  <c r="BA37" i="99"/>
  <c r="AX37" i="99"/>
  <c r="BB37" i="99"/>
  <c r="AZ37" i="99"/>
  <c r="AY37" i="99"/>
  <c r="AW37" i="99"/>
  <c r="BC37" i="99"/>
  <c r="AO31" i="99"/>
  <c r="AK31" i="99"/>
  <c r="AR31" i="99"/>
  <c r="AP31" i="99"/>
  <c r="AQ31" i="99"/>
  <c r="AL31" i="99"/>
  <c r="AM31" i="99"/>
  <c r="AN31" i="99"/>
  <c r="AV140" i="99"/>
  <c r="AY140" i="99"/>
  <c r="BB140" i="99"/>
  <c r="BA140" i="99"/>
  <c r="AW140" i="99"/>
  <c r="BC140" i="99"/>
  <c r="AZ140" i="99"/>
  <c r="AX140" i="99"/>
  <c r="AK50" i="99"/>
  <c r="AR50" i="99"/>
  <c r="AL50" i="99"/>
  <c r="AQ50" i="99"/>
  <c r="AM50" i="99"/>
  <c r="AO50" i="99"/>
  <c r="AN50" i="99"/>
  <c r="AP50" i="99"/>
  <c r="AV136" i="99"/>
  <c r="AW136" i="99"/>
  <c r="BB136" i="99"/>
  <c r="BC136" i="99"/>
  <c r="BA136" i="99"/>
  <c r="AY136" i="99"/>
  <c r="AX136" i="99"/>
  <c r="AZ136" i="99"/>
  <c r="AK69" i="99"/>
  <c r="AR69" i="99"/>
  <c r="AN69" i="99"/>
  <c r="AP69" i="99"/>
  <c r="AL69" i="99"/>
  <c r="AQ69" i="99"/>
  <c r="AM69" i="99"/>
  <c r="AO69" i="99"/>
  <c r="AV21" i="99"/>
  <c r="AX21" i="99"/>
  <c r="AW21" i="99"/>
  <c r="BB21" i="99"/>
  <c r="AZ21" i="99"/>
  <c r="BA21" i="99"/>
  <c r="AY21" i="99"/>
  <c r="BC21" i="99"/>
  <c r="AK28" i="99"/>
  <c r="AR28" i="99"/>
  <c r="AL28" i="99"/>
  <c r="AQ28" i="99"/>
  <c r="AP28" i="99"/>
  <c r="AO28" i="99"/>
  <c r="AM28" i="99"/>
  <c r="AN28" i="99"/>
  <c r="AV80" i="99"/>
  <c r="BB80" i="99"/>
  <c r="AW80" i="99"/>
  <c r="AY80" i="99"/>
  <c r="BC80" i="99"/>
  <c r="AZ80" i="99"/>
  <c r="AX80" i="99"/>
  <c r="BA80" i="99"/>
  <c r="AV58" i="99"/>
  <c r="AW58" i="99"/>
  <c r="BA58" i="99"/>
  <c r="AZ58" i="99"/>
  <c r="BC58" i="99"/>
  <c r="AY58" i="99"/>
  <c r="BB58" i="99"/>
  <c r="AX58" i="99"/>
  <c r="AL166" i="99"/>
  <c r="AK166" i="99"/>
  <c r="AR166" i="99"/>
  <c r="AM166" i="99"/>
  <c r="AP166" i="99"/>
  <c r="AN166" i="99"/>
  <c r="AQ166" i="99"/>
  <c r="AO166" i="99"/>
  <c r="AN79" i="99"/>
  <c r="AK79" i="99"/>
  <c r="AR79" i="99"/>
  <c r="AL79" i="99"/>
  <c r="AQ79" i="99"/>
  <c r="AO79" i="99"/>
  <c r="AP79" i="99"/>
  <c r="AM79" i="99"/>
  <c r="AV75" i="99"/>
  <c r="AZ75" i="99"/>
  <c r="BC75" i="99"/>
  <c r="AX75" i="99"/>
  <c r="AW75" i="99"/>
  <c r="BA75" i="99"/>
  <c r="BB75" i="99"/>
  <c r="AY75" i="99"/>
  <c r="AK129" i="99"/>
  <c r="AR129" i="99"/>
  <c r="AL129" i="99"/>
  <c r="AN129" i="99"/>
  <c r="AQ129" i="99"/>
  <c r="AP129" i="99"/>
  <c r="AO129" i="99"/>
  <c r="AM129" i="99"/>
  <c r="AV57" i="99"/>
  <c r="BA57" i="99"/>
  <c r="AZ57" i="99"/>
  <c r="AX57" i="99"/>
  <c r="AW57" i="99"/>
  <c r="BB57" i="99"/>
  <c r="AY57" i="99"/>
  <c r="BC57" i="99"/>
  <c r="AK97" i="99"/>
  <c r="AR97" i="99"/>
  <c r="AO97" i="99"/>
  <c r="AM97" i="99"/>
  <c r="AL97" i="99"/>
  <c r="AN97" i="99"/>
  <c r="AQ97" i="99"/>
  <c r="AP97" i="99"/>
  <c r="AV39" i="99"/>
  <c r="AW39" i="99"/>
  <c r="BB39" i="99"/>
  <c r="AX39" i="99"/>
  <c r="AZ39" i="99"/>
  <c r="BC39" i="99"/>
  <c r="AY39" i="99"/>
  <c r="BA39" i="99"/>
  <c r="AK108" i="99"/>
  <c r="AR108" i="99"/>
  <c r="AQ108" i="99"/>
  <c r="AP108" i="99"/>
  <c r="AN108" i="99"/>
  <c r="AO108" i="99"/>
  <c r="AM108" i="99"/>
  <c r="AL108" i="99"/>
  <c r="AK137" i="99"/>
  <c r="AR137" i="99"/>
  <c r="AQ137" i="99"/>
  <c r="AP137" i="99"/>
  <c r="AO137" i="99"/>
  <c r="AM137" i="99"/>
  <c r="AL137" i="99"/>
  <c r="AN137" i="99"/>
  <c r="AL150" i="99"/>
  <c r="AK150" i="99"/>
  <c r="AR150" i="99"/>
  <c r="AO150" i="99"/>
  <c r="AM150" i="99"/>
  <c r="AN150" i="99"/>
  <c r="AP150" i="99"/>
  <c r="AQ150" i="99"/>
  <c r="AV113" i="99"/>
  <c r="AY113" i="99"/>
  <c r="BA113" i="99"/>
  <c r="AW113" i="99"/>
  <c r="BB113" i="99"/>
  <c r="AZ113" i="99"/>
  <c r="BC113" i="99"/>
  <c r="AX113" i="99"/>
  <c r="AK44" i="99"/>
  <c r="AR44" i="99"/>
  <c r="AP44" i="99"/>
  <c r="AM44" i="99"/>
  <c r="AL44" i="99"/>
  <c r="AN44" i="99"/>
  <c r="AQ44" i="99"/>
  <c r="AO44" i="99"/>
  <c r="AK80" i="99"/>
  <c r="AR80" i="99"/>
  <c r="AP80" i="99"/>
  <c r="AO80" i="99"/>
  <c r="AM80" i="99"/>
  <c r="AL80" i="99"/>
  <c r="AQ80" i="99"/>
  <c r="AN80" i="99"/>
  <c r="AV163" i="99"/>
  <c r="BC163" i="99"/>
  <c r="AY163" i="99"/>
  <c r="AX163" i="99"/>
  <c r="AW163" i="99"/>
  <c r="BB163" i="99"/>
  <c r="BA163" i="99"/>
  <c r="AZ163" i="99"/>
  <c r="AK106" i="99"/>
  <c r="AR106" i="99"/>
  <c r="AP106" i="99"/>
  <c r="AO106" i="99"/>
  <c r="AN106" i="99"/>
  <c r="AM106" i="99"/>
  <c r="AL106" i="99"/>
  <c r="AQ106" i="99"/>
  <c r="AV32" i="99"/>
  <c r="AZ32" i="99"/>
  <c r="AY32" i="99"/>
  <c r="AX32" i="99"/>
  <c r="BC32" i="99"/>
  <c r="BA32" i="99"/>
  <c r="AW32" i="99"/>
  <c r="BB32" i="99"/>
  <c r="AK96" i="99"/>
  <c r="AR96" i="99"/>
  <c r="AN96" i="99"/>
  <c r="AQ96" i="99"/>
  <c r="AP96" i="99"/>
  <c r="AO96" i="99"/>
  <c r="AL96" i="99"/>
  <c r="AM96" i="99"/>
  <c r="AV36" i="99"/>
  <c r="BC36" i="99"/>
  <c r="AZ36" i="99"/>
  <c r="AX36" i="99"/>
  <c r="BB36" i="99"/>
  <c r="AY36" i="99"/>
  <c r="BA36" i="99"/>
  <c r="AW36" i="99"/>
  <c r="AY143" i="99"/>
  <c r="AW143" i="99"/>
  <c r="AV143" i="99"/>
  <c r="BC143" i="99"/>
  <c r="AX143" i="99"/>
  <c r="BB143" i="99"/>
  <c r="AZ143" i="99"/>
  <c r="BA143" i="99"/>
  <c r="AK131" i="99"/>
  <c r="AR131" i="99"/>
  <c r="AQ131" i="99"/>
  <c r="AP131" i="99"/>
  <c r="AO131" i="99"/>
  <c r="AM131" i="99"/>
  <c r="AN131" i="99"/>
  <c r="AL131" i="99"/>
  <c r="AK151" i="99"/>
  <c r="AR151" i="99"/>
  <c r="AM151" i="99"/>
  <c r="AL151" i="99"/>
  <c r="AP151" i="99"/>
  <c r="AO151" i="99"/>
  <c r="AQ151" i="99"/>
  <c r="AN151" i="99"/>
  <c r="AV123" i="99"/>
  <c r="BC123" i="99"/>
  <c r="AY123" i="99"/>
  <c r="AW123" i="99"/>
  <c r="BB123" i="99"/>
  <c r="AX123" i="99"/>
  <c r="BA123" i="99"/>
  <c r="AZ123" i="99"/>
  <c r="AK62" i="99"/>
  <c r="AR62" i="99"/>
  <c r="AL62" i="99"/>
  <c r="AM62" i="99"/>
  <c r="AP62" i="99"/>
  <c r="AN62" i="99"/>
  <c r="AO62" i="99"/>
  <c r="AQ62" i="99"/>
  <c r="AV68" i="99"/>
  <c r="BB68" i="99"/>
  <c r="BC68" i="99"/>
  <c r="AZ68" i="99"/>
  <c r="AX68" i="99"/>
  <c r="BA68" i="99"/>
  <c r="AW68" i="99"/>
  <c r="AY68" i="99"/>
  <c r="AK162" i="99"/>
  <c r="AR162" i="99"/>
  <c r="AO162" i="99"/>
  <c r="AN162" i="99"/>
  <c r="AM162" i="99"/>
  <c r="AL162" i="99"/>
  <c r="AP162" i="99"/>
  <c r="AQ162" i="99"/>
  <c r="AV88" i="99"/>
  <c r="AY88" i="99"/>
  <c r="AX88" i="99"/>
  <c r="BC88" i="99"/>
  <c r="AW88" i="99"/>
  <c r="AZ88" i="99"/>
  <c r="BB88" i="99"/>
  <c r="BA88" i="99"/>
  <c r="AK93" i="99"/>
  <c r="AR93" i="99"/>
  <c r="AM93" i="99"/>
  <c r="AN93" i="99"/>
  <c r="AL93" i="99"/>
  <c r="AQ93" i="99"/>
  <c r="AP93" i="99"/>
  <c r="AO93" i="99"/>
  <c r="AV109" i="99"/>
  <c r="AY109" i="99"/>
  <c r="BA109" i="99"/>
  <c r="AW109" i="99"/>
  <c r="BB109" i="99"/>
  <c r="BC109" i="99"/>
  <c r="AX109" i="99"/>
  <c r="AZ109" i="99"/>
  <c r="AQ78" i="99"/>
  <c r="AK78" i="99"/>
  <c r="AR78" i="99"/>
  <c r="AO78" i="99"/>
  <c r="AP78" i="99"/>
  <c r="AL78" i="99"/>
  <c r="AN78" i="99"/>
  <c r="AM78" i="99"/>
  <c r="AV148" i="99"/>
  <c r="AW148" i="99"/>
  <c r="BB148" i="99"/>
  <c r="BC148" i="99"/>
  <c r="BA148" i="99"/>
  <c r="AZ148" i="99"/>
  <c r="AY148" i="99"/>
  <c r="AX148" i="99"/>
  <c r="AK72" i="99"/>
  <c r="AR72" i="99"/>
  <c r="AP72" i="99"/>
  <c r="AM72" i="99"/>
  <c r="AQ72" i="99"/>
  <c r="AN72" i="99"/>
  <c r="AO72" i="99"/>
  <c r="AL72" i="99"/>
  <c r="AV130" i="99"/>
  <c r="AZ130" i="99"/>
  <c r="AX130" i="99"/>
  <c r="BC130" i="99"/>
  <c r="AY130" i="99"/>
  <c r="AW130" i="99"/>
  <c r="BA130" i="99"/>
  <c r="BB130" i="99"/>
  <c r="AK134" i="99"/>
  <c r="AR134" i="99"/>
  <c r="AL134" i="99"/>
  <c r="AO134" i="99"/>
  <c r="AP134" i="99"/>
  <c r="AN134" i="99"/>
  <c r="AM134" i="99"/>
  <c r="AQ134" i="99"/>
  <c r="AV164" i="99"/>
  <c r="AY164" i="99"/>
  <c r="BC164" i="99"/>
  <c r="BB164" i="99"/>
  <c r="AW164" i="99"/>
  <c r="BA164" i="99"/>
  <c r="AZ164" i="99"/>
  <c r="AX164" i="99"/>
  <c r="AV141" i="99"/>
  <c r="BB141" i="99"/>
  <c r="AZ141" i="99"/>
  <c r="AY141" i="99"/>
  <c r="BC141" i="99"/>
  <c r="AX141" i="99"/>
  <c r="AW141" i="99"/>
  <c r="BA141" i="99"/>
  <c r="AP158" i="99"/>
  <c r="AK158" i="99"/>
  <c r="AR158" i="99"/>
  <c r="AL158" i="99"/>
  <c r="AM158" i="99"/>
  <c r="AN158" i="99"/>
  <c r="AO158" i="99"/>
  <c r="AQ158" i="99"/>
  <c r="AV33" i="99"/>
  <c r="BB33" i="99"/>
  <c r="BA33" i="99"/>
  <c r="AX33" i="99"/>
  <c r="BC33" i="99"/>
  <c r="AZ33" i="99"/>
  <c r="AY33" i="99"/>
  <c r="AW33" i="99"/>
  <c r="BB38" i="99"/>
  <c r="AV38" i="99"/>
  <c r="AY38" i="99"/>
  <c r="AW38" i="99"/>
  <c r="AZ38" i="99"/>
  <c r="BC38" i="99"/>
  <c r="BA38" i="99"/>
  <c r="AX38" i="99"/>
  <c r="AK35" i="99"/>
  <c r="AR35" i="99"/>
  <c r="AM35" i="99"/>
  <c r="AQ35" i="99"/>
  <c r="AO35" i="99"/>
  <c r="AN35" i="99"/>
  <c r="AL35" i="99"/>
  <c r="AP35" i="99"/>
  <c r="AL46" i="99"/>
  <c r="AK46" i="99"/>
  <c r="AR46" i="99"/>
  <c r="AO46" i="99"/>
  <c r="AQ46" i="99"/>
  <c r="AP46" i="99"/>
  <c r="AN46" i="99"/>
  <c r="AM46" i="99"/>
  <c r="AV27" i="99"/>
  <c r="BB27" i="99"/>
  <c r="BA27" i="99"/>
  <c r="BC27" i="99"/>
  <c r="AY27" i="99"/>
  <c r="AZ27" i="99"/>
  <c r="AW27" i="99"/>
  <c r="AX27" i="99"/>
  <c r="AK57" i="99"/>
  <c r="AR57" i="99"/>
  <c r="AQ57" i="99"/>
  <c r="AN57" i="99"/>
  <c r="AL57" i="99"/>
  <c r="AP57" i="99"/>
  <c r="AM57" i="99"/>
  <c r="AO57" i="99"/>
  <c r="AV146" i="99"/>
  <c r="AY146" i="99"/>
  <c r="AW146" i="99"/>
  <c r="BA146" i="99"/>
  <c r="AX146" i="99"/>
  <c r="BC146" i="99"/>
  <c r="AZ146" i="99"/>
  <c r="BB146" i="99"/>
  <c r="AV45" i="99"/>
  <c r="BB45" i="99"/>
  <c r="BA45" i="99"/>
  <c r="AX45" i="99"/>
  <c r="BC45" i="99"/>
  <c r="AZ45" i="99"/>
  <c r="AW45" i="99"/>
  <c r="AY45" i="99"/>
  <c r="AK117" i="99"/>
  <c r="AR117" i="99"/>
  <c r="AQ117" i="99"/>
  <c r="AO117" i="99"/>
  <c r="AN117" i="99"/>
  <c r="AM117" i="99"/>
  <c r="AP117" i="99"/>
  <c r="AL117" i="99"/>
  <c r="AV34" i="99"/>
  <c r="BB34" i="99"/>
  <c r="AY34" i="99"/>
  <c r="BC34" i="99"/>
  <c r="AX34" i="99"/>
  <c r="AW34" i="99"/>
  <c r="BA34" i="99"/>
  <c r="AZ34" i="99"/>
  <c r="AK149" i="99"/>
  <c r="AR149" i="99"/>
  <c r="AP149" i="99"/>
  <c r="AL149" i="99"/>
  <c r="AN149" i="99"/>
  <c r="AQ149" i="99"/>
  <c r="AM149" i="99"/>
  <c r="AO149" i="99"/>
  <c r="AV20" i="99"/>
  <c r="AZ20" i="99"/>
  <c r="AY20" i="99"/>
  <c r="BA20" i="99"/>
  <c r="BB20" i="99"/>
  <c r="BC20" i="99"/>
  <c r="AX20" i="99"/>
  <c r="AW20" i="99"/>
  <c r="AV171" i="99"/>
  <c r="BC171" i="99"/>
  <c r="BA171" i="99"/>
  <c r="AZ171" i="99"/>
  <c r="AY171" i="99"/>
  <c r="AX171" i="99"/>
  <c r="AW171" i="99"/>
  <c r="BB171" i="99"/>
  <c r="BC62" i="99"/>
  <c r="AV62" i="99"/>
  <c r="AY62" i="99"/>
  <c r="AW62" i="99"/>
  <c r="AZ62" i="99"/>
  <c r="BB62" i="99"/>
  <c r="BA62" i="99"/>
  <c r="AX62" i="99"/>
  <c r="AK51" i="99"/>
  <c r="AR51" i="99"/>
  <c r="AN51" i="99"/>
  <c r="AM51" i="99"/>
  <c r="AQ51" i="99"/>
  <c r="AO51" i="99"/>
  <c r="AL51" i="99"/>
  <c r="AP51" i="99"/>
  <c r="AK67" i="99"/>
  <c r="AR67" i="99"/>
  <c r="AQ67" i="99"/>
  <c r="AO67" i="99"/>
  <c r="AN67" i="99"/>
  <c r="AM67" i="99"/>
  <c r="AL67" i="99"/>
  <c r="AP67" i="99"/>
  <c r="AZ158" i="99"/>
  <c r="AV158" i="99"/>
  <c r="BA158" i="99"/>
  <c r="BC158" i="99"/>
  <c r="AX158" i="99"/>
  <c r="BB158" i="99"/>
  <c r="AY158" i="99"/>
  <c r="AW158" i="99"/>
  <c r="AV152" i="99"/>
  <c r="AZ152" i="99"/>
  <c r="AX152" i="99"/>
  <c r="BC152" i="99"/>
  <c r="BB152" i="99"/>
  <c r="AW152" i="99"/>
  <c r="AY152" i="99"/>
  <c r="BA152" i="99"/>
  <c r="AK22" i="99"/>
  <c r="AR22" i="99"/>
  <c r="AL22" i="99"/>
  <c r="AM22" i="99"/>
  <c r="AO22" i="99"/>
  <c r="AQ22" i="99"/>
  <c r="AP22" i="99"/>
  <c r="AN22" i="99"/>
  <c r="AV51" i="99"/>
  <c r="BB51" i="99"/>
  <c r="AZ51" i="99"/>
  <c r="BA51" i="99"/>
  <c r="BC51" i="99"/>
  <c r="AW51" i="99"/>
  <c r="AY51" i="99"/>
  <c r="AX51" i="99"/>
  <c r="BC159" i="99"/>
  <c r="AV159" i="99"/>
  <c r="AX159" i="99"/>
  <c r="AW159" i="99"/>
  <c r="BB159" i="99"/>
  <c r="AY159" i="99"/>
  <c r="AZ159" i="99"/>
  <c r="BA159" i="99"/>
  <c r="AK169" i="99"/>
  <c r="AR169" i="99"/>
  <c r="AQ169" i="99"/>
  <c r="AP169" i="99"/>
  <c r="AL169" i="99"/>
  <c r="AM169" i="99"/>
  <c r="AN169" i="99"/>
  <c r="AO169" i="99"/>
  <c r="AV121" i="99"/>
  <c r="AY121" i="99"/>
  <c r="AW121" i="99"/>
  <c r="BA121" i="99"/>
  <c r="BB121" i="99"/>
  <c r="AZ121" i="99"/>
  <c r="AX121" i="99"/>
  <c r="BC121" i="99"/>
  <c r="AV64" i="99"/>
  <c r="AY64" i="99"/>
  <c r="BC64" i="99"/>
  <c r="BB64" i="99"/>
  <c r="AZ64" i="99"/>
  <c r="AX64" i="99"/>
  <c r="BA64" i="99"/>
  <c r="AW64" i="99"/>
  <c r="AV73" i="99"/>
  <c r="BA73" i="99"/>
  <c r="AZ73" i="99"/>
  <c r="AX73" i="99"/>
  <c r="BB73" i="99"/>
  <c r="AY73" i="99"/>
  <c r="AW73" i="99"/>
  <c r="BC73" i="99"/>
  <c r="AK152" i="99"/>
  <c r="AR152" i="99"/>
  <c r="AN152" i="99"/>
  <c r="AL152" i="99"/>
  <c r="AQ152" i="99"/>
  <c r="AP152" i="99"/>
  <c r="AO152" i="99"/>
  <c r="AM152" i="99"/>
  <c r="AV44" i="99"/>
  <c r="BC44" i="99"/>
  <c r="AZ44" i="99"/>
  <c r="AX44" i="99"/>
  <c r="BB44" i="99"/>
  <c r="AW44" i="99"/>
  <c r="AY44" i="99"/>
  <c r="BA44" i="99"/>
  <c r="AK114" i="99"/>
  <c r="AR114" i="99"/>
  <c r="AP114" i="99"/>
  <c r="AO114" i="99"/>
  <c r="AN114" i="99"/>
  <c r="AM114" i="99"/>
  <c r="AL114" i="99"/>
  <c r="AQ114" i="99"/>
  <c r="AV40" i="99"/>
  <c r="BC40" i="99"/>
  <c r="BB40" i="99"/>
  <c r="AZ40" i="99"/>
  <c r="AY40" i="99"/>
  <c r="AX40" i="99"/>
  <c r="BA40" i="99"/>
  <c r="AW40" i="99"/>
  <c r="AK157" i="99"/>
  <c r="AR157" i="99"/>
  <c r="AQ157" i="99"/>
  <c r="AP157" i="99"/>
  <c r="AL157" i="99"/>
  <c r="AO157" i="99"/>
  <c r="AN157" i="99"/>
  <c r="AM157" i="99"/>
  <c r="AV19" i="99"/>
  <c r="BA19" i="99"/>
  <c r="BC19" i="99"/>
  <c r="AY19" i="99"/>
  <c r="AX19" i="99"/>
  <c r="AW19" i="99"/>
  <c r="AZ19" i="99"/>
  <c r="BB19" i="99"/>
  <c r="AK25" i="99"/>
  <c r="AR25" i="99"/>
  <c r="AN25" i="99"/>
  <c r="AP25" i="99"/>
  <c r="AL25" i="99"/>
  <c r="AO25" i="99"/>
  <c r="AQ25" i="99"/>
  <c r="AM25" i="99"/>
  <c r="AV81" i="99"/>
  <c r="BC81" i="99"/>
  <c r="AY81" i="99"/>
  <c r="AZ81" i="99"/>
  <c r="AW81" i="99"/>
  <c r="BB81" i="99"/>
  <c r="BA81" i="99"/>
  <c r="AX81" i="99"/>
  <c r="AK171" i="99"/>
  <c r="AR171" i="99"/>
  <c r="AL171" i="99"/>
  <c r="AP171" i="99"/>
  <c r="AN171" i="99"/>
  <c r="AM171" i="99"/>
  <c r="AQ171" i="99"/>
  <c r="AO171" i="99"/>
  <c r="AK48" i="99"/>
  <c r="AR48" i="99"/>
  <c r="AL48" i="99"/>
  <c r="AQ48" i="99"/>
  <c r="AP48" i="99"/>
  <c r="AO48" i="99"/>
  <c r="AM48" i="99"/>
  <c r="AN48" i="99"/>
  <c r="AV131" i="99"/>
  <c r="BC131" i="99"/>
  <c r="AX131" i="99"/>
  <c r="BB131" i="99"/>
  <c r="AY131" i="99"/>
  <c r="AW131" i="99"/>
  <c r="BA131" i="99"/>
  <c r="AZ131" i="99"/>
  <c r="AK58" i="99"/>
  <c r="AR58" i="99"/>
  <c r="AQ58" i="99"/>
  <c r="AO58" i="99"/>
  <c r="AL58" i="99"/>
  <c r="AN58" i="99"/>
  <c r="AM58" i="99"/>
  <c r="AP58" i="99"/>
  <c r="BC135" i="99"/>
  <c r="AX135" i="99"/>
  <c r="BB135" i="99"/>
  <c r="AY135" i="99"/>
  <c r="AV135" i="99"/>
  <c r="AW135" i="99"/>
  <c r="BA135" i="99"/>
  <c r="AZ135" i="99"/>
  <c r="AV112" i="99"/>
  <c r="BB112" i="99"/>
  <c r="BC112" i="99"/>
  <c r="AZ112" i="99"/>
  <c r="AW112" i="99"/>
  <c r="BA112" i="99"/>
  <c r="AX112" i="99"/>
  <c r="AY112" i="99"/>
  <c r="AP86" i="99"/>
  <c r="AK86" i="99"/>
  <c r="AR86" i="99"/>
  <c r="AM86" i="99"/>
  <c r="AN86" i="99"/>
  <c r="AL86" i="99"/>
  <c r="AQ86" i="99"/>
  <c r="AO86" i="99"/>
  <c r="AV90" i="99"/>
  <c r="AZ90" i="99"/>
  <c r="BC90" i="99"/>
  <c r="BA90" i="99"/>
  <c r="AY90" i="99"/>
  <c r="AX90" i="99"/>
  <c r="AW90" i="99"/>
  <c r="BB90" i="99"/>
  <c r="AM102" i="99"/>
  <c r="AK102" i="99"/>
  <c r="AR102" i="99"/>
  <c r="AN102" i="99"/>
  <c r="AO102" i="99"/>
  <c r="AL102" i="99"/>
  <c r="AP102" i="99"/>
  <c r="AQ102" i="99"/>
  <c r="AV53" i="99"/>
  <c r="BA53" i="99"/>
  <c r="AX53" i="99"/>
  <c r="BB53" i="99"/>
  <c r="BC53" i="99"/>
  <c r="AW53" i="99"/>
  <c r="AZ53" i="99"/>
  <c r="AY53" i="99"/>
  <c r="AV105" i="99"/>
  <c r="BA105" i="99"/>
  <c r="AY105" i="99"/>
  <c r="AW105" i="99"/>
  <c r="AZ105" i="99"/>
  <c r="AX105" i="99"/>
  <c r="BB105" i="99"/>
  <c r="BC105" i="99"/>
  <c r="AP159" i="99"/>
  <c r="AK159" i="99"/>
  <c r="AR159" i="99"/>
  <c r="AM159" i="99"/>
  <c r="AN159" i="99"/>
  <c r="AL159" i="99"/>
  <c r="AQ159" i="99"/>
  <c r="AO159" i="99"/>
  <c r="AV133" i="99"/>
  <c r="AY133" i="99"/>
  <c r="BC133" i="99"/>
  <c r="AZ133" i="99"/>
  <c r="BB133" i="99"/>
  <c r="AX133" i="99"/>
  <c r="BA133" i="99"/>
  <c r="AW133" i="99"/>
  <c r="AV173" i="99"/>
  <c r="BA173" i="99"/>
  <c r="AZ173" i="99"/>
  <c r="BC173" i="99"/>
  <c r="AY173" i="99"/>
  <c r="AX173" i="99"/>
  <c r="AW173" i="99"/>
  <c r="BB173" i="99"/>
  <c r="AK59" i="99"/>
  <c r="AR59" i="99"/>
  <c r="AO59" i="99"/>
  <c r="AM59" i="99"/>
  <c r="AN59" i="99"/>
  <c r="AL59" i="99"/>
  <c r="AP59" i="99"/>
  <c r="AQ59" i="99"/>
  <c r="AK126" i="99"/>
  <c r="AR126" i="99"/>
  <c r="AL126" i="99"/>
  <c r="AN126" i="99"/>
  <c r="AM126" i="99"/>
  <c r="AP126" i="99"/>
  <c r="AO126" i="99"/>
  <c r="AQ126" i="99"/>
  <c r="AV18" i="99"/>
  <c r="AZ18" i="99"/>
  <c r="AX18" i="99"/>
  <c r="BC18" i="99"/>
  <c r="AY18" i="99"/>
  <c r="BB18" i="99"/>
  <c r="BA18" i="99"/>
  <c r="AW18" i="99"/>
  <c r="AR138" i="99"/>
  <c r="AK138" i="99"/>
  <c r="AO138" i="99"/>
  <c r="AN138" i="99"/>
  <c r="AM138" i="99"/>
  <c r="AL138" i="99"/>
  <c r="AP138" i="99"/>
  <c r="AQ138" i="99"/>
  <c r="AX95" i="99"/>
  <c r="AV95" i="99"/>
  <c r="BB95" i="99"/>
  <c r="BC95" i="99"/>
  <c r="AZ95" i="99"/>
  <c r="BA95" i="99"/>
  <c r="AY95" i="99"/>
  <c r="AW95" i="99"/>
  <c r="AK75" i="99"/>
  <c r="AR75" i="99"/>
  <c r="AO75" i="99"/>
  <c r="AM75" i="99"/>
  <c r="AL75" i="99"/>
  <c r="AP75" i="99"/>
  <c r="AQ75" i="99"/>
  <c r="AN75" i="99"/>
  <c r="AK39" i="99"/>
  <c r="AR39" i="99"/>
  <c r="AO39" i="99"/>
  <c r="AM39" i="99"/>
  <c r="AP39" i="99"/>
  <c r="AL39" i="99"/>
  <c r="AN39" i="99"/>
  <c r="AQ39" i="99"/>
  <c r="AV35" i="99"/>
  <c r="BB35" i="99"/>
  <c r="AZ35" i="99"/>
  <c r="BA35" i="99"/>
  <c r="AY35" i="99"/>
  <c r="BC35" i="99"/>
  <c r="AX35" i="99"/>
  <c r="AW35" i="99"/>
  <c r="AK121" i="99"/>
  <c r="AR121" i="99"/>
  <c r="AO121" i="99"/>
  <c r="AM121" i="99"/>
  <c r="AQ121" i="99"/>
  <c r="AL121" i="99"/>
  <c r="AP121" i="99"/>
  <c r="AN121" i="99"/>
  <c r="BC30" i="99"/>
  <c r="AV30" i="99"/>
  <c r="AX30" i="99"/>
  <c r="AZ30" i="99"/>
  <c r="AW30" i="99"/>
  <c r="BA30" i="99"/>
  <c r="BB30" i="99"/>
  <c r="AY30" i="99"/>
  <c r="AK64" i="99"/>
  <c r="AR64" i="99"/>
  <c r="AL64" i="99"/>
  <c r="AQ64" i="99"/>
  <c r="AP64" i="99"/>
  <c r="AO64" i="99"/>
  <c r="AM64" i="99"/>
  <c r="AN64" i="99"/>
  <c r="AV31" i="99"/>
  <c r="BA31" i="99"/>
  <c r="AX31" i="99"/>
  <c r="AW31" i="99"/>
  <c r="BB31" i="99"/>
  <c r="BC31" i="99"/>
  <c r="AY31" i="99"/>
  <c r="AZ31" i="99"/>
  <c r="AK43" i="99"/>
  <c r="AR43" i="99"/>
  <c r="AO43" i="99"/>
  <c r="AM43" i="99"/>
  <c r="AL43" i="99"/>
  <c r="AP43" i="99"/>
  <c r="AQ43" i="99"/>
  <c r="AN43" i="99"/>
  <c r="AQ70" i="99"/>
  <c r="AK70" i="99"/>
  <c r="AR70" i="99"/>
  <c r="AP70" i="99"/>
  <c r="AL70" i="99"/>
  <c r="AN70" i="99"/>
  <c r="AM70" i="99"/>
  <c r="AO70" i="99"/>
  <c r="AV50" i="99"/>
  <c r="BB50" i="99"/>
  <c r="AY50" i="99"/>
  <c r="BC50" i="99"/>
  <c r="BA50" i="99"/>
  <c r="AX50" i="99"/>
  <c r="AZ50" i="99"/>
  <c r="AW50" i="99"/>
  <c r="AK89" i="99"/>
  <c r="AR89" i="99"/>
  <c r="AQ89" i="99"/>
  <c r="AP89" i="99"/>
  <c r="AN89" i="99"/>
  <c r="AM89" i="99"/>
  <c r="AL89" i="99"/>
  <c r="AO89" i="99"/>
  <c r="AV69" i="99"/>
  <c r="BA69" i="99"/>
  <c r="AX69" i="99"/>
  <c r="BB69" i="99"/>
  <c r="AW69" i="99"/>
  <c r="AZ69" i="99"/>
  <c r="AY69" i="99"/>
  <c r="BC69" i="99"/>
  <c r="AK73" i="99"/>
  <c r="AR73" i="99"/>
  <c r="AQ73" i="99"/>
  <c r="AN73" i="99"/>
  <c r="AM73" i="99"/>
  <c r="AP73" i="99"/>
  <c r="AO73" i="99"/>
  <c r="AL73" i="99"/>
  <c r="AV28" i="99"/>
  <c r="BB28" i="99"/>
  <c r="AZ28" i="99"/>
  <c r="AY28" i="99"/>
  <c r="BA28" i="99"/>
  <c r="AW28" i="99"/>
  <c r="AX28" i="99"/>
  <c r="BC28" i="99"/>
  <c r="AJ79" i="99" l="1"/>
  <c r="AJ166" i="99"/>
  <c r="AJ31" i="99"/>
  <c r="AJ30" i="99"/>
  <c r="AJ135" i="99"/>
  <c r="AJ38" i="99"/>
  <c r="AJ143" i="99"/>
  <c r="AJ137" i="99"/>
  <c r="AJ108" i="99"/>
  <c r="AJ144" i="99"/>
  <c r="AJ85" i="99"/>
  <c r="AJ111" i="99"/>
  <c r="AJ119" i="99"/>
  <c r="AJ154" i="99"/>
  <c r="AJ128" i="99"/>
  <c r="AJ92" i="99"/>
  <c r="AJ42" i="99"/>
  <c r="AJ160" i="99"/>
  <c r="AJ124" i="99"/>
  <c r="AJ98" i="99"/>
  <c r="AJ76" i="99"/>
  <c r="AJ161" i="99"/>
  <c r="AJ56" i="99"/>
  <c r="AJ87" i="99"/>
  <c r="AJ99" i="99"/>
  <c r="AJ145" i="99"/>
  <c r="AJ47" i="99"/>
  <c r="AJ125" i="99"/>
  <c r="AJ127" i="99"/>
  <c r="AJ165" i="99"/>
  <c r="AJ101" i="99"/>
  <c r="AJ107" i="99"/>
  <c r="AJ49" i="99"/>
  <c r="AJ82" i="99"/>
  <c r="AJ77" i="99"/>
  <c r="AJ120" i="99"/>
  <c r="AJ66" i="99"/>
  <c r="AJ70" i="99"/>
  <c r="AJ86" i="99"/>
  <c r="AJ97" i="99"/>
  <c r="AJ129" i="99"/>
  <c r="AJ28" i="99"/>
  <c r="AJ69" i="99"/>
  <c r="AJ50" i="99"/>
  <c r="AJ95" i="99"/>
  <c r="AJ18" i="99"/>
  <c r="AJ173" i="99"/>
  <c r="AJ164" i="99"/>
  <c r="AJ133" i="99"/>
  <c r="AJ105" i="99"/>
  <c r="AJ148" i="99"/>
  <c r="AJ53" i="99"/>
  <c r="AJ90" i="99"/>
  <c r="AJ112" i="99"/>
  <c r="AJ68" i="99"/>
  <c r="AJ123" i="99"/>
  <c r="AJ81" i="99"/>
  <c r="AJ36" i="99"/>
  <c r="AJ19" i="99"/>
  <c r="AJ40" i="99"/>
  <c r="AJ163" i="99"/>
  <c r="AJ91" i="99"/>
  <c r="AJ74" i="99"/>
  <c r="AJ20" i="99"/>
  <c r="AJ34" i="99"/>
  <c r="AJ45" i="99"/>
  <c r="AJ140" i="99"/>
  <c r="AJ146" i="99"/>
  <c r="AJ27" i="99"/>
  <c r="AJ172" i="99"/>
  <c r="AJ33" i="99"/>
  <c r="AJ141" i="99"/>
  <c r="AJ156" i="99"/>
  <c r="AJ130" i="99"/>
  <c r="AJ109" i="99"/>
  <c r="AJ88" i="99"/>
  <c r="AJ147" i="99"/>
  <c r="AJ83" i="99"/>
  <c r="AJ32" i="99"/>
  <c r="AJ155" i="99"/>
  <c r="AJ113" i="99"/>
  <c r="AJ102" i="99"/>
  <c r="AJ73" i="99"/>
  <c r="AJ64" i="99"/>
  <c r="AJ121" i="99"/>
  <c r="AJ75" i="99"/>
  <c r="AJ126" i="99"/>
  <c r="AJ59" i="99"/>
  <c r="AJ58" i="99"/>
  <c r="AJ48" i="99"/>
  <c r="AJ171" i="99"/>
  <c r="AJ25" i="99"/>
  <c r="AJ157" i="99"/>
  <c r="AJ114" i="99"/>
  <c r="AJ152" i="99"/>
  <c r="AJ138" i="99"/>
  <c r="AJ89" i="99"/>
  <c r="AJ43" i="99"/>
  <c r="AJ39" i="99"/>
  <c r="AJ103" i="99"/>
  <c r="AJ71" i="99"/>
  <c r="AJ167" i="99"/>
  <c r="AJ63" i="99"/>
  <c r="AJ22" i="99"/>
  <c r="AJ52" i="99"/>
  <c r="AJ153" i="99"/>
  <c r="AJ110" i="99"/>
  <c r="AJ122" i="99"/>
  <c r="AJ24" i="99"/>
  <c r="AJ170" i="99"/>
  <c r="AJ60" i="99"/>
  <c r="AJ21" i="99"/>
  <c r="AJ136" i="99"/>
  <c r="AJ100" i="99"/>
  <c r="AJ37" i="99"/>
  <c r="AJ168" i="99"/>
  <c r="AJ132" i="99"/>
  <c r="AJ104" i="99"/>
  <c r="AJ116" i="99"/>
  <c r="AJ26" i="99"/>
  <c r="AJ94" i="99"/>
  <c r="AJ84" i="99"/>
  <c r="AJ61" i="99"/>
  <c r="AJ139" i="99"/>
  <c r="AJ29" i="99"/>
  <c r="AJ65" i="99"/>
  <c r="AJ115" i="99"/>
  <c r="AJ41" i="99"/>
  <c r="AJ169" i="99"/>
  <c r="AJ67" i="99"/>
  <c r="AJ51" i="99"/>
  <c r="AJ159" i="99"/>
  <c r="AJ46" i="99"/>
  <c r="AJ158" i="99"/>
  <c r="AJ78" i="99"/>
  <c r="AJ149" i="99"/>
  <c r="AJ117" i="99"/>
  <c r="AJ57" i="99"/>
  <c r="AJ35" i="99"/>
  <c r="AJ134" i="99"/>
  <c r="AJ72" i="99"/>
  <c r="AJ93" i="99"/>
  <c r="AJ162" i="99"/>
  <c r="AJ62" i="99"/>
  <c r="AJ151" i="99"/>
  <c r="AJ131" i="99"/>
  <c r="AJ96" i="99"/>
  <c r="AJ106" i="99"/>
  <c r="AJ80" i="99"/>
  <c r="AJ44" i="99"/>
  <c r="AJ150" i="99"/>
  <c r="AJ55" i="99"/>
  <c r="AJ174" i="99"/>
  <c r="AJ54" i="99"/>
  <c r="AJ142" i="99"/>
  <c r="AJ23" i="99"/>
  <c r="AJ118" i="99"/>
  <c r="AU90" i="99"/>
  <c r="AU159" i="99"/>
  <c r="AU57" i="99"/>
  <c r="AU58" i="99"/>
  <c r="AU80" i="99"/>
  <c r="AU21" i="99"/>
  <c r="AU140" i="99"/>
  <c r="AU172" i="99"/>
  <c r="AU104" i="99"/>
  <c r="AU156" i="99"/>
  <c r="AU26" i="99"/>
  <c r="AU63" i="99"/>
  <c r="AU29" i="99"/>
  <c r="AU65" i="99"/>
  <c r="AU41" i="99"/>
  <c r="AU60" i="99"/>
  <c r="AU93" i="99"/>
  <c r="AU128" i="99"/>
  <c r="AU100" i="99"/>
  <c r="AU42" i="99"/>
  <c r="AU160" i="99"/>
  <c r="AU132" i="99"/>
  <c r="AU116" i="99"/>
  <c r="AU161" i="99"/>
  <c r="AU56" i="99"/>
  <c r="AU84" i="99"/>
  <c r="AU115" i="99"/>
  <c r="AU127" i="99"/>
  <c r="AU165" i="99"/>
  <c r="AU162" i="99"/>
  <c r="AU170" i="99"/>
  <c r="AU74" i="99"/>
  <c r="AU66" i="99"/>
  <c r="AU126" i="99"/>
  <c r="AU135" i="99"/>
  <c r="AU32" i="99"/>
  <c r="AU75" i="99"/>
  <c r="AU131" i="99"/>
  <c r="AU73" i="99"/>
  <c r="AU152" i="99"/>
  <c r="AU158" i="99"/>
  <c r="AU62" i="99"/>
  <c r="AU141" i="99"/>
  <c r="AU88" i="99"/>
  <c r="AU36" i="99"/>
  <c r="AU168" i="99"/>
  <c r="AU61" i="99"/>
  <c r="AU167" i="99"/>
  <c r="AU67" i="99"/>
  <c r="AU114" i="99"/>
  <c r="AU106" i="99"/>
  <c r="AU174" i="99"/>
  <c r="AU98" i="99"/>
  <c r="AU54" i="99"/>
  <c r="AU125" i="99"/>
  <c r="AU71" i="99"/>
  <c r="AU119" i="99"/>
  <c r="AU155" i="99"/>
  <c r="AU47" i="99"/>
  <c r="AU86" i="99"/>
  <c r="AU52" i="99"/>
  <c r="AU91" i="99"/>
  <c r="AK4" i="99"/>
  <c r="AR4" i="99"/>
  <c r="AN4" i="99"/>
  <c r="AM4" i="99"/>
  <c r="AL4" i="99"/>
  <c r="AQ4" i="99"/>
  <c r="AP4" i="99"/>
  <c r="AO4" i="99"/>
  <c r="AU145" i="99"/>
  <c r="AU157" i="99"/>
  <c r="AU92" i="99"/>
  <c r="AU101" i="99"/>
  <c r="AU169" i="99"/>
  <c r="AU153" i="99"/>
  <c r="AU99" i="99"/>
  <c r="AU85" i="99"/>
  <c r="AU111" i="99"/>
  <c r="AU118" i="99"/>
  <c r="AU64" i="99"/>
  <c r="AU171" i="99"/>
  <c r="AU147" i="99"/>
  <c r="AU102" i="99"/>
  <c r="AU23" i="99"/>
  <c r="AU51" i="99"/>
  <c r="AU143" i="99"/>
  <c r="AU37" i="99"/>
  <c r="AU138" i="99"/>
  <c r="AU134" i="99"/>
  <c r="AU137" i="99"/>
  <c r="AU124" i="99"/>
  <c r="AU49" i="99"/>
  <c r="AU122" i="99"/>
  <c r="AU142" i="99"/>
  <c r="AU82" i="99"/>
  <c r="AU121" i="99"/>
  <c r="AU136" i="99"/>
  <c r="AU139" i="99"/>
  <c r="AU150" i="99"/>
  <c r="AU103" i="99"/>
  <c r="AU108" i="99"/>
  <c r="AV4" i="99"/>
  <c r="AZ4" i="99"/>
  <c r="AY4" i="99"/>
  <c r="BA4" i="99"/>
  <c r="BB4" i="99"/>
  <c r="AX4" i="99"/>
  <c r="BC4" i="99"/>
  <c r="AW4" i="99"/>
  <c r="AU38" i="99"/>
  <c r="AU94" i="99"/>
  <c r="AU59" i="99"/>
  <c r="AU76" i="99"/>
  <c r="AU144" i="99"/>
  <c r="AU151" i="99"/>
  <c r="AU83" i="99"/>
  <c r="AU46" i="99"/>
  <c r="AU110" i="99"/>
  <c r="AU22" i="99"/>
  <c r="AU30" i="99"/>
  <c r="AU95" i="99"/>
  <c r="AU20" i="99"/>
  <c r="AU34" i="99"/>
  <c r="AU27" i="99"/>
  <c r="AU33" i="99"/>
  <c r="AU164" i="99"/>
  <c r="AU148" i="99"/>
  <c r="AU109" i="99"/>
  <c r="AU123" i="99"/>
  <c r="AU113" i="99"/>
  <c r="AU166" i="99"/>
  <c r="AU70" i="99"/>
  <c r="AU78" i="99"/>
  <c r="AU28" i="99"/>
  <c r="AU69" i="99"/>
  <c r="AU50" i="99"/>
  <c r="AU31" i="99"/>
  <c r="AU35" i="99"/>
  <c r="AU18" i="99"/>
  <c r="AU173" i="99"/>
  <c r="AU133" i="99"/>
  <c r="AU105" i="99"/>
  <c r="AU53" i="99"/>
  <c r="AU112" i="99"/>
  <c r="AU81" i="99"/>
  <c r="AU19" i="99"/>
  <c r="AU40" i="99"/>
  <c r="AU44" i="99"/>
  <c r="AU45" i="99"/>
  <c r="AU146" i="99"/>
  <c r="AU130" i="99"/>
  <c r="AU68" i="99"/>
  <c r="AU163" i="99"/>
  <c r="AU39" i="99"/>
  <c r="AU87" i="99"/>
  <c r="AU48" i="99"/>
  <c r="AU117" i="99"/>
  <c r="AU96" i="99"/>
  <c r="AU97" i="99"/>
  <c r="AU129" i="99"/>
  <c r="AU24" i="99"/>
  <c r="AU55" i="99"/>
  <c r="AU107" i="99"/>
  <c r="AU79" i="99"/>
  <c r="AU77" i="99"/>
  <c r="AU120" i="99"/>
  <c r="AU154" i="99"/>
  <c r="AU89" i="99"/>
  <c r="AU25" i="99"/>
  <c r="AU149" i="99"/>
  <c r="AU43" i="99"/>
  <c r="AU72" i="99"/>
  <c r="BR77" i="99" l="1"/>
  <c r="BO77" i="99"/>
  <c r="BQ77" i="99"/>
  <c r="BR55" i="99"/>
  <c r="BQ55" i="99"/>
  <c r="BO55" i="99"/>
  <c r="BR19" i="99"/>
  <c r="BQ19" i="99"/>
  <c r="BO19" i="99"/>
  <c r="BR35" i="99"/>
  <c r="BQ35" i="99"/>
  <c r="BO35" i="99"/>
  <c r="BQ113" i="99"/>
  <c r="BR113" i="99"/>
  <c r="BO113" i="99"/>
  <c r="BR20" i="99"/>
  <c r="BQ20" i="99"/>
  <c r="BO20" i="99"/>
  <c r="BQ144" i="99"/>
  <c r="BR144" i="99"/>
  <c r="BO144" i="99"/>
  <c r="BR139" i="99"/>
  <c r="BQ139" i="99"/>
  <c r="BO139" i="99"/>
  <c r="BR137" i="99"/>
  <c r="BQ137" i="99"/>
  <c r="BO137" i="99"/>
  <c r="BR147" i="99"/>
  <c r="BQ147" i="99"/>
  <c r="BO147" i="99"/>
  <c r="BR169" i="99"/>
  <c r="BQ169" i="99"/>
  <c r="BO169" i="99"/>
  <c r="BR47" i="99"/>
  <c r="BQ47" i="99"/>
  <c r="BO47" i="99"/>
  <c r="BQ106" i="99"/>
  <c r="BR106" i="99"/>
  <c r="BO106" i="99"/>
  <c r="BR141" i="99"/>
  <c r="BQ141" i="99"/>
  <c r="BO141" i="99"/>
  <c r="BR135" i="99"/>
  <c r="BQ135" i="99"/>
  <c r="BO135" i="99"/>
  <c r="BR115" i="99"/>
  <c r="BQ115" i="99"/>
  <c r="BO115" i="99"/>
  <c r="BR100" i="99"/>
  <c r="BQ100" i="99"/>
  <c r="BO100" i="99"/>
  <c r="BR26" i="99"/>
  <c r="BQ26" i="99"/>
  <c r="BO26" i="99"/>
  <c r="BR57" i="99"/>
  <c r="BQ57" i="99"/>
  <c r="BO57" i="99"/>
  <c r="BP55" i="99"/>
  <c r="BN55" i="99"/>
  <c r="BP62" i="99"/>
  <c r="BN62" i="99"/>
  <c r="BP149" i="99"/>
  <c r="BN149" i="99"/>
  <c r="BP41" i="99"/>
  <c r="BN41" i="99"/>
  <c r="BP26" i="99"/>
  <c r="BN26" i="99"/>
  <c r="BN21" i="99"/>
  <c r="BP21" i="99"/>
  <c r="BP22" i="99"/>
  <c r="BN22" i="99"/>
  <c r="BP138" i="99"/>
  <c r="BN138" i="99"/>
  <c r="BP59" i="99"/>
  <c r="BN59" i="99"/>
  <c r="BP155" i="99"/>
  <c r="BN155" i="99"/>
  <c r="BP141" i="99"/>
  <c r="BN141" i="99"/>
  <c r="BP20" i="99"/>
  <c r="BN20" i="99"/>
  <c r="BP123" i="99"/>
  <c r="BN123" i="99"/>
  <c r="BP164" i="99"/>
  <c r="BN164" i="99"/>
  <c r="BP97" i="99"/>
  <c r="BN97" i="99"/>
  <c r="BP107" i="99"/>
  <c r="BN107" i="99"/>
  <c r="BP87" i="99"/>
  <c r="BN87" i="99"/>
  <c r="BP92" i="99"/>
  <c r="BN92" i="99"/>
  <c r="BP137" i="99"/>
  <c r="BN137" i="99"/>
  <c r="BR120" i="99"/>
  <c r="BQ120" i="99"/>
  <c r="BO120" i="99"/>
  <c r="BR133" i="99"/>
  <c r="BQ133" i="99"/>
  <c r="BO133" i="99"/>
  <c r="BQ25" i="99"/>
  <c r="BR25" i="99"/>
  <c r="BO25" i="99"/>
  <c r="BQ24" i="99"/>
  <c r="BR24" i="99"/>
  <c r="BO24" i="99"/>
  <c r="BR163" i="99"/>
  <c r="BQ163" i="99"/>
  <c r="BO163" i="99"/>
  <c r="BR81" i="99"/>
  <c r="BQ81" i="99"/>
  <c r="BO81" i="99"/>
  <c r="BR31" i="99"/>
  <c r="BQ31" i="99"/>
  <c r="BO31" i="99"/>
  <c r="BR123" i="99"/>
  <c r="BQ123" i="99"/>
  <c r="BO123" i="99"/>
  <c r="BR95" i="99"/>
  <c r="BQ95" i="99"/>
  <c r="BO95" i="99"/>
  <c r="BR76" i="99"/>
  <c r="BQ76" i="99"/>
  <c r="BO76" i="99"/>
  <c r="BR136" i="99"/>
  <c r="BQ136" i="99"/>
  <c r="BO136" i="99"/>
  <c r="BQ134" i="99"/>
  <c r="BR134" i="99"/>
  <c r="BO134" i="99"/>
  <c r="BR171" i="99"/>
  <c r="BQ171" i="99"/>
  <c r="BO171" i="99"/>
  <c r="BR101" i="99"/>
  <c r="BQ101" i="99"/>
  <c r="BO101" i="99"/>
  <c r="BR155" i="99"/>
  <c r="BQ155" i="99"/>
  <c r="BO155" i="99"/>
  <c r="BQ114" i="99"/>
  <c r="BR114" i="99"/>
  <c r="BO114" i="99"/>
  <c r="BR62" i="99"/>
  <c r="BQ62" i="99"/>
  <c r="BO62" i="99"/>
  <c r="BQ126" i="99"/>
  <c r="BR126" i="99"/>
  <c r="BO126" i="99"/>
  <c r="BR84" i="99"/>
  <c r="BQ84" i="99"/>
  <c r="BO84" i="99"/>
  <c r="BR128" i="99"/>
  <c r="BQ128" i="99"/>
  <c r="BO128" i="99"/>
  <c r="BR156" i="99"/>
  <c r="BQ156" i="99"/>
  <c r="BO156" i="99"/>
  <c r="BR159" i="99"/>
  <c r="BQ159" i="99"/>
  <c r="BO159" i="99"/>
  <c r="BP150" i="99"/>
  <c r="BN150" i="99"/>
  <c r="BP162" i="99"/>
  <c r="BN162" i="99"/>
  <c r="BP78" i="99"/>
  <c r="BN78" i="99"/>
  <c r="BP115" i="99"/>
  <c r="BN115" i="99"/>
  <c r="BP116" i="99"/>
  <c r="BN116" i="99"/>
  <c r="BP60" i="99"/>
  <c r="BN60" i="99"/>
  <c r="BP63" i="99"/>
  <c r="BN63" i="99"/>
  <c r="BP152" i="99"/>
  <c r="BN152" i="99"/>
  <c r="BP126" i="99"/>
  <c r="BN126" i="99"/>
  <c r="BP32" i="99"/>
  <c r="BN32" i="99"/>
  <c r="BP33" i="99"/>
  <c r="BN33" i="99"/>
  <c r="BP74" i="99"/>
  <c r="BN74" i="99"/>
  <c r="BP68" i="99"/>
  <c r="BN68" i="99"/>
  <c r="BP173" i="99"/>
  <c r="BN173" i="99"/>
  <c r="BP86" i="99"/>
  <c r="BN86" i="99"/>
  <c r="BN101" i="99"/>
  <c r="BP101" i="99"/>
  <c r="BP56" i="99"/>
  <c r="BN56" i="99"/>
  <c r="BP128" i="99"/>
  <c r="BN128" i="99"/>
  <c r="BP143" i="99"/>
  <c r="BN143" i="99"/>
  <c r="BR45" i="99"/>
  <c r="BQ45" i="99"/>
  <c r="BO45" i="99"/>
  <c r="BR39" i="99"/>
  <c r="BQ39" i="99"/>
  <c r="BO39" i="99"/>
  <c r="BQ129" i="99"/>
  <c r="BR129" i="99"/>
  <c r="BO129" i="99"/>
  <c r="BQ112" i="99"/>
  <c r="BR112" i="99"/>
  <c r="BO112" i="99"/>
  <c r="BR50" i="99"/>
  <c r="BQ50" i="99"/>
  <c r="BO50" i="99"/>
  <c r="BR109" i="99"/>
  <c r="BQ109" i="99"/>
  <c r="BO109" i="99"/>
  <c r="BR30" i="99"/>
  <c r="BQ30" i="99"/>
  <c r="BO30" i="99"/>
  <c r="BR59" i="99"/>
  <c r="BQ59" i="99"/>
  <c r="BO59" i="99"/>
  <c r="BQ121" i="99"/>
  <c r="BR121" i="99"/>
  <c r="BO121" i="99"/>
  <c r="BQ138" i="99"/>
  <c r="BR138" i="99"/>
  <c r="BO138" i="99"/>
  <c r="BR64" i="99"/>
  <c r="BQ64" i="99"/>
  <c r="BO64" i="99"/>
  <c r="BR92" i="99"/>
  <c r="BQ92" i="99"/>
  <c r="BO92" i="99"/>
  <c r="BR119" i="99"/>
  <c r="BQ119" i="99"/>
  <c r="BO119" i="99"/>
  <c r="BR67" i="99"/>
  <c r="BQ67" i="99"/>
  <c r="BO67" i="99"/>
  <c r="BQ158" i="99"/>
  <c r="BR158" i="99"/>
  <c r="BO158" i="99"/>
  <c r="BR66" i="99"/>
  <c r="BQ66" i="99"/>
  <c r="BO66" i="99"/>
  <c r="BR56" i="99"/>
  <c r="BQ56" i="99"/>
  <c r="BO56" i="99"/>
  <c r="BR93" i="99"/>
  <c r="BQ93" i="99"/>
  <c r="BO93" i="99"/>
  <c r="BR104" i="99"/>
  <c r="BQ104" i="99"/>
  <c r="BO104" i="99"/>
  <c r="BQ90" i="99"/>
  <c r="BR90" i="99"/>
  <c r="BO90" i="99"/>
  <c r="BP44" i="99"/>
  <c r="BN44" i="99"/>
  <c r="BP93" i="99"/>
  <c r="BN93" i="99"/>
  <c r="BP158" i="99"/>
  <c r="BN158" i="99"/>
  <c r="BP65" i="99"/>
  <c r="BN65" i="99"/>
  <c r="BP104" i="99"/>
  <c r="BN104" i="99"/>
  <c r="BP170" i="99"/>
  <c r="BN170" i="99"/>
  <c r="BP167" i="99"/>
  <c r="BN167" i="99"/>
  <c r="BP114" i="99"/>
  <c r="BN114" i="99"/>
  <c r="BP75" i="99"/>
  <c r="BN75" i="99"/>
  <c r="BP83" i="99"/>
  <c r="BN83" i="99"/>
  <c r="BP172" i="99"/>
  <c r="BN172" i="99"/>
  <c r="BP91" i="99"/>
  <c r="BN91" i="99"/>
  <c r="BP112" i="99"/>
  <c r="BN112" i="99"/>
  <c r="BP18" i="99"/>
  <c r="BN18" i="99"/>
  <c r="BP70" i="99"/>
  <c r="BN70" i="99"/>
  <c r="BP165" i="99"/>
  <c r="BN165" i="99"/>
  <c r="BP161" i="99"/>
  <c r="BN161" i="99"/>
  <c r="BP154" i="99"/>
  <c r="BN154" i="99"/>
  <c r="BP38" i="99"/>
  <c r="BN38" i="99"/>
  <c r="BR28" i="99"/>
  <c r="BQ28" i="99"/>
  <c r="BO28" i="99"/>
  <c r="BR149" i="99"/>
  <c r="BQ149" i="99"/>
  <c r="BO149" i="99"/>
  <c r="BQ89" i="99"/>
  <c r="BR89" i="99"/>
  <c r="BO89" i="99"/>
  <c r="BR68" i="99"/>
  <c r="BQ68" i="99"/>
  <c r="BO68" i="99"/>
  <c r="BQ154" i="99"/>
  <c r="BR154" i="99"/>
  <c r="BO154" i="99"/>
  <c r="BR97" i="99"/>
  <c r="BQ97" i="99"/>
  <c r="BO97" i="99"/>
  <c r="BQ130" i="99"/>
  <c r="BR130" i="99"/>
  <c r="BO130" i="99"/>
  <c r="BR53" i="99"/>
  <c r="BQ53" i="99"/>
  <c r="BO53" i="99"/>
  <c r="BR69" i="99"/>
  <c r="BQ69" i="99"/>
  <c r="BO69" i="99"/>
  <c r="BR148" i="99"/>
  <c r="BQ148" i="99"/>
  <c r="BO148" i="99"/>
  <c r="BR22" i="99"/>
  <c r="BQ22" i="99"/>
  <c r="BO22" i="99"/>
  <c r="BQ94" i="99"/>
  <c r="BR94" i="99"/>
  <c r="BO94" i="99"/>
  <c r="BR82" i="99"/>
  <c r="BQ82" i="99"/>
  <c r="BO82" i="99"/>
  <c r="BR37" i="99"/>
  <c r="BQ37" i="99"/>
  <c r="BO37" i="99"/>
  <c r="BQ118" i="99"/>
  <c r="BR118" i="99"/>
  <c r="BO118" i="99"/>
  <c r="BR157" i="99"/>
  <c r="BQ157" i="99"/>
  <c r="BO157" i="99"/>
  <c r="BR71" i="99"/>
  <c r="BQ71" i="99"/>
  <c r="BO71" i="99"/>
  <c r="BR167" i="99"/>
  <c r="BQ167" i="99"/>
  <c r="BO167" i="99"/>
  <c r="BQ152" i="99"/>
  <c r="BR152" i="99"/>
  <c r="BO152" i="99"/>
  <c r="BR74" i="99"/>
  <c r="BQ74" i="99"/>
  <c r="BO74" i="99"/>
  <c r="BR161" i="99"/>
  <c r="BQ161" i="99"/>
  <c r="BO161" i="99"/>
  <c r="BR60" i="99"/>
  <c r="BQ60" i="99"/>
  <c r="BO60" i="99"/>
  <c r="BR172" i="99"/>
  <c r="BQ172" i="99"/>
  <c r="BO172" i="99"/>
  <c r="BP118" i="99"/>
  <c r="BN118" i="99"/>
  <c r="BP80" i="99"/>
  <c r="BN80" i="99"/>
  <c r="BP72" i="99"/>
  <c r="BN72" i="99"/>
  <c r="BP46" i="99"/>
  <c r="BN46" i="99"/>
  <c r="BN29" i="99"/>
  <c r="BP29" i="99"/>
  <c r="BP132" i="99"/>
  <c r="BN132" i="99"/>
  <c r="BP24" i="99"/>
  <c r="BN24" i="99"/>
  <c r="BP71" i="99"/>
  <c r="BN71" i="99"/>
  <c r="BP157" i="99"/>
  <c r="BN157" i="99"/>
  <c r="BP121" i="99"/>
  <c r="BN121" i="99"/>
  <c r="BP147" i="99"/>
  <c r="BN147" i="99"/>
  <c r="BP27" i="99"/>
  <c r="BN27" i="99"/>
  <c r="BP163" i="99"/>
  <c r="BN163" i="99"/>
  <c r="BP90" i="99"/>
  <c r="BN90" i="99"/>
  <c r="BP95" i="99"/>
  <c r="BN95" i="99"/>
  <c r="BP66" i="99"/>
  <c r="BN66" i="99"/>
  <c r="BP127" i="99"/>
  <c r="BN127" i="99"/>
  <c r="BP76" i="99"/>
  <c r="BN76" i="99"/>
  <c r="BP119" i="99"/>
  <c r="BN119" i="99"/>
  <c r="BP135" i="99"/>
  <c r="BN135" i="99"/>
  <c r="BQ146" i="99"/>
  <c r="BR146" i="99"/>
  <c r="BO146" i="99"/>
  <c r="BR164" i="99"/>
  <c r="BQ164" i="99"/>
  <c r="BO164" i="99"/>
  <c r="BQ110" i="99"/>
  <c r="BR110" i="99"/>
  <c r="BO110" i="99"/>
  <c r="BR38" i="99"/>
  <c r="BQ38" i="99"/>
  <c r="BO38" i="99"/>
  <c r="BQ142" i="99"/>
  <c r="BR142" i="99"/>
  <c r="BO142" i="99"/>
  <c r="BR143" i="99"/>
  <c r="BQ143" i="99"/>
  <c r="BO143" i="99"/>
  <c r="BR111" i="99"/>
  <c r="BQ111" i="99"/>
  <c r="BO111" i="99"/>
  <c r="BR145" i="99"/>
  <c r="BQ145" i="99"/>
  <c r="BO145" i="99"/>
  <c r="BR125" i="99"/>
  <c r="BQ125" i="99"/>
  <c r="BO125" i="99"/>
  <c r="BR61" i="99"/>
  <c r="BQ61" i="99"/>
  <c r="BO61" i="99"/>
  <c r="BR73" i="99"/>
  <c r="BQ73" i="99"/>
  <c r="BO73" i="99"/>
  <c r="BQ170" i="99"/>
  <c r="BR170" i="99"/>
  <c r="BO170" i="99"/>
  <c r="BR116" i="99"/>
  <c r="BQ116" i="99"/>
  <c r="BO116" i="99"/>
  <c r="BR41" i="99"/>
  <c r="BQ41" i="99"/>
  <c r="BO41" i="99"/>
  <c r="BR140" i="99"/>
  <c r="BQ140" i="99"/>
  <c r="BO140" i="99"/>
  <c r="BP23" i="99"/>
  <c r="BN23" i="99"/>
  <c r="BP106" i="99"/>
  <c r="BN106" i="99"/>
  <c r="BP134" i="99"/>
  <c r="BN134" i="99"/>
  <c r="BP159" i="99"/>
  <c r="BN159" i="99"/>
  <c r="BP139" i="99"/>
  <c r="BN139" i="99"/>
  <c r="BP168" i="99"/>
  <c r="BN168" i="99"/>
  <c r="BP122" i="99"/>
  <c r="BN122" i="99"/>
  <c r="BP103" i="99"/>
  <c r="BN103" i="99"/>
  <c r="BP25" i="99"/>
  <c r="BN25" i="99"/>
  <c r="BP64" i="99"/>
  <c r="BN64" i="99"/>
  <c r="BP88" i="99"/>
  <c r="BN88" i="99"/>
  <c r="BP146" i="99"/>
  <c r="BN146" i="99"/>
  <c r="BP40" i="99"/>
  <c r="BN40" i="99"/>
  <c r="BN53" i="99"/>
  <c r="BP53" i="99"/>
  <c r="BP50" i="99"/>
  <c r="BN50" i="99"/>
  <c r="BP120" i="99"/>
  <c r="BN120" i="99"/>
  <c r="BN125" i="99"/>
  <c r="BP125" i="99"/>
  <c r="BP98" i="99"/>
  <c r="BN98" i="99"/>
  <c r="BP111" i="99"/>
  <c r="BN111" i="99"/>
  <c r="BP30" i="99"/>
  <c r="BN30" i="99"/>
  <c r="BQ96" i="99"/>
  <c r="BR96" i="99"/>
  <c r="BO96" i="99"/>
  <c r="BQ33" i="99"/>
  <c r="BR33" i="99"/>
  <c r="BO33" i="99"/>
  <c r="BR108" i="99"/>
  <c r="BQ108" i="99"/>
  <c r="BO108" i="99"/>
  <c r="BQ122" i="99"/>
  <c r="BR122" i="99"/>
  <c r="BO122" i="99"/>
  <c r="BR51" i="99"/>
  <c r="BQ51" i="99"/>
  <c r="BO51" i="99"/>
  <c r="BR85" i="99"/>
  <c r="BQ85" i="99"/>
  <c r="BO85" i="99"/>
  <c r="BR91" i="99"/>
  <c r="BQ91" i="99"/>
  <c r="BO91" i="99"/>
  <c r="BR54" i="99"/>
  <c r="BQ54" i="99"/>
  <c r="BO54" i="99"/>
  <c r="BR168" i="99"/>
  <c r="BQ168" i="99"/>
  <c r="BO168" i="99"/>
  <c r="BR131" i="99"/>
  <c r="BQ131" i="99"/>
  <c r="BO131" i="99"/>
  <c r="BQ162" i="99"/>
  <c r="BR162" i="99"/>
  <c r="BO162" i="99"/>
  <c r="BR132" i="99"/>
  <c r="BQ132" i="99"/>
  <c r="BO132" i="99"/>
  <c r="BQ65" i="99"/>
  <c r="BR65" i="99"/>
  <c r="BO65" i="99"/>
  <c r="BR21" i="99"/>
  <c r="BQ21" i="99"/>
  <c r="BO21" i="99"/>
  <c r="BP142" i="99"/>
  <c r="BN142" i="99"/>
  <c r="BP96" i="99"/>
  <c r="BN96" i="99"/>
  <c r="BP35" i="99"/>
  <c r="BN35" i="99"/>
  <c r="BP51" i="99"/>
  <c r="BN51" i="99"/>
  <c r="BP61" i="99"/>
  <c r="BN61" i="99"/>
  <c r="BN37" i="99"/>
  <c r="BP37" i="99"/>
  <c r="BP110" i="99"/>
  <c r="BN110" i="99"/>
  <c r="BP39" i="99"/>
  <c r="BN39" i="99"/>
  <c r="BP171" i="99"/>
  <c r="BN171" i="99"/>
  <c r="BP73" i="99"/>
  <c r="BN73" i="99"/>
  <c r="BP109" i="99"/>
  <c r="BN109" i="99"/>
  <c r="BP140" i="99"/>
  <c r="BN140" i="99"/>
  <c r="BP19" i="99"/>
  <c r="BN19" i="99"/>
  <c r="BP148" i="99"/>
  <c r="BN148" i="99"/>
  <c r="BP69" i="99"/>
  <c r="BN69" i="99"/>
  <c r="BP77" i="99"/>
  <c r="BN77" i="99"/>
  <c r="BP47" i="99"/>
  <c r="BN47" i="99"/>
  <c r="BP124" i="99"/>
  <c r="BN124" i="99"/>
  <c r="BP85" i="99"/>
  <c r="BN85" i="99"/>
  <c r="BP31" i="99"/>
  <c r="BN31" i="99"/>
  <c r="BR105" i="99"/>
  <c r="BQ105" i="99"/>
  <c r="BO105" i="99"/>
  <c r="BR78" i="99"/>
  <c r="BQ78" i="99"/>
  <c r="BO78" i="99"/>
  <c r="BR72" i="99"/>
  <c r="BQ72" i="99"/>
  <c r="BO72" i="99"/>
  <c r="BQ48" i="99"/>
  <c r="BR48" i="99"/>
  <c r="BO48" i="99"/>
  <c r="BR44" i="99"/>
  <c r="BQ44" i="99"/>
  <c r="BO44" i="99"/>
  <c r="BR173" i="99"/>
  <c r="BQ173" i="99"/>
  <c r="BO173" i="99"/>
  <c r="BR70" i="99"/>
  <c r="BQ70" i="99"/>
  <c r="BO70" i="99"/>
  <c r="BR27" i="99"/>
  <c r="BQ27" i="99"/>
  <c r="BO27" i="99"/>
  <c r="BR83" i="99"/>
  <c r="BQ83" i="99"/>
  <c r="BO83" i="99"/>
  <c r="BR103" i="99"/>
  <c r="BQ103" i="99"/>
  <c r="BO103" i="99"/>
  <c r="BQ49" i="99"/>
  <c r="BR49" i="99"/>
  <c r="BO49" i="99"/>
  <c r="BR23" i="99"/>
  <c r="BQ23" i="99"/>
  <c r="BO23" i="99"/>
  <c r="BR99" i="99"/>
  <c r="BQ99" i="99"/>
  <c r="BO99" i="99"/>
  <c r="BR52" i="99"/>
  <c r="BQ52" i="99"/>
  <c r="BO52" i="99"/>
  <c r="BQ98" i="99"/>
  <c r="BR98" i="99"/>
  <c r="BO98" i="99"/>
  <c r="BR36" i="99"/>
  <c r="BQ36" i="99"/>
  <c r="BO36" i="99"/>
  <c r="BR75" i="99"/>
  <c r="BQ75" i="99"/>
  <c r="BO75" i="99"/>
  <c r="BR165" i="99"/>
  <c r="BQ165" i="99"/>
  <c r="BO165" i="99"/>
  <c r="BR160" i="99"/>
  <c r="BQ160" i="99"/>
  <c r="BO160" i="99"/>
  <c r="BR29" i="99"/>
  <c r="BQ29" i="99"/>
  <c r="BO29" i="99"/>
  <c r="BR80" i="99"/>
  <c r="BQ80" i="99"/>
  <c r="BO80" i="99"/>
  <c r="BP54" i="99"/>
  <c r="BN54" i="99"/>
  <c r="BP131" i="99"/>
  <c r="BN131" i="99"/>
  <c r="BP57" i="99"/>
  <c r="BN57" i="99"/>
  <c r="BP67" i="99"/>
  <c r="BN67" i="99"/>
  <c r="BP84" i="99"/>
  <c r="BN84" i="99"/>
  <c r="BP100" i="99"/>
  <c r="BN100" i="99"/>
  <c r="BN153" i="99"/>
  <c r="BP153" i="99"/>
  <c r="BP43" i="99"/>
  <c r="BN43" i="99"/>
  <c r="BP48" i="99"/>
  <c r="BN48" i="99"/>
  <c r="BP102" i="99"/>
  <c r="BN102" i="99"/>
  <c r="BP130" i="99"/>
  <c r="BN130" i="99"/>
  <c r="BN45" i="99"/>
  <c r="BP45" i="99"/>
  <c r="BP36" i="99"/>
  <c r="BN36" i="99"/>
  <c r="BP105" i="99"/>
  <c r="BN105" i="99"/>
  <c r="BP28" i="99"/>
  <c r="BN28" i="99"/>
  <c r="BP82" i="99"/>
  <c r="BN82" i="99"/>
  <c r="BP145" i="99"/>
  <c r="BN145" i="99"/>
  <c r="BP160" i="99"/>
  <c r="BN160" i="99"/>
  <c r="BP144" i="99"/>
  <c r="BN144" i="99"/>
  <c r="BP166" i="99"/>
  <c r="BN166" i="99"/>
  <c r="BR117" i="99"/>
  <c r="BQ117" i="99"/>
  <c r="BO117" i="99"/>
  <c r="BR46" i="99"/>
  <c r="BQ46" i="99"/>
  <c r="BO46" i="99"/>
  <c r="BR79" i="99"/>
  <c r="BQ79" i="99"/>
  <c r="BO79" i="99"/>
  <c r="BR43" i="99"/>
  <c r="BQ43" i="99"/>
  <c r="BO43" i="99"/>
  <c r="BR107" i="99"/>
  <c r="BQ107" i="99"/>
  <c r="BO107" i="99"/>
  <c r="BR87" i="99"/>
  <c r="BQ87" i="99"/>
  <c r="BO87" i="99"/>
  <c r="BR40" i="99"/>
  <c r="BQ40" i="99"/>
  <c r="BO40" i="99"/>
  <c r="BR18" i="99"/>
  <c r="BQ18" i="99"/>
  <c r="BO18" i="99"/>
  <c r="BQ166" i="99"/>
  <c r="BR166" i="99"/>
  <c r="BO166" i="99"/>
  <c r="BR34" i="99"/>
  <c r="BQ34" i="99"/>
  <c r="BO34" i="99"/>
  <c r="BR151" i="99"/>
  <c r="BQ151" i="99"/>
  <c r="BO151" i="99"/>
  <c r="BQ150" i="99"/>
  <c r="BR150" i="99"/>
  <c r="BO150" i="99"/>
  <c r="BR124" i="99"/>
  <c r="BQ124" i="99"/>
  <c r="BO124" i="99"/>
  <c r="BQ102" i="99"/>
  <c r="BR102" i="99"/>
  <c r="BO102" i="99"/>
  <c r="BQ153" i="99"/>
  <c r="BR153" i="99"/>
  <c r="BO153" i="99"/>
  <c r="BQ86" i="99"/>
  <c r="BR86" i="99"/>
  <c r="BO86" i="99"/>
  <c r="BQ174" i="99"/>
  <c r="BR174" i="99"/>
  <c r="BO174" i="99"/>
  <c r="BQ88" i="99"/>
  <c r="BR88" i="99"/>
  <c r="BO88" i="99"/>
  <c r="BQ32" i="99"/>
  <c r="BR32" i="99"/>
  <c r="BO32" i="99"/>
  <c r="BR127" i="99"/>
  <c r="BQ127" i="99"/>
  <c r="BO127" i="99"/>
  <c r="BR42" i="99"/>
  <c r="BQ42" i="99"/>
  <c r="BO42" i="99"/>
  <c r="BR63" i="99"/>
  <c r="BQ63" i="99"/>
  <c r="BO63" i="99"/>
  <c r="BR58" i="99"/>
  <c r="BQ58" i="99"/>
  <c r="BO58" i="99"/>
  <c r="BP174" i="99"/>
  <c r="BN174" i="99"/>
  <c r="BP151" i="99"/>
  <c r="BN151" i="99"/>
  <c r="BP117" i="99"/>
  <c r="BN117" i="99"/>
  <c r="BP169" i="99"/>
  <c r="BN169" i="99"/>
  <c r="BP94" i="99"/>
  <c r="BN94" i="99"/>
  <c r="BP136" i="99"/>
  <c r="BN136" i="99"/>
  <c r="BP52" i="99"/>
  <c r="BN52" i="99"/>
  <c r="BP89" i="99"/>
  <c r="BN89" i="99"/>
  <c r="BP58" i="99"/>
  <c r="BN58" i="99"/>
  <c r="BN113" i="99"/>
  <c r="BP113" i="99"/>
  <c r="BP156" i="99"/>
  <c r="BN156" i="99"/>
  <c r="BP34" i="99"/>
  <c r="BN34" i="99"/>
  <c r="BP81" i="99"/>
  <c r="BN81" i="99"/>
  <c r="BP133" i="99"/>
  <c r="BN133" i="99"/>
  <c r="BP129" i="99"/>
  <c r="BN129" i="99"/>
  <c r="BP49" i="99"/>
  <c r="BN49" i="99"/>
  <c r="BP99" i="99"/>
  <c r="BN99" i="99"/>
  <c r="BP42" i="99"/>
  <c r="BN42" i="99"/>
  <c r="BP108" i="99"/>
  <c r="BN108" i="99"/>
  <c r="BP79" i="99"/>
  <c r="BN79" i="99"/>
  <c r="AJ4" i="99"/>
  <c r="AK6" i="99"/>
  <c r="AR6" i="99"/>
  <c r="AM6" i="99"/>
  <c r="AL6" i="99"/>
  <c r="AQ6" i="99"/>
  <c r="AP6" i="99"/>
  <c r="AO6" i="99"/>
  <c r="AN6" i="99"/>
  <c r="AK5" i="99"/>
  <c r="AR5" i="99"/>
  <c r="AN5" i="99"/>
  <c r="AM5" i="99"/>
  <c r="AL5" i="99"/>
  <c r="AP5" i="99"/>
  <c r="AQ5" i="99"/>
  <c r="AO5" i="99"/>
  <c r="BC6" i="99"/>
  <c r="AV6" i="99"/>
  <c r="BB6" i="99"/>
  <c r="AW6" i="99"/>
  <c r="BA6" i="99"/>
  <c r="AZ6" i="99"/>
  <c r="AX6" i="99"/>
  <c r="AY6" i="99"/>
  <c r="AV5" i="99"/>
  <c r="AZ5" i="99"/>
  <c r="AX5" i="99"/>
  <c r="AW5" i="99"/>
  <c r="BA5" i="99"/>
  <c r="AY5" i="99"/>
  <c r="BC5" i="99"/>
  <c r="BB5" i="99"/>
  <c r="AU4" i="99"/>
  <c r="BP4" i="99" l="1"/>
  <c r="BN4" i="99"/>
  <c r="BR4" i="99"/>
  <c r="BQ4" i="99"/>
  <c r="BO4" i="99"/>
  <c r="AJ5" i="99"/>
  <c r="AJ6" i="99"/>
  <c r="AU5" i="99"/>
  <c r="AK7" i="99"/>
  <c r="AR7" i="99"/>
  <c r="AQ7" i="99"/>
  <c r="AP7" i="99"/>
  <c r="AL7" i="99"/>
  <c r="AO7" i="99"/>
  <c r="AN7" i="99"/>
  <c r="AM7" i="99"/>
  <c r="AU6" i="99"/>
  <c r="AV7" i="99"/>
  <c r="BA7" i="99"/>
  <c r="AW7" i="99"/>
  <c r="BC7" i="99"/>
  <c r="AY7" i="99"/>
  <c r="AX7" i="99"/>
  <c r="BB7" i="99"/>
  <c r="AZ7" i="99"/>
  <c r="BP5" i="99" l="1"/>
  <c r="BN5" i="99"/>
  <c r="BR5" i="99"/>
  <c r="BQ5" i="99"/>
  <c r="BO5" i="99"/>
  <c r="BR6" i="99"/>
  <c r="BQ6" i="99"/>
  <c r="BO6" i="99"/>
  <c r="BP6" i="99"/>
  <c r="BN6" i="99"/>
  <c r="AJ7" i="99"/>
  <c r="AK8" i="99"/>
  <c r="AR8" i="99"/>
  <c r="AQ8" i="99"/>
  <c r="AP8" i="99"/>
  <c r="AO8" i="99"/>
  <c r="AN8" i="99"/>
  <c r="AM8" i="99"/>
  <c r="AL8" i="99"/>
  <c r="AV8" i="99"/>
  <c r="AZ8" i="99"/>
  <c r="AY8" i="99"/>
  <c r="AX8" i="99"/>
  <c r="BC8" i="99"/>
  <c r="BB8" i="99"/>
  <c r="AW8" i="99"/>
  <c r="BA8" i="99"/>
  <c r="AU7" i="99"/>
  <c r="BR7" i="99" l="1"/>
  <c r="BQ7" i="99"/>
  <c r="BO7" i="99"/>
  <c r="BP7" i="99"/>
  <c r="BN7" i="99"/>
  <c r="AJ8" i="99"/>
  <c r="AU8" i="99"/>
  <c r="AK9" i="99"/>
  <c r="AR9" i="99"/>
  <c r="AO9" i="99"/>
  <c r="AN9" i="99"/>
  <c r="AM9" i="99"/>
  <c r="AL9" i="99"/>
  <c r="AQ9" i="99"/>
  <c r="AP9" i="99"/>
  <c r="AV9" i="99"/>
  <c r="AZ9" i="99"/>
  <c r="AX9" i="99"/>
  <c r="AW9" i="99"/>
  <c r="BB9" i="99"/>
  <c r="BA9" i="99"/>
  <c r="AY9" i="99"/>
  <c r="BC9" i="99"/>
  <c r="BP8" i="99" l="1"/>
  <c r="BN8" i="99"/>
  <c r="BQ8" i="99"/>
  <c r="BR8" i="99"/>
  <c r="BO8" i="99"/>
  <c r="AJ9" i="99"/>
  <c r="AK10" i="99"/>
  <c r="AR10" i="99"/>
  <c r="AM10" i="99"/>
  <c r="AL10" i="99"/>
  <c r="AN10" i="99"/>
  <c r="AQ10" i="99"/>
  <c r="AP10" i="99"/>
  <c r="AO10" i="99"/>
  <c r="AU9" i="99"/>
  <c r="AV10" i="99"/>
  <c r="AX10" i="99"/>
  <c r="BB10" i="99"/>
  <c r="BC10" i="99"/>
  <c r="AZ10" i="99"/>
  <c r="BA10" i="99"/>
  <c r="AW10" i="99"/>
  <c r="AY10" i="99"/>
  <c r="BP9" i="99" l="1"/>
  <c r="BN9" i="99"/>
  <c r="BQ9" i="99"/>
  <c r="BR9" i="99"/>
  <c r="BO9" i="99"/>
  <c r="AJ10" i="99"/>
  <c r="AK11" i="99"/>
  <c r="AR11" i="99"/>
  <c r="AQ11" i="99"/>
  <c r="AP11" i="99"/>
  <c r="AO11" i="99"/>
  <c r="AN11" i="99"/>
  <c r="AL11" i="99"/>
  <c r="AM11" i="99"/>
  <c r="AU10" i="99"/>
  <c r="AV11" i="99"/>
  <c r="BA11" i="99"/>
  <c r="BC11" i="99"/>
  <c r="BB11" i="99"/>
  <c r="AY11" i="99"/>
  <c r="AW11" i="99"/>
  <c r="AZ11" i="99"/>
  <c r="AX11" i="99"/>
  <c r="BP10" i="99" l="1"/>
  <c r="BN10" i="99"/>
  <c r="BR10" i="99"/>
  <c r="BO10" i="99"/>
  <c r="BQ10" i="99"/>
  <c r="AJ11" i="99"/>
  <c r="AU11" i="99"/>
  <c r="AK12" i="99"/>
  <c r="AR12" i="99"/>
  <c r="AQ12" i="99"/>
  <c r="AP12" i="99"/>
  <c r="AO12" i="99"/>
  <c r="AM12" i="99"/>
  <c r="AN12" i="99"/>
  <c r="AL12" i="99"/>
  <c r="AV12" i="99"/>
  <c r="AZ12" i="99"/>
  <c r="AY12" i="99"/>
  <c r="BA12" i="99"/>
  <c r="AX12" i="99"/>
  <c r="AW12" i="99"/>
  <c r="BB12" i="99"/>
  <c r="BC12" i="99"/>
  <c r="BP11" i="99" l="1"/>
  <c r="BN11" i="99"/>
  <c r="BR11" i="99"/>
  <c r="BQ11" i="99"/>
  <c r="BO11" i="99"/>
  <c r="AJ12" i="99"/>
  <c r="AU12" i="99"/>
  <c r="AK13" i="99"/>
  <c r="AR13" i="99"/>
  <c r="AN13" i="99"/>
  <c r="AL13" i="99"/>
  <c r="AO13" i="99"/>
  <c r="AM13" i="99"/>
  <c r="AP13" i="99"/>
  <c r="AQ13" i="99"/>
  <c r="AV13" i="99"/>
  <c r="AZ13" i="99"/>
  <c r="AX13" i="99"/>
  <c r="AW13" i="99"/>
  <c r="BB13" i="99"/>
  <c r="BA13" i="99"/>
  <c r="AY13" i="99"/>
  <c r="BC13" i="99"/>
  <c r="BP12" i="99" l="1"/>
  <c r="BN12" i="99"/>
  <c r="BR12" i="99"/>
  <c r="BQ12" i="99"/>
  <c r="BO12" i="99"/>
  <c r="AJ13" i="99"/>
  <c r="AK14" i="99"/>
  <c r="AR14" i="99"/>
  <c r="AL14" i="99"/>
  <c r="AQ14" i="99"/>
  <c r="AM14" i="99"/>
  <c r="AN14" i="99"/>
  <c r="AP14" i="99"/>
  <c r="AO14" i="99"/>
  <c r="AU13" i="99"/>
  <c r="BB14" i="99"/>
  <c r="AV14" i="99"/>
  <c r="AX14" i="99"/>
  <c r="BC14" i="99"/>
  <c r="AZ14" i="99"/>
  <c r="AW14" i="99"/>
  <c r="BA14" i="99"/>
  <c r="AY14" i="99"/>
  <c r="BN13" i="99" l="1"/>
  <c r="BP13" i="99"/>
  <c r="BR13" i="99"/>
  <c r="BQ13" i="99"/>
  <c r="BO13" i="99"/>
  <c r="AJ14" i="99"/>
  <c r="AU14" i="99"/>
  <c r="AK15" i="99"/>
  <c r="AR15" i="99"/>
  <c r="AP15" i="99"/>
  <c r="AQ15" i="99"/>
  <c r="AO15" i="99"/>
  <c r="AL15" i="99"/>
  <c r="AN15" i="99"/>
  <c r="AM15" i="99"/>
  <c r="AV15" i="99"/>
  <c r="BA15" i="99"/>
  <c r="AW15" i="99"/>
  <c r="AZ15" i="99"/>
  <c r="BC15" i="99"/>
  <c r="AY15" i="99"/>
  <c r="AX15" i="99"/>
  <c r="BB15" i="99"/>
  <c r="BP14" i="99" l="1"/>
  <c r="BN14" i="99"/>
  <c r="BR14" i="99"/>
  <c r="BQ14" i="99"/>
  <c r="BO14" i="99"/>
  <c r="AJ15" i="99"/>
  <c r="AU15" i="99"/>
  <c r="AK16" i="99"/>
  <c r="AR16" i="99"/>
  <c r="AM16" i="99"/>
  <c r="AQ16" i="99"/>
  <c r="AP16" i="99"/>
  <c r="AO16" i="99"/>
  <c r="AN16" i="99"/>
  <c r="AL16" i="99"/>
  <c r="AV16" i="99"/>
  <c r="AZ16" i="99"/>
  <c r="AY16" i="99"/>
  <c r="BB16" i="99"/>
  <c r="BC16" i="99"/>
  <c r="AX16" i="99"/>
  <c r="AW16" i="99"/>
  <c r="BA16" i="99"/>
  <c r="BP15" i="99" l="1"/>
  <c r="BN15" i="99"/>
  <c r="BR15" i="99"/>
  <c r="BQ15" i="99"/>
  <c r="BO15" i="99"/>
  <c r="AJ16" i="99"/>
  <c r="AU16" i="99"/>
  <c r="AK17" i="99"/>
  <c r="AR17" i="99"/>
  <c r="AO17" i="99"/>
  <c r="AN17" i="99"/>
  <c r="AL17" i="99"/>
  <c r="AM17" i="99"/>
  <c r="AP17" i="99"/>
  <c r="AQ17" i="99"/>
  <c r="AV17" i="99"/>
  <c r="AZ17" i="99"/>
  <c r="AX17" i="99"/>
  <c r="AW17" i="99"/>
  <c r="BB17" i="99"/>
  <c r="BA17" i="99"/>
  <c r="AY17" i="99"/>
  <c r="BC17" i="99"/>
  <c r="BP16" i="99" l="1"/>
  <c r="BN16" i="99"/>
  <c r="BR16" i="99"/>
  <c r="BQ16" i="99"/>
  <c r="BO16" i="99"/>
  <c r="AJ17" i="99"/>
  <c r="AU17" i="99"/>
  <c r="BP17" i="99" l="1"/>
  <c r="BN17" i="99"/>
  <c r="BR17" i="99"/>
  <c r="BQ17" i="99"/>
  <c r="BO17" i="99"/>
  <c r="K253" i="99" l="1"/>
  <c r="I253" i="99"/>
  <c r="D253" i="99"/>
  <c r="E253" i="99"/>
  <c r="F253" i="99"/>
  <c r="G253" i="99"/>
  <c r="J253" i="99"/>
  <c r="H253" i="99"/>
  <c r="I21" i="99"/>
  <c r="J21" i="99"/>
  <c r="K21" i="99"/>
  <c r="D21" i="99"/>
  <c r="E21" i="99"/>
  <c r="F21" i="99"/>
  <c r="G21" i="99"/>
  <c r="H21" i="99"/>
  <c r="J53" i="99"/>
  <c r="D53" i="99"/>
  <c r="E53" i="99"/>
  <c r="F53" i="99"/>
  <c r="G53" i="99"/>
  <c r="H53" i="99"/>
  <c r="I53" i="99"/>
  <c r="K53" i="99"/>
  <c r="I101" i="99"/>
  <c r="J101" i="99"/>
  <c r="D101" i="99"/>
  <c r="E101" i="99"/>
  <c r="K101" i="99"/>
  <c r="F101" i="99"/>
  <c r="G101" i="99"/>
  <c r="H101" i="99"/>
  <c r="J133" i="99"/>
  <c r="E133" i="99"/>
  <c r="G133" i="99"/>
  <c r="I133" i="99"/>
  <c r="D133" i="99"/>
  <c r="F133" i="99"/>
  <c r="H133" i="99"/>
  <c r="K133" i="99"/>
  <c r="H173" i="99"/>
  <c r="J173" i="99"/>
  <c r="G173" i="99"/>
  <c r="I173" i="99"/>
  <c r="D173" i="99"/>
  <c r="E173" i="99"/>
  <c r="F173" i="99"/>
  <c r="K173" i="99"/>
  <c r="E205" i="99"/>
  <c r="I205" i="99"/>
  <c r="F205" i="99"/>
  <c r="D205" i="99"/>
  <c r="H205" i="99"/>
  <c r="G205" i="99"/>
  <c r="K205" i="99"/>
  <c r="J205" i="99"/>
  <c r="D245" i="99"/>
  <c r="J245" i="99"/>
  <c r="K245" i="99"/>
  <c r="I245" i="99"/>
  <c r="F245" i="99"/>
  <c r="G245" i="99"/>
  <c r="E245" i="99"/>
  <c r="H245" i="99"/>
  <c r="H22" i="99"/>
  <c r="I22" i="99"/>
  <c r="J22" i="99"/>
  <c r="K22" i="99"/>
  <c r="D22" i="99"/>
  <c r="E22" i="99"/>
  <c r="F22" i="99"/>
  <c r="G22" i="99"/>
  <c r="J118" i="99"/>
  <c r="K118" i="99"/>
  <c r="F118" i="99"/>
  <c r="G118" i="99"/>
  <c r="H118" i="99"/>
  <c r="I118" i="99"/>
  <c r="D118" i="99"/>
  <c r="E118" i="99"/>
  <c r="G7" i="99"/>
  <c r="J7" i="99"/>
  <c r="H7" i="99"/>
  <c r="I7" i="99"/>
  <c r="D7" i="99"/>
  <c r="E7" i="99"/>
  <c r="K7" i="99"/>
  <c r="F7" i="99"/>
  <c r="D15" i="99"/>
  <c r="E15" i="99"/>
  <c r="G15" i="99"/>
  <c r="I15" i="99"/>
  <c r="F15" i="99"/>
  <c r="J15" i="99"/>
  <c r="K15" i="99"/>
  <c r="H15" i="99"/>
  <c r="H23" i="99"/>
  <c r="I23" i="99"/>
  <c r="J23" i="99"/>
  <c r="D23" i="99"/>
  <c r="E23" i="99"/>
  <c r="F23" i="99"/>
  <c r="G23" i="99"/>
  <c r="K23" i="99"/>
  <c r="F31" i="99"/>
  <c r="H31" i="99"/>
  <c r="G31" i="99"/>
  <c r="I31" i="99"/>
  <c r="J31" i="99"/>
  <c r="D31" i="99"/>
  <c r="E31" i="99"/>
  <c r="K31" i="99"/>
  <c r="G39" i="99"/>
  <c r="H39" i="99"/>
  <c r="I39" i="99"/>
  <c r="F39" i="99"/>
  <c r="J39" i="99"/>
  <c r="D39" i="99"/>
  <c r="E39" i="99"/>
  <c r="K39" i="99"/>
  <c r="E47" i="99"/>
  <c r="I47" i="99"/>
  <c r="J47" i="99"/>
  <c r="D47" i="99"/>
  <c r="F47" i="99"/>
  <c r="G47" i="99"/>
  <c r="K47" i="99"/>
  <c r="H47" i="99"/>
  <c r="K55" i="99"/>
  <c r="E55" i="99"/>
  <c r="F55" i="99"/>
  <c r="H55" i="99"/>
  <c r="D55" i="99"/>
  <c r="I55" i="99"/>
  <c r="J55" i="99"/>
  <c r="G55" i="99"/>
  <c r="F63" i="99"/>
  <c r="H63" i="99"/>
  <c r="K63" i="99"/>
  <c r="I63" i="99"/>
  <c r="J63" i="99"/>
  <c r="D63" i="99"/>
  <c r="E63" i="99"/>
  <c r="G63" i="99"/>
  <c r="E71" i="99"/>
  <c r="F71" i="99"/>
  <c r="G71" i="99"/>
  <c r="H71" i="99"/>
  <c r="I71" i="99"/>
  <c r="J71" i="99"/>
  <c r="D71" i="99"/>
  <c r="K71" i="99"/>
  <c r="J79" i="99"/>
  <c r="D79" i="99"/>
  <c r="E79" i="99"/>
  <c r="F79" i="99"/>
  <c r="G79" i="99"/>
  <c r="H79" i="99"/>
  <c r="I79" i="99"/>
  <c r="K79" i="99"/>
  <c r="G87" i="99"/>
  <c r="H87" i="99"/>
  <c r="I87" i="99"/>
  <c r="J87" i="99"/>
  <c r="D87" i="99"/>
  <c r="E87" i="99"/>
  <c r="F87" i="99"/>
  <c r="K87" i="99"/>
  <c r="J95" i="99"/>
  <c r="D95" i="99"/>
  <c r="E95" i="99"/>
  <c r="F95" i="99"/>
  <c r="G95" i="99"/>
  <c r="H95" i="99"/>
  <c r="I95" i="99"/>
  <c r="K95" i="99"/>
  <c r="H103" i="99"/>
  <c r="I103" i="99"/>
  <c r="J103" i="99"/>
  <c r="D103" i="99"/>
  <c r="E103" i="99"/>
  <c r="F103" i="99"/>
  <c r="G103" i="99"/>
  <c r="K103" i="99"/>
  <c r="J111" i="99"/>
  <c r="D111" i="99"/>
  <c r="E111" i="99"/>
  <c r="F111" i="99"/>
  <c r="G111" i="99"/>
  <c r="H111" i="99"/>
  <c r="I111" i="99"/>
  <c r="K111" i="99"/>
  <c r="K119" i="99"/>
  <c r="G119" i="99"/>
  <c r="H119" i="99"/>
  <c r="I119" i="99"/>
  <c r="D119" i="99"/>
  <c r="E119" i="99"/>
  <c r="F119" i="99"/>
  <c r="J119" i="99"/>
  <c r="I127" i="99"/>
  <c r="E127" i="99"/>
  <c r="F127" i="99"/>
  <c r="G127" i="99"/>
  <c r="H127" i="99"/>
  <c r="J127" i="99"/>
  <c r="K127" i="99"/>
  <c r="D127" i="99"/>
  <c r="E135" i="99"/>
  <c r="G135" i="99"/>
  <c r="I135" i="99"/>
  <c r="D135" i="99"/>
  <c r="F135" i="99"/>
  <c r="H135" i="99"/>
  <c r="J135" i="99"/>
  <c r="K135" i="99"/>
  <c r="H143" i="99"/>
  <c r="I143" i="99"/>
  <c r="J143" i="99"/>
  <c r="D143" i="99"/>
  <c r="E143" i="99"/>
  <c r="F143" i="99"/>
  <c r="G143" i="99"/>
  <c r="K143" i="99"/>
  <c r="H151" i="99"/>
  <c r="I151" i="99"/>
  <c r="J151" i="99"/>
  <c r="D151" i="99"/>
  <c r="E151" i="99"/>
  <c r="F151" i="99"/>
  <c r="G151" i="99"/>
  <c r="K151" i="99"/>
  <c r="I159" i="99"/>
  <c r="J159" i="99"/>
  <c r="D159" i="99"/>
  <c r="E159" i="99"/>
  <c r="F159" i="99"/>
  <c r="G159" i="99"/>
  <c r="H159" i="99"/>
  <c r="K159" i="99"/>
  <c r="H167" i="99"/>
  <c r="I167" i="99"/>
  <c r="J167" i="99"/>
  <c r="D167" i="99"/>
  <c r="E167" i="99"/>
  <c r="G167" i="99"/>
  <c r="F167" i="99"/>
  <c r="K167" i="99"/>
  <c r="J175" i="99"/>
  <c r="D175" i="99"/>
  <c r="E175" i="99"/>
  <c r="G175" i="99"/>
  <c r="F175" i="99"/>
  <c r="H175" i="99"/>
  <c r="I175" i="99"/>
  <c r="K175" i="99"/>
  <c r="D183" i="99"/>
  <c r="G183" i="99"/>
  <c r="K183" i="99"/>
  <c r="F183" i="99"/>
  <c r="E183" i="99"/>
  <c r="H183" i="99"/>
  <c r="I183" i="99"/>
  <c r="J183" i="99"/>
  <c r="D191" i="99"/>
  <c r="J191" i="99"/>
  <c r="F191" i="99"/>
  <c r="E191" i="99"/>
  <c r="H191" i="99"/>
  <c r="K191" i="99"/>
  <c r="G191" i="99"/>
  <c r="I191" i="99"/>
  <c r="E199" i="99"/>
  <c r="D199" i="99"/>
  <c r="I199" i="99"/>
  <c r="H199" i="99"/>
  <c r="G199" i="99"/>
  <c r="F199" i="99"/>
  <c r="K199" i="99"/>
  <c r="J199" i="99"/>
  <c r="F207" i="99"/>
  <c r="D207" i="99"/>
  <c r="E207" i="99"/>
  <c r="J207" i="99"/>
  <c r="H207" i="99"/>
  <c r="K207" i="99"/>
  <c r="G207" i="99"/>
  <c r="I207" i="99"/>
  <c r="G215" i="99"/>
  <c r="E215" i="99"/>
  <c r="J215" i="99"/>
  <c r="D215" i="99"/>
  <c r="K215" i="99"/>
  <c r="I215" i="99"/>
  <c r="F215" i="99"/>
  <c r="H215" i="99"/>
  <c r="I223" i="99"/>
  <c r="F223" i="99"/>
  <c r="J223" i="99"/>
  <c r="D223" i="99"/>
  <c r="E223" i="99"/>
  <c r="K223" i="99"/>
  <c r="G223" i="99"/>
  <c r="H223" i="99"/>
  <c r="D231" i="99"/>
  <c r="J231" i="99"/>
  <c r="E231" i="99"/>
  <c r="I231" i="99"/>
  <c r="F231" i="99"/>
  <c r="G231" i="99"/>
  <c r="K231" i="99"/>
  <c r="H231" i="99"/>
  <c r="I239" i="99"/>
  <c r="J239" i="99"/>
  <c r="D239" i="99"/>
  <c r="E239" i="99"/>
  <c r="K239" i="99"/>
  <c r="F239" i="99"/>
  <c r="G239" i="99"/>
  <c r="H239" i="99"/>
  <c r="I247" i="99"/>
  <c r="J247" i="99"/>
  <c r="K247" i="99"/>
  <c r="D247" i="99"/>
  <c r="E247" i="99"/>
  <c r="F247" i="99"/>
  <c r="G247" i="99"/>
  <c r="H247" i="99"/>
  <c r="D69" i="99"/>
  <c r="E69" i="99"/>
  <c r="F69" i="99"/>
  <c r="G69" i="99"/>
  <c r="H69" i="99"/>
  <c r="I69" i="99"/>
  <c r="J69" i="99"/>
  <c r="K69" i="99"/>
  <c r="J213" i="99"/>
  <c r="H213" i="99"/>
  <c r="D213" i="99"/>
  <c r="K213" i="99"/>
  <c r="F213" i="99"/>
  <c r="E213" i="99"/>
  <c r="G213" i="99"/>
  <c r="I213" i="99"/>
  <c r="I8" i="99"/>
  <c r="D8" i="99"/>
  <c r="J8" i="99"/>
  <c r="G8" i="99"/>
  <c r="E8" i="99"/>
  <c r="F8" i="99"/>
  <c r="K8" i="99"/>
  <c r="H8" i="99"/>
  <c r="I16" i="99"/>
  <c r="E16" i="99"/>
  <c r="G16" i="99"/>
  <c r="H16" i="99"/>
  <c r="D16" i="99"/>
  <c r="K16" i="99"/>
  <c r="F16" i="99"/>
  <c r="J16" i="99"/>
  <c r="F24" i="99"/>
  <c r="G24" i="99"/>
  <c r="H24" i="99"/>
  <c r="I24" i="99"/>
  <c r="J24" i="99"/>
  <c r="D24" i="99"/>
  <c r="E24" i="99"/>
  <c r="K24" i="99"/>
  <c r="I32" i="99"/>
  <c r="J32" i="99"/>
  <c r="D32" i="99"/>
  <c r="H32" i="99"/>
  <c r="K32" i="99"/>
  <c r="E32" i="99"/>
  <c r="G32" i="99"/>
  <c r="F32" i="99"/>
  <c r="J40" i="99"/>
  <c r="G40" i="99"/>
  <c r="D40" i="99"/>
  <c r="F40" i="99"/>
  <c r="E40" i="99"/>
  <c r="H40" i="99"/>
  <c r="I40" i="99"/>
  <c r="K40" i="99"/>
  <c r="G48" i="99"/>
  <c r="H48" i="99"/>
  <c r="I48" i="99"/>
  <c r="J48" i="99"/>
  <c r="E48" i="99"/>
  <c r="D48" i="99"/>
  <c r="K48" i="99"/>
  <c r="F48" i="99"/>
  <c r="J56" i="99"/>
  <c r="D56" i="99"/>
  <c r="E56" i="99"/>
  <c r="G56" i="99"/>
  <c r="I56" i="99"/>
  <c r="H56" i="99"/>
  <c r="F56" i="99"/>
  <c r="K56" i="99"/>
  <c r="E64" i="99"/>
  <c r="F64" i="99"/>
  <c r="G64" i="99"/>
  <c r="H64" i="99"/>
  <c r="I64" i="99"/>
  <c r="J64" i="99"/>
  <c r="D64" i="99"/>
  <c r="K64" i="99"/>
  <c r="J72" i="99"/>
  <c r="D72" i="99"/>
  <c r="E72" i="99"/>
  <c r="F72" i="99"/>
  <c r="G72" i="99"/>
  <c r="H72" i="99"/>
  <c r="I72" i="99"/>
  <c r="K72" i="99"/>
  <c r="E80" i="99"/>
  <c r="F80" i="99"/>
  <c r="G80" i="99"/>
  <c r="H80" i="99"/>
  <c r="I80" i="99"/>
  <c r="J80" i="99"/>
  <c r="D80" i="99"/>
  <c r="K80" i="99"/>
  <c r="E88" i="99"/>
  <c r="F88" i="99"/>
  <c r="G88" i="99"/>
  <c r="H88" i="99"/>
  <c r="I88" i="99"/>
  <c r="J88" i="99"/>
  <c r="D88" i="99"/>
  <c r="K88" i="99"/>
  <c r="G96" i="99"/>
  <c r="H96" i="99"/>
  <c r="K96" i="99"/>
  <c r="I96" i="99"/>
  <c r="J96" i="99"/>
  <c r="D96" i="99"/>
  <c r="E96" i="99"/>
  <c r="F96" i="99"/>
  <c r="H104" i="99"/>
  <c r="I104" i="99"/>
  <c r="K104" i="99"/>
  <c r="J104" i="99"/>
  <c r="D104" i="99"/>
  <c r="E104" i="99"/>
  <c r="F104" i="99"/>
  <c r="G104" i="99"/>
  <c r="H112" i="99"/>
  <c r="I112" i="99"/>
  <c r="J112" i="99"/>
  <c r="D112" i="99"/>
  <c r="E112" i="99"/>
  <c r="F112" i="99"/>
  <c r="G112" i="99"/>
  <c r="K112" i="99"/>
  <c r="F120" i="99"/>
  <c r="G120" i="99"/>
  <c r="J120" i="99"/>
  <c r="H120" i="99"/>
  <c r="I120" i="99"/>
  <c r="D120" i="99"/>
  <c r="E120" i="99"/>
  <c r="K120" i="99"/>
  <c r="F128" i="99"/>
  <c r="I128" i="99"/>
  <c r="G128" i="99"/>
  <c r="H128" i="99"/>
  <c r="J128" i="99"/>
  <c r="D128" i="99"/>
  <c r="K128" i="99"/>
  <c r="E128" i="99"/>
  <c r="G136" i="99"/>
  <c r="I136" i="99"/>
  <c r="K136" i="99"/>
  <c r="E136" i="99"/>
  <c r="D136" i="99"/>
  <c r="F136" i="99"/>
  <c r="H136" i="99"/>
  <c r="J136" i="99"/>
  <c r="F144" i="99"/>
  <c r="G144" i="99"/>
  <c r="H144" i="99"/>
  <c r="I144" i="99"/>
  <c r="K144" i="99"/>
  <c r="J144" i="99"/>
  <c r="D144" i="99"/>
  <c r="E144" i="99"/>
  <c r="F152" i="99"/>
  <c r="G152" i="99"/>
  <c r="H152" i="99"/>
  <c r="I152" i="99"/>
  <c r="J152" i="99"/>
  <c r="K152" i="99"/>
  <c r="D152" i="99"/>
  <c r="E152" i="99"/>
  <c r="H160" i="99"/>
  <c r="I160" i="99"/>
  <c r="J160" i="99"/>
  <c r="D160" i="99"/>
  <c r="E160" i="99"/>
  <c r="F160" i="99"/>
  <c r="G160" i="99"/>
  <c r="K160" i="99"/>
  <c r="J168" i="99"/>
  <c r="D168" i="99"/>
  <c r="E168" i="99"/>
  <c r="F168" i="99"/>
  <c r="G168" i="99"/>
  <c r="H168" i="99"/>
  <c r="I168" i="99"/>
  <c r="K168" i="99"/>
  <c r="E176" i="99"/>
  <c r="G176" i="99"/>
  <c r="J176" i="99"/>
  <c r="F176" i="99"/>
  <c r="I176" i="99"/>
  <c r="H176" i="99"/>
  <c r="D176" i="99"/>
  <c r="K176" i="99"/>
  <c r="I184" i="99"/>
  <c r="E184" i="99"/>
  <c r="D184" i="99"/>
  <c r="K184" i="99"/>
  <c r="F184" i="99"/>
  <c r="J184" i="99"/>
  <c r="G184" i="99"/>
  <c r="H184" i="99"/>
  <c r="H192" i="99"/>
  <c r="F192" i="99"/>
  <c r="J192" i="99"/>
  <c r="E192" i="99"/>
  <c r="G192" i="99"/>
  <c r="I192" i="99"/>
  <c r="K192" i="99"/>
  <c r="D192" i="99"/>
  <c r="G200" i="99"/>
  <c r="I200" i="99"/>
  <c r="F200" i="99"/>
  <c r="K200" i="99"/>
  <c r="D200" i="99"/>
  <c r="H200" i="99"/>
  <c r="E200" i="99"/>
  <c r="J200" i="99"/>
  <c r="F208" i="99"/>
  <c r="H208" i="99"/>
  <c r="K208" i="99"/>
  <c r="J208" i="99"/>
  <c r="G208" i="99"/>
  <c r="D208" i="99"/>
  <c r="E208" i="99"/>
  <c r="I208" i="99"/>
  <c r="E216" i="99"/>
  <c r="I216" i="99"/>
  <c r="G216" i="99"/>
  <c r="J216" i="99"/>
  <c r="K216" i="99"/>
  <c r="F216" i="99"/>
  <c r="D216" i="99"/>
  <c r="H216" i="99"/>
  <c r="D224" i="99"/>
  <c r="F224" i="99"/>
  <c r="J224" i="99"/>
  <c r="K224" i="99"/>
  <c r="I224" i="99"/>
  <c r="E224" i="99"/>
  <c r="G224" i="99"/>
  <c r="H224" i="99"/>
  <c r="J232" i="99"/>
  <c r="D232" i="99"/>
  <c r="E232" i="99"/>
  <c r="F232" i="99"/>
  <c r="I232" i="99"/>
  <c r="G232" i="99"/>
  <c r="K232" i="99"/>
  <c r="H232" i="99"/>
  <c r="E240" i="99"/>
  <c r="F240" i="99"/>
  <c r="G240" i="99"/>
  <c r="H240" i="99"/>
  <c r="I240" i="99"/>
  <c r="K240" i="99"/>
  <c r="J240" i="99"/>
  <c r="D240" i="99"/>
  <c r="D248" i="99"/>
  <c r="E248" i="99"/>
  <c r="F248" i="99"/>
  <c r="G248" i="99"/>
  <c r="H248" i="99"/>
  <c r="I248" i="99"/>
  <c r="J248" i="99"/>
  <c r="K248" i="99"/>
  <c r="D61" i="99"/>
  <c r="F61" i="99"/>
  <c r="H61" i="99"/>
  <c r="G61" i="99"/>
  <c r="I61" i="99"/>
  <c r="J61" i="99"/>
  <c r="E61" i="99"/>
  <c r="K61" i="99"/>
  <c r="H9" i="99"/>
  <c r="G9" i="99"/>
  <c r="D9" i="99"/>
  <c r="I9" i="99"/>
  <c r="J9" i="99"/>
  <c r="E9" i="99"/>
  <c r="K9" i="99"/>
  <c r="F9" i="99"/>
  <c r="D17" i="99"/>
  <c r="H17" i="99"/>
  <c r="J17" i="99"/>
  <c r="I17" i="99"/>
  <c r="E17" i="99"/>
  <c r="K17" i="99"/>
  <c r="G17" i="99"/>
  <c r="F17" i="99"/>
  <c r="J25" i="99"/>
  <c r="D25" i="99"/>
  <c r="E25" i="99"/>
  <c r="F25" i="99"/>
  <c r="G25" i="99"/>
  <c r="K25" i="99"/>
  <c r="H25" i="99"/>
  <c r="I25" i="99"/>
  <c r="F33" i="99"/>
  <c r="I33" i="99"/>
  <c r="J33" i="99"/>
  <c r="D33" i="99"/>
  <c r="E33" i="99"/>
  <c r="G33" i="99"/>
  <c r="H33" i="99"/>
  <c r="K33" i="99"/>
  <c r="J41" i="99"/>
  <c r="D41" i="99"/>
  <c r="F41" i="99"/>
  <c r="H41" i="99"/>
  <c r="G41" i="99"/>
  <c r="E41" i="99"/>
  <c r="I41" i="99"/>
  <c r="K41" i="99"/>
  <c r="G49" i="99"/>
  <c r="J49" i="99"/>
  <c r="E49" i="99"/>
  <c r="F49" i="99"/>
  <c r="I49" i="99"/>
  <c r="D49" i="99"/>
  <c r="H49" i="99"/>
  <c r="K49" i="99"/>
  <c r="J57" i="99"/>
  <c r="G57" i="99"/>
  <c r="I57" i="99"/>
  <c r="K57" i="99"/>
  <c r="D57" i="99"/>
  <c r="E57" i="99"/>
  <c r="F57" i="99"/>
  <c r="H57" i="99"/>
  <c r="E65" i="99"/>
  <c r="K65" i="99"/>
  <c r="F65" i="99"/>
  <c r="G65" i="99"/>
  <c r="H65" i="99"/>
  <c r="I65" i="99"/>
  <c r="J65" i="99"/>
  <c r="D65" i="99"/>
  <c r="I73" i="99"/>
  <c r="J73" i="99"/>
  <c r="D73" i="99"/>
  <c r="E73" i="99"/>
  <c r="F73" i="99"/>
  <c r="G73" i="99"/>
  <c r="H73" i="99"/>
  <c r="K73" i="99"/>
  <c r="D81" i="99"/>
  <c r="E81" i="99"/>
  <c r="F81" i="99"/>
  <c r="G81" i="99"/>
  <c r="H81" i="99"/>
  <c r="I81" i="99"/>
  <c r="J81" i="99"/>
  <c r="K81" i="99"/>
  <c r="G89" i="99"/>
  <c r="H89" i="99"/>
  <c r="I89" i="99"/>
  <c r="J89" i="99"/>
  <c r="D89" i="99"/>
  <c r="K89" i="99"/>
  <c r="E89" i="99"/>
  <c r="F89" i="99"/>
  <c r="K97" i="99"/>
  <c r="I97" i="99"/>
  <c r="J97" i="99"/>
  <c r="D97" i="99"/>
  <c r="E97" i="99"/>
  <c r="F97" i="99"/>
  <c r="G97" i="99"/>
  <c r="H97" i="99"/>
  <c r="J105" i="99"/>
  <c r="D105" i="99"/>
  <c r="E105" i="99"/>
  <c r="F105" i="99"/>
  <c r="G105" i="99"/>
  <c r="H105" i="99"/>
  <c r="I105" i="99"/>
  <c r="K105" i="99"/>
  <c r="G113" i="99"/>
  <c r="H113" i="99"/>
  <c r="I113" i="99"/>
  <c r="J113" i="99"/>
  <c r="D113" i="99"/>
  <c r="E113" i="99"/>
  <c r="F113" i="99"/>
  <c r="K113" i="99"/>
  <c r="E121" i="99"/>
  <c r="F121" i="99"/>
  <c r="G121" i="99"/>
  <c r="H121" i="99"/>
  <c r="I121" i="99"/>
  <c r="J121" i="99"/>
  <c r="D121" i="99"/>
  <c r="K121" i="99"/>
  <c r="E129" i="99"/>
  <c r="F129" i="99"/>
  <c r="G129" i="99"/>
  <c r="H129" i="99"/>
  <c r="I129" i="99"/>
  <c r="J129" i="99"/>
  <c r="D129" i="99"/>
  <c r="K129" i="99"/>
  <c r="I137" i="99"/>
  <c r="D137" i="99"/>
  <c r="F137" i="99"/>
  <c r="H137" i="99"/>
  <c r="K137" i="99"/>
  <c r="J137" i="99"/>
  <c r="E137" i="99"/>
  <c r="G137" i="99"/>
  <c r="G145" i="99"/>
  <c r="H145" i="99"/>
  <c r="I145" i="99"/>
  <c r="J145" i="99"/>
  <c r="D145" i="99"/>
  <c r="E145" i="99"/>
  <c r="F145" i="99"/>
  <c r="K145" i="99"/>
  <c r="I153" i="99"/>
  <c r="J153" i="99"/>
  <c r="D153" i="99"/>
  <c r="E153" i="99"/>
  <c r="F153" i="99"/>
  <c r="G153" i="99"/>
  <c r="H153" i="99"/>
  <c r="K153" i="99"/>
  <c r="J161" i="99"/>
  <c r="D161" i="99"/>
  <c r="E161" i="99"/>
  <c r="F161" i="99"/>
  <c r="G161" i="99"/>
  <c r="H161" i="99"/>
  <c r="I161" i="99"/>
  <c r="K161" i="99"/>
  <c r="E169" i="99"/>
  <c r="F169" i="99"/>
  <c r="G169" i="99"/>
  <c r="H169" i="99"/>
  <c r="I169" i="99"/>
  <c r="J169" i="99"/>
  <c r="D169" i="99"/>
  <c r="K169" i="99"/>
  <c r="G177" i="99"/>
  <c r="I177" i="99"/>
  <c r="J177" i="99"/>
  <c r="H177" i="99"/>
  <c r="K177" i="99"/>
  <c r="D177" i="99"/>
  <c r="F177" i="99"/>
  <c r="E177" i="99"/>
  <c r="I185" i="99"/>
  <c r="E185" i="99"/>
  <c r="D185" i="99"/>
  <c r="F185" i="99"/>
  <c r="K185" i="99"/>
  <c r="J185" i="99"/>
  <c r="G185" i="99"/>
  <c r="H185" i="99"/>
  <c r="H193" i="99"/>
  <c r="J193" i="99"/>
  <c r="E193" i="99"/>
  <c r="I193" i="99"/>
  <c r="G193" i="99"/>
  <c r="K193" i="99"/>
  <c r="F193" i="99"/>
  <c r="D193" i="99"/>
  <c r="E201" i="99"/>
  <c r="D201" i="99"/>
  <c r="G201" i="99"/>
  <c r="H201" i="99"/>
  <c r="I201" i="99"/>
  <c r="K201" i="99"/>
  <c r="J201" i="99"/>
  <c r="F201" i="99"/>
  <c r="J209" i="99"/>
  <c r="H209" i="99"/>
  <c r="F209" i="99"/>
  <c r="I209" i="99"/>
  <c r="D209" i="99"/>
  <c r="G209" i="99"/>
  <c r="K209" i="99"/>
  <c r="E209" i="99"/>
  <c r="D217" i="99"/>
  <c r="G217" i="99"/>
  <c r="I217" i="99"/>
  <c r="J217" i="99"/>
  <c r="E217" i="99"/>
  <c r="F217" i="99"/>
  <c r="H217" i="99"/>
  <c r="K217" i="99"/>
  <c r="D225" i="99"/>
  <c r="F225" i="99"/>
  <c r="I225" i="99"/>
  <c r="J225" i="99"/>
  <c r="G225" i="99"/>
  <c r="E225" i="99"/>
  <c r="K225" i="99"/>
  <c r="H225" i="99"/>
  <c r="J233" i="99"/>
  <c r="E233" i="99"/>
  <c r="I233" i="99"/>
  <c r="D233" i="99"/>
  <c r="F233" i="99"/>
  <c r="G233" i="99"/>
  <c r="K233" i="99"/>
  <c r="H233" i="99"/>
  <c r="E241" i="99"/>
  <c r="F241" i="99"/>
  <c r="G241" i="99"/>
  <c r="I241" i="99"/>
  <c r="K241" i="99"/>
  <c r="J241" i="99"/>
  <c r="H241" i="99"/>
  <c r="D241" i="99"/>
  <c r="G249" i="99"/>
  <c r="H249" i="99"/>
  <c r="I249" i="99"/>
  <c r="J249" i="99"/>
  <c r="D249" i="99"/>
  <c r="E249" i="99"/>
  <c r="K249" i="99"/>
  <c r="F249" i="99"/>
  <c r="D13" i="99"/>
  <c r="G13" i="99"/>
  <c r="H13" i="99"/>
  <c r="I13" i="99"/>
  <c r="K13" i="99"/>
  <c r="E13" i="99"/>
  <c r="J13" i="99"/>
  <c r="F13" i="99"/>
  <c r="F37" i="99"/>
  <c r="K37" i="99"/>
  <c r="E37" i="99"/>
  <c r="G37" i="99"/>
  <c r="H37" i="99"/>
  <c r="I37" i="99"/>
  <c r="J37" i="99"/>
  <c r="D37" i="99"/>
  <c r="H77" i="99"/>
  <c r="K77" i="99"/>
  <c r="I77" i="99"/>
  <c r="J77" i="99"/>
  <c r="D77" i="99"/>
  <c r="E77" i="99"/>
  <c r="F77" i="99"/>
  <c r="G77" i="99"/>
  <c r="J109" i="99"/>
  <c r="E109" i="99"/>
  <c r="D109" i="99"/>
  <c r="F109" i="99"/>
  <c r="G109" i="99"/>
  <c r="H109" i="99"/>
  <c r="I109" i="99"/>
  <c r="K109" i="99"/>
  <c r="D141" i="99"/>
  <c r="E141" i="99"/>
  <c r="F141" i="99"/>
  <c r="G141" i="99"/>
  <c r="H141" i="99"/>
  <c r="I141" i="99"/>
  <c r="J141" i="99"/>
  <c r="K141" i="99"/>
  <c r="E157" i="99"/>
  <c r="F157" i="99"/>
  <c r="G157" i="99"/>
  <c r="H157" i="99"/>
  <c r="I157" i="99"/>
  <c r="J157" i="99"/>
  <c r="D157" i="99"/>
  <c r="K157" i="99"/>
  <c r="G189" i="99"/>
  <c r="I189" i="99"/>
  <c r="H189" i="99"/>
  <c r="J189" i="99"/>
  <c r="K189" i="99"/>
  <c r="D189" i="99"/>
  <c r="E189" i="99"/>
  <c r="F189" i="99"/>
  <c r="I221" i="99"/>
  <c r="G221" i="99"/>
  <c r="E221" i="99"/>
  <c r="J221" i="99"/>
  <c r="D221" i="99"/>
  <c r="K221" i="99"/>
  <c r="F221" i="99"/>
  <c r="H221" i="99"/>
  <c r="F14" i="99"/>
  <c r="G14" i="99"/>
  <c r="J14" i="99"/>
  <c r="I14" i="99"/>
  <c r="D14" i="99"/>
  <c r="K14" i="99"/>
  <c r="H14" i="99"/>
  <c r="E14" i="99"/>
  <c r="H30" i="99"/>
  <c r="I30" i="99"/>
  <c r="J30" i="99"/>
  <c r="E30" i="99"/>
  <c r="D30" i="99"/>
  <c r="F30" i="99"/>
  <c r="G30" i="99"/>
  <c r="K30" i="99"/>
  <c r="E38" i="99"/>
  <c r="D38" i="99"/>
  <c r="F38" i="99"/>
  <c r="G38" i="99"/>
  <c r="H38" i="99"/>
  <c r="I38" i="99"/>
  <c r="J38" i="99"/>
  <c r="K38" i="99"/>
  <c r="I46" i="99"/>
  <c r="J46" i="99"/>
  <c r="D46" i="99"/>
  <c r="E46" i="99"/>
  <c r="F46" i="99"/>
  <c r="G46" i="99"/>
  <c r="H46" i="99"/>
  <c r="K46" i="99"/>
  <c r="I54" i="99"/>
  <c r="J54" i="99"/>
  <c r="D54" i="99"/>
  <c r="E54" i="99"/>
  <c r="F54" i="99"/>
  <c r="G54" i="99"/>
  <c r="H54" i="99"/>
  <c r="K54" i="99"/>
  <c r="D62" i="99"/>
  <c r="G62" i="99"/>
  <c r="K62" i="99"/>
  <c r="E62" i="99"/>
  <c r="F62" i="99"/>
  <c r="H62" i="99"/>
  <c r="I62" i="99"/>
  <c r="J62" i="99"/>
  <c r="H70" i="99"/>
  <c r="I70" i="99"/>
  <c r="J70" i="99"/>
  <c r="D70" i="99"/>
  <c r="E70" i="99"/>
  <c r="K70" i="99"/>
  <c r="F70" i="99"/>
  <c r="G70" i="99"/>
  <c r="F86" i="99"/>
  <c r="G86" i="99"/>
  <c r="H86" i="99"/>
  <c r="I86" i="99"/>
  <c r="J86" i="99"/>
  <c r="D86" i="99"/>
  <c r="E86" i="99"/>
  <c r="K86" i="99"/>
  <c r="I94" i="99"/>
  <c r="J94" i="99"/>
  <c r="K94" i="99"/>
  <c r="D94" i="99"/>
  <c r="E94" i="99"/>
  <c r="F94" i="99"/>
  <c r="G94" i="99"/>
  <c r="H94" i="99"/>
  <c r="D102" i="99"/>
  <c r="E102" i="99"/>
  <c r="F102" i="99"/>
  <c r="G102" i="99"/>
  <c r="H102" i="99"/>
  <c r="I102" i="99"/>
  <c r="J102" i="99"/>
  <c r="K102" i="99"/>
  <c r="J110" i="99"/>
  <c r="D110" i="99"/>
  <c r="E110" i="99"/>
  <c r="F110" i="99"/>
  <c r="K110" i="99"/>
  <c r="G110" i="99"/>
  <c r="H110" i="99"/>
  <c r="I110" i="99"/>
  <c r="E126" i="99"/>
  <c r="F126" i="99"/>
  <c r="G126" i="99"/>
  <c r="H126" i="99"/>
  <c r="J126" i="99"/>
  <c r="I126" i="99"/>
  <c r="D126" i="99"/>
  <c r="K126" i="99"/>
  <c r="J134" i="99"/>
  <c r="G134" i="99"/>
  <c r="I134" i="99"/>
  <c r="E134" i="99"/>
  <c r="D134" i="99"/>
  <c r="F134" i="99"/>
  <c r="H134" i="99"/>
  <c r="K134" i="99"/>
  <c r="H142" i="99"/>
  <c r="I142" i="99"/>
  <c r="J142" i="99"/>
  <c r="K142" i="99"/>
  <c r="D142" i="99"/>
  <c r="E142" i="99"/>
  <c r="F142" i="99"/>
  <c r="G142" i="99"/>
  <c r="J150" i="99"/>
  <c r="D150" i="99"/>
  <c r="E150" i="99"/>
  <c r="F150" i="99"/>
  <c r="K150" i="99"/>
  <c r="G150" i="99"/>
  <c r="H150" i="99"/>
  <c r="I150" i="99"/>
  <c r="G158" i="99"/>
  <c r="H158" i="99"/>
  <c r="K158" i="99"/>
  <c r="I158" i="99"/>
  <c r="J158" i="99"/>
  <c r="D158" i="99"/>
  <c r="E158" i="99"/>
  <c r="F158" i="99"/>
  <c r="I166" i="99"/>
  <c r="K166" i="99"/>
  <c r="J166" i="99"/>
  <c r="D166" i="99"/>
  <c r="E166" i="99"/>
  <c r="F166" i="99"/>
  <c r="G166" i="99"/>
  <c r="H166" i="99"/>
  <c r="F174" i="99"/>
  <c r="H174" i="99"/>
  <c r="E174" i="99"/>
  <c r="G174" i="99"/>
  <c r="I174" i="99"/>
  <c r="J174" i="99"/>
  <c r="D174" i="99"/>
  <c r="K174" i="99"/>
  <c r="G182" i="99"/>
  <c r="J182" i="99"/>
  <c r="D182" i="99"/>
  <c r="K182" i="99"/>
  <c r="I182" i="99"/>
  <c r="F182" i="99"/>
  <c r="E182" i="99"/>
  <c r="H182" i="99"/>
  <c r="F190" i="99"/>
  <c r="H190" i="99"/>
  <c r="D190" i="99"/>
  <c r="E190" i="99"/>
  <c r="K190" i="99"/>
  <c r="G190" i="99"/>
  <c r="J190" i="99"/>
  <c r="I190" i="99"/>
  <c r="E198" i="99"/>
  <c r="G198" i="99"/>
  <c r="D198" i="99"/>
  <c r="I198" i="99"/>
  <c r="J198" i="99"/>
  <c r="K198" i="99"/>
  <c r="F198" i="99"/>
  <c r="H198" i="99"/>
  <c r="D206" i="99"/>
  <c r="F206" i="99"/>
  <c r="J206" i="99"/>
  <c r="H206" i="99"/>
  <c r="I206" i="99"/>
  <c r="E206" i="99"/>
  <c r="K206" i="99"/>
  <c r="G206" i="99"/>
  <c r="E214" i="99"/>
  <c r="G214" i="99"/>
  <c r="J214" i="99"/>
  <c r="H214" i="99"/>
  <c r="I214" i="99"/>
  <c r="D214" i="99"/>
  <c r="K214" i="99"/>
  <c r="F214" i="99"/>
  <c r="D222" i="99"/>
  <c r="F222" i="99"/>
  <c r="I222" i="99"/>
  <c r="J222" i="99"/>
  <c r="G222" i="99"/>
  <c r="K222" i="99"/>
  <c r="E222" i="99"/>
  <c r="H222" i="99"/>
  <c r="E230" i="99"/>
  <c r="I230" i="99"/>
  <c r="D230" i="99"/>
  <c r="K230" i="99"/>
  <c r="J230" i="99"/>
  <c r="F230" i="99"/>
  <c r="G230" i="99"/>
  <c r="H230" i="99"/>
  <c r="D238" i="99"/>
  <c r="E238" i="99"/>
  <c r="F238" i="99"/>
  <c r="K238" i="99"/>
  <c r="H238" i="99"/>
  <c r="G238" i="99"/>
  <c r="I238" i="99"/>
  <c r="J238" i="99"/>
  <c r="F246" i="99"/>
  <c r="G246" i="99"/>
  <c r="H246" i="99"/>
  <c r="I246" i="99"/>
  <c r="J246" i="99"/>
  <c r="D246" i="99"/>
  <c r="K246" i="99"/>
  <c r="E246" i="99"/>
  <c r="F10" i="99"/>
  <c r="J10" i="99"/>
  <c r="G10" i="99"/>
  <c r="H10" i="99"/>
  <c r="D10" i="99"/>
  <c r="I10" i="99"/>
  <c r="K10" i="99"/>
  <c r="E10" i="99"/>
  <c r="I18" i="99"/>
  <c r="J18" i="99"/>
  <c r="D18" i="99"/>
  <c r="E18" i="99"/>
  <c r="G18" i="99"/>
  <c r="H18" i="99"/>
  <c r="F18" i="99"/>
  <c r="K18" i="99"/>
  <c r="I26" i="99"/>
  <c r="J26" i="99"/>
  <c r="D26" i="99"/>
  <c r="E26" i="99"/>
  <c r="F26" i="99"/>
  <c r="G26" i="99"/>
  <c r="H26" i="99"/>
  <c r="K26" i="99"/>
  <c r="G34" i="99"/>
  <c r="H34" i="99"/>
  <c r="I34" i="99"/>
  <c r="F34" i="99"/>
  <c r="K34" i="99"/>
  <c r="D34" i="99"/>
  <c r="J34" i="99"/>
  <c r="E34" i="99"/>
  <c r="H42" i="99"/>
  <c r="E42" i="99"/>
  <c r="J42" i="99"/>
  <c r="D42" i="99"/>
  <c r="F42" i="99"/>
  <c r="I42" i="99"/>
  <c r="K42" i="99"/>
  <c r="G42" i="99"/>
  <c r="D50" i="99"/>
  <c r="I50" i="99"/>
  <c r="J50" i="99"/>
  <c r="H50" i="99"/>
  <c r="E50" i="99"/>
  <c r="F50" i="99"/>
  <c r="G50" i="99"/>
  <c r="K50" i="99"/>
  <c r="D58" i="99"/>
  <c r="E58" i="99"/>
  <c r="F58" i="99"/>
  <c r="H58" i="99"/>
  <c r="J58" i="99"/>
  <c r="G58" i="99"/>
  <c r="I58" i="99"/>
  <c r="K58" i="99"/>
  <c r="F66" i="99"/>
  <c r="K66" i="99"/>
  <c r="G66" i="99"/>
  <c r="H66" i="99"/>
  <c r="I66" i="99"/>
  <c r="J66" i="99"/>
  <c r="D66" i="99"/>
  <c r="E66" i="99"/>
  <c r="J74" i="99"/>
  <c r="D74" i="99"/>
  <c r="E74" i="99"/>
  <c r="F74" i="99"/>
  <c r="G74" i="99"/>
  <c r="H74" i="99"/>
  <c r="I74" i="99"/>
  <c r="K74" i="99"/>
  <c r="H82" i="99"/>
  <c r="I82" i="99"/>
  <c r="J82" i="99"/>
  <c r="K82" i="99"/>
  <c r="D82" i="99"/>
  <c r="E82" i="99"/>
  <c r="F82" i="99"/>
  <c r="G82" i="99"/>
  <c r="I90" i="99"/>
  <c r="H90" i="99"/>
  <c r="J90" i="99"/>
  <c r="D90" i="99"/>
  <c r="E90" i="99"/>
  <c r="F90" i="99"/>
  <c r="G90" i="99"/>
  <c r="K90" i="99"/>
  <c r="I98" i="99"/>
  <c r="J98" i="99"/>
  <c r="D98" i="99"/>
  <c r="E98" i="99"/>
  <c r="F98" i="99"/>
  <c r="G98" i="99"/>
  <c r="H98" i="99"/>
  <c r="K98" i="99"/>
  <c r="H106" i="99"/>
  <c r="I106" i="99"/>
  <c r="K106" i="99"/>
  <c r="J106" i="99"/>
  <c r="D106" i="99"/>
  <c r="E106" i="99"/>
  <c r="F106" i="99"/>
  <c r="G106" i="99"/>
  <c r="I114" i="99"/>
  <c r="J114" i="99"/>
  <c r="D114" i="99"/>
  <c r="E114" i="99"/>
  <c r="F114" i="99"/>
  <c r="G114" i="99"/>
  <c r="H114" i="99"/>
  <c r="K114" i="99"/>
  <c r="F122" i="99"/>
  <c r="G122" i="99"/>
  <c r="H122" i="99"/>
  <c r="I122" i="99"/>
  <c r="K122" i="99"/>
  <c r="J122" i="99"/>
  <c r="D122" i="99"/>
  <c r="E122" i="99"/>
  <c r="D130" i="99"/>
  <c r="E130" i="99"/>
  <c r="F130" i="99"/>
  <c r="G130" i="99"/>
  <c r="H130" i="99"/>
  <c r="J130" i="99"/>
  <c r="I130" i="99"/>
  <c r="K130" i="99"/>
  <c r="G138" i="99"/>
  <c r="D138" i="99"/>
  <c r="E138" i="99"/>
  <c r="F138" i="99"/>
  <c r="H138" i="99"/>
  <c r="I138" i="99"/>
  <c r="J138" i="99"/>
  <c r="K138" i="99"/>
  <c r="D146" i="99"/>
  <c r="E146" i="99"/>
  <c r="F146" i="99"/>
  <c r="G146" i="99"/>
  <c r="H146" i="99"/>
  <c r="K146" i="99"/>
  <c r="I146" i="99"/>
  <c r="J146" i="99"/>
  <c r="G154" i="99"/>
  <c r="K154" i="99"/>
  <c r="H154" i="99"/>
  <c r="I154" i="99"/>
  <c r="J154" i="99"/>
  <c r="D154" i="99"/>
  <c r="E154" i="99"/>
  <c r="F154" i="99"/>
  <c r="H162" i="99"/>
  <c r="J162" i="99"/>
  <c r="D162" i="99"/>
  <c r="E162" i="99"/>
  <c r="F162" i="99"/>
  <c r="I162" i="99"/>
  <c r="G162" i="99"/>
  <c r="K162" i="99"/>
  <c r="D170" i="99"/>
  <c r="K170" i="99"/>
  <c r="E170" i="99"/>
  <c r="F170" i="99"/>
  <c r="G170" i="99"/>
  <c r="H170" i="99"/>
  <c r="I170" i="99"/>
  <c r="J170" i="99"/>
  <c r="F178" i="99"/>
  <c r="H178" i="99"/>
  <c r="J178" i="99"/>
  <c r="E178" i="99"/>
  <c r="G178" i="99"/>
  <c r="K178" i="99"/>
  <c r="D178" i="99"/>
  <c r="I178" i="99"/>
  <c r="E186" i="99"/>
  <c r="I186" i="99"/>
  <c r="F186" i="99"/>
  <c r="K186" i="99"/>
  <c r="G186" i="99"/>
  <c r="J186" i="99"/>
  <c r="H186" i="99"/>
  <c r="D186" i="99"/>
  <c r="H194" i="99"/>
  <c r="J194" i="99"/>
  <c r="F194" i="99"/>
  <c r="K194" i="99"/>
  <c r="G194" i="99"/>
  <c r="I194" i="99"/>
  <c r="E194" i="99"/>
  <c r="D194" i="99"/>
  <c r="I202" i="99"/>
  <c r="E202" i="99"/>
  <c r="K202" i="99"/>
  <c r="D202" i="99"/>
  <c r="G202" i="99"/>
  <c r="F202" i="99"/>
  <c r="H202" i="99"/>
  <c r="J202" i="99"/>
  <c r="D210" i="99"/>
  <c r="F210" i="99"/>
  <c r="H210" i="99"/>
  <c r="J210" i="99"/>
  <c r="K210" i="99"/>
  <c r="E210" i="99"/>
  <c r="G210" i="99"/>
  <c r="I210" i="99"/>
  <c r="E218" i="99"/>
  <c r="J218" i="99"/>
  <c r="G218" i="99"/>
  <c r="I218" i="99"/>
  <c r="D218" i="99"/>
  <c r="F218" i="99"/>
  <c r="K218" i="99"/>
  <c r="H218" i="99"/>
  <c r="J226" i="99"/>
  <c r="D226" i="99"/>
  <c r="F226" i="99"/>
  <c r="K226" i="99"/>
  <c r="E226" i="99"/>
  <c r="G226" i="99"/>
  <c r="I226" i="99"/>
  <c r="H226" i="99"/>
  <c r="J234" i="99"/>
  <c r="E234" i="99"/>
  <c r="I234" i="99"/>
  <c r="F234" i="99"/>
  <c r="G234" i="99"/>
  <c r="D234" i="99"/>
  <c r="K234" i="99"/>
  <c r="H234" i="99"/>
  <c r="F242" i="99"/>
  <c r="G242" i="99"/>
  <c r="H242" i="99"/>
  <c r="K242" i="99"/>
  <c r="I242" i="99"/>
  <c r="J242" i="99"/>
  <c r="D242" i="99"/>
  <c r="E242" i="99"/>
  <c r="D250" i="99"/>
  <c r="E250" i="99"/>
  <c r="F250" i="99"/>
  <c r="G250" i="99"/>
  <c r="K250" i="99"/>
  <c r="H250" i="99"/>
  <c r="I250" i="99"/>
  <c r="J250" i="99"/>
  <c r="F29" i="99"/>
  <c r="H29" i="99"/>
  <c r="K29" i="99"/>
  <c r="I29" i="99"/>
  <c r="J29" i="99"/>
  <c r="E29" i="99"/>
  <c r="D29" i="99"/>
  <c r="G29" i="99"/>
  <c r="H85" i="99"/>
  <c r="I85" i="99"/>
  <c r="J85" i="99"/>
  <c r="K85" i="99"/>
  <c r="D85" i="99"/>
  <c r="E85" i="99"/>
  <c r="F85" i="99"/>
  <c r="G85" i="99"/>
  <c r="H125" i="99"/>
  <c r="I125" i="99"/>
  <c r="J125" i="99"/>
  <c r="D125" i="99"/>
  <c r="E125" i="99"/>
  <c r="F125" i="99"/>
  <c r="K125" i="99"/>
  <c r="G125" i="99"/>
  <c r="H165" i="99"/>
  <c r="I165" i="99"/>
  <c r="J165" i="99"/>
  <c r="D165" i="99"/>
  <c r="E165" i="99"/>
  <c r="F165" i="99"/>
  <c r="G165" i="99"/>
  <c r="K165" i="99"/>
  <c r="E197" i="99"/>
  <c r="F197" i="99"/>
  <c r="J197" i="99"/>
  <c r="H197" i="99"/>
  <c r="G197" i="99"/>
  <c r="K197" i="99"/>
  <c r="I197" i="99"/>
  <c r="D197" i="99"/>
  <c r="K237" i="99"/>
  <c r="D237" i="99"/>
  <c r="E237" i="99"/>
  <c r="F237" i="99"/>
  <c r="J237" i="99"/>
  <c r="I237" i="99"/>
  <c r="G237" i="99"/>
  <c r="H237" i="99"/>
  <c r="I6" i="99"/>
  <c r="J6" i="99"/>
  <c r="H6" i="99"/>
  <c r="D6" i="99"/>
  <c r="F6" i="99"/>
  <c r="G6" i="99"/>
  <c r="K6" i="99"/>
  <c r="E6" i="99"/>
  <c r="D78" i="99"/>
  <c r="E78" i="99"/>
  <c r="F78" i="99"/>
  <c r="G78" i="99"/>
  <c r="H78" i="99"/>
  <c r="I78" i="99"/>
  <c r="J78" i="99"/>
  <c r="K78" i="99"/>
  <c r="G11" i="99"/>
  <c r="H11" i="99"/>
  <c r="J11" i="99"/>
  <c r="I11" i="99"/>
  <c r="D11" i="99"/>
  <c r="E11" i="99"/>
  <c r="K11" i="99"/>
  <c r="F11" i="99"/>
  <c r="H19" i="99"/>
  <c r="I19" i="99"/>
  <c r="D19" i="99"/>
  <c r="J19" i="99"/>
  <c r="E19" i="99"/>
  <c r="F19" i="99"/>
  <c r="G19" i="99"/>
  <c r="K19" i="99"/>
  <c r="G27" i="99"/>
  <c r="D27" i="99"/>
  <c r="E27" i="99"/>
  <c r="F27" i="99"/>
  <c r="H27" i="99"/>
  <c r="I27" i="99"/>
  <c r="J27" i="99"/>
  <c r="K27" i="99"/>
  <c r="E35" i="99"/>
  <c r="G35" i="99"/>
  <c r="H35" i="99"/>
  <c r="I35" i="99"/>
  <c r="J35" i="99"/>
  <c r="F35" i="99"/>
  <c r="D35" i="99"/>
  <c r="K35" i="99"/>
  <c r="D43" i="99"/>
  <c r="F43" i="99"/>
  <c r="G43" i="99"/>
  <c r="K43" i="99"/>
  <c r="H43" i="99"/>
  <c r="I43" i="99"/>
  <c r="E43" i="99"/>
  <c r="J43" i="99"/>
  <c r="G51" i="99"/>
  <c r="I51" i="99"/>
  <c r="H51" i="99"/>
  <c r="D51" i="99"/>
  <c r="J51" i="99"/>
  <c r="E51" i="99"/>
  <c r="F51" i="99"/>
  <c r="K51" i="99"/>
  <c r="E59" i="99"/>
  <c r="D59" i="99"/>
  <c r="F59" i="99"/>
  <c r="H59" i="99"/>
  <c r="G59" i="99"/>
  <c r="I59" i="99"/>
  <c r="J59" i="99"/>
  <c r="K59" i="99"/>
  <c r="F67" i="99"/>
  <c r="G67" i="99"/>
  <c r="H67" i="99"/>
  <c r="I67" i="99"/>
  <c r="J67" i="99"/>
  <c r="D67" i="99"/>
  <c r="E67" i="99"/>
  <c r="K67" i="99"/>
  <c r="H75" i="99"/>
  <c r="I75" i="99"/>
  <c r="J75" i="99"/>
  <c r="D75" i="99"/>
  <c r="E75" i="99"/>
  <c r="F75" i="99"/>
  <c r="G75" i="99"/>
  <c r="K75" i="99"/>
  <c r="H83" i="99"/>
  <c r="I83" i="99"/>
  <c r="K83" i="99"/>
  <c r="J83" i="99"/>
  <c r="D83" i="99"/>
  <c r="E83" i="99"/>
  <c r="F83" i="99"/>
  <c r="G83" i="99"/>
  <c r="I91" i="99"/>
  <c r="J91" i="99"/>
  <c r="D91" i="99"/>
  <c r="E91" i="99"/>
  <c r="F91" i="99"/>
  <c r="G91" i="99"/>
  <c r="H91" i="99"/>
  <c r="K91" i="99"/>
  <c r="J99" i="99"/>
  <c r="D99" i="99"/>
  <c r="E99" i="99"/>
  <c r="F99" i="99"/>
  <c r="G99" i="99"/>
  <c r="H99" i="99"/>
  <c r="I99" i="99"/>
  <c r="K99" i="99"/>
  <c r="E107" i="99"/>
  <c r="F107" i="99"/>
  <c r="G107" i="99"/>
  <c r="H107" i="99"/>
  <c r="I107" i="99"/>
  <c r="J107" i="99"/>
  <c r="D107" i="99"/>
  <c r="K107" i="99"/>
  <c r="I115" i="99"/>
  <c r="J115" i="99"/>
  <c r="D115" i="99"/>
  <c r="E115" i="99"/>
  <c r="F115" i="99"/>
  <c r="G115" i="99"/>
  <c r="K115" i="99"/>
  <c r="H115" i="99"/>
  <c r="I123" i="99"/>
  <c r="E123" i="99"/>
  <c r="J123" i="99"/>
  <c r="D123" i="99"/>
  <c r="K123" i="99"/>
  <c r="F123" i="99"/>
  <c r="G123" i="99"/>
  <c r="H123" i="99"/>
  <c r="G131" i="99"/>
  <c r="H131" i="99"/>
  <c r="J131" i="99"/>
  <c r="D131" i="99"/>
  <c r="I131" i="99"/>
  <c r="E131" i="99"/>
  <c r="F131" i="99"/>
  <c r="K131" i="99"/>
  <c r="H139" i="99"/>
  <c r="J139" i="99"/>
  <c r="I139" i="99"/>
  <c r="D139" i="99"/>
  <c r="E139" i="99"/>
  <c r="F139" i="99"/>
  <c r="G139" i="99"/>
  <c r="K139" i="99"/>
  <c r="F147" i="99"/>
  <c r="G147" i="99"/>
  <c r="K147" i="99"/>
  <c r="H147" i="99"/>
  <c r="I147" i="99"/>
  <c r="J147" i="99"/>
  <c r="D147" i="99"/>
  <c r="E147" i="99"/>
  <c r="J155" i="99"/>
  <c r="D155" i="99"/>
  <c r="K155" i="99"/>
  <c r="E155" i="99"/>
  <c r="F155" i="99"/>
  <c r="G155" i="99"/>
  <c r="H155" i="99"/>
  <c r="I155" i="99"/>
  <c r="H163" i="99"/>
  <c r="I163" i="99"/>
  <c r="J163" i="99"/>
  <c r="D163" i="99"/>
  <c r="E163" i="99"/>
  <c r="K163" i="99"/>
  <c r="F163" i="99"/>
  <c r="G163" i="99"/>
  <c r="H171" i="99"/>
  <c r="G171" i="99"/>
  <c r="I171" i="99"/>
  <c r="J171" i="99"/>
  <c r="D171" i="99"/>
  <c r="E171" i="99"/>
  <c r="F171" i="99"/>
  <c r="K171" i="99"/>
  <c r="E179" i="99"/>
  <c r="G179" i="99"/>
  <c r="H179" i="99"/>
  <c r="I179" i="99"/>
  <c r="F179" i="99"/>
  <c r="J179" i="99"/>
  <c r="K179" i="99"/>
  <c r="D179" i="99"/>
  <c r="E187" i="99"/>
  <c r="J187" i="99"/>
  <c r="G187" i="99"/>
  <c r="I187" i="99"/>
  <c r="D187" i="99"/>
  <c r="K187" i="99"/>
  <c r="F187" i="99"/>
  <c r="H187" i="99"/>
  <c r="F195" i="99"/>
  <c r="E195" i="99"/>
  <c r="J195" i="99"/>
  <c r="G195" i="99"/>
  <c r="I195" i="99"/>
  <c r="H195" i="99"/>
  <c r="K195" i="99"/>
  <c r="D195" i="99"/>
  <c r="E203" i="99"/>
  <c r="G203" i="99"/>
  <c r="D203" i="99"/>
  <c r="I203" i="99"/>
  <c r="F203" i="99"/>
  <c r="H203" i="99"/>
  <c r="K203" i="99"/>
  <c r="J203" i="99"/>
  <c r="F211" i="99"/>
  <c r="H211" i="99"/>
  <c r="D211" i="99"/>
  <c r="E211" i="99"/>
  <c r="K211" i="99"/>
  <c r="G211" i="99"/>
  <c r="J211" i="99"/>
  <c r="I211" i="99"/>
  <c r="I219" i="99"/>
  <c r="G219" i="99"/>
  <c r="E219" i="99"/>
  <c r="J219" i="99"/>
  <c r="D219" i="99"/>
  <c r="K219" i="99"/>
  <c r="F219" i="99"/>
  <c r="H219" i="99"/>
  <c r="J227" i="99"/>
  <c r="F227" i="99"/>
  <c r="E227" i="99"/>
  <c r="K227" i="99"/>
  <c r="I227" i="99"/>
  <c r="D227" i="99"/>
  <c r="G227" i="99"/>
  <c r="H227" i="99"/>
  <c r="I235" i="99"/>
  <c r="E235" i="99"/>
  <c r="F235" i="99"/>
  <c r="K235" i="99"/>
  <c r="J235" i="99"/>
  <c r="D235" i="99"/>
  <c r="G235" i="99"/>
  <c r="H235" i="99"/>
  <c r="G243" i="99"/>
  <c r="H243" i="99"/>
  <c r="I243" i="99"/>
  <c r="J243" i="99"/>
  <c r="D243" i="99"/>
  <c r="K243" i="99"/>
  <c r="E243" i="99"/>
  <c r="F243" i="99"/>
  <c r="E251" i="99"/>
  <c r="F251" i="99"/>
  <c r="G251" i="99"/>
  <c r="H251" i="99"/>
  <c r="I251" i="99"/>
  <c r="J251" i="99"/>
  <c r="D251" i="99"/>
  <c r="K251" i="99"/>
  <c r="I5" i="99"/>
  <c r="H5" i="99"/>
  <c r="F5" i="99"/>
  <c r="K5" i="99"/>
  <c r="E5" i="99"/>
  <c r="G5" i="99"/>
  <c r="D5" i="99"/>
  <c r="J5" i="99"/>
  <c r="H45" i="99"/>
  <c r="I45" i="99"/>
  <c r="J45" i="99"/>
  <c r="E45" i="99"/>
  <c r="K45" i="99"/>
  <c r="D45" i="99"/>
  <c r="F45" i="99"/>
  <c r="G45" i="99"/>
  <c r="J93" i="99"/>
  <c r="E93" i="99"/>
  <c r="F93" i="99"/>
  <c r="G93" i="99"/>
  <c r="H93" i="99"/>
  <c r="D93" i="99"/>
  <c r="I93" i="99"/>
  <c r="K93" i="99"/>
  <c r="H117" i="99"/>
  <c r="I117" i="99"/>
  <c r="J117" i="99"/>
  <c r="K117" i="99"/>
  <c r="D117" i="99"/>
  <c r="E117" i="99"/>
  <c r="F117" i="99"/>
  <c r="G117" i="99"/>
  <c r="G149" i="99"/>
  <c r="H149" i="99"/>
  <c r="I149" i="99"/>
  <c r="K149" i="99"/>
  <c r="J149" i="99"/>
  <c r="D149" i="99"/>
  <c r="E149" i="99"/>
  <c r="F149" i="99"/>
  <c r="I181" i="99"/>
  <c r="H181" i="99"/>
  <c r="D181" i="99"/>
  <c r="F181" i="99"/>
  <c r="E181" i="99"/>
  <c r="K181" i="99"/>
  <c r="J181" i="99"/>
  <c r="G181" i="99"/>
  <c r="J229" i="99"/>
  <c r="E229" i="99"/>
  <c r="F229" i="99"/>
  <c r="D229" i="99"/>
  <c r="K229" i="99"/>
  <c r="G229" i="99"/>
  <c r="H229" i="99"/>
  <c r="I229" i="99"/>
  <c r="G4" i="99"/>
  <c r="J4" i="99"/>
  <c r="F4" i="99"/>
  <c r="H4" i="99"/>
  <c r="E4" i="99"/>
  <c r="D4" i="99"/>
  <c r="K4" i="99"/>
  <c r="I4" i="99"/>
  <c r="J12" i="99"/>
  <c r="H12" i="99"/>
  <c r="D12" i="99"/>
  <c r="I12" i="99"/>
  <c r="F12" i="99"/>
  <c r="E12" i="99"/>
  <c r="K12" i="99"/>
  <c r="G12" i="99"/>
  <c r="E20" i="99"/>
  <c r="F20" i="99"/>
  <c r="G20" i="99"/>
  <c r="D20" i="99"/>
  <c r="K20" i="99"/>
  <c r="H20" i="99"/>
  <c r="I20" i="99"/>
  <c r="J20" i="99"/>
  <c r="H28" i="99"/>
  <c r="D28" i="99"/>
  <c r="I28" i="99"/>
  <c r="J28" i="99"/>
  <c r="G28" i="99"/>
  <c r="E28" i="99"/>
  <c r="F28" i="99"/>
  <c r="K28" i="99"/>
  <c r="J36" i="99"/>
  <c r="F36" i="99"/>
  <c r="D36" i="99"/>
  <c r="E36" i="99"/>
  <c r="K36" i="99"/>
  <c r="G36" i="99"/>
  <c r="H36" i="99"/>
  <c r="I36" i="99"/>
  <c r="D44" i="99"/>
  <c r="F44" i="99"/>
  <c r="G44" i="99"/>
  <c r="H44" i="99"/>
  <c r="I44" i="99"/>
  <c r="J44" i="99"/>
  <c r="E44" i="99"/>
  <c r="K44" i="99"/>
  <c r="K52" i="99"/>
  <c r="E52" i="99"/>
  <c r="F52" i="99"/>
  <c r="G52" i="99"/>
  <c r="J52" i="99"/>
  <c r="H52" i="99"/>
  <c r="I52" i="99"/>
  <c r="D52" i="99"/>
  <c r="H60" i="99"/>
  <c r="G60" i="99"/>
  <c r="I60" i="99"/>
  <c r="J60" i="99"/>
  <c r="E60" i="99"/>
  <c r="K60" i="99"/>
  <c r="D60" i="99"/>
  <c r="F60" i="99"/>
  <c r="J68" i="99"/>
  <c r="D68" i="99"/>
  <c r="E68" i="99"/>
  <c r="F68" i="99"/>
  <c r="K68" i="99"/>
  <c r="G68" i="99"/>
  <c r="H68" i="99"/>
  <c r="I68" i="99"/>
  <c r="H76" i="99"/>
  <c r="I76" i="99"/>
  <c r="J76" i="99"/>
  <c r="D76" i="99"/>
  <c r="E76" i="99"/>
  <c r="F76" i="99"/>
  <c r="G76" i="99"/>
  <c r="K76" i="99"/>
  <c r="D84" i="99"/>
  <c r="E84" i="99"/>
  <c r="F84" i="99"/>
  <c r="G84" i="99"/>
  <c r="H84" i="99"/>
  <c r="I84" i="99"/>
  <c r="J84" i="99"/>
  <c r="K84" i="99"/>
  <c r="E92" i="99"/>
  <c r="F92" i="99"/>
  <c r="G92" i="99"/>
  <c r="H92" i="99"/>
  <c r="K92" i="99"/>
  <c r="I92" i="99"/>
  <c r="J92" i="99"/>
  <c r="D92" i="99"/>
  <c r="G100" i="99"/>
  <c r="H100" i="99"/>
  <c r="I100" i="99"/>
  <c r="J100" i="99"/>
  <c r="D100" i="99"/>
  <c r="E100" i="99"/>
  <c r="K100" i="99"/>
  <c r="F100" i="99"/>
  <c r="H108" i="99"/>
  <c r="K108" i="99"/>
  <c r="I108" i="99"/>
  <c r="J108" i="99"/>
  <c r="D108" i="99"/>
  <c r="E108" i="99"/>
  <c r="F108" i="99"/>
  <c r="G108" i="99"/>
  <c r="I116" i="99"/>
  <c r="J116" i="99"/>
  <c r="D116" i="99"/>
  <c r="E116" i="99"/>
  <c r="F116" i="99"/>
  <c r="G116" i="99"/>
  <c r="H116" i="99"/>
  <c r="K116" i="99"/>
  <c r="J124" i="99"/>
  <c r="D124" i="99"/>
  <c r="H124" i="99"/>
  <c r="I124" i="99"/>
  <c r="E124" i="99"/>
  <c r="F124" i="99"/>
  <c r="G124" i="99"/>
  <c r="K124" i="99"/>
  <c r="H132" i="99"/>
  <c r="J132" i="99"/>
  <c r="D132" i="99"/>
  <c r="F132" i="99"/>
  <c r="G132" i="99"/>
  <c r="E132" i="99"/>
  <c r="I132" i="99"/>
  <c r="K132" i="99"/>
  <c r="D140" i="99"/>
  <c r="E140" i="99"/>
  <c r="K140" i="99"/>
  <c r="F140" i="99"/>
  <c r="G140" i="99"/>
  <c r="H140" i="99"/>
  <c r="I140" i="99"/>
  <c r="J140" i="99"/>
  <c r="E148" i="99"/>
  <c r="F148" i="99"/>
  <c r="G148" i="99"/>
  <c r="H148" i="99"/>
  <c r="I148" i="99"/>
  <c r="J148" i="99"/>
  <c r="D148" i="99"/>
  <c r="K148" i="99"/>
  <c r="G156" i="99"/>
  <c r="H156" i="99"/>
  <c r="I156" i="99"/>
  <c r="J156" i="99"/>
  <c r="D156" i="99"/>
  <c r="E156" i="99"/>
  <c r="F156" i="99"/>
  <c r="K156" i="99"/>
  <c r="H164" i="99"/>
  <c r="I164" i="99"/>
  <c r="J164" i="99"/>
  <c r="D164" i="99"/>
  <c r="E164" i="99"/>
  <c r="F164" i="99"/>
  <c r="G164" i="99"/>
  <c r="K164" i="99"/>
  <c r="H172" i="99"/>
  <c r="J172" i="99"/>
  <c r="G172" i="99"/>
  <c r="I172" i="99"/>
  <c r="D172" i="99"/>
  <c r="E172" i="99"/>
  <c r="F172" i="99"/>
  <c r="K172" i="99"/>
  <c r="G180" i="99"/>
  <c r="I180" i="99"/>
  <c r="F180" i="99"/>
  <c r="J180" i="99"/>
  <c r="H180" i="99"/>
  <c r="K180" i="99"/>
  <c r="D180" i="99"/>
  <c r="E180" i="99"/>
  <c r="E188" i="99"/>
  <c r="I188" i="99"/>
  <c r="D188" i="99"/>
  <c r="J188" i="99"/>
  <c r="G188" i="99"/>
  <c r="K188" i="99"/>
  <c r="F188" i="99"/>
  <c r="H188" i="99"/>
  <c r="E196" i="99"/>
  <c r="H196" i="99"/>
  <c r="J196" i="99"/>
  <c r="F196" i="99"/>
  <c r="G196" i="99"/>
  <c r="K196" i="99"/>
  <c r="I196" i="99"/>
  <c r="D196" i="99"/>
  <c r="E204" i="99"/>
  <c r="G204" i="99"/>
  <c r="D204" i="99"/>
  <c r="I204" i="99"/>
  <c r="F204" i="99"/>
  <c r="H204" i="99"/>
  <c r="K204" i="99"/>
  <c r="J204" i="99"/>
  <c r="D212" i="99"/>
  <c r="F212" i="99"/>
  <c r="H212" i="99"/>
  <c r="K212" i="99"/>
  <c r="J212" i="99"/>
  <c r="E212" i="99"/>
  <c r="G212" i="99"/>
  <c r="I212" i="99"/>
  <c r="E220" i="99"/>
  <c r="G220" i="99"/>
  <c r="J220" i="99"/>
  <c r="I220" i="99"/>
  <c r="D220" i="99"/>
  <c r="K220" i="99"/>
  <c r="F220" i="99"/>
  <c r="H220" i="99"/>
  <c r="I228" i="99"/>
  <c r="F228" i="99"/>
  <c r="K228" i="99"/>
  <c r="E228" i="99"/>
  <c r="G228" i="99"/>
  <c r="J228" i="99"/>
  <c r="D228" i="99"/>
  <c r="H228" i="99"/>
  <c r="J236" i="99"/>
  <c r="E236" i="99"/>
  <c r="K236" i="99"/>
  <c r="F236" i="99"/>
  <c r="G236" i="99"/>
  <c r="I236" i="99"/>
  <c r="D236" i="99"/>
  <c r="H236" i="99"/>
  <c r="D244" i="99"/>
  <c r="E244" i="99"/>
  <c r="F244" i="99"/>
  <c r="G244" i="99"/>
  <c r="H244" i="99"/>
  <c r="I244" i="99"/>
  <c r="J244" i="99"/>
  <c r="K244" i="99"/>
  <c r="G252" i="99"/>
  <c r="K252" i="99"/>
  <c r="H252" i="99"/>
  <c r="I252" i="99"/>
  <c r="J252" i="99"/>
  <c r="D252" i="99"/>
  <c r="E252" i="99"/>
  <c r="F252" i="99"/>
  <c r="C124" i="99" l="1"/>
  <c r="C68" i="99"/>
  <c r="C28" i="99"/>
  <c r="C155" i="99"/>
  <c r="C99" i="99"/>
  <c r="C59" i="99"/>
  <c r="C27" i="99"/>
  <c r="C237" i="99"/>
  <c r="C226" i="99"/>
  <c r="C138" i="99"/>
  <c r="C74" i="99"/>
  <c r="C150" i="99"/>
  <c r="C110" i="99"/>
  <c r="C38" i="99"/>
  <c r="C201" i="99"/>
  <c r="C161" i="99"/>
  <c r="C137" i="99"/>
  <c r="C105" i="99"/>
  <c r="C41" i="99"/>
  <c r="C25" i="99"/>
  <c r="C232" i="99"/>
  <c r="C168" i="99"/>
  <c r="C72" i="99"/>
  <c r="C56" i="99"/>
  <c r="C8" i="99"/>
  <c r="C207" i="99"/>
  <c r="C199" i="99"/>
  <c r="C175" i="99"/>
  <c r="C111" i="99"/>
  <c r="C79" i="99"/>
  <c r="C53" i="99"/>
  <c r="C244" i="99"/>
  <c r="C212" i="99"/>
  <c r="C140" i="99"/>
  <c r="C84" i="99"/>
  <c r="C44" i="99"/>
  <c r="C43" i="99"/>
  <c r="C78" i="99"/>
  <c r="C250" i="99"/>
  <c r="C210" i="99"/>
  <c r="C170" i="99"/>
  <c r="C146" i="99"/>
  <c r="C130" i="99"/>
  <c r="C58" i="99"/>
  <c r="C50" i="99"/>
  <c r="C238" i="99"/>
  <c r="C222" i="99"/>
  <c r="C206" i="99"/>
  <c r="C102" i="99"/>
  <c r="C62" i="99"/>
  <c r="C141" i="99"/>
  <c r="C13" i="99"/>
  <c r="C225" i="99"/>
  <c r="C217" i="99"/>
  <c r="C81" i="99"/>
  <c r="C17" i="99"/>
  <c r="C61" i="99"/>
  <c r="C248" i="99"/>
  <c r="C224" i="99"/>
  <c r="C69" i="99"/>
  <c r="C231" i="99"/>
  <c r="C191" i="99"/>
  <c r="C183" i="99"/>
  <c r="C95" i="99"/>
  <c r="C15" i="99"/>
  <c r="C245" i="99"/>
  <c r="C196" i="99"/>
  <c r="C92" i="99"/>
  <c r="C52" i="99"/>
  <c r="C5" i="99"/>
  <c r="C195" i="99"/>
  <c r="C179" i="99"/>
  <c r="C197" i="99"/>
  <c r="C194" i="99"/>
  <c r="C186" i="99"/>
  <c r="C37" i="99"/>
  <c r="C241" i="99"/>
  <c r="C193" i="99"/>
  <c r="C65" i="99"/>
  <c r="C240" i="99"/>
  <c r="C192" i="99"/>
  <c r="C127" i="99"/>
  <c r="C60" i="99"/>
  <c r="C251" i="99"/>
  <c r="C147" i="99"/>
  <c r="C107" i="99"/>
  <c r="C35" i="99"/>
  <c r="C29" i="99"/>
  <c r="C242" i="99"/>
  <c r="C178" i="99"/>
  <c r="C122" i="99"/>
  <c r="C66" i="99"/>
  <c r="C174" i="99"/>
  <c r="C126" i="99"/>
  <c r="C157" i="99"/>
  <c r="C169" i="99"/>
  <c r="C129" i="99"/>
  <c r="C121" i="99"/>
  <c r="C216" i="99"/>
  <c r="C176" i="99"/>
  <c r="C152" i="99"/>
  <c r="C144" i="99"/>
  <c r="C88" i="99"/>
  <c r="C80" i="99"/>
  <c r="C64" i="99"/>
  <c r="C71" i="99"/>
  <c r="C118" i="99"/>
  <c r="C148" i="99"/>
  <c r="C252" i="99"/>
  <c r="C4" i="99"/>
  <c r="C149" i="99"/>
  <c r="C93" i="99"/>
  <c r="C45" i="99"/>
  <c r="C235" i="99"/>
  <c r="C227" i="99"/>
  <c r="C67" i="99"/>
  <c r="C234" i="99"/>
  <c r="C154" i="99"/>
  <c r="C34" i="99"/>
  <c r="C246" i="99"/>
  <c r="C214" i="99"/>
  <c r="C158" i="99"/>
  <c r="C86" i="99"/>
  <c r="C189" i="99"/>
  <c r="C177" i="99"/>
  <c r="C49" i="99"/>
  <c r="C208" i="99"/>
  <c r="C128" i="99"/>
  <c r="C120" i="99"/>
  <c r="C96" i="99"/>
  <c r="C48" i="99"/>
  <c r="C24" i="99"/>
  <c r="C63" i="99"/>
  <c r="C39" i="99"/>
  <c r="C31" i="99"/>
  <c r="C21" i="99"/>
  <c r="C228" i="99"/>
  <c r="C220" i="99"/>
  <c r="C172" i="99"/>
  <c r="C156" i="99"/>
  <c r="C108" i="99"/>
  <c r="C100" i="99"/>
  <c r="C117" i="99"/>
  <c r="C243" i="99"/>
  <c r="C219" i="99"/>
  <c r="C187" i="99"/>
  <c r="C171" i="99"/>
  <c r="C83" i="99"/>
  <c r="C11" i="99"/>
  <c r="C85" i="99"/>
  <c r="C218" i="99"/>
  <c r="C106" i="99"/>
  <c r="C82" i="99"/>
  <c r="C10" i="99"/>
  <c r="C142" i="99"/>
  <c r="C134" i="99"/>
  <c r="C30" i="99"/>
  <c r="C14" i="99"/>
  <c r="C221" i="99"/>
  <c r="C77" i="99"/>
  <c r="C249" i="99"/>
  <c r="C209" i="99"/>
  <c r="C145" i="99"/>
  <c r="C113" i="99"/>
  <c r="C89" i="99"/>
  <c r="C57" i="99"/>
  <c r="C200" i="99"/>
  <c r="C136" i="99"/>
  <c r="C104" i="99"/>
  <c r="C16" i="99"/>
  <c r="C119" i="99"/>
  <c r="C87" i="99"/>
  <c r="C55" i="99"/>
  <c r="C7" i="99"/>
  <c r="C22" i="99"/>
  <c r="C173" i="99"/>
  <c r="C133" i="99"/>
  <c r="C236" i="99"/>
  <c r="C164" i="99"/>
  <c r="C76" i="99"/>
  <c r="C20" i="99"/>
  <c r="C229" i="99"/>
  <c r="C163" i="99"/>
  <c r="C139" i="99"/>
  <c r="C131" i="99"/>
  <c r="C123" i="99"/>
  <c r="C75" i="99"/>
  <c r="C51" i="99"/>
  <c r="C6" i="99"/>
  <c r="C165" i="99"/>
  <c r="C125" i="99"/>
  <c r="C202" i="99"/>
  <c r="C90" i="99"/>
  <c r="C42" i="99"/>
  <c r="C166" i="99"/>
  <c r="C94" i="99"/>
  <c r="C70" i="99"/>
  <c r="C233" i="99"/>
  <c r="C97" i="99"/>
  <c r="C33" i="99"/>
  <c r="C160" i="99"/>
  <c r="C112" i="99"/>
  <c r="C247" i="99"/>
  <c r="C223" i="99"/>
  <c r="C215" i="99"/>
  <c r="C167" i="99"/>
  <c r="C151" i="99"/>
  <c r="C143" i="99"/>
  <c r="C135" i="99"/>
  <c r="C103" i="99"/>
  <c r="C47" i="99"/>
  <c r="C23" i="99"/>
  <c r="C205" i="99"/>
  <c r="C180" i="99"/>
  <c r="C204" i="99"/>
  <c r="C188" i="99"/>
  <c r="C132" i="99"/>
  <c r="C116" i="99"/>
  <c r="C36" i="99"/>
  <c r="C12" i="99"/>
  <c r="C181" i="99"/>
  <c r="C211" i="99"/>
  <c r="C203" i="99"/>
  <c r="C115" i="99"/>
  <c r="C91" i="99"/>
  <c r="C19" i="99"/>
  <c r="C162" i="99"/>
  <c r="C114" i="99"/>
  <c r="C98" i="99"/>
  <c r="C26" i="99"/>
  <c r="C18" i="99"/>
  <c r="C230" i="99"/>
  <c r="C198" i="99"/>
  <c r="C190" i="99"/>
  <c r="C182" i="99"/>
  <c r="C54" i="99"/>
  <c r="C46" i="99"/>
  <c r="C109" i="99"/>
  <c r="C185" i="99"/>
  <c r="C153" i="99"/>
  <c r="C73" i="99"/>
  <c r="C9" i="99"/>
  <c r="C184" i="99"/>
  <c r="C40" i="99"/>
  <c r="C32" i="99"/>
  <c r="C213" i="99"/>
  <c r="C239" i="99"/>
  <c r="C159" i="99"/>
  <c r="C101" i="99"/>
  <c r="C253" i="99"/>
  <c r="BF230" i="99" l="1"/>
  <c r="BE230" i="99"/>
  <c r="BG230" i="99"/>
  <c r="BJ230" i="99"/>
  <c r="BE115" i="99"/>
  <c r="BF115" i="99"/>
  <c r="BG115" i="99"/>
  <c r="BJ115" i="99"/>
  <c r="BF188" i="99"/>
  <c r="BE188" i="99"/>
  <c r="BJ188" i="99"/>
  <c r="BG188" i="99"/>
  <c r="BE143" i="99"/>
  <c r="BF143" i="99"/>
  <c r="BG143" i="99"/>
  <c r="BJ143" i="99"/>
  <c r="BF33" i="99"/>
  <c r="BE33" i="99"/>
  <c r="BG33" i="99"/>
  <c r="BJ33" i="99"/>
  <c r="BE202" i="99"/>
  <c r="BF202" i="99"/>
  <c r="BG202" i="99"/>
  <c r="BJ202" i="99"/>
  <c r="BF139" i="99"/>
  <c r="BE139" i="99"/>
  <c r="BG139" i="99"/>
  <c r="BJ139" i="99"/>
  <c r="BF173" i="99"/>
  <c r="BE173" i="99"/>
  <c r="BJ173" i="99"/>
  <c r="BG173" i="99"/>
  <c r="BF136" i="99"/>
  <c r="BE136" i="99"/>
  <c r="BJ136" i="99"/>
  <c r="BG136" i="99"/>
  <c r="BF77" i="99"/>
  <c r="BE77" i="99"/>
  <c r="BJ77" i="99"/>
  <c r="BG77" i="99"/>
  <c r="BE106" i="99"/>
  <c r="BF106" i="99"/>
  <c r="BG106" i="99"/>
  <c r="BJ106" i="99"/>
  <c r="BE243" i="99"/>
  <c r="BF243" i="99"/>
  <c r="BG243" i="99"/>
  <c r="BJ243" i="99"/>
  <c r="BF21" i="99"/>
  <c r="BE21" i="99"/>
  <c r="BG21" i="99"/>
  <c r="BJ21" i="99"/>
  <c r="BE128" i="99"/>
  <c r="BF128" i="99"/>
  <c r="BG128" i="99"/>
  <c r="BJ128" i="99"/>
  <c r="BE246" i="99"/>
  <c r="BF246" i="99"/>
  <c r="BJ246" i="99"/>
  <c r="BG246" i="99"/>
  <c r="BF93" i="99"/>
  <c r="BE93" i="99"/>
  <c r="BG93" i="99"/>
  <c r="BJ93" i="99"/>
  <c r="BF80" i="99"/>
  <c r="BE80" i="99"/>
  <c r="BJ80" i="99"/>
  <c r="BG80" i="99"/>
  <c r="BE169" i="99"/>
  <c r="BF169" i="99"/>
  <c r="BJ169" i="99"/>
  <c r="BG169" i="99"/>
  <c r="BE29" i="99"/>
  <c r="BF29" i="99"/>
  <c r="BG29" i="99"/>
  <c r="BJ29" i="99"/>
  <c r="BF240" i="99"/>
  <c r="BE240" i="99"/>
  <c r="BJ240" i="99"/>
  <c r="BG240" i="99"/>
  <c r="BE179" i="99"/>
  <c r="BF179" i="99"/>
  <c r="BG179" i="99"/>
  <c r="BJ179" i="99"/>
  <c r="BE95" i="99"/>
  <c r="BF95" i="99"/>
  <c r="BJ95" i="99"/>
  <c r="BG95" i="99"/>
  <c r="BF17" i="99"/>
  <c r="BE17" i="99"/>
  <c r="BG17" i="99"/>
  <c r="BJ17" i="99"/>
  <c r="BF206" i="99"/>
  <c r="BE206" i="99"/>
  <c r="BG206" i="99"/>
  <c r="BJ206" i="99"/>
  <c r="BF210" i="99"/>
  <c r="BE210" i="99"/>
  <c r="BJ210" i="99"/>
  <c r="BG210" i="99"/>
  <c r="BF244" i="99"/>
  <c r="BE244" i="99"/>
  <c r="BJ244" i="99"/>
  <c r="BG244" i="99"/>
  <c r="BE56" i="99"/>
  <c r="BF56" i="99"/>
  <c r="BJ56" i="99"/>
  <c r="BG56" i="99"/>
  <c r="BE161" i="99"/>
  <c r="BF161" i="99"/>
  <c r="BG161" i="99"/>
  <c r="BJ161" i="99"/>
  <c r="BE237" i="99"/>
  <c r="BF237" i="99"/>
  <c r="BJ237" i="99"/>
  <c r="BG237" i="99"/>
  <c r="BF203" i="99"/>
  <c r="BE203" i="99"/>
  <c r="BJ203" i="99"/>
  <c r="BG203" i="99"/>
  <c r="BE204" i="99"/>
  <c r="BF204" i="99"/>
  <c r="BJ204" i="99"/>
  <c r="BG204" i="99"/>
  <c r="BE151" i="99"/>
  <c r="BF151" i="99"/>
  <c r="BG151" i="99"/>
  <c r="BJ151" i="99"/>
  <c r="BE97" i="99"/>
  <c r="BF97" i="99"/>
  <c r="BG97" i="99"/>
  <c r="BJ97" i="99"/>
  <c r="BE125" i="99"/>
  <c r="BF125" i="99"/>
  <c r="BJ125" i="99"/>
  <c r="BG125" i="99"/>
  <c r="BE163" i="99"/>
  <c r="BF163" i="99"/>
  <c r="BG163" i="99"/>
  <c r="BJ163" i="99"/>
  <c r="BE22" i="99"/>
  <c r="BF22" i="99"/>
  <c r="BG22" i="99"/>
  <c r="BJ22" i="99"/>
  <c r="BF200" i="99"/>
  <c r="BE200" i="99"/>
  <c r="BG200" i="99"/>
  <c r="BJ200" i="99"/>
  <c r="BF221" i="99"/>
  <c r="BE221" i="99"/>
  <c r="BJ221" i="99"/>
  <c r="BG221" i="99"/>
  <c r="BE218" i="99"/>
  <c r="BF218" i="99"/>
  <c r="BJ218" i="99"/>
  <c r="BG218" i="99"/>
  <c r="BF117" i="99"/>
  <c r="BE117" i="99"/>
  <c r="BJ117" i="99"/>
  <c r="BG117" i="99"/>
  <c r="BF31" i="99"/>
  <c r="BE31" i="99"/>
  <c r="BJ31" i="99"/>
  <c r="BG31" i="99"/>
  <c r="BE208" i="99"/>
  <c r="BF208" i="99"/>
  <c r="BG208" i="99"/>
  <c r="BJ208" i="99"/>
  <c r="BF34" i="99"/>
  <c r="BE34" i="99"/>
  <c r="BJ34" i="99"/>
  <c r="BG34" i="99"/>
  <c r="BF149" i="99"/>
  <c r="BE149" i="99"/>
  <c r="BG149" i="99"/>
  <c r="BJ149" i="99"/>
  <c r="BE88" i="99"/>
  <c r="BF88" i="99"/>
  <c r="BJ88" i="99"/>
  <c r="BG88" i="99"/>
  <c r="BE157" i="99"/>
  <c r="BF157" i="99"/>
  <c r="BG157" i="99"/>
  <c r="BJ157" i="99"/>
  <c r="BE35" i="99"/>
  <c r="BF35" i="99"/>
  <c r="BG35" i="99"/>
  <c r="BJ35" i="99"/>
  <c r="BF65" i="99"/>
  <c r="BE65" i="99"/>
  <c r="BG65" i="99"/>
  <c r="BJ65" i="99"/>
  <c r="BE195" i="99"/>
  <c r="BF195" i="99"/>
  <c r="BG195" i="99"/>
  <c r="BJ195" i="99"/>
  <c r="BF183" i="99"/>
  <c r="BE183" i="99"/>
  <c r="BG183" i="99"/>
  <c r="BJ183" i="99"/>
  <c r="BE81" i="99"/>
  <c r="BF81" i="99"/>
  <c r="BJ81" i="99"/>
  <c r="BG81" i="99"/>
  <c r="BF222" i="99"/>
  <c r="BE222" i="99"/>
  <c r="BG222" i="99"/>
  <c r="BJ222" i="99"/>
  <c r="BF250" i="99"/>
  <c r="BE250" i="99"/>
  <c r="BG250" i="99"/>
  <c r="BJ250" i="99"/>
  <c r="BF53" i="99"/>
  <c r="BE53" i="99"/>
  <c r="BG53" i="99"/>
  <c r="BJ53" i="99"/>
  <c r="BE72" i="99"/>
  <c r="BF72" i="99"/>
  <c r="BG72" i="99"/>
  <c r="BJ72" i="99"/>
  <c r="BF201" i="99"/>
  <c r="BE201" i="99"/>
  <c r="BG201" i="99"/>
  <c r="BJ201" i="99"/>
  <c r="BE27" i="99"/>
  <c r="BF27" i="99"/>
  <c r="BJ27" i="99"/>
  <c r="BG27" i="99"/>
  <c r="BE18" i="99"/>
  <c r="BF18" i="99"/>
  <c r="BJ18" i="99"/>
  <c r="BG18" i="99"/>
  <c r="BE26" i="99"/>
  <c r="BF26" i="99"/>
  <c r="BG26" i="99"/>
  <c r="BJ26" i="99"/>
  <c r="BF180" i="99"/>
  <c r="BE180" i="99"/>
  <c r="BG180" i="99"/>
  <c r="BJ180" i="99"/>
  <c r="BF167" i="99"/>
  <c r="BE167" i="99"/>
  <c r="BG167" i="99"/>
  <c r="BJ167" i="99"/>
  <c r="BE233" i="99"/>
  <c r="BF233" i="99"/>
  <c r="BG233" i="99"/>
  <c r="BJ233" i="99"/>
  <c r="BE165" i="99"/>
  <c r="BF165" i="99"/>
  <c r="BJ165" i="99"/>
  <c r="BG165" i="99"/>
  <c r="BE229" i="99"/>
  <c r="BF229" i="99"/>
  <c r="BG229" i="99"/>
  <c r="BJ229" i="99"/>
  <c r="BF7" i="99"/>
  <c r="BE7" i="99"/>
  <c r="BJ7" i="99"/>
  <c r="BG7" i="99"/>
  <c r="BF57" i="99"/>
  <c r="BE57" i="99"/>
  <c r="BJ57" i="99"/>
  <c r="BG57" i="99"/>
  <c r="BE14" i="99"/>
  <c r="BF14" i="99"/>
  <c r="BJ14" i="99"/>
  <c r="BG14" i="99"/>
  <c r="BF85" i="99"/>
  <c r="BE85" i="99"/>
  <c r="BJ85" i="99"/>
  <c r="BG85" i="99"/>
  <c r="BF100" i="99"/>
  <c r="BE100" i="99"/>
  <c r="BG100" i="99"/>
  <c r="BJ100" i="99"/>
  <c r="BE39" i="99"/>
  <c r="BF39" i="99"/>
  <c r="BJ39" i="99"/>
  <c r="BG39" i="99"/>
  <c r="BE49" i="99"/>
  <c r="BF49" i="99"/>
  <c r="BJ49" i="99"/>
  <c r="BG49" i="99"/>
  <c r="BF154" i="99"/>
  <c r="BE154" i="99"/>
  <c r="BJ154" i="99"/>
  <c r="BG154" i="99"/>
  <c r="BE4" i="99"/>
  <c r="BF4" i="99"/>
  <c r="BG4" i="99"/>
  <c r="BJ4" i="99"/>
  <c r="BF144" i="99"/>
  <c r="BE144" i="99"/>
  <c r="BJ144" i="99"/>
  <c r="BG144" i="99"/>
  <c r="BE126" i="99"/>
  <c r="BF126" i="99"/>
  <c r="BJ126" i="99"/>
  <c r="BG126" i="99"/>
  <c r="BE107" i="99"/>
  <c r="BF107" i="99"/>
  <c r="BG107" i="99"/>
  <c r="BJ107" i="99"/>
  <c r="BE193" i="99"/>
  <c r="BF193" i="99"/>
  <c r="BG193" i="99"/>
  <c r="BJ193" i="99"/>
  <c r="BE5" i="99"/>
  <c r="BF5" i="99"/>
  <c r="BG5" i="99"/>
  <c r="BJ5" i="99"/>
  <c r="BE191" i="99"/>
  <c r="BF191" i="99"/>
  <c r="BG191" i="99"/>
  <c r="BJ191" i="99"/>
  <c r="BF217" i="99"/>
  <c r="BE217" i="99"/>
  <c r="BJ217" i="99"/>
  <c r="BG217" i="99"/>
  <c r="BF238" i="99"/>
  <c r="BE238" i="99"/>
  <c r="BJ238" i="99"/>
  <c r="BG238" i="99"/>
  <c r="BE78" i="99"/>
  <c r="BF78" i="99"/>
  <c r="BJ78" i="99"/>
  <c r="BG78" i="99"/>
  <c r="BF79" i="99"/>
  <c r="BE79" i="99"/>
  <c r="BG79" i="99"/>
  <c r="BJ79" i="99"/>
  <c r="BE168" i="99"/>
  <c r="BF168" i="99"/>
  <c r="BJ168" i="99"/>
  <c r="BG168" i="99"/>
  <c r="BE38" i="99"/>
  <c r="BF38" i="99"/>
  <c r="BG38" i="99"/>
  <c r="BJ38" i="99"/>
  <c r="BE59" i="99"/>
  <c r="BF59" i="99"/>
  <c r="BJ59" i="99"/>
  <c r="BG59" i="99"/>
  <c r="BF153" i="99"/>
  <c r="BE153" i="99"/>
  <c r="BG153" i="99"/>
  <c r="BJ153" i="99"/>
  <c r="BF109" i="99"/>
  <c r="BE109" i="99"/>
  <c r="BJ109" i="99"/>
  <c r="BG109" i="99"/>
  <c r="BE211" i="99"/>
  <c r="BF211" i="99"/>
  <c r="BJ211" i="99"/>
  <c r="BG211" i="99"/>
  <c r="BE32" i="99"/>
  <c r="BF32" i="99"/>
  <c r="BG32" i="99"/>
  <c r="BJ32" i="99"/>
  <c r="BF46" i="99"/>
  <c r="BE46" i="99"/>
  <c r="BJ46" i="99"/>
  <c r="BG46" i="99"/>
  <c r="BE98" i="99"/>
  <c r="BF98" i="99"/>
  <c r="BG98" i="99"/>
  <c r="BJ98" i="99"/>
  <c r="BF181" i="99"/>
  <c r="BE181" i="99"/>
  <c r="BJ181" i="99"/>
  <c r="BG181" i="99"/>
  <c r="BE205" i="99"/>
  <c r="BF205" i="99"/>
  <c r="BG205" i="99"/>
  <c r="BJ205" i="99"/>
  <c r="BE215" i="99"/>
  <c r="BF215" i="99"/>
  <c r="BG215" i="99"/>
  <c r="BJ215" i="99"/>
  <c r="BE70" i="99"/>
  <c r="BF70" i="99"/>
  <c r="BG70" i="99"/>
  <c r="BJ70" i="99"/>
  <c r="BF6" i="99"/>
  <c r="BE6" i="99"/>
  <c r="BG6" i="99"/>
  <c r="BJ6" i="99"/>
  <c r="BF20" i="99"/>
  <c r="BE20" i="99"/>
  <c r="BJ20" i="99"/>
  <c r="BG20" i="99"/>
  <c r="BE55" i="99"/>
  <c r="BF55" i="99"/>
  <c r="BG55" i="99"/>
  <c r="BJ55" i="99"/>
  <c r="BE89" i="99"/>
  <c r="BF89" i="99"/>
  <c r="BJ89" i="99"/>
  <c r="BG89" i="99"/>
  <c r="BF30" i="99"/>
  <c r="BE30" i="99"/>
  <c r="BJ30" i="99"/>
  <c r="BG30" i="99"/>
  <c r="BF11" i="99"/>
  <c r="BE11" i="99"/>
  <c r="BG11" i="99"/>
  <c r="BJ11" i="99"/>
  <c r="BE108" i="99"/>
  <c r="BF108" i="99"/>
  <c r="BJ108" i="99"/>
  <c r="BG108" i="99"/>
  <c r="BF63" i="99"/>
  <c r="BE63" i="99"/>
  <c r="BG63" i="99"/>
  <c r="BJ63" i="99"/>
  <c r="BF177" i="99"/>
  <c r="BE177" i="99"/>
  <c r="BJ177" i="99"/>
  <c r="BG177" i="99"/>
  <c r="BE234" i="99"/>
  <c r="BF234" i="99"/>
  <c r="BG234" i="99"/>
  <c r="BJ234" i="99"/>
  <c r="BE252" i="99"/>
  <c r="BF252" i="99"/>
  <c r="BJ252" i="99"/>
  <c r="BG252" i="99"/>
  <c r="BE152" i="99"/>
  <c r="BF152" i="99"/>
  <c r="BJ152" i="99"/>
  <c r="BG152" i="99"/>
  <c r="BF174" i="99"/>
  <c r="BE174" i="99"/>
  <c r="BG174" i="99"/>
  <c r="BJ174" i="99"/>
  <c r="BF147" i="99"/>
  <c r="BE147" i="99"/>
  <c r="BG147" i="99"/>
  <c r="BJ147" i="99"/>
  <c r="BF241" i="99"/>
  <c r="BE241" i="99"/>
  <c r="BG241" i="99"/>
  <c r="BJ241" i="99"/>
  <c r="BE52" i="99"/>
  <c r="BF52" i="99"/>
  <c r="BG52" i="99"/>
  <c r="BJ52" i="99"/>
  <c r="BF231" i="99"/>
  <c r="BE231" i="99"/>
  <c r="BG231" i="99"/>
  <c r="BJ231" i="99"/>
  <c r="BE225" i="99"/>
  <c r="BF225" i="99"/>
  <c r="BG225" i="99"/>
  <c r="BJ225" i="99"/>
  <c r="BE50" i="99"/>
  <c r="BF50" i="99"/>
  <c r="BJ50" i="99"/>
  <c r="BG50" i="99"/>
  <c r="BE43" i="99"/>
  <c r="BF43" i="99"/>
  <c r="BJ43" i="99"/>
  <c r="BG43" i="99"/>
  <c r="BF111" i="99"/>
  <c r="BE111" i="99"/>
  <c r="BJ111" i="99"/>
  <c r="BG111" i="99"/>
  <c r="BF232" i="99"/>
  <c r="BE232" i="99"/>
  <c r="BJ232" i="99"/>
  <c r="BG232" i="99"/>
  <c r="BF110" i="99"/>
  <c r="BE110" i="99"/>
  <c r="BJ110" i="99"/>
  <c r="BG110" i="99"/>
  <c r="BE99" i="99"/>
  <c r="BF99" i="99"/>
  <c r="BG99" i="99"/>
  <c r="BJ99" i="99"/>
  <c r="BE159" i="99"/>
  <c r="BF159" i="99"/>
  <c r="BJ159" i="99"/>
  <c r="BG159" i="99"/>
  <c r="BF40" i="99"/>
  <c r="BE40" i="99"/>
  <c r="BG40" i="99"/>
  <c r="BJ40" i="99"/>
  <c r="BE54" i="99"/>
  <c r="BF54" i="99"/>
  <c r="BG54" i="99"/>
  <c r="BJ54" i="99"/>
  <c r="BE114" i="99"/>
  <c r="BF114" i="99"/>
  <c r="BJ114" i="99"/>
  <c r="BG114" i="99"/>
  <c r="BE12" i="99"/>
  <c r="BF12" i="99"/>
  <c r="BG12" i="99"/>
  <c r="BJ12" i="99"/>
  <c r="BF23" i="99"/>
  <c r="BE23" i="99"/>
  <c r="BJ23" i="99"/>
  <c r="BG23" i="99"/>
  <c r="BF223" i="99"/>
  <c r="BE223" i="99"/>
  <c r="BG223" i="99"/>
  <c r="BJ223" i="99"/>
  <c r="BF94" i="99"/>
  <c r="BE94" i="99"/>
  <c r="BG94" i="99"/>
  <c r="BJ94" i="99"/>
  <c r="BF51" i="99"/>
  <c r="BE51" i="99"/>
  <c r="BJ51" i="99"/>
  <c r="BG51" i="99"/>
  <c r="BF76" i="99"/>
  <c r="BE76" i="99"/>
  <c r="BJ76" i="99"/>
  <c r="BG76" i="99"/>
  <c r="BE87" i="99"/>
  <c r="BF87" i="99"/>
  <c r="BJ87" i="99"/>
  <c r="BG87" i="99"/>
  <c r="BE113" i="99"/>
  <c r="BF113" i="99"/>
  <c r="BJ113" i="99"/>
  <c r="BG113" i="99"/>
  <c r="BF134" i="99"/>
  <c r="BE134" i="99"/>
  <c r="BG134" i="99"/>
  <c r="BJ134" i="99"/>
  <c r="BF83" i="99"/>
  <c r="BE83" i="99"/>
  <c r="BG83" i="99"/>
  <c r="BJ83" i="99"/>
  <c r="BF156" i="99"/>
  <c r="BE156" i="99"/>
  <c r="BJ156" i="99"/>
  <c r="BG156" i="99"/>
  <c r="BF24" i="99"/>
  <c r="BE24" i="99"/>
  <c r="BJ24" i="99"/>
  <c r="BG24" i="99"/>
  <c r="BE189" i="99"/>
  <c r="BF189" i="99"/>
  <c r="BG189" i="99"/>
  <c r="BJ189" i="99"/>
  <c r="BF67" i="99"/>
  <c r="BE67" i="99"/>
  <c r="BG67" i="99"/>
  <c r="BJ67" i="99"/>
  <c r="BF148" i="99"/>
  <c r="BE148" i="99"/>
  <c r="BG148" i="99"/>
  <c r="BJ148" i="99"/>
  <c r="BF176" i="99"/>
  <c r="BE176" i="99"/>
  <c r="BG176" i="99"/>
  <c r="BJ176" i="99"/>
  <c r="BF66" i="99"/>
  <c r="BE66" i="99"/>
  <c r="BG66" i="99"/>
  <c r="BJ66" i="99"/>
  <c r="BF251" i="99"/>
  <c r="BE251" i="99"/>
  <c r="BJ251" i="99"/>
  <c r="BG251" i="99"/>
  <c r="BE37" i="99"/>
  <c r="BF37" i="99"/>
  <c r="BG37" i="99"/>
  <c r="BJ37" i="99"/>
  <c r="BE92" i="99"/>
  <c r="BF92" i="99"/>
  <c r="BG92" i="99"/>
  <c r="BJ92" i="99"/>
  <c r="BE69" i="99"/>
  <c r="BF69" i="99"/>
  <c r="BJ69" i="99"/>
  <c r="BG69" i="99"/>
  <c r="BE13" i="99"/>
  <c r="BF13" i="99"/>
  <c r="BG13" i="99"/>
  <c r="BJ13" i="99"/>
  <c r="BE58" i="99"/>
  <c r="BF58" i="99"/>
  <c r="BG58" i="99"/>
  <c r="BJ58" i="99"/>
  <c r="BE44" i="99"/>
  <c r="BF44" i="99"/>
  <c r="BJ44" i="99"/>
  <c r="BG44" i="99"/>
  <c r="BE175" i="99"/>
  <c r="BF175" i="99"/>
  <c r="BJ175" i="99"/>
  <c r="BG175" i="99"/>
  <c r="BE25" i="99"/>
  <c r="BF25" i="99"/>
  <c r="BJ25" i="99"/>
  <c r="BG25" i="99"/>
  <c r="BE150" i="99"/>
  <c r="BF150" i="99"/>
  <c r="BJ150" i="99"/>
  <c r="BG150" i="99"/>
  <c r="BF155" i="99"/>
  <c r="BE155" i="99"/>
  <c r="BG155" i="99"/>
  <c r="BJ155" i="99"/>
  <c r="BF213" i="99"/>
  <c r="BE213" i="99"/>
  <c r="BG213" i="99"/>
  <c r="BJ213" i="99"/>
  <c r="BF182" i="99"/>
  <c r="BE182" i="99"/>
  <c r="BG182" i="99"/>
  <c r="BJ182" i="99"/>
  <c r="BE162" i="99"/>
  <c r="BF162" i="99"/>
  <c r="BG162" i="99"/>
  <c r="BJ162" i="99"/>
  <c r="BF36" i="99"/>
  <c r="BE36" i="99"/>
  <c r="BJ36" i="99"/>
  <c r="BG36" i="99"/>
  <c r="BF47" i="99"/>
  <c r="BE47" i="99"/>
  <c r="BG47" i="99"/>
  <c r="BJ47" i="99"/>
  <c r="BE247" i="99"/>
  <c r="BF247" i="99"/>
  <c r="BJ247" i="99"/>
  <c r="BG247" i="99"/>
  <c r="BF166" i="99"/>
  <c r="BE166" i="99"/>
  <c r="BG166" i="99"/>
  <c r="BJ166" i="99"/>
  <c r="BF75" i="99"/>
  <c r="BE75" i="99"/>
  <c r="BJ75" i="99"/>
  <c r="BG75" i="99"/>
  <c r="BF164" i="99"/>
  <c r="BE164" i="99"/>
  <c r="BG164" i="99"/>
  <c r="BJ164" i="99"/>
  <c r="BE119" i="99"/>
  <c r="BF119" i="99"/>
  <c r="BJ119" i="99"/>
  <c r="BG119" i="99"/>
  <c r="BE145" i="99"/>
  <c r="BF145" i="99"/>
  <c r="BG145" i="99"/>
  <c r="BJ145" i="99"/>
  <c r="BE142" i="99"/>
  <c r="BF142" i="99"/>
  <c r="BJ142" i="99"/>
  <c r="BG142" i="99"/>
  <c r="BE171" i="99"/>
  <c r="BF171" i="99"/>
  <c r="BJ171" i="99"/>
  <c r="BG171" i="99"/>
  <c r="BF172" i="99"/>
  <c r="BE172" i="99"/>
  <c r="BJ172" i="99"/>
  <c r="BG172" i="99"/>
  <c r="BF48" i="99"/>
  <c r="BE48" i="99"/>
  <c r="BJ48" i="99"/>
  <c r="BG48" i="99"/>
  <c r="BF86" i="99"/>
  <c r="BE86" i="99"/>
  <c r="BJ86" i="99"/>
  <c r="BG86" i="99"/>
  <c r="BF227" i="99"/>
  <c r="BE227" i="99"/>
  <c r="BG227" i="99"/>
  <c r="BJ227" i="99"/>
  <c r="BE118" i="99"/>
  <c r="BF118" i="99"/>
  <c r="BJ118" i="99"/>
  <c r="BG118" i="99"/>
  <c r="BE216" i="99"/>
  <c r="BF216" i="99"/>
  <c r="BG216" i="99"/>
  <c r="BJ216" i="99"/>
  <c r="BF122" i="99"/>
  <c r="BE122" i="99"/>
  <c r="BJ122" i="99"/>
  <c r="BG122" i="99"/>
  <c r="BE60" i="99"/>
  <c r="BF60" i="99"/>
  <c r="BG60" i="99"/>
  <c r="BJ60" i="99"/>
  <c r="BF186" i="99"/>
  <c r="BE186" i="99"/>
  <c r="BG186" i="99"/>
  <c r="BJ186" i="99"/>
  <c r="BF196" i="99"/>
  <c r="BE196" i="99"/>
  <c r="BG196" i="99"/>
  <c r="BJ196" i="99"/>
  <c r="BE224" i="99"/>
  <c r="BF224" i="99"/>
  <c r="BG224" i="99"/>
  <c r="BJ224" i="99"/>
  <c r="BE141" i="99"/>
  <c r="BF141" i="99"/>
  <c r="BG141" i="99"/>
  <c r="BJ141" i="99"/>
  <c r="BF130" i="99"/>
  <c r="BE130" i="99"/>
  <c r="BJ130" i="99"/>
  <c r="BG130" i="99"/>
  <c r="BE84" i="99"/>
  <c r="BF84" i="99"/>
  <c r="BJ84" i="99"/>
  <c r="BG84" i="99"/>
  <c r="BE199" i="99"/>
  <c r="BF199" i="99"/>
  <c r="BG199" i="99"/>
  <c r="BJ199" i="99"/>
  <c r="BF41" i="99"/>
  <c r="BE41" i="99"/>
  <c r="BJ41" i="99"/>
  <c r="BG41" i="99"/>
  <c r="BF74" i="99"/>
  <c r="BE74" i="99"/>
  <c r="BJ74" i="99"/>
  <c r="BG74" i="99"/>
  <c r="BF28" i="99"/>
  <c r="BE28" i="99"/>
  <c r="BJ28" i="99"/>
  <c r="BG28" i="99"/>
  <c r="BE185" i="99"/>
  <c r="BF185" i="99"/>
  <c r="BG185" i="99"/>
  <c r="BJ185" i="99"/>
  <c r="BF253" i="99"/>
  <c r="BE253" i="99"/>
  <c r="BJ253" i="99"/>
  <c r="BG253" i="99"/>
  <c r="BE9" i="99"/>
  <c r="BF9" i="99"/>
  <c r="BG9" i="99"/>
  <c r="BJ9" i="99"/>
  <c r="BF190" i="99"/>
  <c r="BE190" i="99"/>
  <c r="BG190" i="99"/>
  <c r="BJ190" i="99"/>
  <c r="BF19" i="99"/>
  <c r="BE19" i="99"/>
  <c r="BJ19" i="99"/>
  <c r="BG19" i="99"/>
  <c r="BF116" i="99"/>
  <c r="BE116" i="99"/>
  <c r="BJ116" i="99"/>
  <c r="BG116" i="99"/>
  <c r="BF103" i="99"/>
  <c r="BE103" i="99"/>
  <c r="BJ103" i="99"/>
  <c r="BG103" i="99"/>
  <c r="BF112" i="99"/>
  <c r="BE112" i="99"/>
  <c r="BG112" i="99"/>
  <c r="BJ112" i="99"/>
  <c r="BE42" i="99"/>
  <c r="BF42" i="99"/>
  <c r="BG42" i="99"/>
  <c r="BJ42" i="99"/>
  <c r="BE123" i="99"/>
  <c r="BF123" i="99"/>
  <c r="BG123" i="99"/>
  <c r="BJ123" i="99"/>
  <c r="BF236" i="99"/>
  <c r="BE236" i="99"/>
  <c r="BG236" i="99"/>
  <c r="BJ236" i="99"/>
  <c r="BE16" i="99"/>
  <c r="BF16" i="99"/>
  <c r="BG16" i="99"/>
  <c r="BJ16" i="99"/>
  <c r="BE209" i="99"/>
  <c r="BF209" i="99"/>
  <c r="BG209" i="99"/>
  <c r="BJ209" i="99"/>
  <c r="BF10" i="99"/>
  <c r="BE10" i="99"/>
  <c r="BG10" i="99"/>
  <c r="BJ10" i="99"/>
  <c r="BE187" i="99"/>
  <c r="BF187" i="99"/>
  <c r="BG187" i="99"/>
  <c r="BJ187" i="99"/>
  <c r="BF220" i="99"/>
  <c r="BE220" i="99"/>
  <c r="BG220" i="99"/>
  <c r="BJ220" i="99"/>
  <c r="BE96" i="99"/>
  <c r="BF96" i="99"/>
  <c r="BJ96" i="99"/>
  <c r="BG96" i="99"/>
  <c r="BF158" i="99"/>
  <c r="BE158" i="99"/>
  <c r="BJ158" i="99"/>
  <c r="BG158" i="99"/>
  <c r="BE235" i="99"/>
  <c r="BF235" i="99"/>
  <c r="BG235" i="99"/>
  <c r="BJ235" i="99"/>
  <c r="BE71" i="99"/>
  <c r="BF71" i="99"/>
  <c r="BJ71" i="99"/>
  <c r="BG71" i="99"/>
  <c r="BF121" i="99"/>
  <c r="BE121" i="99"/>
  <c r="BG121" i="99"/>
  <c r="BJ121" i="99"/>
  <c r="BF178" i="99"/>
  <c r="BE178" i="99"/>
  <c r="BJ178" i="99"/>
  <c r="BG178" i="99"/>
  <c r="BF127" i="99"/>
  <c r="BE127" i="99"/>
  <c r="BJ127" i="99"/>
  <c r="BG127" i="99"/>
  <c r="BF194" i="99"/>
  <c r="BE194" i="99"/>
  <c r="BG194" i="99"/>
  <c r="BJ194" i="99"/>
  <c r="BE245" i="99"/>
  <c r="BF245" i="99"/>
  <c r="BJ245" i="99"/>
  <c r="BG245" i="99"/>
  <c r="BF248" i="99"/>
  <c r="BE248" i="99"/>
  <c r="BG248" i="99"/>
  <c r="BJ248" i="99"/>
  <c r="BE62" i="99"/>
  <c r="BF62" i="99"/>
  <c r="BJ62" i="99"/>
  <c r="BG62" i="99"/>
  <c r="BF146" i="99"/>
  <c r="BE146" i="99"/>
  <c r="BJ146" i="99"/>
  <c r="BG146" i="99"/>
  <c r="BF140" i="99"/>
  <c r="BE140" i="99"/>
  <c r="BJ140" i="99"/>
  <c r="BG140" i="99"/>
  <c r="BE207" i="99"/>
  <c r="BF207" i="99"/>
  <c r="BG207" i="99"/>
  <c r="BJ207" i="99"/>
  <c r="BE105" i="99"/>
  <c r="BF105" i="99"/>
  <c r="BG105" i="99"/>
  <c r="BJ105" i="99"/>
  <c r="BE138" i="99"/>
  <c r="BF138" i="99"/>
  <c r="BG138" i="99"/>
  <c r="BJ138" i="99"/>
  <c r="BF68" i="99"/>
  <c r="BE68" i="99"/>
  <c r="BG68" i="99"/>
  <c r="BJ68" i="99"/>
  <c r="BF239" i="99"/>
  <c r="BE239" i="99"/>
  <c r="BJ239" i="99"/>
  <c r="BG239" i="99"/>
  <c r="BF184" i="99"/>
  <c r="BE184" i="99"/>
  <c r="BG184" i="99"/>
  <c r="BJ184" i="99"/>
  <c r="BF101" i="99"/>
  <c r="BE101" i="99"/>
  <c r="BJ101" i="99"/>
  <c r="BG101" i="99"/>
  <c r="BE73" i="99"/>
  <c r="BF73" i="99"/>
  <c r="BJ73" i="99"/>
  <c r="BG73" i="99"/>
  <c r="BF198" i="99"/>
  <c r="BE198" i="99"/>
  <c r="BG198" i="99"/>
  <c r="BJ198" i="99"/>
  <c r="BE91" i="99"/>
  <c r="BF91" i="99"/>
  <c r="BG91" i="99"/>
  <c r="BJ91" i="99"/>
  <c r="BF132" i="99"/>
  <c r="BE132" i="99"/>
  <c r="BG132" i="99"/>
  <c r="BJ132" i="99"/>
  <c r="BE135" i="99"/>
  <c r="BF135" i="99"/>
  <c r="BJ135" i="99"/>
  <c r="BG135" i="99"/>
  <c r="BE160" i="99"/>
  <c r="BF160" i="99"/>
  <c r="BG160" i="99"/>
  <c r="BJ160" i="99"/>
  <c r="BF90" i="99"/>
  <c r="BE90" i="99"/>
  <c r="BG90" i="99"/>
  <c r="BJ90" i="99"/>
  <c r="BF131" i="99"/>
  <c r="BE131" i="99"/>
  <c r="BG131" i="99"/>
  <c r="BJ131" i="99"/>
  <c r="BF133" i="99"/>
  <c r="BE133" i="99"/>
  <c r="BG133" i="99"/>
  <c r="BJ133" i="99"/>
  <c r="BE104" i="99"/>
  <c r="BF104" i="99"/>
  <c r="BJ104" i="99"/>
  <c r="BG104" i="99"/>
  <c r="BE249" i="99"/>
  <c r="BF249" i="99"/>
  <c r="BG249" i="99"/>
  <c r="BJ249" i="99"/>
  <c r="BE82" i="99"/>
  <c r="BF82" i="99"/>
  <c r="BJ82" i="99"/>
  <c r="BG82" i="99"/>
  <c r="BF219" i="99"/>
  <c r="BE219" i="99"/>
  <c r="BJ219" i="99"/>
  <c r="BG219" i="99"/>
  <c r="BF228" i="99"/>
  <c r="BE228" i="99"/>
  <c r="BJ228" i="99"/>
  <c r="BG228" i="99"/>
  <c r="BF120" i="99"/>
  <c r="BE120" i="99"/>
  <c r="BJ120" i="99"/>
  <c r="BG120" i="99"/>
  <c r="BE214" i="99"/>
  <c r="BF214" i="99"/>
  <c r="BJ214" i="99"/>
  <c r="BG214" i="99"/>
  <c r="BE45" i="99"/>
  <c r="BF45" i="99"/>
  <c r="BJ45" i="99"/>
  <c r="BG45" i="99"/>
  <c r="BF64" i="99"/>
  <c r="BE64" i="99"/>
  <c r="BJ64" i="99"/>
  <c r="BG64" i="99"/>
  <c r="BE129" i="99"/>
  <c r="BF129" i="99"/>
  <c r="BJ129" i="99"/>
  <c r="BG129" i="99"/>
  <c r="BF242" i="99"/>
  <c r="BE242" i="99"/>
  <c r="BJ242" i="99"/>
  <c r="BG242" i="99"/>
  <c r="BE192" i="99"/>
  <c r="BF192" i="99"/>
  <c r="BG192" i="99"/>
  <c r="BJ192" i="99"/>
  <c r="BF197" i="99"/>
  <c r="BE197" i="99"/>
  <c r="BG197" i="99"/>
  <c r="BJ197" i="99"/>
  <c r="BE15" i="99"/>
  <c r="BF15" i="99"/>
  <c r="BG15" i="99"/>
  <c r="BJ15" i="99"/>
  <c r="BE61" i="99"/>
  <c r="BF61" i="99"/>
  <c r="BG61" i="99"/>
  <c r="BJ61" i="99"/>
  <c r="BE102" i="99"/>
  <c r="BF102" i="99"/>
  <c r="BJ102" i="99"/>
  <c r="BG102" i="99"/>
  <c r="BF170" i="99"/>
  <c r="BE170" i="99"/>
  <c r="BJ170" i="99"/>
  <c r="BG170" i="99"/>
  <c r="BF212" i="99"/>
  <c r="BE212" i="99"/>
  <c r="BG212" i="99"/>
  <c r="BJ212" i="99"/>
  <c r="BF8" i="99"/>
  <c r="BE8" i="99"/>
  <c r="BG8" i="99"/>
  <c r="BJ8" i="99"/>
  <c r="BE137" i="99"/>
  <c r="BF137" i="99"/>
  <c r="BJ137" i="99"/>
  <c r="BG137" i="99"/>
  <c r="BF226" i="99"/>
  <c r="BE226" i="99"/>
  <c r="BG226" i="99"/>
  <c r="BJ226" i="99"/>
  <c r="BF124" i="99"/>
  <c r="BE124" i="99"/>
  <c r="BG124" i="99"/>
  <c r="BJ124" i="99"/>
  <c r="BL192" i="99" l="1"/>
  <c r="BK192" i="99"/>
  <c r="BL91" i="99"/>
  <c r="BK91" i="99"/>
  <c r="BI245" i="99"/>
  <c r="BH245" i="99"/>
  <c r="BL236" i="99"/>
  <c r="BK236" i="99"/>
  <c r="BL199" i="99"/>
  <c r="BK199" i="99"/>
  <c r="BI122" i="99"/>
  <c r="BH122" i="99"/>
  <c r="BI75" i="99"/>
  <c r="BH75" i="99"/>
  <c r="BH25" i="99"/>
  <c r="BI25" i="99"/>
  <c r="BH251" i="99"/>
  <c r="BI251" i="99"/>
  <c r="BI113" i="99"/>
  <c r="BH113" i="99"/>
  <c r="BI114" i="99"/>
  <c r="BH114" i="99"/>
  <c r="BK225" i="99"/>
  <c r="BL225" i="99"/>
  <c r="BH89" i="99"/>
  <c r="BI89" i="99"/>
  <c r="BL70" i="99"/>
  <c r="BK70" i="99"/>
  <c r="BI78" i="99"/>
  <c r="BH78" i="99"/>
  <c r="BH57" i="99"/>
  <c r="BI57" i="99"/>
  <c r="BK53" i="99"/>
  <c r="BL53" i="99"/>
  <c r="BI117" i="99"/>
  <c r="BH117" i="99"/>
  <c r="BI125" i="99"/>
  <c r="BH125" i="99"/>
  <c r="BH240" i="99"/>
  <c r="BI240" i="99"/>
  <c r="BL128" i="99"/>
  <c r="BK128" i="99"/>
  <c r="BI124" i="99"/>
  <c r="BH124" i="99"/>
  <c r="BK137" i="99"/>
  <c r="BL137" i="99"/>
  <c r="BH212" i="99"/>
  <c r="BI212" i="99"/>
  <c r="BL102" i="99"/>
  <c r="BK102" i="99"/>
  <c r="BI15" i="99"/>
  <c r="BH15" i="99"/>
  <c r="BI192" i="99"/>
  <c r="BH192" i="99"/>
  <c r="BK129" i="99"/>
  <c r="BL129" i="99"/>
  <c r="BK45" i="99"/>
  <c r="BL45" i="99"/>
  <c r="BL120" i="99"/>
  <c r="BK120" i="99"/>
  <c r="BL219" i="99"/>
  <c r="BK219" i="99"/>
  <c r="BI249" i="99"/>
  <c r="BH249" i="99"/>
  <c r="BI133" i="99"/>
  <c r="BH133" i="99"/>
  <c r="BI90" i="99"/>
  <c r="BH90" i="99"/>
  <c r="BL135" i="99"/>
  <c r="BK135" i="99"/>
  <c r="BI91" i="99"/>
  <c r="BH91" i="99"/>
  <c r="BK73" i="99"/>
  <c r="BL73" i="99"/>
  <c r="BI184" i="99"/>
  <c r="BH184" i="99"/>
  <c r="BI68" i="99"/>
  <c r="BH68" i="99"/>
  <c r="BH105" i="99"/>
  <c r="BI105" i="99"/>
  <c r="BL140" i="99"/>
  <c r="BK140" i="99"/>
  <c r="BL62" i="99"/>
  <c r="BK62" i="99"/>
  <c r="BK245" i="99"/>
  <c r="BL245" i="99"/>
  <c r="BL127" i="99"/>
  <c r="BK127" i="99"/>
  <c r="BH121" i="99"/>
  <c r="BI121" i="99"/>
  <c r="BI235" i="99"/>
  <c r="BH235" i="99"/>
  <c r="BL96" i="99"/>
  <c r="BK96" i="99"/>
  <c r="BI187" i="99"/>
  <c r="BH187" i="99"/>
  <c r="BI209" i="99"/>
  <c r="BH209" i="99"/>
  <c r="BH236" i="99"/>
  <c r="BI236" i="99"/>
  <c r="BI42" i="99"/>
  <c r="BH42" i="99"/>
  <c r="BL103" i="99"/>
  <c r="BK103" i="99"/>
  <c r="BL19" i="99"/>
  <c r="BK19" i="99"/>
  <c r="BH9" i="99"/>
  <c r="BI9" i="99"/>
  <c r="BH185" i="99"/>
  <c r="BI185" i="99"/>
  <c r="BL74" i="99"/>
  <c r="BK74" i="99"/>
  <c r="BI199" i="99"/>
  <c r="BH199" i="99"/>
  <c r="BL130" i="99"/>
  <c r="BK130" i="99"/>
  <c r="BH224" i="99"/>
  <c r="BI224" i="99"/>
  <c r="BI186" i="99"/>
  <c r="BH186" i="99"/>
  <c r="BL122" i="99"/>
  <c r="BK122" i="99"/>
  <c r="BL118" i="99"/>
  <c r="BK118" i="99"/>
  <c r="BL86" i="99"/>
  <c r="BK86" i="99"/>
  <c r="BL172" i="99"/>
  <c r="BK172" i="99"/>
  <c r="BL142" i="99"/>
  <c r="BK142" i="99"/>
  <c r="BL119" i="99"/>
  <c r="BK119" i="99"/>
  <c r="BL75" i="99"/>
  <c r="BK75" i="99"/>
  <c r="BL247" i="99"/>
  <c r="BK247" i="99"/>
  <c r="BL36" i="99"/>
  <c r="BK36" i="99"/>
  <c r="BI182" i="99"/>
  <c r="BH182" i="99"/>
  <c r="BI155" i="99"/>
  <c r="BH155" i="99"/>
  <c r="BK25" i="99"/>
  <c r="BL25" i="99"/>
  <c r="BL44" i="99"/>
  <c r="BK44" i="99"/>
  <c r="BI13" i="99"/>
  <c r="BH13" i="99"/>
  <c r="BI92" i="99"/>
  <c r="BH92" i="99"/>
  <c r="BL251" i="99"/>
  <c r="BK251" i="99"/>
  <c r="BI176" i="99"/>
  <c r="BH176" i="99"/>
  <c r="BI67" i="99"/>
  <c r="BH67" i="99"/>
  <c r="BL24" i="99"/>
  <c r="BK24" i="99"/>
  <c r="BI83" i="99"/>
  <c r="BH83" i="99"/>
  <c r="BK113" i="99"/>
  <c r="BL113" i="99"/>
  <c r="BL76" i="99"/>
  <c r="BK76" i="99"/>
  <c r="BI94" i="99"/>
  <c r="BH94" i="99"/>
  <c r="BL23" i="99"/>
  <c r="BK23" i="99"/>
  <c r="BL114" i="99"/>
  <c r="BK114" i="99"/>
  <c r="BI40" i="99"/>
  <c r="BH40" i="99"/>
  <c r="BI99" i="99"/>
  <c r="BH99" i="99"/>
  <c r="BL232" i="99"/>
  <c r="BK232" i="99"/>
  <c r="BL43" i="99"/>
  <c r="BK43" i="99"/>
  <c r="BI225" i="99"/>
  <c r="BH225" i="99"/>
  <c r="BI52" i="99"/>
  <c r="BH52" i="99"/>
  <c r="BI147" i="99"/>
  <c r="BH147" i="99"/>
  <c r="BL152" i="99"/>
  <c r="BK152" i="99"/>
  <c r="BI234" i="99"/>
  <c r="BH234" i="99"/>
  <c r="BI63" i="99"/>
  <c r="BH63" i="99"/>
  <c r="BI11" i="99"/>
  <c r="BH11" i="99"/>
  <c r="BK89" i="99"/>
  <c r="BL89" i="99"/>
  <c r="BL20" i="99"/>
  <c r="BK20" i="99"/>
  <c r="BI70" i="99"/>
  <c r="BH70" i="99"/>
  <c r="BI205" i="99"/>
  <c r="BH205" i="99"/>
  <c r="BI98" i="99"/>
  <c r="BH98" i="99"/>
  <c r="BI32" i="99"/>
  <c r="BH32" i="99"/>
  <c r="BK109" i="99"/>
  <c r="BL109" i="99"/>
  <c r="BL59" i="99"/>
  <c r="BK59" i="99"/>
  <c r="BL168" i="99"/>
  <c r="BK168" i="99"/>
  <c r="BL78" i="99"/>
  <c r="BK78" i="99"/>
  <c r="BK217" i="99"/>
  <c r="BL217" i="99"/>
  <c r="BI5" i="99"/>
  <c r="BH5" i="99"/>
  <c r="BI107" i="99"/>
  <c r="BH107" i="99"/>
  <c r="BL144" i="99"/>
  <c r="BK144" i="99"/>
  <c r="BL154" i="99"/>
  <c r="BK154" i="99"/>
  <c r="BL39" i="99"/>
  <c r="BK39" i="99"/>
  <c r="BK85" i="99"/>
  <c r="BL85" i="99"/>
  <c r="BK57" i="99"/>
  <c r="BL57" i="99"/>
  <c r="BI229" i="99"/>
  <c r="BH229" i="99"/>
  <c r="BI233" i="99"/>
  <c r="BH233" i="99"/>
  <c r="BI180" i="99"/>
  <c r="BH180" i="99"/>
  <c r="BL18" i="99"/>
  <c r="BK18" i="99"/>
  <c r="BI201" i="99"/>
  <c r="BH201" i="99"/>
  <c r="BI53" i="99"/>
  <c r="BH53" i="99"/>
  <c r="BI222" i="99"/>
  <c r="BH222" i="99"/>
  <c r="BI183" i="99"/>
  <c r="BH183" i="99"/>
  <c r="BI65" i="99"/>
  <c r="BH65" i="99"/>
  <c r="BI157" i="99"/>
  <c r="BH157" i="99"/>
  <c r="BI149" i="99"/>
  <c r="BH149" i="99"/>
  <c r="BH208" i="99"/>
  <c r="BI208" i="99"/>
  <c r="BK117" i="99"/>
  <c r="BL117" i="99"/>
  <c r="BK221" i="99"/>
  <c r="BL221" i="99"/>
  <c r="BI22" i="99"/>
  <c r="BH22" i="99"/>
  <c r="BK125" i="99"/>
  <c r="BL125" i="99"/>
  <c r="BI151" i="99"/>
  <c r="BH151" i="99"/>
  <c r="BL203" i="99"/>
  <c r="BK203" i="99"/>
  <c r="BI161" i="99"/>
  <c r="BH161" i="99"/>
  <c r="BL244" i="99"/>
  <c r="BK244" i="99"/>
  <c r="BI206" i="99"/>
  <c r="BH206" i="99"/>
  <c r="BL95" i="99"/>
  <c r="BK95" i="99"/>
  <c r="BL240" i="99"/>
  <c r="BK240" i="99"/>
  <c r="BK169" i="99"/>
  <c r="BL169" i="99"/>
  <c r="BI93" i="99"/>
  <c r="BH93" i="99"/>
  <c r="BI128" i="99"/>
  <c r="BH128" i="99"/>
  <c r="BI243" i="99"/>
  <c r="BH243" i="99"/>
  <c r="BK77" i="99"/>
  <c r="BL77" i="99"/>
  <c r="BK173" i="99"/>
  <c r="BL173" i="99"/>
  <c r="BI202" i="99"/>
  <c r="BH202" i="99"/>
  <c r="BI143" i="99"/>
  <c r="BH143" i="99"/>
  <c r="BI115" i="99"/>
  <c r="BH115" i="99"/>
  <c r="BL15" i="99"/>
  <c r="BK15" i="99"/>
  <c r="BK133" i="99"/>
  <c r="BL133" i="99"/>
  <c r="BI140" i="99"/>
  <c r="BH140" i="99"/>
  <c r="BL187" i="99"/>
  <c r="BK187" i="99"/>
  <c r="BK185" i="99"/>
  <c r="BL185" i="99"/>
  <c r="BL186" i="99"/>
  <c r="BK186" i="99"/>
  <c r="BI247" i="99"/>
  <c r="BH247" i="99"/>
  <c r="BL176" i="99"/>
  <c r="BK176" i="99"/>
  <c r="BL40" i="99"/>
  <c r="BK40" i="99"/>
  <c r="BL234" i="99"/>
  <c r="BK234" i="99"/>
  <c r="BL98" i="99"/>
  <c r="BK98" i="99"/>
  <c r="BL107" i="99"/>
  <c r="BK107" i="99"/>
  <c r="BK233" i="99"/>
  <c r="BL233" i="99"/>
  <c r="BK65" i="99"/>
  <c r="BL65" i="99"/>
  <c r="BI221" i="99"/>
  <c r="BH221" i="99"/>
  <c r="BL206" i="99"/>
  <c r="BK206" i="99"/>
  <c r="BH169" i="99"/>
  <c r="BI169" i="99"/>
  <c r="BK93" i="99"/>
  <c r="BL93" i="99"/>
  <c r="BL115" i="99"/>
  <c r="BK115" i="99"/>
  <c r="BL124" i="99"/>
  <c r="BK124" i="99"/>
  <c r="BI45" i="99"/>
  <c r="BH45" i="99"/>
  <c r="BI135" i="99"/>
  <c r="BH135" i="99"/>
  <c r="BI62" i="99"/>
  <c r="BH62" i="99"/>
  <c r="BI74" i="99"/>
  <c r="BH74" i="99"/>
  <c r="BL63" i="99"/>
  <c r="BK63" i="99"/>
  <c r="BI109" i="99"/>
  <c r="BH109" i="99"/>
  <c r="BI144" i="99"/>
  <c r="BH144" i="99"/>
  <c r="BL180" i="99"/>
  <c r="BK180" i="99"/>
  <c r="BK149" i="99"/>
  <c r="BL149" i="99"/>
  <c r="BK161" i="99"/>
  <c r="BL161" i="99"/>
  <c r="BI173" i="99"/>
  <c r="BH173" i="99"/>
  <c r="BL212" i="99"/>
  <c r="BK212" i="99"/>
  <c r="BI129" i="99"/>
  <c r="BH129" i="99"/>
  <c r="BK249" i="99"/>
  <c r="BL249" i="99"/>
  <c r="BK105" i="99"/>
  <c r="BL105" i="99"/>
  <c r="BK121" i="99"/>
  <c r="BL121" i="99"/>
  <c r="BK209" i="99"/>
  <c r="BL209" i="99"/>
  <c r="BI103" i="99"/>
  <c r="BH103" i="99"/>
  <c r="BL224" i="99"/>
  <c r="BK224" i="99"/>
  <c r="BI172" i="99"/>
  <c r="BH172" i="99"/>
  <c r="BI119" i="99"/>
  <c r="BH119" i="99"/>
  <c r="BL182" i="99"/>
  <c r="BK182" i="99"/>
  <c r="BK13" i="99"/>
  <c r="BL13" i="99"/>
  <c r="BL67" i="99"/>
  <c r="BK67" i="99"/>
  <c r="BI23" i="99"/>
  <c r="BH23" i="99"/>
  <c r="BL52" i="99"/>
  <c r="BK52" i="99"/>
  <c r="BK205" i="99"/>
  <c r="BL205" i="99"/>
  <c r="BI217" i="99"/>
  <c r="BH217" i="99"/>
  <c r="BK229" i="99"/>
  <c r="BL229" i="99"/>
  <c r="BL183" i="99"/>
  <c r="BK183" i="99"/>
  <c r="BI203" i="99"/>
  <c r="BH203" i="99"/>
  <c r="BL202" i="99"/>
  <c r="BK202" i="99"/>
  <c r="BL226" i="99"/>
  <c r="BK226" i="99"/>
  <c r="BL8" i="99"/>
  <c r="BK8" i="99"/>
  <c r="BI170" i="99"/>
  <c r="BH170" i="99"/>
  <c r="BK61" i="99"/>
  <c r="BL61" i="99"/>
  <c r="BK197" i="99"/>
  <c r="BL197" i="99"/>
  <c r="BI242" i="99"/>
  <c r="BH242" i="99"/>
  <c r="BI64" i="99"/>
  <c r="BH64" i="99"/>
  <c r="BI214" i="99"/>
  <c r="BH214" i="99"/>
  <c r="BH228" i="99"/>
  <c r="BI228" i="99"/>
  <c r="BI82" i="99"/>
  <c r="BH82" i="99"/>
  <c r="BI104" i="99"/>
  <c r="BH104" i="99"/>
  <c r="BL131" i="99"/>
  <c r="BK131" i="99"/>
  <c r="BL160" i="99"/>
  <c r="BK160" i="99"/>
  <c r="BL132" i="99"/>
  <c r="BK132" i="99"/>
  <c r="BL198" i="99"/>
  <c r="BK198" i="99"/>
  <c r="BI101" i="99"/>
  <c r="BH101" i="99"/>
  <c r="BI239" i="99"/>
  <c r="BH239" i="99"/>
  <c r="BL138" i="99"/>
  <c r="BK138" i="99"/>
  <c r="BL207" i="99"/>
  <c r="BK207" i="99"/>
  <c r="BI146" i="99"/>
  <c r="BH146" i="99"/>
  <c r="BL248" i="99"/>
  <c r="BK248" i="99"/>
  <c r="BL194" i="99"/>
  <c r="BK194" i="99"/>
  <c r="BI178" i="99"/>
  <c r="BH178" i="99"/>
  <c r="BI71" i="99"/>
  <c r="BH71" i="99"/>
  <c r="BI158" i="99"/>
  <c r="BH158" i="99"/>
  <c r="BL220" i="99"/>
  <c r="BK220" i="99"/>
  <c r="BL10" i="99"/>
  <c r="BK10" i="99"/>
  <c r="BL16" i="99"/>
  <c r="BK16" i="99"/>
  <c r="BL123" i="99"/>
  <c r="BK123" i="99"/>
  <c r="BL112" i="99"/>
  <c r="BK112" i="99"/>
  <c r="BI116" i="99"/>
  <c r="BH116" i="99"/>
  <c r="BL190" i="99"/>
  <c r="BK190" i="99"/>
  <c r="BI253" i="99"/>
  <c r="BH253" i="99"/>
  <c r="BI28" i="99"/>
  <c r="BH28" i="99"/>
  <c r="BH41" i="99"/>
  <c r="BI41" i="99"/>
  <c r="BI84" i="99"/>
  <c r="BH84" i="99"/>
  <c r="BK141" i="99"/>
  <c r="BL141" i="99"/>
  <c r="BL196" i="99"/>
  <c r="BK196" i="99"/>
  <c r="BL60" i="99"/>
  <c r="BK60" i="99"/>
  <c r="BL216" i="99"/>
  <c r="BK216" i="99"/>
  <c r="BL227" i="99"/>
  <c r="BK227" i="99"/>
  <c r="BI48" i="99"/>
  <c r="BH48" i="99"/>
  <c r="BI171" i="99"/>
  <c r="BH171" i="99"/>
  <c r="BK145" i="99"/>
  <c r="BL145" i="99"/>
  <c r="BL164" i="99"/>
  <c r="BK164" i="99"/>
  <c r="BL166" i="99"/>
  <c r="BK166" i="99"/>
  <c r="BL47" i="99"/>
  <c r="BK47" i="99"/>
  <c r="BL162" i="99"/>
  <c r="BK162" i="99"/>
  <c r="BK213" i="99"/>
  <c r="BL213" i="99"/>
  <c r="BI150" i="99"/>
  <c r="BH150" i="99"/>
  <c r="BI175" i="99"/>
  <c r="BH175" i="99"/>
  <c r="BL58" i="99"/>
  <c r="BK58" i="99"/>
  <c r="BI69" i="99"/>
  <c r="BH69" i="99"/>
  <c r="BK37" i="99"/>
  <c r="BL37" i="99"/>
  <c r="BL66" i="99"/>
  <c r="BK66" i="99"/>
  <c r="BL148" i="99"/>
  <c r="BK148" i="99"/>
  <c r="BK189" i="99"/>
  <c r="BL189" i="99"/>
  <c r="BI156" i="99"/>
  <c r="BH156" i="99"/>
  <c r="BL134" i="99"/>
  <c r="BK134" i="99"/>
  <c r="BI87" i="99"/>
  <c r="BH87" i="99"/>
  <c r="BI51" i="99"/>
  <c r="BH51" i="99"/>
  <c r="BL223" i="99"/>
  <c r="BK223" i="99"/>
  <c r="BL12" i="99"/>
  <c r="BK12" i="99"/>
  <c r="BL54" i="99"/>
  <c r="BK54" i="99"/>
  <c r="BI159" i="99"/>
  <c r="BH159" i="99"/>
  <c r="BI110" i="99"/>
  <c r="BH110" i="99"/>
  <c r="BI111" i="99"/>
  <c r="BH111" i="99"/>
  <c r="BI50" i="99"/>
  <c r="BH50" i="99"/>
  <c r="BL231" i="99"/>
  <c r="BK231" i="99"/>
  <c r="BK241" i="99"/>
  <c r="BL241" i="99"/>
  <c r="BL174" i="99"/>
  <c r="BK174" i="99"/>
  <c r="BH252" i="99"/>
  <c r="BI252" i="99"/>
  <c r="BI177" i="99"/>
  <c r="BH177" i="99"/>
  <c r="BI108" i="99"/>
  <c r="BH108" i="99"/>
  <c r="BI30" i="99"/>
  <c r="BH30" i="99"/>
  <c r="BL55" i="99"/>
  <c r="BK55" i="99"/>
  <c r="BL6" i="99"/>
  <c r="BK6" i="99"/>
  <c r="BL215" i="99"/>
  <c r="BK215" i="99"/>
  <c r="BI181" i="99"/>
  <c r="BH181" i="99"/>
  <c r="BI46" i="99"/>
  <c r="BH46" i="99"/>
  <c r="BI211" i="99"/>
  <c r="BH211" i="99"/>
  <c r="BK153" i="99"/>
  <c r="BL153" i="99"/>
  <c r="BL38" i="99"/>
  <c r="BK38" i="99"/>
  <c r="BL79" i="99"/>
  <c r="BK79" i="99"/>
  <c r="BI238" i="99"/>
  <c r="BH238" i="99"/>
  <c r="BL191" i="99"/>
  <c r="BK191" i="99"/>
  <c r="BK193" i="99"/>
  <c r="BL193" i="99"/>
  <c r="BI126" i="99"/>
  <c r="BH126" i="99"/>
  <c r="BL4" i="99"/>
  <c r="BK4" i="99"/>
  <c r="BI49" i="99"/>
  <c r="BH49" i="99"/>
  <c r="BL100" i="99"/>
  <c r="BK100" i="99"/>
  <c r="BI14" i="99"/>
  <c r="BH14" i="99"/>
  <c r="BI7" i="99"/>
  <c r="BH7" i="99"/>
  <c r="BI165" i="99"/>
  <c r="BH165" i="99"/>
  <c r="BL167" i="99"/>
  <c r="BK167" i="99"/>
  <c r="BL26" i="99"/>
  <c r="BK26" i="99"/>
  <c r="BI27" i="99"/>
  <c r="BH27" i="99"/>
  <c r="BL72" i="99"/>
  <c r="BK72" i="99"/>
  <c r="BL250" i="99"/>
  <c r="BK250" i="99"/>
  <c r="BI81" i="99"/>
  <c r="BH81" i="99"/>
  <c r="BL195" i="99"/>
  <c r="BK195" i="99"/>
  <c r="BL35" i="99"/>
  <c r="BK35" i="99"/>
  <c r="BI88" i="99"/>
  <c r="BH88" i="99"/>
  <c r="BI34" i="99"/>
  <c r="BH34" i="99"/>
  <c r="BI31" i="99"/>
  <c r="BH31" i="99"/>
  <c r="BI218" i="99"/>
  <c r="BH218" i="99"/>
  <c r="BL200" i="99"/>
  <c r="BK200" i="99"/>
  <c r="BL163" i="99"/>
  <c r="BK163" i="99"/>
  <c r="BK97" i="99"/>
  <c r="BL97" i="99"/>
  <c r="BH204" i="99"/>
  <c r="BI204" i="99"/>
  <c r="BI237" i="99"/>
  <c r="BH237" i="99"/>
  <c r="BI56" i="99"/>
  <c r="BH56" i="99"/>
  <c r="BI210" i="99"/>
  <c r="BH210" i="99"/>
  <c r="BK17" i="99"/>
  <c r="BL17" i="99"/>
  <c r="BL179" i="99"/>
  <c r="BK179" i="99"/>
  <c r="BK29" i="99"/>
  <c r="BL29" i="99"/>
  <c r="BI80" i="99"/>
  <c r="BH80" i="99"/>
  <c r="BI246" i="99"/>
  <c r="BH246" i="99"/>
  <c r="BK21" i="99"/>
  <c r="BL21" i="99"/>
  <c r="BL106" i="99"/>
  <c r="BK106" i="99"/>
  <c r="BI136" i="99"/>
  <c r="BH136" i="99"/>
  <c r="BL139" i="99"/>
  <c r="BK139" i="99"/>
  <c r="BK33" i="99"/>
  <c r="BL33" i="99"/>
  <c r="BI188" i="99"/>
  <c r="BH188" i="99"/>
  <c r="BL230" i="99"/>
  <c r="BK230" i="99"/>
  <c r="BH137" i="99"/>
  <c r="BI137" i="99"/>
  <c r="BH73" i="99"/>
  <c r="BI73" i="99"/>
  <c r="BL92" i="99"/>
  <c r="BK92" i="99"/>
  <c r="BI76" i="99"/>
  <c r="BH76" i="99"/>
  <c r="BL99" i="99"/>
  <c r="BK99" i="99"/>
  <c r="BL147" i="99"/>
  <c r="BK147" i="99"/>
  <c r="BL32" i="99"/>
  <c r="BK32" i="99"/>
  <c r="BK5" i="99"/>
  <c r="BL5" i="99"/>
  <c r="BI85" i="99"/>
  <c r="BH85" i="99"/>
  <c r="BK201" i="99"/>
  <c r="BL201" i="99"/>
  <c r="BK157" i="99"/>
  <c r="BL157" i="99"/>
  <c r="BL22" i="99"/>
  <c r="BK22" i="99"/>
  <c r="BI95" i="99"/>
  <c r="BH95" i="99"/>
  <c r="BL243" i="99"/>
  <c r="BK243" i="99"/>
  <c r="BI226" i="99"/>
  <c r="BH226" i="99"/>
  <c r="BI8" i="99"/>
  <c r="BH8" i="99"/>
  <c r="BL170" i="99"/>
  <c r="BK170" i="99"/>
  <c r="BI61" i="99"/>
  <c r="BH61" i="99"/>
  <c r="BI197" i="99"/>
  <c r="BH197" i="99"/>
  <c r="BL242" i="99"/>
  <c r="BK242" i="99"/>
  <c r="BL64" i="99"/>
  <c r="BK64" i="99"/>
  <c r="BL214" i="99"/>
  <c r="BK214" i="99"/>
  <c r="BL228" i="99"/>
  <c r="BK228" i="99"/>
  <c r="BL82" i="99"/>
  <c r="BK82" i="99"/>
  <c r="BL104" i="99"/>
  <c r="BK104" i="99"/>
  <c r="BI131" i="99"/>
  <c r="BH131" i="99"/>
  <c r="BI160" i="99"/>
  <c r="BH160" i="99"/>
  <c r="BI132" i="99"/>
  <c r="BH132" i="99"/>
  <c r="BI198" i="99"/>
  <c r="BH198" i="99"/>
  <c r="BK101" i="99"/>
  <c r="BL101" i="99"/>
  <c r="BL239" i="99"/>
  <c r="BK239" i="99"/>
  <c r="BI138" i="99"/>
  <c r="BH138" i="99"/>
  <c r="BI207" i="99"/>
  <c r="BH207" i="99"/>
  <c r="BL146" i="99"/>
  <c r="BK146" i="99"/>
  <c r="BH248" i="99"/>
  <c r="BI248" i="99"/>
  <c r="BI194" i="99"/>
  <c r="BH194" i="99"/>
  <c r="BL178" i="99"/>
  <c r="BK178" i="99"/>
  <c r="BL71" i="99"/>
  <c r="BK71" i="99"/>
  <c r="BL158" i="99"/>
  <c r="BK158" i="99"/>
  <c r="BH220" i="99"/>
  <c r="BI220" i="99"/>
  <c r="BI10" i="99"/>
  <c r="BH10" i="99"/>
  <c r="BI16" i="99"/>
  <c r="BH16" i="99"/>
  <c r="BI123" i="99"/>
  <c r="BH123" i="99"/>
  <c r="BI112" i="99"/>
  <c r="BH112" i="99"/>
  <c r="BL116" i="99"/>
  <c r="BK116" i="99"/>
  <c r="BI190" i="99"/>
  <c r="BH190" i="99"/>
  <c r="BK253" i="99"/>
  <c r="BL253" i="99"/>
  <c r="BL28" i="99"/>
  <c r="BK28" i="99"/>
  <c r="BK41" i="99"/>
  <c r="BL41" i="99"/>
  <c r="BL84" i="99"/>
  <c r="BK84" i="99"/>
  <c r="BI141" i="99"/>
  <c r="BH141" i="99"/>
  <c r="BI196" i="99"/>
  <c r="BH196" i="99"/>
  <c r="BI60" i="99"/>
  <c r="BH60" i="99"/>
  <c r="BH216" i="99"/>
  <c r="BI216" i="99"/>
  <c r="BI227" i="99"/>
  <c r="BH227" i="99"/>
  <c r="BL48" i="99"/>
  <c r="BK48" i="99"/>
  <c r="BL171" i="99"/>
  <c r="BK171" i="99"/>
  <c r="BI145" i="99"/>
  <c r="BH145" i="99"/>
  <c r="BI164" i="99"/>
  <c r="BH164" i="99"/>
  <c r="BI166" i="99"/>
  <c r="BH166" i="99"/>
  <c r="BI47" i="99"/>
  <c r="BH47" i="99"/>
  <c r="BI162" i="99"/>
  <c r="BH162" i="99"/>
  <c r="BI213" i="99"/>
  <c r="BH213" i="99"/>
  <c r="BL150" i="99"/>
  <c r="BK150" i="99"/>
  <c r="BL175" i="99"/>
  <c r="BK175" i="99"/>
  <c r="BI58" i="99"/>
  <c r="BH58" i="99"/>
  <c r="BK69" i="99"/>
  <c r="BL69" i="99"/>
  <c r="BI37" i="99"/>
  <c r="BH37" i="99"/>
  <c r="BI66" i="99"/>
  <c r="BH66" i="99"/>
  <c r="BI148" i="99"/>
  <c r="BH148" i="99"/>
  <c r="BI189" i="99"/>
  <c r="BH189" i="99"/>
  <c r="BL156" i="99"/>
  <c r="BK156" i="99"/>
  <c r="BI134" i="99"/>
  <c r="BH134" i="99"/>
  <c r="BL87" i="99"/>
  <c r="BK87" i="99"/>
  <c r="BL51" i="99"/>
  <c r="BK51" i="99"/>
  <c r="BI223" i="99"/>
  <c r="BH223" i="99"/>
  <c r="BI12" i="99"/>
  <c r="BH12" i="99"/>
  <c r="BI54" i="99"/>
  <c r="BH54" i="99"/>
  <c r="BL159" i="99"/>
  <c r="BK159" i="99"/>
  <c r="BL110" i="99"/>
  <c r="BK110" i="99"/>
  <c r="BL111" i="99"/>
  <c r="BK111" i="99"/>
  <c r="BL50" i="99"/>
  <c r="BK50" i="99"/>
  <c r="BI231" i="99"/>
  <c r="BH231" i="99"/>
  <c r="BI241" i="99"/>
  <c r="BH241" i="99"/>
  <c r="BI174" i="99"/>
  <c r="BH174" i="99"/>
  <c r="BL252" i="99"/>
  <c r="BK252" i="99"/>
  <c r="BK177" i="99"/>
  <c r="BL177" i="99"/>
  <c r="BL108" i="99"/>
  <c r="BK108" i="99"/>
  <c r="BL30" i="99"/>
  <c r="BK30" i="99"/>
  <c r="BI55" i="99"/>
  <c r="BH55" i="99"/>
  <c r="BI6" i="99"/>
  <c r="BH6" i="99"/>
  <c r="BI215" i="99"/>
  <c r="BH215" i="99"/>
  <c r="BK181" i="99"/>
  <c r="BL181" i="99"/>
  <c r="BL46" i="99"/>
  <c r="BK46" i="99"/>
  <c r="BL211" i="99"/>
  <c r="BK211" i="99"/>
  <c r="BH153" i="99"/>
  <c r="BI153" i="99"/>
  <c r="BI38" i="99"/>
  <c r="BH38" i="99"/>
  <c r="BI79" i="99"/>
  <c r="BH79" i="99"/>
  <c r="BL238" i="99"/>
  <c r="BK238" i="99"/>
  <c r="BI191" i="99"/>
  <c r="BH191" i="99"/>
  <c r="BI193" i="99"/>
  <c r="BH193" i="99"/>
  <c r="BL126" i="99"/>
  <c r="BK126" i="99"/>
  <c r="BI4" i="99"/>
  <c r="BH4" i="99"/>
  <c r="BK49" i="99"/>
  <c r="BL49" i="99"/>
  <c r="BI100" i="99"/>
  <c r="BH100" i="99"/>
  <c r="BL14" i="99"/>
  <c r="BK14" i="99"/>
  <c r="BL7" i="99"/>
  <c r="BK7" i="99"/>
  <c r="BK165" i="99"/>
  <c r="BL165" i="99"/>
  <c r="BI167" i="99"/>
  <c r="BH167" i="99"/>
  <c r="BI26" i="99"/>
  <c r="BH26" i="99"/>
  <c r="BL27" i="99"/>
  <c r="BK27" i="99"/>
  <c r="BI72" i="99"/>
  <c r="BH72" i="99"/>
  <c r="BI250" i="99"/>
  <c r="BH250" i="99"/>
  <c r="BK81" i="99"/>
  <c r="BL81" i="99"/>
  <c r="BI195" i="99"/>
  <c r="BH195" i="99"/>
  <c r="BI35" i="99"/>
  <c r="BH35" i="99"/>
  <c r="BL88" i="99"/>
  <c r="BK88" i="99"/>
  <c r="BL34" i="99"/>
  <c r="BK34" i="99"/>
  <c r="BL31" i="99"/>
  <c r="BK31" i="99"/>
  <c r="BL218" i="99"/>
  <c r="BK218" i="99"/>
  <c r="BH200" i="99"/>
  <c r="BI200" i="99"/>
  <c r="BI163" i="99"/>
  <c r="BH163" i="99"/>
  <c r="BI97" i="99"/>
  <c r="BH97" i="99"/>
  <c r="BL204" i="99"/>
  <c r="BK204" i="99"/>
  <c r="BK237" i="99"/>
  <c r="BL237" i="99"/>
  <c r="BL56" i="99"/>
  <c r="BK56" i="99"/>
  <c r="BL210" i="99"/>
  <c r="BK210" i="99"/>
  <c r="BI17" i="99"/>
  <c r="BH17" i="99"/>
  <c r="BI179" i="99"/>
  <c r="BH179" i="99"/>
  <c r="BI29" i="99"/>
  <c r="BH29" i="99"/>
  <c r="BL80" i="99"/>
  <c r="BK80" i="99"/>
  <c r="BL246" i="99"/>
  <c r="BK246" i="99"/>
  <c r="BI21" i="99"/>
  <c r="BH21" i="99"/>
  <c r="BI106" i="99"/>
  <c r="BH106" i="99"/>
  <c r="BL136" i="99"/>
  <c r="BK136" i="99"/>
  <c r="BI139" i="99"/>
  <c r="BH139" i="99"/>
  <c r="BI33" i="99"/>
  <c r="BH33" i="99"/>
  <c r="BL188" i="99"/>
  <c r="BK188" i="99"/>
  <c r="BI230" i="99"/>
  <c r="BH230" i="99"/>
  <c r="BI102" i="99"/>
  <c r="BH102" i="99"/>
  <c r="BI120" i="99"/>
  <c r="BH120" i="99"/>
  <c r="BL90" i="99"/>
  <c r="BK90" i="99"/>
  <c r="BL68" i="99"/>
  <c r="BK68" i="99"/>
  <c r="BI127" i="99"/>
  <c r="BH127" i="99"/>
  <c r="BI96" i="99"/>
  <c r="BH96" i="99"/>
  <c r="BL42" i="99"/>
  <c r="BK42" i="99"/>
  <c r="BK9" i="99"/>
  <c r="BL9" i="99"/>
  <c r="BI130" i="99"/>
  <c r="BH130" i="99"/>
  <c r="BI86" i="99"/>
  <c r="BH86" i="99"/>
  <c r="BI142" i="99"/>
  <c r="BH142" i="99"/>
  <c r="BI36" i="99"/>
  <c r="BH36" i="99"/>
  <c r="BI44" i="99"/>
  <c r="BH44" i="99"/>
  <c r="BI24" i="99"/>
  <c r="BH24" i="99"/>
  <c r="BL94" i="99"/>
  <c r="BK94" i="99"/>
  <c r="BI43" i="99"/>
  <c r="BH43" i="99"/>
  <c r="BI152" i="99"/>
  <c r="BH152" i="99"/>
  <c r="BI20" i="99"/>
  <c r="BH20" i="99"/>
  <c r="BI168" i="99"/>
  <c r="BH168" i="99"/>
  <c r="BI39" i="99"/>
  <c r="BH39" i="99"/>
  <c r="BL222" i="99"/>
  <c r="BK222" i="99"/>
  <c r="BL151" i="99"/>
  <c r="BK151" i="99"/>
  <c r="BL143" i="99"/>
  <c r="BK143" i="99"/>
  <c r="BH219" i="99"/>
  <c r="BI219" i="99"/>
  <c r="BL184" i="99"/>
  <c r="BK184" i="99"/>
  <c r="BL235" i="99"/>
  <c r="BK235" i="99"/>
  <c r="BI19" i="99"/>
  <c r="BH19" i="99"/>
  <c r="BI118" i="99"/>
  <c r="BH118" i="99"/>
  <c r="BL155" i="99"/>
  <c r="BK155" i="99"/>
  <c r="BL83" i="99"/>
  <c r="BK83" i="99"/>
  <c r="BH232" i="99"/>
  <c r="BI232" i="99"/>
  <c r="BL11" i="99"/>
  <c r="BK11" i="99"/>
  <c r="BI59" i="99"/>
  <c r="BH59" i="99"/>
  <c r="BI154" i="99"/>
  <c r="BH154" i="99"/>
  <c r="BI18" i="99"/>
  <c r="BH18" i="99"/>
  <c r="BL208" i="99"/>
  <c r="BK208" i="99"/>
  <c r="BH244" i="99"/>
  <c r="BI244" i="99"/>
  <c r="BI77" i="99"/>
  <c r="BH77" i="99"/>
  <c r="BV28" i="71" l="1"/>
  <c r="BV35" i="71"/>
  <c r="BV38" i="71"/>
  <c r="CL46" i="71" s="1"/>
  <c r="BV36" i="71"/>
  <c r="CL44" i="71" s="1"/>
  <c r="BV34" i="71"/>
  <c r="CL42" i="71" s="1"/>
  <c r="BV37" i="71"/>
  <c r="CL45" i="71" s="1"/>
  <c r="CD45" i="71" s="1"/>
  <c r="BV72" i="71" s="1"/>
  <c r="BV64" i="71" s="1"/>
  <c r="BV39" i="71"/>
  <c r="CL47" i="71" s="1"/>
  <c r="BV31" i="71"/>
  <c r="BV29" i="71"/>
  <c r="BV32" i="71"/>
  <c r="BV27" i="71"/>
  <c r="BV30" i="71"/>
  <c r="J4" i="71" l="1"/>
  <c r="J2" i="71" s="1"/>
  <c r="CD47" i="71"/>
  <c r="BV74" i="71" s="1"/>
  <c r="BV66" i="71" s="1"/>
  <c r="BV47" i="71"/>
  <c r="BV58" i="71" s="1"/>
  <c r="BV89" i="71" s="1"/>
  <c r="BV42" i="71"/>
  <c r="CD42" i="71"/>
  <c r="BV69" i="71" s="1"/>
  <c r="BV61" i="71" s="1"/>
  <c r="BV44" i="71"/>
  <c r="CD44" i="71"/>
  <c r="BV71" i="71" s="1"/>
  <c r="BV63" i="71" s="1"/>
  <c r="BV46" i="71"/>
  <c r="BV57" i="71" s="1"/>
  <c r="BV88" i="71" s="1"/>
  <c r="CD46" i="71"/>
  <c r="BV73" i="71" s="1"/>
  <c r="BV65" i="71" s="1"/>
  <c r="CL43" i="71"/>
  <c r="BV45" i="71"/>
  <c r="BV56" i="71" s="1"/>
  <c r="J12" i="71"/>
  <c r="J13" i="71"/>
  <c r="J3" i="71" l="1"/>
  <c r="BV53" i="71"/>
  <c r="BV84" i="71" s="1"/>
  <c r="BV43" i="71"/>
  <c r="CD43" i="71"/>
  <c r="BV70" i="71" s="1"/>
  <c r="BV62" i="71" s="1"/>
  <c r="J7" i="71"/>
  <c r="Q7" i="71" s="1"/>
  <c r="BV49" i="71"/>
  <c r="BV55" i="71"/>
  <c r="BV86" i="71" s="1"/>
  <c r="DN4" i="71"/>
  <c r="DN10" i="71"/>
  <c r="DN3" i="71"/>
  <c r="DO4" i="71" s="1"/>
  <c r="BV87" i="71"/>
  <c r="DN14" i="71"/>
  <c r="DN25" i="71"/>
  <c r="DN6" i="71"/>
  <c r="DN8" i="71"/>
  <c r="DN24" i="71"/>
  <c r="DN19" i="71"/>
  <c r="DN7" i="71"/>
  <c r="DN13" i="71"/>
  <c r="DN23" i="71"/>
  <c r="DN20" i="71"/>
  <c r="DN9" i="71"/>
  <c r="DN18" i="71"/>
  <c r="DN22" i="71"/>
  <c r="DN5" i="71"/>
  <c r="DN12" i="71"/>
  <c r="DN11" i="71"/>
  <c r="DN17" i="71"/>
  <c r="DN21" i="71"/>
  <c r="DN16" i="71"/>
  <c r="DN15" i="71"/>
  <c r="J10" i="71" l="1"/>
  <c r="Q10" i="71" s="1"/>
  <c r="BV50" i="71"/>
  <c r="DW4" i="71"/>
  <c r="DO5" i="71"/>
  <c r="BV54" i="71"/>
  <c r="BV85" i="71" s="1"/>
  <c r="CC80" i="71" s="1"/>
  <c r="DO6" i="71" l="1"/>
  <c r="DW5" i="71"/>
  <c r="DO7" i="71" l="1"/>
  <c r="DW6" i="71"/>
  <c r="DO8" i="71" l="1"/>
  <c r="DW7" i="71"/>
  <c r="DO9" i="71" l="1"/>
  <c r="DW8" i="71"/>
  <c r="DW9" i="71" l="1"/>
  <c r="DO10" i="71"/>
  <c r="DW10" i="71" l="1"/>
  <c r="DO11" i="71"/>
  <c r="DO12" i="71" l="1"/>
  <c r="DW11" i="71"/>
  <c r="DO13" i="71" l="1"/>
  <c r="DW12" i="71"/>
  <c r="DO14" i="71" l="1"/>
  <c r="DW13" i="71"/>
  <c r="DO15" i="71" l="1"/>
  <c r="DW14" i="71"/>
  <c r="DW15" i="71" l="1"/>
  <c r="DO16" i="71"/>
  <c r="DW16" i="71" l="1"/>
  <c r="DO17" i="71"/>
  <c r="DO18" i="71" l="1"/>
  <c r="DW17" i="71"/>
  <c r="DO19" i="71" l="1"/>
  <c r="DW18" i="71"/>
  <c r="DO20" i="71" l="1"/>
  <c r="DW19" i="71"/>
  <c r="DO21" i="71" l="1"/>
  <c r="DW20" i="71"/>
  <c r="DW21" i="71" l="1"/>
  <c r="DO22" i="71"/>
  <c r="DW22" i="71" l="1"/>
  <c r="DO23" i="71"/>
  <c r="DO24" i="71" l="1"/>
  <c r="DW23" i="71"/>
  <c r="DO25" i="71" l="1"/>
  <c r="DW24" i="71"/>
  <c r="DO26" i="71" l="1"/>
  <c r="DW25" i="71"/>
  <c r="DO27" i="71" l="1"/>
  <c r="DW26" i="71"/>
  <c r="DW27" i="71" l="1"/>
  <c r="DO28" i="71"/>
  <c r="DW28" i="71" l="1"/>
  <c r="DO29" i="71"/>
  <c r="DO30" i="71" l="1"/>
  <c r="DW29" i="71"/>
  <c r="DO31" i="71" l="1"/>
  <c r="DW30" i="71"/>
  <c r="DO32" i="71" l="1"/>
  <c r="DW31" i="71"/>
  <c r="DO33" i="71" l="1"/>
  <c r="DW32" i="71"/>
  <c r="DW33" i="71" l="1"/>
  <c r="DO34" i="71"/>
  <c r="DW34" i="71" l="1"/>
  <c r="DO35" i="71"/>
  <c r="DO36" i="71" l="1"/>
  <c r="DW35" i="71"/>
  <c r="DO37" i="71" l="1"/>
  <c r="DW36" i="71"/>
  <c r="DO38" i="71" l="1"/>
  <c r="DW37" i="71"/>
  <c r="DO39" i="71" l="1"/>
  <c r="DW38" i="71"/>
  <c r="DW39" i="71" l="1"/>
  <c r="DO40" i="71"/>
  <c r="DW40" i="71" l="1"/>
  <c r="DO41" i="71"/>
  <c r="DO42" i="71" l="1"/>
  <c r="DW41" i="71"/>
  <c r="DO43" i="71" l="1"/>
  <c r="DW42" i="71"/>
  <c r="DO44" i="71" l="1"/>
  <c r="DW43" i="71"/>
  <c r="DO45" i="71" l="1"/>
  <c r="DW44" i="71"/>
  <c r="DW45" i="71" l="1"/>
  <c r="DO46" i="71"/>
  <c r="DW46" i="71" l="1"/>
  <c r="DO47" i="71"/>
  <c r="DO48" i="71" l="1"/>
  <c r="DW47" i="71"/>
  <c r="DO49" i="71" l="1"/>
  <c r="DW48" i="71"/>
  <c r="DO50" i="71" l="1"/>
  <c r="DW49" i="71"/>
  <c r="DO51" i="71" l="1"/>
  <c r="DW50" i="71"/>
  <c r="DW51" i="71" l="1"/>
  <c r="DO52" i="71"/>
  <c r="DW52" i="71" l="1"/>
  <c r="DO53" i="71"/>
  <c r="DO54" i="71" l="1"/>
  <c r="DW53" i="71"/>
  <c r="DO55" i="71" l="1"/>
  <c r="DW54" i="71"/>
  <c r="DO56" i="71" l="1"/>
  <c r="DW55" i="71"/>
  <c r="DO57" i="71" l="1"/>
  <c r="DW56" i="71"/>
  <c r="DW57" i="71" l="1"/>
  <c r="DO58" i="71"/>
  <c r="DW58" i="71" l="1"/>
  <c r="DO59" i="71"/>
  <c r="DO60" i="71" l="1"/>
  <c r="DW59" i="71"/>
  <c r="DO61" i="71" l="1"/>
  <c r="DW60" i="71"/>
  <c r="DO62" i="71" l="1"/>
  <c r="DW61" i="71"/>
  <c r="DO63" i="71" l="1"/>
  <c r="DW62" i="71"/>
  <c r="DW63" i="71" l="1"/>
  <c r="DO64" i="71"/>
  <c r="DW64" i="71" l="1"/>
  <c r="DO65" i="71"/>
  <c r="DO66" i="71" l="1"/>
  <c r="DW65" i="71"/>
  <c r="DO67" i="71" l="1"/>
  <c r="DW66" i="71"/>
  <c r="DO68" i="71" l="1"/>
  <c r="DW67" i="71"/>
  <c r="DO69" i="71" l="1"/>
  <c r="DW68" i="71"/>
  <c r="DW69" i="71" l="1"/>
  <c r="DO70" i="71"/>
  <c r="DW70" i="71" l="1"/>
  <c r="DO71" i="71"/>
  <c r="DO72" i="71" l="1"/>
  <c r="DW71" i="71"/>
  <c r="DO73" i="71" l="1"/>
  <c r="DW72" i="71"/>
  <c r="DO74" i="71" l="1"/>
  <c r="DW73" i="71"/>
  <c r="DO75" i="71" l="1"/>
  <c r="DW74" i="71"/>
  <c r="DW75" i="71" l="1"/>
  <c r="DO76" i="71"/>
  <c r="DW76" i="71" l="1"/>
  <c r="DO77" i="71"/>
  <c r="DO78" i="71" l="1"/>
  <c r="DW77" i="71"/>
  <c r="DO79" i="71" l="1"/>
  <c r="DW78" i="71"/>
  <c r="DO80" i="71" l="1"/>
  <c r="DW79" i="71"/>
  <c r="DO81" i="71" l="1"/>
  <c r="DW80" i="71"/>
  <c r="DW81" i="71" l="1"/>
  <c r="DO82" i="71"/>
  <c r="DW82" i="71" l="1"/>
  <c r="DO83" i="71"/>
  <c r="DW83" i="71" s="1"/>
  <c r="DW88" i="71" s="1"/>
  <c r="DW86" i="71" l="1"/>
  <c r="DW90" i="71"/>
  <c r="DW87" i="71"/>
  <c r="DW92" i="71" s="1"/>
  <c r="DW89" i="71"/>
  <c r="DW93" i="7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tc={EA0449E1-E343-488E-B7C6-C47AB65EB99D}</author>
    <author>tc={284EBB7A-ED8C-4EA3-8BBC-35442F70934F}</author>
    <author>tc={96D873CA-BE3F-4F92-B6B0-8A49A0DDFDBC}</author>
    <author>tc={7A15D2E7-1B19-414F-9011-EC2A7E65BD10}</author>
    <author>tc={AA8CA752-07B3-4E40-8DE2-B92CCD1BC06A}</author>
    <author>tc={877964E8-9529-42DC-97F2-649DC2E102F8}</author>
    <author>tc={14AA4DD8-2A34-4E2B-BBF9-4F774AF29642}</author>
    <author>tc={0946038E-F91D-4096-B03C-6C494DF72472}</author>
    <author>tc={3ECFFFE8-EECD-4A3F-9DAB-C7ACD11DD6F2}</author>
    <author>tc={F4182CB7-80A7-4388-8B9B-FC139CB54764}</author>
    <author>tc={BD6A2077-7445-46AA-AFDF-AF6C98F9E93D}</author>
    <author>tc={E519B7E8-C53E-4B52-B613-A9623CFE77CC}</author>
    <author>tc={A5D01FA2-C6E1-4B1F-B150-D4CC97DE3C30}</author>
    <author>tc={2C4291A3-09C1-43C2-8A04-DCC8DC5DA1D0}</author>
    <author>tc={C1DDF414-7C27-47D5-92D6-F116D5A1EF79}</author>
    <author>tc={BE5B4979-B7E1-484E-9666-E59AA26BA146}</author>
    <author>tc={FAC9B98A-25CB-4AAF-93F5-CE995AA5E30D}</author>
    <author>tc={C1FF9249-7055-4605-AC92-597A5655374E}</author>
  </authors>
  <commentList>
    <comment ref="J122" authorId="0" shapeId="0" xr:uid="{EA0449E1-E343-488E-B7C6-C47AB65EB99D}">
      <text>
        <t>[Threaded comment]
Your version of Excel allows you to read this threaded comment; however, any edits to it will get removed if the file is opened in a newer version of Excel. Learn more: https://go.microsoft.com/fwlink/?linkid=870924
Comment:
    Central African Republic
- Chad
- Congo
- Equatorial Guinea
- Gabon
- Sao Tome and Principe</t>
      </text>
    </comment>
    <comment ref="J123" authorId="1" shapeId="0" xr:uid="{284EBB7A-ED8C-4EA3-8BBC-35442F70934F}">
      <text>
        <t>[Threaded comment]
Your version of Excel allows you to read this threaded comment; however, any edits to it will get removed if the file is opened in a newer version of Excel. Learn more: https://go.microsoft.com/fwlink/?linkid=870924
Comment:
    Belize</t>
      </text>
    </comment>
    <comment ref="J124" authorId="2" shapeId="0" xr:uid="{96D873CA-BE3F-4F92-B6B0-8A49A0DDFDBC}">
      <text>
        <t>[Threaded comment]
Your version of Excel allows you to read this threaded comment; however, any edits to it will get removed if the file is opened in a newer version of Excel. Learn more: https://go.microsoft.com/fwlink/?linkid=870924
Comment:
    Burundi
- Comoros
- Djibouti
- Eritrea
- Mayotte
- Seychelles
- Somalia
- Sudan</t>
      </text>
    </comment>
    <comment ref="J125" authorId="3" shapeId="0" xr:uid="{7A15D2E7-1B19-414F-9011-EC2A7E65BD10}">
      <text>
        <t>[Threaded comment]
Your version of Excel allows you to read this threaded comment; however, any edits to it will get removed if the file is opened in a newer version of Excel. Learn more: https://go.microsoft.com/fwlink/?linkid=870924
Comment:
    - Korea, Democratic People's Republic of
- Macao, Special Administrative Region of China</t>
      </text>
    </comment>
    <comment ref="J127" authorId="4" shapeId="0" xr:uid="{AA8CA752-07B3-4E40-8DE2-B92CCD1BC06A}">
      <text>
        <t>[Threaded comment]
Your version of Excel allows you to read this threaded comment; however, any edits to it will get removed if the file is opened in a newer version of Excel. Learn more: https://go.microsoft.com/fwlink/?linkid=870924
Comment:
    - Iceland
- Liechtenstein</t>
      </text>
    </comment>
    <comment ref="J128" authorId="5" shapeId="0" xr:uid="{877964E8-9529-42DC-97F2-649DC2E102F8}">
      <text>
        <t>[Threaded comment]
Your version of Excel allows you to read this threaded comment; however, any edits to it will get removed if the file is opened in a newer version of Excel. Learn more: https://go.microsoft.com/fwlink/?linkid=870924
Comment:
    Andorra
- Bosnia and Herzegovina
- Faroe Islands
- Gibraltar
- Guernsey
- Holy See (Vatican City State)
- Isle of Man
- Jersey
- Macedonia, Republic of
- Monaco
- Montenegro
- San Marino
- Serbia</t>
      </text>
    </comment>
    <comment ref="J129" authorId="6" shapeId="0" xr:uid="{14AA4DD8-2A34-4E2B-BBF9-4F774AF29642}">
      <text>
        <t>[Threaded comment]
Your version of Excel allows you to read this threaded comment; however, any edits to it will get removed if the file is opened in a newer version of Excel. Learn more: https://go.microsoft.com/fwlink/?linkid=870924
Comment:
    - Tajikistan
- Turkmenistan
- Uzbekistan</t>
      </text>
    </comment>
    <comment ref="J130" authorId="7" shapeId="0" xr:uid="{0946038E-F91D-4096-B03C-6C494DF72472}">
      <text>
        <t>[Threaded comment]
Your version of Excel allows you to read this threaded comment; however, any edits to it will get removed if the file is opened in a newer version of Excel. Learn more: https://go.microsoft.com/fwlink/?linkid=870924
Comment:
    - Algeria
- Libya
- Western Sahara</t>
      </text>
    </comment>
    <comment ref="J131" authorId="8" shapeId="0" xr:uid="{3ECFFFE8-EECD-4A3F-9DAB-C7ACD11DD6F2}">
      <text>
        <t>[Threaded comment]
Your version of Excel allows you to read this threaded comment; however, any edits to it will get removed if the file is opened in a newer version of Excel. Learn more: https://go.microsoft.com/fwlink/?linkid=870924
Comment:
    - Bermuda
- Greenland
- Saint Pierre and Miquelon</t>
      </text>
    </comment>
    <comment ref="J132" authorId="9" shapeId="0" xr:uid="{F4182CB7-80A7-4388-8B9B-FC139CB54764}">
      <text>
        <t>[Threaded comment]
Your version of Excel allows you to read this threaded comment; however, any edits to it will get removed if the file is opened in a newer version of Excel. Learn more: https://go.microsoft.com/fwlink/?linkid=870924
Comment:
    - American Samoa
- Cook Islands
- Fiji
- French Polynesia
- Guam
- Kiribati
- Marshall Islands
- Micronesia, Federated States of
- Nauru
- New Caledonia
- Niue
- Northern Mariana Islands
- Palau
- Papua New Guinea
- Pitcairn
- Samoa
- Solomon Islands
- Tokelau
- Tonga
- Tuvalu
- United States Minor Outlying Islands
- Vanuatu
- Wallis and Futuna Islands</t>
      </text>
    </comment>
    <comment ref="J133" authorId="10" shapeId="0" xr:uid="{BD6A2077-7445-46AA-AFDF-AF6C98F9E93D}">
      <text>
        <t>[Threaded comment]
Your version of Excel allows you to read this threaded comment; however, any edits to it will get removed if the file is opened in a newer version of Excel. Learn more: https://go.microsoft.com/fwlink/?linkid=870924
Comment:
    - Lesotho
- Swaziland</t>
      </text>
    </comment>
    <comment ref="J134" authorId="11" shapeId="0" xr:uid="{E519B7E8-C53E-4B52-B613-A9623CFE77CC}">
      <text>
        <t>[Threaded comment]
Your version of Excel allows you to read this threaded comment; however, any edits to it will get removed if the file is opened in a newer version of Excel. Learn more: https://go.microsoft.com/fwlink/?linkid=870924
Comment:
    - Falkland Islands (Malvinas)
- French Guiana
- Guyana
- South Georgia and the South Sandwich Islands
- Suriname</t>
      </text>
    </comment>
    <comment ref="J135" authorId="12" shapeId="0" xr:uid="{A5D01FA2-C6E1-4B1F-B150-D4CC97DE3C30}">
      <text>
        <t>[Threaded comment]
Your version of Excel allows you to read this threaded comment; however, any edits to it will get removed if the file is opened in a newer version of Excel. Learn more: https://go.microsoft.com/fwlink/?linkid=870924
Comment:
    - Afghanistan
- Bhutan
- Maldives</t>
      </text>
    </comment>
    <comment ref="J136" authorId="13" shapeId="0" xr:uid="{2C4291A3-09C1-43C2-8A04-DCC8DC5DA1D0}">
      <text>
        <t>[Threaded comment]
Your version of Excel allows you to read this threaded comment; however, any edits to it will get removed if the file is opened in a newer version of Excel. Learn more: https://go.microsoft.com/fwlink/?linkid=870924
Comment:
    Angola
- Congo, Democratic Republic of the</t>
      </text>
    </comment>
    <comment ref="J137" authorId="14" shapeId="0" xr:uid="{C1DDF414-7C27-47D5-92D6-F116D5A1EF79}">
      <text>
        <t>[Threaded comment]
Your version of Excel allows you to read this threaded comment; however, any edits to it will get removed if the file is opened in a newer version of Excel. Learn more: https://go.microsoft.com/fwlink/?linkid=870924
Comment:
    - Myanmar
- Timor-Leste</t>
      </text>
    </comment>
    <comment ref="J138" authorId="15" shapeId="0" xr:uid="{BE5B4979-B7E1-484E-9666-E59AA26BA146}">
      <text>
        <t>[Threaded comment]
Your version of Excel allows you to read this threaded comment; however, any edits to it will get removed if the file is opened in a newer version of Excel. Learn more: https://go.microsoft.com/fwlink/?linkid=870924
Comment:
    - Anguilla
- Antigua and Barbuda
- Aruba
- Bahamas
- Barbados
- British Virgin Islands
- Cayman Islands
- Cuba
- Dominica
- Grenada
- Haiti
- Montserrat
- Netherlands Antilles
- Saint Kitts and Nevis
- Saint Lucia
- Saint Vincent and Grenadines
- Turks and Caicos Islands
- Virgin Islands, US</t>
      </text>
    </comment>
    <comment ref="J140" authorId="16" shapeId="0" xr:uid="{FAC9B98A-25CB-4AAF-93F5-CE995AA5E30D}">
      <text>
        <t>[Threaded comment]
Your version of Excel allows you to read this threaded comment; however, any edits to it will get removed if the file is opened in a newer version of Excel. Learn more: https://go.microsoft.com/fwlink/?linkid=870924
Comment:
    Cape Verde
- Gambia
- Guinea-Bissau
- Liberia
- Mali
- Mauritania
- Niger
- Saint Helena
- Sierra Leone</t>
      </text>
    </comment>
    <comment ref="J141" authorId="17" shapeId="0" xr:uid="{C1FF9249-7055-4605-AC92-597A5655374E}">
      <text>
        <t>[Threaded comment]
Your version of Excel allows you to read this threaded comment; however, any edits to it will get removed if the file is opened in a newer version of Excel. Learn more: https://go.microsoft.com/fwlink/?linkid=870924
Comment:
    - Iraq
- Lebanon
- Palestinian Territory, Occupied
- Syrian Arab Republic (Syria)
- Yemen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tc={89E582E8-3785-49AA-9E1D-B54C23C66759}</author>
    <author>tc={20C0C081-B0B3-46A7-892D-AA6BA55B85B7}</author>
    <author>tc={917D79D2-50F7-456E-A310-84FDCB718C7A}</author>
    <author>tc={1E53BA33-E7A6-4011-8D3C-272238CBEDA4}</author>
    <author>tc={46242320-98C9-44BE-8AB6-F579DC7205D5}</author>
    <author>tc={B790DE5E-4EF9-4B60-9898-494499077BC5}</author>
    <author>tc={51DEB8BC-F998-41EA-B11F-DE49420E2797}</author>
    <author>tc={A80CE003-606A-4BEE-B32B-CB0F3EC5FDFA}</author>
    <author>tc={7AC7F8FF-86AC-4A79-AB86-E9BC8FB2CAAA}</author>
    <author>tc={74587549-8D3D-4D42-88B0-5E0003F02E73}</author>
    <author>tc={BF22E63F-6B24-4580-A46F-B4DD09F5EA6A}</author>
    <author>tc={10F0AC50-2657-45EF-A326-6DEBEA4B47D4}</author>
    <author>tc={11611879-813B-4FF3-9D34-ABF92CFB8CDC}</author>
    <author>tc={16405E3E-62AC-4335-AE98-B2623F061CB3}</author>
    <author>tc={62CF87E2-4C2E-4486-B337-4256975B36B2}</author>
    <author>tc={E7BD9C68-FB98-4BC7-9F63-DB24477C24DA}</author>
  </authors>
  <commentList>
    <comment ref="H121" authorId="0" shapeId="0" xr:uid="{89E582E8-3785-49AA-9E1D-B54C23C66759}">
      <text>
        <t>[Threaded comment]
Your version of Excel allows you to read this threaded comment; however, any edits to it will get removed if the file is opened in a newer version of Excel. Learn more: https://go.microsoft.com/fwlink/?linkid=870924
Comment:
    Central African Republic
- Chad
- Congo
- Equatorial Guinea
- Gabon
- Sao Tome and Principe</t>
      </text>
    </comment>
    <comment ref="H122" authorId="1" shapeId="0" xr:uid="{20C0C081-B0B3-46A7-892D-AA6BA55B85B7}">
      <text>
        <t>[Threaded comment]
Your version of Excel allows you to read this threaded comment; however, any edits to it will get removed if the file is opened in a newer version of Excel. Learn more: https://go.microsoft.com/fwlink/?linkid=870924
Comment:
    Belize</t>
      </text>
    </comment>
    <comment ref="H123" authorId="2" shapeId="0" xr:uid="{917D79D2-50F7-456E-A310-84FDCB718C7A}">
      <text>
        <t>[Threaded comment]
Your version of Excel allows you to read this threaded comment; however, any edits to it will get removed if the file is opened in a newer version of Excel. Learn more: https://go.microsoft.com/fwlink/?linkid=870924
Comment:
    - Korea, Democratic People's Republic of
- Macao, Special Administrative Region of China</t>
      </text>
    </comment>
    <comment ref="H124" authorId="3" shapeId="0" xr:uid="{1E53BA33-E7A6-4011-8D3C-272238CBEDA4}">
      <text>
        <t>[Threaded comment]
Your version of Excel allows you to read this threaded comment; however, any edits to it will get removed if the file is opened in a newer version of Excel. Learn more: https://go.microsoft.com/fwlink/?linkid=870924
Comment:
    Burundi
- Comoros
- Djibouti
- Eritrea
- Mayotte
- Seychelles
- Somalia
- Sudan</t>
      </text>
    </comment>
    <comment ref="H126" authorId="4" shapeId="0" xr:uid="{46242320-98C9-44BE-8AB6-F579DC7205D5}">
      <text>
        <t>[Threaded comment]
Your version of Excel allows you to read this threaded comment; however, any edits to it will get removed if the file is opened in a newer version of Excel. Learn more: https://go.microsoft.com/fwlink/?linkid=870924
Comment:
    - Iceland
- Liechtenstein</t>
      </text>
    </comment>
    <comment ref="H127" authorId="5" shapeId="0" xr:uid="{B790DE5E-4EF9-4B60-9898-494499077BC5}">
      <text>
        <t>[Threaded comment]
Your version of Excel allows you to read this threaded comment; however, any edits to it will get removed if the file is opened in a newer version of Excel. Learn more: https://go.microsoft.com/fwlink/?linkid=870924
Comment:
    Andorra
- Bosnia and Herzegovina
- Faroe Islands
- Gibraltar
- Guernsey
- Holy See (Vatican City State)
- Isle of Man
- Jersey
- Macedonia, Republic of
- Monaco
- Montenegro
- San Marino
- Serbia</t>
      </text>
    </comment>
    <comment ref="H128" authorId="6" shapeId="0" xr:uid="{51DEB8BC-F998-41EA-B11F-DE49420E2797}">
      <text>
        <t>[Threaded comment]
Your version of Excel allows you to read this threaded comment; however, any edits to it will get removed if the file is opened in a newer version of Excel. Learn more: https://go.microsoft.com/fwlink/?linkid=870924
Comment:
    - Tajikistan
- Turkmenistan
- Uzbekistan</t>
      </text>
    </comment>
    <comment ref="H129" authorId="7" shapeId="0" xr:uid="{A80CE003-606A-4BEE-B32B-CB0F3EC5FDFA}">
      <text>
        <t>[Threaded comment]
Your version of Excel allows you to read this threaded comment; however, any edits to it will get removed if the file is opened in a newer version of Excel. Learn more: https://go.microsoft.com/fwlink/?linkid=870924
Comment:
    - Algeria
- Libya
- Western Sahara</t>
      </text>
    </comment>
    <comment ref="H130" authorId="8" shapeId="0" xr:uid="{7AC7F8FF-86AC-4A79-AB86-E9BC8FB2CAAA}">
      <text>
        <t>[Threaded comment]
Your version of Excel allows you to read this threaded comment; however, any edits to it will get removed if the file is opened in a newer version of Excel. Learn more: https://go.microsoft.com/fwlink/?linkid=870924
Comment:
    - Bermuda
- Greenland
- Saint Pierre and Miquelon</t>
      </text>
    </comment>
    <comment ref="H131" authorId="9" shapeId="0" xr:uid="{74587549-8D3D-4D42-88B0-5E0003F02E73}">
      <text>
        <t>[Threaded comment]
Your version of Excel allows you to read this threaded comment; however, any edits to it will get removed if the file is opened in a newer version of Excel. Learn more: https://go.microsoft.com/fwlink/?linkid=870924
Comment:
    - American Samoa
- Cook Islands
- Fiji
- French Polynesia
- Guam
- Kiribati
- Marshall Islands
- Micronesia, Federated States of
- Nauru
- New Caledonia
- Niue
- Northern Mariana Islands
- Palau
- Papua New Guinea
- Pitcairn
- Samoa
- Solomon Islands
- Tokelau
- Tonga
- Tuvalu
- United States Minor Outlying Islands
- Vanuatu
- Wallis and Futuna Islands</t>
      </text>
    </comment>
    <comment ref="H132" authorId="10" shapeId="0" xr:uid="{BF22E63F-6B24-4580-A46F-B4DD09F5EA6A}">
      <text>
        <t>[Threaded comment]
Your version of Excel allows you to read this threaded comment; however, any edits to it will get removed if the file is opened in a newer version of Excel. Learn more: https://go.microsoft.com/fwlink/?linkid=870924
Comment:
    - Lesotho
- Swaziland</t>
      </text>
    </comment>
    <comment ref="H134" authorId="11" shapeId="0" xr:uid="{10F0AC50-2657-45EF-A326-6DEBEA4B47D4}">
      <text>
        <t>[Threaded comment]
Your version of Excel allows you to read this threaded comment; however, any edits to it will get removed if the file is opened in a newer version of Excel. Learn more: https://go.microsoft.com/fwlink/?linkid=870924
Comment:
    - Afghanistan
- Bhutan
- Maldives</t>
      </text>
    </comment>
    <comment ref="H135" authorId="12" shapeId="0" xr:uid="{11611879-813B-4FF3-9D34-ABF92CFB8CDC}">
      <text>
        <t>[Threaded comment]
Your version of Excel allows you to read this threaded comment; however, any edits to it will get removed if the file is opened in a newer version of Excel. Learn more: https://go.microsoft.com/fwlink/?linkid=870924
Comment:
    Angola
- Congo, Democratic Republic of the</t>
      </text>
    </comment>
    <comment ref="H136" authorId="13" shapeId="0" xr:uid="{16405E3E-62AC-4335-AE98-B2623F061CB3}">
      <text>
        <t>[Threaded comment]
Your version of Excel allows you to read this threaded comment; however, any edits to it will get removed if the file is opened in a newer version of Excel. Learn more: https://go.microsoft.com/fwlink/?linkid=870924
Comment:
    - Myanmar
- Timor-Leste</t>
      </text>
    </comment>
    <comment ref="H138" authorId="14" shapeId="0" xr:uid="{62CF87E2-4C2E-4486-B337-4256975B36B2}">
      <text>
        <t>[Threaded comment]
Your version of Excel allows you to read this threaded comment; however, any edits to it will get removed if the file is opened in a newer version of Excel. Learn more: https://go.microsoft.com/fwlink/?linkid=870924
Comment:
    Cape Verde
- Gambia
- Guinea-Bissau
- Liberia
- Mali
- Mauritania
- Niger
- Saint Helena
- Sierra Leone</t>
      </text>
    </comment>
    <comment ref="H140" authorId="15" shapeId="0" xr:uid="{E7BD9C68-FB98-4BC7-9F63-DB24477C24DA}">
      <text>
        <t>[Threaded comment]
Your version of Excel allows you to read this threaded comment; however, any edits to it will get removed if the file is opened in a newer version of Excel. Learn more: https://go.microsoft.com/fwlink/?linkid=870924
Comment:
    - Anguilla
- Antigua and Barbuda
- Aruba
- Bahamas
- Barbados
- British Virgin Islands
- Cayman Islands
- Cuba
- Dominica
- Grenada
- Haiti
- Montserrat
- Netherlands Antilles
- Saint Kitts and Nevis
- Saint Lucia
- Saint Vincent and Grenadines
- Turks and Caicos Islands
- Virgin Islands, US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<sst xmlns="http://schemas.openxmlformats.org/spreadsheetml/2006/main" count="4727" uniqueCount="1115">
  <si>
    <t>Nordhaus 1994a</t>
  </si>
  <si>
    <t>Nordhaus 1994b</t>
  </si>
  <si>
    <t>Fankhauser 1995</t>
  </si>
  <si>
    <t>Tol 1995</t>
  </si>
  <si>
    <t>Nordhaus and Yang 1996</t>
  </si>
  <si>
    <t>Plambeck and Hope 1996</t>
  </si>
  <si>
    <t>Nordhaus and Boyer 2000</t>
  </si>
  <si>
    <t>Tol 2002</t>
  </si>
  <si>
    <t>Maddison 2003</t>
  </si>
  <si>
    <t>Rehdanz and Maddison 2005</t>
  </si>
  <si>
    <t>Hope 2006</t>
  </si>
  <si>
    <t>Nordhaus 2006</t>
  </si>
  <si>
    <t>warming</t>
  </si>
  <si>
    <t>impact</t>
  </si>
  <si>
    <t>stdev</t>
  </si>
  <si>
    <t>min</t>
  </si>
  <si>
    <t>max</t>
  </si>
  <si>
    <t>Nordhaus 2008</t>
  </si>
  <si>
    <t>Maddison and Rehdanz 2011</t>
  </si>
  <si>
    <t>Bosello et al.  2012</t>
  </si>
  <si>
    <t>Roson and van der Mensbrugghe 2012</t>
  </si>
  <si>
    <t>Total</t>
  </si>
  <si>
    <t>F</t>
  </si>
  <si>
    <t>SD</t>
  </si>
  <si>
    <t>SD+</t>
  </si>
  <si>
    <t>SD-</t>
  </si>
  <si>
    <t>Nordhaus 2013</t>
  </si>
  <si>
    <t>central</t>
  </si>
  <si>
    <t>sd+</t>
  </si>
  <si>
    <t>sd-</t>
  </si>
  <si>
    <t>upper</t>
  </si>
  <si>
    <t>lower</t>
  </si>
  <si>
    <t>point estimates</t>
  </si>
  <si>
    <t>temp</t>
  </si>
  <si>
    <t>Table 1</t>
  </si>
  <si>
    <t>Fig1</t>
  </si>
  <si>
    <t>Figure 1</t>
  </si>
  <si>
    <t>Figure 2</t>
  </si>
  <si>
    <t>Graph</t>
  </si>
  <si>
    <t>Regressions</t>
  </si>
  <si>
    <t>Table 2</t>
  </si>
  <si>
    <t>Documentation</t>
  </si>
  <si>
    <t>Nordhaus 1991</t>
  </si>
  <si>
    <t>p. 933</t>
  </si>
  <si>
    <t>Nordhaus does not specify the exact value</t>
  </si>
  <si>
    <t xml:space="preserve">p. 46 </t>
  </si>
  <si>
    <t>comments</t>
  </si>
  <si>
    <t>"doubling in the atmospheric concentration of carbon dioxide" is typically meant to mean a doubling compared to pre-industrial times</t>
  </si>
  <si>
    <t>p. 4-31</t>
  </si>
  <si>
    <t>p. 3516</t>
  </si>
  <si>
    <t>p. 3517, Table 2</t>
  </si>
  <si>
    <t>p. 47; Fig 2 (scen A)</t>
  </si>
  <si>
    <t>Appendix (var A1)</t>
  </si>
  <si>
    <t>Appendix (eq YY)</t>
  </si>
  <si>
    <t>p. 55, Table 3.15</t>
  </si>
  <si>
    <t>p. 27</t>
  </si>
  <si>
    <t>p. 65, Table VIII</t>
  </si>
  <si>
    <t>p. 355, Table I</t>
  </si>
  <si>
    <t>p. 2</t>
  </si>
  <si>
    <t>p. 140, Fig 22</t>
  </si>
  <si>
    <t>p. 51, Fig 3-3</t>
  </si>
  <si>
    <t>Berz undated</t>
  </si>
  <si>
    <t>Table</t>
  </si>
  <si>
    <t>USA</t>
  </si>
  <si>
    <t>Japan</t>
  </si>
  <si>
    <t>China</t>
  </si>
  <si>
    <t>EU</t>
  </si>
  <si>
    <t>fSU</t>
  </si>
  <si>
    <t>RoW</t>
  </si>
  <si>
    <t>p. 746, Table 2</t>
  </si>
  <si>
    <t>Damage</t>
  </si>
  <si>
    <t>Source</t>
  </si>
  <si>
    <t>GDP</t>
  </si>
  <si>
    <t>Appendix B</t>
  </si>
  <si>
    <t>share</t>
  </si>
  <si>
    <t>Income</t>
  </si>
  <si>
    <t>10^6 $(1990)/year</t>
  </si>
  <si>
    <t>10^9</t>
  </si>
  <si>
    <t>10^12 $(1990)/year</t>
  </si>
  <si>
    <t>10^3 $(1990)/person/year</t>
  </si>
  <si>
    <t>year</t>
  </si>
  <si>
    <t>Population</t>
  </si>
  <si>
    <t>Other OECD</t>
  </si>
  <si>
    <t>fSU + EE</t>
  </si>
  <si>
    <t>South Asia</t>
  </si>
  <si>
    <t>Afr + MDE</t>
  </si>
  <si>
    <t>LA</t>
  </si>
  <si>
    <t>%GDP</t>
  </si>
  <si>
    <t>p. 789</t>
  </si>
  <si>
    <t>p. 789, Table 3</t>
  </si>
  <si>
    <t>Impact</t>
  </si>
  <si>
    <t>CAN</t>
  </si>
  <si>
    <t>WEU</t>
  </si>
  <si>
    <t>JSK</t>
  </si>
  <si>
    <t>ANZ</t>
  </si>
  <si>
    <t>EEU</t>
  </si>
  <si>
    <t>FSU</t>
  </si>
  <si>
    <t>MDE</t>
  </si>
  <si>
    <t>CAM</t>
  </si>
  <si>
    <t>SAM</t>
  </si>
  <si>
    <t>SAS</t>
  </si>
  <si>
    <t>SEA</t>
  </si>
  <si>
    <t>CHI</t>
  </si>
  <si>
    <t>NAF</t>
  </si>
  <si>
    <t>SSA</t>
  </si>
  <si>
    <t>SIS</t>
  </si>
  <si>
    <t>10^9 $</t>
  </si>
  <si>
    <t>Non-economic impact</t>
  </si>
  <si>
    <t>Economic impact</t>
  </si>
  <si>
    <t>Multiplier</t>
  </si>
  <si>
    <t>low</t>
  </si>
  <si>
    <t>mid</t>
  </si>
  <si>
    <t>high</t>
  </si>
  <si>
    <t>p. 46, Table 7, fn a</t>
  </si>
  <si>
    <t>p. 40, Table 2</t>
  </si>
  <si>
    <t>p. 41, Table 3 &amp; p. 46</t>
  </si>
  <si>
    <t>Table 2: $55 bln</t>
  </si>
  <si>
    <t>Table 3: $145 bln; p. 46: $145 bln ~ 0.1% GDP</t>
  </si>
  <si>
    <t>Argentina</t>
  </si>
  <si>
    <t>Australia</t>
  </si>
  <si>
    <t>Austria</t>
  </si>
  <si>
    <t>Bahamas</t>
  </si>
  <si>
    <t>Bangladesh</t>
  </si>
  <si>
    <t>Barbados</t>
  </si>
  <si>
    <t>Belgium</t>
  </si>
  <si>
    <t>Benin</t>
  </si>
  <si>
    <t>Bolivia</t>
  </si>
  <si>
    <t>n.a.</t>
  </si>
  <si>
    <t>Botswana</t>
  </si>
  <si>
    <t>Brazil</t>
  </si>
  <si>
    <t>Cameroon</t>
  </si>
  <si>
    <t>Canada</t>
  </si>
  <si>
    <t>Chile</t>
  </si>
  <si>
    <t>Colombia</t>
  </si>
  <si>
    <t>Congo</t>
  </si>
  <si>
    <t>Costa Rica</t>
  </si>
  <si>
    <t>Denmark</t>
  </si>
  <si>
    <t>Dominica</t>
  </si>
  <si>
    <t>Ecuador</t>
  </si>
  <si>
    <t>Egypt</t>
  </si>
  <si>
    <t>El Salvador</t>
  </si>
  <si>
    <t>Ethiopia</t>
  </si>
  <si>
    <t>Finland</t>
  </si>
  <si>
    <t>France</t>
  </si>
  <si>
    <t>Germany</t>
  </si>
  <si>
    <t>Greece</t>
  </si>
  <si>
    <t>Grenada</t>
  </si>
  <si>
    <t>Guatemala</t>
  </si>
  <si>
    <t>Honduras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</si>
  <si>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</si>
  <si>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</si>
  <si>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</si>
  <si>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</si>
  <si>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</si>
  <si>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</si>
  <si>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</si>
  <si>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</si>
  <si>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</si>
  <si>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Ivory Coast</t>
  </si>
  <si>
    <t>Jamaica</t>
  </si>
  <si>
    <t>Kenya</t>
  </si>
  <si>
    <t>Luxembourg</t>
  </si>
  <si>
    <t>Madagascar</t>
  </si>
  <si>
    <t>Malawi</t>
  </si>
  <si>
    <t>Malaysia</t>
  </si>
  <si>
    <t>Mali</t>
  </si>
  <si>
    <t>Mauritius</t>
  </si>
  <si>
    <t>Mexico</t>
  </si>
  <si>
    <t>Morocco</t>
  </si>
  <si>
    <t>Nepal</t>
  </si>
  <si>
    <t>Netherlands</t>
  </si>
  <si>
    <t>New Zealand</t>
  </si>
  <si>
    <t>Nigeria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</si>
  <si>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</si>
  <si>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</si>
  <si>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</si>
  <si>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</si>
  <si>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</si>
  <si>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</si>
  <si>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</si>
  <si>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</si>
  <si>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</si>
  <si>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Rwanda</t>
  </si>
  <si>
    <t>Saint Lucia</t>
  </si>
  <si>
    <t>Senegal</t>
  </si>
  <si>
    <t>Sierra Leone</t>
  </si>
  <si>
    <t>South Korea</t>
  </si>
  <si>
    <t>Spain</t>
  </si>
  <si>
    <t>Sri Lanka</t>
  </si>
  <si>
    <t>Suriname</t>
  </si>
  <si>
    <t>Swaziland</t>
  </si>
  <si>
    <t>Sweden</t>
  </si>
  <si>
    <t>Switzerland</t>
  </si>
  <si>
    <t>Syria</t>
  </si>
  <si>
    <t>Tanzania</t>
  </si>
  <si>
    <t>Thailand</t>
  </si>
  <si>
    <t>Trinidad and Tobago</t>
  </si>
  <si>
    <t>Tunisia</t>
  </si>
  <si>
    <t>Turkey</t>
  </si>
  <si>
    <t>United Kingdom</t>
  </si>
  <si>
    <t>United States</t>
  </si>
  <si>
    <t>Uruguay</t>
  </si>
  <si>
    <t>Venezuela</t>
  </si>
  <si>
    <t>Yugoslavia</t>
  </si>
  <si>
    <t>Zambia</t>
  </si>
  <si>
    <t>Zimbabwe</t>
  </si>
  <si>
    <t>%</t>
  </si>
  <si>
    <t>Singapore</t>
  </si>
  <si>
    <t>Cote d'Ivoire</t>
  </si>
  <si>
    <t>Hong Kong, China SAR</t>
  </si>
  <si>
    <t>Iran, Islamic Rep</t>
  </si>
  <si>
    <t>Tanzania, United Rep</t>
  </si>
  <si>
    <t>Armenia</t>
  </si>
  <si>
    <t>Azerbaijan</t>
  </si>
  <si>
    <t>Belarus</t>
  </si>
  <si>
    <t>Bosnia-Hercegovina</t>
  </si>
  <si>
    <t>Bulgaria</t>
  </si>
  <si>
    <t>Croatia</t>
  </si>
  <si>
    <t>Czechiaa</t>
  </si>
  <si>
    <t>Czechoslovakiaa</t>
  </si>
  <si>
    <t>Dominican Republic</t>
  </si>
  <si>
    <t>Estonia</t>
  </si>
  <si>
    <t>Georgia</t>
  </si>
  <si>
    <t>Germanya</t>
  </si>
  <si>
    <t>Ghana</t>
  </si>
  <si>
    <t>Great Britain</t>
  </si>
  <si>
    <t>Latvia</t>
  </si>
  <si>
    <t>Lithuania</t>
  </si>
  <si>
    <t>Macedonia</t>
  </si>
  <si>
    <t>Moldova</t>
  </si>
  <si>
    <t>Montenegro</t>
  </si>
  <si>
    <t>Northern Ireland</t>
  </si>
  <si>
    <t>Puerto Rico</t>
  </si>
  <si>
    <t>Russia</t>
  </si>
  <si>
    <t>Serbia</t>
  </si>
  <si>
    <t>Slovakia</t>
  </si>
  <si>
    <t>Slovenia</t>
  </si>
  <si>
    <t>South Africa</t>
  </si>
  <si>
    <t>Ukraine</t>
  </si>
  <si>
    <t>p. 171, Table 5</t>
  </si>
  <si>
    <t>p. 119, fn 13</t>
  </si>
  <si>
    <t>Temperature</t>
  </si>
  <si>
    <t>Temperature and precipitation</t>
  </si>
  <si>
    <t>1995 $ per person per year</t>
  </si>
  <si>
    <t>Albania</t>
  </si>
  <si>
    <t>Algeria</t>
  </si>
  <si>
    <t>Bosnia and Herzegovina</t>
  </si>
  <si>
    <t>Burkina Faso</t>
  </si>
  <si>
    <t>Cyprus</t>
  </si>
  <si>
    <t>Czech Republic</t>
  </si>
  <si>
    <t>Iraq</t>
  </si>
  <si>
    <t>Jordan</t>
  </si>
  <si>
    <t>Kyrgyzstan</t>
  </si>
  <si>
    <t>Saudi Arabia</t>
  </si>
  <si>
    <t>Uganda</t>
  </si>
  <si>
    <t>Czech Rep</t>
  </si>
  <si>
    <t>Dominican Rep</t>
  </si>
  <si>
    <t>Korea, Rep</t>
  </si>
  <si>
    <t>Macedonia, FYR</t>
  </si>
  <si>
    <t>Moldova, Rep</t>
  </si>
  <si>
    <t>Russian Federation</t>
  </si>
  <si>
    <t>Viet Nam</t>
  </si>
  <si>
    <t>thousands</t>
  </si>
  <si>
    <t>mln $</t>
  </si>
  <si>
    <t>$1995/p/yr</t>
  </si>
  <si>
    <t>United States of America</t>
  </si>
  <si>
    <t>change in DM</t>
  </si>
  <si>
    <t>comp</t>
  </si>
  <si>
    <t>%income</t>
  </si>
  <si>
    <t>Korea, Republic</t>
  </si>
  <si>
    <t>p. 2441: SRES A2, HadCM3, 2070-2099</t>
  </si>
  <si>
    <t>aggregation in sheet MaddisonRehdanz</t>
  </si>
  <si>
    <t>p. 2443, Table 5</t>
  </si>
  <si>
    <t>p. 120, Table 4</t>
  </si>
  <si>
    <t>aggregation in sheet RehdanzMaddison</t>
  </si>
  <si>
    <t>aggregation in sheet Maddison</t>
  </si>
  <si>
    <t>aggregation in sheet NordhausYang</t>
  </si>
  <si>
    <t>aggregation in sheet PlambeckHope</t>
  </si>
  <si>
    <t>p. 24, Table 5</t>
  </si>
  <si>
    <t>aggregation in sheet Hope</t>
  </si>
  <si>
    <t>p. 283</t>
  </si>
  <si>
    <t>p. 278</t>
  </si>
  <si>
    <t>p. 279, Fig 4</t>
  </si>
  <si>
    <t>Text ambiguous. Roson (pers. comm.): Specified impact is labour productivity only</t>
  </si>
  <si>
    <t>Add 0.6 to temperature per IPCC WG2 AR5</t>
  </si>
  <si>
    <t>pop</t>
  </si>
  <si>
    <t>Hope</t>
  </si>
  <si>
    <t>GDP/cap (PPP)</t>
  </si>
  <si>
    <t>Estimates</t>
  </si>
  <si>
    <t>Study</t>
  </si>
  <si>
    <t>Maddison</t>
  </si>
  <si>
    <t>GDP/cap</t>
  </si>
  <si>
    <t>damage</t>
  </si>
  <si>
    <t>oth OECD</t>
  </si>
  <si>
    <t>ROW</t>
  </si>
  <si>
    <t>Pop</t>
  </si>
  <si>
    <t>Fankhauser</t>
  </si>
  <si>
    <t>Berz</t>
  </si>
  <si>
    <t>World</t>
  </si>
  <si>
    <t>OECD</t>
  </si>
  <si>
    <t>OECD Europe</t>
  </si>
  <si>
    <t>Other high income</t>
  </si>
  <si>
    <t>High income OPEC</t>
  </si>
  <si>
    <t>Eastern Europe</t>
  </si>
  <si>
    <t>Middle Income</t>
  </si>
  <si>
    <t>Lower Middle Income</t>
  </si>
  <si>
    <t>Africa</t>
  </si>
  <si>
    <t>Low Income</t>
  </si>
  <si>
    <t>OECD-America</t>
  </si>
  <si>
    <t>OECD-Europe</t>
  </si>
  <si>
    <t>OECD-Pacific</t>
  </si>
  <si>
    <t>EEFSU</t>
  </si>
  <si>
    <t>Latin America</t>
  </si>
  <si>
    <t>S&amp;SEA</t>
  </si>
  <si>
    <t>Data organized for Figure 1</t>
  </si>
  <si>
    <t>Data for Table 1 and Figure 1</t>
  </si>
  <si>
    <t>population weighted estimate omitted</t>
  </si>
  <si>
    <t>average value omitted, equity weighted value omitted</t>
  </si>
  <si>
    <t>population, area weighted omitted</t>
  </si>
  <si>
    <t>Nordhaus 1982</t>
  </si>
  <si>
    <t>Nordhaus (1980)</t>
  </si>
  <si>
    <t>p. 242, 243</t>
  </si>
  <si>
    <t>Azarbaijan</t>
  </si>
  <si>
    <t>quadratic</t>
  </si>
  <si>
    <t>piecewise linear</t>
  </si>
  <si>
    <t>absolute numbers only; no relatives; scenarios not provided</t>
  </si>
  <si>
    <t>N Eur</t>
  </si>
  <si>
    <t>Med Eur</t>
  </si>
  <si>
    <t>E Eur</t>
  </si>
  <si>
    <t>Korea, S Afr, Austr</t>
  </si>
  <si>
    <t>Can, Jpn, NZ</t>
  </si>
  <si>
    <t>N Afr</t>
  </si>
  <si>
    <t>M East</t>
  </si>
  <si>
    <t>S Asia</t>
  </si>
  <si>
    <t>E Asia</t>
  </si>
  <si>
    <t>L Am</t>
  </si>
  <si>
    <t>CHN</t>
  </si>
  <si>
    <t>JPN</t>
  </si>
  <si>
    <t>XEA</t>
  </si>
  <si>
    <t>IND</t>
  </si>
  <si>
    <t>XSA</t>
  </si>
  <si>
    <t>BRA</t>
  </si>
  <si>
    <t>RUS</t>
  </si>
  <si>
    <t>XEC</t>
  </si>
  <si>
    <t>EUR</t>
  </si>
  <si>
    <t>MNA</t>
  </si>
  <si>
    <t>RHA</t>
  </si>
  <si>
    <t>RHY</t>
  </si>
  <si>
    <t>XLC</t>
  </si>
  <si>
    <t>Afghanistan</t>
  </si>
  <si>
    <t>Angola</t>
  </si>
  <si>
    <t>Antigua and Barbuda</t>
  </si>
  <si>
    <t>Bahrain</t>
  </si>
  <si>
    <t>Belize</t>
  </si>
  <si>
    <t>Bermuda</t>
  </si>
  <si>
    <t>Bhutan</t>
  </si>
  <si>
    <t>Brunei</t>
  </si>
  <si>
    <t>Burundi</t>
  </si>
  <si>
    <t>CÃ´te d'Ivoire</t>
  </si>
  <si>
    <t>Cambodia</t>
  </si>
  <si>
    <t>Cape Verde</t>
  </si>
  <si>
    <t>Central African Republic</t>
  </si>
  <si>
    <t>Chad</t>
  </si>
  <si>
    <t>Comoros</t>
  </si>
  <si>
    <t>Congo [DRC]</t>
  </si>
  <si>
    <t>Congo [Republic]</t>
  </si>
  <si>
    <t>Cuba</t>
  </si>
  <si>
    <t>Djibouti</t>
  </si>
  <si>
    <t>Equatorial Guinea</t>
  </si>
  <si>
    <t>Eritrea</t>
  </si>
  <si>
    <t>Fiji</t>
  </si>
  <si>
    <t>Gabon</t>
  </si>
  <si>
    <t>Gambia</t>
  </si>
  <si>
    <t>Guinea</t>
  </si>
  <si>
    <t>Guinea-Bissau</t>
  </si>
  <si>
    <t>Guyana</t>
  </si>
  <si>
    <t>Haiti</t>
  </si>
  <si>
    <t>Kazakhstan</t>
  </si>
  <si>
    <t>Kiribati</t>
  </si>
  <si>
    <t>Kosovo</t>
  </si>
  <si>
    <t>Kuwait</t>
  </si>
  <si>
    <t>Laos</t>
  </si>
  <si>
    <t>Lebanon</t>
  </si>
  <si>
    <t>Lesotho</t>
  </si>
  <si>
    <t>Liberia</t>
  </si>
  <si>
    <t>Libya</t>
  </si>
  <si>
    <t>Macau</t>
  </si>
  <si>
    <t>Macedonia [FYROM]</t>
  </si>
  <si>
    <t>Maldives</t>
  </si>
  <si>
    <t>Malta</t>
  </si>
  <si>
    <t>Marshall Islands</t>
  </si>
  <si>
    <t>Mauritania</t>
  </si>
  <si>
    <t>Micronesia</t>
  </si>
  <si>
    <t>Mongolia</t>
  </si>
  <si>
    <t>Mozambique</t>
  </si>
  <si>
    <t>Namibia</t>
  </si>
  <si>
    <t>Nicaragua</t>
  </si>
  <si>
    <t>Niger</t>
  </si>
  <si>
    <t>Oman</t>
  </si>
  <si>
    <t>Palau</t>
  </si>
  <si>
    <t>Palestinian Territories</t>
  </si>
  <si>
    <t>Papua New Guinea</t>
  </si>
  <si>
    <t>Qatar</t>
  </si>
  <si>
    <t>SÃ£o TomÃ© and PrÃ­ncipe</t>
  </si>
  <si>
    <t>Saint Kitts and Nevis</t>
  </si>
  <si>
    <t>Saint Vincent and the Grenadines</t>
  </si>
  <si>
    <t>Samoa</t>
  </si>
  <si>
    <t>Seychelles</t>
  </si>
  <si>
    <t>Solomon Islands</t>
  </si>
  <si>
    <t>Sudan</t>
  </si>
  <si>
    <t>Tajikistan</t>
  </si>
  <si>
    <t>Timor-Leste</t>
  </si>
  <si>
    <t>Togo</t>
  </si>
  <si>
    <t>Tonga</t>
  </si>
  <si>
    <t>Turkmenistan</t>
  </si>
  <si>
    <t>Tuvalu</t>
  </si>
  <si>
    <t>United Arab Emirates</t>
  </si>
  <si>
    <t>Uzbekistan</t>
  </si>
  <si>
    <t>Vanuatu</t>
  </si>
  <si>
    <t>Vietnam</t>
  </si>
  <si>
    <t>Yemen</t>
  </si>
  <si>
    <t>AGGREGATION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</si>
  <si>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</si>
  <si>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</si>
  <si>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</si>
  <si>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</si>
  <si>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</si>
  <si>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</si>
  <si>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</si>
  <si>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</si>
  <si>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</si>
  <si>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</si>
  <si>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</si>
  <si>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</si>
  <si>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MAM</t>
  </si>
  <si>
    <t>JJA</t>
  </si>
  <si>
    <t>SON</t>
  </si>
  <si>
    <t>DJF</t>
  </si>
  <si>
    <t>ANN</t>
  </si>
  <si>
    <t>Isl</t>
  </si>
  <si>
    <t>Bosnia-Herzegovinia</t>
  </si>
  <si>
    <t>Burkina</t>
  </si>
  <si>
    <t>Faso</t>
  </si>
  <si>
    <t>Cape</t>
  </si>
  <si>
    <t>Verde</t>
  </si>
  <si>
    <t>Central</t>
  </si>
  <si>
    <t>African</t>
  </si>
  <si>
    <t>Costa</t>
  </si>
  <si>
    <t>Rica</t>
  </si>
  <si>
    <t>Czech</t>
  </si>
  <si>
    <t>Republic</t>
  </si>
  <si>
    <t>Dominican</t>
  </si>
  <si>
    <t>El</t>
  </si>
  <si>
    <t>Salvador</t>
  </si>
  <si>
    <t>Equatorial</t>
  </si>
  <si>
    <t>Holland</t>
  </si>
  <si>
    <t>Hong</t>
  </si>
  <si>
    <t>Kong</t>
  </si>
  <si>
    <t>Ivory</t>
  </si>
  <si>
    <t>Coast</t>
  </si>
  <si>
    <t>Marshall</t>
  </si>
  <si>
    <t>Moldavia</t>
  </si>
  <si>
    <t>New</t>
  </si>
  <si>
    <t>Zealand</t>
  </si>
  <si>
    <t>Korea</t>
  </si>
  <si>
    <t>Papua</t>
  </si>
  <si>
    <t>Puerto</t>
  </si>
  <si>
    <t>Sao</t>
  </si>
  <si>
    <t>Tome</t>
  </si>
  <si>
    <t>Saudi</t>
  </si>
  <si>
    <t>Arabia</t>
  </si>
  <si>
    <t>Sierra</t>
  </si>
  <si>
    <t>Leone</t>
  </si>
  <si>
    <t>Solomon</t>
  </si>
  <si>
    <t>South</t>
  </si>
  <si>
    <t>Sri</t>
  </si>
  <si>
    <t>Lanka</t>
  </si>
  <si>
    <t>St</t>
  </si>
  <si>
    <t>Kitts</t>
  </si>
  <si>
    <t>Lucia</t>
  </si>
  <si>
    <t>Vincent</t>
  </si>
  <si>
    <t>Surinam</t>
  </si>
  <si>
    <t>Trinidad</t>
  </si>
  <si>
    <t>Tobago</t>
  </si>
  <si>
    <t>Truk</t>
  </si>
  <si>
    <t>Arab</t>
  </si>
  <si>
    <t>Emirates</t>
  </si>
  <si>
    <t>United</t>
  </si>
  <si>
    <t>Kingdom</t>
  </si>
  <si>
    <t>Vanatu</t>
  </si>
  <si>
    <t>Zaire</t>
  </si>
  <si>
    <t>New Guinea</t>
  </si>
  <si>
    <t>income</t>
  </si>
  <si>
    <t>Roson</t>
  </si>
  <si>
    <t>Rest of East Asia</t>
  </si>
  <si>
    <t>Rest of South Asia</t>
  </si>
  <si>
    <t>Rest of Eastern Europe and Central Asia</t>
  </si>
  <si>
    <t>Sub-Saharan Africa</t>
  </si>
  <si>
    <t>Europe</t>
  </si>
  <si>
    <t>Middle East and North Africa</t>
  </si>
  <si>
    <t>Rest of high income countries (Kyoto Protocol Annex I)</t>
  </si>
  <si>
    <t>Rest of the World</t>
  </si>
  <si>
    <t>Rest of HIC (non-Annex I)</t>
  </si>
  <si>
    <t>Temp</t>
  </si>
  <si>
    <t>Inc</t>
  </si>
  <si>
    <t>Bosello</t>
  </si>
  <si>
    <t>NordhausBoyer</t>
  </si>
  <si>
    <t>Tol1995</t>
  </si>
  <si>
    <t>NordhausYang</t>
  </si>
  <si>
    <t>PlambeckHope</t>
  </si>
  <si>
    <t>South &amp; East Asia</t>
  </si>
  <si>
    <t>d'Arge 1979</t>
  </si>
  <si>
    <t>Meta</t>
  </si>
  <si>
    <t>Tol2002</t>
  </si>
  <si>
    <t>Nordhaus: $5 billion damage; $6 trillion global output</t>
  </si>
  <si>
    <t>scaled</t>
  </si>
  <si>
    <t>rain</t>
  </si>
  <si>
    <t>corn</t>
  </si>
  <si>
    <t>world</t>
  </si>
  <si>
    <t>cotton</t>
  </si>
  <si>
    <t>wheat</t>
  </si>
  <si>
    <t>rice</t>
  </si>
  <si>
    <t>forest</t>
  </si>
  <si>
    <t>USSR</t>
  </si>
  <si>
    <t>fir</t>
  </si>
  <si>
    <t>marine</t>
  </si>
  <si>
    <t>water</t>
  </si>
  <si>
    <t>health</t>
  </si>
  <si>
    <t>wages</t>
  </si>
  <si>
    <t>energy</t>
  </si>
  <si>
    <t>power</t>
  </si>
  <si>
    <t>household</t>
  </si>
  <si>
    <t>public</t>
  </si>
  <si>
    <t>total</t>
  </si>
  <si>
    <t>per year</t>
  </si>
  <si>
    <t>annuity</t>
  </si>
  <si>
    <t>Annual GDP</t>
  </si>
  <si>
    <t>agriculture (incl.)</t>
  </si>
  <si>
    <t>agriculture (excl.)</t>
  </si>
  <si>
    <t>T+T^2</t>
  </si>
  <si>
    <t>T^2</t>
  </si>
  <si>
    <t>exp(T)</t>
  </si>
  <si>
    <t>T^2+T^7</t>
  </si>
  <si>
    <t>T^2+T^6</t>
  </si>
  <si>
    <t>T</t>
  </si>
  <si>
    <t>Regression analysis of data. Parameters form the basis for the curves shown in Figure 1 and for Table 2.</t>
  </si>
  <si>
    <t>Regions</t>
  </si>
  <si>
    <t>Data for Figure 2</t>
  </si>
  <si>
    <t>Fig2</t>
  </si>
  <si>
    <t>Sheet</t>
  </si>
  <si>
    <t>Description</t>
  </si>
  <si>
    <t>Mapping from regions to countries</t>
  </si>
  <si>
    <t>Country</t>
  </si>
  <si>
    <t>Other sheets</t>
  </si>
  <si>
    <t>Data from eponymous study</t>
  </si>
  <si>
    <t>Linear</t>
  </si>
  <si>
    <t>Piecewise linear</t>
  </si>
  <si>
    <t>Parabolic</t>
  </si>
  <si>
    <t>Quadratic</t>
  </si>
  <si>
    <t>Exponential</t>
  </si>
  <si>
    <t>model</t>
  </si>
  <si>
    <t>likelihood</t>
  </si>
  <si>
    <t>composite</t>
  </si>
  <si>
    <t>bilinear</t>
  </si>
  <si>
    <t>parabola</t>
  </si>
  <si>
    <t>linear</t>
  </si>
  <si>
    <t>weitzman</t>
  </si>
  <si>
    <t>ploeg</t>
  </si>
  <si>
    <t>Agriculture</t>
  </si>
  <si>
    <t>Other market</t>
  </si>
  <si>
    <t>Coastal</t>
  </si>
  <si>
    <t>Health</t>
  </si>
  <si>
    <t>Time use</t>
  </si>
  <si>
    <t>Settlements</t>
  </si>
  <si>
    <t>Catastrophe</t>
  </si>
  <si>
    <t>percent GDP</t>
  </si>
  <si>
    <t>billion dollar</t>
  </si>
  <si>
    <t>Forestry</t>
  </si>
  <si>
    <t>Energy</t>
  </si>
  <si>
    <t>Water</t>
  </si>
  <si>
    <t>Coastal defence</t>
  </si>
  <si>
    <t>Dryland</t>
  </si>
  <si>
    <t>Wetland</t>
  </si>
  <si>
    <t>Ecosystems</t>
  </si>
  <si>
    <t>Air pollution</t>
  </si>
  <si>
    <t>Migration</t>
  </si>
  <si>
    <t>Ecosystem</t>
  </si>
  <si>
    <t>Amenity</t>
  </si>
  <si>
    <t>Average</t>
  </si>
  <si>
    <t>Nordhaus Boyer</t>
  </si>
  <si>
    <t>Tol</t>
  </si>
  <si>
    <t>Ratio</t>
  </si>
  <si>
    <t>Original</t>
  </si>
  <si>
    <t>Nordhaus</t>
  </si>
  <si>
    <t>tax</t>
  </si>
  <si>
    <t>Tax</t>
  </si>
  <si>
    <t>agshare</t>
  </si>
  <si>
    <t>AgShare</t>
  </si>
  <si>
    <t>Rehdanz &amp; Maddison</t>
  </si>
  <si>
    <t>Maddison &amp; Rehdanz</t>
  </si>
  <si>
    <t>Andorra</t>
  </si>
  <si>
    <t>Aruba</t>
  </si>
  <si>
    <t>Faroe Islands</t>
  </si>
  <si>
    <t>Greenland</t>
  </si>
  <si>
    <t>Isle of Man</t>
  </si>
  <si>
    <t>Liechtenstein</t>
  </si>
  <si>
    <t>Monaco</t>
  </si>
  <si>
    <t>San Marino</t>
  </si>
  <si>
    <t>Market</t>
  </si>
  <si>
    <t>Non-market</t>
  </si>
  <si>
    <t>J</t>
  </si>
  <si>
    <t>M</t>
  </si>
  <si>
    <t>A</t>
  </si>
  <si>
    <t>S</t>
  </si>
  <si>
    <t>O</t>
  </si>
  <si>
    <t>N</t>
  </si>
  <si>
    <t>Asia</t>
  </si>
  <si>
    <t>North America</t>
  </si>
  <si>
    <t>South America</t>
  </si>
  <si>
    <t>Oceania</t>
  </si>
  <si>
    <t>GDP by continent</t>
  </si>
  <si>
    <t>NH</t>
  </si>
  <si>
    <t>SH</t>
  </si>
  <si>
    <t>W</t>
  </si>
  <si>
    <t>D</t>
  </si>
  <si>
    <t>all</t>
  </si>
  <si>
    <t>Letta &amp; Tol</t>
  </si>
  <si>
    <t>Dell et al.</t>
  </si>
  <si>
    <t>Kalkuhl</t>
  </si>
  <si>
    <t>Pretis</t>
  </si>
  <si>
    <t>Burke</t>
  </si>
  <si>
    <t>fraction per year per degree</t>
  </si>
  <si>
    <t>fraction per year per degree squared</t>
  </si>
  <si>
    <t>Dell</t>
  </si>
  <si>
    <t>Rest of Oceania</t>
  </si>
  <si>
    <t>Taiwan</t>
  </si>
  <si>
    <t>Rest of Southeast Asia</t>
  </si>
  <si>
    <t>Rest of North America</t>
  </si>
  <si>
    <t>Ecaudor</t>
  </si>
  <si>
    <t>Rest of South America</t>
  </si>
  <si>
    <t>Rest of Central America</t>
  </si>
  <si>
    <t>Rest of the Caribbean</t>
  </si>
  <si>
    <t>Slovak Republic</t>
  </si>
  <si>
    <t>Rest of EFTA</t>
  </si>
  <si>
    <t>Russa</t>
  </si>
  <si>
    <t>Rest of Eastern Europe</t>
  </si>
  <si>
    <t>Rest of Europe</t>
  </si>
  <si>
    <t>Rest of former Soviet Union</t>
  </si>
  <si>
    <t>Rest of Western Asia</t>
  </si>
  <si>
    <t>Rest of North Africa</t>
  </si>
  <si>
    <t>Rest of West Africa</t>
  </si>
  <si>
    <t>Rest of Central Africa</t>
  </si>
  <si>
    <t>Rest of South Central Africa</t>
  </si>
  <si>
    <t>Rest of East Africa</t>
  </si>
  <si>
    <t>Rest of South African Customs Union</t>
  </si>
  <si>
    <t>3C, impact</t>
  </si>
  <si>
    <t>New Zealnd</t>
  </si>
  <si>
    <t>Brunei Darussalam</t>
  </si>
  <si>
    <t>Russian Fed</t>
  </si>
  <si>
    <t>Rest of Western Africa</t>
  </si>
  <si>
    <t>Rest of Eastern Africa</t>
  </si>
  <si>
    <t>Mendelsohn 2000</t>
  </si>
  <si>
    <t>Mendelsohn 2006</t>
  </si>
  <si>
    <t>Global</t>
  </si>
  <si>
    <t>poorest</t>
  </si>
  <si>
    <t>richest</t>
  </si>
  <si>
    <t>Mendelsohn</t>
  </si>
  <si>
    <t>Poorest</t>
  </si>
  <si>
    <t>Richest</t>
  </si>
  <si>
    <t>R</t>
  </si>
  <si>
    <t>Bo</t>
  </si>
  <si>
    <t>NB</t>
  </si>
  <si>
    <t>T95</t>
  </si>
  <si>
    <t>T02</t>
  </si>
  <si>
    <t>NY</t>
  </si>
  <si>
    <t>PH</t>
  </si>
  <si>
    <t>H</t>
  </si>
  <si>
    <t>Be</t>
  </si>
  <si>
    <t>Ma</t>
  </si>
  <si>
    <t>MR</t>
  </si>
  <si>
    <t>RM</t>
  </si>
  <si>
    <t>SR</t>
  </si>
  <si>
    <t>K</t>
  </si>
  <si>
    <t>Me</t>
  </si>
  <si>
    <t>Weight</t>
  </si>
  <si>
    <t>Sartori</t>
  </si>
  <si>
    <t>Sartori and Roson 2016</t>
  </si>
  <si>
    <t>Mendelsohn et al. 2000, 2006</t>
  </si>
  <si>
    <t>Kompas et al. 2018</t>
  </si>
  <si>
    <t>Tourism</t>
  </si>
  <si>
    <t>d ln(Y/P)</t>
  </si>
  <si>
    <t>fraction per degree</t>
  </si>
  <si>
    <t>Dellink et al. 2019</t>
  </si>
  <si>
    <t>4 large EU</t>
  </si>
  <si>
    <t>other EU</t>
  </si>
  <si>
    <t>Aust &amp; NZ</t>
  </si>
  <si>
    <t>non-OECD EU</t>
  </si>
  <si>
    <t>other OECD Europe</t>
  </si>
  <si>
    <t>Caspian</t>
  </si>
  <si>
    <t>other Europe</t>
  </si>
  <si>
    <t>other Lat Am</t>
  </si>
  <si>
    <t>Middle East</t>
  </si>
  <si>
    <t>North Africa</t>
  </si>
  <si>
    <t>other ASEAN</t>
  </si>
  <si>
    <t>Other Asia</t>
  </si>
  <si>
    <t>Other Africa</t>
  </si>
  <si>
    <t>Coastal zones</t>
  </si>
  <si>
    <t>Takakura</t>
  </si>
  <si>
    <t>Dellink</t>
  </si>
  <si>
    <t>Howard &amp; Sylvan 2020</t>
  </si>
  <si>
    <t>Howard &amp; Sylvan 2021</t>
  </si>
  <si>
    <t>Desmet &amp; Rossi-Hansberg, JUE, 2015</t>
  </si>
  <si>
    <t>TFP(ag)</t>
  </si>
  <si>
    <t>TFP(man)</t>
  </si>
  <si>
    <t>Conte et al. 2021</t>
  </si>
  <si>
    <t>Desmet and Rossi-Hansberg 2015</t>
  </si>
  <si>
    <t>Cruz and Rossi-Hansberg 2021</t>
  </si>
  <si>
    <t>SSR</t>
  </si>
  <si>
    <t>LL</t>
  </si>
  <si>
    <t>StdErr</t>
  </si>
  <si>
    <t>#par</t>
  </si>
  <si>
    <t>p</t>
  </si>
  <si>
    <t>weight</t>
  </si>
  <si>
    <t>sinh(T)</t>
  </si>
  <si>
    <t>Hyperbolic sine</t>
  </si>
  <si>
    <t>hyperbolic sine</t>
  </si>
  <si>
    <t>Henseler &amp; Schumacher</t>
  </si>
  <si>
    <t>Growth on temperature</t>
  </si>
  <si>
    <t>Kahn et al.</t>
  </si>
  <si>
    <t>Growth on temperature change</t>
  </si>
  <si>
    <t>warm shocks</t>
  </si>
  <si>
    <t>cold shocks</t>
  </si>
  <si>
    <t>Henseler</t>
  </si>
  <si>
    <t>Combined</t>
  </si>
  <si>
    <t>Kalkuhl and Wenz 2020</t>
  </si>
  <si>
    <t>poorer than the 1960 median</t>
  </si>
  <si>
    <t>poorer that the median of the first observation</t>
  </si>
  <si>
    <t>growth*temp</t>
  </si>
  <si>
    <t>total growth</t>
  </si>
  <si>
    <t>Letta</t>
  </si>
  <si>
    <t>Kahn</t>
  </si>
  <si>
    <t>Kotz 2021</t>
  </si>
  <si>
    <t>Kotz</t>
  </si>
  <si>
    <t>dT(-1)</t>
  </si>
  <si>
    <t>TdT</t>
  </si>
  <si>
    <t>TdT(-1)</t>
  </si>
  <si>
    <t>Level</t>
  </si>
  <si>
    <t>Kotz 2022</t>
  </si>
  <si>
    <t>dT</t>
  </si>
  <si>
    <t>mean</t>
  </si>
  <si>
    <t>Acevedo</t>
  </si>
  <si>
    <t>KK</t>
  </si>
  <si>
    <t>Min</t>
  </si>
  <si>
    <t>Max</t>
  </si>
  <si>
    <t>growth</t>
  </si>
  <si>
    <t>level</t>
  </si>
  <si>
    <t>static</t>
  </si>
  <si>
    <t>cumulative</t>
  </si>
  <si>
    <t>Best</t>
  </si>
  <si>
    <t>33.5%ile</t>
  </si>
  <si>
    <t>66.5%ile</t>
  </si>
  <si>
    <t>Newell, Prest and Sexton</t>
  </si>
  <si>
    <t>Comparative static</t>
  </si>
  <si>
    <t>Empirical growth</t>
  </si>
  <si>
    <t>Empirical level</t>
  </si>
  <si>
    <t>Implied impact on growth</t>
  </si>
  <si>
    <t>&amp;</t>
  </si>
  <si>
    <t>\\</t>
  </si>
  <si>
    <t>Metals</t>
  </si>
  <si>
    <t>nec</t>
  </si>
  <si>
    <t>Metal</t>
  </si>
  <si>
    <t>products</t>
  </si>
  <si>
    <t>Motor</t>
  </si>
  <si>
    <t>vehicles</t>
  </si>
  <si>
    <t>and</t>
  </si>
  <si>
    <t>parts</t>
  </si>
  <si>
    <t>Transport</t>
  </si>
  <si>
    <t>equipment</t>
  </si>
  <si>
    <t>Electronic</t>
  </si>
  <si>
    <t>Machinery</t>
  </si>
  <si>
    <t>Manufactures</t>
  </si>
  <si>
    <t>Electricity</t>
  </si>
  <si>
    <t>Gas</t>
  </si>
  <si>
    <t>manufacture,</t>
  </si>
  <si>
    <t>distribution</t>
  </si>
  <si>
    <t>Construction</t>
  </si>
  <si>
    <t>Trade</t>
  </si>
  <si>
    <t>transport</t>
  </si>
  <si>
    <t>Air</t>
  </si>
  <si>
    <t>Communication</t>
  </si>
  <si>
    <t>Financial</t>
  </si>
  <si>
    <t>services</t>
  </si>
  <si>
    <t>Insurance</t>
  </si>
  <si>
    <t>Business</t>
  </si>
  <si>
    <t>Recreational</t>
  </si>
  <si>
    <t>other</t>
  </si>
  <si>
    <t>Public</t>
  </si>
  <si>
    <t>Administration,</t>
  </si>
  <si>
    <t>Defense,</t>
  </si>
  <si>
    <t>Education,</t>
  </si>
  <si>
    <t>Dwellings</t>
  </si>
  <si>
    <t>Paddy</t>
  </si>
  <si>
    <t>Wheat</t>
  </si>
  <si>
    <t>Cereal</t>
  </si>
  <si>
    <t>grains</t>
  </si>
  <si>
    <t>Vegetables,</t>
  </si>
  <si>
    <t>fruit,</t>
  </si>
  <si>
    <t>nuts</t>
  </si>
  <si>
    <t>Oil</t>
  </si>
  <si>
    <t>seeds</t>
  </si>
  <si>
    <t>Sugar</t>
  </si>
  <si>
    <t>cane,</t>
  </si>
  <si>
    <t>sugar</t>
  </si>
  <si>
    <t>beet</t>
  </si>
  <si>
    <t>Plant-based</t>
  </si>
  <si>
    <t>fibers</t>
  </si>
  <si>
    <t>Crops</t>
  </si>
  <si>
    <t>Bovine</t>
  </si>
  <si>
    <t>cattle,</t>
  </si>
  <si>
    <t>sheep</t>
  </si>
  <si>
    <t>goats,</t>
  </si>
  <si>
    <t>horses</t>
  </si>
  <si>
    <t>Animal</t>
  </si>
  <si>
    <t>Raw</t>
  </si>
  <si>
    <t>milk</t>
  </si>
  <si>
    <t>Wool,</t>
  </si>
  <si>
    <t>silkworm</t>
  </si>
  <si>
    <t>cocoons</t>
  </si>
  <si>
    <t>Fishing</t>
  </si>
  <si>
    <t>Coal</t>
  </si>
  <si>
    <t>Minerals</t>
  </si>
  <si>
    <t>meat</t>
  </si>
  <si>
    <t>Meat</t>
  </si>
  <si>
    <t>Vegetable</t>
  </si>
  <si>
    <t>oils</t>
  </si>
  <si>
    <t>fats</t>
  </si>
  <si>
    <t>Dairy</t>
  </si>
  <si>
    <t>Processed</t>
  </si>
  <si>
    <t>Food</t>
  </si>
  <si>
    <t>Beverages</t>
  </si>
  <si>
    <t>tobacco</t>
  </si>
  <si>
    <t>Textiles</t>
  </si>
  <si>
    <t>Wearing</t>
  </si>
  <si>
    <t>apparel</t>
  </si>
  <si>
    <t>Leather</t>
  </si>
  <si>
    <t>Wood</t>
  </si>
  <si>
    <t>Paper</t>
  </si>
  <si>
    <t>products,</t>
  </si>
  <si>
    <t>publishing</t>
  </si>
  <si>
    <t>Petroleum,</t>
  </si>
  <si>
    <t>coal</t>
  </si>
  <si>
    <t>Chemical,</t>
  </si>
  <si>
    <t>rubber,</t>
  </si>
  <si>
    <t>plastic</t>
  </si>
  <si>
    <t>Mineral</t>
  </si>
  <si>
    <t>Ferrous</t>
  </si>
  <si>
    <t>metals</t>
  </si>
  <si>
    <t>long-term</t>
  </si>
  <si>
    <t>3 degrees of warming</t>
  </si>
  <si>
    <t>Total non-ag</t>
  </si>
  <si>
    <t>Other markets</t>
  </si>
  <si>
    <t>SLR</t>
  </si>
  <si>
    <t>AGR</t>
  </si>
  <si>
    <t>HEAT</t>
  </si>
  <si>
    <t>HEALTH</t>
  </si>
  <si>
    <t>TOURISM</t>
  </si>
  <si>
    <t>AUS</t>
  </si>
  <si>
    <t>BRN</t>
  </si>
  <si>
    <t>JOR</t>
  </si>
  <si>
    <t>KWT</t>
  </si>
  <si>
    <t>TUN</t>
  </si>
  <si>
    <t>XNF</t>
  </si>
  <si>
    <t>NZL</t>
  </si>
  <si>
    <t>KHM</t>
  </si>
  <si>
    <t>XSE</t>
  </si>
  <si>
    <t>BGD</t>
  </si>
  <si>
    <t>OMN</t>
  </si>
  <si>
    <t>BEN</t>
  </si>
  <si>
    <t>TGO</t>
  </si>
  <si>
    <t>XWF</t>
  </si>
  <si>
    <t>XCF</t>
  </si>
  <si>
    <t>XOC</t>
  </si>
  <si>
    <t>IDN</t>
  </si>
  <si>
    <t>NPL</t>
  </si>
  <si>
    <t>XNA</t>
  </si>
  <si>
    <t>ARG</t>
  </si>
  <si>
    <t>BOL</t>
  </si>
  <si>
    <t>QAT</t>
  </si>
  <si>
    <t>BFA</t>
  </si>
  <si>
    <t>XAC</t>
  </si>
  <si>
    <t>RWA</t>
  </si>
  <si>
    <t>TZA</t>
  </si>
  <si>
    <t>UGA</t>
  </si>
  <si>
    <t>ZMB</t>
  </si>
  <si>
    <t>LAO</t>
  </si>
  <si>
    <t>PAK</t>
  </si>
  <si>
    <t>CHL</t>
  </si>
  <si>
    <t>VEN</t>
  </si>
  <si>
    <t>XSM</t>
  </si>
  <si>
    <t>CRI</t>
  </si>
  <si>
    <t>GTM</t>
  </si>
  <si>
    <t>HND</t>
  </si>
  <si>
    <t>SAU</t>
  </si>
  <si>
    <t>CMR</t>
  </si>
  <si>
    <t>ETH</t>
  </si>
  <si>
    <t>ZWE</t>
  </si>
  <si>
    <t>XTW</t>
  </si>
  <si>
    <t>HKG</t>
  </si>
  <si>
    <t>MYS</t>
  </si>
  <si>
    <t>LKA</t>
  </si>
  <si>
    <t>COL</t>
  </si>
  <si>
    <t>NIC</t>
  </si>
  <si>
    <t>JAM</t>
  </si>
  <si>
    <t>PRI</t>
  </si>
  <si>
    <t>TTO</t>
  </si>
  <si>
    <t>XCB</t>
  </si>
  <si>
    <t>AUT</t>
  </si>
  <si>
    <t>BEL</t>
  </si>
  <si>
    <t>TUR</t>
  </si>
  <si>
    <t>CIV</t>
  </si>
  <si>
    <t>KEN</t>
  </si>
  <si>
    <t>PHL</t>
  </si>
  <si>
    <t>ECU</t>
  </si>
  <si>
    <t>SLV</t>
  </si>
  <si>
    <t>CYP</t>
  </si>
  <si>
    <t>FIN</t>
  </si>
  <si>
    <t>FRA</t>
  </si>
  <si>
    <t>DEU</t>
  </si>
  <si>
    <t>GRC</t>
  </si>
  <si>
    <t>HUN</t>
  </si>
  <si>
    <t>IRL</t>
  </si>
  <si>
    <t>ITA</t>
  </si>
  <si>
    <t>ARE</t>
  </si>
  <si>
    <t>GHA</t>
  </si>
  <si>
    <t>MDG</t>
  </si>
  <si>
    <t>BWA</t>
  </si>
  <si>
    <t>KOR</t>
  </si>
  <si>
    <t>SGP</t>
  </si>
  <si>
    <t>PRY</t>
  </si>
  <si>
    <t>PAN</t>
  </si>
  <si>
    <t>CZE</t>
  </si>
  <si>
    <t>LVA</t>
  </si>
  <si>
    <t>MLT</t>
  </si>
  <si>
    <t>NLD</t>
  </si>
  <si>
    <t>POL</t>
  </si>
  <si>
    <t>PRT</t>
  </si>
  <si>
    <t>SVK</t>
  </si>
  <si>
    <t>SVN</t>
  </si>
  <si>
    <t>ESP</t>
  </si>
  <si>
    <t>SWE</t>
  </si>
  <si>
    <t>XWS</t>
  </si>
  <si>
    <t>GIN</t>
  </si>
  <si>
    <t>MWI</t>
  </si>
  <si>
    <t>NAM</t>
  </si>
  <si>
    <t>MNG</t>
  </si>
  <si>
    <t>THA</t>
  </si>
  <si>
    <t>PER</t>
  </si>
  <si>
    <t>XCA</t>
  </si>
  <si>
    <t>DNK</t>
  </si>
  <si>
    <t>LTU</t>
  </si>
  <si>
    <t>GBR</t>
  </si>
  <si>
    <t>NOR</t>
  </si>
  <si>
    <t>XEF</t>
  </si>
  <si>
    <t>ALB</t>
  </si>
  <si>
    <t>BGR</t>
  </si>
  <si>
    <t>BLR</t>
  </si>
  <si>
    <t>HRV</t>
  </si>
  <si>
    <t>ROU</t>
  </si>
  <si>
    <t>UKR</t>
  </si>
  <si>
    <t>EGY</t>
  </si>
  <si>
    <t>NGA</t>
  </si>
  <si>
    <t>MUS</t>
  </si>
  <si>
    <t>ZAF</t>
  </si>
  <si>
    <t>TWN</t>
  </si>
  <si>
    <t>VNM</t>
  </si>
  <si>
    <t>MEX</t>
  </si>
  <si>
    <t>URY</t>
  </si>
  <si>
    <t>DOM</t>
  </si>
  <si>
    <t>EST</t>
  </si>
  <si>
    <t>LUX</t>
  </si>
  <si>
    <t>CHE</t>
  </si>
  <si>
    <t>XEE</t>
  </si>
  <si>
    <t>XER</t>
  </si>
  <si>
    <t>KAZ</t>
  </si>
  <si>
    <t>KGZ</t>
  </si>
  <si>
    <t>XSU</t>
  </si>
  <si>
    <t>ARM</t>
  </si>
  <si>
    <t>AZE</t>
  </si>
  <si>
    <t>GEO</t>
  </si>
  <si>
    <t>BHR</t>
  </si>
  <si>
    <t>IRN</t>
  </si>
  <si>
    <t>ISR</t>
  </si>
  <si>
    <t>SEN</t>
  </si>
  <si>
    <t>MOZ</t>
  </si>
  <si>
    <t>XSC</t>
  </si>
  <si>
    <t>MOR</t>
  </si>
  <si>
    <t>Kompas</t>
  </si>
  <si>
    <t>Kikstra</t>
  </si>
  <si>
    <t>Schauer 1995</t>
  </si>
  <si>
    <t>Horowitz 2009</t>
  </si>
  <si>
    <t>Rest Annex I</t>
  </si>
  <si>
    <t>Eastern Europe and former Soviet Union</t>
  </si>
  <si>
    <t>China+India</t>
  </si>
  <si>
    <t>Energy exporters</t>
  </si>
  <si>
    <t>Eboli 2010</t>
  </si>
  <si>
    <t>Ng and Zhao 2011</t>
  </si>
  <si>
    <t>Hope 2011</t>
  </si>
  <si>
    <t>McCallum 2013</t>
  </si>
  <si>
    <t>Eboli</t>
  </si>
  <si>
    <t>E</t>
  </si>
  <si>
    <t>enum</t>
  </si>
  <si>
    <t>ectrics</t>
  </si>
  <si>
    <t>elicit</t>
  </si>
  <si>
    <t>cge</t>
  </si>
  <si>
    <t>function</t>
  </si>
  <si>
    <t>enumerative</t>
  </si>
  <si>
    <t>elicitation</t>
  </si>
  <si>
    <t>econometric</t>
  </si>
  <si>
    <t>CGE</t>
  </si>
  <si>
    <t>individual</t>
  </si>
  <si>
    <t>Parabola</t>
  </si>
  <si>
    <t>Weitzman 6</t>
  </si>
  <si>
    <t>Weitzman 7</t>
  </si>
  <si>
    <t>Model average</t>
  </si>
  <si>
    <t>Ectrics</t>
  </si>
  <si>
    <t>Elicitation</t>
  </si>
  <si>
    <t>Enumeration</t>
  </si>
  <si>
    <t>Kotz21</t>
  </si>
  <si>
    <t>Kotz22</t>
  </si>
  <si>
    <t>combined</t>
  </si>
  <si>
    <t>SSP5-8.5</t>
  </si>
  <si>
    <t>SSP3-7.0</t>
  </si>
  <si>
    <t>SSP2-4.5</t>
  </si>
  <si>
    <t>2K</t>
  </si>
  <si>
    <t>1.5K</t>
  </si>
  <si>
    <t>2.5K</t>
  </si>
  <si>
    <t>3.9K</t>
  </si>
  <si>
    <t>4.8K</t>
  </si>
  <si>
    <t>SCALED</t>
  </si>
  <si>
    <t>10-12%</t>
  </si>
  <si>
    <t>8-10%</t>
  </si>
  <si>
    <t>6-8%</t>
  </si>
  <si>
    <t>4-6%</t>
  </si>
  <si>
    <t>2-4%</t>
  </si>
  <si>
    <t>0-2%</t>
  </si>
  <si>
    <t>6% or better</t>
  </si>
  <si>
    <t>12% or worse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</si>
  <si>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</si>
  <si>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</si>
  <si>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</si>
  <si>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</si>
  <si>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</si>
  <si>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</si>
  <si>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</si>
  <si>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</si>
  <si>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</si>
  <si>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</si>
  <si>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Y1</t>
  </si>
  <si>
    <t>Y2</t>
  </si>
  <si>
    <t>Y3</t>
  </si>
  <si>
    <t>Y4</t>
  </si>
  <si>
    <t>Y5</t>
  </si>
  <si>
    <t>Y6</t>
  </si>
  <si>
    <t>Y8</t>
  </si>
  <si>
    <t>Y9</t>
  </si>
  <si>
    <t>Y10</t>
  </si>
  <si>
    <t>log income</t>
  </si>
  <si>
    <t>income component of predicted impact</t>
  </si>
  <si>
    <t>constant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</si>
  <si>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</si>
  <si>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</si>
  <si>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</si>
  <si>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</si>
  <si>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</si>
  <si>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</si>
  <si>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</si>
  <si>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</si>
  <si>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</si>
  <si>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</si>
  <si>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Percentage point loss in 2100 GDP, RCP8.5</t>
  </si>
  <si>
    <t>Levels effects</t>
  </si>
  <si>
    <t>Growth effects</t>
  </si>
  <si>
    <t>indep</t>
  </si>
  <si>
    <t>Fankhauser, Tol</t>
  </si>
  <si>
    <t>indep 4x</t>
  </si>
  <si>
    <t>indep 5x</t>
  </si>
  <si>
    <t>indep 2.5x</t>
  </si>
  <si>
    <t>indep 1.5x</t>
  </si>
  <si>
    <t>indep 2x</t>
  </si>
  <si>
    <t>apparent</t>
  </si>
  <si>
    <t>actual</t>
  </si>
  <si>
    <t>Damania</t>
  </si>
  <si>
    <t>cell</t>
  </si>
  <si>
    <t>admin</t>
  </si>
  <si>
    <t>country</t>
  </si>
  <si>
    <t>percent per year per degree</t>
  </si>
  <si>
    <t>percent per year per degree squared</t>
  </si>
  <si>
    <t>fitted</t>
  </si>
  <si>
    <t>Defensive</t>
  </si>
  <si>
    <t>replaced by file in Takakure folder</t>
  </si>
  <si>
    <t>Former Soviet Union</t>
  </si>
  <si>
    <t>South and Central America</t>
  </si>
  <si>
    <t>CumTemp</t>
  </si>
  <si>
    <t>Agricultural productivity</t>
  </si>
  <si>
    <t>Coastal innundation</t>
  </si>
  <si>
    <t>Cooling/heating demand</t>
  </si>
  <si>
    <t>Fluvial flood</t>
  </si>
  <si>
    <t>Heat-related excess mortality</t>
  </si>
  <si>
    <t>Hydropower generation</t>
  </si>
  <si>
    <t>Occupational-health cost</t>
  </si>
  <si>
    <t>Thermalpower generation</t>
  </si>
  <si>
    <t>Undernourishment</t>
  </si>
  <si>
    <t>T_corr</t>
  </si>
  <si>
    <t>D_corr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</si>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</sst>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0.0"/>
    <numFmt numFmtId="165" formatCode="0.000"/>
    <numFmt numFmtId="166" formatCode="0.00000"/>
    <numFmt numFmtId="167" formatCode="0.000E+00"/>
    <numFmt numFmtId="168" formatCode="0.0%"/>
    <numFmt numFmtId="169" formatCode="0.0E+00"/>
    <numFmt numFmtId="170" formatCode="0.0000"/>
    <numFmt numFmtId="171" formatCode="0.000000"/>
    <numFmt numFmtId="172" formatCode="0.000%"/>
    <numFmt numFmtId="173" formatCode="0.0000000"/>
    <numFmt numFmtId="174" formatCode="0.0000000000"/>
  </numFmts>
  <fonts count="2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name val="Arial"/>
      <family val="2"/>
    </font>
    <font>
      <sz val="10"/>
      <color indexed="10"/>
      <name val="Courier"/>
      <family val="3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ndara"/>
      <family val="2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7"/>
      <color rgb="FF000000"/>
      <name val="Verdana"/>
      <family val="2"/>
    </font>
    <font>
      <sz val="11"/>
      <color rgb="FF000000"/>
      <name val="Calibri"/>
      <family val="2"/>
      <scheme val="minor"/>
    </font>
    <font>
      <sz val="7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9B6400"/>
      <name val="Calibri"/>
      <family val="2"/>
      <scheme val="minor"/>
    </font>
    <font>
      <b/>
      <sz val="11"/>
      <color rgb="FF006000"/>
      <name val="Calibri"/>
      <family val="2"/>
      <scheme val="minor"/>
    </font>
    <font>
      <b/>
      <sz val="11"/>
      <color rgb="FF9B0005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0F0F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71">
    <xf numFmtId="0" fontId="0" fillId="0" borderId="0" xfId="0"/>
    <xf numFmtId="164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2" fontId="0" fillId="0" borderId="0" xfId="0" applyNumberFormat="1"/>
    <xf numFmtId="3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0" fontId="2" fillId="0" borderId="0" xfId="0" applyFont="1" applyAlignment="1">
      <alignment horizontal="left"/>
    </xf>
    <xf numFmtId="10" fontId="0" fillId="0" borderId="0" xfId="0" applyNumberFormat="1"/>
    <xf numFmtId="1" fontId="3" fillId="0" borderId="0" xfId="0" applyNumberFormat="1" applyFont="1"/>
    <xf numFmtId="164" fontId="4" fillId="0" borderId="0" xfId="0" applyNumberFormat="1" applyFont="1"/>
    <xf numFmtId="0" fontId="1" fillId="0" borderId="0" xfId="0" applyFont="1" applyAlignment="1">
      <alignment horizontal="center"/>
    </xf>
    <xf numFmtId="164" fontId="0" fillId="3" borderId="0" xfId="0" applyNumberFormat="1" applyFill="1"/>
    <xf numFmtId="164" fontId="4" fillId="3" borderId="0" xfId="0" applyNumberFormat="1" applyFont="1" applyFill="1"/>
    <xf numFmtId="166" fontId="0" fillId="2" borderId="0" xfId="0" applyNumberFormat="1" applyFill="1"/>
    <xf numFmtId="0" fontId="0" fillId="2" borderId="0" xfId="0" applyFill="1"/>
    <xf numFmtId="167" fontId="0" fillId="0" borderId="0" xfId="0" applyNumberFormat="1"/>
    <xf numFmtId="11" fontId="0" fillId="0" borderId="0" xfId="0" applyNumberFormat="1"/>
    <xf numFmtId="168" fontId="0" fillId="0" borderId="0" xfId="0" applyNumberFormat="1"/>
    <xf numFmtId="0" fontId="5" fillId="0" borderId="0" xfId="0" applyFont="1"/>
    <xf numFmtId="0" fontId="6" fillId="0" borderId="0" xfId="0" applyFont="1"/>
    <xf numFmtId="169" fontId="0" fillId="0" borderId="0" xfId="0" applyNumberFormat="1"/>
    <xf numFmtId="0" fontId="8" fillId="0" borderId="0" xfId="0" applyFont="1"/>
    <xf numFmtId="164" fontId="0" fillId="0" borderId="0" xfId="1" applyNumberFormat="1" applyFont="1"/>
    <xf numFmtId="0" fontId="2" fillId="0" borderId="0" xfId="0" applyFont="1"/>
    <xf numFmtId="0" fontId="10" fillId="5" borderId="3" xfId="2" applyFill="1" applyBorder="1" applyAlignment="1">
      <alignment vertical="center" wrapText="1"/>
    </xf>
    <xf numFmtId="3" fontId="9" fillId="5" borderId="3" xfId="0" applyNumberFormat="1" applyFont="1" applyFill="1" applyBorder="1" applyAlignment="1">
      <alignment vertical="center" wrapText="1"/>
    </xf>
    <xf numFmtId="0" fontId="9" fillId="4" borderId="3" xfId="0" applyFont="1" applyFill="1" applyBorder="1" applyAlignment="1">
      <alignment vertical="center" wrapText="1"/>
    </xf>
    <xf numFmtId="0" fontId="10" fillId="4" borderId="3" xfId="2" applyFill="1" applyBorder="1" applyAlignment="1">
      <alignment vertical="center" wrapText="1"/>
    </xf>
    <xf numFmtId="3" fontId="9" fillId="4" borderId="3" xfId="0" applyNumberFormat="1" applyFont="1" applyFill="1" applyBorder="1" applyAlignment="1">
      <alignment vertical="center" wrapText="1"/>
    </xf>
    <xf numFmtId="170" fontId="0" fillId="0" borderId="0" xfId="0" applyNumberFormat="1"/>
    <xf numFmtId="0" fontId="11" fillId="0" borderId="0" xfId="0" applyFont="1"/>
    <xf numFmtId="10" fontId="6" fillId="0" borderId="0" xfId="0" applyNumberFormat="1" applyFont="1"/>
    <xf numFmtId="2" fontId="0" fillId="3" borderId="0" xfId="0" applyNumberFormat="1" applyFill="1"/>
    <xf numFmtId="171" fontId="0" fillId="0" borderId="0" xfId="0" applyNumberFormat="1"/>
    <xf numFmtId="172" fontId="0" fillId="0" borderId="0" xfId="0" applyNumberFormat="1"/>
    <xf numFmtId="0" fontId="10" fillId="0" borderId="0" xfId="2"/>
    <xf numFmtId="0" fontId="13" fillId="0" borderId="0" xfId="0" applyFont="1" applyAlignment="1">
      <alignment vertical="center"/>
    </xf>
    <xf numFmtId="16" fontId="12" fillId="0" borderId="0" xfId="0" applyNumberFormat="1" applyFont="1" applyAlignment="1">
      <alignment vertical="center"/>
    </xf>
    <xf numFmtId="10" fontId="12" fillId="0" borderId="0" xfId="0" applyNumberFormat="1" applyFont="1" applyAlignment="1">
      <alignment vertical="center"/>
    </xf>
    <xf numFmtId="10" fontId="15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10" fontId="14" fillId="0" borderId="0" xfId="0" applyNumberFormat="1" applyFont="1" applyAlignment="1">
      <alignment vertical="center"/>
    </xf>
    <xf numFmtId="10" fontId="16" fillId="0" borderId="0" xfId="0" applyNumberFormat="1" applyFont="1" applyAlignment="1">
      <alignment vertical="center"/>
    </xf>
    <xf numFmtId="10" fontId="17" fillId="0" borderId="0" xfId="0" applyNumberFormat="1" applyFont="1" applyAlignment="1">
      <alignment vertical="center"/>
    </xf>
    <xf numFmtId="0" fontId="19" fillId="0" borderId="0" xfId="0" applyFont="1"/>
    <xf numFmtId="2" fontId="20" fillId="0" borderId="0" xfId="0" applyNumberFormat="1" applyFont="1"/>
    <xf numFmtId="164" fontId="21" fillId="0" borderId="0" xfId="0" applyNumberFormat="1" applyFont="1"/>
    <xf numFmtId="2" fontId="21" fillId="0" borderId="0" xfId="0" applyNumberFormat="1" applyFont="1"/>
    <xf numFmtId="0" fontId="21" fillId="0" borderId="0" xfId="0" applyFont="1"/>
    <xf numFmtId="164" fontId="22" fillId="0" borderId="0" xfId="0" applyNumberFormat="1" applyFont="1"/>
    <xf numFmtId="0" fontId="22" fillId="0" borderId="0" xfId="0" applyFont="1"/>
    <xf numFmtId="164" fontId="23" fillId="0" borderId="0" xfId="0" applyNumberFormat="1" applyFont="1"/>
    <xf numFmtId="0" fontId="23" fillId="0" borderId="0" xfId="0" applyFont="1"/>
    <xf numFmtId="0" fontId="24" fillId="0" borderId="0" xfId="0" applyFont="1"/>
    <xf numFmtId="2" fontId="22" fillId="0" borderId="0" xfId="0" applyNumberFormat="1" applyFont="1"/>
    <xf numFmtId="164" fontId="24" fillId="0" borderId="0" xfId="0" applyNumberFormat="1" applyFont="1"/>
    <xf numFmtId="2" fontId="24" fillId="0" borderId="0" xfId="0" applyNumberFormat="1" applyFont="1"/>
    <xf numFmtId="0" fontId="20" fillId="0" borderId="0" xfId="0" applyFont="1"/>
    <xf numFmtId="2" fontId="18" fillId="0" borderId="0" xfId="0" applyNumberFormat="1" applyFont="1"/>
    <xf numFmtId="164" fontId="18" fillId="0" borderId="0" xfId="0" applyNumberFormat="1" applyFont="1"/>
    <xf numFmtId="0" fontId="18" fillId="0" borderId="0" xfId="0" applyFont="1"/>
    <xf numFmtId="173" fontId="0" fillId="0" borderId="0" xfId="0" applyNumberFormat="1"/>
    <xf numFmtId="174" fontId="0" fillId="0" borderId="0" xfId="0" applyNumberFormat="1"/>
    <xf numFmtId="0" fontId="25" fillId="0" borderId="0" xfId="0" applyFont="1" applyAlignment="1">
      <alignment horizontal="centerContinuous" wrapText="1"/>
    </xf>
    <xf numFmtId="0" fontId="25" fillId="0" borderId="0" xfId="0" applyFont="1"/>
    <xf numFmtId="0" fontId="0" fillId="0" borderId="2" xfId="0" applyBorder="1" applyAlignment="1">
      <alignment horizontal="right"/>
    </xf>
    <xf numFmtId="11" fontId="0" fillId="0" borderId="1" xfId="0" applyNumberFormat="1" applyBorder="1"/>
  </cellXfs>
  <cellStyles count="3">
    <cellStyle name="Hyperlink" xfId="2" builtinId="8"/>
    <cellStyle name="Normal" xfId="0" builtinId="0"/>
    <cellStyle name="Percent" xfId="1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5.xml"/><Relationship Id="rId21" Type="http://schemas.openxmlformats.org/officeDocument/2006/relationships/worksheet" Target="worksheets/sheet10.xml"/><Relationship Id="rId42" Type="http://schemas.openxmlformats.org/officeDocument/2006/relationships/worksheet" Target="worksheets/sheet23.xml"/><Relationship Id="rId47" Type="http://schemas.openxmlformats.org/officeDocument/2006/relationships/worksheet" Target="worksheets/sheet26.xml"/><Relationship Id="rId63" Type="http://schemas.openxmlformats.org/officeDocument/2006/relationships/worksheet" Target="worksheets/sheet42.xml"/><Relationship Id="rId68" Type="http://schemas.openxmlformats.org/officeDocument/2006/relationships/worksheet" Target="worksheets/sheet47.xml"/><Relationship Id="rId16" Type="http://schemas.openxmlformats.org/officeDocument/2006/relationships/chartsheet" Target="chartsheets/sheet8.xml"/><Relationship Id="rId11" Type="http://schemas.openxmlformats.org/officeDocument/2006/relationships/worksheet" Target="worksheets/sheet5.xml"/><Relationship Id="rId24" Type="http://schemas.openxmlformats.org/officeDocument/2006/relationships/worksheet" Target="worksheets/sheet13.xml"/><Relationship Id="rId32" Type="http://schemas.openxmlformats.org/officeDocument/2006/relationships/worksheet" Target="worksheets/sheet20.xml"/><Relationship Id="rId37" Type="http://schemas.openxmlformats.org/officeDocument/2006/relationships/chartsheet" Target="chartsheets/sheet17.xml"/><Relationship Id="rId40" Type="http://schemas.openxmlformats.org/officeDocument/2006/relationships/chartsheet" Target="chartsheets/sheet18.xml"/><Relationship Id="rId45" Type="http://schemas.openxmlformats.org/officeDocument/2006/relationships/chartsheet" Target="chartsheets/sheet21.xml"/><Relationship Id="rId53" Type="http://schemas.openxmlformats.org/officeDocument/2006/relationships/worksheet" Target="worksheets/sheet32.xml"/><Relationship Id="rId58" Type="http://schemas.openxmlformats.org/officeDocument/2006/relationships/worksheet" Target="worksheets/sheet37.xml"/><Relationship Id="rId66" Type="http://schemas.openxmlformats.org/officeDocument/2006/relationships/worksheet" Target="worksheets/sheet45.xml"/><Relationship Id="rId74" Type="http://schemas.openxmlformats.org/officeDocument/2006/relationships/sharedStrings" Target="sharedStrings.xml"/><Relationship Id="rId79" Type="http://schemas.microsoft.com/office/2017/10/relationships/person" Target="persons/person.xml"/><Relationship Id="rId5" Type="http://schemas.openxmlformats.org/officeDocument/2006/relationships/chartsheet" Target="chartsheets/sheet2.xml"/><Relationship Id="rId61" Type="http://schemas.openxmlformats.org/officeDocument/2006/relationships/worksheet" Target="worksheets/sheet40.xml"/><Relationship Id="rId19" Type="http://schemas.openxmlformats.org/officeDocument/2006/relationships/chartsheet" Target="chartsheets/sheet10.xml"/><Relationship Id="rId14" Type="http://schemas.openxmlformats.org/officeDocument/2006/relationships/worksheet" Target="worksheets/sheet8.xml"/><Relationship Id="rId22" Type="http://schemas.openxmlformats.org/officeDocument/2006/relationships/worksheet" Target="worksheets/sheet11.xml"/><Relationship Id="rId27" Type="http://schemas.openxmlformats.org/officeDocument/2006/relationships/chartsheet" Target="chartsheets/sheet12.xml"/><Relationship Id="rId30" Type="http://schemas.openxmlformats.org/officeDocument/2006/relationships/worksheet" Target="worksheets/sheet18.xml"/><Relationship Id="rId35" Type="http://schemas.openxmlformats.org/officeDocument/2006/relationships/chartsheet" Target="chartsheets/sheet15.xml"/><Relationship Id="rId43" Type="http://schemas.openxmlformats.org/officeDocument/2006/relationships/worksheet" Target="worksheets/sheet24.xml"/><Relationship Id="rId48" Type="http://schemas.openxmlformats.org/officeDocument/2006/relationships/worksheet" Target="worksheets/sheet27.xml"/><Relationship Id="rId56" Type="http://schemas.openxmlformats.org/officeDocument/2006/relationships/worksheet" Target="worksheets/sheet35.xml"/><Relationship Id="rId64" Type="http://schemas.openxmlformats.org/officeDocument/2006/relationships/worksheet" Target="worksheets/sheet43.xml"/><Relationship Id="rId69" Type="http://schemas.openxmlformats.org/officeDocument/2006/relationships/externalLink" Target="externalLinks/externalLink1.xml"/><Relationship Id="rId77" Type="http://schemas.microsoft.com/office/2017/06/relationships/rdRichValueStructure" Target="richData/rdrichvaluestructure.xml"/><Relationship Id="rId8" Type="http://schemas.openxmlformats.org/officeDocument/2006/relationships/chartsheet" Target="chartsheets/sheet5.xml"/><Relationship Id="rId51" Type="http://schemas.openxmlformats.org/officeDocument/2006/relationships/worksheet" Target="worksheets/sheet30.xml"/><Relationship Id="rId72" Type="http://schemas.openxmlformats.org/officeDocument/2006/relationships/theme" Target="theme/theme1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6.xml"/><Relationship Id="rId17" Type="http://schemas.openxmlformats.org/officeDocument/2006/relationships/chartsheet" Target="chartsheets/sheet9.xml"/><Relationship Id="rId25" Type="http://schemas.openxmlformats.org/officeDocument/2006/relationships/worksheet" Target="worksheets/sheet14.xml"/><Relationship Id="rId33" Type="http://schemas.openxmlformats.org/officeDocument/2006/relationships/chartsheet" Target="chartsheets/sheet13.xml"/><Relationship Id="rId38" Type="http://schemas.openxmlformats.org/officeDocument/2006/relationships/worksheet" Target="worksheets/sheet21.xml"/><Relationship Id="rId46" Type="http://schemas.openxmlformats.org/officeDocument/2006/relationships/worksheet" Target="worksheets/sheet25.xml"/><Relationship Id="rId59" Type="http://schemas.openxmlformats.org/officeDocument/2006/relationships/worksheet" Target="worksheets/sheet38.xml"/><Relationship Id="rId67" Type="http://schemas.openxmlformats.org/officeDocument/2006/relationships/worksheet" Target="worksheets/sheet46.xml"/><Relationship Id="rId20" Type="http://schemas.openxmlformats.org/officeDocument/2006/relationships/chartsheet" Target="chartsheets/sheet11.xml"/><Relationship Id="rId41" Type="http://schemas.openxmlformats.org/officeDocument/2006/relationships/chartsheet" Target="chartsheets/sheet19.xml"/><Relationship Id="rId54" Type="http://schemas.openxmlformats.org/officeDocument/2006/relationships/worksheet" Target="worksheets/sheet33.xml"/><Relationship Id="rId62" Type="http://schemas.openxmlformats.org/officeDocument/2006/relationships/worksheet" Target="worksheets/sheet41.xml"/><Relationship Id="rId70" Type="http://schemas.openxmlformats.org/officeDocument/2006/relationships/externalLink" Target="externalLinks/externalLink2.xml"/><Relationship Id="rId75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5" Type="http://schemas.openxmlformats.org/officeDocument/2006/relationships/chartsheet" Target="chartsheets/sheet7.xml"/><Relationship Id="rId23" Type="http://schemas.openxmlformats.org/officeDocument/2006/relationships/worksheet" Target="worksheets/sheet12.xml"/><Relationship Id="rId28" Type="http://schemas.openxmlformats.org/officeDocument/2006/relationships/worksheet" Target="worksheets/sheet16.xml"/><Relationship Id="rId36" Type="http://schemas.openxmlformats.org/officeDocument/2006/relationships/chartsheet" Target="chartsheets/sheet16.xml"/><Relationship Id="rId49" Type="http://schemas.openxmlformats.org/officeDocument/2006/relationships/worksheet" Target="worksheets/sheet28.xml"/><Relationship Id="rId57" Type="http://schemas.openxmlformats.org/officeDocument/2006/relationships/worksheet" Target="worksheets/sheet36.xml"/><Relationship Id="rId10" Type="http://schemas.openxmlformats.org/officeDocument/2006/relationships/worksheet" Target="worksheets/sheet4.xml"/><Relationship Id="rId31" Type="http://schemas.openxmlformats.org/officeDocument/2006/relationships/worksheet" Target="worksheets/sheet19.xml"/><Relationship Id="rId44" Type="http://schemas.openxmlformats.org/officeDocument/2006/relationships/chartsheet" Target="chartsheets/sheet20.xml"/><Relationship Id="rId52" Type="http://schemas.openxmlformats.org/officeDocument/2006/relationships/worksheet" Target="worksheets/sheet31.xml"/><Relationship Id="rId60" Type="http://schemas.openxmlformats.org/officeDocument/2006/relationships/worksheet" Target="worksheets/sheet39.xml"/><Relationship Id="rId65" Type="http://schemas.openxmlformats.org/officeDocument/2006/relationships/worksheet" Target="worksheets/sheet44.xml"/><Relationship Id="rId73" Type="http://schemas.openxmlformats.org/officeDocument/2006/relationships/styles" Target="styles.xml"/><Relationship Id="rId78" Type="http://schemas.microsoft.com/office/2017/06/relationships/rdRichValueTypes" Target="richData/rdRichValueTypes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6.xml"/><Relationship Id="rId13" Type="http://schemas.openxmlformats.org/officeDocument/2006/relationships/worksheet" Target="worksheets/sheet7.xml"/><Relationship Id="rId18" Type="http://schemas.openxmlformats.org/officeDocument/2006/relationships/worksheet" Target="worksheets/sheet9.xml"/><Relationship Id="rId39" Type="http://schemas.openxmlformats.org/officeDocument/2006/relationships/worksheet" Target="worksheets/sheet22.xml"/><Relationship Id="rId34" Type="http://schemas.openxmlformats.org/officeDocument/2006/relationships/chartsheet" Target="chartsheets/sheet14.xml"/><Relationship Id="rId50" Type="http://schemas.openxmlformats.org/officeDocument/2006/relationships/worksheet" Target="worksheets/sheet29.xml"/><Relationship Id="rId55" Type="http://schemas.openxmlformats.org/officeDocument/2006/relationships/worksheet" Target="worksheets/sheet34.xml"/><Relationship Id="rId76" Type="http://schemas.microsoft.com/office/2017/06/relationships/rdRichValue" Target="richData/rdrichvalue.xml"/><Relationship Id="rId7" Type="http://schemas.openxmlformats.org/officeDocument/2006/relationships/chartsheet" Target="chartsheets/sheet4.xml"/><Relationship Id="rId71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1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823114323824276E-2"/>
          <c:y val="4.1593417454617337E-2"/>
          <c:w val="0.93272378073331486"/>
          <c:h val="0.93870556452409981"/>
        </c:manualLayout>
      </c:layout>
      <c:lineChart>
        <c:grouping val="standard"/>
        <c:varyColors val="0"/>
        <c:ser>
          <c:idx val="0"/>
          <c:order val="0"/>
          <c:tx>
            <c:v>enumerative</c:v>
          </c:tx>
          <c:spPr>
            <a:ln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graph!$Q$8:$Q$93</c:f>
              <c:numCache>
                <c:formatCode>General</c:formatCode>
                <c:ptCount val="86"/>
                <c:pt idx="5">
                  <c:v>-0.59642907312262095</c:v>
                </c:pt>
                <c:pt idx="25" formatCode="0.0">
                  <c:v>2.2999999999999998</c:v>
                </c:pt>
                <c:pt idx="40" formatCode="0.00">
                  <c:v>-1.4</c:v>
                </c:pt>
                <c:pt idx="44" formatCode="0.0">
                  <c:v>-2</c:v>
                </c:pt>
                <c:pt idx="45" formatCode="0.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C-4D07-A19E-0266DBBAF367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graph!$AK$8:$AK$93</c:f>
              <c:numCache>
                <c:formatCode>General</c:formatCode>
                <c:ptCount val="86"/>
                <c:pt idx="58" formatCode="0.00">
                  <c:v>-1.71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38C-4D07-A19E-0266DBBAF367}"/>
            </c:ext>
          </c:extLst>
        </c:ser>
        <c:ser>
          <c:idx val="2"/>
          <c:order val="2"/>
          <c:tx>
            <c:v>econometric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graph!$AE$8:$AE$93</c:f>
              <c:numCache>
                <c:formatCode>General</c:formatCode>
                <c:ptCount val="86"/>
                <c:pt idx="21" formatCode="0.0">
                  <c:v>-0.17962065483383896</c:v>
                </c:pt>
                <c:pt idx="25" formatCode="0.0">
                  <c:v>-0.30947656699459297</c:v>
                </c:pt>
                <c:pt idx="45" formatCode="0.0">
                  <c:v>-0.93</c:v>
                </c:pt>
                <c:pt idx="47" formatCode="0.0">
                  <c:v>-5.1135252093739076</c:v>
                </c:pt>
                <c:pt idx="52" formatCode="0.00">
                  <c:v>-3.7</c:v>
                </c:pt>
                <c:pt idx="55" formatCode="0.00">
                  <c:v>-0.04</c:v>
                </c:pt>
                <c:pt idx="58" formatCode="0.00">
                  <c:v>3.61</c:v>
                </c:pt>
                <c:pt idx="61" formatCode="0.00">
                  <c:v>5.1295273109904338</c:v>
                </c:pt>
                <c:pt idx="67" formatCode="0.00">
                  <c:v>-0.13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C-4D07-A19E-0266DBBAF367}"/>
            </c:ext>
          </c:extLst>
        </c:ser>
        <c:ser>
          <c:idx val="3"/>
          <c:order val="3"/>
          <c:tx>
            <c:v>elicitation</c:v>
          </c:tx>
          <c:spPr>
            <a:ln>
              <a:noFill/>
            </a:ln>
          </c:spPr>
          <c:marker>
            <c:symbol val="triangle"/>
            <c:size val="9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accent3">
                    <a:lumMod val="50000"/>
                  </a:schemeClr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graph!$Y$8:$Y$93</c:f>
              <c:numCache>
                <c:formatCode>General</c:formatCode>
                <c:ptCount val="86"/>
                <c:pt idx="27" formatCode="0.00">
                  <c:v>-2.2000000000000002</c:v>
                </c:pt>
                <c:pt idx="40" formatCode="0.0">
                  <c:v>-5.22</c:v>
                </c:pt>
                <c:pt idx="45" formatCode="0.0">
                  <c:v>-3.6</c:v>
                </c:pt>
                <c:pt idx="65" formatCode="0.00">
                  <c:v>-16.100000000000001</c:v>
                </c:pt>
                <c:pt idx="75" formatCode="0.0">
                  <c:v>-6.7</c:v>
                </c:pt>
                <c:pt idx="85" formatCode="0.00">
                  <c:v>-25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8C-4D07-A19E-0266DBBAF367}"/>
            </c:ext>
          </c:extLst>
        </c:ser>
        <c:ser>
          <c:idx val="4"/>
          <c:order val="4"/>
          <c:spPr>
            <a:ln w="508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38C-4D07-A19E-0266DBBAF367}"/>
            </c:ext>
          </c:extLst>
        </c:ser>
        <c:ser>
          <c:idx val="5"/>
          <c:order val="5"/>
          <c:spPr>
            <a:ln w="381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graph!$E$8:$E$93</c:f>
              <c:numCache>
                <c:formatCode>General</c:formatCode>
                <c:ptCount val="86"/>
                <c:pt idx="0">
                  <c:v>-2.7636682349165302</c:v>
                </c:pt>
                <c:pt idx="1">
                  <c:v>-2.5690038338730079</c:v>
                </c:pt>
                <c:pt idx="2">
                  <c:v>-2.3757714651726416</c:v>
                </c:pt>
                <c:pt idx="3">
                  <c:v>-2.1839849510640024</c:v>
                </c:pt>
                <c:pt idx="4">
                  <c:v>-1.993657792310366</c:v>
                </c:pt>
                <c:pt idx="5">
                  <c:v>-1.8048031973037744</c:v>
                </c:pt>
                <c:pt idx="6">
                  <c:v>-1.6174341105402434</c:v>
                </c:pt>
                <c:pt idx="7">
                  <c:v>-1.4315632404344203</c:v>
                </c:pt>
                <c:pt idx="8">
                  <c:v>-1.2472030864514214</c:v>
                </c:pt>
                <c:pt idx="9">
                  <c:v>-1.0643659655330537</c:v>
                </c:pt>
                <c:pt idx="10">
                  <c:v>-0.88306403779517262</c:v>
                </c:pt>
                <c:pt idx="11">
                  <c:v>-0.70330933147252406</c:v>
                </c:pt>
                <c:pt idx="12">
                  <c:v>-0.52511376708708857</c:v>
                </c:pt>
                <c:pt idx="13">
                  <c:v>-0.34848918081565494</c:v>
                </c:pt>
                <c:pt idx="14">
                  <c:v>-0.17344734703213924</c:v>
                </c:pt>
                <c:pt idx="15">
                  <c:v>0</c:v>
                </c:pt>
                <c:pt idx="16">
                  <c:v>0.17184114531000835</c:v>
                </c:pt>
                <c:pt idx="17">
                  <c:v>0.34206437330152084</c:v>
                </c:pt>
                <c:pt idx="18">
                  <c:v>0.51065794875848436</c:v>
                </c:pt>
                <c:pt idx="19">
                  <c:v>0.67761009879999812</c:v>
                </c:pt>
                <c:pt idx="20">
                  <c:v>0.84290899580863865</c:v>
                </c:pt>
                <c:pt idx="21">
                  <c:v>1.0065427413566224</c:v>
                </c:pt>
                <c:pt idx="22">
                  <c:v>1.1684993511538977</c:v>
                </c:pt>
                <c:pt idx="23">
                  <c:v>1.3287667410419255</c:v>
                </c:pt>
                <c:pt idx="24">
                  <c:v>1.4873327140565129</c:v>
                </c:pt>
                <c:pt idx="25">
                  <c:v>1.6441849485825943</c:v>
                </c:pt>
                <c:pt idx="26">
                  <c:v>1.7993109876233289</c:v>
                </c:pt>
                <c:pt idx="27">
                  <c:v>1.9526982292052608</c:v>
                </c:pt>
                <c:pt idx="28">
                  <c:v>2.1043339179406231</c:v>
                </c:pt>
                <c:pt idx="29">
                  <c:v>2.2542051377670949</c:v>
                </c:pt>
                <c:pt idx="30">
                  <c:v>2.4022988058844832</c:v>
                </c:pt>
                <c:pt idx="31">
                  <c:v>2.5486016679068815</c:v>
                </c:pt>
                <c:pt idx="32">
                  <c:v>2.6931002942478379</c:v>
                </c:pt>
                <c:pt idx="33">
                  <c:v>2.8357810777549695</c:v>
                </c:pt>
                <c:pt idx="34">
                  <c:v>2.976630232609256</c:v>
                </c:pt>
                <c:pt idx="35">
                  <c:v>3.1156337945029438</c:v>
                </c:pt>
                <c:pt idx="36">
                  <c:v>3.2527776221085896</c:v>
                </c:pt>
                <c:pt idx="37">
                  <c:v>3.3880473998502438</c:v>
                </c:pt>
                <c:pt idx="38">
                  <c:v>3.5214286419861556</c:v>
                </c:pt>
                <c:pt idx="39">
                  <c:v>3.6529066980105824</c:v>
                </c:pt>
                <c:pt idx="40">
                  <c:v>3.7824667593804349</c:v>
                </c:pt>
                <c:pt idx="41">
                  <c:v>3.9100938675704007</c:v>
                </c:pt>
                <c:pt idx="42">
                  <c:v>4.0357729234580431</c:v>
                </c:pt>
                <c:pt idx="43">
                  <c:v>4.1594886980379702</c:v>
                </c:pt>
                <c:pt idx="44">
                  <c:v>4.2812258444617086</c:v>
                </c:pt>
                <c:pt idx="45">
                  <c:v>4.4009689113971211</c:v>
                </c:pt>
                <c:pt idx="46">
                  <c:v>4.5187023576983911</c:v>
                </c:pt>
                <c:pt idx="47">
                  <c:v>4.6344105683743955</c:v>
                </c:pt>
                <c:pt idx="48">
                  <c:v>4.7480778718399961</c:v>
                </c:pt>
                <c:pt idx="49">
                  <c:v>4.8596885584311451</c:v>
                </c:pt>
                <c:pt idx="50">
                  <c:v>4.969226900160864</c:v>
                </c:pt>
                <c:pt idx="51">
                  <c:v>5.0766771716889902</c:v>
                </c:pt>
                <c:pt idx="52">
                  <c:v>5.1820236724741671</c:v>
                </c:pt>
                <c:pt idx="53">
                  <c:v>5.2852507500716808</c:v>
                </c:pt>
                <c:pt idx="54">
                  <c:v>5.3863428245357241</c:v>
                </c:pt>
                <c:pt idx="55">
                  <c:v>5.4852844138789933</c:v>
                </c:pt>
                <c:pt idx="56">
                  <c:v>5.5820601605366411</c:v>
                </c:pt>
                <c:pt idx="57">
                  <c:v>5.6766548587751666</c:v>
                </c:pt>
                <c:pt idx="58">
                  <c:v>5.7690534829798521</c:v>
                </c:pt>
                <c:pt idx="59">
                  <c:v>5.8592412167469581</c:v>
                </c:pt>
                <c:pt idx="60">
                  <c:v>5.9472034826987263</c:v>
                </c:pt>
                <c:pt idx="61">
                  <c:v>6.032925972930629</c:v>
                </c:pt>
                <c:pt idx="62">
                  <c:v>6.1163946799908109</c:v>
                </c:pt>
                <c:pt idx="63">
                  <c:v>6.1975959282815154</c:v>
                </c:pt>
                <c:pt idx="64">
                  <c:v>6.2765164057612797</c:v>
                </c:pt>
                <c:pt idx="65">
                  <c:v>6.3531431958147353</c:v>
                </c:pt>
                <c:pt idx="66">
                  <c:v>6.4274638091439149</c:v>
                </c:pt>
                <c:pt idx="67">
                  <c:v>6.4994662155209255</c:v>
                </c:pt>
                <c:pt idx="68">
                  <c:v>6.5691388752266917</c:v>
                </c:pt>
                <c:pt idx="69">
                  <c:v>6.636470769983859</c:v>
                </c:pt>
                <c:pt idx="70">
                  <c:v>6.7014514331740456</c:v>
                </c:pt>
                <c:pt idx="71">
                  <c:v>6.7640709791100697</c:v>
                </c:pt>
                <c:pt idx="72">
                  <c:v>6.8243201311125601</c:v>
                </c:pt>
                <c:pt idx="73">
                  <c:v>6.8821902481171797</c:v>
                </c:pt>
                <c:pt idx="74">
                  <c:v>6.9376733495135348</c:v>
                </c:pt>
                <c:pt idx="75">
                  <c:v>6.9907621378893134</c:v>
                </c:pt>
                <c:pt idx="76">
                  <c:v>7.0414500193232907</c:v>
                </c:pt>
                <c:pt idx="77">
                  <c:v>7.0897311208380716</c:v>
                </c:pt>
                <c:pt idx="78">
                  <c:v>7.1356003045877596</c:v>
                </c:pt>
                <c:pt idx="79">
                  <c:v>7.1790531783167193</c:v>
                </c:pt>
                <c:pt idx="80">
                  <c:v>7.2200861015829458</c:v>
                </c:pt>
                <c:pt idx="81">
                  <c:v>7.2586961871929105</c:v>
                </c:pt>
                <c:pt idx="82">
                  <c:v>7.2948812972436468</c:v>
                </c:pt>
                <c:pt idx="83">
                  <c:v>7.3286400331121184</c:v>
                </c:pt>
                <c:pt idx="84">
                  <c:v>7.3599717186704989</c:v>
                </c:pt>
                <c:pt idx="85">
                  <c:v>7.38887637593914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38C-4D07-A19E-0266DBBAF367}"/>
            </c:ext>
          </c:extLst>
        </c:ser>
        <c:ser>
          <c:idx val="7"/>
          <c:order val="6"/>
          <c:tx>
            <c:v>CGE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graph!$AB$8:$AB$93</c:f>
              <c:numCache>
                <c:formatCode>General</c:formatCode>
                <c:ptCount val="86"/>
                <c:pt idx="25">
                  <c:v>-0.4658664448796927</c:v>
                </c:pt>
                <c:pt idx="34" formatCode="0.0">
                  <c:v>-0.5</c:v>
                </c:pt>
                <c:pt idx="35" formatCode="0.00">
                  <c:v>-1.0740738140966928</c:v>
                </c:pt>
                <c:pt idx="44" formatCode="0.0">
                  <c:v>-1.8</c:v>
                </c:pt>
                <c:pt idx="45">
                  <c:v>-0.71756668095998166</c:v>
                </c:pt>
                <c:pt idx="55">
                  <c:v>-4.6911160007283899</c:v>
                </c:pt>
                <c:pt idx="69" formatCode="0.0">
                  <c:v>-4.5999999999999996</c:v>
                </c:pt>
                <c:pt idx="75" formatCode="0.00">
                  <c:v>-9.49637530496768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8C-4D07-A19E-0266DBBAF367}"/>
            </c:ext>
          </c:extLst>
        </c:ser>
        <c:ser>
          <c:idx val="8"/>
          <c:order val="7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graph!$AC$8:$AC$93</c:f>
              <c:numCache>
                <c:formatCode>General</c:formatCode>
                <c:ptCount val="86"/>
                <c:pt idx="34" formatCode="0.00">
                  <c:v>-0.7</c:v>
                </c:pt>
                <c:pt idx="35" formatCode="0.00">
                  <c:v>-1.0517705037403</c:v>
                </c:pt>
                <c:pt idx="45">
                  <c:v>-1.8369485050307706</c:v>
                </c:pt>
                <c:pt idx="55" formatCode="0.00">
                  <c:v>-1.8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8C-4D07-A19E-0266DBBAF367}"/>
            </c:ext>
          </c:extLst>
        </c:ser>
        <c:ser>
          <c:idx val="9"/>
          <c:order val="8"/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graph!$AL$8:$AL$93</c:f>
              <c:numCache>
                <c:formatCode>General</c:formatCode>
                <c:ptCount val="86"/>
                <c:pt idx="58" formatCode="0.00">
                  <c:v>-1.63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2-4295-9C96-4D943BBA3764}"/>
            </c:ext>
          </c:extLst>
        </c:ser>
        <c:ser>
          <c:idx val="11"/>
          <c:order val="9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graph!$AF$8:$AF$93</c:f>
              <c:numCache>
                <c:formatCode>General</c:formatCode>
                <c:ptCount val="86"/>
                <c:pt idx="25">
                  <c:v>-2.2999999999999998</c:v>
                </c:pt>
                <c:pt idx="40" formatCode="0.00">
                  <c:v>0.03</c:v>
                </c:pt>
                <c:pt idx="45" formatCode="0.0">
                  <c:v>-1.05</c:v>
                </c:pt>
                <c:pt idx="55" formatCode="0.00">
                  <c:v>-0.01</c:v>
                </c:pt>
                <c:pt idx="58" formatCode="0.00">
                  <c:v>-0.64</c:v>
                </c:pt>
                <c:pt idx="67" formatCode="0.00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8C-4D07-A19E-0266DBBAF367}"/>
            </c:ext>
          </c:extLst>
        </c:ser>
        <c:ser>
          <c:idx val="12"/>
          <c:order val="10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graph!$AG$8:$AG$93</c:f>
              <c:numCache>
                <c:formatCode>General</c:formatCode>
                <c:ptCount val="86"/>
                <c:pt idx="25" formatCode="0.00">
                  <c:v>-3.8</c:v>
                </c:pt>
                <c:pt idx="40" formatCode="0.00">
                  <c:v>0.1</c:v>
                </c:pt>
                <c:pt idx="58" formatCode="0.00">
                  <c:v>-1.82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8C-4D07-A19E-0266DBBAF367}"/>
            </c:ext>
          </c:extLst>
        </c:ser>
        <c:ser>
          <c:idx val="13"/>
          <c:order val="11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graph!$AH$8:$AH$93</c:f>
              <c:numCache>
                <c:formatCode>General</c:formatCode>
                <c:ptCount val="86"/>
                <c:pt idx="25" formatCode="0.00">
                  <c:v>-1.35</c:v>
                </c:pt>
                <c:pt idx="58" formatCode="0.00">
                  <c:v>-1.75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8C-4D07-A19E-0266DBBAF367}"/>
            </c:ext>
          </c:extLst>
        </c:ser>
        <c:ser>
          <c:idx val="14"/>
          <c:order val="12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graph!$AI$8:$AI$93</c:f>
              <c:numCache>
                <c:formatCode>General</c:formatCode>
                <c:ptCount val="86"/>
                <c:pt idx="25" formatCode="0.00">
                  <c:v>-1.61</c:v>
                </c:pt>
                <c:pt idx="40" formatCode="0.00">
                  <c:v>3.3000365094043249E-2</c:v>
                </c:pt>
                <c:pt idx="58" formatCode="0.00">
                  <c:v>-2.16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38C-4D07-A19E-0266DBBAF367}"/>
            </c:ext>
          </c:extLst>
        </c:ser>
        <c:ser>
          <c:idx val="15"/>
          <c:order val="13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graph!$AJ$8:$AJ$93</c:f>
              <c:numCache>
                <c:formatCode>General</c:formatCode>
                <c:ptCount val="86"/>
                <c:pt idx="58" formatCode="0.00">
                  <c:v>5.63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C-4D07-A19E-0266DBBAF367}"/>
            </c:ext>
          </c:extLst>
        </c:ser>
        <c:ser>
          <c:idx val="16"/>
          <c:order val="14"/>
          <c:spPr>
            <a:ln w="381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graph!$F$8:$F$93</c:f>
              <c:numCache>
                <c:formatCode>General</c:formatCode>
                <c:ptCount val="86"/>
                <c:pt idx="0">
                  <c:v>4.6893065417123916</c:v>
                </c:pt>
                <c:pt idx="1">
                  <c:v>4.3871059576473188</c:v>
                </c:pt>
                <c:pt idx="2">
                  <c:v>4.0834733412390891</c:v>
                </c:pt>
                <c:pt idx="3">
                  <c:v>3.7783948702391332</c:v>
                </c:pt>
                <c:pt idx="4">
                  <c:v>3.4718570438841745</c:v>
                </c:pt>
                <c:pt idx="5">
                  <c:v>3.163846653782171</c:v>
                </c:pt>
                <c:pt idx="6">
                  <c:v>2.8543507554371073</c:v>
                </c:pt>
                <c:pt idx="7">
                  <c:v>2.5433566404343355</c:v>
                </c:pt>
                <c:pt idx="8">
                  <c:v>2.2308518093087395</c:v>
                </c:pt>
                <c:pt idx="9">
                  <c:v>1.9168239451185125</c:v>
                </c:pt>
                <c:pt idx="10">
                  <c:v>1.6012608877477987</c:v>
                </c:pt>
                <c:pt idx="11">
                  <c:v>1.2841506089618526</c:v>
                </c:pt>
                <c:pt idx="12">
                  <c:v>0.96548118823869311</c:v>
                </c:pt>
                <c:pt idx="13">
                  <c:v>0.64524078940153184</c:v>
                </c:pt>
                <c:pt idx="14">
                  <c:v>0.32341763807645257</c:v>
                </c:pt>
                <c:pt idx="15">
                  <c:v>0</c:v>
                </c:pt>
                <c:pt idx="16">
                  <c:v>-0.32502383979858662</c:v>
                </c:pt>
                <c:pt idx="17">
                  <c:v>-0.65166559691566905</c:v>
                </c:pt>
                <c:pt idx="18">
                  <c:v>-0.97993700656730076</c:v>
                </c:pt>
                <c:pt idx="19">
                  <c:v>-1.3098498416343818</c:v>
                </c:pt>
                <c:pt idx="20">
                  <c:v>-1.641415929734336</c:v>
                </c:pt>
                <c:pt idx="21">
                  <c:v>-1.9746471692949472</c:v>
                </c:pt>
                <c:pt idx="22">
                  <c:v>-2.3095555446062668</c:v>
                </c:pt>
                <c:pt idx="23">
                  <c:v>-2.6461531398268336</c:v>
                </c:pt>
                <c:pt idx="24">
                  <c:v>-2.9844521519208409</c:v>
                </c:pt>
                <c:pt idx="25">
                  <c:v>-3.3244649025033541</c:v>
                </c:pt>
                <c:pt idx="26">
                  <c:v>-3.6662038485712145</c:v>
                </c:pt>
                <c:pt idx="27">
                  <c:v>-4.0096815920978788</c:v>
                </c:pt>
                <c:pt idx="28">
                  <c:v>-4.3549108884711112</c:v>
                </c:pt>
                <c:pt idx="29">
                  <c:v>-4.7019046537532345</c:v>
                </c:pt>
                <c:pt idx="30">
                  <c:v>-5.0506759707444413</c:v>
                </c:pt>
                <c:pt idx="31">
                  <c:v>-5.4012380938306386</c:v>
                </c:pt>
                <c:pt idx="32">
                  <c:v>-5.7536044525982781</c:v>
                </c:pt>
                <c:pt idx="33">
                  <c:v>-6.1077886541997426</c:v>
                </c:pt>
                <c:pt idx="34">
                  <c:v>-6.4638044844540499</c:v>
                </c:pt>
                <c:pt idx="35">
                  <c:v>-6.8216659076689563</c:v>
                </c:pt>
                <c:pt idx="36">
                  <c:v>-7.1813870651719069</c:v>
                </c:pt>
                <c:pt idx="37">
                  <c:v>-7.5429822725388478</c:v>
                </c:pt>
                <c:pt idx="38">
                  <c:v>-7.9064660155115316</c:v>
                </c:pt>
                <c:pt idx="39">
                  <c:v>-8.2718529445957003</c:v>
                </c:pt>
                <c:pt idx="40">
                  <c:v>-8.6391578683344434</c:v>
                </c:pt>
                <c:pt idx="41">
                  <c:v>-9.0083957452530719</c:v>
                </c:pt>
                <c:pt idx="42">
                  <c:v>-9.3795816744740268</c:v>
                </c:pt>
                <c:pt idx="43">
                  <c:v>-9.752730885002693</c:v>
                </c:pt>
                <c:pt idx="44">
                  <c:v>-10.127858723687551</c:v>
                </c:pt>
                <c:pt idx="45">
                  <c:v>-10.504980641860735</c:v>
                </c:pt>
                <c:pt idx="46">
                  <c:v>-10.88411218066806</c:v>
                </c:pt>
                <c:pt idx="47">
                  <c:v>-11.26526895510065</c:v>
                </c:pt>
                <c:pt idx="48">
                  <c:v>-11.648466636743645</c:v>
                </c:pt>
                <c:pt idx="49">
                  <c:v>-12.033720935261091</c:v>
                </c:pt>
                <c:pt idx="50">
                  <c:v>-12.421047578639968</c:v>
                </c:pt>
                <c:pt idx="51">
                  <c:v>-12.810462292220436</c:v>
                </c:pt>
                <c:pt idx="52">
                  <c:v>-13.201980776543856</c:v>
                </c:pt>
                <c:pt idx="53">
                  <c:v>-13.595618684054937</c:v>
                </c:pt>
                <c:pt idx="54">
                  <c:v>-13.991391594699488</c:v>
                </c:pt>
                <c:pt idx="55">
                  <c:v>-14.389314990464813</c:v>
                </c:pt>
                <c:pt idx="56">
                  <c:v>-14.78940422891576</c:v>
                </c:pt>
                <c:pt idx="57">
                  <c:v>-15.191674515785827</c:v>
                </c:pt>
                <c:pt idx="58">
                  <c:v>-15.596140876689734</c:v>
                </c:pt>
                <c:pt idx="59">
                  <c:v>-16.002818128031222</c:v>
                </c:pt>
                <c:pt idx="60">
                  <c:v>-16.411720847188047</c:v>
                </c:pt>
                <c:pt idx="61">
                  <c:v>-16.822863342064736</c:v>
                </c:pt>
                <c:pt idx="62">
                  <c:v>-17.236259620113149</c:v>
                </c:pt>
                <c:pt idx="63">
                  <c:v>-17.651923356931036</c:v>
                </c:pt>
                <c:pt idx="64">
                  <c:v>-18.069867864559868</c:v>
                </c:pt>
                <c:pt idx="65">
                  <c:v>-18.490106059615002</c:v>
                </c:pt>
                <c:pt idx="66">
                  <c:v>-18.912650431394415</c:v>
                </c:pt>
                <c:pt idx="67">
                  <c:v>-19.337513010125999</c:v>
                </c:pt>
                <c:pt idx="68">
                  <c:v>-19.764705335528827</c:v>
                </c:pt>
                <c:pt idx="69">
                  <c:v>-20.194238425880251</c:v>
                </c:pt>
                <c:pt idx="70">
                  <c:v>-20.626122747798657</c:v>
                </c:pt>
                <c:pt idx="71">
                  <c:v>-21.060368186971228</c:v>
                </c:pt>
                <c:pt idx="72">
                  <c:v>-21.496984020077331</c:v>
                </c:pt>
                <c:pt idx="73">
                  <c:v>-21.935978888181303</c:v>
                </c:pt>
                <c:pt idx="74">
                  <c:v>-22.377360771893542</c:v>
                </c:pt>
                <c:pt idx="75">
                  <c:v>-22.821136968626355</c:v>
                </c:pt>
                <c:pt idx="76">
                  <c:v>-23.267314072300969</c:v>
                </c:pt>
                <c:pt idx="77">
                  <c:v>-23.715897955894786</c:v>
                </c:pt>
                <c:pt idx="78">
                  <c:v>-24.166893757253689</c:v>
                </c:pt>
                <c:pt idx="79">
                  <c:v>-24.620305868633324</c:v>
                </c:pt>
                <c:pt idx="80">
                  <c:v>-25.076137930475689</c:v>
                </c:pt>
                <c:pt idx="81">
                  <c:v>-25.534392829974315</c:v>
                </c:pt>
                <c:pt idx="82">
                  <c:v>-25.995072705032175</c:v>
                </c:pt>
                <c:pt idx="83">
                  <c:v>-26.458178954272299</c:v>
                </c:pt>
                <c:pt idx="84">
                  <c:v>-26.923712253822508</c:v>
                </c:pt>
                <c:pt idx="85">
                  <c:v>-27.391672581662462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38C-4D07-A19E-0266DBBAF367}"/>
            </c:ext>
          </c:extLst>
        </c:ser>
        <c:ser>
          <c:idx val="17"/>
          <c:order val="15"/>
          <c:spPr>
            <a:ln w="28575"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Pt>
            <c:idx val="40"/>
            <c:bubble3D val="0"/>
            <c:extLst>
              <c:ext xmlns:c16="http://schemas.microsoft.com/office/drawing/2014/chart" uri="{C3380CC4-5D6E-409C-BE32-E72D297353CC}">
                <c16:uniqueId val="{00000001-1189-4063-A873-A943006B1727}"/>
              </c:ext>
            </c:extLst>
          </c:dPt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graph!$AM$8:$AM$93</c:f>
              <c:numCache>
                <c:formatCode>General</c:formatCode>
                <c:ptCount val="86"/>
                <c:pt idx="58" formatCode="0.00">
                  <c:v>-2.17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9-4063-A873-A943006B1727}"/>
            </c:ext>
          </c:extLst>
        </c:ser>
        <c:ser>
          <c:idx val="6"/>
          <c:order val="16"/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graph!$AD$8:$AD$93</c:f>
              <c:numCache>
                <c:formatCode>General</c:formatCode>
                <c:ptCount val="86"/>
                <c:pt idx="40" formatCode="0.00">
                  <c:v>-2</c:v>
                </c:pt>
                <c:pt idx="55">
                  <c:v>-2.7931051587285425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D1-414D-AB88-A2383F34656B}"/>
            </c:ext>
          </c:extLst>
        </c:ser>
        <c:ser>
          <c:idx val="10"/>
          <c:order val="17"/>
          <c:spPr>
            <a:ln w="28575">
              <a:noFill/>
            </a:ln>
          </c:spPr>
          <c:dPt>
            <c:idx val="45"/>
            <c:marker>
              <c:symbol val="triangle"/>
              <c:size val="9"/>
              <c:spPr>
                <a:solidFill>
                  <a:schemeClr val="accent3">
                    <a:lumMod val="50000"/>
                  </a:schemeClr>
                </a:solidFill>
                <a:ln>
                  <a:solidFill>
                    <a:schemeClr val="accent3">
                      <a:lumMod val="50000"/>
                    </a:schemeClr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B08-47B9-8A3A-C41A33768874}"/>
              </c:ext>
            </c:extLst>
          </c:dPt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graph!$Z$8:$Z$93</c:f>
              <c:numCache>
                <c:formatCode>General</c:formatCode>
                <c:ptCount val="86"/>
                <c:pt idx="45">
                  <c:v>-9.1999999999999993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8-47B9-8A3A-C41A33768874}"/>
            </c:ext>
          </c:extLst>
        </c:ser>
        <c:ser>
          <c:idx val="18"/>
          <c:order val="18"/>
          <c:spPr>
            <a:ln w="28575">
              <a:noFill/>
            </a:ln>
          </c:spPr>
          <c:marker>
            <c:symbol val="triangle"/>
            <c:size val="9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accent3">
                    <a:lumMod val="50000"/>
                  </a:schemeClr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graph!$AA$8:$AA$93</c:f>
              <c:numCache>
                <c:formatCode>General</c:formatCode>
                <c:ptCount val="86"/>
                <c:pt idx="45">
                  <c:v>-8.5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08-47B9-8A3A-C41A33768874}"/>
            </c:ext>
          </c:extLst>
        </c:ser>
        <c:ser>
          <c:idx val="19"/>
          <c:order val="19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graph!$S$8:$S$93</c:f>
              <c:numCache>
                <c:formatCode>General</c:formatCode>
                <c:ptCount val="86"/>
                <c:pt idx="40" formatCode="0.00">
                  <c:v>-1.435622202473182</c:v>
                </c:pt>
                <c:pt idx="45" formatCode="0.0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08-47B9-8A3A-C41A33768874}"/>
            </c:ext>
          </c:extLst>
        </c:ser>
        <c:ser>
          <c:idx val="20"/>
          <c:order val="20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graph!$T$8:$T$93</c:f>
              <c:numCache>
                <c:formatCode>General</c:formatCode>
                <c:ptCount val="86"/>
                <c:pt idx="40" formatCode="0.00">
                  <c:v>-2.8909238132996098</c:v>
                </c:pt>
                <c:pt idx="45" formatCode="0.0">
                  <c:v>-2.5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08-47B9-8A3A-C41A33768874}"/>
            </c:ext>
          </c:extLst>
        </c:ser>
        <c:ser>
          <c:idx val="21"/>
          <c:order val="21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graph!$U$8:$U$93</c:f>
              <c:numCache>
                <c:formatCode>General</c:formatCode>
                <c:ptCount val="86"/>
                <c:pt idx="40" formatCode="0.00">
                  <c:v>-1.5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08-47B9-8A3A-C41A33768874}"/>
            </c:ext>
          </c:extLst>
        </c:ser>
        <c:ser>
          <c:idx val="22"/>
          <c:order val="22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graph!$V$8:$V$93</c:f>
              <c:numCache>
                <c:formatCode>General</c:formatCode>
                <c:ptCount val="86"/>
                <c:pt idx="40" formatCode="0.00">
                  <c:v>-1.5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08-47B9-8A3A-C41A33768874}"/>
            </c:ext>
          </c:extLst>
        </c:ser>
        <c:ser>
          <c:idx val="23"/>
          <c:order val="23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graph!$W$8:$W$93</c:f>
              <c:numCache>
                <c:formatCode>General</c:formatCode>
                <c:ptCount val="86"/>
                <c:pt idx="40" formatCode="0.00">
                  <c:v>-0.9804776851232514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B08-47B9-8A3A-C41A33768874}"/>
            </c:ext>
          </c:extLst>
        </c:ser>
        <c:ser>
          <c:idx val="24"/>
          <c:order val="24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graph!$X$8:$X$93</c:f>
              <c:numCache>
                <c:formatCode>General</c:formatCode>
                <c:ptCount val="86"/>
                <c:pt idx="40" formatCode="0.00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08-47B9-8A3A-C41A33768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847648"/>
        <c:axId val="335847256"/>
      </c:lineChart>
      <c:catAx>
        <c:axId val="3358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Global</a:t>
                </a:r>
                <a:r>
                  <a:rPr lang="en-US" b="0" baseline="0"/>
                  <a:t> warming (in d</a:t>
                </a:r>
                <a:r>
                  <a:rPr lang="en-US" b="0"/>
                  <a:t>egrees centrigrade)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335847256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335847256"/>
        <c:scaling>
          <c:orientation val="minMax"/>
          <c:max val="7.5"/>
          <c:min val="-2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Welfare-equivalent</a:t>
                </a:r>
                <a:r>
                  <a:rPr lang="en-US" b="0" baseline="0"/>
                  <a:t> income change (in percent)</a:t>
                </a:r>
                <a:endParaRPr lang="en-US" b="0"/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335847648"/>
        <c:crossesAt val="16"/>
        <c:crossBetween val="between"/>
        <c:majorUnit val="2.5"/>
      </c:valAx>
      <c:spPr>
        <a:noFill/>
        <a:ln w="25400">
          <a:noFill/>
        </a:ln>
      </c:spPr>
    </c:plotArea>
    <c:legend>
      <c:legendPos val="r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ayout>
        <c:manualLayout>
          <c:xMode val="edge"/>
          <c:yMode val="edge"/>
          <c:x val="0.21924196463147025"/>
          <c:y val="0.78674447336342368"/>
          <c:w val="0.1629044446367281"/>
          <c:h val="0.19700985075610319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823114323824276E-2"/>
          <c:y val="4.1593417454617337E-2"/>
          <c:w val="0.93272378073331486"/>
          <c:h val="0.93870556452409981"/>
        </c:manualLayout>
      </c:layout>
      <c:lineChart>
        <c:grouping val="standard"/>
        <c:varyColors val="0"/>
        <c:ser>
          <c:idx val="0"/>
          <c:order val="0"/>
          <c:tx>
            <c:v>enumerative</c:v>
          </c:tx>
          <c:spPr>
            <a:ln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graph!$Q$8:$Q$93</c:f>
              <c:numCache>
                <c:formatCode>General</c:formatCode>
                <c:ptCount val="86"/>
                <c:pt idx="5">
                  <c:v>-0.59642907312262095</c:v>
                </c:pt>
                <c:pt idx="25" formatCode="0.0">
                  <c:v>2.2999999999999998</c:v>
                </c:pt>
                <c:pt idx="40" formatCode="0.00">
                  <c:v>-1.4</c:v>
                </c:pt>
                <c:pt idx="44" formatCode="0.0">
                  <c:v>-2</c:v>
                </c:pt>
                <c:pt idx="45" formatCode="0.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0-46B2-B559-1EBDAED2F542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graph!$AK$8:$AK$93</c:f>
              <c:numCache>
                <c:formatCode>General</c:formatCode>
                <c:ptCount val="86"/>
                <c:pt idx="58" formatCode="0.00">
                  <c:v>-1.71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0-46B2-B559-1EBDAED2F542}"/>
            </c:ext>
          </c:extLst>
        </c:ser>
        <c:ser>
          <c:idx val="2"/>
          <c:order val="2"/>
          <c:tx>
            <c:v>econometric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graph!$AE$8:$AE$93</c:f>
              <c:numCache>
                <c:formatCode>General</c:formatCode>
                <c:ptCount val="86"/>
                <c:pt idx="21" formatCode="0.0">
                  <c:v>-0.17962065483383896</c:v>
                </c:pt>
                <c:pt idx="25" formatCode="0.0">
                  <c:v>-0.30947656699459297</c:v>
                </c:pt>
                <c:pt idx="45" formatCode="0.0">
                  <c:v>-0.93</c:v>
                </c:pt>
                <c:pt idx="47" formatCode="0.0">
                  <c:v>-5.1135252093739076</c:v>
                </c:pt>
                <c:pt idx="52" formatCode="0.00">
                  <c:v>-3.7</c:v>
                </c:pt>
                <c:pt idx="55" formatCode="0.00">
                  <c:v>-0.04</c:v>
                </c:pt>
                <c:pt idx="58" formatCode="0.00">
                  <c:v>3.61</c:v>
                </c:pt>
                <c:pt idx="61" formatCode="0.00">
                  <c:v>5.1295273109904338</c:v>
                </c:pt>
                <c:pt idx="67" formatCode="0.00">
                  <c:v>-0.13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A0-46B2-B559-1EBDAED2F542}"/>
            </c:ext>
          </c:extLst>
        </c:ser>
        <c:ser>
          <c:idx val="3"/>
          <c:order val="3"/>
          <c:tx>
            <c:v>elicitation</c:v>
          </c:tx>
          <c:spPr>
            <a:ln>
              <a:noFill/>
            </a:ln>
          </c:spPr>
          <c:marker>
            <c:symbol val="triangle"/>
            <c:size val="9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accent3">
                    <a:lumMod val="50000"/>
                  </a:schemeClr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graph!$Y$8:$Y$93</c:f>
              <c:numCache>
                <c:formatCode>General</c:formatCode>
                <c:ptCount val="86"/>
                <c:pt idx="27" formatCode="0.00">
                  <c:v>-2.2000000000000002</c:v>
                </c:pt>
                <c:pt idx="40" formatCode="0.0">
                  <c:v>-5.22</c:v>
                </c:pt>
                <c:pt idx="45" formatCode="0.0">
                  <c:v>-3.6</c:v>
                </c:pt>
                <c:pt idx="65" formatCode="0.00">
                  <c:v>-16.100000000000001</c:v>
                </c:pt>
                <c:pt idx="75" formatCode="0.0">
                  <c:v>-6.7</c:v>
                </c:pt>
                <c:pt idx="85" formatCode="0.00">
                  <c:v>-25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A0-46B2-B559-1EBDAED2F542}"/>
            </c:ext>
          </c:extLst>
        </c:ser>
        <c:ser>
          <c:idx val="7"/>
          <c:order val="4"/>
          <c:tx>
            <c:v>CGE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graph!$AB$8:$AB$93</c:f>
              <c:numCache>
                <c:formatCode>General</c:formatCode>
                <c:ptCount val="86"/>
                <c:pt idx="25">
                  <c:v>-0.4658664448796927</c:v>
                </c:pt>
                <c:pt idx="34" formatCode="0.0">
                  <c:v>-0.5</c:v>
                </c:pt>
                <c:pt idx="35" formatCode="0.00">
                  <c:v>-1.0740738140966928</c:v>
                </c:pt>
                <c:pt idx="44" formatCode="0.0">
                  <c:v>-1.8</c:v>
                </c:pt>
                <c:pt idx="45">
                  <c:v>-0.71756668095998166</c:v>
                </c:pt>
                <c:pt idx="55">
                  <c:v>-4.6911160007283899</c:v>
                </c:pt>
                <c:pt idx="69" formatCode="0.0">
                  <c:v>-4.5999999999999996</c:v>
                </c:pt>
                <c:pt idx="75" formatCode="0.00">
                  <c:v>-9.49637530496768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A0-46B2-B559-1EBDAED2F542}"/>
            </c:ext>
          </c:extLst>
        </c:ser>
        <c:ser>
          <c:idx val="8"/>
          <c:order val="5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graph!$AC$8:$AC$93</c:f>
              <c:numCache>
                <c:formatCode>General</c:formatCode>
                <c:ptCount val="86"/>
                <c:pt idx="34" formatCode="0.00">
                  <c:v>-0.7</c:v>
                </c:pt>
                <c:pt idx="35" formatCode="0.00">
                  <c:v>-1.0517705037403</c:v>
                </c:pt>
                <c:pt idx="45">
                  <c:v>-1.8369485050307706</c:v>
                </c:pt>
                <c:pt idx="55" formatCode="0.00">
                  <c:v>-1.8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0-46B2-B559-1EBDAED2F542}"/>
            </c:ext>
          </c:extLst>
        </c:ser>
        <c:ser>
          <c:idx val="9"/>
          <c:order val="6"/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graph!$AL$8:$AL$93</c:f>
              <c:numCache>
                <c:formatCode>General</c:formatCode>
                <c:ptCount val="86"/>
                <c:pt idx="58" formatCode="0.00">
                  <c:v>-1.63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0-46B2-B559-1EBDAED2F542}"/>
            </c:ext>
          </c:extLst>
        </c:ser>
        <c:ser>
          <c:idx val="11"/>
          <c:order val="7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graph!$AF$8:$AF$93</c:f>
              <c:numCache>
                <c:formatCode>General</c:formatCode>
                <c:ptCount val="86"/>
                <c:pt idx="25">
                  <c:v>-2.2999999999999998</c:v>
                </c:pt>
                <c:pt idx="40" formatCode="0.00">
                  <c:v>0.03</c:v>
                </c:pt>
                <c:pt idx="45" formatCode="0.0">
                  <c:v>-1.05</c:v>
                </c:pt>
                <c:pt idx="55" formatCode="0.00">
                  <c:v>-0.01</c:v>
                </c:pt>
                <c:pt idx="58" formatCode="0.00">
                  <c:v>-0.64</c:v>
                </c:pt>
                <c:pt idx="67" formatCode="0.00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A0-46B2-B559-1EBDAED2F542}"/>
            </c:ext>
          </c:extLst>
        </c:ser>
        <c:ser>
          <c:idx val="12"/>
          <c:order val="8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graph!$AG$8:$AG$93</c:f>
              <c:numCache>
                <c:formatCode>General</c:formatCode>
                <c:ptCount val="86"/>
                <c:pt idx="25" formatCode="0.00">
                  <c:v>-3.8</c:v>
                </c:pt>
                <c:pt idx="40" formatCode="0.00">
                  <c:v>0.1</c:v>
                </c:pt>
                <c:pt idx="58" formatCode="0.00">
                  <c:v>-1.82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A0-46B2-B559-1EBDAED2F542}"/>
            </c:ext>
          </c:extLst>
        </c:ser>
        <c:ser>
          <c:idx val="13"/>
          <c:order val="9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graph!$AH$8:$AH$93</c:f>
              <c:numCache>
                <c:formatCode>General</c:formatCode>
                <c:ptCount val="86"/>
                <c:pt idx="25" formatCode="0.00">
                  <c:v>-1.35</c:v>
                </c:pt>
                <c:pt idx="58" formatCode="0.00">
                  <c:v>-1.75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1A0-46B2-B559-1EBDAED2F542}"/>
            </c:ext>
          </c:extLst>
        </c:ser>
        <c:ser>
          <c:idx val="14"/>
          <c:order val="10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graph!$AI$8:$AI$93</c:f>
              <c:numCache>
                <c:formatCode>General</c:formatCode>
                <c:ptCount val="86"/>
                <c:pt idx="25" formatCode="0.00">
                  <c:v>-1.61</c:v>
                </c:pt>
                <c:pt idx="40" formatCode="0.00">
                  <c:v>3.3000365094043249E-2</c:v>
                </c:pt>
                <c:pt idx="58" formatCode="0.00">
                  <c:v>-2.16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1A0-46B2-B559-1EBDAED2F542}"/>
            </c:ext>
          </c:extLst>
        </c:ser>
        <c:ser>
          <c:idx val="15"/>
          <c:order val="11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graph!$AJ$8:$AJ$93</c:f>
              <c:numCache>
                <c:formatCode>General</c:formatCode>
                <c:ptCount val="86"/>
                <c:pt idx="58" formatCode="0.00">
                  <c:v>5.63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1A0-46B2-B559-1EBDAED2F542}"/>
            </c:ext>
          </c:extLst>
        </c:ser>
        <c:ser>
          <c:idx val="17"/>
          <c:order val="12"/>
          <c:spPr>
            <a:ln w="28575"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Pt>
            <c:idx val="40"/>
            <c:bubble3D val="0"/>
            <c:extLst>
              <c:ext xmlns:c16="http://schemas.microsoft.com/office/drawing/2014/chart" uri="{C3380CC4-5D6E-409C-BE32-E72D297353CC}">
                <c16:uniqueId val="{0000000F-F1A0-46B2-B559-1EBDAED2F542}"/>
              </c:ext>
            </c:extLst>
          </c:dPt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graph!$AM$8:$AM$93</c:f>
              <c:numCache>
                <c:formatCode>General</c:formatCode>
                <c:ptCount val="86"/>
                <c:pt idx="58" formatCode="0.00">
                  <c:v>-2.17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1A0-46B2-B559-1EBDAED2F542}"/>
            </c:ext>
          </c:extLst>
        </c:ser>
        <c:ser>
          <c:idx val="6"/>
          <c:order val="13"/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graph!$AD$8:$AD$93</c:f>
              <c:numCache>
                <c:formatCode>General</c:formatCode>
                <c:ptCount val="86"/>
                <c:pt idx="40" formatCode="0.00">
                  <c:v>-2</c:v>
                </c:pt>
                <c:pt idx="55">
                  <c:v>-2.7931051587285425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1A0-46B2-B559-1EBDAED2F542}"/>
            </c:ext>
          </c:extLst>
        </c:ser>
        <c:ser>
          <c:idx val="10"/>
          <c:order val="14"/>
          <c:spPr>
            <a:ln w="28575">
              <a:noFill/>
            </a:ln>
          </c:spPr>
          <c:dPt>
            <c:idx val="45"/>
            <c:marker>
              <c:symbol val="triangle"/>
              <c:size val="9"/>
              <c:spPr>
                <a:solidFill>
                  <a:schemeClr val="accent3">
                    <a:lumMod val="50000"/>
                  </a:schemeClr>
                </a:solidFill>
                <a:ln>
                  <a:solidFill>
                    <a:schemeClr val="accent3">
                      <a:lumMod val="50000"/>
                    </a:schemeClr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F1A0-46B2-B559-1EBDAED2F542}"/>
              </c:ext>
            </c:extLst>
          </c:dPt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graph!$Z$8:$Z$93</c:f>
              <c:numCache>
                <c:formatCode>General</c:formatCode>
                <c:ptCount val="86"/>
                <c:pt idx="45">
                  <c:v>-9.1999999999999993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1A0-46B2-B559-1EBDAED2F542}"/>
            </c:ext>
          </c:extLst>
        </c:ser>
        <c:ser>
          <c:idx val="18"/>
          <c:order val="15"/>
          <c:spPr>
            <a:ln w="28575">
              <a:noFill/>
            </a:ln>
          </c:spPr>
          <c:marker>
            <c:symbol val="triangle"/>
            <c:size val="9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accent3">
                    <a:lumMod val="50000"/>
                  </a:schemeClr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graph!$AA$8:$AA$93</c:f>
              <c:numCache>
                <c:formatCode>General</c:formatCode>
                <c:ptCount val="86"/>
                <c:pt idx="45">
                  <c:v>-8.5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1A0-46B2-B559-1EBDAED2F542}"/>
            </c:ext>
          </c:extLst>
        </c:ser>
        <c:ser>
          <c:idx val="19"/>
          <c:order val="16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graph!$S$8:$S$93</c:f>
              <c:numCache>
                <c:formatCode>General</c:formatCode>
                <c:ptCount val="86"/>
                <c:pt idx="40" formatCode="0.00">
                  <c:v>-1.435622202473182</c:v>
                </c:pt>
                <c:pt idx="45" formatCode="0.0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1A0-46B2-B559-1EBDAED2F542}"/>
            </c:ext>
          </c:extLst>
        </c:ser>
        <c:ser>
          <c:idx val="20"/>
          <c:order val="17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graph!$T$8:$T$93</c:f>
              <c:numCache>
                <c:formatCode>General</c:formatCode>
                <c:ptCount val="86"/>
                <c:pt idx="40" formatCode="0.00">
                  <c:v>-2.8909238132996098</c:v>
                </c:pt>
                <c:pt idx="45" formatCode="0.0">
                  <c:v>-2.5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1A0-46B2-B559-1EBDAED2F542}"/>
            </c:ext>
          </c:extLst>
        </c:ser>
        <c:ser>
          <c:idx val="21"/>
          <c:order val="18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graph!$U$8:$U$93</c:f>
              <c:numCache>
                <c:formatCode>General</c:formatCode>
                <c:ptCount val="86"/>
                <c:pt idx="40" formatCode="0.00">
                  <c:v>-1.5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1A0-46B2-B559-1EBDAED2F542}"/>
            </c:ext>
          </c:extLst>
        </c:ser>
        <c:ser>
          <c:idx val="22"/>
          <c:order val="19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graph!$V$8:$V$93</c:f>
              <c:numCache>
                <c:formatCode>General</c:formatCode>
                <c:ptCount val="86"/>
                <c:pt idx="40" formatCode="0.00">
                  <c:v>-1.5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1A0-46B2-B559-1EBDAED2F542}"/>
            </c:ext>
          </c:extLst>
        </c:ser>
        <c:ser>
          <c:idx val="23"/>
          <c:order val="20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graph!$W$8:$W$93</c:f>
              <c:numCache>
                <c:formatCode>General</c:formatCode>
                <c:ptCount val="86"/>
                <c:pt idx="40" formatCode="0.00">
                  <c:v>-0.9804776851232514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1A0-46B2-B559-1EBDAED2F542}"/>
            </c:ext>
          </c:extLst>
        </c:ser>
        <c:ser>
          <c:idx val="24"/>
          <c:order val="21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graph!$X$8:$X$93</c:f>
              <c:numCache>
                <c:formatCode>General</c:formatCode>
                <c:ptCount val="86"/>
                <c:pt idx="40" formatCode="0.00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1A0-46B2-B559-1EBDAED2F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847648"/>
        <c:axId val="335847256"/>
      </c:lineChart>
      <c:catAx>
        <c:axId val="3358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Global</a:t>
                </a:r>
                <a:r>
                  <a:rPr lang="en-US" b="0" baseline="0"/>
                  <a:t> warming (in d</a:t>
                </a:r>
                <a:r>
                  <a:rPr lang="en-US" b="0"/>
                  <a:t>egrees centrigrade)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335847256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335847256"/>
        <c:scaling>
          <c:orientation val="minMax"/>
          <c:max val="7.5"/>
          <c:min val="-2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Welfare-equivalent</a:t>
                </a:r>
                <a:r>
                  <a:rPr lang="en-US" b="0" baseline="0"/>
                  <a:t> income change (in percent)</a:t>
                </a:r>
                <a:endParaRPr lang="en-US" b="0"/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335847648"/>
        <c:crossesAt val="16"/>
        <c:crossBetween val="between"/>
        <c:majorUnit val="2.5"/>
      </c:valAx>
      <c:spPr>
        <a:noFill/>
        <a:ln w="25400">
          <a:noFill/>
        </a:ln>
      </c:spPr>
    </c:plotArea>
    <c:legend>
      <c:legendPos val="r"/>
      <c:legendEntry>
        <c:idx val="1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ayout>
        <c:manualLayout>
          <c:xMode val="edge"/>
          <c:yMode val="edge"/>
          <c:x val="0.21924196463147025"/>
          <c:y val="0.78674447336342368"/>
          <c:w val="0.15411323584551934"/>
          <c:h val="0.19700985075610319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823114323824276E-2"/>
          <c:y val="4.1593417454617337E-2"/>
          <c:w val="0.93272378073331486"/>
          <c:h val="0.93870556452409981"/>
        </c:manualLayout>
      </c:layout>
      <c:lineChart>
        <c:grouping val="standard"/>
        <c:varyColors val="0"/>
        <c:ser>
          <c:idx val="0"/>
          <c:order val="0"/>
          <c:tx>
            <c:v>enumerative</c:v>
          </c:tx>
          <c:spPr>
            <a:ln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graph!$Q$3:$Q$193</c:f>
              <c:numCache>
                <c:formatCode>General</c:formatCode>
                <c:ptCount val="191"/>
                <c:pt idx="10">
                  <c:v>-0.59642907312262095</c:v>
                </c:pt>
                <c:pt idx="30" formatCode="0.0">
                  <c:v>2.2999999999999998</c:v>
                </c:pt>
                <c:pt idx="45" formatCode="0.00">
                  <c:v>-1.4</c:v>
                </c:pt>
                <c:pt idx="49" formatCode="0.0">
                  <c:v>-2</c:v>
                </c:pt>
                <c:pt idx="50" formatCode="0.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4CF-87CA-7CC1C4D2F87A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graph!$AK$3:$AK$193</c:f>
              <c:numCache>
                <c:formatCode>General</c:formatCode>
                <c:ptCount val="191"/>
                <c:pt idx="63" formatCode="0.00">
                  <c:v>-1.71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4CF-87CA-7CC1C4D2F87A}"/>
            </c:ext>
          </c:extLst>
        </c:ser>
        <c:ser>
          <c:idx val="2"/>
          <c:order val="2"/>
          <c:tx>
            <c:v>econometric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graph!$AE$3:$AE$193</c:f>
              <c:numCache>
                <c:formatCode>General</c:formatCode>
                <c:ptCount val="191"/>
                <c:pt idx="26" formatCode="0.0">
                  <c:v>-0.17962065483383896</c:v>
                </c:pt>
                <c:pt idx="30" formatCode="0.0">
                  <c:v>-0.30947656699459297</c:v>
                </c:pt>
                <c:pt idx="50" formatCode="0.0">
                  <c:v>-0.93</c:v>
                </c:pt>
                <c:pt idx="52" formatCode="0.0">
                  <c:v>-5.1135252093739076</c:v>
                </c:pt>
                <c:pt idx="57" formatCode="0.00">
                  <c:v>-3.7</c:v>
                </c:pt>
                <c:pt idx="60" formatCode="0.00">
                  <c:v>-0.04</c:v>
                </c:pt>
                <c:pt idx="63" formatCode="0.00">
                  <c:v>3.61</c:v>
                </c:pt>
                <c:pt idx="66" formatCode="0.00">
                  <c:v>5.1295273109904338</c:v>
                </c:pt>
                <c:pt idx="72" formatCode="0.00">
                  <c:v>-0.13</c:v>
                </c:pt>
                <c:pt idx="92" formatCode="0.00">
                  <c:v>-5</c:v>
                </c:pt>
                <c:pt idx="113" formatCode="0.00">
                  <c:v>-4.8593007850505128</c:v>
                </c:pt>
                <c:pt idx="156" formatCode="0.00">
                  <c:v>-24.061208104792932</c:v>
                </c:pt>
                <c:pt idx="187" formatCode="0.00">
                  <c:v>-78.907648460775576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AB-44CF-87CA-7CC1C4D2F87A}"/>
            </c:ext>
          </c:extLst>
        </c:ser>
        <c:ser>
          <c:idx val="3"/>
          <c:order val="3"/>
          <c:tx>
            <c:v>elicitation</c:v>
          </c:tx>
          <c:spPr>
            <a:ln>
              <a:noFill/>
            </a:ln>
          </c:spPr>
          <c:marker>
            <c:symbol val="triangle"/>
            <c:size val="9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accent3">
                    <a:lumMod val="50000"/>
                  </a:schemeClr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graph!$Y$3:$Y$193</c:f>
              <c:numCache>
                <c:formatCode>General</c:formatCode>
                <c:ptCount val="191"/>
                <c:pt idx="32" formatCode="0.00">
                  <c:v>-2.2000000000000002</c:v>
                </c:pt>
                <c:pt idx="45" formatCode="0.0">
                  <c:v>-5.22</c:v>
                </c:pt>
                <c:pt idx="50" formatCode="0.0">
                  <c:v>-3.6</c:v>
                </c:pt>
                <c:pt idx="70" formatCode="0.00">
                  <c:v>-16.100000000000001</c:v>
                </c:pt>
                <c:pt idx="80" formatCode="0.0">
                  <c:v>-6.7</c:v>
                </c:pt>
                <c:pt idx="90" formatCode="0.00">
                  <c:v>-25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AB-44CF-87CA-7CC1C4D2F87A}"/>
            </c:ext>
          </c:extLst>
        </c:ser>
        <c:ser>
          <c:idx val="4"/>
          <c:order val="4"/>
          <c:spPr>
            <a:ln w="508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graph!$B$3:$B$193</c:f>
              <c:numCache>
                <c:formatCode>General</c:formatCode>
                <c:ptCount val="191"/>
                <c:pt idx="0">
                  <c:v>0.45537063802952088</c:v>
                </c:pt>
                <c:pt idx="1">
                  <c:v>0.44630793668225499</c:v>
                </c:pt>
                <c:pt idx="2">
                  <c:v>0.43588819763460618</c:v>
                </c:pt>
                <c:pt idx="3">
                  <c:v>0.42409553357332075</c:v>
                </c:pt>
                <c:pt idx="4">
                  <c:v>0.4109145331126306</c:v>
                </c:pt>
                <c:pt idx="5">
                  <c:v>0.39633022878670149</c:v>
                </c:pt>
                <c:pt idx="6">
                  <c:v>0.38032806558334153</c:v>
                </c:pt>
                <c:pt idx="7">
                  <c:v>0.36289387003682533</c:v>
                </c:pt>
                <c:pt idx="8">
                  <c:v>0.34401381989858221</c:v>
                </c:pt>
                <c:pt idx="9">
                  <c:v>0.32367441440533617</c:v>
                </c:pt>
                <c:pt idx="10">
                  <c:v>0.30186244516504546</c:v>
                </c:pt>
                <c:pt idx="11">
                  <c:v>0.27856496768169459</c:v>
                </c:pt>
                <c:pt idx="12">
                  <c:v>0.25376927354063561</c:v>
                </c:pt>
                <c:pt idx="13">
                  <c:v>0.22746286327675244</c:v>
                </c:pt>
                <c:pt idx="14">
                  <c:v>0.19963341994823786</c:v>
                </c:pt>
                <c:pt idx="15">
                  <c:v>0.1702687834392369</c:v>
                </c:pt>
                <c:pt idx="16">
                  <c:v>0.13935692551500328</c:v>
                </c:pt>
                <c:pt idx="17">
                  <c:v>0.10688592565355659</c:v>
                </c:pt>
                <c:pt idx="18">
                  <c:v>7.284394767810809E-2</c:v>
                </c:pt>
                <c:pt idx="19">
                  <c:v>3.7219217214741619E-2</c:v>
                </c:pt>
                <c:pt idx="20">
                  <c:v>0</c:v>
                </c:pt>
                <c:pt idx="21">
                  <c:v>-3.8825418936873829E-2</c:v>
                </c:pt>
                <c:pt idx="22">
                  <c:v>-7.9268755192243523E-2</c:v>
                </c:pt>
                <c:pt idx="23">
                  <c:v>-0.1213417439821623</c:v>
                </c:pt>
                <c:pt idx="24">
                  <c:v>-0.16505615818753064</c:v>
                </c:pt>
                <c:pt idx="25">
                  <c:v>-0.21042382542577223</c:v>
                </c:pt>
                <c:pt idx="26">
                  <c:v>-0.25745664412467062</c:v>
                </c:pt>
                <c:pt idx="27">
                  <c:v>-0.30616659857427742</c:v>
                </c:pt>
                <c:pt idx="28">
                  <c:v>-0.35656577293313169</c:v>
                </c:pt>
                <c:pt idx="29">
                  <c:v>-0.40866636416542657</c:v>
                </c:pt>
                <c:pt idx="30">
                  <c:v>-0.46248069388622692</c:v>
                </c:pt>
                <c:pt idx="31">
                  <c:v>-0.51802121909237475</c:v>
                </c:pt>
                <c:pt idx="32">
                  <c:v>-0.57530054175732526</c:v>
                </c:pt>
                <c:pt idx="33">
                  <c:v>-0.63433141726884523</c:v>
                </c:pt>
                <c:pt idx="34">
                  <c:v>-0.6951267616892558</c:v>
                </c:pt>
                <c:pt idx="35">
                  <c:v>-0.75769965781874971</c:v>
                </c:pt>
                <c:pt idx="36">
                  <c:v>-0.82206336004323388</c:v>
                </c:pt>
                <c:pt idx="37">
                  <c:v>-0.88823129794916</c:v>
                </c:pt>
                <c:pt idx="38">
                  <c:v>-0.95621707868891082</c:v>
                </c:pt>
                <c:pt idx="39">
                  <c:v>-1.0260344880815064</c:v>
                </c:pt>
                <c:pt idx="40">
                  <c:v>-1.0976974904347006</c:v>
                </c:pt>
                <c:pt idx="41">
                  <c:v>-1.1712202270759375</c:v>
                </c:pt>
                <c:pt idx="42">
                  <c:v>-1.2466170135811649</c:v>
                </c:pt>
                <c:pt idx="43">
                  <c:v>-1.3239023356921362</c:v>
                </c:pt>
                <c:pt idx="44">
                  <c:v>-1.4030908439145915</c:v>
                </c:pt>
                <c:pt idx="45">
                  <c:v>-1.4841973467916216</c:v>
                </c:pt>
                <c:pt idx="46">
                  <c:v>-1.5672368028485377</c:v>
                </c:pt>
                <c:pt idx="47">
                  <c:v>-1.6522243112077784</c:v>
                </c:pt>
                <c:pt idx="48">
                  <c:v>-1.7391751008747327</c:v>
                </c:pt>
                <c:pt idx="49">
                  <c:v>-1.8281045186978768</c:v>
                </c:pt>
                <c:pt idx="50">
                  <c:v>-1.9190280160093469</c:v>
                </c:pt>
                <c:pt idx="51">
                  <c:v>-2.0119611339549599</c:v>
                </c:pt>
                <c:pt idx="52">
                  <c:v>-2.1069194875258375</c:v>
                </c:pt>
                <c:pt idx="53">
                  <c:v>-2.2039187483071188</c:v>
                </c:pt>
                <c:pt idx="54">
                  <c:v>-2.3029746259628516</c:v>
                </c:pt>
                <c:pt idx="55">
                  <c:v>-2.404102848480016</c:v>
                </c:pt>
                <c:pt idx="56">
                  <c:v>-2.5073191411987712</c:v>
                </c:pt>
                <c:pt idx="57">
                  <c:v>-2.6126392046604776</c:v>
                </c:pt>
                <c:pt idx="58">
                  <c:v>-2.7200786913098463</c:v>
                </c:pt>
                <c:pt idx="59">
                  <c:v>-2.8296531810926848</c:v>
                </c:pt>
                <c:pt idx="60">
                  <c:v>-2.9413781559962975</c:v>
                </c:pt>
                <c:pt idx="61">
                  <c:v>-3.0552689735855312</c:v>
                </c:pt>
                <c:pt idx="62">
                  <c:v>-3.1713408395938876</c:v>
                </c:pt>
                <c:pt idx="63">
                  <c:v>-3.2896087796360822</c:v>
                </c:pt>
                <c:pt idx="64">
                  <c:v>-3.4100876101158581</c:v>
                </c:pt>
                <c:pt idx="65">
                  <c:v>-3.5327919084109718</c:v>
                </c:pt>
                <c:pt idx="66">
                  <c:v>-3.6577359824259497</c:v>
                </c:pt>
                <c:pt idx="67">
                  <c:v>-3.7849338396126493</c:v>
                </c:pt>
                <c:pt idx="68">
                  <c:v>-3.9143991555688271</c:v>
                </c:pt>
                <c:pt idx="69">
                  <c:v>-4.0461452423359443</c:v>
                </c:pt>
                <c:pt idx="70">
                  <c:v>-4.1801850165293688</c:v>
                </c:pt>
                <c:pt idx="71">
                  <c:v>-4.3165309674470711</c:v>
                </c:pt>
                <c:pt idx="72">
                  <c:v>-4.4551951253169424</c:v>
                </c:pt>
                <c:pt idx="73">
                  <c:v>-4.5961890298580581</c:v>
                </c:pt>
                <c:pt idx="74">
                  <c:v>-4.739523699347771</c:v>
                </c:pt>
                <c:pt idx="75">
                  <c:v>-4.8852096004044663</c:v>
                </c:pt>
                <c:pt idx="76">
                  <c:v>-5.033256618715324</c:v>
                </c:pt>
                <c:pt idx="77">
                  <c:v>-5.1836740309597138</c:v>
                </c:pt>
                <c:pt idx="78">
                  <c:v>-5.3364704782019761</c:v>
                </c:pt>
                <c:pt idx="79">
                  <c:v>-5.4916539410525029</c:v>
                </c:pt>
                <c:pt idx="80">
                  <c:v>-5.6492317169236062</c:v>
                </c:pt>
                <c:pt idx="81">
                  <c:v>-5.809210399736509</c:v>
                </c:pt>
                <c:pt idx="82">
                  <c:v>-5.9715958624686101</c:v>
                </c:pt>
                <c:pt idx="83">
                  <c:v>-6.1363932429658039</c:v>
                </c:pt>
                <c:pt idx="84">
                  <c:v>-6.3036069334837261</c:v>
                </c:pt>
                <c:pt idx="85">
                  <c:v>-6.4732405744643797</c:v>
                </c:pt>
                <c:pt idx="86">
                  <c:v>-6.6452970531012969</c:v>
                </c:pt>
                <c:pt idx="87">
                  <c:v>-6.8197785072974426</c:v>
                </c:pt>
                <c:pt idx="88">
                  <c:v>-6.9966863356758529</c:v>
                </c:pt>
                <c:pt idx="89">
                  <c:v>-7.1760212143643525</c:v>
                </c:pt>
                <c:pt idx="90">
                  <c:v>-7.3577831213425933</c:v>
                </c:pt>
                <c:pt idx="91">
                  <c:v>-7.5419713692132824</c:v>
                </c:pt>
                <c:pt idx="92">
                  <c:v>-7.7285846473399982</c:v>
                </c:pt>
                <c:pt idx="93">
                  <c:v>-7.9176210743824535</c:v>
                </c:pt>
                <c:pt idx="94">
                  <c:v>-8.1090782623570981</c:v>
                </c:pt>
                <c:pt idx="95">
                  <c:v>-8.3029533934574786</c:v>
                </c:pt>
                <c:pt idx="96">
                  <c:v>-8.4992433109857881</c:v>
                </c:pt>
                <c:pt idx="97">
                  <c:v>-8.6979446258755289</c:v>
                </c:pt>
                <c:pt idx="98">
                  <c:v>-8.899053840426479</c:v>
                </c:pt>
                <c:pt idx="99">
                  <c:v>-9.1025674910284096</c:v>
                </c:pt>
                <c:pt idx="100">
                  <c:v>-9.3084823118206188</c:v>
                </c:pt>
                <c:pt idx="101">
                  <c:v>-9.5167954214222252</c:v>
                </c:pt>
                <c:pt idx="102">
                  <c:v>-9.7275045350745053</c:v>
                </c:pt>
                <c:pt idx="103">
                  <c:v>-9.9406082047640645</c:v>
                </c:pt>
                <c:pt idx="104">
                  <c:v>-10.156106090145478</c:v>
                </c:pt>
                <c:pt idx="105">
                  <c:v>-10.373999263357661</c:v>
                </c:pt>
                <c:pt idx="106">
                  <c:v>-10.594290551131218</c:v>
                </c:pt>
                <c:pt idx="107">
                  <c:v>-10.816984917918091</c:v>
                </c:pt>
                <c:pt idx="108">
                  <c:v>-11.04208989414254</c:v>
                </c:pt>
                <c:pt idx="109">
                  <c:v>-11.26961605407776</c:v>
                </c:pt>
                <c:pt idx="110">
                  <c:v>-11.49957754829903</c:v>
                </c:pt>
                <c:pt idx="111">
                  <c:v>-11.73199269615629</c:v>
                </c:pt>
                <c:pt idx="112">
                  <c:v>-11.966884644251579</c:v>
                </c:pt>
                <c:pt idx="113">
                  <c:v>-12.204282097504791</c:v>
                </c:pt>
                <c:pt idx="114">
                  <c:v>-12.444220130050413</c:v>
                </c:pt>
                <c:pt idx="115">
                  <c:v>-12.686741083935107</c:v>
                </c:pt>
                <c:pt idx="116">
                  <c:v>-12.931895564387805</c:v>
                </c:pt>
                <c:pt idx="117">
                  <c:v>-13.179743541318333</c:v>
                </c:pt>
                <c:pt idx="118">
                  <c:v>-13.43035556767626</c:v>
                </c:pt>
                <c:pt idx="119">
                  <c:v>-13.683814126377948</c:v>
                </c:pt>
                <c:pt idx="120">
                  <c:v>-13.940215118697253</c:v>
                </c:pt>
                <c:pt idx="121">
                  <c:v>-14.19966950832562</c:v>
                </c:pt>
                <c:pt idx="122">
                  <c:v>-14.462305136753516</c:v>
                </c:pt>
                <c:pt idx="123">
                  <c:v>-14.728268727220531</c:v>
                </c:pt>
                <c:pt idx="124">
                  <c:v>-14.997728096243319</c:v>
                </c:pt>
                <c:pt idx="125">
                  <c:v>-15.270874593674147</c:v>
                </c:pt>
                <c:pt idx="126">
                  <c:v>-15.547925794389272</c:v>
                </c:pt>
                <c:pt idx="127">
                  <c:v>-15.829128467075153</c:v>
                </c:pt>
                <c:pt idx="128">
                  <c:v>-16.114761848196231</c:v>
                </c:pt>
                <c:pt idx="129">
                  <c:v>-16.405141252115548</c:v>
                </c:pt>
                <c:pt idx="130">
                  <c:v>-16.700622051528114</c:v>
                </c:pt>
                <c:pt idx="131">
                  <c:v>-17.001604065887243</c:v>
                </c:pt>
                <c:pt idx="132">
                  <c:v>-17.30853639939226</c:v>
                </c:pt>
                <c:pt idx="133">
                  <c:v>-17.621922774398548</c:v>
                </c:pt>
                <c:pt idx="134">
                  <c:v>-17.942327410852762</c:v>
                </c:pt>
                <c:pt idx="135">
                  <c:v>-18.270381507591495</c:v>
                </c:pt>
                <c:pt idx="136">
                  <c:v>-18.606790387125336</c:v>
                </c:pt>
                <c:pt idx="137">
                  <c:v>-18.952341371917186</c:v>
                </c:pt>
                <c:pt idx="138">
                  <c:v>-19.307912467218561</c:v>
                </c:pt>
                <c:pt idx="139">
                  <c:v>-19.674481933320472</c:v>
                </c:pt>
                <c:pt idx="140">
                  <c:v>-20.053138838682735</c:v>
                </c:pt>
                <c:pt idx="141">
                  <c:v>-20.445094694914076</c:v>
                </c:pt>
                <c:pt idx="142">
                  <c:v>-20.851696285078493</c:v>
                </c:pt>
                <c:pt idx="143">
                  <c:v>-21.274439808406484</c:v>
                </c:pt>
                <c:pt idx="144">
                  <c:v>-21.714986477307448</c:v>
                </c:pt>
                <c:pt idx="145">
                  <c:v>-22.175179716740352</c:v>
                </c:pt>
                <c:pt idx="146">
                  <c:v>-22.657064131643359</c:v>
                </c:pt>
                <c:pt idx="147">
                  <c:v>-23.162906425407165</c:v>
                </c:pt>
                <c:pt idx="148">
                  <c:v>-23.695218471470774</c:v>
                </c:pt>
                <c:pt idx="149">
                  <c:v>-24.399294750712713</c:v>
                </c:pt>
                <c:pt idx="150">
                  <c:v>-25.217667127928465</c:v>
                </c:pt>
                <c:pt idx="151">
                  <c:v>-26.071783763149075</c:v>
                </c:pt>
                <c:pt idx="152">
                  <c:v>-26.965419306424131</c:v>
                </c:pt>
                <c:pt idx="153">
                  <c:v>-27.902749912785445</c:v>
                </c:pt>
                <c:pt idx="154">
                  <c:v>-28.888394826211645</c:v>
                </c:pt>
                <c:pt idx="155">
                  <c:v>-29.927462263555647</c:v>
                </c:pt>
                <c:pt idx="156">
                  <c:v>-31.025600046096613</c:v>
                </c:pt>
                <c:pt idx="157">
                  <c:v>-32.189051473241335</c:v>
                </c:pt>
                <c:pt idx="158">
                  <c:v>-33.424716984680529</c:v>
                </c:pt>
                <c:pt idx="159">
                  <c:v>-34.740222214524579</c:v>
                </c:pt>
                <c:pt idx="160">
                  <c:v>-36.143993104166917</c:v>
                </c:pt>
                <c:pt idx="161">
                  <c:v>-37.645338810489356</c:v>
                </c:pt>
                <c:pt idx="162">
                  <c:v>-39.254543223222512</c:v>
                </c:pt>
                <c:pt idx="163">
                  <c:v>-40.982965990585178</c:v>
                </c:pt>
                <c:pt idx="164">
                  <c:v>-42.843154046593725</c:v>
                </c:pt>
                <c:pt idx="165">
                  <c:v>-44.848964737604518</c:v>
                </c:pt>
                <c:pt idx="166">
                  <c:v>-47.015701760764884</c:v>
                </c:pt>
                <c:pt idx="167">
                  <c:v>-49.360265254256063</c:v>
                </c:pt>
                <c:pt idx="168">
                  <c:v>-51.901317519781145</c:v>
                </c:pt>
                <c:pt idx="169">
                  <c:v>-54.659466013093294</c:v>
                </c:pt>
                <c:pt idx="170">
                  <c:v>-57.657465410020123</c:v>
                </c:pt>
                <c:pt idx="171">
                  <c:v>-60.920440745142841</c:v>
                </c:pt>
                <c:pt idx="172">
                  <c:v>-64.47613382992175</c:v>
                </c:pt>
                <c:pt idx="173">
                  <c:v>-68.355175388727531</c:v>
                </c:pt>
                <c:pt idx="174">
                  <c:v>-72.591385607246963</c:v>
                </c:pt>
                <c:pt idx="175">
                  <c:v>-77.222106070653027</c:v>
                </c:pt>
                <c:pt idx="176">
                  <c:v>-82.28856638158075</c:v>
                </c:pt>
                <c:pt idx="177">
                  <c:v>-87.836289093467371</c:v>
                </c:pt>
                <c:pt idx="178">
                  <c:v>-93.915536976646507</c:v>
                </c:pt>
                <c:pt idx="179">
                  <c:v>-100.58180705655695</c:v>
                </c:pt>
                <c:pt idx="180">
                  <c:v>-107.89637632974799</c:v>
                </c:pt>
                <c:pt idx="181">
                  <c:v>-115.92690457871058</c:v>
                </c:pt>
                <c:pt idx="182">
                  <c:v>-124.74810027608032</c:v>
                </c:pt>
                <c:pt idx="183">
                  <c:v>-134.4424561981491</c:v>
                </c:pt>
                <c:pt idx="184">
                  <c:v>-145.10106206317926</c:v>
                </c:pt>
                <c:pt idx="185">
                  <c:v>-156.82450227869236</c:v>
                </c:pt>
                <c:pt idx="186">
                  <c:v>-169.72384773140351</c:v>
                </c:pt>
                <c:pt idx="187">
                  <c:v>-183.92175149227302</c:v>
                </c:pt>
                <c:pt idx="188">
                  <c:v>-199.55365934666077</c:v>
                </c:pt>
                <c:pt idx="189">
                  <c:v>-216.76914720616008</c:v>
                </c:pt>
                <c:pt idx="190">
                  <c:v>-235.7333987258333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AB-44CF-87CA-7CC1C4D2F87A}"/>
            </c:ext>
          </c:extLst>
        </c:ser>
        <c:ser>
          <c:idx val="5"/>
          <c:order val="5"/>
          <c:spPr>
            <a:ln w="381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graph!$E$3:$E$193</c:f>
              <c:numCache>
                <c:formatCode>General</c:formatCode>
                <c:ptCount val="191"/>
                <c:pt idx="0">
                  <c:v>-3.7579606469081224</c:v>
                </c:pt>
                <c:pt idx="1">
                  <c:v>-3.5563567840085057</c:v>
                </c:pt>
                <c:pt idx="2">
                  <c:v>-3.3561099588092724</c:v>
                </c:pt>
                <c:pt idx="3">
                  <c:v>-3.1572360586236758</c:v>
                </c:pt>
                <c:pt idx="4">
                  <c:v>-2.9597504948374835</c:v>
                </c:pt>
                <c:pt idx="5">
                  <c:v>-2.7636682349165302</c:v>
                </c:pt>
                <c:pt idx="6">
                  <c:v>-2.5690038338730079</c:v>
                </c:pt>
                <c:pt idx="7">
                  <c:v>-2.3757714651726416</c:v>
                </c:pt>
                <c:pt idx="8">
                  <c:v>-2.1839849510640024</c:v>
                </c:pt>
                <c:pt idx="9">
                  <c:v>-1.993657792310366</c:v>
                </c:pt>
                <c:pt idx="10">
                  <c:v>-1.8048031973037744</c:v>
                </c:pt>
                <c:pt idx="11">
                  <c:v>-1.6174341105402434</c:v>
                </c:pt>
                <c:pt idx="12">
                  <c:v>-1.4315632404344203</c:v>
                </c:pt>
                <c:pt idx="13">
                  <c:v>-1.2472030864514214</c:v>
                </c:pt>
                <c:pt idx="14">
                  <c:v>-1.0643659655330537</c:v>
                </c:pt>
                <c:pt idx="15">
                  <c:v>-0.88306403779517262</c:v>
                </c:pt>
                <c:pt idx="16">
                  <c:v>-0.70330933147252406</c:v>
                </c:pt>
                <c:pt idx="17">
                  <c:v>-0.52511376708708857</c:v>
                </c:pt>
                <c:pt idx="18">
                  <c:v>-0.34848918081565494</c:v>
                </c:pt>
                <c:pt idx="19">
                  <c:v>-0.17344734703213924</c:v>
                </c:pt>
                <c:pt idx="20">
                  <c:v>0</c:v>
                </c:pt>
                <c:pt idx="21">
                  <c:v>0.17184114531000835</c:v>
                </c:pt>
                <c:pt idx="22">
                  <c:v>0.34206437330152084</c:v>
                </c:pt>
                <c:pt idx="23">
                  <c:v>0.51065794875848436</c:v>
                </c:pt>
                <c:pt idx="24">
                  <c:v>0.67761009879999812</c:v>
                </c:pt>
                <c:pt idx="25">
                  <c:v>0.84290899580863865</c:v>
                </c:pt>
                <c:pt idx="26">
                  <c:v>1.0065427413566224</c:v>
                </c:pt>
                <c:pt idx="27">
                  <c:v>1.1684993511538977</c:v>
                </c:pt>
                <c:pt idx="28">
                  <c:v>1.3287667410419255</c:v>
                </c:pt>
                <c:pt idx="29">
                  <c:v>1.4873327140565129</c:v>
                </c:pt>
                <c:pt idx="30">
                  <c:v>1.6441849485825943</c:v>
                </c:pt>
                <c:pt idx="31">
                  <c:v>1.7993109876233289</c:v>
                </c:pt>
                <c:pt idx="32">
                  <c:v>1.9526982292052608</c:v>
                </c:pt>
                <c:pt idx="33">
                  <c:v>2.1043339179406231</c:v>
                </c:pt>
                <c:pt idx="34">
                  <c:v>2.2542051377670949</c:v>
                </c:pt>
                <c:pt idx="35">
                  <c:v>2.4022988058844832</c:v>
                </c:pt>
                <c:pt idx="36">
                  <c:v>2.5486016679068815</c:v>
                </c:pt>
                <c:pt idx="37">
                  <c:v>2.6931002942478379</c:v>
                </c:pt>
                <c:pt idx="38">
                  <c:v>2.8357810777549695</c:v>
                </c:pt>
                <c:pt idx="39">
                  <c:v>2.976630232609256</c:v>
                </c:pt>
                <c:pt idx="40">
                  <c:v>3.1156337945029438</c:v>
                </c:pt>
                <c:pt idx="41">
                  <c:v>3.2527776221085896</c:v>
                </c:pt>
                <c:pt idx="42">
                  <c:v>3.3880473998502438</c:v>
                </c:pt>
                <c:pt idx="43">
                  <c:v>3.5214286419861556</c:v>
                </c:pt>
                <c:pt idx="44">
                  <c:v>3.6529066980105824</c:v>
                </c:pt>
                <c:pt idx="45">
                  <c:v>3.7824667593804349</c:v>
                </c:pt>
                <c:pt idx="46">
                  <c:v>3.9100938675704007</c:v>
                </c:pt>
                <c:pt idx="47">
                  <c:v>4.0357729234580431</c:v>
                </c:pt>
                <c:pt idx="48">
                  <c:v>4.1594886980379702</c:v>
                </c:pt>
                <c:pt idx="49">
                  <c:v>4.2812258444617086</c:v>
                </c:pt>
                <c:pt idx="50">
                  <c:v>4.4009689113971211</c:v>
                </c:pt>
                <c:pt idx="51">
                  <c:v>4.5187023576983911</c:v>
                </c:pt>
                <c:pt idx="52">
                  <c:v>4.6344105683743955</c:v>
                </c:pt>
                <c:pt idx="53">
                  <c:v>4.7480778718399961</c:v>
                </c:pt>
                <c:pt idx="54">
                  <c:v>4.8596885584311451</c:v>
                </c:pt>
                <c:pt idx="55">
                  <c:v>4.969226900160864</c:v>
                </c:pt>
                <c:pt idx="56">
                  <c:v>5.0766771716889902</c:v>
                </c:pt>
                <c:pt idx="57">
                  <c:v>5.1820236724741671</c:v>
                </c:pt>
                <c:pt idx="58">
                  <c:v>5.2852507500716808</c:v>
                </c:pt>
                <c:pt idx="59">
                  <c:v>5.3863428245357241</c:v>
                </c:pt>
                <c:pt idx="60">
                  <c:v>5.4852844138789933</c:v>
                </c:pt>
                <c:pt idx="61">
                  <c:v>5.5820601605366411</c:v>
                </c:pt>
                <c:pt idx="62">
                  <c:v>5.6766548587751666</c:v>
                </c:pt>
                <c:pt idx="63">
                  <c:v>5.7690534829798521</c:v>
                </c:pt>
                <c:pt idx="64">
                  <c:v>5.8592412167469581</c:v>
                </c:pt>
                <c:pt idx="65">
                  <c:v>5.9472034826987263</c:v>
                </c:pt>
                <c:pt idx="66">
                  <c:v>6.032925972930629</c:v>
                </c:pt>
                <c:pt idx="67">
                  <c:v>6.1163946799908109</c:v>
                </c:pt>
                <c:pt idx="68">
                  <c:v>6.1975959282815154</c:v>
                </c:pt>
                <c:pt idx="69">
                  <c:v>6.2765164057612797</c:v>
                </c:pt>
                <c:pt idx="70">
                  <c:v>6.3531431958147353</c:v>
                </c:pt>
                <c:pt idx="71">
                  <c:v>6.4274638091439149</c:v>
                </c:pt>
                <c:pt idx="72">
                  <c:v>6.4994662155209255</c:v>
                </c:pt>
                <c:pt idx="73">
                  <c:v>6.5691388752266917</c:v>
                </c:pt>
                <c:pt idx="74">
                  <c:v>6.636470769983859</c:v>
                </c:pt>
                <c:pt idx="75">
                  <c:v>6.7014514331740456</c:v>
                </c:pt>
                <c:pt idx="76">
                  <c:v>6.7640709791100697</c:v>
                </c:pt>
                <c:pt idx="77">
                  <c:v>6.8243201311125601</c:v>
                </c:pt>
                <c:pt idx="78">
                  <c:v>6.8821902481171797</c:v>
                </c:pt>
                <c:pt idx="79">
                  <c:v>6.9376733495135348</c:v>
                </c:pt>
                <c:pt idx="80">
                  <c:v>6.9907621378893134</c:v>
                </c:pt>
                <c:pt idx="81">
                  <c:v>7.0414500193232907</c:v>
                </c:pt>
                <c:pt idx="82">
                  <c:v>7.0897311208380716</c:v>
                </c:pt>
                <c:pt idx="83">
                  <c:v>7.1356003045877596</c:v>
                </c:pt>
                <c:pt idx="84">
                  <c:v>7.1790531783167193</c:v>
                </c:pt>
                <c:pt idx="85">
                  <c:v>7.2200861015829458</c:v>
                </c:pt>
                <c:pt idx="86">
                  <c:v>7.2586961871929105</c:v>
                </c:pt>
                <c:pt idx="87">
                  <c:v>7.2948812972436468</c:v>
                </c:pt>
                <c:pt idx="88">
                  <c:v>7.3286400331121184</c:v>
                </c:pt>
                <c:pt idx="89">
                  <c:v>7.3599717186704989</c:v>
                </c:pt>
                <c:pt idx="90">
                  <c:v>7.38887637593914</c:v>
                </c:pt>
                <c:pt idx="91">
                  <c:v>7.4153546923153328</c:v>
                </c:pt>
                <c:pt idx="92">
                  <c:v>7.4394079784354972</c:v>
                </c:pt>
                <c:pt idx="93">
                  <c:v>7.4610381156399237</c:v>
                </c:pt>
                <c:pt idx="94">
                  <c:v>7.4802474919121611</c:v>
                </c:pt>
                <c:pt idx="95">
                  <c:v>7.4970389250586624</c:v>
                </c:pt>
                <c:pt idx="96">
                  <c:v>7.5114155717772331</c:v>
                </c:pt>
                <c:pt idx="97">
                  <c:v>7.5233808211343742</c:v>
                </c:pt>
                <c:pt idx="98">
                  <c:v>7.532938170830306</c:v>
                </c:pt>
                <c:pt idx="99">
                  <c:v>7.5400910844752573</c:v>
                </c:pt>
                <c:pt idx="100">
                  <c:v>7.54484282792993</c:v>
                </c:pt>
                <c:pt idx="101">
                  <c:v>7.5471962825752019</c:v>
                </c:pt>
                <c:pt idx="102">
                  <c:v>7.5471537331698038</c:v>
                </c:pt>
                <c:pt idx="103">
                  <c:v>7.5447166277271265</c:v>
                </c:pt>
                <c:pt idx="104">
                  <c:v>7.5398853065925948</c:v>
                </c:pt>
                <c:pt idx="105">
                  <c:v>7.5326586976272942</c:v>
                </c:pt>
                <c:pt idx="106">
                  <c:v>7.5230339741006187</c:v>
                </c:pt>
                <c:pt idx="107">
                  <c:v>7.5110061715606271</c:v>
                </c:pt>
                <c:pt idx="108">
                  <c:v>7.4965677595830602</c:v>
                </c:pt>
                <c:pt idx="109">
                  <c:v>7.4797081638947187</c:v>
                </c:pt>
                <c:pt idx="110">
                  <c:v>7.4604132339203311</c:v>
                </c:pt>
                <c:pt idx="111">
                  <c:v>7.4386646503099527</c:v>
                </c:pt>
                <c:pt idx="112">
                  <c:v>7.4144392664615459</c:v>
                </c:pt>
                <c:pt idx="113">
                  <c:v>7.3877083774552155</c:v>
                </c:pt>
                <c:pt idx="114">
                  <c:v>7.3584369091564756</c:v>
                </c:pt>
                <c:pt idx="115">
                  <c:v>7.3265825195186629</c:v>
                </c:pt>
                <c:pt idx="116">
                  <c:v>7.2920946033128438</c:v>
                </c:pt>
                <c:pt idx="117">
                  <c:v>7.2549131906291979</c:v>
                </c:pt>
                <c:pt idx="118">
                  <c:v>7.2149677285181522</c:v>
                </c:pt>
                <c:pt idx="119">
                  <c:v>7.1721757340633463</c:v>
                </c:pt>
                <c:pt idx="120">
                  <c:v>7.1264413059909231</c:v>
                </c:pt>
                <c:pt idx="121">
                  <c:v>7.0776534806094382</c:v>
                </c:pt>
                <c:pt idx="122">
                  <c:v>7.0256844164284242</c:v>
                </c:pt>
                <c:pt idx="123">
                  <c:v>6.9703873902082911</c:v>
                </c:pt>
                <c:pt idx="124">
                  <c:v>6.9115945854323808</c:v>
                </c:pt>
                <c:pt idx="125">
                  <c:v>6.849114652248435</c:v>
                </c:pt>
                <c:pt idx="126">
                  <c:v>6.7827300157801922</c:v>
                </c:pt>
                <c:pt idx="127">
                  <c:v>6.7121939073411934</c:v>
                </c:pt>
                <c:pt idx="128">
                  <c:v>6.6372270904669968</c:v>
                </c:pt>
                <c:pt idx="129">
                  <c:v>6.5575142507945614</c:v>
                </c:pt>
                <c:pt idx="130">
                  <c:v>6.4727000156288774</c:v>
                </c:pt>
                <c:pt idx="131">
                  <c:v>6.3823845655166274</c:v>
                </c:pt>
                <c:pt idx="132">
                  <c:v>6.2861187962584921</c:v>
                </c:pt>
                <c:pt idx="133">
                  <c:v>6.1833989854990854</c:v>
                </c:pt>
                <c:pt idx="134">
                  <c:v>6.0736609132917536</c:v>
                </c:pt>
                <c:pt idx="135">
                  <c:v>5.9562733807999031</c:v>
                </c:pt>
                <c:pt idx="136">
                  <c:v>5.8305310655129432</c:v>
                </c:pt>
                <c:pt idx="137">
                  <c:v>5.6956466449679759</c:v>
                </c:pt>
                <c:pt idx="138">
                  <c:v>5.5507421139134792</c:v>
                </c:pt>
                <c:pt idx="139">
                  <c:v>5.3948392120584501</c:v>
                </c:pt>
                <c:pt idx="140">
                  <c:v>5.2268488709430692</c:v>
                </c:pt>
                <c:pt idx="141">
                  <c:v>5.0455595789586098</c:v>
                </c:pt>
                <c:pt idx="142">
                  <c:v>4.8496245530410746</c:v>
                </c:pt>
                <c:pt idx="143">
                  <c:v>4.6375475939599653</c:v>
                </c:pt>
                <c:pt idx="144">
                  <c:v>4.4076674893058829</c:v>
                </c:pt>
                <c:pt idx="145">
                  <c:v>4.1581408141198608</c:v>
                </c:pt>
                <c:pt idx="146">
                  <c:v>3.8869229634637321</c:v>
                </c:pt>
                <c:pt idx="147">
                  <c:v>3.5917472339468084</c:v>
                </c:pt>
                <c:pt idx="148">
                  <c:v>3.2701017521300813</c:v>
                </c:pt>
                <c:pt idx="149">
                  <c:v>2.7766920371350245</c:v>
                </c:pt>
                <c:pt idx="150">
                  <c:v>2.1689862241661544</c:v>
                </c:pt>
                <c:pt idx="151">
                  <c:v>1.5255361531924265</c:v>
                </c:pt>
                <c:pt idx="152">
                  <c:v>0.84256717416425175</c:v>
                </c:pt>
                <c:pt idx="153">
                  <c:v>0.11590313204981584</c:v>
                </c:pt>
                <c:pt idx="154">
                  <c:v>-0.65907521712950157</c:v>
                </c:pt>
                <c:pt idx="155">
                  <c:v>-1.4874760902266217</c:v>
                </c:pt>
                <c:pt idx="156">
                  <c:v>-2.3749473085207065</c:v>
                </c:pt>
                <c:pt idx="157">
                  <c:v>-3.3277321714185462</c:v>
                </c:pt>
                <c:pt idx="158">
                  <c:v>-4.3527311186108584</c:v>
                </c:pt>
                <c:pt idx="159">
                  <c:v>-5.457569784208026</c:v>
                </c:pt>
                <c:pt idx="160">
                  <c:v>-6.6506741096034858</c:v>
                </c:pt>
                <c:pt idx="161">
                  <c:v>-7.9413532516790433</c:v>
                </c:pt>
                <c:pt idx="162">
                  <c:v>-9.3398911001653175</c:v>
                </c:pt>
                <c:pt idx="163">
                  <c:v>-10.857647303281102</c:v>
                </c:pt>
                <c:pt idx="164">
                  <c:v>-12.507168795042766</c:v>
                </c:pt>
                <c:pt idx="165">
                  <c:v>-14.302312921806678</c:v>
                </c:pt>
                <c:pt idx="166">
                  <c:v>-16.258383380720161</c:v>
                </c:pt>
                <c:pt idx="167">
                  <c:v>-18.392280309964459</c:v>
                </c:pt>
                <c:pt idx="168">
                  <c:v>-20.722666011242662</c:v>
                </c:pt>
                <c:pt idx="169">
                  <c:v>-23.270147940307929</c:v>
                </c:pt>
                <c:pt idx="170">
                  <c:v>-26.057480772987876</c:v>
                </c:pt>
                <c:pt idx="171">
                  <c:v>-29.109789543863712</c:v>
                </c:pt>
                <c:pt idx="172">
                  <c:v>-32.454816064395743</c:v>
                </c:pt>
                <c:pt idx="173">
                  <c:v>-36.123191058954639</c:v>
                </c:pt>
                <c:pt idx="174">
                  <c:v>-40.148734713227192</c:v>
                </c:pt>
                <c:pt idx="175">
                  <c:v>-44.568788612386371</c:v>
                </c:pt>
                <c:pt idx="176">
                  <c:v>-49.424582359067216</c:v>
                </c:pt>
                <c:pt idx="177">
                  <c:v>-54.761638506706952</c:v>
                </c:pt>
                <c:pt idx="178">
                  <c:v>-60.630219825639209</c:v>
                </c:pt>
                <c:pt idx="179">
                  <c:v>-67.085823341302785</c:v>
                </c:pt>
                <c:pt idx="180">
                  <c:v>-74.189726050246932</c:v>
                </c:pt>
                <c:pt idx="181">
                  <c:v>-82.009587734962636</c:v>
                </c:pt>
                <c:pt idx="182">
                  <c:v>-90.620116868085489</c:v>
                </c:pt>
                <c:pt idx="183">
                  <c:v>-100.10380622590739</c:v>
                </c:pt>
                <c:pt idx="184">
                  <c:v>-110.55174552669067</c:v>
                </c:pt>
                <c:pt idx="185">
                  <c:v>-122.06451917795688</c:v>
                </c:pt>
                <c:pt idx="186">
                  <c:v>-134.75319806642113</c:v>
                </c:pt>
                <c:pt idx="187">
                  <c:v>-148.74043526304376</c:v>
                </c:pt>
                <c:pt idx="188">
                  <c:v>-164.16167655318463</c:v>
                </c:pt>
                <c:pt idx="189">
                  <c:v>-181.16649784843707</c:v>
                </c:pt>
                <c:pt idx="190">
                  <c:v>-199.92008280386338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AB-44CF-87CA-7CC1C4D2F87A}"/>
            </c:ext>
          </c:extLst>
        </c:ser>
        <c:ser>
          <c:idx val="7"/>
          <c:order val="6"/>
          <c:tx>
            <c:v>CGE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graph!$AB$3:$AB$193</c:f>
              <c:numCache>
                <c:formatCode>General</c:formatCode>
                <c:ptCount val="191"/>
                <c:pt idx="30">
                  <c:v>-0.4658664448796927</c:v>
                </c:pt>
                <c:pt idx="39" formatCode="0.0">
                  <c:v>-0.5</c:v>
                </c:pt>
                <c:pt idx="40" formatCode="0.00">
                  <c:v>-1.0740738140966928</c:v>
                </c:pt>
                <c:pt idx="49" formatCode="0.0">
                  <c:v>-1.8</c:v>
                </c:pt>
                <c:pt idx="50">
                  <c:v>-0.71756668095998166</c:v>
                </c:pt>
                <c:pt idx="60">
                  <c:v>-4.6911160007283899</c:v>
                </c:pt>
                <c:pt idx="74" formatCode="0.0">
                  <c:v>-4.5999999999999996</c:v>
                </c:pt>
                <c:pt idx="80" formatCode="0.00">
                  <c:v>-9.49637530496768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AB-44CF-87CA-7CC1C4D2F87A}"/>
            </c:ext>
          </c:extLst>
        </c:ser>
        <c:ser>
          <c:idx val="8"/>
          <c:order val="7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graph!$AC$3:$AC$193</c:f>
              <c:numCache>
                <c:formatCode>General</c:formatCode>
                <c:ptCount val="191"/>
                <c:pt idx="39" formatCode="0.00">
                  <c:v>-0.7</c:v>
                </c:pt>
                <c:pt idx="40" formatCode="0.00">
                  <c:v>-1.0517705037403</c:v>
                </c:pt>
                <c:pt idx="50">
                  <c:v>-1.8369485050307706</c:v>
                </c:pt>
                <c:pt idx="60" formatCode="0.00">
                  <c:v>-1.8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AB-44CF-87CA-7CC1C4D2F87A}"/>
            </c:ext>
          </c:extLst>
        </c:ser>
        <c:ser>
          <c:idx val="9"/>
          <c:order val="8"/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graph!$AL$3:$AL$193</c:f>
              <c:numCache>
                <c:formatCode>General</c:formatCode>
                <c:ptCount val="191"/>
                <c:pt idx="63" formatCode="0.00">
                  <c:v>-1.63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AB-44CF-87CA-7CC1C4D2F87A}"/>
            </c:ext>
          </c:extLst>
        </c:ser>
        <c:ser>
          <c:idx val="11"/>
          <c:order val="9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graph!$AF$3:$AF$193</c:f>
              <c:numCache>
                <c:formatCode>General</c:formatCode>
                <c:ptCount val="191"/>
                <c:pt idx="30">
                  <c:v>-2.2999999999999998</c:v>
                </c:pt>
                <c:pt idx="45" formatCode="0.00">
                  <c:v>0.03</c:v>
                </c:pt>
                <c:pt idx="50" formatCode="0.0">
                  <c:v>-1.05</c:v>
                </c:pt>
                <c:pt idx="60" formatCode="0.00">
                  <c:v>-0.01</c:v>
                </c:pt>
                <c:pt idx="63" formatCode="0.00">
                  <c:v>-0.64</c:v>
                </c:pt>
                <c:pt idx="72" formatCode="0.00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AB-44CF-87CA-7CC1C4D2F87A}"/>
            </c:ext>
          </c:extLst>
        </c:ser>
        <c:ser>
          <c:idx val="12"/>
          <c:order val="10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graph!$AG$3:$AG$193</c:f>
              <c:numCache>
                <c:formatCode>General</c:formatCode>
                <c:ptCount val="191"/>
                <c:pt idx="30" formatCode="0.00">
                  <c:v>-3.8</c:v>
                </c:pt>
                <c:pt idx="45" formatCode="0.00">
                  <c:v>0.1</c:v>
                </c:pt>
                <c:pt idx="63" formatCode="0.00">
                  <c:v>-1.82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DAB-44CF-87CA-7CC1C4D2F87A}"/>
            </c:ext>
          </c:extLst>
        </c:ser>
        <c:ser>
          <c:idx val="13"/>
          <c:order val="11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graph!$AH$3:$AH$193</c:f>
              <c:numCache>
                <c:formatCode>General</c:formatCode>
                <c:ptCount val="191"/>
                <c:pt idx="30" formatCode="0.00">
                  <c:v>-1.35</c:v>
                </c:pt>
                <c:pt idx="63" formatCode="0.00">
                  <c:v>-1.75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AB-44CF-87CA-7CC1C4D2F87A}"/>
            </c:ext>
          </c:extLst>
        </c:ser>
        <c:ser>
          <c:idx val="14"/>
          <c:order val="12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graph!$AI$3:$AI$193</c:f>
              <c:numCache>
                <c:formatCode>General</c:formatCode>
                <c:ptCount val="191"/>
                <c:pt idx="30" formatCode="0.00">
                  <c:v>-1.61</c:v>
                </c:pt>
                <c:pt idx="45" formatCode="0.00">
                  <c:v>3.3000365094043249E-2</c:v>
                </c:pt>
                <c:pt idx="63" formatCode="0.00">
                  <c:v>-2.16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DAB-44CF-87CA-7CC1C4D2F87A}"/>
            </c:ext>
          </c:extLst>
        </c:ser>
        <c:ser>
          <c:idx val="15"/>
          <c:order val="13"/>
          <c:spPr>
            <a:ln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graph!$AJ$3:$AJ$193</c:f>
              <c:numCache>
                <c:formatCode>General</c:formatCode>
                <c:ptCount val="191"/>
                <c:pt idx="63" formatCode="0.00">
                  <c:v>5.63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DAB-44CF-87CA-7CC1C4D2F87A}"/>
            </c:ext>
          </c:extLst>
        </c:ser>
        <c:ser>
          <c:idx val="16"/>
          <c:order val="14"/>
          <c:spPr>
            <a:ln w="381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graph!$F$3:$F$193</c:f>
              <c:numCache>
                <c:formatCode>General</c:formatCode>
                <c:ptCount val="191"/>
                <c:pt idx="0">
                  <c:v>6.1793390552637764</c:v>
                </c:pt>
                <c:pt idx="1">
                  <c:v>5.8840779330547974</c:v>
                </c:pt>
                <c:pt idx="2">
                  <c:v>5.5874597731454347</c:v>
                </c:pt>
                <c:pt idx="3">
                  <c:v>5.2894686882224375</c:v>
                </c:pt>
                <c:pt idx="4">
                  <c:v>4.9900892669000338</c:v>
                </c:pt>
                <c:pt idx="5">
                  <c:v>4.6893065417123916</c:v>
                </c:pt>
                <c:pt idx="6">
                  <c:v>4.3871059576473188</c:v>
                </c:pt>
                <c:pt idx="7">
                  <c:v>4.0834733412390891</c:v>
                </c:pt>
                <c:pt idx="8">
                  <c:v>3.7783948702391332</c:v>
                </c:pt>
                <c:pt idx="9">
                  <c:v>3.4718570438841745</c:v>
                </c:pt>
                <c:pt idx="10">
                  <c:v>3.163846653782171</c:v>
                </c:pt>
                <c:pt idx="11">
                  <c:v>2.8543507554371073</c:v>
                </c:pt>
                <c:pt idx="12">
                  <c:v>2.5433566404343355</c:v>
                </c:pt>
                <c:pt idx="13">
                  <c:v>2.2308518093087395</c:v>
                </c:pt>
                <c:pt idx="14">
                  <c:v>1.9168239451185125</c:v>
                </c:pt>
                <c:pt idx="15">
                  <c:v>1.6012608877477987</c:v>
                </c:pt>
                <c:pt idx="16">
                  <c:v>1.2841506089618526</c:v>
                </c:pt>
                <c:pt idx="17">
                  <c:v>0.96548118823869311</c:v>
                </c:pt>
                <c:pt idx="18">
                  <c:v>0.64524078940153184</c:v>
                </c:pt>
                <c:pt idx="19">
                  <c:v>0.32341763807645257</c:v>
                </c:pt>
                <c:pt idx="20">
                  <c:v>0</c:v>
                </c:pt>
                <c:pt idx="21">
                  <c:v>-0.32502383979858662</c:v>
                </c:pt>
                <c:pt idx="22">
                  <c:v>-0.65166559691566905</c:v>
                </c:pt>
                <c:pt idx="23">
                  <c:v>-0.97993700656730076</c:v>
                </c:pt>
                <c:pt idx="24">
                  <c:v>-1.3098498416343818</c:v>
                </c:pt>
                <c:pt idx="25">
                  <c:v>-1.641415929734336</c:v>
                </c:pt>
                <c:pt idx="26">
                  <c:v>-1.9746471692949472</c:v>
                </c:pt>
                <c:pt idx="27">
                  <c:v>-2.3095555446062668</c:v>
                </c:pt>
                <c:pt idx="28">
                  <c:v>-2.6461531398268336</c:v>
                </c:pt>
                <c:pt idx="29">
                  <c:v>-2.9844521519208409</c:v>
                </c:pt>
                <c:pt idx="30">
                  <c:v>-3.3244649025033541</c:v>
                </c:pt>
                <c:pt idx="31">
                  <c:v>-3.6662038485712145</c:v>
                </c:pt>
                <c:pt idx="32">
                  <c:v>-4.0096815920978788</c:v>
                </c:pt>
                <c:pt idx="33">
                  <c:v>-4.3549108884711112</c:v>
                </c:pt>
                <c:pt idx="34">
                  <c:v>-4.7019046537532345</c:v>
                </c:pt>
                <c:pt idx="35">
                  <c:v>-5.0506759707444413</c:v>
                </c:pt>
                <c:pt idx="36">
                  <c:v>-5.4012380938306386</c:v>
                </c:pt>
                <c:pt idx="37">
                  <c:v>-5.7536044525982781</c:v>
                </c:pt>
                <c:pt idx="38">
                  <c:v>-6.1077886541997426</c:v>
                </c:pt>
                <c:pt idx="39">
                  <c:v>-6.4638044844540499</c:v>
                </c:pt>
                <c:pt idx="40">
                  <c:v>-6.8216659076689563</c:v>
                </c:pt>
                <c:pt idx="41">
                  <c:v>-7.1813870651719069</c:v>
                </c:pt>
                <c:pt idx="42">
                  <c:v>-7.5429822725388478</c:v>
                </c:pt>
                <c:pt idx="43">
                  <c:v>-7.9064660155115316</c:v>
                </c:pt>
                <c:pt idx="44">
                  <c:v>-8.2718529445957003</c:v>
                </c:pt>
                <c:pt idx="45">
                  <c:v>-8.6391578683344434</c:v>
                </c:pt>
                <c:pt idx="46">
                  <c:v>-9.0083957452530719</c:v>
                </c:pt>
                <c:pt idx="47">
                  <c:v>-9.3795816744740268</c:v>
                </c:pt>
                <c:pt idx="48">
                  <c:v>-9.752730885002693</c:v>
                </c:pt>
                <c:pt idx="49">
                  <c:v>-10.127858723687551</c:v>
                </c:pt>
                <c:pt idx="50">
                  <c:v>-10.504980641860735</c:v>
                </c:pt>
                <c:pt idx="51">
                  <c:v>-10.88411218066806</c:v>
                </c:pt>
                <c:pt idx="52">
                  <c:v>-11.26526895510065</c:v>
                </c:pt>
                <c:pt idx="53">
                  <c:v>-11.648466636743645</c:v>
                </c:pt>
                <c:pt idx="54">
                  <c:v>-12.033720935261091</c:v>
                </c:pt>
                <c:pt idx="55">
                  <c:v>-12.421047578639968</c:v>
                </c:pt>
                <c:pt idx="56">
                  <c:v>-12.810462292220436</c:v>
                </c:pt>
                <c:pt idx="57">
                  <c:v>-13.201980776543856</c:v>
                </c:pt>
                <c:pt idx="58">
                  <c:v>-13.595618684054937</c:v>
                </c:pt>
                <c:pt idx="59">
                  <c:v>-13.991391594699488</c:v>
                </c:pt>
                <c:pt idx="60">
                  <c:v>-14.389314990464813</c:v>
                </c:pt>
                <c:pt idx="61">
                  <c:v>-14.78940422891576</c:v>
                </c:pt>
                <c:pt idx="62">
                  <c:v>-15.191674515785827</c:v>
                </c:pt>
                <c:pt idx="63">
                  <c:v>-15.596140876689734</c:v>
                </c:pt>
                <c:pt idx="64">
                  <c:v>-16.002818128031222</c:v>
                </c:pt>
                <c:pt idx="65">
                  <c:v>-16.411720847188047</c:v>
                </c:pt>
                <c:pt idx="66">
                  <c:v>-16.822863342064736</c:v>
                </c:pt>
                <c:pt idx="67">
                  <c:v>-17.236259620113149</c:v>
                </c:pt>
                <c:pt idx="68">
                  <c:v>-17.651923356931036</c:v>
                </c:pt>
                <c:pt idx="69">
                  <c:v>-18.069867864559868</c:v>
                </c:pt>
                <c:pt idx="70">
                  <c:v>-18.490106059615002</c:v>
                </c:pt>
                <c:pt idx="71">
                  <c:v>-18.912650431394415</c:v>
                </c:pt>
                <c:pt idx="72">
                  <c:v>-19.337513010125999</c:v>
                </c:pt>
                <c:pt idx="73">
                  <c:v>-19.764705335528827</c:v>
                </c:pt>
                <c:pt idx="74">
                  <c:v>-20.194238425880251</c:v>
                </c:pt>
                <c:pt idx="75">
                  <c:v>-20.626122747798657</c:v>
                </c:pt>
                <c:pt idx="76">
                  <c:v>-21.060368186971228</c:v>
                </c:pt>
                <c:pt idx="77">
                  <c:v>-21.496984020077331</c:v>
                </c:pt>
                <c:pt idx="78">
                  <c:v>-21.935978888181303</c:v>
                </c:pt>
                <c:pt idx="79">
                  <c:v>-22.377360771893542</c:v>
                </c:pt>
                <c:pt idx="80">
                  <c:v>-22.821136968626355</c:v>
                </c:pt>
                <c:pt idx="81">
                  <c:v>-23.267314072300969</c:v>
                </c:pt>
                <c:pt idx="82">
                  <c:v>-23.715897955894786</c:v>
                </c:pt>
                <c:pt idx="83">
                  <c:v>-24.166893757253689</c:v>
                </c:pt>
                <c:pt idx="84">
                  <c:v>-24.620305868633324</c:v>
                </c:pt>
                <c:pt idx="85">
                  <c:v>-25.076137930475689</c:v>
                </c:pt>
                <c:pt idx="86">
                  <c:v>-25.534392829974315</c:v>
                </c:pt>
                <c:pt idx="87">
                  <c:v>-25.995072705032175</c:v>
                </c:pt>
                <c:pt idx="88">
                  <c:v>-26.458178954272299</c:v>
                </c:pt>
                <c:pt idx="89">
                  <c:v>-26.923712253822508</c:v>
                </c:pt>
                <c:pt idx="90">
                  <c:v>-27.391672581662462</c:v>
                </c:pt>
                <c:pt idx="91">
                  <c:v>-27.862059250394861</c:v>
                </c:pt>
                <c:pt idx="92">
                  <c:v>-28.334870949383287</c:v>
                </c:pt>
                <c:pt idx="93">
                  <c:v>-28.810105797287456</c:v>
                </c:pt>
                <c:pt idx="94">
                  <c:v>-29.287761406123813</c:v>
                </c:pt>
                <c:pt idx="95">
                  <c:v>-29.767834958085906</c:v>
                </c:pt>
                <c:pt idx="96">
                  <c:v>-30.250323296475926</c:v>
                </c:pt>
                <c:pt idx="97">
                  <c:v>-30.735223032227378</c:v>
                </c:pt>
                <c:pt idx="98">
                  <c:v>-31.22253066764004</c:v>
                </c:pt>
                <c:pt idx="99">
                  <c:v>-31.712242739103683</c:v>
                </c:pt>
                <c:pt idx="100">
                  <c:v>-32.204355980757605</c:v>
                </c:pt>
                <c:pt idx="101">
                  <c:v>-32.698867511220925</c:v>
                </c:pt>
                <c:pt idx="102">
                  <c:v>-33.195775045734919</c:v>
                </c:pt>
                <c:pt idx="103">
                  <c:v>-33.695077136286187</c:v>
                </c:pt>
                <c:pt idx="104">
                  <c:v>-34.196773442529306</c:v>
                </c:pt>
                <c:pt idx="105">
                  <c:v>-34.700865036603204</c:v>
                </c:pt>
                <c:pt idx="106">
                  <c:v>-35.207354745238476</c:v>
                </c:pt>
                <c:pt idx="107">
                  <c:v>-35.71624753288706</c:v>
                </c:pt>
                <c:pt idx="108">
                  <c:v>-36.227550929973219</c:v>
                </c:pt>
                <c:pt idx="109">
                  <c:v>-36.741275510770151</c:v>
                </c:pt>
                <c:pt idx="110">
                  <c:v>-37.257435425853132</c:v>
                </c:pt>
                <c:pt idx="111">
                  <c:v>-37.776048994572108</c:v>
                </c:pt>
                <c:pt idx="112">
                  <c:v>-38.297139363529105</c:v>
                </c:pt>
                <c:pt idx="113">
                  <c:v>-38.82073523764403</c:v>
                </c:pt>
                <c:pt idx="114">
                  <c:v>-39.346871691051362</c:v>
                </c:pt>
                <c:pt idx="115">
                  <c:v>-39.875591065797771</c:v>
                </c:pt>
                <c:pt idx="116">
                  <c:v>-40.406943967112177</c:v>
                </c:pt>
                <c:pt idx="117">
                  <c:v>-40.940990364904415</c:v>
                </c:pt>
                <c:pt idx="118">
                  <c:v>-41.477800812124059</c:v>
                </c:pt>
                <c:pt idx="119">
                  <c:v>-42.017457791687455</c:v>
                </c:pt>
                <c:pt idx="120">
                  <c:v>-42.560057204868471</c:v>
                </c:pt>
                <c:pt idx="121">
                  <c:v>-43.105710015358554</c:v>
                </c:pt>
                <c:pt idx="122">
                  <c:v>-43.654544064648157</c:v>
                </c:pt>
                <c:pt idx="123">
                  <c:v>-44.206706075976882</c:v>
                </c:pt>
                <c:pt idx="124">
                  <c:v>-44.762363865861388</c:v>
                </c:pt>
                <c:pt idx="125">
                  <c:v>-45.321708784153927</c:v>
                </c:pt>
                <c:pt idx="126">
                  <c:v>-45.884958405730764</c:v>
                </c:pt>
                <c:pt idx="127">
                  <c:v>-46.452359499278359</c:v>
                </c:pt>
                <c:pt idx="128">
                  <c:v>-47.024191301261141</c:v>
                </c:pt>
                <c:pt idx="129">
                  <c:v>-47.600769126042174</c:v>
                </c:pt>
                <c:pt idx="130">
                  <c:v>-48.182448346316448</c:v>
                </c:pt>
                <c:pt idx="131">
                  <c:v>-48.769628781537293</c:v>
                </c:pt>
                <c:pt idx="132">
                  <c:v>-49.362759535904019</c:v>
                </c:pt>
                <c:pt idx="133">
                  <c:v>-49.962344331772023</c:v>
                </c:pt>
                <c:pt idx="134">
                  <c:v>-50.568947389087946</c:v>
                </c:pt>
                <c:pt idx="135">
                  <c:v>-51.183199906688394</c:v>
                </c:pt>
                <c:pt idx="136">
                  <c:v>-51.805807207083944</c:v>
                </c:pt>
                <c:pt idx="137">
                  <c:v>-52.437556612737509</c:v>
                </c:pt>
                <c:pt idx="138">
                  <c:v>-53.07932612890059</c:v>
                </c:pt>
                <c:pt idx="139">
                  <c:v>-53.732094015864213</c:v>
                </c:pt>
                <c:pt idx="140">
                  <c:v>-54.396949342088192</c:v>
                </c:pt>
                <c:pt idx="141">
                  <c:v>-55.075103619181242</c:v>
                </c:pt>
                <c:pt idx="142">
                  <c:v>-55.767903630207371</c:v>
                </c:pt>
                <c:pt idx="143">
                  <c:v>-56.476845574397075</c:v>
                </c:pt>
                <c:pt idx="144">
                  <c:v>-57.203590664159748</c:v>
                </c:pt>
                <c:pt idx="145">
                  <c:v>-57.949982324454368</c:v>
                </c:pt>
                <c:pt idx="146">
                  <c:v>-58.718065160219084</c:v>
                </c:pt>
                <c:pt idx="147">
                  <c:v>-59.510105874844605</c:v>
                </c:pt>
                <c:pt idx="148">
                  <c:v>-60.328616341769923</c:v>
                </c:pt>
                <c:pt idx="149">
                  <c:v>-61.318891041873577</c:v>
                </c:pt>
                <c:pt idx="150">
                  <c:v>-62.423461839951038</c:v>
                </c:pt>
                <c:pt idx="151">
                  <c:v>-63.56377689603336</c:v>
                </c:pt>
                <c:pt idx="152">
                  <c:v>-64.743610860170122</c:v>
                </c:pt>
                <c:pt idx="153">
                  <c:v>-65.967139887393159</c:v>
                </c:pt>
                <c:pt idx="154">
                  <c:v>-67.238983221681067</c:v>
                </c:pt>
                <c:pt idx="155">
                  <c:v>-68.564249079886778</c:v>
                </c:pt>
                <c:pt idx="156">
                  <c:v>-69.948585283289447</c:v>
                </c:pt>
                <c:pt idx="157">
                  <c:v>-71.398235131295891</c:v>
                </c:pt>
                <c:pt idx="158">
                  <c:v>-72.920099063596794</c:v>
                </c:pt>
                <c:pt idx="159">
                  <c:v>-74.521802714302567</c:v>
                </c:pt>
                <c:pt idx="160">
                  <c:v>-76.211772024806606</c:v>
                </c:pt>
                <c:pt idx="161">
                  <c:v>-77.999316151990769</c:v>
                </c:pt>
                <c:pt idx="162">
                  <c:v>-79.894718985585627</c:v>
                </c:pt>
                <c:pt idx="163">
                  <c:v>-81.909340173809994</c:v>
                </c:pt>
                <c:pt idx="164">
                  <c:v>-84.05572665068027</c:v>
                </c:pt>
                <c:pt idx="165">
                  <c:v>-86.347735762552759</c:v>
                </c:pt>
                <c:pt idx="166">
                  <c:v>-88.800671206574847</c:v>
                </c:pt>
                <c:pt idx="167">
                  <c:v>-91.431433120927736</c:v>
                </c:pt>
                <c:pt idx="168">
                  <c:v>-94.258683807314526</c:v>
                </c:pt>
                <c:pt idx="169">
                  <c:v>-97.303030721488398</c:v>
                </c:pt>
                <c:pt idx="170">
                  <c:v>-100.58722853927694</c:v>
                </c:pt>
                <c:pt idx="171">
                  <c:v>-104.13640229526136</c:v>
                </c:pt>
                <c:pt idx="172">
                  <c:v>-107.97829380090198</c:v>
                </c:pt>
                <c:pt idx="173">
                  <c:v>-112.14353378056947</c:v>
                </c:pt>
                <c:pt idx="174">
                  <c:v>-116.66594241995062</c:v>
                </c:pt>
                <c:pt idx="175">
                  <c:v>-121.5828613042184</c:v>
                </c:pt>
                <c:pt idx="176">
                  <c:v>-126.93552003600783</c:v>
                </c:pt>
                <c:pt idx="177">
                  <c:v>-132.76944116875615</c:v>
                </c:pt>
                <c:pt idx="178">
                  <c:v>-139.134887472797</c:v>
                </c:pt>
                <c:pt idx="179">
                  <c:v>-146.08735597356917</c:v>
                </c:pt>
                <c:pt idx="180">
                  <c:v>-153.68812366762194</c:v>
                </c:pt>
                <c:pt idx="181">
                  <c:v>-162.00485033744621</c:v>
                </c:pt>
                <c:pt idx="182">
                  <c:v>-171.11224445567768</c:v>
                </c:pt>
                <c:pt idx="183">
                  <c:v>-181.09279879860816</c:v>
                </c:pt>
                <c:pt idx="184">
                  <c:v>-192.03760308450003</c:v>
                </c:pt>
                <c:pt idx="185">
                  <c:v>-204.04724172087487</c:v>
                </c:pt>
                <c:pt idx="186">
                  <c:v>-217.23278559444773</c:v>
                </c:pt>
                <c:pt idx="187">
                  <c:v>-231.71688777617896</c:v>
                </c:pt>
                <c:pt idx="188">
                  <c:v>-247.63499405142841</c:v>
                </c:pt>
                <c:pt idx="189">
                  <c:v>-265.13668033178948</c:v>
                </c:pt>
                <c:pt idx="190">
                  <c:v>-284.38713027232438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DAB-44CF-87CA-7CC1C4D2F87A}"/>
            </c:ext>
          </c:extLst>
        </c:ser>
        <c:ser>
          <c:idx val="17"/>
          <c:order val="15"/>
          <c:spPr>
            <a:ln w="28575">
              <a:noFill/>
            </a:ln>
          </c:spPr>
          <c:marker>
            <c:symbol val="diamond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Pt>
            <c:idx val="40"/>
            <c:bubble3D val="0"/>
            <c:extLst>
              <c:ext xmlns:c16="http://schemas.microsoft.com/office/drawing/2014/chart" uri="{C3380CC4-5D6E-409C-BE32-E72D297353CC}">
                <c16:uniqueId val="{0000000F-BDAB-44CF-87CA-7CC1C4D2F87A}"/>
              </c:ext>
            </c:extLst>
          </c:dPt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graph!$AM$3:$AM$193</c:f>
              <c:numCache>
                <c:formatCode>General</c:formatCode>
                <c:ptCount val="191"/>
                <c:pt idx="63" formatCode="0.00">
                  <c:v>-2.17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DAB-44CF-87CA-7CC1C4D2F87A}"/>
            </c:ext>
          </c:extLst>
        </c:ser>
        <c:ser>
          <c:idx val="6"/>
          <c:order val="16"/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graph!$AD$3:$AD$193</c:f>
              <c:numCache>
                <c:formatCode>General</c:formatCode>
                <c:ptCount val="191"/>
                <c:pt idx="45" formatCode="0.00">
                  <c:v>-2</c:v>
                </c:pt>
                <c:pt idx="60">
                  <c:v>-2.7931051587285425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DAB-44CF-87CA-7CC1C4D2F87A}"/>
            </c:ext>
          </c:extLst>
        </c:ser>
        <c:ser>
          <c:idx val="10"/>
          <c:order val="17"/>
          <c:spPr>
            <a:ln w="28575">
              <a:noFill/>
            </a:ln>
          </c:spPr>
          <c:dPt>
            <c:idx val="45"/>
            <c:marker>
              <c:symbol val="triangle"/>
              <c:size val="9"/>
              <c:spPr>
                <a:solidFill>
                  <a:schemeClr val="accent3">
                    <a:lumMod val="50000"/>
                  </a:schemeClr>
                </a:solidFill>
                <a:ln>
                  <a:solidFill>
                    <a:schemeClr val="accent3">
                      <a:lumMod val="50000"/>
                    </a:schemeClr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BDAB-44CF-87CA-7CC1C4D2F87A}"/>
              </c:ext>
            </c:extLst>
          </c:dPt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graph!$Z$3:$Z$193</c:f>
              <c:numCache>
                <c:formatCode>General</c:formatCode>
                <c:ptCount val="191"/>
                <c:pt idx="50">
                  <c:v>-9.1999999999999993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DAB-44CF-87CA-7CC1C4D2F87A}"/>
            </c:ext>
          </c:extLst>
        </c:ser>
        <c:ser>
          <c:idx val="18"/>
          <c:order val="18"/>
          <c:spPr>
            <a:ln w="28575">
              <a:noFill/>
            </a:ln>
          </c:spPr>
          <c:marker>
            <c:symbol val="triangle"/>
            <c:size val="9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accent3">
                    <a:lumMod val="50000"/>
                  </a:schemeClr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graph!$AA$3:$AA$193</c:f>
              <c:numCache>
                <c:formatCode>General</c:formatCode>
                <c:ptCount val="191"/>
                <c:pt idx="50">
                  <c:v>-8.5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DAB-44CF-87CA-7CC1C4D2F87A}"/>
            </c:ext>
          </c:extLst>
        </c:ser>
        <c:ser>
          <c:idx val="19"/>
          <c:order val="19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graph!$S$3:$S$193</c:f>
              <c:numCache>
                <c:formatCode>General</c:formatCode>
                <c:ptCount val="191"/>
                <c:pt idx="45" formatCode="0.00">
                  <c:v>-1.435622202473182</c:v>
                </c:pt>
                <c:pt idx="50" formatCode="0.0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DAB-44CF-87CA-7CC1C4D2F87A}"/>
            </c:ext>
          </c:extLst>
        </c:ser>
        <c:ser>
          <c:idx val="20"/>
          <c:order val="20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graph!$T$3:$T$193</c:f>
              <c:numCache>
                <c:formatCode>General</c:formatCode>
                <c:ptCount val="191"/>
                <c:pt idx="45" formatCode="0.00">
                  <c:v>-2.8909238132996098</c:v>
                </c:pt>
                <c:pt idx="50" formatCode="0.0">
                  <c:v>-2.5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DAB-44CF-87CA-7CC1C4D2F87A}"/>
            </c:ext>
          </c:extLst>
        </c:ser>
        <c:ser>
          <c:idx val="21"/>
          <c:order val="21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graph!$U$3:$U$193</c:f>
              <c:numCache>
                <c:formatCode>General</c:formatCode>
                <c:ptCount val="191"/>
                <c:pt idx="45" formatCode="0.00">
                  <c:v>-1.5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DAB-44CF-87CA-7CC1C4D2F87A}"/>
            </c:ext>
          </c:extLst>
        </c:ser>
        <c:ser>
          <c:idx val="22"/>
          <c:order val="22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graph!$V$3:$V$193</c:f>
              <c:numCache>
                <c:formatCode>General</c:formatCode>
                <c:ptCount val="191"/>
                <c:pt idx="45" formatCode="0.00">
                  <c:v>-1.5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DAB-44CF-87CA-7CC1C4D2F87A}"/>
            </c:ext>
          </c:extLst>
        </c:ser>
        <c:ser>
          <c:idx val="23"/>
          <c:order val="23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graph!$W$3:$W$193</c:f>
              <c:numCache>
                <c:formatCode>General</c:formatCode>
                <c:ptCount val="191"/>
                <c:pt idx="45" formatCode="0.00">
                  <c:v>-0.9804776851232514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DAB-44CF-87CA-7CC1C4D2F87A}"/>
            </c:ext>
          </c:extLst>
        </c:ser>
        <c:ser>
          <c:idx val="24"/>
          <c:order val="24"/>
          <c:spPr>
            <a:ln w="28575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graph!$A$3:$A$193</c:f>
              <c:numCache>
                <c:formatCode>General</c:formatCode>
                <c:ptCount val="19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  <c:pt idx="41">
                  <c:v>2.1000000000000005</c:v>
                </c:pt>
                <c:pt idx="42">
                  <c:v>2.2000000000000006</c:v>
                </c:pt>
                <c:pt idx="43">
                  <c:v>2.3000000000000007</c:v>
                </c:pt>
                <c:pt idx="44">
                  <c:v>2.4000000000000008</c:v>
                </c:pt>
                <c:pt idx="45">
                  <c:v>2.5000000000000009</c:v>
                </c:pt>
                <c:pt idx="46">
                  <c:v>2.600000000000001</c:v>
                </c:pt>
                <c:pt idx="47">
                  <c:v>2.7000000000000011</c:v>
                </c:pt>
                <c:pt idx="48">
                  <c:v>2.8000000000000012</c:v>
                </c:pt>
                <c:pt idx="49">
                  <c:v>2.9000000000000012</c:v>
                </c:pt>
                <c:pt idx="50">
                  <c:v>3.0000000000000013</c:v>
                </c:pt>
                <c:pt idx="51">
                  <c:v>3.1000000000000014</c:v>
                </c:pt>
                <c:pt idx="52">
                  <c:v>3.2000000000000015</c:v>
                </c:pt>
                <c:pt idx="53">
                  <c:v>3.3000000000000016</c:v>
                </c:pt>
                <c:pt idx="54">
                  <c:v>3.4000000000000017</c:v>
                </c:pt>
                <c:pt idx="55">
                  <c:v>3.5000000000000018</c:v>
                </c:pt>
                <c:pt idx="56">
                  <c:v>3.6000000000000019</c:v>
                </c:pt>
                <c:pt idx="57">
                  <c:v>3.700000000000002</c:v>
                </c:pt>
                <c:pt idx="58">
                  <c:v>3.800000000000002</c:v>
                </c:pt>
                <c:pt idx="59">
                  <c:v>3.9000000000000021</c:v>
                </c:pt>
                <c:pt idx="60">
                  <c:v>4.0000000000000018</c:v>
                </c:pt>
                <c:pt idx="61">
                  <c:v>4.1000000000000014</c:v>
                </c:pt>
                <c:pt idx="62">
                  <c:v>4.2000000000000011</c:v>
                </c:pt>
                <c:pt idx="63">
                  <c:v>4.3000000000000007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4.6999999999999993</c:v>
                </c:pt>
                <c:pt idx="68">
                  <c:v>4.7999999999999989</c:v>
                </c:pt>
                <c:pt idx="69">
                  <c:v>4.8999999999999986</c:v>
                </c:pt>
                <c:pt idx="70">
                  <c:v>4.9999999999999982</c:v>
                </c:pt>
                <c:pt idx="71">
                  <c:v>5.0999999999999979</c:v>
                </c:pt>
                <c:pt idx="72">
                  <c:v>5.1999999999999975</c:v>
                </c:pt>
                <c:pt idx="73">
                  <c:v>5.2999999999999972</c:v>
                </c:pt>
                <c:pt idx="74">
                  <c:v>5.3999999999999968</c:v>
                </c:pt>
                <c:pt idx="75">
                  <c:v>5.4999999999999964</c:v>
                </c:pt>
                <c:pt idx="76">
                  <c:v>5.5999999999999961</c:v>
                </c:pt>
                <c:pt idx="77">
                  <c:v>5.6999999999999957</c:v>
                </c:pt>
                <c:pt idx="78">
                  <c:v>5.7999999999999954</c:v>
                </c:pt>
                <c:pt idx="79">
                  <c:v>5.899999999999995</c:v>
                </c:pt>
                <c:pt idx="80">
                  <c:v>5.9999999999999947</c:v>
                </c:pt>
                <c:pt idx="81">
                  <c:v>6.0999999999999943</c:v>
                </c:pt>
                <c:pt idx="82">
                  <c:v>6.199999999999994</c:v>
                </c:pt>
                <c:pt idx="83">
                  <c:v>6.2999999999999936</c:v>
                </c:pt>
                <c:pt idx="84">
                  <c:v>6.3999999999999932</c:v>
                </c:pt>
                <c:pt idx="85">
                  <c:v>6.4999999999999929</c:v>
                </c:pt>
                <c:pt idx="86">
                  <c:v>6.5999999999999925</c:v>
                </c:pt>
                <c:pt idx="87">
                  <c:v>6.6999999999999922</c:v>
                </c:pt>
                <c:pt idx="88">
                  <c:v>6.7999999999999918</c:v>
                </c:pt>
                <c:pt idx="89">
                  <c:v>6.8999999999999915</c:v>
                </c:pt>
                <c:pt idx="90">
                  <c:v>6.9999999999999911</c:v>
                </c:pt>
                <c:pt idx="91">
                  <c:v>7.0999999999999908</c:v>
                </c:pt>
                <c:pt idx="92">
                  <c:v>7.1999999999999904</c:v>
                </c:pt>
                <c:pt idx="93">
                  <c:v>7.2999999999999901</c:v>
                </c:pt>
                <c:pt idx="94">
                  <c:v>7.3999999999999897</c:v>
                </c:pt>
                <c:pt idx="95">
                  <c:v>7.4999999999999893</c:v>
                </c:pt>
                <c:pt idx="96">
                  <c:v>7.599999999999989</c:v>
                </c:pt>
                <c:pt idx="97">
                  <c:v>7.6999999999999886</c:v>
                </c:pt>
                <c:pt idx="98">
                  <c:v>7.7999999999999883</c:v>
                </c:pt>
                <c:pt idx="99">
                  <c:v>7.8999999999999879</c:v>
                </c:pt>
                <c:pt idx="100">
                  <c:v>7.9999999999999876</c:v>
                </c:pt>
                <c:pt idx="101">
                  <c:v>8.0999999999999872</c:v>
                </c:pt>
                <c:pt idx="102">
                  <c:v>8.1999999999999869</c:v>
                </c:pt>
                <c:pt idx="103">
                  <c:v>8.2999999999999865</c:v>
                </c:pt>
                <c:pt idx="104">
                  <c:v>8.3999999999999861</c:v>
                </c:pt>
                <c:pt idx="105">
                  <c:v>8.4999999999999858</c:v>
                </c:pt>
                <c:pt idx="106">
                  <c:v>8.5999999999999854</c:v>
                </c:pt>
                <c:pt idx="107">
                  <c:v>8.6999999999999851</c:v>
                </c:pt>
                <c:pt idx="108">
                  <c:v>8.7999999999999847</c:v>
                </c:pt>
                <c:pt idx="109">
                  <c:v>8.8999999999999844</c:v>
                </c:pt>
                <c:pt idx="110">
                  <c:v>8.999999999999984</c:v>
                </c:pt>
                <c:pt idx="111">
                  <c:v>9.0999999999999837</c:v>
                </c:pt>
                <c:pt idx="112">
                  <c:v>9.1999999999999833</c:v>
                </c:pt>
                <c:pt idx="113">
                  <c:v>9.2999999999999829</c:v>
                </c:pt>
                <c:pt idx="114">
                  <c:v>9.3999999999999826</c:v>
                </c:pt>
                <c:pt idx="115">
                  <c:v>9.4999999999999822</c:v>
                </c:pt>
                <c:pt idx="116">
                  <c:v>9.5999999999999819</c:v>
                </c:pt>
                <c:pt idx="117">
                  <c:v>9.6999999999999815</c:v>
                </c:pt>
                <c:pt idx="118">
                  <c:v>9.7999999999999812</c:v>
                </c:pt>
                <c:pt idx="119">
                  <c:v>9.8999999999999808</c:v>
                </c:pt>
                <c:pt idx="120">
                  <c:v>9.9999999999999805</c:v>
                </c:pt>
                <c:pt idx="121">
                  <c:v>10.09999999999998</c:v>
                </c:pt>
                <c:pt idx="122">
                  <c:v>10.19999999999998</c:v>
                </c:pt>
                <c:pt idx="123">
                  <c:v>10.299999999999979</c:v>
                </c:pt>
                <c:pt idx="124">
                  <c:v>10.399999999999979</c:v>
                </c:pt>
                <c:pt idx="125">
                  <c:v>10.499999999999979</c:v>
                </c:pt>
                <c:pt idx="126">
                  <c:v>10.599999999999978</c:v>
                </c:pt>
                <c:pt idx="127">
                  <c:v>10.699999999999978</c:v>
                </c:pt>
                <c:pt idx="128">
                  <c:v>10.799999999999978</c:v>
                </c:pt>
                <c:pt idx="129">
                  <c:v>10.899999999999977</c:v>
                </c:pt>
                <c:pt idx="130">
                  <c:v>10.999999999999977</c:v>
                </c:pt>
                <c:pt idx="131">
                  <c:v>11.099999999999977</c:v>
                </c:pt>
                <c:pt idx="132">
                  <c:v>11.199999999999976</c:v>
                </c:pt>
                <c:pt idx="133">
                  <c:v>11.299999999999976</c:v>
                </c:pt>
                <c:pt idx="134">
                  <c:v>11.399999999999975</c:v>
                </c:pt>
                <c:pt idx="135">
                  <c:v>11.499999999999975</c:v>
                </c:pt>
                <c:pt idx="136">
                  <c:v>11.599999999999975</c:v>
                </c:pt>
                <c:pt idx="137">
                  <c:v>11.699999999999974</c:v>
                </c:pt>
                <c:pt idx="138">
                  <c:v>11.799999999999974</c:v>
                </c:pt>
                <c:pt idx="139">
                  <c:v>11.899999999999974</c:v>
                </c:pt>
                <c:pt idx="140">
                  <c:v>11.999999999999973</c:v>
                </c:pt>
                <c:pt idx="141">
                  <c:v>12.099999999999973</c:v>
                </c:pt>
                <c:pt idx="142">
                  <c:v>12.199999999999973</c:v>
                </c:pt>
                <c:pt idx="143">
                  <c:v>12.299999999999972</c:v>
                </c:pt>
                <c:pt idx="144">
                  <c:v>12.399999999999972</c:v>
                </c:pt>
                <c:pt idx="145">
                  <c:v>12.499999999999972</c:v>
                </c:pt>
                <c:pt idx="146">
                  <c:v>12.599999999999971</c:v>
                </c:pt>
                <c:pt idx="147">
                  <c:v>12.699999999999971</c:v>
                </c:pt>
                <c:pt idx="148">
                  <c:v>12.799999999999971</c:v>
                </c:pt>
                <c:pt idx="149">
                  <c:v>12.89999999999997</c:v>
                </c:pt>
                <c:pt idx="150">
                  <c:v>12.99999999999997</c:v>
                </c:pt>
                <c:pt idx="151">
                  <c:v>13.099999999999969</c:v>
                </c:pt>
                <c:pt idx="152">
                  <c:v>13.199999999999969</c:v>
                </c:pt>
                <c:pt idx="153">
                  <c:v>13.299999999999969</c:v>
                </c:pt>
                <c:pt idx="154">
                  <c:v>13.399999999999968</c:v>
                </c:pt>
                <c:pt idx="155">
                  <c:v>13.499999999999968</c:v>
                </c:pt>
                <c:pt idx="156">
                  <c:v>13.599999999999968</c:v>
                </c:pt>
                <c:pt idx="157">
                  <c:v>13.699999999999967</c:v>
                </c:pt>
                <c:pt idx="158">
                  <c:v>13.799999999999967</c:v>
                </c:pt>
                <c:pt idx="159">
                  <c:v>13.899999999999967</c:v>
                </c:pt>
                <c:pt idx="160">
                  <c:v>13.999999999999966</c:v>
                </c:pt>
                <c:pt idx="161">
                  <c:v>14.099999999999966</c:v>
                </c:pt>
                <c:pt idx="162">
                  <c:v>14.199999999999966</c:v>
                </c:pt>
                <c:pt idx="163">
                  <c:v>14.299999999999965</c:v>
                </c:pt>
                <c:pt idx="164">
                  <c:v>14.399999999999965</c:v>
                </c:pt>
                <c:pt idx="165">
                  <c:v>14.499999999999964</c:v>
                </c:pt>
                <c:pt idx="166">
                  <c:v>14.599999999999964</c:v>
                </c:pt>
                <c:pt idx="167">
                  <c:v>14.699999999999964</c:v>
                </c:pt>
                <c:pt idx="168">
                  <c:v>14.799999999999963</c:v>
                </c:pt>
                <c:pt idx="169">
                  <c:v>14.899999999999963</c:v>
                </c:pt>
                <c:pt idx="170">
                  <c:v>14.999999999999963</c:v>
                </c:pt>
                <c:pt idx="171">
                  <c:v>15.099999999999962</c:v>
                </c:pt>
                <c:pt idx="172">
                  <c:v>15.199999999999962</c:v>
                </c:pt>
                <c:pt idx="173">
                  <c:v>15.299999999999962</c:v>
                </c:pt>
                <c:pt idx="174">
                  <c:v>15.399999999999961</c:v>
                </c:pt>
                <c:pt idx="175">
                  <c:v>15.499999999999961</c:v>
                </c:pt>
                <c:pt idx="176">
                  <c:v>15.599999999999961</c:v>
                </c:pt>
                <c:pt idx="177">
                  <c:v>15.69999999999996</c:v>
                </c:pt>
                <c:pt idx="178">
                  <c:v>15.79999999999996</c:v>
                </c:pt>
                <c:pt idx="179">
                  <c:v>15.899999999999959</c:v>
                </c:pt>
                <c:pt idx="180">
                  <c:v>15.999999999999959</c:v>
                </c:pt>
                <c:pt idx="181">
                  <c:v>16.099999999999959</c:v>
                </c:pt>
                <c:pt idx="182">
                  <c:v>16.19999999999996</c:v>
                </c:pt>
                <c:pt idx="183">
                  <c:v>16.299999999999962</c:v>
                </c:pt>
                <c:pt idx="184">
                  <c:v>16.399999999999963</c:v>
                </c:pt>
                <c:pt idx="185">
                  <c:v>16.499999999999964</c:v>
                </c:pt>
                <c:pt idx="186">
                  <c:v>16.599999999999966</c:v>
                </c:pt>
                <c:pt idx="187">
                  <c:v>16.699999999999967</c:v>
                </c:pt>
                <c:pt idx="188">
                  <c:v>16.799999999999969</c:v>
                </c:pt>
                <c:pt idx="189">
                  <c:v>16.89999999999997</c:v>
                </c:pt>
                <c:pt idx="190">
                  <c:v>16.999999999999972</c:v>
                </c:pt>
              </c:numCache>
            </c:numRef>
          </c:cat>
          <c:val>
            <c:numRef>
              <c:f>graph!$X$3:$X$193</c:f>
              <c:numCache>
                <c:formatCode>General</c:formatCode>
                <c:ptCount val="191"/>
                <c:pt idx="45" formatCode="0.00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DAB-44CF-87CA-7CC1C4D2F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847648"/>
        <c:axId val="335847256"/>
      </c:lineChart>
      <c:catAx>
        <c:axId val="3358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Global</a:t>
                </a:r>
                <a:r>
                  <a:rPr lang="en-US" b="0" baseline="0"/>
                  <a:t> warming (in d</a:t>
                </a:r>
                <a:r>
                  <a:rPr lang="en-US" b="0"/>
                  <a:t>egrees centrigrade)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335847256"/>
        <c:crossesAt val="0"/>
        <c:auto val="1"/>
        <c:lblAlgn val="ctr"/>
        <c:lblOffset val="100"/>
        <c:tickLblSkip val="10"/>
        <c:tickMarkSkip val="5"/>
        <c:noMultiLvlLbl val="0"/>
      </c:catAx>
      <c:valAx>
        <c:axId val="335847256"/>
        <c:scaling>
          <c:orientation val="minMax"/>
          <c:max val="10"/>
          <c:min val="-8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Welfare-equivalent</a:t>
                </a:r>
                <a:r>
                  <a:rPr lang="en-US" b="0" baseline="0"/>
                  <a:t> income change (in percent)</a:t>
                </a:r>
                <a:endParaRPr lang="en-US" b="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335847648"/>
        <c:crossesAt val="16"/>
        <c:crossBetween val="between"/>
        <c:majorUnit val="5"/>
      </c:valAx>
      <c:spPr>
        <a:noFill/>
        <a:ln w="25400">
          <a:noFill/>
        </a:ln>
      </c:spPr>
    </c:plotArea>
    <c:legend>
      <c:legendPos val="r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ayout>
        <c:manualLayout>
          <c:xMode val="edge"/>
          <c:yMode val="edge"/>
          <c:x val="0.21924196463147025"/>
          <c:y val="0.78674447336342368"/>
          <c:w val="0.13799599845101329"/>
          <c:h val="0.19700985075610319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823114323824276E-2"/>
          <c:y val="4.1593417454617337E-2"/>
          <c:w val="0.93272378073331486"/>
          <c:h val="0.93870556452409981"/>
        </c:manualLayout>
      </c:layout>
      <c:lineChart>
        <c:grouping val="standard"/>
        <c:varyColors val="0"/>
        <c:ser>
          <c:idx val="0"/>
          <c:order val="0"/>
          <c:spPr>
            <a:ln w="508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F80-42E3-981D-1280475E6C48}"/>
            </c:ext>
          </c:extLst>
        </c:ser>
        <c:ser>
          <c:idx val="1"/>
          <c:order val="1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graph!$G$8:$G$93</c:f>
              <c:numCache>
                <c:formatCode>0.00</c:formatCode>
                <c:ptCount val="86"/>
                <c:pt idx="0">
                  <c:v>-3.3249583616782536</c:v>
                </c:pt>
                <c:pt idx="1">
                  <c:v>-3.3409605248816137</c:v>
                </c:pt>
                <c:pt idx="2">
                  <c:v>-3.3583947204281297</c:v>
                </c:pt>
                <c:pt idx="3">
                  <c:v>-3.3772747705663728</c:v>
                </c:pt>
                <c:pt idx="4">
                  <c:v>-3.3976141760596188</c:v>
                </c:pt>
                <c:pt idx="5">
                  <c:v>-3.4194261452999095</c:v>
                </c:pt>
                <c:pt idx="6">
                  <c:v>-3.4427236227832605</c:v>
                </c:pt>
                <c:pt idx="7">
                  <c:v>-3.4675193169243195</c:v>
                </c:pt>
                <c:pt idx="8">
                  <c:v>-3.4938257271882027</c:v>
                </c:pt>
                <c:pt idx="9">
                  <c:v>-3.5216551705167172</c:v>
                </c:pt>
                <c:pt idx="10">
                  <c:v>-3.5510198070257184</c:v>
                </c:pt>
                <c:pt idx="11">
                  <c:v>-3.581931664949952</c:v>
                </c:pt>
                <c:pt idx="12">
                  <c:v>-3.6144026648113985</c:v>
                </c:pt>
                <c:pt idx="13">
                  <c:v>-3.6484446427868469</c:v>
                </c:pt>
                <c:pt idx="14">
                  <c:v>-3.6840693732502134</c:v>
                </c:pt>
                <c:pt idx="15">
                  <c:v>-3.7212885904649551</c:v>
                </c:pt>
                <c:pt idx="16">
                  <c:v>-3.7601140094018288</c:v>
                </c:pt>
                <c:pt idx="17">
                  <c:v>-3.8005573456571984</c:v>
                </c:pt>
                <c:pt idx="18">
                  <c:v>-3.8426303344471173</c:v>
                </c:pt>
                <c:pt idx="19">
                  <c:v>-3.8863447486524856</c:v>
                </c:pt>
                <c:pt idx="20">
                  <c:v>-3.9317124158907273</c:v>
                </c:pt>
                <c:pt idx="21">
                  <c:v>-3.9787452345896259</c:v>
                </c:pt>
                <c:pt idx="22">
                  <c:v>-4.0274551890392321</c:v>
                </c:pt>
                <c:pt idx="23">
                  <c:v>-4.077854363398087</c:v>
                </c:pt>
                <c:pt idx="24">
                  <c:v>-4.1299549546303815</c:v>
                </c:pt>
                <c:pt idx="25">
                  <c:v>-4.1837692843511824</c:v>
                </c:pt>
                <c:pt idx="26">
                  <c:v>-4.2393098095573301</c:v>
                </c:pt>
                <c:pt idx="27">
                  <c:v>-4.2965891322222802</c:v>
                </c:pt>
                <c:pt idx="28">
                  <c:v>-4.3556200077338003</c:v>
                </c:pt>
                <c:pt idx="29">
                  <c:v>-4.4164153521542104</c:v>
                </c:pt>
                <c:pt idx="30">
                  <c:v>-4.4789882482837049</c:v>
                </c:pt>
                <c:pt idx="31">
                  <c:v>-4.543351950508189</c:v>
                </c:pt>
                <c:pt idx="32">
                  <c:v>-4.6095198884141153</c:v>
                </c:pt>
                <c:pt idx="33">
                  <c:v>-4.6775056691538657</c:v>
                </c:pt>
                <c:pt idx="34">
                  <c:v>-4.7473230785464615</c:v>
                </c:pt>
                <c:pt idx="35">
                  <c:v>-4.8189860808996556</c:v>
                </c:pt>
                <c:pt idx="36">
                  <c:v>-4.8925088175408931</c:v>
                </c:pt>
                <c:pt idx="37">
                  <c:v>-4.9679056040461198</c:v>
                </c:pt>
                <c:pt idx="38">
                  <c:v>-5.0451909261570913</c:v>
                </c:pt>
                <c:pt idx="39">
                  <c:v>-5.1243794343795468</c:v>
                </c:pt>
                <c:pt idx="40">
                  <c:v>-5.2054859372565767</c:v>
                </c:pt>
                <c:pt idx="41">
                  <c:v>-5.2885253933134928</c:v>
                </c:pt>
                <c:pt idx="42">
                  <c:v>-5.3735129016727337</c:v>
                </c:pt>
                <c:pt idx="43">
                  <c:v>-5.4604636913396876</c:v>
                </c:pt>
                <c:pt idx="44">
                  <c:v>-5.5493931091628319</c:v>
                </c:pt>
                <c:pt idx="45">
                  <c:v>-5.6403166064743022</c:v>
                </c:pt>
                <c:pt idx="46">
                  <c:v>-5.733249724419915</c:v>
                </c:pt>
                <c:pt idx="47">
                  <c:v>-5.8282080779907925</c:v>
                </c:pt>
                <c:pt idx="48">
                  <c:v>-5.9252073387720738</c:v>
                </c:pt>
                <c:pt idx="49">
                  <c:v>-6.0242632164278067</c:v>
                </c:pt>
                <c:pt idx="50">
                  <c:v>-6.1253914389449715</c:v>
                </c:pt>
                <c:pt idx="51">
                  <c:v>-6.2286077316637263</c:v>
                </c:pt>
                <c:pt idx="52">
                  <c:v>-6.3339277951254331</c:v>
                </c:pt>
                <c:pt idx="53">
                  <c:v>-6.4413672817748013</c:v>
                </c:pt>
                <c:pt idx="54">
                  <c:v>-6.5509417715576399</c:v>
                </c:pt>
                <c:pt idx="55">
                  <c:v>-6.6626667464612526</c:v>
                </c:pt>
                <c:pt idx="56">
                  <c:v>-6.7765575640504867</c:v>
                </c:pt>
                <c:pt idx="57">
                  <c:v>-6.8926294300588431</c:v>
                </c:pt>
                <c:pt idx="58">
                  <c:v>-7.0108973701010378</c:v>
                </c:pt>
                <c:pt idx="59">
                  <c:v>-7.1313762005808137</c:v>
                </c:pt>
                <c:pt idx="60">
                  <c:v>-7.2540804988759273</c:v>
                </c:pt>
                <c:pt idx="61">
                  <c:v>-7.3790245728909047</c:v>
                </c:pt>
                <c:pt idx="62">
                  <c:v>-7.5062224300776048</c:v>
                </c:pt>
                <c:pt idx="63">
                  <c:v>-7.6356877460337822</c:v>
                </c:pt>
                <c:pt idx="64">
                  <c:v>-7.7674338328008989</c:v>
                </c:pt>
                <c:pt idx="65">
                  <c:v>-7.9014736069943243</c:v>
                </c:pt>
                <c:pt idx="66">
                  <c:v>-8.0378195579120266</c:v>
                </c:pt>
                <c:pt idx="67">
                  <c:v>-8.176483715781897</c:v>
                </c:pt>
                <c:pt idx="68">
                  <c:v>-8.3174776203230127</c:v>
                </c:pt>
                <c:pt idx="69">
                  <c:v>-8.4608122898127256</c:v>
                </c:pt>
                <c:pt idx="70">
                  <c:v>-8.6064981908694218</c:v>
                </c:pt>
                <c:pt idx="71">
                  <c:v>-8.7545452091802787</c:v>
                </c:pt>
                <c:pt idx="72">
                  <c:v>-8.9049626214246693</c:v>
                </c:pt>
                <c:pt idx="73">
                  <c:v>-9.0577590686669307</c:v>
                </c:pt>
                <c:pt idx="74">
                  <c:v>-9.2129425315174576</c:v>
                </c:pt>
                <c:pt idx="75">
                  <c:v>-9.3705203073885617</c:v>
                </c:pt>
                <c:pt idx="76">
                  <c:v>-9.5304989902014636</c:v>
                </c:pt>
                <c:pt idx="77">
                  <c:v>-9.6928844529335656</c:v>
                </c:pt>
                <c:pt idx="78">
                  <c:v>-9.8576818334307585</c:v>
                </c:pt>
                <c:pt idx="79">
                  <c:v>-10.024895523948681</c:v>
                </c:pt>
                <c:pt idx="80">
                  <c:v>-10.194529164929335</c:v>
                </c:pt>
                <c:pt idx="81">
                  <c:v>-10.366585643566252</c:v>
                </c:pt>
                <c:pt idx="82">
                  <c:v>-10.541067097762397</c:v>
                </c:pt>
                <c:pt idx="83">
                  <c:v>-10.717974926140808</c:v>
                </c:pt>
                <c:pt idx="84">
                  <c:v>-10.897309804829307</c:v>
                </c:pt>
                <c:pt idx="85">
                  <c:v>-11.079071711807549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F80-42E3-981D-1280475E6C48}"/>
            </c:ext>
          </c:extLst>
        </c:ser>
        <c:ser>
          <c:idx val="2"/>
          <c:order val="2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graph!$H$8:$H$93</c:f>
              <c:numCache>
                <c:formatCode>0.00</c:formatCode>
                <c:ptCount val="86"/>
                <c:pt idx="0">
                  <c:v>4.117618819251657</c:v>
                </c:pt>
                <c:pt idx="1">
                  <c:v>4.1016166560482965</c:v>
                </c:pt>
                <c:pt idx="2">
                  <c:v>4.08418246050178</c:v>
                </c:pt>
                <c:pt idx="3">
                  <c:v>4.0653024103635369</c:v>
                </c:pt>
                <c:pt idx="4">
                  <c:v>4.0449630048702909</c:v>
                </c:pt>
                <c:pt idx="5">
                  <c:v>4.0231510356300006</c:v>
                </c:pt>
                <c:pt idx="6">
                  <c:v>3.9998535581466497</c:v>
                </c:pt>
                <c:pt idx="7">
                  <c:v>3.9750578640055907</c:v>
                </c:pt>
                <c:pt idx="8">
                  <c:v>3.9487514537417074</c:v>
                </c:pt>
                <c:pt idx="9">
                  <c:v>3.920922010413193</c:v>
                </c:pt>
                <c:pt idx="10">
                  <c:v>3.8915573739041918</c:v>
                </c:pt>
                <c:pt idx="11">
                  <c:v>3.8606455159799582</c:v>
                </c:pt>
                <c:pt idx="12">
                  <c:v>3.8281745161185117</c:v>
                </c:pt>
                <c:pt idx="13">
                  <c:v>3.7941325381430633</c:v>
                </c:pt>
                <c:pt idx="14">
                  <c:v>3.7585078076796967</c:v>
                </c:pt>
                <c:pt idx="15">
                  <c:v>3.7212885904649551</c:v>
                </c:pt>
                <c:pt idx="16">
                  <c:v>3.6824631715280813</c:v>
                </c:pt>
                <c:pt idx="17">
                  <c:v>3.6420198352727118</c:v>
                </c:pt>
                <c:pt idx="18">
                  <c:v>3.5999468464827928</c:v>
                </c:pt>
                <c:pt idx="19">
                  <c:v>3.5562324322774246</c:v>
                </c:pt>
                <c:pt idx="20">
                  <c:v>3.5108647650391829</c:v>
                </c:pt>
                <c:pt idx="21">
                  <c:v>3.4638319463402842</c:v>
                </c:pt>
                <c:pt idx="22">
                  <c:v>3.4151219918906777</c:v>
                </c:pt>
                <c:pt idx="23">
                  <c:v>3.3647228175318236</c:v>
                </c:pt>
                <c:pt idx="24">
                  <c:v>3.3126222262995286</c:v>
                </c:pt>
                <c:pt idx="25">
                  <c:v>3.2588078965787282</c:v>
                </c:pt>
                <c:pt idx="26">
                  <c:v>3.2032673713725801</c:v>
                </c:pt>
                <c:pt idx="27">
                  <c:v>3.1459880487076299</c:v>
                </c:pt>
                <c:pt idx="28">
                  <c:v>3.0869571731961098</c:v>
                </c:pt>
                <c:pt idx="29">
                  <c:v>3.0261618287756993</c:v>
                </c:pt>
                <c:pt idx="30">
                  <c:v>2.9635889326462053</c:v>
                </c:pt>
                <c:pt idx="31">
                  <c:v>2.8992252304217212</c:v>
                </c:pt>
                <c:pt idx="32">
                  <c:v>2.8330572925157949</c:v>
                </c:pt>
                <c:pt idx="33">
                  <c:v>2.7650715117760445</c:v>
                </c:pt>
                <c:pt idx="34">
                  <c:v>2.6952541023834486</c:v>
                </c:pt>
                <c:pt idx="35">
                  <c:v>2.6235911000302545</c:v>
                </c:pt>
                <c:pt idx="36">
                  <c:v>2.5500683633890175</c:v>
                </c:pt>
                <c:pt idx="37">
                  <c:v>2.4746715768837904</c:v>
                </c:pt>
                <c:pt idx="38">
                  <c:v>2.3973862547728189</c:v>
                </c:pt>
                <c:pt idx="39">
                  <c:v>2.3181977465503634</c:v>
                </c:pt>
                <c:pt idx="40">
                  <c:v>2.2370912436733335</c:v>
                </c:pt>
                <c:pt idx="41">
                  <c:v>2.1540517876164174</c:v>
                </c:pt>
                <c:pt idx="42">
                  <c:v>2.0690642792571765</c:v>
                </c:pt>
                <c:pt idx="43">
                  <c:v>1.9821134895902224</c:v>
                </c:pt>
                <c:pt idx="44">
                  <c:v>1.8931840717670783</c:v>
                </c:pt>
                <c:pt idx="45">
                  <c:v>1.8022605744556082</c:v>
                </c:pt>
                <c:pt idx="46">
                  <c:v>1.7093274565099952</c:v>
                </c:pt>
                <c:pt idx="47">
                  <c:v>1.6143691029391176</c:v>
                </c:pt>
                <c:pt idx="48">
                  <c:v>1.5173698421578363</c:v>
                </c:pt>
                <c:pt idx="49">
                  <c:v>1.4183139645021035</c:v>
                </c:pt>
                <c:pt idx="50">
                  <c:v>1.3171857419849391</c:v>
                </c:pt>
                <c:pt idx="51">
                  <c:v>1.2139694492661839</c:v>
                </c:pt>
                <c:pt idx="52">
                  <c:v>1.1086493858044775</c:v>
                </c:pt>
                <c:pt idx="53">
                  <c:v>1.0012098991551088</c:v>
                </c:pt>
                <c:pt idx="54">
                  <c:v>0.89163540937227026</c:v>
                </c:pt>
                <c:pt idx="55">
                  <c:v>0.7799104344686576</c:v>
                </c:pt>
                <c:pt idx="56">
                  <c:v>0.6660196168794239</c:v>
                </c:pt>
                <c:pt idx="57">
                  <c:v>0.54994775087106751</c:v>
                </c:pt>
                <c:pt idx="58">
                  <c:v>0.43167981082887286</c:v>
                </c:pt>
                <c:pt idx="59">
                  <c:v>0.31120098034909693</c:v>
                </c:pt>
                <c:pt idx="60">
                  <c:v>0.18849668205398329</c:v>
                </c:pt>
                <c:pt idx="61">
                  <c:v>6.355260803900542E-2</c:v>
                </c:pt>
                <c:pt idx="62">
                  <c:v>-6.3645249147694205E-2</c:v>
                </c:pt>
                <c:pt idx="63">
                  <c:v>-0.19311056510387203</c:v>
                </c:pt>
                <c:pt idx="64">
                  <c:v>-0.32485665187098922</c:v>
                </c:pt>
                <c:pt idx="65">
                  <c:v>-0.45889642606441372</c:v>
                </c:pt>
                <c:pt idx="66">
                  <c:v>-0.59524237698211602</c:v>
                </c:pt>
                <c:pt idx="67">
                  <c:v>-0.73390653485198731</c:v>
                </c:pt>
                <c:pt idx="68">
                  <c:v>-0.87490043939310302</c:v>
                </c:pt>
                <c:pt idx="69">
                  <c:v>-1.0182351088828159</c:v>
                </c:pt>
                <c:pt idx="70">
                  <c:v>-1.1639210099395112</c:v>
                </c:pt>
                <c:pt idx="71">
                  <c:v>-1.311968028250369</c:v>
                </c:pt>
                <c:pt idx="72">
                  <c:v>-1.4623854404947587</c:v>
                </c:pt>
                <c:pt idx="73">
                  <c:v>-1.615181887737021</c:v>
                </c:pt>
                <c:pt idx="74">
                  <c:v>-1.7703653505875478</c:v>
                </c:pt>
                <c:pt idx="75">
                  <c:v>-1.9279431264586511</c:v>
                </c:pt>
                <c:pt idx="76">
                  <c:v>-2.0879218092715539</c:v>
                </c:pt>
                <c:pt idx="77">
                  <c:v>-2.250307272003655</c:v>
                </c:pt>
                <c:pt idx="78">
                  <c:v>-2.4151046525008488</c:v>
                </c:pt>
                <c:pt idx="79">
                  <c:v>-2.5823183430187711</c:v>
                </c:pt>
                <c:pt idx="80">
                  <c:v>-2.7519519839994246</c:v>
                </c:pt>
                <c:pt idx="81">
                  <c:v>-2.9240084626363418</c:v>
                </c:pt>
                <c:pt idx="82">
                  <c:v>-3.0984899168324875</c:v>
                </c:pt>
                <c:pt idx="83">
                  <c:v>-3.2753977452108978</c:v>
                </c:pt>
                <c:pt idx="84">
                  <c:v>-3.4547326238993974</c:v>
                </c:pt>
                <c:pt idx="85">
                  <c:v>-3.6364945308776382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F80-42E3-981D-1280475E6C48}"/>
            </c:ext>
          </c:extLst>
        </c:ser>
        <c:ser>
          <c:idx val="4"/>
          <c:order val="3"/>
          <c:spPr>
            <a:ln w="508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graphdep!$B$8:$B$93</c:f>
              <c:numCache>
                <c:formatCode>General</c:formatCode>
                <c:ptCount val="86"/>
                <c:pt idx="0">
                  <c:v>0.4900173556119311</c:v>
                </c:pt>
                <c:pt idx="1">
                  <c:v>0.46715397980379508</c:v>
                </c:pt>
                <c:pt idx="2">
                  <c:v>0.44293925425359393</c:v>
                </c:pt>
                <c:pt idx="3">
                  <c:v>0.41736110583201341</c:v>
                </c:pt>
                <c:pt idx="4">
                  <c:v>0.39040775189936189</c:v>
                </c:pt>
                <c:pt idx="5">
                  <c:v>0.36206767312124705</c:v>
                </c:pt>
                <c:pt idx="6">
                  <c:v>0.33232958693106074</c:v>
                </c:pt>
                <c:pt idx="7">
                  <c:v>0.3011824216634163</c:v>
                </c:pt>
                <c:pt idx="8">
                  <c:v>0.26861529138301915</c:v>
                </c:pt>
                <c:pt idx="9">
                  <c:v>0.23461747143371911</c:v>
                </c:pt>
                <c:pt idx="10">
                  <c:v>0.19917837473268304</c:v>
                </c:pt>
                <c:pt idx="11">
                  <c:v>0.1622875288347517</c:v>
                </c:pt>
                <c:pt idx="12">
                  <c:v>0.12393455379209047</c:v>
                </c:pt>
                <c:pt idx="13">
                  <c:v>8.4109140834214433E-2</c:v>
                </c:pt>
                <c:pt idx="14">
                  <c:v>4.2801031893362075E-2</c:v>
                </c:pt>
                <c:pt idx="15">
                  <c:v>0</c:v>
                </c:pt>
                <c:pt idx="16">
                  <c:v>-4.4304169427035231E-2</c:v>
                </c:pt>
                <c:pt idx="17">
                  <c:v>-9.0121696371611854E-2</c:v>
                </c:pt>
                <c:pt idx="18">
                  <c:v>-0.13746282306891641</c:v>
                </c:pt>
                <c:pt idx="19">
                  <c:v>-0.18633782988847658</c:v>
                </c:pt>
                <c:pt idx="20">
                  <c:v>-0.2367570502291319</c:v>
                </c:pt>
                <c:pt idx="21">
                  <c:v>-0.28873088440426142</c:v>
                </c:pt>
                <c:pt idx="22">
                  <c:v>-0.34226981249646971</c:v>
                </c:pt>
                <c:pt idx="23">
                  <c:v>-0.39738440616194565</c:v>
                </c:pt>
                <c:pt idx="24">
                  <c:v>-0.45408533936586382</c:v>
                </c:pt>
                <c:pt idx="25">
                  <c:v>-0.51238339803148392</c:v>
                </c:pt>
                <c:pt idx="26">
                  <c:v>-0.57228948858706108</c:v>
                </c:pt>
                <c:pt idx="27">
                  <c:v>-0.63381464539628629</c:v>
                </c:pt>
                <c:pt idx="28">
                  <c:v>-0.69697003705977156</c:v>
                </c:pt>
                <c:pt idx="29">
                  <c:v>-0.76176697157708451</c:v>
                </c:pt>
                <c:pt idx="30">
                  <c:v>-0.82821690036102691</c:v>
                </c:pt>
                <c:pt idx="31">
                  <c:v>-0.89633142109827979</c:v>
                </c:pt>
                <c:pt idx="32">
                  <c:v>-0.96612227945320517</c:v>
                </c:pt>
                <c:pt idx="33">
                  <c:v>-1.0376013696145323</c:v>
                </c:pt>
                <c:pt idx="34">
                  <c:v>-1.110780733687887</c:v>
                </c:pt>
                <c:pt idx="35">
                  <c:v>-1.1856725599406694</c:v>
                </c:pt>
                <c:pt idx="36">
                  <c:v>-1.2622891799096807</c:v>
                </c:pt>
                <c:pt idx="37">
                  <c:v>-1.3406430643861713</c:v>
                </c:pt>
                <c:pt idx="38">
                  <c:v>-1.4207468182976748</c:v>
                </c:pt>
                <c:pt idx="39">
                  <c:v>-1.5026131745111284</c:v>
                </c:pt>
                <c:pt idx="40">
                  <c:v>-1.5862549865874196</c:v>
                </c:pt>
                <c:pt idx="41">
                  <c:v>-1.6716852205236843</c:v>
                </c:pt>
                <c:pt idx="42">
                  <c:v>-1.7589169455264444</c:v>
                </c:pt>
                <c:pt idx="43">
                  <c:v>-1.8479633238661186</c:v>
                </c:pt>
                <c:pt idx="44">
                  <c:v>-1.9388375998715792</c:v>
                </c:pt>
                <c:pt idx="45">
                  <c:v>-2.0315530881323567</c:v>
                </c:pt>
                <c:pt idx="46">
                  <c:v>-2.1261231609859044</c:v>
                </c:pt>
                <c:pt idx="47">
                  <c:v>-2.2225612353780742</c:v>
                </c:pt>
                <c:pt idx="48">
                  <c:v>-2.3208807591967577</c:v>
                </c:pt>
                <c:pt idx="49">
                  <c:v>-2.4210951971915819</c:v>
                </c:pt>
                <c:pt idx="50">
                  <c:v>-2.5232180166067577</c:v>
                </c:pt>
                <c:pt idx="51">
                  <c:v>-2.6272626726697839</c:v>
                </c:pt>
                <c:pt idx="52">
                  <c:v>-2.7332425940958323</c:v>
                </c:pt>
                <c:pt idx="53">
                  <c:v>-2.8411711687864556</c:v>
                </c:pt>
                <c:pt idx="54">
                  <c:v>-2.9510617299219257</c:v>
                </c:pt>
                <c:pt idx="55">
                  <c:v>-3.0629275426692457</c:v>
                </c:pt>
                <c:pt idx="56">
                  <c:v>-3.1767817917528198</c:v>
                </c:pt>
                <c:pt idx="57">
                  <c:v>-3.292637570162249</c:v>
                </c:pt>
                <c:pt idx="58">
                  <c:v>-3.4105078693018722</c:v>
                </c:pt>
                <c:pt idx="59">
                  <c:v>-3.5304055709199331</c:v>
                </c:pt>
                <c:pt idx="60">
                  <c:v>-3.6523434411917104</c:v>
                </c:pt>
                <c:pt idx="61">
                  <c:v>-3.7763341273712334</c:v>
                </c:pt>
                <c:pt idx="62">
                  <c:v>-3.9023901574703759</c:v>
                </c:pt>
                <c:pt idx="63">
                  <c:v>-4.0305239434728781</c:v>
                </c:pt>
                <c:pt idx="64">
                  <c:v>-4.1607477886444526</c:v>
                </c:pt>
                <c:pt idx="65">
                  <c:v>-4.2930738995591886</c:v>
                </c:pt>
                <c:pt idx="66">
                  <c:v>-4.4275144035275344</c:v>
                </c:pt>
                <c:pt idx="67">
                  <c:v>-4.564081372182784</c:v>
                </c:pt>
                <c:pt idx="68">
                  <c:v>-4.7027868520619487</c:v>
                </c:pt>
                <c:pt idx="69">
                  <c:v>-4.8436429031039365</c:v>
                </c:pt>
                <c:pt idx="70">
                  <c:v>-4.986661646083804</c:v>
                </c:pt>
                <c:pt idx="71">
                  <c:v>-5.1318553201076256</c:v>
                </c:pt>
                <c:pt idx="72">
                  <c:v>-5.2792363514089962</c:v>
                </c:pt>
                <c:pt idx="73">
                  <c:v>-5.4288174348167217</c:v>
                </c:pt>
                <c:pt idx="74">
                  <c:v>-5.580611629404971</c:v>
                </c:pt>
                <c:pt idx="75">
                  <c:v>-5.7346324699933406</c:v>
                </c:pt>
                <c:pt idx="76">
                  <c:v>-5.8908940963368108</c:v>
                </c:pt>
                <c:pt idx="77">
                  <c:v>-6.0494114020355481</c:v>
                </c:pt>
                <c:pt idx="78">
                  <c:v>-6.210200205404397</c:v>
                </c:pt>
                <c:pt idx="79">
                  <c:v>-6.3732774447733131</c:v>
                </c:pt>
                <c:pt idx="80">
                  <c:v>-6.5386614009453314</c:v>
                </c:pt>
                <c:pt idx="81">
                  <c:v>-6.7063719498205607</c:v>
                </c:pt>
                <c:pt idx="82">
                  <c:v>-6.8764308485056382</c:v>
                </c:pt>
                <c:pt idx="83">
                  <c:v>-7.0488620585714283</c:v>
                </c:pt>
                <c:pt idx="84">
                  <c:v>-7.2236921105005614</c:v>
                </c:pt>
                <c:pt idx="85">
                  <c:v>-7.4009505137847427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F80-42E3-981D-1280475E6C48}"/>
            </c:ext>
          </c:extLst>
        </c:ser>
        <c:ser>
          <c:idx val="5"/>
          <c:order val="4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graphdep!$G$8:$G$93</c:f>
              <c:numCache>
                <c:formatCode>0.00</c:formatCode>
                <c:ptCount val="86"/>
                <c:pt idx="0">
                  <c:v>-4.3747407922252721</c:v>
                </c:pt>
                <c:pt idx="1">
                  <c:v>-4.3976041680334079</c:v>
                </c:pt>
                <c:pt idx="2">
                  <c:v>-4.4218188935836089</c:v>
                </c:pt>
                <c:pt idx="3">
                  <c:v>-4.44739704200519</c:v>
                </c:pt>
                <c:pt idx="4">
                  <c:v>-4.474350395937841</c:v>
                </c:pt>
                <c:pt idx="5">
                  <c:v>-4.5026904747159557</c:v>
                </c:pt>
                <c:pt idx="6">
                  <c:v>-4.5324285609061423</c:v>
                </c:pt>
                <c:pt idx="7">
                  <c:v>-4.563575726173787</c:v>
                </c:pt>
                <c:pt idx="8">
                  <c:v>-4.5961428564541835</c:v>
                </c:pt>
                <c:pt idx="9">
                  <c:v>-4.6301406764034843</c:v>
                </c:pt>
                <c:pt idx="10">
                  <c:v>-4.6655797731045201</c:v>
                </c:pt>
                <c:pt idx="11">
                  <c:v>-4.702470619002451</c:v>
                </c:pt>
                <c:pt idx="12">
                  <c:v>-4.7408235940451124</c:v>
                </c:pt>
                <c:pt idx="13">
                  <c:v>-4.7806490070029888</c:v>
                </c:pt>
                <c:pt idx="14">
                  <c:v>-4.8219571159438406</c:v>
                </c:pt>
                <c:pt idx="15">
                  <c:v>-4.8647581478372031</c:v>
                </c:pt>
                <c:pt idx="16">
                  <c:v>-4.9090623172642385</c:v>
                </c:pt>
                <c:pt idx="17">
                  <c:v>-4.9548798442088149</c:v>
                </c:pt>
                <c:pt idx="18">
                  <c:v>-5.0022209709061194</c:v>
                </c:pt>
                <c:pt idx="19">
                  <c:v>-5.0510959777256801</c:v>
                </c:pt>
                <c:pt idx="20">
                  <c:v>-5.1015151980663349</c:v>
                </c:pt>
                <c:pt idx="21">
                  <c:v>-5.1534890322414642</c:v>
                </c:pt>
                <c:pt idx="22">
                  <c:v>-5.2070279603336731</c:v>
                </c:pt>
                <c:pt idx="23">
                  <c:v>-5.2621425539991487</c:v>
                </c:pt>
                <c:pt idx="24">
                  <c:v>-5.3188434872030665</c:v>
                </c:pt>
                <c:pt idx="25">
                  <c:v>-5.3771415458686871</c:v>
                </c:pt>
                <c:pt idx="26">
                  <c:v>-5.4370476364242641</c:v>
                </c:pt>
                <c:pt idx="27">
                  <c:v>-5.4985727932334889</c:v>
                </c:pt>
                <c:pt idx="28">
                  <c:v>-5.5617281848969746</c:v>
                </c:pt>
                <c:pt idx="29">
                  <c:v>-5.6265251194142873</c:v>
                </c:pt>
                <c:pt idx="30">
                  <c:v>-5.69297504819823</c:v>
                </c:pt>
                <c:pt idx="31">
                  <c:v>-5.7610895689354829</c:v>
                </c:pt>
                <c:pt idx="32">
                  <c:v>-5.830880427290408</c:v>
                </c:pt>
                <c:pt idx="33">
                  <c:v>-5.9023595174517354</c:v>
                </c:pt>
                <c:pt idx="34">
                  <c:v>-5.9755388815250896</c:v>
                </c:pt>
                <c:pt idx="35">
                  <c:v>-6.0504307077778723</c:v>
                </c:pt>
                <c:pt idx="36">
                  <c:v>-6.127047327746884</c:v>
                </c:pt>
                <c:pt idx="37">
                  <c:v>-6.2054012122233742</c:v>
                </c:pt>
                <c:pt idx="38">
                  <c:v>-6.2855049661348783</c:v>
                </c:pt>
                <c:pt idx="39">
                  <c:v>-6.3673713223483315</c:v>
                </c:pt>
                <c:pt idx="40">
                  <c:v>-6.4510131344246222</c:v>
                </c:pt>
                <c:pt idx="41">
                  <c:v>-6.5364433683608869</c:v>
                </c:pt>
                <c:pt idx="42">
                  <c:v>-6.6236750933636479</c:v>
                </c:pt>
                <c:pt idx="43">
                  <c:v>-6.7127214717033219</c:v>
                </c:pt>
                <c:pt idx="44">
                  <c:v>-6.8035957477087825</c:v>
                </c:pt>
                <c:pt idx="45">
                  <c:v>-6.8963112359695593</c:v>
                </c:pt>
                <c:pt idx="46">
                  <c:v>-6.9908813088231074</c:v>
                </c:pt>
                <c:pt idx="47">
                  <c:v>-7.0873193832152772</c:v>
                </c:pt>
                <c:pt idx="48">
                  <c:v>-7.1856389070339608</c:v>
                </c:pt>
                <c:pt idx="49">
                  <c:v>-7.2858533450287855</c:v>
                </c:pt>
                <c:pt idx="50">
                  <c:v>-7.3879761644439608</c:v>
                </c:pt>
                <c:pt idx="51">
                  <c:v>-7.4920208205069869</c:v>
                </c:pt>
                <c:pt idx="52">
                  <c:v>-7.5980007419330349</c:v>
                </c:pt>
                <c:pt idx="53">
                  <c:v>-7.7059293166236582</c:v>
                </c:pt>
                <c:pt idx="54">
                  <c:v>-7.8158198777591288</c:v>
                </c:pt>
                <c:pt idx="55">
                  <c:v>-7.9276856905064488</c:v>
                </c:pt>
                <c:pt idx="56">
                  <c:v>-8.0415399395900238</c:v>
                </c:pt>
                <c:pt idx="57">
                  <c:v>-8.157395717999453</c:v>
                </c:pt>
                <c:pt idx="58">
                  <c:v>-8.2752660171390744</c:v>
                </c:pt>
                <c:pt idx="59">
                  <c:v>-8.3951637187571357</c:v>
                </c:pt>
                <c:pt idx="60">
                  <c:v>-8.517101589028913</c:v>
                </c:pt>
                <c:pt idx="61">
                  <c:v>-8.641092275208436</c:v>
                </c:pt>
                <c:pt idx="62">
                  <c:v>-8.7671483053075789</c:v>
                </c:pt>
                <c:pt idx="63">
                  <c:v>-8.8952820913100812</c:v>
                </c:pt>
                <c:pt idx="64">
                  <c:v>-9.0255059364816557</c:v>
                </c:pt>
                <c:pt idx="65">
                  <c:v>-9.1578320473963917</c:v>
                </c:pt>
                <c:pt idx="66">
                  <c:v>-9.2922725513647375</c:v>
                </c:pt>
                <c:pt idx="67">
                  <c:v>-9.4288395200199879</c:v>
                </c:pt>
                <c:pt idx="68">
                  <c:v>-9.5675449998991517</c:v>
                </c:pt>
                <c:pt idx="69">
                  <c:v>-9.7084010509411396</c:v>
                </c:pt>
                <c:pt idx="70">
                  <c:v>-9.8514197939210071</c:v>
                </c:pt>
                <c:pt idx="71">
                  <c:v>-9.9966134679448295</c:v>
                </c:pt>
                <c:pt idx="72">
                  <c:v>-10.143994499246199</c:v>
                </c:pt>
                <c:pt idx="73">
                  <c:v>-10.293575582653926</c:v>
                </c:pt>
                <c:pt idx="74">
                  <c:v>-10.445369777242174</c:v>
                </c:pt>
                <c:pt idx="75">
                  <c:v>-10.599390617830544</c:v>
                </c:pt>
                <c:pt idx="76">
                  <c:v>-10.755652244174014</c:v>
                </c:pt>
                <c:pt idx="77">
                  <c:v>-10.914169549872751</c:v>
                </c:pt>
                <c:pt idx="78">
                  <c:v>-11.0749583532416</c:v>
                </c:pt>
                <c:pt idx="79">
                  <c:v>-11.238035592610515</c:v>
                </c:pt>
                <c:pt idx="80">
                  <c:v>-11.403419548782534</c:v>
                </c:pt>
                <c:pt idx="81">
                  <c:v>-11.571130097657765</c:v>
                </c:pt>
                <c:pt idx="82">
                  <c:v>-11.741188996342842</c:v>
                </c:pt>
                <c:pt idx="83">
                  <c:v>-11.913620206408631</c:v>
                </c:pt>
                <c:pt idx="84">
                  <c:v>-12.088450258337765</c:v>
                </c:pt>
                <c:pt idx="85">
                  <c:v>-12.265708661621947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F80-42E3-981D-1280475E6C48}"/>
            </c:ext>
          </c:extLst>
        </c:ser>
        <c:ser>
          <c:idx val="16"/>
          <c:order val="5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graphdep!$H$8:$H$93</c:f>
              <c:numCache>
                <c:formatCode>0.00</c:formatCode>
                <c:ptCount val="86"/>
                <c:pt idx="0">
                  <c:v>5.354775503449134</c:v>
                </c:pt>
                <c:pt idx="1">
                  <c:v>5.3319121276409982</c:v>
                </c:pt>
                <c:pt idx="2">
                  <c:v>5.3076974020907972</c:v>
                </c:pt>
                <c:pt idx="3">
                  <c:v>5.2821192536692161</c:v>
                </c:pt>
                <c:pt idx="4">
                  <c:v>5.2551658997365651</c:v>
                </c:pt>
                <c:pt idx="5">
                  <c:v>5.2268258209584504</c:v>
                </c:pt>
                <c:pt idx="6">
                  <c:v>5.1970877347682638</c:v>
                </c:pt>
                <c:pt idx="7">
                  <c:v>5.1659405695006191</c:v>
                </c:pt>
                <c:pt idx="8">
                  <c:v>5.1333734392202226</c:v>
                </c:pt>
                <c:pt idx="9">
                  <c:v>5.0993756192709219</c:v>
                </c:pt>
                <c:pt idx="10">
                  <c:v>5.063936522569886</c:v>
                </c:pt>
                <c:pt idx="11">
                  <c:v>5.0270456766719551</c:v>
                </c:pt>
                <c:pt idx="12">
                  <c:v>4.9886927016292937</c:v>
                </c:pt>
                <c:pt idx="13">
                  <c:v>4.9488672886714173</c:v>
                </c:pt>
                <c:pt idx="14">
                  <c:v>4.9075591797305655</c:v>
                </c:pt>
                <c:pt idx="15">
                  <c:v>4.8647581478372031</c:v>
                </c:pt>
                <c:pt idx="16">
                  <c:v>4.8204539784101677</c:v>
                </c:pt>
                <c:pt idx="17">
                  <c:v>4.7746364514655912</c:v>
                </c:pt>
                <c:pt idx="18">
                  <c:v>4.7272953247682867</c:v>
                </c:pt>
                <c:pt idx="19">
                  <c:v>4.678420317948726</c:v>
                </c:pt>
                <c:pt idx="20">
                  <c:v>4.6280010976080712</c:v>
                </c:pt>
                <c:pt idx="21">
                  <c:v>4.576027263432942</c:v>
                </c:pt>
                <c:pt idx="22">
                  <c:v>4.522488335340733</c:v>
                </c:pt>
                <c:pt idx="23">
                  <c:v>4.4673737416752575</c:v>
                </c:pt>
                <c:pt idx="24">
                  <c:v>4.4106728084713396</c:v>
                </c:pt>
                <c:pt idx="25">
                  <c:v>4.352374749805719</c:v>
                </c:pt>
                <c:pt idx="26">
                  <c:v>4.292468659250142</c:v>
                </c:pt>
                <c:pt idx="27">
                  <c:v>4.2309435024409172</c:v>
                </c:pt>
                <c:pt idx="28">
                  <c:v>4.1677881107774315</c:v>
                </c:pt>
                <c:pt idx="29">
                  <c:v>4.1029911762601188</c:v>
                </c:pt>
                <c:pt idx="30">
                  <c:v>4.0365412474761762</c:v>
                </c:pt>
                <c:pt idx="31">
                  <c:v>3.9684267267389233</c:v>
                </c:pt>
                <c:pt idx="32">
                  <c:v>3.8986358683839981</c:v>
                </c:pt>
                <c:pt idx="33">
                  <c:v>3.8271567782226708</c:v>
                </c:pt>
                <c:pt idx="34">
                  <c:v>3.7539774141493161</c:v>
                </c:pt>
                <c:pt idx="35">
                  <c:v>3.6790855878965338</c:v>
                </c:pt>
                <c:pt idx="36">
                  <c:v>3.6024689679275221</c:v>
                </c:pt>
                <c:pt idx="37">
                  <c:v>3.524115083451032</c:v>
                </c:pt>
                <c:pt idx="38">
                  <c:v>3.4440113295395283</c:v>
                </c:pt>
                <c:pt idx="39">
                  <c:v>3.3621449733260746</c:v>
                </c:pt>
                <c:pt idx="40">
                  <c:v>3.2785031612497835</c:v>
                </c:pt>
                <c:pt idx="41">
                  <c:v>3.1930729273135188</c:v>
                </c:pt>
                <c:pt idx="42">
                  <c:v>3.1058412023107587</c:v>
                </c:pt>
                <c:pt idx="43">
                  <c:v>3.0167948239710842</c:v>
                </c:pt>
                <c:pt idx="44">
                  <c:v>2.9259205479656236</c:v>
                </c:pt>
                <c:pt idx="45">
                  <c:v>2.8332050597048464</c:v>
                </c:pt>
                <c:pt idx="46">
                  <c:v>2.7386349868512987</c:v>
                </c:pt>
                <c:pt idx="47">
                  <c:v>2.6421969124591289</c:v>
                </c:pt>
                <c:pt idx="48">
                  <c:v>2.5438773886404453</c:v>
                </c:pt>
                <c:pt idx="49">
                  <c:v>2.4436629506456211</c:v>
                </c:pt>
                <c:pt idx="50">
                  <c:v>2.3415401312304454</c:v>
                </c:pt>
                <c:pt idx="51">
                  <c:v>2.2374954751674192</c:v>
                </c:pt>
                <c:pt idx="52">
                  <c:v>2.1315155537413708</c:v>
                </c:pt>
                <c:pt idx="53">
                  <c:v>2.0235869790507475</c:v>
                </c:pt>
                <c:pt idx="54">
                  <c:v>1.9136964179152773</c:v>
                </c:pt>
                <c:pt idx="55">
                  <c:v>1.8018306051679573</c:v>
                </c:pt>
                <c:pt idx="56">
                  <c:v>1.6879763560843832</c:v>
                </c:pt>
                <c:pt idx="57">
                  <c:v>1.5721205776749541</c:v>
                </c:pt>
                <c:pt idx="58">
                  <c:v>1.4542502785353308</c:v>
                </c:pt>
                <c:pt idx="59">
                  <c:v>1.3343525769172699</c:v>
                </c:pt>
                <c:pt idx="60">
                  <c:v>1.2124147066454927</c:v>
                </c:pt>
                <c:pt idx="61">
                  <c:v>1.0884240204659696</c:v>
                </c:pt>
                <c:pt idx="62">
                  <c:v>0.96236799036682719</c:v>
                </c:pt>
                <c:pt idx="63">
                  <c:v>0.83423420436432494</c:v>
                </c:pt>
                <c:pt idx="64">
                  <c:v>0.70401035919275046</c:v>
                </c:pt>
                <c:pt idx="65">
                  <c:v>0.57168424827801445</c:v>
                </c:pt>
                <c:pt idx="66">
                  <c:v>0.43724374430966861</c:v>
                </c:pt>
                <c:pt idx="67">
                  <c:v>0.30067677565441908</c:v>
                </c:pt>
                <c:pt idx="68">
                  <c:v>0.16197129577525438</c:v>
                </c:pt>
                <c:pt idx="69">
                  <c:v>2.1115244733266536E-2</c:v>
                </c:pt>
                <c:pt idx="70">
                  <c:v>-0.12190349824660096</c:v>
                </c:pt>
                <c:pt idx="71">
                  <c:v>-0.26709717227042251</c:v>
                </c:pt>
                <c:pt idx="72">
                  <c:v>-0.4144782035717931</c:v>
                </c:pt>
                <c:pt idx="73">
                  <c:v>-0.56405928697951868</c:v>
                </c:pt>
                <c:pt idx="74">
                  <c:v>-0.71585348156776796</c:v>
                </c:pt>
                <c:pt idx="75">
                  <c:v>-0.86987432215613758</c:v>
                </c:pt>
                <c:pt idx="76">
                  <c:v>-1.0261359484996078</c:v>
                </c:pt>
                <c:pt idx="77">
                  <c:v>-1.184653254198345</c:v>
                </c:pt>
                <c:pt idx="78">
                  <c:v>-1.3454420575671939</c:v>
                </c:pt>
                <c:pt idx="79">
                  <c:v>-1.5085192969361101</c:v>
                </c:pt>
                <c:pt idx="80">
                  <c:v>-1.6739032531081284</c:v>
                </c:pt>
                <c:pt idx="81">
                  <c:v>-1.8416138019833577</c:v>
                </c:pt>
                <c:pt idx="82">
                  <c:v>-2.0116727006684352</c:v>
                </c:pt>
                <c:pt idx="83">
                  <c:v>-2.1841039107342253</c:v>
                </c:pt>
                <c:pt idx="84">
                  <c:v>-2.3589339626633583</c:v>
                </c:pt>
                <c:pt idx="85">
                  <c:v>-2.5361923659475396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F80-42E3-981D-1280475E6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847648"/>
        <c:axId val="335847256"/>
      </c:lineChart>
      <c:catAx>
        <c:axId val="3358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Global</a:t>
                </a:r>
                <a:r>
                  <a:rPr lang="en-US" b="0" baseline="0"/>
                  <a:t> warming (in d</a:t>
                </a:r>
                <a:r>
                  <a:rPr lang="en-US" b="0"/>
                  <a:t>egrees centrigrade)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335847256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335847256"/>
        <c:scaling>
          <c:orientation val="minMax"/>
          <c:max val="6"/>
          <c:min val="-1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Welfare-equivalent</a:t>
                </a:r>
                <a:r>
                  <a:rPr lang="en-US" b="0" baseline="0"/>
                  <a:t> income change (in percent)</a:t>
                </a:r>
                <a:endParaRPr lang="en-US" b="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335847648"/>
        <c:crossesAt val="16"/>
        <c:crossBetween val="between"/>
        <c:majorUnit val="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823114323824276E-2"/>
          <c:y val="4.1593417454617337E-2"/>
          <c:w val="0.93272378073331486"/>
          <c:h val="0.93870556452409981"/>
        </c:manualLayout>
      </c:layout>
      <c:lineChart>
        <c:grouping val="standard"/>
        <c:varyColors val="0"/>
        <c:ser>
          <c:idx val="24"/>
          <c:order val="0"/>
          <c:spPr>
            <a:ln w="508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20B-4790-9A26-9CCCEB989D58}"/>
            </c:ext>
          </c:extLst>
        </c:ser>
        <c:ser>
          <c:idx val="25"/>
          <c:order val="1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graph!$F$8:$F$93</c:f>
              <c:numCache>
                <c:formatCode>General</c:formatCode>
                <c:ptCount val="86"/>
                <c:pt idx="0">
                  <c:v>4.6893065417123916</c:v>
                </c:pt>
                <c:pt idx="1">
                  <c:v>4.3871059576473188</c:v>
                </c:pt>
                <c:pt idx="2">
                  <c:v>4.0834733412390891</c:v>
                </c:pt>
                <c:pt idx="3">
                  <c:v>3.7783948702391332</c:v>
                </c:pt>
                <c:pt idx="4">
                  <c:v>3.4718570438841745</c:v>
                </c:pt>
                <c:pt idx="5">
                  <c:v>3.163846653782171</c:v>
                </c:pt>
                <c:pt idx="6">
                  <c:v>2.8543507554371073</c:v>
                </c:pt>
                <c:pt idx="7">
                  <c:v>2.5433566404343355</c:v>
                </c:pt>
                <c:pt idx="8">
                  <c:v>2.2308518093087395</c:v>
                </c:pt>
                <c:pt idx="9">
                  <c:v>1.9168239451185125</c:v>
                </c:pt>
                <c:pt idx="10">
                  <c:v>1.6012608877477987</c:v>
                </c:pt>
                <c:pt idx="11">
                  <c:v>1.2841506089618526</c:v>
                </c:pt>
                <c:pt idx="12">
                  <c:v>0.96548118823869311</c:v>
                </c:pt>
                <c:pt idx="13">
                  <c:v>0.64524078940153184</c:v>
                </c:pt>
                <c:pt idx="14">
                  <c:v>0.32341763807645257</c:v>
                </c:pt>
                <c:pt idx="15">
                  <c:v>0</c:v>
                </c:pt>
                <c:pt idx="16">
                  <c:v>-0.32502383979858662</c:v>
                </c:pt>
                <c:pt idx="17">
                  <c:v>-0.65166559691566905</c:v>
                </c:pt>
                <c:pt idx="18">
                  <c:v>-0.97993700656730076</c:v>
                </c:pt>
                <c:pt idx="19">
                  <c:v>-1.3098498416343818</c:v>
                </c:pt>
                <c:pt idx="20">
                  <c:v>-1.641415929734336</c:v>
                </c:pt>
                <c:pt idx="21">
                  <c:v>-1.9746471692949472</c:v>
                </c:pt>
                <c:pt idx="22">
                  <c:v>-2.3095555446062668</c:v>
                </c:pt>
                <c:pt idx="23">
                  <c:v>-2.6461531398268336</c:v>
                </c:pt>
                <c:pt idx="24">
                  <c:v>-2.9844521519208409</c:v>
                </c:pt>
                <c:pt idx="25">
                  <c:v>-3.3244649025033541</c:v>
                </c:pt>
                <c:pt idx="26">
                  <c:v>-3.6662038485712145</c:v>
                </c:pt>
                <c:pt idx="27">
                  <c:v>-4.0096815920978788</c:v>
                </c:pt>
                <c:pt idx="28">
                  <c:v>-4.3549108884711112</c:v>
                </c:pt>
                <c:pt idx="29">
                  <c:v>-4.7019046537532345</c:v>
                </c:pt>
                <c:pt idx="30">
                  <c:v>-5.0506759707444413</c:v>
                </c:pt>
                <c:pt idx="31">
                  <c:v>-5.4012380938306386</c:v>
                </c:pt>
                <c:pt idx="32">
                  <c:v>-5.7536044525982781</c:v>
                </c:pt>
                <c:pt idx="33">
                  <c:v>-6.1077886541997426</c:v>
                </c:pt>
                <c:pt idx="34">
                  <c:v>-6.4638044844540499</c:v>
                </c:pt>
                <c:pt idx="35">
                  <c:v>-6.8216659076689563</c:v>
                </c:pt>
                <c:pt idx="36">
                  <c:v>-7.1813870651719069</c:v>
                </c:pt>
                <c:pt idx="37">
                  <c:v>-7.5429822725388478</c:v>
                </c:pt>
                <c:pt idx="38">
                  <c:v>-7.9064660155115316</c:v>
                </c:pt>
                <c:pt idx="39">
                  <c:v>-8.2718529445957003</c:v>
                </c:pt>
                <c:pt idx="40">
                  <c:v>-8.6391578683344434</c:v>
                </c:pt>
                <c:pt idx="41">
                  <c:v>-9.0083957452530719</c:v>
                </c:pt>
                <c:pt idx="42">
                  <c:v>-9.3795816744740268</c:v>
                </c:pt>
                <c:pt idx="43">
                  <c:v>-9.752730885002693</c:v>
                </c:pt>
                <c:pt idx="44">
                  <c:v>-10.127858723687551</c:v>
                </c:pt>
                <c:pt idx="45">
                  <c:v>-10.504980641860735</c:v>
                </c:pt>
                <c:pt idx="46">
                  <c:v>-10.88411218066806</c:v>
                </c:pt>
                <c:pt idx="47">
                  <c:v>-11.26526895510065</c:v>
                </c:pt>
                <c:pt idx="48">
                  <c:v>-11.648466636743645</c:v>
                </c:pt>
                <c:pt idx="49">
                  <c:v>-12.033720935261091</c:v>
                </c:pt>
                <c:pt idx="50">
                  <c:v>-12.421047578639968</c:v>
                </c:pt>
                <c:pt idx="51">
                  <c:v>-12.810462292220436</c:v>
                </c:pt>
                <c:pt idx="52">
                  <c:v>-13.201980776543856</c:v>
                </c:pt>
                <c:pt idx="53">
                  <c:v>-13.595618684054937</c:v>
                </c:pt>
                <c:pt idx="54">
                  <c:v>-13.991391594699488</c:v>
                </c:pt>
                <c:pt idx="55">
                  <c:v>-14.389314990464813</c:v>
                </c:pt>
                <c:pt idx="56">
                  <c:v>-14.78940422891576</c:v>
                </c:pt>
                <c:pt idx="57">
                  <c:v>-15.191674515785827</c:v>
                </c:pt>
                <c:pt idx="58">
                  <c:v>-15.596140876689734</c:v>
                </c:pt>
                <c:pt idx="59">
                  <c:v>-16.002818128031222</c:v>
                </c:pt>
                <c:pt idx="60">
                  <c:v>-16.411720847188047</c:v>
                </c:pt>
                <c:pt idx="61">
                  <c:v>-16.822863342064736</c:v>
                </c:pt>
                <c:pt idx="62">
                  <c:v>-17.236259620113149</c:v>
                </c:pt>
                <c:pt idx="63">
                  <c:v>-17.651923356931036</c:v>
                </c:pt>
                <c:pt idx="64">
                  <c:v>-18.069867864559868</c:v>
                </c:pt>
                <c:pt idx="65">
                  <c:v>-18.490106059615002</c:v>
                </c:pt>
                <c:pt idx="66">
                  <c:v>-18.912650431394415</c:v>
                </c:pt>
                <c:pt idx="67">
                  <c:v>-19.337513010125999</c:v>
                </c:pt>
                <c:pt idx="68">
                  <c:v>-19.764705335528827</c:v>
                </c:pt>
                <c:pt idx="69">
                  <c:v>-20.194238425880251</c:v>
                </c:pt>
                <c:pt idx="70">
                  <c:v>-20.626122747798657</c:v>
                </c:pt>
                <c:pt idx="71">
                  <c:v>-21.060368186971228</c:v>
                </c:pt>
                <c:pt idx="72">
                  <c:v>-21.496984020077331</c:v>
                </c:pt>
                <c:pt idx="73">
                  <c:v>-21.935978888181303</c:v>
                </c:pt>
                <c:pt idx="74">
                  <c:v>-22.377360771893542</c:v>
                </c:pt>
                <c:pt idx="75">
                  <c:v>-22.821136968626355</c:v>
                </c:pt>
                <c:pt idx="76">
                  <c:v>-23.267314072300969</c:v>
                </c:pt>
                <c:pt idx="77">
                  <c:v>-23.715897955894786</c:v>
                </c:pt>
                <c:pt idx="78">
                  <c:v>-24.166893757253689</c:v>
                </c:pt>
                <c:pt idx="79">
                  <c:v>-24.620305868633324</c:v>
                </c:pt>
                <c:pt idx="80">
                  <c:v>-25.076137930475689</c:v>
                </c:pt>
                <c:pt idx="81">
                  <c:v>-25.534392829974315</c:v>
                </c:pt>
                <c:pt idx="82">
                  <c:v>-25.995072705032175</c:v>
                </c:pt>
                <c:pt idx="83">
                  <c:v>-26.458178954272299</c:v>
                </c:pt>
                <c:pt idx="84">
                  <c:v>-26.923712253822508</c:v>
                </c:pt>
                <c:pt idx="85">
                  <c:v>-27.391672581662462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20B-4790-9A26-9CCCEB989D58}"/>
            </c:ext>
          </c:extLst>
        </c:ser>
        <c:ser>
          <c:idx val="26"/>
          <c:order val="2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graph!$E$8:$E$93</c:f>
              <c:numCache>
                <c:formatCode>General</c:formatCode>
                <c:ptCount val="86"/>
                <c:pt idx="0">
                  <c:v>-2.7636682349165302</c:v>
                </c:pt>
                <c:pt idx="1">
                  <c:v>-2.5690038338730079</c:v>
                </c:pt>
                <c:pt idx="2">
                  <c:v>-2.3757714651726416</c:v>
                </c:pt>
                <c:pt idx="3">
                  <c:v>-2.1839849510640024</c:v>
                </c:pt>
                <c:pt idx="4">
                  <c:v>-1.993657792310366</c:v>
                </c:pt>
                <c:pt idx="5">
                  <c:v>-1.8048031973037744</c:v>
                </c:pt>
                <c:pt idx="6">
                  <c:v>-1.6174341105402434</c:v>
                </c:pt>
                <c:pt idx="7">
                  <c:v>-1.4315632404344203</c:v>
                </c:pt>
                <c:pt idx="8">
                  <c:v>-1.2472030864514214</c:v>
                </c:pt>
                <c:pt idx="9">
                  <c:v>-1.0643659655330537</c:v>
                </c:pt>
                <c:pt idx="10">
                  <c:v>-0.88306403779517262</c:v>
                </c:pt>
                <c:pt idx="11">
                  <c:v>-0.70330933147252406</c:v>
                </c:pt>
                <c:pt idx="12">
                  <c:v>-0.52511376708708857</c:v>
                </c:pt>
                <c:pt idx="13">
                  <c:v>-0.34848918081565494</c:v>
                </c:pt>
                <c:pt idx="14">
                  <c:v>-0.17344734703213924</c:v>
                </c:pt>
                <c:pt idx="15">
                  <c:v>0</c:v>
                </c:pt>
                <c:pt idx="16">
                  <c:v>0.17184114531000835</c:v>
                </c:pt>
                <c:pt idx="17">
                  <c:v>0.34206437330152084</c:v>
                </c:pt>
                <c:pt idx="18">
                  <c:v>0.51065794875848436</c:v>
                </c:pt>
                <c:pt idx="19">
                  <c:v>0.67761009879999812</c:v>
                </c:pt>
                <c:pt idx="20">
                  <c:v>0.84290899580863865</c:v>
                </c:pt>
                <c:pt idx="21">
                  <c:v>1.0065427413566224</c:v>
                </c:pt>
                <c:pt idx="22">
                  <c:v>1.1684993511538977</c:v>
                </c:pt>
                <c:pt idx="23">
                  <c:v>1.3287667410419255</c:v>
                </c:pt>
                <c:pt idx="24">
                  <c:v>1.4873327140565129</c:v>
                </c:pt>
                <c:pt idx="25">
                  <c:v>1.6441849485825943</c:v>
                </c:pt>
                <c:pt idx="26">
                  <c:v>1.7993109876233289</c:v>
                </c:pt>
                <c:pt idx="27">
                  <c:v>1.9526982292052608</c:v>
                </c:pt>
                <c:pt idx="28">
                  <c:v>2.1043339179406231</c:v>
                </c:pt>
                <c:pt idx="29">
                  <c:v>2.2542051377670949</c:v>
                </c:pt>
                <c:pt idx="30">
                  <c:v>2.4022988058844832</c:v>
                </c:pt>
                <c:pt idx="31">
                  <c:v>2.5486016679068815</c:v>
                </c:pt>
                <c:pt idx="32">
                  <c:v>2.6931002942478379</c:v>
                </c:pt>
                <c:pt idx="33">
                  <c:v>2.8357810777549695</c:v>
                </c:pt>
                <c:pt idx="34">
                  <c:v>2.976630232609256</c:v>
                </c:pt>
                <c:pt idx="35">
                  <c:v>3.1156337945029438</c:v>
                </c:pt>
                <c:pt idx="36">
                  <c:v>3.2527776221085896</c:v>
                </c:pt>
                <c:pt idx="37">
                  <c:v>3.3880473998502438</c:v>
                </c:pt>
                <c:pt idx="38">
                  <c:v>3.5214286419861556</c:v>
                </c:pt>
                <c:pt idx="39">
                  <c:v>3.6529066980105824</c:v>
                </c:pt>
                <c:pt idx="40">
                  <c:v>3.7824667593804349</c:v>
                </c:pt>
                <c:pt idx="41">
                  <c:v>3.9100938675704007</c:v>
                </c:pt>
                <c:pt idx="42">
                  <c:v>4.0357729234580431</c:v>
                </c:pt>
                <c:pt idx="43">
                  <c:v>4.1594886980379702</c:v>
                </c:pt>
                <c:pt idx="44">
                  <c:v>4.2812258444617086</c:v>
                </c:pt>
                <c:pt idx="45">
                  <c:v>4.4009689113971211</c:v>
                </c:pt>
                <c:pt idx="46">
                  <c:v>4.5187023576983911</c:v>
                </c:pt>
                <c:pt idx="47">
                  <c:v>4.6344105683743955</c:v>
                </c:pt>
                <c:pt idx="48">
                  <c:v>4.7480778718399961</c:v>
                </c:pt>
                <c:pt idx="49">
                  <c:v>4.8596885584311451</c:v>
                </c:pt>
                <c:pt idx="50">
                  <c:v>4.969226900160864</c:v>
                </c:pt>
                <c:pt idx="51">
                  <c:v>5.0766771716889902</c:v>
                </c:pt>
                <c:pt idx="52">
                  <c:v>5.1820236724741671</c:v>
                </c:pt>
                <c:pt idx="53">
                  <c:v>5.2852507500716808</c:v>
                </c:pt>
                <c:pt idx="54">
                  <c:v>5.3863428245357241</c:v>
                </c:pt>
                <c:pt idx="55">
                  <c:v>5.4852844138789933</c:v>
                </c:pt>
                <c:pt idx="56">
                  <c:v>5.5820601605366411</c:v>
                </c:pt>
                <c:pt idx="57">
                  <c:v>5.6766548587751666</c:v>
                </c:pt>
                <c:pt idx="58">
                  <c:v>5.7690534829798521</c:v>
                </c:pt>
                <c:pt idx="59">
                  <c:v>5.8592412167469581</c:v>
                </c:pt>
                <c:pt idx="60">
                  <c:v>5.9472034826987263</c:v>
                </c:pt>
                <c:pt idx="61">
                  <c:v>6.032925972930629</c:v>
                </c:pt>
                <c:pt idx="62">
                  <c:v>6.1163946799908109</c:v>
                </c:pt>
                <c:pt idx="63">
                  <c:v>6.1975959282815154</c:v>
                </c:pt>
                <c:pt idx="64">
                  <c:v>6.2765164057612797</c:v>
                </c:pt>
                <c:pt idx="65">
                  <c:v>6.3531431958147353</c:v>
                </c:pt>
                <c:pt idx="66">
                  <c:v>6.4274638091439149</c:v>
                </c:pt>
                <c:pt idx="67">
                  <c:v>6.4994662155209255</c:v>
                </c:pt>
                <c:pt idx="68">
                  <c:v>6.5691388752266917</c:v>
                </c:pt>
                <c:pt idx="69">
                  <c:v>6.636470769983859</c:v>
                </c:pt>
                <c:pt idx="70">
                  <c:v>6.7014514331740456</c:v>
                </c:pt>
                <c:pt idx="71">
                  <c:v>6.7640709791100697</c:v>
                </c:pt>
                <c:pt idx="72">
                  <c:v>6.8243201311125601</c:v>
                </c:pt>
                <c:pt idx="73">
                  <c:v>6.8821902481171797</c:v>
                </c:pt>
                <c:pt idx="74">
                  <c:v>6.9376733495135348</c:v>
                </c:pt>
                <c:pt idx="75">
                  <c:v>6.9907621378893134</c:v>
                </c:pt>
                <c:pt idx="76">
                  <c:v>7.0414500193232907</c:v>
                </c:pt>
                <c:pt idx="77">
                  <c:v>7.0897311208380716</c:v>
                </c:pt>
                <c:pt idx="78">
                  <c:v>7.1356003045877596</c:v>
                </c:pt>
                <c:pt idx="79">
                  <c:v>7.1790531783167193</c:v>
                </c:pt>
                <c:pt idx="80">
                  <c:v>7.2200861015829458</c:v>
                </c:pt>
                <c:pt idx="81">
                  <c:v>7.2586961871929105</c:v>
                </c:pt>
                <c:pt idx="82">
                  <c:v>7.2948812972436468</c:v>
                </c:pt>
                <c:pt idx="83">
                  <c:v>7.3286400331121184</c:v>
                </c:pt>
                <c:pt idx="84">
                  <c:v>7.3599717186704989</c:v>
                </c:pt>
                <c:pt idx="85">
                  <c:v>7.38887637593914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20B-4790-9A26-9CCCEB989D58}"/>
            </c:ext>
          </c:extLst>
        </c:ser>
        <c:ser>
          <c:idx val="27"/>
          <c:order val="3"/>
          <c:spPr>
            <a:ln w="508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graphbase!$B$8:$B$93</c:f>
              <c:numCache>
                <c:formatCode>General</c:formatCode>
                <c:ptCount val="86"/>
                <c:pt idx="0">
                  <c:v>0.41643116891746634</c:v>
                </c:pt>
                <c:pt idx="1">
                  <c:v>0.39865371158319912</c:v>
                </c:pt>
                <c:pt idx="2">
                  <c:v>0.37948184543909647</c:v>
                </c:pt>
                <c:pt idx="3">
                  <c:v>0.35890790520460653</c:v>
                </c:pt>
                <c:pt idx="4">
                  <c:v>0.3369243376029587</c:v>
                </c:pt>
                <c:pt idx="5">
                  <c:v>0.31352369481273845</c:v>
                </c:pt>
                <c:pt idx="6">
                  <c:v>0.28869862752254355</c:v>
                </c:pt>
                <c:pt idx="7">
                  <c:v>0.26244187760169696</c:v>
                </c:pt>
                <c:pt idx="8">
                  <c:v>0.23474627040025803</c:v>
                </c:pt>
                <c:pt idx="9">
                  <c:v>0.20560470669183284</c:v>
                </c:pt>
                <c:pt idx="10">
                  <c:v>0.17501015427289987</c:v>
                </c:pt>
                <c:pt idx="11">
                  <c:v>0.14295563923256693</c:v>
                </c:pt>
                <c:pt idx="12">
                  <c:v>0.10943423690684123</c:v>
                </c:pt>
                <c:pt idx="13">
                  <c:v>7.4439062531637221E-2</c:v>
                </c:pt>
                <c:pt idx="14">
                  <c:v>3.7963261608861064E-2</c:v>
                </c:pt>
                <c:pt idx="15">
                  <c:v>0</c:v>
                </c:pt>
                <c:pt idx="16">
                  <c:v>-3.9457546238294804E-2</c:v>
                </c:pt>
                <c:pt idx="17">
                  <c:v>-8.0416201262102943E-2</c:v>
                </c:pt>
                <c:pt idx="18">
                  <c:v>-0.12288280007707685</c:v>
                </c:pt>
                <c:pt idx="19">
                  <c:v>-0.16686419938971059</c:v>
                </c:pt>
                <c:pt idx="20">
                  <c:v>-0.21236728865856408</c:v>
                </c:pt>
                <c:pt idx="21">
                  <c:v>-0.25939900133104049</c:v>
                </c:pt>
                <c:pt idx="22">
                  <c:v>-0.30796632625141462</c:v>
                </c:pt>
                <c:pt idx="23">
                  <c:v>-0.35807631922593597</c:v>
                </c:pt>
                <c:pt idx="24">
                  <c:v>-0.40973611473098381</c:v>
                </c:pt>
                <c:pt idx="25">
                  <c:v>-0.46295293775043733</c:v>
                </c:pt>
                <c:pt idx="26">
                  <c:v>-0.5177341157286327</c:v>
                </c:pt>
                <c:pt idx="27">
                  <c:v>-0.57408709062552399</c:v>
                </c:pt>
                <c:pt idx="28">
                  <c:v>-0.63201943106093561</c:v>
                </c:pt>
                <c:pt idx="29">
                  <c:v>-0.6915388445350994</c:v>
                </c:pt>
                <c:pt idx="30">
                  <c:v>-0.75265318971300266</c:v>
                </c:pt>
                <c:pt idx="31">
                  <c:v>-0.81537048876044493</c:v>
                </c:pt>
                <c:pt idx="32">
                  <c:v>-0.87969893972010615</c:v>
                </c:pt>
                <c:pt idx="33">
                  <c:v>-0.94564692891636037</c:v>
                </c:pt>
                <c:pt idx="34">
                  <c:v>-1.0132230433780529</c:v>
                </c:pt>
                <c:pt idx="35">
                  <c:v>-1.0824360832689657</c:v>
                </c:pt>
                <c:pt idx="36">
                  <c:v>-1.1532950743162524</c:v>
                </c:pt>
                <c:pt idx="37">
                  <c:v>-1.2258092802277141</c:v>
                </c:pt>
                <c:pt idx="38">
                  <c:v>-1.2999882150894306</c:v>
                </c:pt>
                <c:pt idx="39">
                  <c:v>-1.3758416557359328</c:v>
                </c:pt>
                <c:pt idx="40">
                  <c:v>-1.453379654085843</c:v>
                </c:pt>
                <c:pt idx="41">
                  <c:v>-1.532612549436682</c:v>
                </c:pt>
                <c:pt idx="42">
                  <c:v>-1.6135509807133672</c:v>
                </c:pt>
                <c:pt idx="43">
                  <c:v>-1.6962058986658262</c:v>
                </c:pt>
                <c:pt idx="44">
                  <c:v>-1.7805885780120732</c:v>
                </c:pt>
                <c:pt idx="45">
                  <c:v>-1.8667106295241207</c:v>
                </c:pt>
                <c:pt idx="46">
                  <c:v>-1.9545840120551452</c:v>
                </c:pt>
                <c:pt idx="47">
                  <c:v>-2.044221044507486</c:v>
                </c:pt>
                <c:pt idx="48">
                  <c:v>-2.1356344177422422</c:v>
                </c:pt>
                <c:pt idx="49">
                  <c:v>-2.2288372064325408</c:v>
                </c:pt>
                <c:pt idx="50">
                  <c:v>-2.3238428808639005</c:v>
                </c:pt>
                <c:pt idx="51">
                  <c:v>-2.4206653186865834</c:v>
                </c:pt>
                <c:pt idx="52">
                  <c:v>-2.5193188166263694</c:v>
                </c:pt>
                <c:pt idx="53">
                  <c:v>-2.6198181021618456</c:v>
                </c:pt>
                <c:pt idx="54">
                  <c:v>-2.7221783451780461</c:v>
                </c:pt>
                <c:pt idx="55">
                  <c:v>-2.8264151696081661</c:v>
                </c:pt>
                <c:pt idx="56">
                  <c:v>-2.9325446650770486</c:v>
                </c:pt>
                <c:pt idx="57">
                  <c:v>-3.0405833985622817</c:v>
                </c:pt>
                <c:pt idx="58">
                  <c:v>-3.150548426091011</c:v>
                </c:pt>
                <c:pt idx="59">
                  <c:v>-3.2624573044929703</c:v>
                </c:pt>
                <c:pt idx="60">
                  <c:v>-3.3763281032328512</c:v>
                </c:pt>
                <c:pt idx="61">
                  <c:v>-3.4921794163478697</c:v>
                </c:pt>
                <c:pt idx="62">
                  <c:v>-3.6100303745193423</c:v>
                </c:pt>
                <c:pt idx="63">
                  <c:v>-3.7299006573102482</c:v>
                </c:pt>
                <c:pt idx="64">
                  <c:v>-3.8518105056041438</c:v>
                </c:pt>
                <c:pt idx="65">
                  <c:v>-3.975780734284414</c:v>
                </c:pt>
                <c:pt idx="66">
                  <c:v>-4.1018327451967185</c:v>
                </c:pt>
                <c:pt idx="67">
                  <c:v>-4.2299885404417052</c:v>
                </c:pt>
                <c:pt idx="68">
                  <c:v>-4.3602707360494986</c:v>
                </c:pt>
                <c:pt idx="69">
                  <c:v>-4.4927025760923209</c:v>
                </c:pt>
                <c:pt idx="70">
                  <c:v>-4.6273079472968019</c:v>
                </c:pt>
                <c:pt idx="71">
                  <c:v>-4.7641113942230424</c:v>
                </c:pt>
                <c:pt idx="72">
                  <c:v>-4.9031381350836236</c:v>
                </c:pt>
                <c:pt idx="73">
                  <c:v>-5.0444140782821645</c:v>
                </c:pt>
                <c:pt idx="74">
                  <c:v>-5.1879658397580384</c:v>
                </c:pt>
                <c:pt idx="75">
                  <c:v>-5.3338207612314807</c:v>
                </c:pt>
                <c:pt idx="76">
                  <c:v>-5.4820069294514289</c:v>
                </c:pt>
                <c:pt idx="77">
                  <c:v>-5.6325531965573656</c:v>
                </c:pt>
                <c:pt idx="78">
                  <c:v>-5.7854892016759525</c:v>
                </c:pt>
                <c:pt idx="79">
                  <c:v>-5.9408453938836647</c:v>
                </c:pt>
                <c:pt idx="80">
                  <c:v>-6.0986530566779349</c:v>
                </c:pt>
                <c:pt idx="81">
                  <c:v>-6.2589443341114537</c:v>
                </c:pt>
                <c:pt idx="82">
                  <c:v>-6.4217522587576772</c:v>
                </c:pt>
                <c:pt idx="83">
                  <c:v>-6.5871107816899297</c:v>
                </c:pt>
                <c:pt idx="84">
                  <c:v>-6.7550548046722589</c:v>
                </c:pt>
                <c:pt idx="85">
                  <c:v>-6.9256202147772541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20B-4790-9A26-9CCCEB989D58}"/>
            </c:ext>
          </c:extLst>
        </c:ser>
        <c:ser>
          <c:idx val="28"/>
          <c:order val="4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graphbase!$E$8:$E$93</c:f>
              <c:numCache>
                <c:formatCode>General</c:formatCode>
                <c:ptCount val="86"/>
                <c:pt idx="0">
                  <c:v>-2.9270908219365217</c:v>
                </c:pt>
                <c:pt idx="1">
                  <c:v>-2.7219668132138564</c:v>
                </c:pt>
                <c:pt idx="2">
                  <c:v>-2.5182372133010258</c:v>
                </c:pt>
                <c:pt idx="3">
                  <c:v>-2.3159096874785829</c:v>
                </c:pt>
                <c:pt idx="4">
                  <c:v>-2.1149917890232981</c:v>
                </c:pt>
                <c:pt idx="5">
                  <c:v>-1.915490965756586</c:v>
                </c:pt>
                <c:pt idx="6">
                  <c:v>-1.7174145669898484</c:v>
                </c:pt>
                <c:pt idx="7">
                  <c:v>-1.5207698508537624</c:v>
                </c:pt>
                <c:pt idx="8">
                  <c:v>-1.3255639919982687</c:v>
                </c:pt>
                <c:pt idx="9">
                  <c:v>-1.1318040896497612</c:v>
                </c:pt>
                <c:pt idx="10">
                  <c:v>-0.93949717601176164</c:v>
                </c:pt>
                <c:pt idx="11">
                  <c:v>-0.74865022499516209</c:v>
                </c:pt>
                <c:pt idx="12">
                  <c:v>-0.55927016126395523</c:v>
                </c:pt>
                <c:pt idx="13">
                  <c:v>-0.37136386958222661</c:v>
                </c:pt>
                <c:pt idx="14">
                  <c:v>-0.18493820444807013</c:v>
                </c:pt>
                <c:pt idx="15">
                  <c:v>0</c:v>
                </c:pt>
                <c:pt idx="16">
                  <c:v>0.18344391981863781</c:v>
                </c:pt>
                <c:pt idx="17">
                  <c:v>0.36538673085176232</c:v>
                </c:pt>
                <c:pt idx="18">
                  <c:v>0.54582159809372111</c:v>
                </c:pt>
                <c:pt idx="19">
                  <c:v>0.72474166483801983</c:v>
                </c:pt>
                <c:pt idx="20">
                  <c:v>0.90214004162609895</c:v>
                </c:pt>
                <c:pt idx="21">
                  <c:v>1.0780097950105552</c:v>
                </c:pt>
                <c:pt idx="22">
                  <c:v>1.2523439361471138</c:v>
                </c:pt>
                <c:pt idx="23">
                  <c:v>1.4251354092295248</c:v>
                </c:pt>
                <c:pt idx="24">
                  <c:v>1.5963770797814094</c:v>
                </c:pt>
                <c:pt idx="25">
                  <c:v>1.7660617228188884</c:v>
                </c:pt>
                <c:pt idx="26">
                  <c:v>1.9341820108976258</c:v>
                </c:pt>
                <c:pt idx="27">
                  <c:v>2.1007305020576674</c:v>
                </c:pt>
                <c:pt idx="28">
                  <c:v>2.2656996276791888</c:v>
                </c:pt>
                <c:pt idx="29">
                  <c:v>2.4290816802619579</c:v>
                </c:pt>
                <c:pt idx="30">
                  <c:v>2.5908688011409873</c:v>
                </c:pt>
                <c:pt idx="31">
                  <c:v>2.7510529681504776</c:v>
                </c:pt>
                <c:pt idx="32">
                  <c:v>2.9096259832477496</c:v>
                </c:pt>
                <c:pt idx="33">
                  <c:v>3.0665794601084282</c:v>
                </c:pt>
                <c:pt idx="34">
                  <c:v>3.2219048117036682</c:v>
                </c:pt>
                <c:pt idx="35">
                  <c:v>3.3755932378696878</c:v>
                </c:pt>
                <c:pt idx="36">
                  <c:v>3.5276357128793334</c:v>
                </c:pt>
                <c:pt idx="37">
                  <c:v>3.6780229730248051</c:v>
                </c:pt>
                <c:pt idx="38">
                  <c:v>3.8267455042200211</c:v>
                </c:pt>
                <c:pt idx="39">
                  <c:v>3.9737935296304521</c:v>
                </c:pt>
                <c:pt idx="40">
                  <c:v>4.1191569973374742</c:v>
                </c:pt>
                <c:pt idx="41">
                  <c:v>4.262825568043568</c:v>
                </c:pt>
                <c:pt idx="42">
                  <c:v>4.4047886028238157</c:v>
                </c:pt>
                <c:pt idx="43">
                  <c:v>4.5450351509282898</c:v>
                </c:pt>
                <c:pt idx="44">
                  <c:v>4.6835539376389761</c:v>
                </c:pt>
                <c:pt idx="45">
                  <c:v>4.8203333521838605</c:v>
                </c:pt>
                <c:pt idx="46">
                  <c:v>4.9553614357097695</c:v>
                </c:pt>
                <c:pt idx="47">
                  <c:v>5.0886258693143613</c:v>
                </c:pt>
                <c:pt idx="48">
                  <c:v>5.220113962136538</c:v>
                </c:pt>
                <c:pt idx="49">
                  <c:v>5.3498126395031722</c:v>
                </c:pt>
                <c:pt idx="50">
                  <c:v>5.4777084311287449</c:v>
                </c:pt>
                <c:pt idx="51">
                  <c:v>5.6037874593629953</c:v>
                </c:pt>
                <c:pt idx="52">
                  <c:v>5.7280354274801413</c:v>
                </c:pt>
                <c:pt idx="53">
                  <c:v>5.8504376080015987</c:v>
                </c:pt>
                <c:pt idx="54">
                  <c:v>5.9709788310423306</c:v>
                </c:pt>
                <c:pt idx="55">
                  <c:v>6.0896434726691417</c:v>
                </c:pt>
                <c:pt idx="56">
                  <c:v>6.2064154432571916</c:v>
                </c:pt>
                <c:pt idx="57">
                  <c:v>6.3212781758288905</c:v>
                </c:pt>
                <c:pt idx="58">
                  <c:v>6.4342146143570931</c:v>
                </c:pt>
                <c:pt idx="59">
                  <c:v>6.5452072020120653</c:v>
                </c:pt>
                <c:pt idx="60">
                  <c:v>6.6542378693291173</c:v>
                </c:pt>
                <c:pt idx="61">
                  <c:v>6.7612880222710299</c:v>
                </c:pt>
                <c:pt idx="62">
                  <c:v>6.8663385301564901</c:v>
                </c:pt>
                <c:pt idx="63">
                  <c:v>6.9693697134225161</c:v>
                </c:pt>
                <c:pt idx="64">
                  <c:v>7.070361331185552</c:v>
                </c:pt>
                <c:pt idx="65">
                  <c:v>7.1692925685622138</c:v>
                </c:pt>
                <c:pt idx="66">
                  <c:v>7.2661420237068395</c:v>
                </c:pt>
                <c:pt idx="67">
                  <c:v>7.3608876945187847</c:v>
                </c:pt>
                <c:pt idx="68">
                  <c:v>7.4535069649679233</c:v>
                </c:pt>
                <c:pt idx="69">
                  <c:v>7.5439765909820329</c:v>
                </c:pt>
                <c:pt idx="70">
                  <c:v>7.6322726858344838</c:v>
                </c:pt>
                <c:pt idx="71">
                  <c:v>7.7183707049651753</c:v>
                </c:pt>
                <c:pt idx="72">
                  <c:v>7.8022454301615261</c:v>
                </c:pt>
                <c:pt idx="73">
                  <c:v>7.8838709530199171</c:v>
                </c:pt>
                <c:pt idx="74">
                  <c:v>7.9632206576009752</c:v>
                </c:pt>
                <c:pt idx="75">
                  <c:v>8.0402672021844648</c:v>
                </c:pt>
                <c:pt idx="76">
                  <c:v>8.1149825000214477</c:v>
                </c:pt>
                <c:pt idx="77">
                  <c:v>8.1873376989724438</c:v>
                </c:pt>
                <c:pt idx="78">
                  <c:v>8.2573031599107889</c:v>
                </c:pt>
                <c:pt idx="79">
                  <c:v>8.3248484337600086</c:v>
                </c:pt>
                <c:pt idx="80">
                  <c:v>8.3899422370226695</c:v>
                </c:pt>
                <c:pt idx="81">
                  <c:v>8.4525524256460827</c:v>
                </c:pt>
                <c:pt idx="82">
                  <c:v>8.5126459670567911</c:v>
                </c:pt>
                <c:pt idx="83">
                  <c:v>8.5701889101814697</c:v>
                </c:pt>
                <c:pt idx="84">
                  <c:v>8.6251463532560724</c:v>
                </c:pt>
                <c:pt idx="85">
                  <c:v>8.6774824092080092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20B-4790-9A26-9CCCEB989D58}"/>
            </c:ext>
          </c:extLst>
        </c:ser>
        <c:ser>
          <c:idx val="29"/>
          <c:order val="5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graphbase!$F$8:$F$93</c:f>
              <c:numCache>
                <c:formatCode>General</c:formatCode>
                <c:ptCount val="86"/>
                <c:pt idx="0">
                  <c:v>5.1561659190455194</c:v>
                </c:pt>
                <c:pt idx="1">
                  <c:v>4.822406145036048</c:v>
                </c:pt>
                <c:pt idx="2">
                  <c:v>4.4872519622167424</c:v>
                </c:pt>
                <c:pt idx="3">
                  <c:v>4.1506957053070481</c:v>
                </c:pt>
                <c:pt idx="4">
                  <c:v>3.8127298210301963</c:v>
                </c:pt>
                <c:pt idx="5">
                  <c:v>3.4733468615647722</c:v>
                </c:pt>
                <c:pt idx="6">
                  <c:v>3.1325394775993738</c:v>
                </c:pt>
                <c:pt idx="7">
                  <c:v>2.790300411003324</c:v>
                </c:pt>
                <c:pt idx="8">
                  <c:v>2.4466224871266813</c:v>
                </c:pt>
                <c:pt idx="9">
                  <c:v>2.1014986067430526</c:v>
                </c:pt>
                <c:pt idx="10">
                  <c:v>1.7549217376489161</c:v>
                </c:pt>
                <c:pt idx="11">
                  <c:v>1.4068849059333797</c:v>
                </c:pt>
                <c:pt idx="12">
                  <c:v>1.0573811869324503</c:v>
                </c:pt>
                <c:pt idx="13">
                  <c:v>0.70640369588204255</c:v>
                </c:pt>
                <c:pt idx="14">
                  <c:v>0.3539455782840627</c:v>
                </c:pt>
                <c:pt idx="15">
                  <c:v>0</c:v>
                </c:pt>
                <c:pt idx="16">
                  <c:v>-0.35543986291349844</c:v>
                </c:pt>
                <c:pt idx="17">
                  <c:v>-0.71238083461251023</c:v>
                </c:pt>
                <c:pt idx="18">
                  <c:v>-1.0708297501026878</c:v>
                </c:pt>
                <c:pt idx="19">
                  <c:v>-1.4307934660905253</c:v>
                </c:pt>
                <c:pt idx="20">
                  <c:v>-1.7922788720345824</c:v>
                </c:pt>
                <c:pt idx="21">
                  <c:v>-2.1552929013822624</c:v>
                </c:pt>
                <c:pt idx="22">
                  <c:v>-2.5198425429778402</c:v>
                </c:pt>
                <c:pt idx="23">
                  <c:v>-2.8859348526275648</c:v>
                </c:pt>
                <c:pt idx="24">
                  <c:v>-3.2535769648078166</c:v>
                </c:pt>
                <c:pt idx="25">
                  <c:v>-3.6227761045024733</c:v>
                </c:pt>
                <c:pt idx="26">
                  <c:v>-3.9935395991558726</c:v>
                </c:pt>
                <c:pt idx="27">
                  <c:v>-4.3658748907279676</c:v>
                </c:pt>
                <c:pt idx="28">
                  <c:v>-4.7397895478385834</c:v>
                </c:pt>
                <c:pt idx="29">
                  <c:v>-5.1152912779879509</c:v>
                </c:pt>
                <c:pt idx="30">
                  <c:v>-5.4923879398410573</c:v>
                </c:pt>
                <c:pt idx="31">
                  <c:v>-5.8710875555637045</c:v>
                </c:pt>
                <c:pt idx="32">
                  <c:v>-6.2513983231985701</c:v>
                </c:pt>
                <c:pt idx="33">
                  <c:v>-6.6333286290700277</c:v>
                </c:pt>
                <c:pt idx="34">
                  <c:v>-7.0168870602069244</c:v>
                </c:pt>
                <c:pt idx="35">
                  <c:v>-7.4020824167730401</c:v>
                </c:pt>
                <c:pt idx="36">
                  <c:v>-7.7889237244955307</c:v>
                </c:pt>
                <c:pt idx="37">
                  <c:v>-8.1774202470821962</c:v>
                </c:pt>
                <c:pt idx="38">
                  <c:v>-8.5675814986191163</c:v>
                </c:pt>
                <c:pt idx="39">
                  <c:v>-8.9594172559408225</c:v>
                </c:pt>
                <c:pt idx="40">
                  <c:v>-9.3529375709659366</c:v>
                </c:pt>
                <c:pt idx="41">
                  <c:v>-9.7481527829919798</c:v>
                </c:pt>
                <c:pt idx="42">
                  <c:v>-10.145073530943868</c:v>
                </c:pt>
                <c:pt idx="43">
                  <c:v>-10.543710765571532</c:v>
                </c:pt>
                <c:pt idx="44">
                  <c:v>-10.944075761592984</c:v>
                </c:pt>
                <c:pt idx="45">
                  <c:v>-11.346180129780235</c:v>
                </c:pt>
                <c:pt idx="46">
                  <c:v>-11.750035828986462</c:v>
                </c:pt>
                <c:pt idx="47">
                  <c:v>-12.155655178114007</c:v>
                </c:pt>
                <c:pt idx="48">
                  <c:v>-12.563050868023968</c:v>
                </c:pt>
                <c:pt idx="49">
                  <c:v>-12.97223597338947</c:v>
                </c:pt>
                <c:pt idx="50">
                  <c:v>-13.383223964496032</c:v>
                </c:pt>
                <c:pt idx="51">
                  <c:v>-13.79602871899392</c:v>
                </c:pt>
                <c:pt idx="52">
                  <c:v>-14.210664533608909</c:v>
                </c:pt>
                <c:pt idx="53">
                  <c:v>-14.62714613581959</c:v>
                </c:pt>
                <c:pt idx="54">
                  <c:v>-15.045488695510995</c:v>
                </c:pt>
                <c:pt idx="55">
                  <c:v>-15.465707836616318</c:v>
                </c:pt>
                <c:pt idx="56">
                  <c:v>-15.887819648760402</c:v>
                </c:pt>
                <c:pt idx="57">
                  <c:v>-16.31184069892084</c:v>
                </c:pt>
                <c:pt idx="58">
                  <c:v>-16.73778804312477</c:v>
                </c:pt>
                <c:pt idx="59">
                  <c:v>-17.165679238201932</c:v>
                </c:pt>
                <c:pt idx="60">
                  <c:v>-17.595532353617017</c:v>
                </c:pt>
                <c:pt idx="61">
                  <c:v>-18.027365983407236</c:v>
                </c:pt>
                <c:pt idx="62">
                  <c:v>-18.461199258253913</c:v>
                </c:pt>
                <c:pt idx="63">
                  <c:v>-18.897051857720019</c:v>
                </c:pt>
                <c:pt idx="64">
                  <c:v>-19.334944022689118</c:v>
                </c:pt>
                <c:pt idx="65">
                  <c:v>-19.774896568044589</c:v>
                </c:pt>
                <c:pt idx="66">
                  <c:v>-20.216930895632096</c:v>
                </c:pt>
                <c:pt idx="67">
                  <c:v>-20.661069007552289</c:v>
                </c:pt>
                <c:pt idx="68">
                  <c:v>-21.107333519835279</c:v>
                </c:pt>
                <c:pt idx="69">
                  <c:v>-21.555747676553306</c:v>
                </c:pt>
                <c:pt idx="70">
                  <c:v>-22.006335364432992</c:v>
                </c:pt>
                <c:pt idx="71">
                  <c:v>-22.459121128034436</c:v>
                </c:pt>
                <c:pt idx="72">
                  <c:v>-22.914130185570215</c:v>
                </c:pt>
                <c:pt idx="73">
                  <c:v>-23.371388445443962</c:v>
                </c:pt>
                <c:pt idx="74">
                  <c:v>-23.830922523595039</c:v>
                </c:pt>
                <c:pt idx="75">
                  <c:v>-24.292759761743682</c:v>
                </c:pt>
                <c:pt idx="76">
                  <c:v>-24.756928246638836</c:v>
                </c:pt>
                <c:pt idx="77">
                  <c:v>-25.22345683041997</c:v>
                </c:pt>
                <c:pt idx="78">
                  <c:v>-25.692375152213764</c:v>
                </c:pt>
                <c:pt idx="79">
                  <c:v>-26.163713661096679</c:v>
                </c:pt>
                <c:pt idx="80">
                  <c:v>-26.637503640566152</c:v>
                </c:pt>
                <c:pt idx="81">
                  <c:v>-27.11377723467487</c:v>
                </c:pt>
                <c:pt idx="82">
                  <c:v>-27.592567475996297</c:v>
                </c:pt>
                <c:pt idx="83">
                  <c:v>-28.073908315603752</c:v>
                </c:pt>
                <c:pt idx="84">
                  <c:v>-28.557834655261285</c:v>
                </c:pt>
                <c:pt idx="85">
                  <c:v>-29.04438238204148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20B-4790-9A26-9CCCEB989D58}"/>
            </c:ext>
          </c:extLst>
        </c:ser>
        <c:ser>
          <c:idx val="30"/>
          <c:order val="6"/>
          <c:spPr>
            <a:ln w="508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20B-4790-9A26-9CCCEB989D58}"/>
            </c:ext>
          </c:extLst>
        </c:ser>
        <c:ser>
          <c:idx val="31"/>
          <c:order val="7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graph!$F$8:$F$93</c:f>
              <c:numCache>
                <c:formatCode>General</c:formatCode>
                <c:ptCount val="86"/>
                <c:pt idx="0">
                  <c:v>4.6893065417123916</c:v>
                </c:pt>
                <c:pt idx="1">
                  <c:v>4.3871059576473188</c:v>
                </c:pt>
                <c:pt idx="2">
                  <c:v>4.0834733412390891</c:v>
                </c:pt>
                <c:pt idx="3">
                  <c:v>3.7783948702391332</c:v>
                </c:pt>
                <c:pt idx="4">
                  <c:v>3.4718570438841745</c:v>
                </c:pt>
                <c:pt idx="5">
                  <c:v>3.163846653782171</c:v>
                </c:pt>
                <c:pt idx="6">
                  <c:v>2.8543507554371073</c:v>
                </c:pt>
                <c:pt idx="7">
                  <c:v>2.5433566404343355</c:v>
                </c:pt>
                <c:pt idx="8">
                  <c:v>2.2308518093087395</c:v>
                </c:pt>
                <c:pt idx="9">
                  <c:v>1.9168239451185125</c:v>
                </c:pt>
                <c:pt idx="10">
                  <c:v>1.6012608877477987</c:v>
                </c:pt>
                <c:pt idx="11">
                  <c:v>1.2841506089618526</c:v>
                </c:pt>
                <c:pt idx="12">
                  <c:v>0.96548118823869311</c:v>
                </c:pt>
                <c:pt idx="13">
                  <c:v>0.64524078940153184</c:v>
                </c:pt>
                <c:pt idx="14">
                  <c:v>0.32341763807645257</c:v>
                </c:pt>
                <c:pt idx="15">
                  <c:v>0</c:v>
                </c:pt>
                <c:pt idx="16">
                  <c:v>-0.32502383979858662</c:v>
                </c:pt>
                <c:pt idx="17">
                  <c:v>-0.65166559691566905</c:v>
                </c:pt>
                <c:pt idx="18">
                  <c:v>-0.97993700656730076</c:v>
                </c:pt>
                <c:pt idx="19">
                  <c:v>-1.3098498416343818</c:v>
                </c:pt>
                <c:pt idx="20">
                  <c:v>-1.641415929734336</c:v>
                </c:pt>
                <c:pt idx="21">
                  <c:v>-1.9746471692949472</c:v>
                </c:pt>
                <c:pt idx="22">
                  <c:v>-2.3095555446062668</c:v>
                </c:pt>
                <c:pt idx="23">
                  <c:v>-2.6461531398268336</c:v>
                </c:pt>
                <c:pt idx="24">
                  <c:v>-2.9844521519208409</c:v>
                </c:pt>
                <c:pt idx="25">
                  <c:v>-3.3244649025033541</c:v>
                </c:pt>
                <c:pt idx="26">
                  <c:v>-3.6662038485712145</c:v>
                </c:pt>
                <c:pt idx="27">
                  <c:v>-4.0096815920978788</c:v>
                </c:pt>
                <c:pt idx="28">
                  <c:v>-4.3549108884711112</c:v>
                </c:pt>
                <c:pt idx="29">
                  <c:v>-4.7019046537532345</c:v>
                </c:pt>
                <c:pt idx="30">
                  <c:v>-5.0506759707444413</c:v>
                </c:pt>
                <c:pt idx="31">
                  <c:v>-5.4012380938306386</c:v>
                </c:pt>
                <c:pt idx="32">
                  <c:v>-5.7536044525982781</c:v>
                </c:pt>
                <c:pt idx="33">
                  <c:v>-6.1077886541997426</c:v>
                </c:pt>
                <c:pt idx="34">
                  <c:v>-6.4638044844540499</c:v>
                </c:pt>
                <c:pt idx="35">
                  <c:v>-6.8216659076689563</c:v>
                </c:pt>
                <c:pt idx="36">
                  <c:v>-7.1813870651719069</c:v>
                </c:pt>
                <c:pt idx="37">
                  <c:v>-7.5429822725388478</c:v>
                </c:pt>
                <c:pt idx="38">
                  <c:v>-7.9064660155115316</c:v>
                </c:pt>
                <c:pt idx="39">
                  <c:v>-8.2718529445957003</c:v>
                </c:pt>
                <c:pt idx="40">
                  <c:v>-8.6391578683344434</c:v>
                </c:pt>
                <c:pt idx="41">
                  <c:v>-9.0083957452530719</c:v>
                </c:pt>
                <c:pt idx="42">
                  <c:v>-9.3795816744740268</c:v>
                </c:pt>
                <c:pt idx="43">
                  <c:v>-9.752730885002693</c:v>
                </c:pt>
                <c:pt idx="44">
                  <c:v>-10.127858723687551</c:v>
                </c:pt>
                <c:pt idx="45">
                  <c:v>-10.504980641860735</c:v>
                </c:pt>
                <c:pt idx="46">
                  <c:v>-10.88411218066806</c:v>
                </c:pt>
                <c:pt idx="47">
                  <c:v>-11.26526895510065</c:v>
                </c:pt>
                <c:pt idx="48">
                  <c:v>-11.648466636743645</c:v>
                </c:pt>
                <c:pt idx="49">
                  <c:v>-12.033720935261091</c:v>
                </c:pt>
                <c:pt idx="50">
                  <c:v>-12.421047578639968</c:v>
                </c:pt>
                <c:pt idx="51">
                  <c:v>-12.810462292220436</c:v>
                </c:pt>
                <c:pt idx="52">
                  <c:v>-13.201980776543856</c:v>
                </c:pt>
                <c:pt idx="53">
                  <c:v>-13.595618684054937</c:v>
                </c:pt>
                <c:pt idx="54">
                  <c:v>-13.991391594699488</c:v>
                </c:pt>
                <c:pt idx="55">
                  <c:v>-14.389314990464813</c:v>
                </c:pt>
                <c:pt idx="56">
                  <c:v>-14.78940422891576</c:v>
                </c:pt>
                <c:pt idx="57">
                  <c:v>-15.191674515785827</c:v>
                </c:pt>
                <c:pt idx="58">
                  <c:v>-15.596140876689734</c:v>
                </c:pt>
                <c:pt idx="59">
                  <c:v>-16.002818128031222</c:v>
                </c:pt>
                <c:pt idx="60">
                  <c:v>-16.411720847188047</c:v>
                </c:pt>
                <c:pt idx="61">
                  <c:v>-16.822863342064736</c:v>
                </c:pt>
                <c:pt idx="62">
                  <c:v>-17.236259620113149</c:v>
                </c:pt>
                <c:pt idx="63">
                  <c:v>-17.651923356931036</c:v>
                </c:pt>
                <c:pt idx="64">
                  <c:v>-18.069867864559868</c:v>
                </c:pt>
                <c:pt idx="65">
                  <c:v>-18.490106059615002</c:v>
                </c:pt>
                <c:pt idx="66">
                  <c:v>-18.912650431394415</c:v>
                </c:pt>
                <c:pt idx="67">
                  <c:v>-19.337513010125999</c:v>
                </c:pt>
                <c:pt idx="68">
                  <c:v>-19.764705335528827</c:v>
                </c:pt>
                <c:pt idx="69">
                  <c:v>-20.194238425880251</c:v>
                </c:pt>
                <c:pt idx="70">
                  <c:v>-20.626122747798657</c:v>
                </c:pt>
                <c:pt idx="71">
                  <c:v>-21.060368186971228</c:v>
                </c:pt>
                <c:pt idx="72">
                  <c:v>-21.496984020077331</c:v>
                </c:pt>
                <c:pt idx="73">
                  <c:v>-21.935978888181303</c:v>
                </c:pt>
                <c:pt idx="74">
                  <c:v>-22.377360771893542</c:v>
                </c:pt>
                <c:pt idx="75">
                  <c:v>-22.821136968626355</c:v>
                </c:pt>
                <c:pt idx="76">
                  <c:v>-23.267314072300969</c:v>
                </c:pt>
                <c:pt idx="77">
                  <c:v>-23.715897955894786</c:v>
                </c:pt>
                <c:pt idx="78">
                  <c:v>-24.166893757253689</c:v>
                </c:pt>
                <c:pt idx="79">
                  <c:v>-24.620305868633324</c:v>
                </c:pt>
                <c:pt idx="80">
                  <c:v>-25.076137930475689</c:v>
                </c:pt>
                <c:pt idx="81">
                  <c:v>-25.534392829974315</c:v>
                </c:pt>
                <c:pt idx="82">
                  <c:v>-25.995072705032175</c:v>
                </c:pt>
                <c:pt idx="83">
                  <c:v>-26.458178954272299</c:v>
                </c:pt>
                <c:pt idx="84">
                  <c:v>-26.923712253822508</c:v>
                </c:pt>
                <c:pt idx="85">
                  <c:v>-27.391672581662462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20B-4790-9A26-9CCCEB989D58}"/>
            </c:ext>
          </c:extLst>
        </c:ser>
        <c:ser>
          <c:idx val="32"/>
          <c:order val="8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graph!$E$8:$E$93</c:f>
              <c:numCache>
                <c:formatCode>General</c:formatCode>
                <c:ptCount val="86"/>
                <c:pt idx="0">
                  <c:v>-2.7636682349165302</c:v>
                </c:pt>
                <c:pt idx="1">
                  <c:v>-2.5690038338730079</c:v>
                </c:pt>
                <c:pt idx="2">
                  <c:v>-2.3757714651726416</c:v>
                </c:pt>
                <c:pt idx="3">
                  <c:v>-2.1839849510640024</c:v>
                </c:pt>
                <c:pt idx="4">
                  <c:v>-1.993657792310366</c:v>
                </c:pt>
                <c:pt idx="5">
                  <c:v>-1.8048031973037744</c:v>
                </c:pt>
                <c:pt idx="6">
                  <c:v>-1.6174341105402434</c:v>
                </c:pt>
                <c:pt idx="7">
                  <c:v>-1.4315632404344203</c:v>
                </c:pt>
                <c:pt idx="8">
                  <c:v>-1.2472030864514214</c:v>
                </c:pt>
                <c:pt idx="9">
                  <c:v>-1.0643659655330537</c:v>
                </c:pt>
                <c:pt idx="10">
                  <c:v>-0.88306403779517262</c:v>
                </c:pt>
                <c:pt idx="11">
                  <c:v>-0.70330933147252406</c:v>
                </c:pt>
                <c:pt idx="12">
                  <c:v>-0.52511376708708857</c:v>
                </c:pt>
                <c:pt idx="13">
                  <c:v>-0.34848918081565494</c:v>
                </c:pt>
                <c:pt idx="14">
                  <c:v>-0.17344734703213924</c:v>
                </c:pt>
                <c:pt idx="15">
                  <c:v>0</c:v>
                </c:pt>
                <c:pt idx="16">
                  <c:v>0.17184114531000835</c:v>
                </c:pt>
                <c:pt idx="17">
                  <c:v>0.34206437330152084</c:v>
                </c:pt>
                <c:pt idx="18">
                  <c:v>0.51065794875848436</c:v>
                </c:pt>
                <c:pt idx="19">
                  <c:v>0.67761009879999812</c:v>
                </c:pt>
                <c:pt idx="20">
                  <c:v>0.84290899580863865</c:v>
                </c:pt>
                <c:pt idx="21">
                  <c:v>1.0065427413566224</c:v>
                </c:pt>
                <c:pt idx="22">
                  <c:v>1.1684993511538977</c:v>
                </c:pt>
                <c:pt idx="23">
                  <c:v>1.3287667410419255</c:v>
                </c:pt>
                <c:pt idx="24">
                  <c:v>1.4873327140565129</c:v>
                </c:pt>
                <c:pt idx="25">
                  <c:v>1.6441849485825943</c:v>
                </c:pt>
                <c:pt idx="26">
                  <c:v>1.7993109876233289</c:v>
                </c:pt>
                <c:pt idx="27">
                  <c:v>1.9526982292052608</c:v>
                </c:pt>
                <c:pt idx="28">
                  <c:v>2.1043339179406231</c:v>
                </c:pt>
                <c:pt idx="29">
                  <c:v>2.2542051377670949</c:v>
                </c:pt>
                <c:pt idx="30">
                  <c:v>2.4022988058844832</c:v>
                </c:pt>
                <c:pt idx="31">
                  <c:v>2.5486016679068815</c:v>
                </c:pt>
                <c:pt idx="32">
                  <c:v>2.6931002942478379</c:v>
                </c:pt>
                <c:pt idx="33">
                  <c:v>2.8357810777549695</c:v>
                </c:pt>
                <c:pt idx="34">
                  <c:v>2.976630232609256</c:v>
                </c:pt>
                <c:pt idx="35">
                  <c:v>3.1156337945029438</c:v>
                </c:pt>
                <c:pt idx="36">
                  <c:v>3.2527776221085896</c:v>
                </c:pt>
                <c:pt idx="37">
                  <c:v>3.3880473998502438</c:v>
                </c:pt>
                <c:pt idx="38">
                  <c:v>3.5214286419861556</c:v>
                </c:pt>
                <c:pt idx="39">
                  <c:v>3.6529066980105824</c:v>
                </c:pt>
                <c:pt idx="40">
                  <c:v>3.7824667593804349</c:v>
                </c:pt>
                <c:pt idx="41">
                  <c:v>3.9100938675704007</c:v>
                </c:pt>
                <c:pt idx="42">
                  <c:v>4.0357729234580431</c:v>
                </c:pt>
                <c:pt idx="43">
                  <c:v>4.1594886980379702</c:v>
                </c:pt>
                <c:pt idx="44">
                  <c:v>4.2812258444617086</c:v>
                </c:pt>
                <c:pt idx="45">
                  <c:v>4.4009689113971211</c:v>
                </c:pt>
                <c:pt idx="46">
                  <c:v>4.5187023576983911</c:v>
                </c:pt>
                <c:pt idx="47">
                  <c:v>4.6344105683743955</c:v>
                </c:pt>
                <c:pt idx="48">
                  <c:v>4.7480778718399961</c:v>
                </c:pt>
                <c:pt idx="49">
                  <c:v>4.8596885584311451</c:v>
                </c:pt>
                <c:pt idx="50">
                  <c:v>4.969226900160864</c:v>
                </c:pt>
                <c:pt idx="51">
                  <c:v>5.0766771716889902</c:v>
                </c:pt>
                <c:pt idx="52">
                  <c:v>5.1820236724741671</c:v>
                </c:pt>
                <c:pt idx="53">
                  <c:v>5.2852507500716808</c:v>
                </c:pt>
                <c:pt idx="54">
                  <c:v>5.3863428245357241</c:v>
                </c:pt>
                <c:pt idx="55">
                  <c:v>5.4852844138789933</c:v>
                </c:pt>
                <c:pt idx="56">
                  <c:v>5.5820601605366411</c:v>
                </c:pt>
                <c:pt idx="57">
                  <c:v>5.6766548587751666</c:v>
                </c:pt>
                <c:pt idx="58">
                  <c:v>5.7690534829798521</c:v>
                </c:pt>
                <c:pt idx="59">
                  <c:v>5.8592412167469581</c:v>
                </c:pt>
                <c:pt idx="60">
                  <c:v>5.9472034826987263</c:v>
                </c:pt>
                <c:pt idx="61">
                  <c:v>6.032925972930629</c:v>
                </c:pt>
                <c:pt idx="62">
                  <c:v>6.1163946799908109</c:v>
                </c:pt>
                <c:pt idx="63">
                  <c:v>6.1975959282815154</c:v>
                </c:pt>
                <c:pt idx="64">
                  <c:v>6.2765164057612797</c:v>
                </c:pt>
                <c:pt idx="65">
                  <c:v>6.3531431958147353</c:v>
                </c:pt>
                <c:pt idx="66">
                  <c:v>6.4274638091439149</c:v>
                </c:pt>
                <c:pt idx="67">
                  <c:v>6.4994662155209255</c:v>
                </c:pt>
                <c:pt idx="68">
                  <c:v>6.5691388752266917</c:v>
                </c:pt>
                <c:pt idx="69">
                  <c:v>6.636470769983859</c:v>
                </c:pt>
                <c:pt idx="70">
                  <c:v>6.7014514331740456</c:v>
                </c:pt>
                <c:pt idx="71">
                  <c:v>6.7640709791100697</c:v>
                </c:pt>
                <c:pt idx="72">
                  <c:v>6.8243201311125601</c:v>
                </c:pt>
                <c:pt idx="73">
                  <c:v>6.8821902481171797</c:v>
                </c:pt>
                <c:pt idx="74">
                  <c:v>6.9376733495135348</c:v>
                </c:pt>
                <c:pt idx="75">
                  <c:v>6.9907621378893134</c:v>
                </c:pt>
                <c:pt idx="76">
                  <c:v>7.0414500193232907</c:v>
                </c:pt>
                <c:pt idx="77">
                  <c:v>7.0897311208380716</c:v>
                </c:pt>
                <c:pt idx="78">
                  <c:v>7.1356003045877596</c:v>
                </c:pt>
                <c:pt idx="79">
                  <c:v>7.1790531783167193</c:v>
                </c:pt>
                <c:pt idx="80">
                  <c:v>7.2200861015829458</c:v>
                </c:pt>
                <c:pt idx="81">
                  <c:v>7.2586961871929105</c:v>
                </c:pt>
                <c:pt idx="82">
                  <c:v>7.2948812972436468</c:v>
                </c:pt>
                <c:pt idx="83">
                  <c:v>7.3286400331121184</c:v>
                </c:pt>
                <c:pt idx="84">
                  <c:v>7.3599717186704989</c:v>
                </c:pt>
                <c:pt idx="85">
                  <c:v>7.38887637593914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20B-4790-9A26-9CCCEB989D58}"/>
            </c:ext>
          </c:extLst>
        </c:ser>
        <c:ser>
          <c:idx val="33"/>
          <c:order val="9"/>
          <c:spPr>
            <a:ln w="508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graphbase!$B$8:$B$93</c:f>
              <c:numCache>
                <c:formatCode>General</c:formatCode>
                <c:ptCount val="86"/>
                <c:pt idx="0">
                  <c:v>0.41643116891746634</c:v>
                </c:pt>
                <c:pt idx="1">
                  <c:v>0.39865371158319912</c:v>
                </c:pt>
                <c:pt idx="2">
                  <c:v>0.37948184543909647</c:v>
                </c:pt>
                <c:pt idx="3">
                  <c:v>0.35890790520460653</c:v>
                </c:pt>
                <c:pt idx="4">
                  <c:v>0.3369243376029587</c:v>
                </c:pt>
                <c:pt idx="5">
                  <c:v>0.31352369481273845</c:v>
                </c:pt>
                <c:pt idx="6">
                  <c:v>0.28869862752254355</c:v>
                </c:pt>
                <c:pt idx="7">
                  <c:v>0.26244187760169696</c:v>
                </c:pt>
                <c:pt idx="8">
                  <c:v>0.23474627040025803</c:v>
                </c:pt>
                <c:pt idx="9">
                  <c:v>0.20560470669183284</c:v>
                </c:pt>
                <c:pt idx="10">
                  <c:v>0.17501015427289987</c:v>
                </c:pt>
                <c:pt idx="11">
                  <c:v>0.14295563923256693</c:v>
                </c:pt>
                <c:pt idx="12">
                  <c:v>0.10943423690684123</c:v>
                </c:pt>
                <c:pt idx="13">
                  <c:v>7.4439062531637221E-2</c:v>
                </c:pt>
                <c:pt idx="14">
                  <c:v>3.7963261608861064E-2</c:v>
                </c:pt>
                <c:pt idx="15">
                  <c:v>0</c:v>
                </c:pt>
                <c:pt idx="16">
                  <c:v>-3.9457546238294804E-2</c:v>
                </c:pt>
                <c:pt idx="17">
                  <c:v>-8.0416201262102943E-2</c:v>
                </c:pt>
                <c:pt idx="18">
                  <c:v>-0.12288280007707685</c:v>
                </c:pt>
                <c:pt idx="19">
                  <c:v>-0.16686419938971059</c:v>
                </c:pt>
                <c:pt idx="20">
                  <c:v>-0.21236728865856408</c:v>
                </c:pt>
                <c:pt idx="21">
                  <c:v>-0.25939900133104049</c:v>
                </c:pt>
                <c:pt idx="22">
                  <c:v>-0.30796632625141462</c:v>
                </c:pt>
                <c:pt idx="23">
                  <c:v>-0.35807631922593597</c:v>
                </c:pt>
                <c:pt idx="24">
                  <c:v>-0.40973611473098381</c:v>
                </c:pt>
                <c:pt idx="25">
                  <c:v>-0.46295293775043733</c:v>
                </c:pt>
                <c:pt idx="26">
                  <c:v>-0.5177341157286327</c:v>
                </c:pt>
                <c:pt idx="27">
                  <c:v>-0.57408709062552399</c:v>
                </c:pt>
                <c:pt idx="28">
                  <c:v>-0.63201943106093561</c:v>
                </c:pt>
                <c:pt idx="29">
                  <c:v>-0.6915388445350994</c:v>
                </c:pt>
                <c:pt idx="30">
                  <c:v>-0.75265318971300266</c:v>
                </c:pt>
                <c:pt idx="31">
                  <c:v>-0.81537048876044493</c:v>
                </c:pt>
                <c:pt idx="32">
                  <c:v>-0.87969893972010615</c:v>
                </c:pt>
                <c:pt idx="33">
                  <c:v>-0.94564692891636037</c:v>
                </c:pt>
                <c:pt idx="34">
                  <c:v>-1.0132230433780529</c:v>
                </c:pt>
                <c:pt idx="35">
                  <c:v>-1.0824360832689657</c:v>
                </c:pt>
                <c:pt idx="36">
                  <c:v>-1.1532950743162524</c:v>
                </c:pt>
                <c:pt idx="37">
                  <c:v>-1.2258092802277141</c:v>
                </c:pt>
                <c:pt idx="38">
                  <c:v>-1.2999882150894306</c:v>
                </c:pt>
                <c:pt idx="39">
                  <c:v>-1.3758416557359328</c:v>
                </c:pt>
                <c:pt idx="40">
                  <c:v>-1.453379654085843</c:v>
                </c:pt>
                <c:pt idx="41">
                  <c:v>-1.532612549436682</c:v>
                </c:pt>
                <c:pt idx="42">
                  <c:v>-1.6135509807133672</c:v>
                </c:pt>
                <c:pt idx="43">
                  <c:v>-1.6962058986658262</c:v>
                </c:pt>
                <c:pt idx="44">
                  <c:v>-1.7805885780120732</c:v>
                </c:pt>
                <c:pt idx="45">
                  <c:v>-1.8667106295241207</c:v>
                </c:pt>
                <c:pt idx="46">
                  <c:v>-1.9545840120551452</c:v>
                </c:pt>
                <c:pt idx="47">
                  <c:v>-2.044221044507486</c:v>
                </c:pt>
                <c:pt idx="48">
                  <c:v>-2.1356344177422422</c:v>
                </c:pt>
                <c:pt idx="49">
                  <c:v>-2.2288372064325408</c:v>
                </c:pt>
                <c:pt idx="50">
                  <c:v>-2.3238428808639005</c:v>
                </c:pt>
                <c:pt idx="51">
                  <c:v>-2.4206653186865834</c:v>
                </c:pt>
                <c:pt idx="52">
                  <c:v>-2.5193188166263694</c:v>
                </c:pt>
                <c:pt idx="53">
                  <c:v>-2.6198181021618456</c:v>
                </c:pt>
                <c:pt idx="54">
                  <c:v>-2.7221783451780461</c:v>
                </c:pt>
                <c:pt idx="55">
                  <c:v>-2.8264151696081661</c:v>
                </c:pt>
                <c:pt idx="56">
                  <c:v>-2.9325446650770486</c:v>
                </c:pt>
                <c:pt idx="57">
                  <c:v>-3.0405833985622817</c:v>
                </c:pt>
                <c:pt idx="58">
                  <c:v>-3.150548426091011</c:v>
                </c:pt>
                <c:pt idx="59">
                  <c:v>-3.2624573044929703</c:v>
                </c:pt>
                <c:pt idx="60">
                  <c:v>-3.3763281032328512</c:v>
                </c:pt>
                <c:pt idx="61">
                  <c:v>-3.4921794163478697</c:v>
                </c:pt>
                <c:pt idx="62">
                  <c:v>-3.6100303745193423</c:v>
                </c:pt>
                <c:pt idx="63">
                  <c:v>-3.7299006573102482</c:v>
                </c:pt>
                <c:pt idx="64">
                  <c:v>-3.8518105056041438</c:v>
                </c:pt>
                <c:pt idx="65">
                  <c:v>-3.975780734284414</c:v>
                </c:pt>
                <c:pt idx="66">
                  <c:v>-4.1018327451967185</c:v>
                </c:pt>
                <c:pt idx="67">
                  <c:v>-4.2299885404417052</c:v>
                </c:pt>
                <c:pt idx="68">
                  <c:v>-4.3602707360494986</c:v>
                </c:pt>
                <c:pt idx="69">
                  <c:v>-4.4927025760923209</c:v>
                </c:pt>
                <c:pt idx="70">
                  <c:v>-4.6273079472968019</c:v>
                </c:pt>
                <c:pt idx="71">
                  <c:v>-4.7641113942230424</c:v>
                </c:pt>
                <c:pt idx="72">
                  <c:v>-4.9031381350836236</c:v>
                </c:pt>
                <c:pt idx="73">
                  <c:v>-5.0444140782821645</c:v>
                </c:pt>
                <c:pt idx="74">
                  <c:v>-5.1879658397580384</c:v>
                </c:pt>
                <c:pt idx="75">
                  <c:v>-5.3338207612314807</c:v>
                </c:pt>
                <c:pt idx="76">
                  <c:v>-5.4820069294514289</c:v>
                </c:pt>
                <c:pt idx="77">
                  <c:v>-5.6325531965573656</c:v>
                </c:pt>
                <c:pt idx="78">
                  <c:v>-5.7854892016759525</c:v>
                </c:pt>
                <c:pt idx="79">
                  <c:v>-5.9408453938836647</c:v>
                </c:pt>
                <c:pt idx="80">
                  <c:v>-6.0986530566779349</c:v>
                </c:pt>
                <c:pt idx="81">
                  <c:v>-6.2589443341114537</c:v>
                </c:pt>
                <c:pt idx="82">
                  <c:v>-6.4217522587576772</c:v>
                </c:pt>
                <c:pt idx="83">
                  <c:v>-6.5871107816899297</c:v>
                </c:pt>
                <c:pt idx="84">
                  <c:v>-6.7550548046722589</c:v>
                </c:pt>
                <c:pt idx="85">
                  <c:v>-6.9256202147772541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20B-4790-9A26-9CCCEB989D58}"/>
            </c:ext>
          </c:extLst>
        </c:ser>
        <c:ser>
          <c:idx val="34"/>
          <c:order val="10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graphbase!$E$8:$E$93</c:f>
              <c:numCache>
                <c:formatCode>General</c:formatCode>
                <c:ptCount val="86"/>
                <c:pt idx="0">
                  <c:v>-2.9270908219365217</c:v>
                </c:pt>
                <c:pt idx="1">
                  <c:v>-2.7219668132138564</c:v>
                </c:pt>
                <c:pt idx="2">
                  <c:v>-2.5182372133010258</c:v>
                </c:pt>
                <c:pt idx="3">
                  <c:v>-2.3159096874785829</c:v>
                </c:pt>
                <c:pt idx="4">
                  <c:v>-2.1149917890232981</c:v>
                </c:pt>
                <c:pt idx="5">
                  <c:v>-1.915490965756586</c:v>
                </c:pt>
                <c:pt idx="6">
                  <c:v>-1.7174145669898484</c:v>
                </c:pt>
                <c:pt idx="7">
                  <c:v>-1.5207698508537624</c:v>
                </c:pt>
                <c:pt idx="8">
                  <c:v>-1.3255639919982687</c:v>
                </c:pt>
                <c:pt idx="9">
                  <c:v>-1.1318040896497612</c:v>
                </c:pt>
                <c:pt idx="10">
                  <c:v>-0.93949717601176164</c:v>
                </c:pt>
                <c:pt idx="11">
                  <c:v>-0.74865022499516209</c:v>
                </c:pt>
                <c:pt idx="12">
                  <c:v>-0.55927016126395523</c:v>
                </c:pt>
                <c:pt idx="13">
                  <c:v>-0.37136386958222661</c:v>
                </c:pt>
                <c:pt idx="14">
                  <c:v>-0.18493820444807013</c:v>
                </c:pt>
                <c:pt idx="15">
                  <c:v>0</c:v>
                </c:pt>
                <c:pt idx="16">
                  <c:v>0.18344391981863781</c:v>
                </c:pt>
                <c:pt idx="17">
                  <c:v>0.36538673085176232</c:v>
                </c:pt>
                <c:pt idx="18">
                  <c:v>0.54582159809372111</c:v>
                </c:pt>
                <c:pt idx="19">
                  <c:v>0.72474166483801983</c:v>
                </c:pt>
                <c:pt idx="20">
                  <c:v>0.90214004162609895</c:v>
                </c:pt>
                <c:pt idx="21">
                  <c:v>1.0780097950105552</c:v>
                </c:pt>
                <c:pt idx="22">
                  <c:v>1.2523439361471138</c:v>
                </c:pt>
                <c:pt idx="23">
                  <c:v>1.4251354092295248</c:v>
                </c:pt>
                <c:pt idx="24">
                  <c:v>1.5963770797814094</c:v>
                </c:pt>
                <c:pt idx="25">
                  <c:v>1.7660617228188884</c:v>
                </c:pt>
                <c:pt idx="26">
                  <c:v>1.9341820108976258</c:v>
                </c:pt>
                <c:pt idx="27">
                  <c:v>2.1007305020576674</c:v>
                </c:pt>
                <c:pt idx="28">
                  <c:v>2.2656996276791888</c:v>
                </c:pt>
                <c:pt idx="29">
                  <c:v>2.4290816802619579</c:v>
                </c:pt>
                <c:pt idx="30">
                  <c:v>2.5908688011409873</c:v>
                </c:pt>
                <c:pt idx="31">
                  <c:v>2.7510529681504776</c:v>
                </c:pt>
                <c:pt idx="32">
                  <c:v>2.9096259832477496</c:v>
                </c:pt>
                <c:pt idx="33">
                  <c:v>3.0665794601084282</c:v>
                </c:pt>
                <c:pt idx="34">
                  <c:v>3.2219048117036682</c:v>
                </c:pt>
                <c:pt idx="35">
                  <c:v>3.3755932378696878</c:v>
                </c:pt>
                <c:pt idx="36">
                  <c:v>3.5276357128793334</c:v>
                </c:pt>
                <c:pt idx="37">
                  <c:v>3.6780229730248051</c:v>
                </c:pt>
                <c:pt idx="38">
                  <c:v>3.8267455042200211</c:v>
                </c:pt>
                <c:pt idx="39">
                  <c:v>3.9737935296304521</c:v>
                </c:pt>
                <c:pt idx="40">
                  <c:v>4.1191569973374742</c:v>
                </c:pt>
                <c:pt idx="41">
                  <c:v>4.262825568043568</c:v>
                </c:pt>
                <c:pt idx="42">
                  <c:v>4.4047886028238157</c:v>
                </c:pt>
                <c:pt idx="43">
                  <c:v>4.5450351509282898</c:v>
                </c:pt>
                <c:pt idx="44">
                  <c:v>4.6835539376389761</c:v>
                </c:pt>
                <c:pt idx="45">
                  <c:v>4.8203333521838605</c:v>
                </c:pt>
                <c:pt idx="46">
                  <c:v>4.9553614357097695</c:v>
                </c:pt>
                <c:pt idx="47">
                  <c:v>5.0886258693143613</c:v>
                </c:pt>
                <c:pt idx="48">
                  <c:v>5.220113962136538</c:v>
                </c:pt>
                <c:pt idx="49">
                  <c:v>5.3498126395031722</c:v>
                </c:pt>
                <c:pt idx="50">
                  <c:v>5.4777084311287449</c:v>
                </c:pt>
                <c:pt idx="51">
                  <c:v>5.6037874593629953</c:v>
                </c:pt>
                <c:pt idx="52">
                  <c:v>5.7280354274801413</c:v>
                </c:pt>
                <c:pt idx="53">
                  <c:v>5.8504376080015987</c:v>
                </c:pt>
                <c:pt idx="54">
                  <c:v>5.9709788310423306</c:v>
                </c:pt>
                <c:pt idx="55">
                  <c:v>6.0896434726691417</c:v>
                </c:pt>
                <c:pt idx="56">
                  <c:v>6.2064154432571916</c:v>
                </c:pt>
                <c:pt idx="57">
                  <c:v>6.3212781758288905</c:v>
                </c:pt>
                <c:pt idx="58">
                  <c:v>6.4342146143570931</c:v>
                </c:pt>
                <c:pt idx="59">
                  <c:v>6.5452072020120653</c:v>
                </c:pt>
                <c:pt idx="60">
                  <c:v>6.6542378693291173</c:v>
                </c:pt>
                <c:pt idx="61">
                  <c:v>6.7612880222710299</c:v>
                </c:pt>
                <c:pt idx="62">
                  <c:v>6.8663385301564901</c:v>
                </c:pt>
                <c:pt idx="63">
                  <c:v>6.9693697134225161</c:v>
                </c:pt>
                <c:pt idx="64">
                  <c:v>7.070361331185552</c:v>
                </c:pt>
                <c:pt idx="65">
                  <c:v>7.1692925685622138</c:v>
                </c:pt>
                <c:pt idx="66">
                  <c:v>7.2661420237068395</c:v>
                </c:pt>
                <c:pt idx="67">
                  <c:v>7.3608876945187847</c:v>
                </c:pt>
                <c:pt idx="68">
                  <c:v>7.4535069649679233</c:v>
                </c:pt>
                <c:pt idx="69">
                  <c:v>7.5439765909820329</c:v>
                </c:pt>
                <c:pt idx="70">
                  <c:v>7.6322726858344838</c:v>
                </c:pt>
                <c:pt idx="71">
                  <c:v>7.7183707049651753</c:v>
                </c:pt>
                <c:pt idx="72">
                  <c:v>7.8022454301615261</c:v>
                </c:pt>
                <c:pt idx="73">
                  <c:v>7.8838709530199171</c:v>
                </c:pt>
                <c:pt idx="74">
                  <c:v>7.9632206576009752</c:v>
                </c:pt>
                <c:pt idx="75">
                  <c:v>8.0402672021844648</c:v>
                </c:pt>
                <c:pt idx="76">
                  <c:v>8.1149825000214477</c:v>
                </c:pt>
                <c:pt idx="77">
                  <c:v>8.1873376989724438</c:v>
                </c:pt>
                <c:pt idx="78">
                  <c:v>8.2573031599107889</c:v>
                </c:pt>
                <c:pt idx="79">
                  <c:v>8.3248484337600086</c:v>
                </c:pt>
                <c:pt idx="80">
                  <c:v>8.3899422370226695</c:v>
                </c:pt>
                <c:pt idx="81">
                  <c:v>8.4525524256460827</c:v>
                </c:pt>
                <c:pt idx="82">
                  <c:v>8.5126459670567911</c:v>
                </c:pt>
                <c:pt idx="83">
                  <c:v>8.5701889101814697</c:v>
                </c:pt>
                <c:pt idx="84">
                  <c:v>8.6251463532560724</c:v>
                </c:pt>
                <c:pt idx="85">
                  <c:v>8.6774824092080092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20B-4790-9A26-9CCCEB989D58}"/>
            </c:ext>
          </c:extLst>
        </c:ser>
        <c:ser>
          <c:idx val="35"/>
          <c:order val="11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graphbasenl!$F$8:$F$93</c:f>
              <c:numCache>
                <c:formatCode>General</c:formatCode>
                <c:ptCount val="86"/>
                <c:pt idx="0">
                  <c:v>5.0564281706901983</c:v>
                </c:pt>
                <c:pt idx="1">
                  <c:v>4.7293949386891834</c:v>
                </c:pt>
                <c:pt idx="2">
                  <c:v>4.4009493933563135</c:v>
                </c:pt>
                <c:pt idx="3">
                  <c:v>4.0710855254131086</c:v>
                </c:pt>
                <c:pt idx="4">
                  <c:v>3.7397974073812046</c:v>
                </c:pt>
                <c:pt idx="5">
                  <c:v>3.4070791895296084</c:v>
                </c:pt>
                <c:pt idx="6">
                  <c:v>3.0729250953920277</c:v>
                </c:pt>
                <c:pt idx="7">
                  <c:v>2.7373294168689899</c:v>
                </c:pt>
                <c:pt idx="8">
                  <c:v>2.4002865089296281</c:v>
                </c:pt>
                <c:pt idx="9">
                  <c:v>2.0617907839282736</c:v>
                </c:pt>
                <c:pt idx="10">
                  <c:v>1.7218367055511334</c:v>
                </c:pt>
                <c:pt idx="11">
                  <c:v>1.380418782408513</c:v>
                </c:pt>
                <c:pt idx="12">
                  <c:v>1.037531561288187</c:v>
                </c:pt>
                <c:pt idx="13">
                  <c:v>0.69316962008562022</c:v>
                </c:pt>
                <c:pt idx="14">
                  <c:v>0.34732756042686236</c:v>
                </c:pt>
                <c:pt idx="15">
                  <c:v>0</c:v>
                </c:pt>
                <c:pt idx="16">
                  <c:v>-0.34881843538889534</c:v>
                </c:pt>
                <c:pt idx="17">
                  <c:v>-0.69913312001930994</c:v>
                </c:pt>
                <c:pt idx="18">
                  <c:v>-1.0509494367033652</c:v>
                </c:pt>
                <c:pt idx="19">
                  <c:v>-1.4042727854604029</c:v>
                </c:pt>
                <c:pt idx="20">
                  <c:v>-1.7591085924031233</c:v>
                </c:pt>
                <c:pt idx="21">
                  <c:v>-2.1154623188193469</c:v>
                </c:pt>
                <c:pt idx="22">
                  <c:v>-2.4733394704335452</c:v>
                </c:pt>
                <c:pt idx="23">
                  <c:v>-2.832745606832372</c:v>
                </c:pt>
                <c:pt idx="24">
                  <c:v>-3.1936863510385241</c:v>
                </c:pt>
                <c:pt idx="25">
                  <c:v>-3.5561673992174132</c:v>
                </c:pt>
                <c:pt idx="26">
                  <c:v>-3.9201945305012518</c:v>
                </c:pt>
                <c:pt idx="27">
                  <c:v>-4.2857736169153542</c:v>
                </c:pt>
                <c:pt idx="28">
                  <c:v>-4.6529106333916364</c:v>
                </c:pt>
                <c:pt idx="29">
                  <c:v>-5.0216116678545157</c:v>
                </c:pt>
                <c:pt idx="30">
                  <c:v>-5.391882931364659</c:v>
                </c:pt>
                <c:pt idx="31">
                  <c:v>-5.7637307683062842</c:v>
                </c:pt>
                <c:pt idx="32">
                  <c:v>-6.1371616666040119</c:v>
                </c:pt>
                <c:pt idx="33">
                  <c:v>-6.512182267955577</c:v>
                </c:pt>
                <c:pt idx="34">
                  <c:v>-6.8887993780670591</c:v>
                </c:pt>
                <c:pt idx="35">
                  <c:v>-7.2670199768776147</c:v>
                </c:pt>
                <c:pt idx="36">
                  <c:v>-7.646851228761153</c:v>
                </c:pt>
                <c:pt idx="37">
                  <c:v>-8.028300492692745</c:v>
                </c:pt>
                <c:pt idx="38">
                  <c:v>-8.4113753323680509</c:v>
                </c:pt>
                <c:pt idx="39">
                  <c:v>-8.7960835262644963</c:v>
                </c:pt>
                <c:pt idx="40">
                  <c:v>-9.1824330776334779</c:v>
                </c:pt>
                <c:pt idx="41">
                  <c:v>-9.5704322244133415</c:v>
                </c:pt>
                <c:pt idx="42">
                  <c:v>-9.960089449053541</c:v>
                </c:pt>
                <c:pt idx="43">
                  <c:v>-10.351413488240913</c:v>
                </c:pt>
                <c:pt idx="44">
                  <c:v>-10.744413342519682</c:v>
                </c:pt>
                <c:pt idx="45">
                  <c:v>-11.139098285797466</c:v>
                </c:pt>
                <c:pt idx="46">
                  <c:v>-11.535477874730313</c:v>
                </c:pt>
                <c:pt idx="47">
                  <c:v>-11.933561957980489</c:v>
                </c:pt>
                <c:pt idx="48">
                  <c:v>-12.333360685341564</c:v>
                </c:pt>
                <c:pt idx="49">
                  <c:v>-12.734884516726225</c:v>
                </c:pt>
                <c:pt idx="50">
                  <c:v>-13.13814423101304</c:v>
                </c:pt>
                <c:pt idx="51">
                  <c:v>-13.543150934749439</c:v>
                </c:pt>
                <c:pt idx="52">
                  <c:v>-13.949916070709047</c:v>
                </c:pt>
                <c:pt idx="53">
                  <c:v>-14.358451426302681</c:v>
                </c:pt>
                <c:pt idx="54">
                  <c:v>-14.768769141843251</c:v>
                </c:pt>
                <c:pt idx="55">
                  <c:v>-15.180881718666114</c:v>
                </c:pt>
                <c:pt idx="56">
                  <c:v>-15.594802027107557</c:v>
                </c:pt>
                <c:pt idx="57">
                  <c:v>-16.010543314345338</c:v>
                </c:pt>
                <c:pt idx="58">
                  <c:v>-16.428119212106697</c:v>
                </c:pt>
                <c:pt idx="59">
                  <c:v>-16.847543744250491</c:v>
                </c:pt>
                <c:pt idx="60">
                  <c:v>-17.268831334231741</c:v>
                </c:pt>
                <c:pt idx="61">
                  <c:v>-17.691996812458417</c:v>
                </c:pt>
                <c:pt idx="62">
                  <c:v>-18.117055423551935</c:v>
                </c:pt>
                <c:pt idx="63">
                  <c:v>-18.544022833524611</c:v>
                </c:pt>
                <c:pt idx="64">
                  <c:v>-18.972915136889206</c:v>
                </c:pt>
                <c:pt idx="65">
                  <c:v>-19.403748863717588</c:v>
                </c:pt>
                <c:pt idx="66">
                  <c:v>-19.836540986667714</c:v>
                </c:pt>
                <c:pt idx="67">
                  <c:v>-20.271308928000227</c:v>
                </c:pt>
                <c:pt idx="68">
                  <c:v>-20.708070566608288</c:v>
                </c:pt>
                <c:pt idx="69">
                  <c:v>-21.146844245086843</c:v>
                </c:pt>
                <c:pt idx="70">
                  <c:v>-21.587648776869969</c:v>
                </c:pt>
                <c:pt idx="71">
                  <c:v>-22.03050345346773</c:v>
                </c:pt>
                <c:pt idx="72">
                  <c:v>-22.475428051837032</c:v>
                </c:pt>
                <c:pt idx="73">
                  <c:v>-22.922442841923843</c:v>
                </c:pt>
                <c:pt idx="74">
                  <c:v>-23.371568594417614</c:v>
                </c:pt>
                <c:pt idx="75">
                  <c:v>-23.822826588762162</c:v>
                </c:pt>
                <c:pt idx="76">
                  <c:v>-24.276238621470981</c:v>
                </c:pt>
                <c:pt idx="77">
                  <c:v>-24.731827014798974</c:v>
                </c:pt>
                <c:pt idx="78">
                  <c:v>-25.189614625826696</c:v>
                </c:pt>
                <c:pt idx="79">
                  <c:v>-25.649624856017841</c:v>
                </c:pt>
                <c:pt idx="80">
                  <c:v>-26.111881661315383</c:v>
                </c:pt>
                <c:pt idx="81">
                  <c:v>-26.576409562846933</c:v>
                </c:pt>
                <c:pt idx="82">
                  <c:v>-27.043233658315426</c:v>
                </c:pt>
                <c:pt idx="83">
                  <c:v>-27.51237963415694</c:v>
                </c:pt>
                <c:pt idx="84">
                  <c:v>-27.983873778553878</c:v>
                </c:pt>
                <c:pt idx="85">
                  <c:v>-28.457742995398423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420B-4790-9A26-9CCCEB989D58}"/>
            </c:ext>
          </c:extLst>
        </c:ser>
        <c:ser>
          <c:idx val="36"/>
          <c:order val="12"/>
          <c:spPr>
            <a:ln w="508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420B-4790-9A26-9CCCEB989D58}"/>
            </c:ext>
          </c:extLst>
        </c:ser>
        <c:ser>
          <c:idx val="37"/>
          <c:order val="13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graph!$F$8:$F$93</c:f>
              <c:numCache>
                <c:formatCode>General</c:formatCode>
                <c:ptCount val="86"/>
                <c:pt idx="0">
                  <c:v>4.6893065417123916</c:v>
                </c:pt>
                <c:pt idx="1">
                  <c:v>4.3871059576473188</c:v>
                </c:pt>
                <c:pt idx="2">
                  <c:v>4.0834733412390891</c:v>
                </c:pt>
                <c:pt idx="3">
                  <c:v>3.7783948702391332</c:v>
                </c:pt>
                <c:pt idx="4">
                  <c:v>3.4718570438841745</c:v>
                </c:pt>
                <c:pt idx="5">
                  <c:v>3.163846653782171</c:v>
                </c:pt>
                <c:pt idx="6">
                  <c:v>2.8543507554371073</c:v>
                </c:pt>
                <c:pt idx="7">
                  <c:v>2.5433566404343355</c:v>
                </c:pt>
                <c:pt idx="8">
                  <c:v>2.2308518093087395</c:v>
                </c:pt>
                <c:pt idx="9">
                  <c:v>1.9168239451185125</c:v>
                </c:pt>
                <c:pt idx="10">
                  <c:v>1.6012608877477987</c:v>
                </c:pt>
                <c:pt idx="11">
                  <c:v>1.2841506089618526</c:v>
                </c:pt>
                <c:pt idx="12">
                  <c:v>0.96548118823869311</c:v>
                </c:pt>
                <c:pt idx="13">
                  <c:v>0.64524078940153184</c:v>
                </c:pt>
                <c:pt idx="14">
                  <c:v>0.32341763807645257</c:v>
                </c:pt>
                <c:pt idx="15">
                  <c:v>0</c:v>
                </c:pt>
                <c:pt idx="16">
                  <c:v>-0.32502383979858662</c:v>
                </c:pt>
                <c:pt idx="17">
                  <c:v>-0.65166559691566905</c:v>
                </c:pt>
                <c:pt idx="18">
                  <c:v>-0.97993700656730076</c:v>
                </c:pt>
                <c:pt idx="19">
                  <c:v>-1.3098498416343818</c:v>
                </c:pt>
                <c:pt idx="20">
                  <c:v>-1.641415929734336</c:v>
                </c:pt>
                <c:pt idx="21">
                  <c:v>-1.9746471692949472</c:v>
                </c:pt>
                <c:pt idx="22">
                  <c:v>-2.3095555446062668</c:v>
                </c:pt>
                <c:pt idx="23">
                  <c:v>-2.6461531398268336</c:v>
                </c:pt>
                <c:pt idx="24">
                  <c:v>-2.9844521519208409</c:v>
                </c:pt>
                <c:pt idx="25">
                  <c:v>-3.3244649025033541</c:v>
                </c:pt>
                <c:pt idx="26">
                  <c:v>-3.6662038485712145</c:v>
                </c:pt>
                <c:pt idx="27">
                  <c:v>-4.0096815920978788</c:v>
                </c:pt>
                <c:pt idx="28">
                  <c:v>-4.3549108884711112</c:v>
                </c:pt>
                <c:pt idx="29">
                  <c:v>-4.7019046537532345</c:v>
                </c:pt>
                <c:pt idx="30">
                  <c:v>-5.0506759707444413</c:v>
                </c:pt>
                <c:pt idx="31">
                  <c:v>-5.4012380938306386</c:v>
                </c:pt>
                <c:pt idx="32">
                  <c:v>-5.7536044525982781</c:v>
                </c:pt>
                <c:pt idx="33">
                  <c:v>-6.1077886541997426</c:v>
                </c:pt>
                <c:pt idx="34">
                  <c:v>-6.4638044844540499</c:v>
                </c:pt>
                <c:pt idx="35">
                  <c:v>-6.8216659076689563</c:v>
                </c:pt>
                <c:pt idx="36">
                  <c:v>-7.1813870651719069</c:v>
                </c:pt>
                <c:pt idx="37">
                  <c:v>-7.5429822725388478</c:v>
                </c:pt>
                <c:pt idx="38">
                  <c:v>-7.9064660155115316</c:v>
                </c:pt>
                <c:pt idx="39">
                  <c:v>-8.2718529445957003</c:v>
                </c:pt>
                <c:pt idx="40">
                  <c:v>-8.6391578683344434</c:v>
                </c:pt>
                <c:pt idx="41">
                  <c:v>-9.0083957452530719</c:v>
                </c:pt>
                <c:pt idx="42">
                  <c:v>-9.3795816744740268</c:v>
                </c:pt>
                <c:pt idx="43">
                  <c:v>-9.752730885002693</c:v>
                </c:pt>
                <c:pt idx="44">
                  <c:v>-10.127858723687551</c:v>
                </c:pt>
                <c:pt idx="45">
                  <c:v>-10.504980641860735</c:v>
                </c:pt>
                <c:pt idx="46">
                  <c:v>-10.88411218066806</c:v>
                </c:pt>
                <c:pt idx="47">
                  <c:v>-11.26526895510065</c:v>
                </c:pt>
                <c:pt idx="48">
                  <c:v>-11.648466636743645</c:v>
                </c:pt>
                <c:pt idx="49">
                  <c:v>-12.033720935261091</c:v>
                </c:pt>
                <c:pt idx="50">
                  <c:v>-12.421047578639968</c:v>
                </c:pt>
                <c:pt idx="51">
                  <c:v>-12.810462292220436</c:v>
                </c:pt>
                <c:pt idx="52">
                  <c:v>-13.201980776543856</c:v>
                </c:pt>
                <c:pt idx="53">
                  <c:v>-13.595618684054937</c:v>
                </c:pt>
                <c:pt idx="54">
                  <c:v>-13.991391594699488</c:v>
                </c:pt>
                <c:pt idx="55">
                  <c:v>-14.389314990464813</c:v>
                </c:pt>
                <c:pt idx="56">
                  <c:v>-14.78940422891576</c:v>
                </c:pt>
                <c:pt idx="57">
                  <c:v>-15.191674515785827</c:v>
                </c:pt>
                <c:pt idx="58">
                  <c:v>-15.596140876689734</c:v>
                </c:pt>
                <c:pt idx="59">
                  <c:v>-16.002818128031222</c:v>
                </c:pt>
                <c:pt idx="60">
                  <c:v>-16.411720847188047</c:v>
                </c:pt>
                <c:pt idx="61">
                  <c:v>-16.822863342064736</c:v>
                </c:pt>
                <c:pt idx="62">
                  <c:v>-17.236259620113149</c:v>
                </c:pt>
                <c:pt idx="63">
                  <c:v>-17.651923356931036</c:v>
                </c:pt>
                <c:pt idx="64">
                  <c:v>-18.069867864559868</c:v>
                </c:pt>
                <c:pt idx="65">
                  <c:v>-18.490106059615002</c:v>
                </c:pt>
                <c:pt idx="66">
                  <c:v>-18.912650431394415</c:v>
                </c:pt>
                <c:pt idx="67">
                  <c:v>-19.337513010125999</c:v>
                </c:pt>
                <c:pt idx="68">
                  <c:v>-19.764705335528827</c:v>
                </c:pt>
                <c:pt idx="69">
                  <c:v>-20.194238425880251</c:v>
                </c:pt>
                <c:pt idx="70">
                  <c:v>-20.626122747798657</c:v>
                </c:pt>
                <c:pt idx="71">
                  <c:v>-21.060368186971228</c:v>
                </c:pt>
                <c:pt idx="72">
                  <c:v>-21.496984020077331</c:v>
                </c:pt>
                <c:pt idx="73">
                  <c:v>-21.935978888181303</c:v>
                </c:pt>
                <c:pt idx="74">
                  <c:v>-22.377360771893542</c:v>
                </c:pt>
                <c:pt idx="75">
                  <c:v>-22.821136968626355</c:v>
                </c:pt>
                <c:pt idx="76">
                  <c:v>-23.267314072300969</c:v>
                </c:pt>
                <c:pt idx="77">
                  <c:v>-23.715897955894786</c:v>
                </c:pt>
                <c:pt idx="78">
                  <c:v>-24.166893757253689</c:v>
                </c:pt>
                <c:pt idx="79">
                  <c:v>-24.620305868633324</c:v>
                </c:pt>
                <c:pt idx="80">
                  <c:v>-25.076137930475689</c:v>
                </c:pt>
                <c:pt idx="81">
                  <c:v>-25.534392829974315</c:v>
                </c:pt>
                <c:pt idx="82">
                  <c:v>-25.995072705032175</c:v>
                </c:pt>
                <c:pt idx="83">
                  <c:v>-26.458178954272299</c:v>
                </c:pt>
                <c:pt idx="84">
                  <c:v>-26.923712253822508</c:v>
                </c:pt>
                <c:pt idx="85">
                  <c:v>-27.391672581662462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420B-4790-9A26-9CCCEB989D58}"/>
            </c:ext>
          </c:extLst>
        </c:ser>
        <c:ser>
          <c:idx val="38"/>
          <c:order val="14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graph!$E$8:$E$93</c:f>
              <c:numCache>
                <c:formatCode>General</c:formatCode>
                <c:ptCount val="86"/>
                <c:pt idx="0">
                  <c:v>-2.7636682349165302</c:v>
                </c:pt>
                <c:pt idx="1">
                  <c:v>-2.5690038338730079</c:v>
                </c:pt>
                <c:pt idx="2">
                  <c:v>-2.3757714651726416</c:v>
                </c:pt>
                <c:pt idx="3">
                  <c:v>-2.1839849510640024</c:v>
                </c:pt>
                <c:pt idx="4">
                  <c:v>-1.993657792310366</c:v>
                </c:pt>
                <c:pt idx="5">
                  <c:v>-1.8048031973037744</c:v>
                </c:pt>
                <c:pt idx="6">
                  <c:v>-1.6174341105402434</c:v>
                </c:pt>
                <c:pt idx="7">
                  <c:v>-1.4315632404344203</c:v>
                </c:pt>
                <c:pt idx="8">
                  <c:v>-1.2472030864514214</c:v>
                </c:pt>
                <c:pt idx="9">
                  <c:v>-1.0643659655330537</c:v>
                </c:pt>
                <c:pt idx="10">
                  <c:v>-0.88306403779517262</c:v>
                </c:pt>
                <c:pt idx="11">
                  <c:v>-0.70330933147252406</c:v>
                </c:pt>
                <c:pt idx="12">
                  <c:v>-0.52511376708708857</c:v>
                </c:pt>
                <c:pt idx="13">
                  <c:v>-0.34848918081565494</c:v>
                </c:pt>
                <c:pt idx="14">
                  <c:v>-0.17344734703213924</c:v>
                </c:pt>
                <c:pt idx="15">
                  <c:v>0</c:v>
                </c:pt>
                <c:pt idx="16">
                  <c:v>0.17184114531000835</c:v>
                </c:pt>
                <c:pt idx="17">
                  <c:v>0.34206437330152084</c:v>
                </c:pt>
                <c:pt idx="18">
                  <c:v>0.51065794875848436</c:v>
                </c:pt>
                <c:pt idx="19">
                  <c:v>0.67761009879999812</c:v>
                </c:pt>
                <c:pt idx="20">
                  <c:v>0.84290899580863865</c:v>
                </c:pt>
                <c:pt idx="21">
                  <c:v>1.0065427413566224</c:v>
                </c:pt>
                <c:pt idx="22">
                  <c:v>1.1684993511538977</c:v>
                </c:pt>
                <c:pt idx="23">
                  <c:v>1.3287667410419255</c:v>
                </c:pt>
                <c:pt idx="24">
                  <c:v>1.4873327140565129</c:v>
                </c:pt>
                <c:pt idx="25">
                  <c:v>1.6441849485825943</c:v>
                </c:pt>
                <c:pt idx="26">
                  <c:v>1.7993109876233289</c:v>
                </c:pt>
                <c:pt idx="27">
                  <c:v>1.9526982292052608</c:v>
                </c:pt>
                <c:pt idx="28">
                  <c:v>2.1043339179406231</c:v>
                </c:pt>
                <c:pt idx="29">
                  <c:v>2.2542051377670949</c:v>
                </c:pt>
                <c:pt idx="30">
                  <c:v>2.4022988058844832</c:v>
                </c:pt>
                <c:pt idx="31">
                  <c:v>2.5486016679068815</c:v>
                </c:pt>
                <c:pt idx="32">
                  <c:v>2.6931002942478379</c:v>
                </c:pt>
                <c:pt idx="33">
                  <c:v>2.8357810777549695</c:v>
                </c:pt>
                <c:pt idx="34">
                  <c:v>2.976630232609256</c:v>
                </c:pt>
                <c:pt idx="35">
                  <c:v>3.1156337945029438</c:v>
                </c:pt>
                <c:pt idx="36">
                  <c:v>3.2527776221085896</c:v>
                </c:pt>
                <c:pt idx="37">
                  <c:v>3.3880473998502438</c:v>
                </c:pt>
                <c:pt idx="38">
                  <c:v>3.5214286419861556</c:v>
                </c:pt>
                <c:pt idx="39">
                  <c:v>3.6529066980105824</c:v>
                </c:pt>
                <c:pt idx="40">
                  <c:v>3.7824667593804349</c:v>
                </c:pt>
                <c:pt idx="41">
                  <c:v>3.9100938675704007</c:v>
                </c:pt>
                <c:pt idx="42">
                  <c:v>4.0357729234580431</c:v>
                </c:pt>
                <c:pt idx="43">
                  <c:v>4.1594886980379702</c:v>
                </c:pt>
                <c:pt idx="44">
                  <c:v>4.2812258444617086</c:v>
                </c:pt>
                <c:pt idx="45">
                  <c:v>4.4009689113971211</c:v>
                </c:pt>
                <c:pt idx="46">
                  <c:v>4.5187023576983911</c:v>
                </c:pt>
                <c:pt idx="47">
                  <c:v>4.6344105683743955</c:v>
                </c:pt>
                <c:pt idx="48">
                  <c:v>4.7480778718399961</c:v>
                </c:pt>
                <c:pt idx="49">
                  <c:v>4.8596885584311451</c:v>
                </c:pt>
                <c:pt idx="50">
                  <c:v>4.969226900160864</c:v>
                </c:pt>
                <c:pt idx="51">
                  <c:v>5.0766771716889902</c:v>
                </c:pt>
                <c:pt idx="52">
                  <c:v>5.1820236724741671</c:v>
                </c:pt>
                <c:pt idx="53">
                  <c:v>5.2852507500716808</c:v>
                </c:pt>
                <c:pt idx="54">
                  <c:v>5.3863428245357241</c:v>
                </c:pt>
                <c:pt idx="55">
                  <c:v>5.4852844138789933</c:v>
                </c:pt>
                <c:pt idx="56">
                  <c:v>5.5820601605366411</c:v>
                </c:pt>
                <c:pt idx="57">
                  <c:v>5.6766548587751666</c:v>
                </c:pt>
                <c:pt idx="58">
                  <c:v>5.7690534829798521</c:v>
                </c:pt>
                <c:pt idx="59">
                  <c:v>5.8592412167469581</c:v>
                </c:pt>
                <c:pt idx="60">
                  <c:v>5.9472034826987263</c:v>
                </c:pt>
                <c:pt idx="61">
                  <c:v>6.032925972930629</c:v>
                </c:pt>
                <c:pt idx="62">
                  <c:v>6.1163946799908109</c:v>
                </c:pt>
                <c:pt idx="63">
                  <c:v>6.1975959282815154</c:v>
                </c:pt>
                <c:pt idx="64">
                  <c:v>6.2765164057612797</c:v>
                </c:pt>
                <c:pt idx="65">
                  <c:v>6.3531431958147353</c:v>
                </c:pt>
                <c:pt idx="66">
                  <c:v>6.4274638091439149</c:v>
                </c:pt>
                <c:pt idx="67">
                  <c:v>6.4994662155209255</c:v>
                </c:pt>
                <c:pt idx="68">
                  <c:v>6.5691388752266917</c:v>
                </c:pt>
                <c:pt idx="69">
                  <c:v>6.636470769983859</c:v>
                </c:pt>
                <c:pt idx="70">
                  <c:v>6.7014514331740456</c:v>
                </c:pt>
                <c:pt idx="71">
                  <c:v>6.7640709791100697</c:v>
                </c:pt>
                <c:pt idx="72">
                  <c:v>6.8243201311125601</c:v>
                </c:pt>
                <c:pt idx="73">
                  <c:v>6.8821902481171797</c:v>
                </c:pt>
                <c:pt idx="74">
                  <c:v>6.9376733495135348</c:v>
                </c:pt>
                <c:pt idx="75">
                  <c:v>6.9907621378893134</c:v>
                </c:pt>
                <c:pt idx="76">
                  <c:v>7.0414500193232907</c:v>
                </c:pt>
                <c:pt idx="77">
                  <c:v>7.0897311208380716</c:v>
                </c:pt>
                <c:pt idx="78">
                  <c:v>7.1356003045877596</c:v>
                </c:pt>
                <c:pt idx="79">
                  <c:v>7.1790531783167193</c:v>
                </c:pt>
                <c:pt idx="80">
                  <c:v>7.2200861015829458</c:v>
                </c:pt>
                <c:pt idx="81">
                  <c:v>7.2586961871929105</c:v>
                </c:pt>
                <c:pt idx="82">
                  <c:v>7.2948812972436468</c:v>
                </c:pt>
                <c:pt idx="83">
                  <c:v>7.3286400331121184</c:v>
                </c:pt>
                <c:pt idx="84">
                  <c:v>7.3599717186704989</c:v>
                </c:pt>
                <c:pt idx="85">
                  <c:v>7.38887637593914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420B-4790-9A26-9CCCEB989D58}"/>
            </c:ext>
          </c:extLst>
        </c:ser>
        <c:ser>
          <c:idx val="39"/>
          <c:order val="15"/>
          <c:spPr>
            <a:ln w="508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graphbase!$B$8:$B$93</c:f>
              <c:numCache>
                <c:formatCode>General</c:formatCode>
                <c:ptCount val="86"/>
                <c:pt idx="0">
                  <c:v>0.41643116891746634</c:v>
                </c:pt>
                <c:pt idx="1">
                  <c:v>0.39865371158319912</c:v>
                </c:pt>
                <c:pt idx="2">
                  <c:v>0.37948184543909647</c:v>
                </c:pt>
                <c:pt idx="3">
                  <c:v>0.35890790520460653</c:v>
                </c:pt>
                <c:pt idx="4">
                  <c:v>0.3369243376029587</c:v>
                </c:pt>
                <c:pt idx="5">
                  <c:v>0.31352369481273845</c:v>
                </c:pt>
                <c:pt idx="6">
                  <c:v>0.28869862752254355</c:v>
                </c:pt>
                <c:pt idx="7">
                  <c:v>0.26244187760169696</c:v>
                </c:pt>
                <c:pt idx="8">
                  <c:v>0.23474627040025803</c:v>
                </c:pt>
                <c:pt idx="9">
                  <c:v>0.20560470669183284</c:v>
                </c:pt>
                <c:pt idx="10">
                  <c:v>0.17501015427289987</c:v>
                </c:pt>
                <c:pt idx="11">
                  <c:v>0.14295563923256693</c:v>
                </c:pt>
                <c:pt idx="12">
                  <c:v>0.10943423690684123</c:v>
                </c:pt>
                <c:pt idx="13">
                  <c:v>7.4439062531637221E-2</c:v>
                </c:pt>
                <c:pt idx="14">
                  <c:v>3.7963261608861064E-2</c:v>
                </c:pt>
                <c:pt idx="15">
                  <c:v>0</c:v>
                </c:pt>
                <c:pt idx="16">
                  <c:v>-3.9457546238294804E-2</c:v>
                </c:pt>
                <c:pt idx="17">
                  <c:v>-8.0416201262102943E-2</c:v>
                </c:pt>
                <c:pt idx="18">
                  <c:v>-0.12288280007707685</c:v>
                </c:pt>
                <c:pt idx="19">
                  <c:v>-0.16686419938971059</c:v>
                </c:pt>
                <c:pt idx="20">
                  <c:v>-0.21236728865856408</c:v>
                </c:pt>
                <c:pt idx="21">
                  <c:v>-0.25939900133104049</c:v>
                </c:pt>
                <c:pt idx="22">
                  <c:v>-0.30796632625141462</c:v>
                </c:pt>
                <c:pt idx="23">
                  <c:v>-0.35807631922593597</c:v>
                </c:pt>
                <c:pt idx="24">
                  <c:v>-0.40973611473098381</c:v>
                </c:pt>
                <c:pt idx="25">
                  <c:v>-0.46295293775043733</c:v>
                </c:pt>
                <c:pt idx="26">
                  <c:v>-0.5177341157286327</c:v>
                </c:pt>
                <c:pt idx="27">
                  <c:v>-0.57408709062552399</c:v>
                </c:pt>
                <c:pt idx="28">
                  <c:v>-0.63201943106093561</c:v>
                </c:pt>
                <c:pt idx="29">
                  <c:v>-0.6915388445350994</c:v>
                </c:pt>
                <c:pt idx="30">
                  <c:v>-0.75265318971300266</c:v>
                </c:pt>
                <c:pt idx="31">
                  <c:v>-0.81537048876044493</c:v>
                </c:pt>
                <c:pt idx="32">
                  <c:v>-0.87969893972010615</c:v>
                </c:pt>
                <c:pt idx="33">
                  <c:v>-0.94564692891636037</c:v>
                </c:pt>
                <c:pt idx="34">
                  <c:v>-1.0132230433780529</c:v>
                </c:pt>
                <c:pt idx="35">
                  <c:v>-1.0824360832689657</c:v>
                </c:pt>
                <c:pt idx="36">
                  <c:v>-1.1532950743162524</c:v>
                </c:pt>
                <c:pt idx="37">
                  <c:v>-1.2258092802277141</c:v>
                </c:pt>
                <c:pt idx="38">
                  <c:v>-1.2999882150894306</c:v>
                </c:pt>
                <c:pt idx="39">
                  <c:v>-1.3758416557359328</c:v>
                </c:pt>
                <c:pt idx="40">
                  <c:v>-1.453379654085843</c:v>
                </c:pt>
                <c:pt idx="41">
                  <c:v>-1.532612549436682</c:v>
                </c:pt>
                <c:pt idx="42">
                  <c:v>-1.6135509807133672</c:v>
                </c:pt>
                <c:pt idx="43">
                  <c:v>-1.6962058986658262</c:v>
                </c:pt>
                <c:pt idx="44">
                  <c:v>-1.7805885780120732</c:v>
                </c:pt>
                <c:pt idx="45">
                  <c:v>-1.8667106295241207</c:v>
                </c:pt>
                <c:pt idx="46">
                  <c:v>-1.9545840120551452</c:v>
                </c:pt>
                <c:pt idx="47">
                  <c:v>-2.044221044507486</c:v>
                </c:pt>
                <c:pt idx="48">
                  <c:v>-2.1356344177422422</c:v>
                </c:pt>
                <c:pt idx="49">
                  <c:v>-2.2288372064325408</c:v>
                </c:pt>
                <c:pt idx="50">
                  <c:v>-2.3238428808639005</c:v>
                </c:pt>
                <c:pt idx="51">
                  <c:v>-2.4206653186865834</c:v>
                </c:pt>
                <c:pt idx="52">
                  <c:v>-2.5193188166263694</c:v>
                </c:pt>
                <c:pt idx="53">
                  <c:v>-2.6198181021618456</c:v>
                </c:pt>
                <c:pt idx="54">
                  <c:v>-2.7221783451780461</c:v>
                </c:pt>
                <c:pt idx="55">
                  <c:v>-2.8264151696081661</c:v>
                </c:pt>
                <c:pt idx="56">
                  <c:v>-2.9325446650770486</c:v>
                </c:pt>
                <c:pt idx="57">
                  <c:v>-3.0405833985622817</c:v>
                </c:pt>
                <c:pt idx="58">
                  <c:v>-3.150548426091011</c:v>
                </c:pt>
                <c:pt idx="59">
                  <c:v>-3.2624573044929703</c:v>
                </c:pt>
                <c:pt idx="60">
                  <c:v>-3.3763281032328512</c:v>
                </c:pt>
                <c:pt idx="61">
                  <c:v>-3.4921794163478697</c:v>
                </c:pt>
                <c:pt idx="62">
                  <c:v>-3.6100303745193423</c:v>
                </c:pt>
                <c:pt idx="63">
                  <c:v>-3.7299006573102482</c:v>
                </c:pt>
                <c:pt idx="64">
                  <c:v>-3.8518105056041438</c:v>
                </c:pt>
                <c:pt idx="65">
                  <c:v>-3.975780734284414</c:v>
                </c:pt>
                <c:pt idx="66">
                  <c:v>-4.1018327451967185</c:v>
                </c:pt>
                <c:pt idx="67">
                  <c:v>-4.2299885404417052</c:v>
                </c:pt>
                <c:pt idx="68">
                  <c:v>-4.3602707360494986</c:v>
                </c:pt>
                <c:pt idx="69">
                  <c:v>-4.4927025760923209</c:v>
                </c:pt>
                <c:pt idx="70">
                  <c:v>-4.6273079472968019</c:v>
                </c:pt>
                <c:pt idx="71">
                  <c:v>-4.7641113942230424</c:v>
                </c:pt>
                <c:pt idx="72">
                  <c:v>-4.9031381350836236</c:v>
                </c:pt>
                <c:pt idx="73">
                  <c:v>-5.0444140782821645</c:v>
                </c:pt>
                <c:pt idx="74">
                  <c:v>-5.1879658397580384</c:v>
                </c:pt>
                <c:pt idx="75">
                  <c:v>-5.3338207612314807</c:v>
                </c:pt>
                <c:pt idx="76">
                  <c:v>-5.4820069294514289</c:v>
                </c:pt>
                <c:pt idx="77">
                  <c:v>-5.6325531965573656</c:v>
                </c:pt>
                <c:pt idx="78">
                  <c:v>-5.7854892016759525</c:v>
                </c:pt>
                <c:pt idx="79">
                  <c:v>-5.9408453938836647</c:v>
                </c:pt>
                <c:pt idx="80">
                  <c:v>-6.0986530566779349</c:v>
                </c:pt>
                <c:pt idx="81">
                  <c:v>-6.2589443341114537</c:v>
                </c:pt>
                <c:pt idx="82">
                  <c:v>-6.4217522587576772</c:v>
                </c:pt>
                <c:pt idx="83">
                  <c:v>-6.5871107816899297</c:v>
                </c:pt>
                <c:pt idx="84">
                  <c:v>-6.7550548046722589</c:v>
                </c:pt>
                <c:pt idx="85">
                  <c:v>-6.9256202147772541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420B-4790-9A26-9CCCEB989D58}"/>
            </c:ext>
          </c:extLst>
        </c:ser>
        <c:ser>
          <c:idx val="40"/>
          <c:order val="16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graphbase!$E$8:$E$93</c:f>
              <c:numCache>
                <c:formatCode>General</c:formatCode>
                <c:ptCount val="86"/>
                <c:pt idx="0">
                  <c:v>-2.9270908219365217</c:v>
                </c:pt>
                <c:pt idx="1">
                  <c:v>-2.7219668132138564</c:v>
                </c:pt>
                <c:pt idx="2">
                  <c:v>-2.5182372133010258</c:v>
                </c:pt>
                <c:pt idx="3">
                  <c:v>-2.3159096874785829</c:v>
                </c:pt>
                <c:pt idx="4">
                  <c:v>-2.1149917890232981</c:v>
                </c:pt>
                <c:pt idx="5">
                  <c:v>-1.915490965756586</c:v>
                </c:pt>
                <c:pt idx="6">
                  <c:v>-1.7174145669898484</c:v>
                </c:pt>
                <c:pt idx="7">
                  <c:v>-1.5207698508537624</c:v>
                </c:pt>
                <c:pt idx="8">
                  <c:v>-1.3255639919982687</c:v>
                </c:pt>
                <c:pt idx="9">
                  <c:v>-1.1318040896497612</c:v>
                </c:pt>
                <c:pt idx="10">
                  <c:v>-0.93949717601176164</c:v>
                </c:pt>
                <c:pt idx="11">
                  <c:v>-0.74865022499516209</c:v>
                </c:pt>
                <c:pt idx="12">
                  <c:v>-0.55927016126395523</c:v>
                </c:pt>
                <c:pt idx="13">
                  <c:v>-0.37136386958222661</c:v>
                </c:pt>
                <c:pt idx="14">
                  <c:v>-0.18493820444807013</c:v>
                </c:pt>
                <c:pt idx="15">
                  <c:v>0</c:v>
                </c:pt>
                <c:pt idx="16">
                  <c:v>0.18344391981863781</c:v>
                </c:pt>
                <c:pt idx="17">
                  <c:v>0.36538673085176232</c:v>
                </c:pt>
                <c:pt idx="18">
                  <c:v>0.54582159809372111</c:v>
                </c:pt>
                <c:pt idx="19">
                  <c:v>0.72474166483801983</c:v>
                </c:pt>
                <c:pt idx="20">
                  <c:v>0.90214004162609895</c:v>
                </c:pt>
                <c:pt idx="21">
                  <c:v>1.0780097950105552</c:v>
                </c:pt>
                <c:pt idx="22">
                  <c:v>1.2523439361471138</c:v>
                </c:pt>
                <c:pt idx="23">
                  <c:v>1.4251354092295248</c:v>
                </c:pt>
                <c:pt idx="24">
                  <c:v>1.5963770797814094</c:v>
                </c:pt>
                <c:pt idx="25">
                  <c:v>1.7660617228188884</c:v>
                </c:pt>
                <c:pt idx="26">
                  <c:v>1.9341820108976258</c:v>
                </c:pt>
                <c:pt idx="27">
                  <c:v>2.1007305020576674</c:v>
                </c:pt>
                <c:pt idx="28">
                  <c:v>2.2656996276791888</c:v>
                </c:pt>
                <c:pt idx="29">
                  <c:v>2.4290816802619579</c:v>
                </c:pt>
                <c:pt idx="30">
                  <c:v>2.5908688011409873</c:v>
                </c:pt>
                <c:pt idx="31">
                  <c:v>2.7510529681504776</c:v>
                </c:pt>
                <c:pt idx="32">
                  <c:v>2.9096259832477496</c:v>
                </c:pt>
                <c:pt idx="33">
                  <c:v>3.0665794601084282</c:v>
                </c:pt>
                <c:pt idx="34">
                  <c:v>3.2219048117036682</c:v>
                </c:pt>
                <c:pt idx="35">
                  <c:v>3.3755932378696878</c:v>
                </c:pt>
                <c:pt idx="36">
                  <c:v>3.5276357128793334</c:v>
                </c:pt>
                <c:pt idx="37">
                  <c:v>3.6780229730248051</c:v>
                </c:pt>
                <c:pt idx="38">
                  <c:v>3.8267455042200211</c:v>
                </c:pt>
                <c:pt idx="39">
                  <c:v>3.9737935296304521</c:v>
                </c:pt>
                <c:pt idx="40">
                  <c:v>4.1191569973374742</c:v>
                </c:pt>
                <c:pt idx="41">
                  <c:v>4.262825568043568</c:v>
                </c:pt>
                <c:pt idx="42">
                  <c:v>4.4047886028238157</c:v>
                </c:pt>
                <c:pt idx="43">
                  <c:v>4.5450351509282898</c:v>
                </c:pt>
                <c:pt idx="44">
                  <c:v>4.6835539376389761</c:v>
                </c:pt>
                <c:pt idx="45">
                  <c:v>4.8203333521838605</c:v>
                </c:pt>
                <c:pt idx="46">
                  <c:v>4.9553614357097695</c:v>
                </c:pt>
                <c:pt idx="47">
                  <c:v>5.0886258693143613</c:v>
                </c:pt>
                <c:pt idx="48">
                  <c:v>5.220113962136538</c:v>
                </c:pt>
                <c:pt idx="49">
                  <c:v>5.3498126395031722</c:v>
                </c:pt>
                <c:pt idx="50">
                  <c:v>5.4777084311287449</c:v>
                </c:pt>
                <c:pt idx="51">
                  <c:v>5.6037874593629953</c:v>
                </c:pt>
                <c:pt idx="52">
                  <c:v>5.7280354274801413</c:v>
                </c:pt>
                <c:pt idx="53">
                  <c:v>5.8504376080015987</c:v>
                </c:pt>
                <c:pt idx="54">
                  <c:v>5.9709788310423306</c:v>
                </c:pt>
                <c:pt idx="55">
                  <c:v>6.0896434726691417</c:v>
                </c:pt>
                <c:pt idx="56">
                  <c:v>6.2064154432571916</c:v>
                </c:pt>
                <c:pt idx="57">
                  <c:v>6.3212781758288905</c:v>
                </c:pt>
                <c:pt idx="58">
                  <c:v>6.4342146143570931</c:v>
                </c:pt>
                <c:pt idx="59">
                  <c:v>6.5452072020120653</c:v>
                </c:pt>
                <c:pt idx="60">
                  <c:v>6.6542378693291173</c:v>
                </c:pt>
                <c:pt idx="61">
                  <c:v>6.7612880222710299</c:v>
                </c:pt>
                <c:pt idx="62">
                  <c:v>6.8663385301564901</c:v>
                </c:pt>
                <c:pt idx="63">
                  <c:v>6.9693697134225161</c:v>
                </c:pt>
                <c:pt idx="64">
                  <c:v>7.070361331185552</c:v>
                </c:pt>
                <c:pt idx="65">
                  <c:v>7.1692925685622138</c:v>
                </c:pt>
                <c:pt idx="66">
                  <c:v>7.2661420237068395</c:v>
                </c:pt>
                <c:pt idx="67">
                  <c:v>7.3608876945187847</c:v>
                </c:pt>
                <c:pt idx="68">
                  <c:v>7.4535069649679233</c:v>
                </c:pt>
                <c:pt idx="69">
                  <c:v>7.5439765909820329</c:v>
                </c:pt>
                <c:pt idx="70">
                  <c:v>7.6322726858344838</c:v>
                </c:pt>
                <c:pt idx="71">
                  <c:v>7.7183707049651753</c:v>
                </c:pt>
                <c:pt idx="72">
                  <c:v>7.8022454301615261</c:v>
                </c:pt>
                <c:pt idx="73">
                  <c:v>7.8838709530199171</c:v>
                </c:pt>
                <c:pt idx="74">
                  <c:v>7.9632206576009752</c:v>
                </c:pt>
                <c:pt idx="75">
                  <c:v>8.0402672021844648</c:v>
                </c:pt>
                <c:pt idx="76">
                  <c:v>8.1149825000214477</c:v>
                </c:pt>
                <c:pt idx="77">
                  <c:v>8.1873376989724438</c:v>
                </c:pt>
                <c:pt idx="78">
                  <c:v>8.2573031599107889</c:v>
                </c:pt>
                <c:pt idx="79">
                  <c:v>8.3248484337600086</c:v>
                </c:pt>
                <c:pt idx="80">
                  <c:v>8.3899422370226695</c:v>
                </c:pt>
                <c:pt idx="81">
                  <c:v>8.4525524256460827</c:v>
                </c:pt>
                <c:pt idx="82">
                  <c:v>8.5126459670567911</c:v>
                </c:pt>
                <c:pt idx="83">
                  <c:v>8.5701889101814697</c:v>
                </c:pt>
                <c:pt idx="84">
                  <c:v>8.6251463532560724</c:v>
                </c:pt>
                <c:pt idx="85">
                  <c:v>8.6774824092080092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420B-4790-9A26-9CCCEB989D58}"/>
            </c:ext>
          </c:extLst>
        </c:ser>
        <c:ser>
          <c:idx val="41"/>
          <c:order val="17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graphbase!$F$8:$F$93</c:f>
              <c:numCache>
                <c:formatCode>General</c:formatCode>
                <c:ptCount val="86"/>
                <c:pt idx="0">
                  <c:v>5.1561659190455194</c:v>
                </c:pt>
                <c:pt idx="1">
                  <c:v>4.822406145036048</c:v>
                </c:pt>
                <c:pt idx="2">
                  <c:v>4.4872519622167424</c:v>
                </c:pt>
                <c:pt idx="3">
                  <c:v>4.1506957053070481</c:v>
                </c:pt>
                <c:pt idx="4">
                  <c:v>3.8127298210301963</c:v>
                </c:pt>
                <c:pt idx="5">
                  <c:v>3.4733468615647722</c:v>
                </c:pt>
                <c:pt idx="6">
                  <c:v>3.1325394775993738</c:v>
                </c:pt>
                <c:pt idx="7">
                  <c:v>2.790300411003324</c:v>
                </c:pt>
                <c:pt idx="8">
                  <c:v>2.4466224871266813</c:v>
                </c:pt>
                <c:pt idx="9">
                  <c:v>2.1014986067430526</c:v>
                </c:pt>
                <c:pt idx="10">
                  <c:v>1.7549217376489161</c:v>
                </c:pt>
                <c:pt idx="11">
                  <c:v>1.4068849059333797</c:v>
                </c:pt>
                <c:pt idx="12">
                  <c:v>1.0573811869324503</c:v>
                </c:pt>
                <c:pt idx="13">
                  <c:v>0.70640369588204255</c:v>
                </c:pt>
                <c:pt idx="14">
                  <c:v>0.3539455782840627</c:v>
                </c:pt>
                <c:pt idx="15">
                  <c:v>0</c:v>
                </c:pt>
                <c:pt idx="16">
                  <c:v>-0.35543986291349844</c:v>
                </c:pt>
                <c:pt idx="17">
                  <c:v>-0.71238083461251023</c:v>
                </c:pt>
                <c:pt idx="18">
                  <c:v>-1.0708297501026878</c:v>
                </c:pt>
                <c:pt idx="19">
                  <c:v>-1.4307934660905253</c:v>
                </c:pt>
                <c:pt idx="20">
                  <c:v>-1.7922788720345824</c:v>
                </c:pt>
                <c:pt idx="21">
                  <c:v>-2.1552929013822624</c:v>
                </c:pt>
                <c:pt idx="22">
                  <c:v>-2.5198425429778402</c:v>
                </c:pt>
                <c:pt idx="23">
                  <c:v>-2.8859348526275648</c:v>
                </c:pt>
                <c:pt idx="24">
                  <c:v>-3.2535769648078166</c:v>
                </c:pt>
                <c:pt idx="25">
                  <c:v>-3.6227761045024733</c:v>
                </c:pt>
                <c:pt idx="26">
                  <c:v>-3.9935395991558726</c:v>
                </c:pt>
                <c:pt idx="27">
                  <c:v>-4.3658748907279676</c:v>
                </c:pt>
                <c:pt idx="28">
                  <c:v>-4.7397895478385834</c:v>
                </c:pt>
                <c:pt idx="29">
                  <c:v>-5.1152912779879509</c:v>
                </c:pt>
                <c:pt idx="30">
                  <c:v>-5.4923879398410573</c:v>
                </c:pt>
                <c:pt idx="31">
                  <c:v>-5.8710875555637045</c:v>
                </c:pt>
                <c:pt idx="32">
                  <c:v>-6.2513983231985701</c:v>
                </c:pt>
                <c:pt idx="33">
                  <c:v>-6.6333286290700277</c:v>
                </c:pt>
                <c:pt idx="34">
                  <c:v>-7.0168870602069244</c:v>
                </c:pt>
                <c:pt idx="35">
                  <c:v>-7.4020824167730401</c:v>
                </c:pt>
                <c:pt idx="36">
                  <c:v>-7.7889237244955307</c:v>
                </c:pt>
                <c:pt idx="37">
                  <c:v>-8.1774202470821962</c:v>
                </c:pt>
                <c:pt idx="38">
                  <c:v>-8.5675814986191163</c:v>
                </c:pt>
                <c:pt idx="39">
                  <c:v>-8.9594172559408225</c:v>
                </c:pt>
                <c:pt idx="40">
                  <c:v>-9.3529375709659366</c:v>
                </c:pt>
                <c:pt idx="41">
                  <c:v>-9.7481527829919798</c:v>
                </c:pt>
                <c:pt idx="42">
                  <c:v>-10.145073530943868</c:v>
                </c:pt>
                <c:pt idx="43">
                  <c:v>-10.543710765571532</c:v>
                </c:pt>
                <c:pt idx="44">
                  <c:v>-10.944075761592984</c:v>
                </c:pt>
                <c:pt idx="45">
                  <c:v>-11.346180129780235</c:v>
                </c:pt>
                <c:pt idx="46">
                  <c:v>-11.750035828986462</c:v>
                </c:pt>
                <c:pt idx="47">
                  <c:v>-12.155655178114007</c:v>
                </c:pt>
                <c:pt idx="48">
                  <c:v>-12.563050868023968</c:v>
                </c:pt>
                <c:pt idx="49">
                  <c:v>-12.97223597338947</c:v>
                </c:pt>
                <c:pt idx="50">
                  <c:v>-13.383223964496032</c:v>
                </c:pt>
                <c:pt idx="51">
                  <c:v>-13.79602871899392</c:v>
                </c:pt>
                <c:pt idx="52">
                  <c:v>-14.210664533608909</c:v>
                </c:pt>
                <c:pt idx="53">
                  <c:v>-14.62714613581959</c:v>
                </c:pt>
                <c:pt idx="54">
                  <c:v>-15.045488695510995</c:v>
                </c:pt>
                <c:pt idx="55">
                  <c:v>-15.465707836616318</c:v>
                </c:pt>
                <c:pt idx="56">
                  <c:v>-15.887819648760402</c:v>
                </c:pt>
                <c:pt idx="57">
                  <c:v>-16.31184069892084</c:v>
                </c:pt>
                <c:pt idx="58">
                  <c:v>-16.73778804312477</c:v>
                </c:pt>
                <c:pt idx="59">
                  <c:v>-17.165679238201932</c:v>
                </c:pt>
                <c:pt idx="60">
                  <c:v>-17.595532353617017</c:v>
                </c:pt>
                <c:pt idx="61">
                  <c:v>-18.027365983407236</c:v>
                </c:pt>
                <c:pt idx="62">
                  <c:v>-18.461199258253913</c:v>
                </c:pt>
                <c:pt idx="63">
                  <c:v>-18.897051857720019</c:v>
                </c:pt>
                <c:pt idx="64">
                  <c:v>-19.334944022689118</c:v>
                </c:pt>
                <c:pt idx="65">
                  <c:v>-19.774896568044589</c:v>
                </c:pt>
                <c:pt idx="66">
                  <c:v>-20.216930895632096</c:v>
                </c:pt>
                <c:pt idx="67">
                  <c:v>-20.661069007552289</c:v>
                </c:pt>
                <c:pt idx="68">
                  <c:v>-21.107333519835279</c:v>
                </c:pt>
                <c:pt idx="69">
                  <c:v>-21.555747676553306</c:v>
                </c:pt>
                <c:pt idx="70">
                  <c:v>-22.006335364432992</c:v>
                </c:pt>
                <c:pt idx="71">
                  <c:v>-22.459121128034436</c:v>
                </c:pt>
                <c:pt idx="72">
                  <c:v>-22.914130185570215</c:v>
                </c:pt>
                <c:pt idx="73">
                  <c:v>-23.371388445443962</c:v>
                </c:pt>
                <c:pt idx="74">
                  <c:v>-23.830922523595039</c:v>
                </c:pt>
                <c:pt idx="75">
                  <c:v>-24.292759761743682</c:v>
                </c:pt>
                <c:pt idx="76">
                  <c:v>-24.756928246638836</c:v>
                </c:pt>
                <c:pt idx="77">
                  <c:v>-25.22345683041997</c:v>
                </c:pt>
                <c:pt idx="78">
                  <c:v>-25.692375152213764</c:v>
                </c:pt>
                <c:pt idx="79">
                  <c:v>-26.163713661096679</c:v>
                </c:pt>
                <c:pt idx="80">
                  <c:v>-26.637503640566152</c:v>
                </c:pt>
                <c:pt idx="81">
                  <c:v>-27.11377723467487</c:v>
                </c:pt>
                <c:pt idx="82">
                  <c:v>-27.592567475996297</c:v>
                </c:pt>
                <c:pt idx="83">
                  <c:v>-28.073908315603752</c:v>
                </c:pt>
                <c:pt idx="84">
                  <c:v>-28.557834655261285</c:v>
                </c:pt>
                <c:pt idx="85">
                  <c:v>-29.04438238204148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420B-4790-9A26-9CCCEB989D58}"/>
            </c:ext>
          </c:extLst>
        </c:ser>
        <c:ser>
          <c:idx val="42"/>
          <c:order val="18"/>
          <c:spPr>
            <a:ln w="508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420B-4790-9A26-9CCCEB989D58}"/>
            </c:ext>
          </c:extLst>
        </c:ser>
        <c:ser>
          <c:idx val="43"/>
          <c:order val="19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graph!$F$8:$F$93</c:f>
              <c:numCache>
                <c:formatCode>General</c:formatCode>
                <c:ptCount val="86"/>
                <c:pt idx="0">
                  <c:v>4.6893065417123916</c:v>
                </c:pt>
                <c:pt idx="1">
                  <c:v>4.3871059576473188</c:v>
                </c:pt>
                <c:pt idx="2">
                  <c:v>4.0834733412390891</c:v>
                </c:pt>
                <c:pt idx="3">
                  <c:v>3.7783948702391332</c:v>
                </c:pt>
                <c:pt idx="4">
                  <c:v>3.4718570438841745</c:v>
                </c:pt>
                <c:pt idx="5">
                  <c:v>3.163846653782171</c:v>
                </c:pt>
                <c:pt idx="6">
                  <c:v>2.8543507554371073</c:v>
                </c:pt>
                <c:pt idx="7">
                  <c:v>2.5433566404343355</c:v>
                </c:pt>
                <c:pt idx="8">
                  <c:v>2.2308518093087395</c:v>
                </c:pt>
                <c:pt idx="9">
                  <c:v>1.9168239451185125</c:v>
                </c:pt>
                <c:pt idx="10">
                  <c:v>1.6012608877477987</c:v>
                </c:pt>
                <c:pt idx="11">
                  <c:v>1.2841506089618526</c:v>
                </c:pt>
                <c:pt idx="12">
                  <c:v>0.96548118823869311</c:v>
                </c:pt>
                <c:pt idx="13">
                  <c:v>0.64524078940153184</c:v>
                </c:pt>
                <c:pt idx="14">
                  <c:v>0.32341763807645257</c:v>
                </c:pt>
                <c:pt idx="15">
                  <c:v>0</c:v>
                </c:pt>
                <c:pt idx="16">
                  <c:v>-0.32502383979858662</c:v>
                </c:pt>
                <c:pt idx="17">
                  <c:v>-0.65166559691566905</c:v>
                </c:pt>
                <c:pt idx="18">
                  <c:v>-0.97993700656730076</c:v>
                </c:pt>
                <c:pt idx="19">
                  <c:v>-1.3098498416343818</c:v>
                </c:pt>
                <c:pt idx="20">
                  <c:v>-1.641415929734336</c:v>
                </c:pt>
                <c:pt idx="21">
                  <c:v>-1.9746471692949472</c:v>
                </c:pt>
                <c:pt idx="22">
                  <c:v>-2.3095555446062668</c:v>
                </c:pt>
                <c:pt idx="23">
                  <c:v>-2.6461531398268336</c:v>
                </c:pt>
                <c:pt idx="24">
                  <c:v>-2.9844521519208409</c:v>
                </c:pt>
                <c:pt idx="25">
                  <c:v>-3.3244649025033541</c:v>
                </c:pt>
                <c:pt idx="26">
                  <c:v>-3.6662038485712145</c:v>
                </c:pt>
                <c:pt idx="27">
                  <c:v>-4.0096815920978788</c:v>
                </c:pt>
                <c:pt idx="28">
                  <c:v>-4.3549108884711112</c:v>
                </c:pt>
                <c:pt idx="29">
                  <c:v>-4.7019046537532345</c:v>
                </c:pt>
                <c:pt idx="30">
                  <c:v>-5.0506759707444413</c:v>
                </c:pt>
                <c:pt idx="31">
                  <c:v>-5.4012380938306386</c:v>
                </c:pt>
                <c:pt idx="32">
                  <c:v>-5.7536044525982781</c:v>
                </c:pt>
                <c:pt idx="33">
                  <c:v>-6.1077886541997426</c:v>
                </c:pt>
                <c:pt idx="34">
                  <c:v>-6.4638044844540499</c:v>
                </c:pt>
                <c:pt idx="35">
                  <c:v>-6.8216659076689563</c:v>
                </c:pt>
                <c:pt idx="36">
                  <c:v>-7.1813870651719069</c:v>
                </c:pt>
                <c:pt idx="37">
                  <c:v>-7.5429822725388478</c:v>
                </c:pt>
                <c:pt idx="38">
                  <c:v>-7.9064660155115316</c:v>
                </c:pt>
                <c:pt idx="39">
                  <c:v>-8.2718529445957003</c:v>
                </c:pt>
                <c:pt idx="40">
                  <c:v>-8.6391578683344434</c:v>
                </c:pt>
                <c:pt idx="41">
                  <c:v>-9.0083957452530719</c:v>
                </c:pt>
                <c:pt idx="42">
                  <c:v>-9.3795816744740268</c:v>
                </c:pt>
                <c:pt idx="43">
                  <c:v>-9.752730885002693</c:v>
                </c:pt>
                <c:pt idx="44">
                  <c:v>-10.127858723687551</c:v>
                </c:pt>
                <c:pt idx="45">
                  <c:v>-10.504980641860735</c:v>
                </c:pt>
                <c:pt idx="46">
                  <c:v>-10.88411218066806</c:v>
                </c:pt>
                <c:pt idx="47">
                  <c:v>-11.26526895510065</c:v>
                </c:pt>
                <c:pt idx="48">
                  <c:v>-11.648466636743645</c:v>
                </c:pt>
                <c:pt idx="49">
                  <c:v>-12.033720935261091</c:v>
                </c:pt>
                <c:pt idx="50">
                  <c:v>-12.421047578639968</c:v>
                </c:pt>
                <c:pt idx="51">
                  <c:v>-12.810462292220436</c:v>
                </c:pt>
                <c:pt idx="52">
                  <c:v>-13.201980776543856</c:v>
                </c:pt>
                <c:pt idx="53">
                  <c:v>-13.595618684054937</c:v>
                </c:pt>
                <c:pt idx="54">
                  <c:v>-13.991391594699488</c:v>
                </c:pt>
                <c:pt idx="55">
                  <c:v>-14.389314990464813</c:v>
                </c:pt>
                <c:pt idx="56">
                  <c:v>-14.78940422891576</c:v>
                </c:pt>
                <c:pt idx="57">
                  <c:v>-15.191674515785827</c:v>
                </c:pt>
                <c:pt idx="58">
                  <c:v>-15.596140876689734</c:v>
                </c:pt>
                <c:pt idx="59">
                  <c:v>-16.002818128031222</c:v>
                </c:pt>
                <c:pt idx="60">
                  <c:v>-16.411720847188047</c:v>
                </c:pt>
                <c:pt idx="61">
                  <c:v>-16.822863342064736</c:v>
                </c:pt>
                <c:pt idx="62">
                  <c:v>-17.236259620113149</c:v>
                </c:pt>
                <c:pt idx="63">
                  <c:v>-17.651923356931036</c:v>
                </c:pt>
                <c:pt idx="64">
                  <c:v>-18.069867864559868</c:v>
                </c:pt>
                <c:pt idx="65">
                  <c:v>-18.490106059615002</c:v>
                </c:pt>
                <c:pt idx="66">
                  <c:v>-18.912650431394415</c:v>
                </c:pt>
                <c:pt idx="67">
                  <c:v>-19.337513010125999</c:v>
                </c:pt>
                <c:pt idx="68">
                  <c:v>-19.764705335528827</c:v>
                </c:pt>
                <c:pt idx="69">
                  <c:v>-20.194238425880251</c:v>
                </c:pt>
                <c:pt idx="70">
                  <c:v>-20.626122747798657</c:v>
                </c:pt>
                <c:pt idx="71">
                  <c:v>-21.060368186971228</c:v>
                </c:pt>
                <c:pt idx="72">
                  <c:v>-21.496984020077331</c:v>
                </c:pt>
                <c:pt idx="73">
                  <c:v>-21.935978888181303</c:v>
                </c:pt>
                <c:pt idx="74">
                  <c:v>-22.377360771893542</c:v>
                </c:pt>
                <c:pt idx="75">
                  <c:v>-22.821136968626355</c:v>
                </c:pt>
                <c:pt idx="76">
                  <c:v>-23.267314072300969</c:v>
                </c:pt>
                <c:pt idx="77">
                  <c:v>-23.715897955894786</c:v>
                </c:pt>
                <c:pt idx="78">
                  <c:v>-24.166893757253689</c:v>
                </c:pt>
                <c:pt idx="79">
                  <c:v>-24.620305868633324</c:v>
                </c:pt>
                <c:pt idx="80">
                  <c:v>-25.076137930475689</c:v>
                </c:pt>
                <c:pt idx="81">
                  <c:v>-25.534392829974315</c:v>
                </c:pt>
                <c:pt idx="82">
                  <c:v>-25.995072705032175</c:v>
                </c:pt>
                <c:pt idx="83">
                  <c:v>-26.458178954272299</c:v>
                </c:pt>
                <c:pt idx="84">
                  <c:v>-26.923712253822508</c:v>
                </c:pt>
                <c:pt idx="85">
                  <c:v>-27.391672581662462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420B-4790-9A26-9CCCEB989D58}"/>
            </c:ext>
          </c:extLst>
        </c:ser>
        <c:ser>
          <c:idx val="44"/>
          <c:order val="20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graph!$E$8:$E$93</c:f>
              <c:numCache>
                <c:formatCode>General</c:formatCode>
                <c:ptCount val="86"/>
                <c:pt idx="0">
                  <c:v>-2.7636682349165302</c:v>
                </c:pt>
                <c:pt idx="1">
                  <c:v>-2.5690038338730079</c:v>
                </c:pt>
                <c:pt idx="2">
                  <c:v>-2.3757714651726416</c:v>
                </c:pt>
                <c:pt idx="3">
                  <c:v>-2.1839849510640024</c:v>
                </c:pt>
                <c:pt idx="4">
                  <c:v>-1.993657792310366</c:v>
                </c:pt>
                <c:pt idx="5">
                  <c:v>-1.8048031973037744</c:v>
                </c:pt>
                <c:pt idx="6">
                  <c:v>-1.6174341105402434</c:v>
                </c:pt>
                <c:pt idx="7">
                  <c:v>-1.4315632404344203</c:v>
                </c:pt>
                <c:pt idx="8">
                  <c:v>-1.2472030864514214</c:v>
                </c:pt>
                <c:pt idx="9">
                  <c:v>-1.0643659655330537</c:v>
                </c:pt>
                <c:pt idx="10">
                  <c:v>-0.88306403779517262</c:v>
                </c:pt>
                <c:pt idx="11">
                  <c:v>-0.70330933147252406</c:v>
                </c:pt>
                <c:pt idx="12">
                  <c:v>-0.52511376708708857</c:v>
                </c:pt>
                <c:pt idx="13">
                  <c:v>-0.34848918081565494</c:v>
                </c:pt>
                <c:pt idx="14">
                  <c:v>-0.17344734703213924</c:v>
                </c:pt>
                <c:pt idx="15">
                  <c:v>0</c:v>
                </c:pt>
                <c:pt idx="16">
                  <c:v>0.17184114531000835</c:v>
                </c:pt>
                <c:pt idx="17">
                  <c:v>0.34206437330152084</c:v>
                </c:pt>
                <c:pt idx="18">
                  <c:v>0.51065794875848436</c:v>
                </c:pt>
                <c:pt idx="19">
                  <c:v>0.67761009879999812</c:v>
                </c:pt>
                <c:pt idx="20">
                  <c:v>0.84290899580863865</c:v>
                </c:pt>
                <c:pt idx="21">
                  <c:v>1.0065427413566224</c:v>
                </c:pt>
                <c:pt idx="22">
                  <c:v>1.1684993511538977</c:v>
                </c:pt>
                <c:pt idx="23">
                  <c:v>1.3287667410419255</c:v>
                </c:pt>
                <c:pt idx="24">
                  <c:v>1.4873327140565129</c:v>
                </c:pt>
                <c:pt idx="25">
                  <c:v>1.6441849485825943</c:v>
                </c:pt>
                <c:pt idx="26">
                  <c:v>1.7993109876233289</c:v>
                </c:pt>
                <c:pt idx="27">
                  <c:v>1.9526982292052608</c:v>
                </c:pt>
                <c:pt idx="28">
                  <c:v>2.1043339179406231</c:v>
                </c:pt>
                <c:pt idx="29">
                  <c:v>2.2542051377670949</c:v>
                </c:pt>
                <c:pt idx="30">
                  <c:v>2.4022988058844832</c:v>
                </c:pt>
                <c:pt idx="31">
                  <c:v>2.5486016679068815</c:v>
                </c:pt>
                <c:pt idx="32">
                  <c:v>2.6931002942478379</c:v>
                </c:pt>
                <c:pt idx="33">
                  <c:v>2.8357810777549695</c:v>
                </c:pt>
                <c:pt idx="34">
                  <c:v>2.976630232609256</c:v>
                </c:pt>
                <c:pt idx="35">
                  <c:v>3.1156337945029438</c:v>
                </c:pt>
                <c:pt idx="36">
                  <c:v>3.2527776221085896</c:v>
                </c:pt>
                <c:pt idx="37">
                  <c:v>3.3880473998502438</c:v>
                </c:pt>
                <c:pt idx="38">
                  <c:v>3.5214286419861556</c:v>
                </c:pt>
                <c:pt idx="39">
                  <c:v>3.6529066980105824</c:v>
                </c:pt>
                <c:pt idx="40">
                  <c:v>3.7824667593804349</c:v>
                </c:pt>
                <c:pt idx="41">
                  <c:v>3.9100938675704007</c:v>
                </c:pt>
                <c:pt idx="42">
                  <c:v>4.0357729234580431</c:v>
                </c:pt>
                <c:pt idx="43">
                  <c:v>4.1594886980379702</c:v>
                </c:pt>
                <c:pt idx="44">
                  <c:v>4.2812258444617086</c:v>
                </c:pt>
                <c:pt idx="45">
                  <c:v>4.4009689113971211</c:v>
                </c:pt>
                <c:pt idx="46">
                  <c:v>4.5187023576983911</c:v>
                </c:pt>
                <c:pt idx="47">
                  <c:v>4.6344105683743955</c:v>
                </c:pt>
                <c:pt idx="48">
                  <c:v>4.7480778718399961</c:v>
                </c:pt>
                <c:pt idx="49">
                  <c:v>4.8596885584311451</c:v>
                </c:pt>
                <c:pt idx="50">
                  <c:v>4.969226900160864</c:v>
                </c:pt>
                <c:pt idx="51">
                  <c:v>5.0766771716889902</c:v>
                </c:pt>
                <c:pt idx="52">
                  <c:v>5.1820236724741671</c:v>
                </c:pt>
                <c:pt idx="53">
                  <c:v>5.2852507500716808</c:v>
                </c:pt>
                <c:pt idx="54">
                  <c:v>5.3863428245357241</c:v>
                </c:pt>
                <c:pt idx="55">
                  <c:v>5.4852844138789933</c:v>
                </c:pt>
                <c:pt idx="56">
                  <c:v>5.5820601605366411</c:v>
                </c:pt>
                <c:pt idx="57">
                  <c:v>5.6766548587751666</c:v>
                </c:pt>
                <c:pt idx="58">
                  <c:v>5.7690534829798521</c:v>
                </c:pt>
                <c:pt idx="59">
                  <c:v>5.8592412167469581</c:v>
                </c:pt>
                <c:pt idx="60">
                  <c:v>5.9472034826987263</c:v>
                </c:pt>
                <c:pt idx="61">
                  <c:v>6.032925972930629</c:v>
                </c:pt>
                <c:pt idx="62">
                  <c:v>6.1163946799908109</c:v>
                </c:pt>
                <c:pt idx="63">
                  <c:v>6.1975959282815154</c:v>
                </c:pt>
                <c:pt idx="64">
                  <c:v>6.2765164057612797</c:v>
                </c:pt>
                <c:pt idx="65">
                  <c:v>6.3531431958147353</c:v>
                </c:pt>
                <c:pt idx="66">
                  <c:v>6.4274638091439149</c:v>
                </c:pt>
                <c:pt idx="67">
                  <c:v>6.4994662155209255</c:v>
                </c:pt>
                <c:pt idx="68">
                  <c:v>6.5691388752266917</c:v>
                </c:pt>
                <c:pt idx="69">
                  <c:v>6.636470769983859</c:v>
                </c:pt>
                <c:pt idx="70">
                  <c:v>6.7014514331740456</c:v>
                </c:pt>
                <c:pt idx="71">
                  <c:v>6.7640709791100697</c:v>
                </c:pt>
                <c:pt idx="72">
                  <c:v>6.8243201311125601</c:v>
                </c:pt>
                <c:pt idx="73">
                  <c:v>6.8821902481171797</c:v>
                </c:pt>
                <c:pt idx="74">
                  <c:v>6.9376733495135348</c:v>
                </c:pt>
                <c:pt idx="75">
                  <c:v>6.9907621378893134</c:v>
                </c:pt>
                <c:pt idx="76">
                  <c:v>7.0414500193232907</c:v>
                </c:pt>
                <c:pt idx="77">
                  <c:v>7.0897311208380716</c:v>
                </c:pt>
                <c:pt idx="78">
                  <c:v>7.1356003045877596</c:v>
                </c:pt>
                <c:pt idx="79">
                  <c:v>7.1790531783167193</c:v>
                </c:pt>
                <c:pt idx="80">
                  <c:v>7.2200861015829458</c:v>
                </c:pt>
                <c:pt idx="81">
                  <c:v>7.2586961871929105</c:v>
                </c:pt>
                <c:pt idx="82">
                  <c:v>7.2948812972436468</c:v>
                </c:pt>
                <c:pt idx="83">
                  <c:v>7.3286400331121184</c:v>
                </c:pt>
                <c:pt idx="84">
                  <c:v>7.3599717186704989</c:v>
                </c:pt>
                <c:pt idx="85">
                  <c:v>7.38887637593914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420B-4790-9A26-9CCCEB989D58}"/>
            </c:ext>
          </c:extLst>
        </c:ser>
        <c:ser>
          <c:idx val="45"/>
          <c:order val="21"/>
          <c:spPr>
            <a:ln w="508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graphbase!$B$8:$B$93</c:f>
              <c:numCache>
                <c:formatCode>General</c:formatCode>
                <c:ptCount val="86"/>
                <c:pt idx="0">
                  <c:v>0.41643116891746634</c:v>
                </c:pt>
                <c:pt idx="1">
                  <c:v>0.39865371158319912</c:v>
                </c:pt>
                <c:pt idx="2">
                  <c:v>0.37948184543909647</c:v>
                </c:pt>
                <c:pt idx="3">
                  <c:v>0.35890790520460653</c:v>
                </c:pt>
                <c:pt idx="4">
                  <c:v>0.3369243376029587</c:v>
                </c:pt>
                <c:pt idx="5">
                  <c:v>0.31352369481273845</c:v>
                </c:pt>
                <c:pt idx="6">
                  <c:v>0.28869862752254355</c:v>
                </c:pt>
                <c:pt idx="7">
                  <c:v>0.26244187760169696</c:v>
                </c:pt>
                <c:pt idx="8">
                  <c:v>0.23474627040025803</c:v>
                </c:pt>
                <c:pt idx="9">
                  <c:v>0.20560470669183284</c:v>
                </c:pt>
                <c:pt idx="10">
                  <c:v>0.17501015427289987</c:v>
                </c:pt>
                <c:pt idx="11">
                  <c:v>0.14295563923256693</c:v>
                </c:pt>
                <c:pt idx="12">
                  <c:v>0.10943423690684123</c:v>
                </c:pt>
                <c:pt idx="13">
                  <c:v>7.4439062531637221E-2</c:v>
                </c:pt>
                <c:pt idx="14">
                  <c:v>3.7963261608861064E-2</c:v>
                </c:pt>
                <c:pt idx="15">
                  <c:v>0</c:v>
                </c:pt>
                <c:pt idx="16">
                  <c:v>-3.9457546238294804E-2</c:v>
                </c:pt>
                <c:pt idx="17">
                  <c:v>-8.0416201262102943E-2</c:v>
                </c:pt>
                <c:pt idx="18">
                  <c:v>-0.12288280007707685</c:v>
                </c:pt>
                <c:pt idx="19">
                  <c:v>-0.16686419938971059</c:v>
                </c:pt>
                <c:pt idx="20">
                  <c:v>-0.21236728865856408</c:v>
                </c:pt>
                <c:pt idx="21">
                  <c:v>-0.25939900133104049</c:v>
                </c:pt>
                <c:pt idx="22">
                  <c:v>-0.30796632625141462</c:v>
                </c:pt>
                <c:pt idx="23">
                  <c:v>-0.35807631922593597</c:v>
                </c:pt>
                <c:pt idx="24">
                  <c:v>-0.40973611473098381</c:v>
                </c:pt>
                <c:pt idx="25">
                  <c:v>-0.46295293775043733</c:v>
                </c:pt>
                <c:pt idx="26">
                  <c:v>-0.5177341157286327</c:v>
                </c:pt>
                <c:pt idx="27">
                  <c:v>-0.57408709062552399</c:v>
                </c:pt>
                <c:pt idx="28">
                  <c:v>-0.63201943106093561</c:v>
                </c:pt>
                <c:pt idx="29">
                  <c:v>-0.6915388445350994</c:v>
                </c:pt>
                <c:pt idx="30">
                  <c:v>-0.75265318971300266</c:v>
                </c:pt>
                <c:pt idx="31">
                  <c:v>-0.81537048876044493</c:v>
                </c:pt>
                <c:pt idx="32">
                  <c:v>-0.87969893972010615</c:v>
                </c:pt>
                <c:pt idx="33">
                  <c:v>-0.94564692891636037</c:v>
                </c:pt>
                <c:pt idx="34">
                  <c:v>-1.0132230433780529</c:v>
                </c:pt>
                <c:pt idx="35">
                  <c:v>-1.0824360832689657</c:v>
                </c:pt>
                <c:pt idx="36">
                  <c:v>-1.1532950743162524</c:v>
                </c:pt>
                <c:pt idx="37">
                  <c:v>-1.2258092802277141</c:v>
                </c:pt>
                <c:pt idx="38">
                  <c:v>-1.2999882150894306</c:v>
                </c:pt>
                <c:pt idx="39">
                  <c:v>-1.3758416557359328</c:v>
                </c:pt>
                <c:pt idx="40">
                  <c:v>-1.453379654085843</c:v>
                </c:pt>
                <c:pt idx="41">
                  <c:v>-1.532612549436682</c:v>
                </c:pt>
                <c:pt idx="42">
                  <c:v>-1.6135509807133672</c:v>
                </c:pt>
                <c:pt idx="43">
                  <c:v>-1.6962058986658262</c:v>
                </c:pt>
                <c:pt idx="44">
                  <c:v>-1.7805885780120732</c:v>
                </c:pt>
                <c:pt idx="45">
                  <c:v>-1.8667106295241207</c:v>
                </c:pt>
                <c:pt idx="46">
                  <c:v>-1.9545840120551452</c:v>
                </c:pt>
                <c:pt idx="47">
                  <c:v>-2.044221044507486</c:v>
                </c:pt>
                <c:pt idx="48">
                  <c:v>-2.1356344177422422</c:v>
                </c:pt>
                <c:pt idx="49">
                  <c:v>-2.2288372064325408</c:v>
                </c:pt>
                <c:pt idx="50">
                  <c:v>-2.3238428808639005</c:v>
                </c:pt>
                <c:pt idx="51">
                  <c:v>-2.4206653186865834</c:v>
                </c:pt>
                <c:pt idx="52">
                  <c:v>-2.5193188166263694</c:v>
                </c:pt>
                <c:pt idx="53">
                  <c:v>-2.6198181021618456</c:v>
                </c:pt>
                <c:pt idx="54">
                  <c:v>-2.7221783451780461</c:v>
                </c:pt>
                <c:pt idx="55">
                  <c:v>-2.8264151696081661</c:v>
                </c:pt>
                <c:pt idx="56">
                  <c:v>-2.9325446650770486</c:v>
                </c:pt>
                <c:pt idx="57">
                  <c:v>-3.0405833985622817</c:v>
                </c:pt>
                <c:pt idx="58">
                  <c:v>-3.150548426091011</c:v>
                </c:pt>
                <c:pt idx="59">
                  <c:v>-3.2624573044929703</c:v>
                </c:pt>
                <c:pt idx="60">
                  <c:v>-3.3763281032328512</c:v>
                </c:pt>
                <c:pt idx="61">
                  <c:v>-3.4921794163478697</c:v>
                </c:pt>
                <c:pt idx="62">
                  <c:v>-3.6100303745193423</c:v>
                </c:pt>
                <c:pt idx="63">
                  <c:v>-3.7299006573102482</c:v>
                </c:pt>
                <c:pt idx="64">
                  <c:v>-3.8518105056041438</c:v>
                </c:pt>
                <c:pt idx="65">
                  <c:v>-3.975780734284414</c:v>
                </c:pt>
                <c:pt idx="66">
                  <c:v>-4.1018327451967185</c:v>
                </c:pt>
                <c:pt idx="67">
                  <c:v>-4.2299885404417052</c:v>
                </c:pt>
                <c:pt idx="68">
                  <c:v>-4.3602707360494986</c:v>
                </c:pt>
                <c:pt idx="69">
                  <c:v>-4.4927025760923209</c:v>
                </c:pt>
                <c:pt idx="70">
                  <c:v>-4.6273079472968019</c:v>
                </c:pt>
                <c:pt idx="71">
                  <c:v>-4.7641113942230424</c:v>
                </c:pt>
                <c:pt idx="72">
                  <c:v>-4.9031381350836236</c:v>
                </c:pt>
                <c:pt idx="73">
                  <c:v>-5.0444140782821645</c:v>
                </c:pt>
                <c:pt idx="74">
                  <c:v>-5.1879658397580384</c:v>
                </c:pt>
                <c:pt idx="75">
                  <c:v>-5.3338207612314807</c:v>
                </c:pt>
                <c:pt idx="76">
                  <c:v>-5.4820069294514289</c:v>
                </c:pt>
                <c:pt idx="77">
                  <c:v>-5.6325531965573656</c:v>
                </c:pt>
                <c:pt idx="78">
                  <c:v>-5.7854892016759525</c:v>
                </c:pt>
                <c:pt idx="79">
                  <c:v>-5.9408453938836647</c:v>
                </c:pt>
                <c:pt idx="80">
                  <c:v>-6.0986530566779349</c:v>
                </c:pt>
                <c:pt idx="81">
                  <c:v>-6.2589443341114537</c:v>
                </c:pt>
                <c:pt idx="82">
                  <c:v>-6.4217522587576772</c:v>
                </c:pt>
                <c:pt idx="83">
                  <c:v>-6.5871107816899297</c:v>
                </c:pt>
                <c:pt idx="84">
                  <c:v>-6.7550548046722589</c:v>
                </c:pt>
                <c:pt idx="85">
                  <c:v>-6.9256202147772541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420B-4790-9A26-9CCCEB989D58}"/>
            </c:ext>
          </c:extLst>
        </c:ser>
        <c:ser>
          <c:idx val="46"/>
          <c:order val="22"/>
          <c:spPr>
            <a:ln w="38100"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graphbasenl!$E$8:$E$93</c:f>
              <c:numCache>
                <c:formatCode>General</c:formatCode>
                <c:ptCount val="86"/>
                <c:pt idx="0">
                  <c:v>-2.8215512519686006</c:v>
                </c:pt>
                <c:pt idx="1">
                  <c:v>-2.6233858557923613</c:v>
                </c:pt>
                <c:pt idx="2">
                  <c:v>-2.4266327729479773</c:v>
                </c:pt>
                <c:pt idx="3">
                  <c:v>-2.2312980127139288</c:v>
                </c:pt>
                <c:pt idx="4">
                  <c:v>-2.0373875025685786</c:v>
                </c:pt>
                <c:pt idx="5">
                  <c:v>-1.8449070922429216</c:v>
                </c:pt>
                <c:pt idx="6">
                  <c:v>-1.6538625582032487</c:v>
                </c:pt>
                <c:pt idx="7">
                  <c:v>-1.4642596085490336</c:v>
                </c:pt>
                <c:pt idx="8">
                  <c:v>-1.2761038883111417</c:v>
                </c:pt>
                <c:pt idx="9">
                  <c:v>-1.0894009851352426</c:v>
                </c:pt>
                <c:pt idx="10">
                  <c:v>-0.9041564353351299</c:v>
                </c:pt>
                <c:pt idx="11">
                  <c:v>-0.72037573030049706</c:v>
                </c:pt>
                <c:pt idx="12">
                  <c:v>-0.53806432324357001</c:v>
                </c:pt>
                <c:pt idx="13">
                  <c:v>-0.35722763626888321</c:v>
                </c:pt>
                <c:pt idx="14">
                  <c:v>-0.17787106775038769</c:v>
                </c:pt>
                <c:pt idx="15">
                  <c:v>0</c:v>
                </c:pt>
                <c:pt idx="16">
                  <c:v>0.17638019278835801</c:v>
                </c:pt>
                <c:pt idx="17">
                  <c:v>0.35126413633519682</c:v>
                </c:pt>
                <c:pt idx="18">
                  <c:v>0.5246464478283952</c:v>
                </c:pt>
                <c:pt idx="19">
                  <c:v>0.69652172724861061</c:v>
                </c:pt>
                <c:pt idx="20">
                  <c:v>0.86688454848314356</c:v>
                </c:pt>
                <c:pt idx="21">
                  <c:v>1.0357294502441736</c:v>
                </c:pt>
                <c:pt idx="22">
                  <c:v>1.2030509268072282</c:v>
                </c:pt>
                <c:pt idx="23">
                  <c:v>1.3688434185856548</c:v>
                </c:pt>
                <c:pt idx="24">
                  <c:v>1.5331013025567559</c:v>
                </c:pt>
                <c:pt idx="25">
                  <c:v>1.6958188825551197</c:v>
                </c:pt>
                <c:pt idx="26">
                  <c:v>1.856990379448535</c:v>
                </c:pt>
                <c:pt idx="27">
                  <c:v>2.0166099212116864</c:v>
                </c:pt>
                <c:pt idx="28">
                  <c:v>2.1746715329126585</c:v>
                </c:pt>
                <c:pt idx="29">
                  <c:v>2.3311691266270325</c:v>
                </c:pt>
                <c:pt idx="30">
                  <c:v>2.4860964912941426</c:v>
                </c:pt>
                <c:pt idx="31">
                  <c:v>2.6394472825297712</c:v>
                </c:pt>
                <c:pt idx="32">
                  <c:v>2.7912150124092978</c:v>
                </c:pt>
                <c:pt idx="33">
                  <c:v>2.9413930392349856</c:v>
                </c:pt>
                <c:pt idx="34">
                  <c:v>3.0899745573007582</c:v>
                </c:pt>
                <c:pt idx="35">
                  <c:v>3.236952586667456</c:v>
                </c:pt>
                <c:pt idx="36">
                  <c:v>3.3823199629611711</c:v>
                </c:pt>
                <c:pt idx="37">
                  <c:v>3.526069327206832</c:v>
                </c:pt>
                <c:pt idx="38">
                  <c:v>3.6681931157087808</c:v>
                </c:pt>
                <c:pt idx="39">
                  <c:v>3.8086835499895884</c:v>
                </c:pt>
                <c:pt idx="40">
                  <c:v>3.9475326267978619</c:v>
                </c:pt>
                <c:pt idx="41">
                  <c:v>4.0847321081952526</c:v>
                </c:pt>
                <c:pt idx="42">
                  <c:v>4.220273511732306</c:v>
                </c:pt>
                <c:pt idx="43">
                  <c:v>4.3541481007221865</c:v>
                </c:pt>
                <c:pt idx="44">
                  <c:v>4.4863468746206729</c:v>
                </c:pt>
                <c:pt idx="45">
                  <c:v>4.616860559520144</c:v>
                </c:pt>
                <c:pt idx="46">
                  <c:v>4.7456795987645499</c:v>
                </c:pt>
                <c:pt idx="47">
                  <c:v>4.8727941436916282</c:v>
                </c:pt>
                <c:pt idx="48">
                  <c:v>4.9981940445078052</c:v>
                </c:pt>
                <c:pt idx="49">
                  <c:v>5.1218688413003992</c:v>
                </c:pt>
                <c:pt idx="50">
                  <c:v>5.2438077551908364</c:v>
                </c:pt>
                <c:pt idx="51">
                  <c:v>5.3639996796316929</c:v>
                </c:pt>
                <c:pt idx="52">
                  <c:v>5.4824331718493378</c:v>
                </c:pt>
                <c:pt idx="53">
                  <c:v>5.5990964444329592</c:v>
                </c:pt>
                <c:pt idx="54">
                  <c:v>5.7139773570696422</c:v>
                </c:pt>
                <c:pt idx="55">
                  <c:v>5.8270634084240296</c:v>
                </c:pt>
                <c:pt idx="56">
                  <c:v>5.9383417281598394</c:v>
                </c:pt>
                <c:pt idx="57">
                  <c:v>6.0477990690993106</c:v>
                </c:pt>
                <c:pt idx="58">
                  <c:v>6.1554217995152012</c:v>
                </c:pt>
                <c:pt idx="59">
                  <c:v>6.2611958955486609</c:v>
                </c:pt>
                <c:pt idx="60">
                  <c:v>6.3651069337446629</c:v>
                </c:pt>
                <c:pt idx="61">
                  <c:v>6.4671400836952362</c:v>
                </c:pt>
                <c:pt idx="62">
                  <c:v>6.5672801007789694</c:v>
                </c:pt>
                <c:pt idx="63">
                  <c:v>6.665511318983544</c:v>
                </c:pt>
                <c:pt idx="64">
                  <c:v>6.7618176437962036</c:v>
                </c:pt>
                <c:pt idx="65">
                  <c:v>6.8561825451450744</c:v>
                </c:pt>
                <c:pt idx="66">
                  <c:v>6.9485890503721963</c:v>
                </c:pt>
                <c:pt idx="67">
                  <c:v>7.0390197372169352</c:v>
                </c:pt>
                <c:pt idx="68">
                  <c:v>7.127456726786126</c:v>
                </c:pt>
                <c:pt idx="69">
                  <c:v>7.2138816764848208</c:v>
                </c:pt>
                <c:pt idx="70">
                  <c:v>7.2982757728789487</c:v>
                </c:pt>
                <c:pt idx="71">
                  <c:v>7.3806197244584384</c:v>
                </c:pt>
                <c:pt idx="72">
                  <c:v>7.4608937542663876</c:v>
                </c:pt>
                <c:pt idx="73">
                  <c:v>7.5390775923568283</c:v>
                </c:pt>
                <c:pt idx="74">
                  <c:v>7.6151504680403086</c:v>
                </c:pt>
                <c:pt idx="75">
                  <c:v>7.6890911018730144</c:v>
                </c:pt>
                <c:pt idx="76">
                  <c:v>7.7608776973414457</c:v>
                </c:pt>
                <c:pt idx="77">
                  <c:v>7.8304879321907039</c:v>
                </c:pt>
                <c:pt idx="78">
                  <c:v>7.8978989493402345</c:v>
                </c:pt>
                <c:pt idx="79">
                  <c:v>7.963087347326339</c:v>
                </c:pt>
                <c:pt idx="80">
                  <c:v>8.0260291702060513</c:v>
                </c:pt>
                <c:pt idx="81">
                  <c:v>8.0866998968517496</c:v>
                </c:pt>
                <c:pt idx="82">
                  <c:v>8.1450744295605091</c:v>
                </c:pt>
                <c:pt idx="83">
                  <c:v>8.2011270818962494</c:v>
                </c:pt>
                <c:pt idx="84">
                  <c:v>8.2548315656765574</c:v>
                </c:pt>
                <c:pt idx="85">
                  <c:v>8.3061609770092666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420B-4790-9A26-9CCCEB989D58}"/>
            </c:ext>
          </c:extLst>
        </c:ser>
        <c:ser>
          <c:idx val="47"/>
          <c:order val="23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graphbasenl!$F$8:$F$93</c:f>
              <c:numCache>
                <c:formatCode>General</c:formatCode>
                <c:ptCount val="86"/>
                <c:pt idx="0">
                  <c:v>5.0564281706901983</c:v>
                </c:pt>
                <c:pt idx="1">
                  <c:v>4.7293949386891834</c:v>
                </c:pt>
                <c:pt idx="2">
                  <c:v>4.4009493933563135</c:v>
                </c:pt>
                <c:pt idx="3">
                  <c:v>4.0710855254131086</c:v>
                </c:pt>
                <c:pt idx="4">
                  <c:v>3.7397974073812046</c:v>
                </c:pt>
                <c:pt idx="5">
                  <c:v>3.4070791895296084</c:v>
                </c:pt>
                <c:pt idx="6">
                  <c:v>3.0729250953920277</c:v>
                </c:pt>
                <c:pt idx="7">
                  <c:v>2.7373294168689899</c:v>
                </c:pt>
                <c:pt idx="8">
                  <c:v>2.4002865089296281</c:v>
                </c:pt>
                <c:pt idx="9">
                  <c:v>2.0617907839282736</c:v>
                </c:pt>
                <c:pt idx="10">
                  <c:v>1.7218367055511334</c:v>
                </c:pt>
                <c:pt idx="11">
                  <c:v>1.380418782408513</c:v>
                </c:pt>
                <c:pt idx="12">
                  <c:v>1.037531561288187</c:v>
                </c:pt>
                <c:pt idx="13">
                  <c:v>0.69316962008562022</c:v>
                </c:pt>
                <c:pt idx="14">
                  <c:v>0.34732756042686236</c:v>
                </c:pt>
                <c:pt idx="15">
                  <c:v>0</c:v>
                </c:pt>
                <c:pt idx="16">
                  <c:v>-0.34881843538889534</c:v>
                </c:pt>
                <c:pt idx="17">
                  <c:v>-0.69913312001930994</c:v>
                </c:pt>
                <c:pt idx="18">
                  <c:v>-1.0509494367033652</c:v>
                </c:pt>
                <c:pt idx="19">
                  <c:v>-1.4042727854604029</c:v>
                </c:pt>
                <c:pt idx="20">
                  <c:v>-1.7591085924031233</c:v>
                </c:pt>
                <c:pt idx="21">
                  <c:v>-2.1154623188193469</c:v>
                </c:pt>
                <c:pt idx="22">
                  <c:v>-2.4733394704335452</c:v>
                </c:pt>
                <c:pt idx="23">
                  <c:v>-2.832745606832372</c:v>
                </c:pt>
                <c:pt idx="24">
                  <c:v>-3.1936863510385241</c:v>
                </c:pt>
                <c:pt idx="25">
                  <c:v>-3.5561673992174132</c:v>
                </c:pt>
                <c:pt idx="26">
                  <c:v>-3.9201945305012518</c:v>
                </c:pt>
                <c:pt idx="27">
                  <c:v>-4.2857736169153542</c:v>
                </c:pt>
                <c:pt idx="28">
                  <c:v>-4.6529106333916364</c:v>
                </c:pt>
                <c:pt idx="29">
                  <c:v>-5.0216116678545157</c:v>
                </c:pt>
                <c:pt idx="30">
                  <c:v>-5.391882931364659</c:v>
                </c:pt>
                <c:pt idx="31">
                  <c:v>-5.7637307683062842</c:v>
                </c:pt>
                <c:pt idx="32">
                  <c:v>-6.1371616666040119</c:v>
                </c:pt>
                <c:pt idx="33">
                  <c:v>-6.512182267955577</c:v>
                </c:pt>
                <c:pt idx="34">
                  <c:v>-6.8887993780670591</c:v>
                </c:pt>
                <c:pt idx="35">
                  <c:v>-7.2670199768776147</c:v>
                </c:pt>
                <c:pt idx="36">
                  <c:v>-7.646851228761153</c:v>
                </c:pt>
                <c:pt idx="37">
                  <c:v>-8.028300492692745</c:v>
                </c:pt>
                <c:pt idx="38">
                  <c:v>-8.4113753323680509</c:v>
                </c:pt>
                <c:pt idx="39">
                  <c:v>-8.7960835262644963</c:v>
                </c:pt>
                <c:pt idx="40">
                  <c:v>-9.1824330776334779</c:v>
                </c:pt>
                <c:pt idx="41">
                  <c:v>-9.5704322244133415</c:v>
                </c:pt>
                <c:pt idx="42">
                  <c:v>-9.960089449053541</c:v>
                </c:pt>
                <c:pt idx="43">
                  <c:v>-10.351413488240913</c:v>
                </c:pt>
                <c:pt idx="44">
                  <c:v>-10.744413342519682</c:v>
                </c:pt>
                <c:pt idx="45">
                  <c:v>-11.139098285797466</c:v>
                </c:pt>
                <c:pt idx="46">
                  <c:v>-11.535477874730313</c:v>
                </c:pt>
                <c:pt idx="47">
                  <c:v>-11.933561957980489</c:v>
                </c:pt>
                <c:pt idx="48">
                  <c:v>-12.333360685341564</c:v>
                </c:pt>
                <c:pt idx="49">
                  <c:v>-12.734884516726225</c:v>
                </c:pt>
                <c:pt idx="50">
                  <c:v>-13.13814423101304</c:v>
                </c:pt>
                <c:pt idx="51">
                  <c:v>-13.543150934749439</c:v>
                </c:pt>
                <c:pt idx="52">
                  <c:v>-13.949916070709047</c:v>
                </c:pt>
                <c:pt idx="53">
                  <c:v>-14.358451426302681</c:v>
                </c:pt>
                <c:pt idx="54">
                  <c:v>-14.768769141843251</c:v>
                </c:pt>
                <c:pt idx="55">
                  <c:v>-15.180881718666114</c:v>
                </c:pt>
                <c:pt idx="56">
                  <c:v>-15.594802027107557</c:v>
                </c:pt>
                <c:pt idx="57">
                  <c:v>-16.010543314345338</c:v>
                </c:pt>
                <c:pt idx="58">
                  <c:v>-16.428119212106697</c:v>
                </c:pt>
                <c:pt idx="59">
                  <c:v>-16.847543744250491</c:v>
                </c:pt>
                <c:pt idx="60">
                  <c:v>-17.268831334231741</c:v>
                </c:pt>
                <c:pt idx="61">
                  <c:v>-17.691996812458417</c:v>
                </c:pt>
                <c:pt idx="62">
                  <c:v>-18.117055423551935</c:v>
                </c:pt>
                <c:pt idx="63">
                  <c:v>-18.544022833524611</c:v>
                </c:pt>
                <c:pt idx="64">
                  <c:v>-18.972915136889206</c:v>
                </c:pt>
                <c:pt idx="65">
                  <c:v>-19.403748863717588</c:v>
                </c:pt>
                <c:pt idx="66">
                  <c:v>-19.836540986667714</c:v>
                </c:pt>
                <c:pt idx="67">
                  <c:v>-20.271308928000227</c:v>
                </c:pt>
                <c:pt idx="68">
                  <c:v>-20.708070566608288</c:v>
                </c:pt>
                <c:pt idx="69">
                  <c:v>-21.146844245086843</c:v>
                </c:pt>
                <c:pt idx="70">
                  <c:v>-21.587648776869969</c:v>
                </c:pt>
                <c:pt idx="71">
                  <c:v>-22.03050345346773</c:v>
                </c:pt>
                <c:pt idx="72">
                  <c:v>-22.475428051837032</c:v>
                </c:pt>
                <c:pt idx="73">
                  <c:v>-22.922442841923843</c:v>
                </c:pt>
                <c:pt idx="74">
                  <c:v>-23.371568594417614</c:v>
                </c:pt>
                <c:pt idx="75">
                  <c:v>-23.822826588762162</c:v>
                </c:pt>
                <c:pt idx="76">
                  <c:v>-24.276238621470981</c:v>
                </c:pt>
                <c:pt idx="77">
                  <c:v>-24.731827014798974</c:v>
                </c:pt>
                <c:pt idx="78">
                  <c:v>-25.189614625826696</c:v>
                </c:pt>
                <c:pt idx="79">
                  <c:v>-25.649624856017841</c:v>
                </c:pt>
                <c:pt idx="80">
                  <c:v>-26.111881661315383</c:v>
                </c:pt>
                <c:pt idx="81">
                  <c:v>-26.576409562846933</c:v>
                </c:pt>
                <c:pt idx="82">
                  <c:v>-27.043233658315426</c:v>
                </c:pt>
                <c:pt idx="83">
                  <c:v>-27.51237963415694</c:v>
                </c:pt>
                <c:pt idx="84">
                  <c:v>-27.983873778553878</c:v>
                </c:pt>
                <c:pt idx="85">
                  <c:v>-28.457742995398423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420B-4790-9A26-9CCCEB989D58}"/>
            </c:ext>
          </c:extLst>
        </c:ser>
        <c:ser>
          <c:idx val="11"/>
          <c:order val="24"/>
          <c:spPr>
            <a:ln w="508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20B-4790-9A26-9CCCEB989D58}"/>
            </c:ext>
          </c:extLst>
        </c:ser>
        <c:ser>
          <c:idx val="12"/>
          <c:order val="25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graph!$F$8:$F$93</c:f>
              <c:numCache>
                <c:formatCode>General</c:formatCode>
                <c:ptCount val="86"/>
                <c:pt idx="0">
                  <c:v>4.6893065417123916</c:v>
                </c:pt>
                <c:pt idx="1">
                  <c:v>4.3871059576473188</c:v>
                </c:pt>
                <c:pt idx="2">
                  <c:v>4.0834733412390891</c:v>
                </c:pt>
                <c:pt idx="3">
                  <c:v>3.7783948702391332</c:v>
                </c:pt>
                <c:pt idx="4">
                  <c:v>3.4718570438841745</c:v>
                </c:pt>
                <c:pt idx="5">
                  <c:v>3.163846653782171</c:v>
                </c:pt>
                <c:pt idx="6">
                  <c:v>2.8543507554371073</c:v>
                </c:pt>
                <c:pt idx="7">
                  <c:v>2.5433566404343355</c:v>
                </c:pt>
                <c:pt idx="8">
                  <c:v>2.2308518093087395</c:v>
                </c:pt>
                <c:pt idx="9">
                  <c:v>1.9168239451185125</c:v>
                </c:pt>
                <c:pt idx="10">
                  <c:v>1.6012608877477987</c:v>
                </c:pt>
                <c:pt idx="11">
                  <c:v>1.2841506089618526</c:v>
                </c:pt>
                <c:pt idx="12">
                  <c:v>0.96548118823869311</c:v>
                </c:pt>
                <c:pt idx="13">
                  <c:v>0.64524078940153184</c:v>
                </c:pt>
                <c:pt idx="14">
                  <c:v>0.32341763807645257</c:v>
                </c:pt>
                <c:pt idx="15">
                  <c:v>0</c:v>
                </c:pt>
                <c:pt idx="16">
                  <c:v>-0.32502383979858662</c:v>
                </c:pt>
                <c:pt idx="17">
                  <c:v>-0.65166559691566905</c:v>
                </c:pt>
                <c:pt idx="18">
                  <c:v>-0.97993700656730076</c:v>
                </c:pt>
                <c:pt idx="19">
                  <c:v>-1.3098498416343818</c:v>
                </c:pt>
                <c:pt idx="20">
                  <c:v>-1.641415929734336</c:v>
                </c:pt>
                <c:pt idx="21">
                  <c:v>-1.9746471692949472</c:v>
                </c:pt>
                <c:pt idx="22">
                  <c:v>-2.3095555446062668</c:v>
                </c:pt>
                <c:pt idx="23">
                  <c:v>-2.6461531398268336</c:v>
                </c:pt>
                <c:pt idx="24">
                  <c:v>-2.9844521519208409</c:v>
                </c:pt>
                <c:pt idx="25">
                  <c:v>-3.3244649025033541</c:v>
                </c:pt>
                <c:pt idx="26">
                  <c:v>-3.6662038485712145</c:v>
                </c:pt>
                <c:pt idx="27">
                  <c:v>-4.0096815920978788</c:v>
                </c:pt>
                <c:pt idx="28">
                  <c:v>-4.3549108884711112</c:v>
                </c:pt>
                <c:pt idx="29">
                  <c:v>-4.7019046537532345</c:v>
                </c:pt>
                <c:pt idx="30">
                  <c:v>-5.0506759707444413</c:v>
                </c:pt>
                <c:pt idx="31">
                  <c:v>-5.4012380938306386</c:v>
                </c:pt>
                <c:pt idx="32">
                  <c:v>-5.7536044525982781</c:v>
                </c:pt>
                <c:pt idx="33">
                  <c:v>-6.1077886541997426</c:v>
                </c:pt>
                <c:pt idx="34">
                  <c:v>-6.4638044844540499</c:v>
                </c:pt>
                <c:pt idx="35">
                  <c:v>-6.8216659076689563</c:v>
                </c:pt>
                <c:pt idx="36">
                  <c:v>-7.1813870651719069</c:v>
                </c:pt>
                <c:pt idx="37">
                  <c:v>-7.5429822725388478</c:v>
                </c:pt>
                <c:pt idx="38">
                  <c:v>-7.9064660155115316</c:v>
                </c:pt>
                <c:pt idx="39">
                  <c:v>-8.2718529445957003</c:v>
                </c:pt>
                <c:pt idx="40">
                  <c:v>-8.6391578683344434</c:v>
                </c:pt>
                <c:pt idx="41">
                  <c:v>-9.0083957452530719</c:v>
                </c:pt>
                <c:pt idx="42">
                  <c:v>-9.3795816744740268</c:v>
                </c:pt>
                <c:pt idx="43">
                  <c:v>-9.752730885002693</c:v>
                </c:pt>
                <c:pt idx="44">
                  <c:v>-10.127858723687551</c:v>
                </c:pt>
                <c:pt idx="45">
                  <c:v>-10.504980641860735</c:v>
                </c:pt>
                <c:pt idx="46">
                  <c:v>-10.88411218066806</c:v>
                </c:pt>
                <c:pt idx="47">
                  <c:v>-11.26526895510065</c:v>
                </c:pt>
                <c:pt idx="48">
                  <c:v>-11.648466636743645</c:v>
                </c:pt>
                <c:pt idx="49">
                  <c:v>-12.033720935261091</c:v>
                </c:pt>
                <c:pt idx="50">
                  <c:v>-12.421047578639968</c:v>
                </c:pt>
                <c:pt idx="51">
                  <c:v>-12.810462292220436</c:v>
                </c:pt>
                <c:pt idx="52">
                  <c:v>-13.201980776543856</c:v>
                </c:pt>
                <c:pt idx="53">
                  <c:v>-13.595618684054937</c:v>
                </c:pt>
                <c:pt idx="54">
                  <c:v>-13.991391594699488</c:v>
                </c:pt>
                <c:pt idx="55">
                  <c:v>-14.389314990464813</c:v>
                </c:pt>
                <c:pt idx="56">
                  <c:v>-14.78940422891576</c:v>
                </c:pt>
                <c:pt idx="57">
                  <c:v>-15.191674515785827</c:v>
                </c:pt>
                <c:pt idx="58">
                  <c:v>-15.596140876689734</c:v>
                </c:pt>
                <c:pt idx="59">
                  <c:v>-16.002818128031222</c:v>
                </c:pt>
                <c:pt idx="60">
                  <c:v>-16.411720847188047</c:v>
                </c:pt>
                <c:pt idx="61">
                  <c:v>-16.822863342064736</c:v>
                </c:pt>
                <c:pt idx="62">
                  <c:v>-17.236259620113149</c:v>
                </c:pt>
                <c:pt idx="63">
                  <c:v>-17.651923356931036</c:v>
                </c:pt>
                <c:pt idx="64">
                  <c:v>-18.069867864559868</c:v>
                </c:pt>
                <c:pt idx="65">
                  <c:v>-18.490106059615002</c:v>
                </c:pt>
                <c:pt idx="66">
                  <c:v>-18.912650431394415</c:v>
                </c:pt>
                <c:pt idx="67">
                  <c:v>-19.337513010125999</c:v>
                </c:pt>
                <c:pt idx="68">
                  <c:v>-19.764705335528827</c:v>
                </c:pt>
                <c:pt idx="69">
                  <c:v>-20.194238425880251</c:v>
                </c:pt>
                <c:pt idx="70">
                  <c:v>-20.626122747798657</c:v>
                </c:pt>
                <c:pt idx="71">
                  <c:v>-21.060368186971228</c:v>
                </c:pt>
                <c:pt idx="72">
                  <c:v>-21.496984020077331</c:v>
                </c:pt>
                <c:pt idx="73">
                  <c:v>-21.935978888181303</c:v>
                </c:pt>
                <c:pt idx="74">
                  <c:v>-22.377360771893542</c:v>
                </c:pt>
                <c:pt idx="75">
                  <c:v>-22.821136968626355</c:v>
                </c:pt>
                <c:pt idx="76">
                  <c:v>-23.267314072300969</c:v>
                </c:pt>
                <c:pt idx="77">
                  <c:v>-23.715897955894786</c:v>
                </c:pt>
                <c:pt idx="78">
                  <c:v>-24.166893757253689</c:v>
                </c:pt>
                <c:pt idx="79">
                  <c:v>-24.620305868633324</c:v>
                </c:pt>
                <c:pt idx="80">
                  <c:v>-25.076137930475689</c:v>
                </c:pt>
                <c:pt idx="81">
                  <c:v>-25.534392829974315</c:v>
                </c:pt>
                <c:pt idx="82">
                  <c:v>-25.995072705032175</c:v>
                </c:pt>
                <c:pt idx="83">
                  <c:v>-26.458178954272299</c:v>
                </c:pt>
                <c:pt idx="84">
                  <c:v>-26.923712253822508</c:v>
                </c:pt>
                <c:pt idx="85">
                  <c:v>-27.391672581662462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20B-4790-9A26-9CCCEB989D58}"/>
            </c:ext>
          </c:extLst>
        </c:ser>
        <c:ser>
          <c:idx val="13"/>
          <c:order val="26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graph!$E$8:$E$93</c:f>
              <c:numCache>
                <c:formatCode>General</c:formatCode>
                <c:ptCount val="86"/>
                <c:pt idx="0">
                  <c:v>-2.7636682349165302</c:v>
                </c:pt>
                <c:pt idx="1">
                  <c:v>-2.5690038338730079</c:v>
                </c:pt>
                <c:pt idx="2">
                  <c:v>-2.3757714651726416</c:v>
                </c:pt>
                <c:pt idx="3">
                  <c:v>-2.1839849510640024</c:v>
                </c:pt>
                <c:pt idx="4">
                  <c:v>-1.993657792310366</c:v>
                </c:pt>
                <c:pt idx="5">
                  <c:v>-1.8048031973037744</c:v>
                </c:pt>
                <c:pt idx="6">
                  <c:v>-1.6174341105402434</c:v>
                </c:pt>
                <c:pt idx="7">
                  <c:v>-1.4315632404344203</c:v>
                </c:pt>
                <c:pt idx="8">
                  <c:v>-1.2472030864514214</c:v>
                </c:pt>
                <c:pt idx="9">
                  <c:v>-1.0643659655330537</c:v>
                </c:pt>
                <c:pt idx="10">
                  <c:v>-0.88306403779517262</c:v>
                </c:pt>
                <c:pt idx="11">
                  <c:v>-0.70330933147252406</c:v>
                </c:pt>
                <c:pt idx="12">
                  <c:v>-0.52511376708708857</c:v>
                </c:pt>
                <c:pt idx="13">
                  <c:v>-0.34848918081565494</c:v>
                </c:pt>
                <c:pt idx="14">
                  <c:v>-0.17344734703213924</c:v>
                </c:pt>
                <c:pt idx="15">
                  <c:v>0</c:v>
                </c:pt>
                <c:pt idx="16">
                  <c:v>0.17184114531000835</c:v>
                </c:pt>
                <c:pt idx="17">
                  <c:v>0.34206437330152084</c:v>
                </c:pt>
                <c:pt idx="18">
                  <c:v>0.51065794875848436</c:v>
                </c:pt>
                <c:pt idx="19">
                  <c:v>0.67761009879999812</c:v>
                </c:pt>
                <c:pt idx="20">
                  <c:v>0.84290899580863865</c:v>
                </c:pt>
                <c:pt idx="21">
                  <c:v>1.0065427413566224</c:v>
                </c:pt>
                <c:pt idx="22">
                  <c:v>1.1684993511538977</c:v>
                </c:pt>
                <c:pt idx="23">
                  <c:v>1.3287667410419255</c:v>
                </c:pt>
                <c:pt idx="24">
                  <c:v>1.4873327140565129</c:v>
                </c:pt>
                <c:pt idx="25">
                  <c:v>1.6441849485825943</c:v>
                </c:pt>
                <c:pt idx="26">
                  <c:v>1.7993109876233289</c:v>
                </c:pt>
                <c:pt idx="27">
                  <c:v>1.9526982292052608</c:v>
                </c:pt>
                <c:pt idx="28">
                  <c:v>2.1043339179406231</c:v>
                </c:pt>
                <c:pt idx="29">
                  <c:v>2.2542051377670949</c:v>
                </c:pt>
                <c:pt idx="30">
                  <c:v>2.4022988058844832</c:v>
                </c:pt>
                <c:pt idx="31">
                  <c:v>2.5486016679068815</c:v>
                </c:pt>
                <c:pt idx="32">
                  <c:v>2.6931002942478379</c:v>
                </c:pt>
                <c:pt idx="33">
                  <c:v>2.8357810777549695</c:v>
                </c:pt>
                <c:pt idx="34">
                  <c:v>2.976630232609256</c:v>
                </c:pt>
                <c:pt idx="35">
                  <c:v>3.1156337945029438</c:v>
                </c:pt>
                <c:pt idx="36">
                  <c:v>3.2527776221085896</c:v>
                </c:pt>
                <c:pt idx="37">
                  <c:v>3.3880473998502438</c:v>
                </c:pt>
                <c:pt idx="38">
                  <c:v>3.5214286419861556</c:v>
                </c:pt>
                <c:pt idx="39">
                  <c:v>3.6529066980105824</c:v>
                </c:pt>
                <c:pt idx="40">
                  <c:v>3.7824667593804349</c:v>
                </c:pt>
                <c:pt idx="41">
                  <c:v>3.9100938675704007</c:v>
                </c:pt>
                <c:pt idx="42">
                  <c:v>4.0357729234580431</c:v>
                </c:pt>
                <c:pt idx="43">
                  <c:v>4.1594886980379702</c:v>
                </c:pt>
                <c:pt idx="44">
                  <c:v>4.2812258444617086</c:v>
                </c:pt>
                <c:pt idx="45">
                  <c:v>4.4009689113971211</c:v>
                </c:pt>
                <c:pt idx="46">
                  <c:v>4.5187023576983911</c:v>
                </c:pt>
                <c:pt idx="47">
                  <c:v>4.6344105683743955</c:v>
                </c:pt>
                <c:pt idx="48">
                  <c:v>4.7480778718399961</c:v>
                </c:pt>
                <c:pt idx="49">
                  <c:v>4.8596885584311451</c:v>
                </c:pt>
                <c:pt idx="50">
                  <c:v>4.969226900160864</c:v>
                </c:pt>
                <c:pt idx="51">
                  <c:v>5.0766771716889902</c:v>
                </c:pt>
                <c:pt idx="52">
                  <c:v>5.1820236724741671</c:v>
                </c:pt>
                <c:pt idx="53">
                  <c:v>5.2852507500716808</c:v>
                </c:pt>
                <c:pt idx="54">
                  <c:v>5.3863428245357241</c:v>
                </c:pt>
                <c:pt idx="55">
                  <c:v>5.4852844138789933</c:v>
                </c:pt>
                <c:pt idx="56">
                  <c:v>5.5820601605366411</c:v>
                </c:pt>
                <c:pt idx="57">
                  <c:v>5.6766548587751666</c:v>
                </c:pt>
                <c:pt idx="58">
                  <c:v>5.7690534829798521</c:v>
                </c:pt>
                <c:pt idx="59">
                  <c:v>5.8592412167469581</c:v>
                </c:pt>
                <c:pt idx="60">
                  <c:v>5.9472034826987263</c:v>
                </c:pt>
                <c:pt idx="61">
                  <c:v>6.032925972930629</c:v>
                </c:pt>
                <c:pt idx="62">
                  <c:v>6.1163946799908109</c:v>
                </c:pt>
                <c:pt idx="63">
                  <c:v>6.1975959282815154</c:v>
                </c:pt>
                <c:pt idx="64">
                  <c:v>6.2765164057612797</c:v>
                </c:pt>
                <c:pt idx="65">
                  <c:v>6.3531431958147353</c:v>
                </c:pt>
                <c:pt idx="66">
                  <c:v>6.4274638091439149</c:v>
                </c:pt>
                <c:pt idx="67">
                  <c:v>6.4994662155209255</c:v>
                </c:pt>
                <c:pt idx="68">
                  <c:v>6.5691388752266917</c:v>
                </c:pt>
                <c:pt idx="69">
                  <c:v>6.636470769983859</c:v>
                </c:pt>
                <c:pt idx="70">
                  <c:v>6.7014514331740456</c:v>
                </c:pt>
                <c:pt idx="71">
                  <c:v>6.7640709791100697</c:v>
                </c:pt>
                <c:pt idx="72">
                  <c:v>6.8243201311125601</c:v>
                </c:pt>
                <c:pt idx="73">
                  <c:v>6.8821902481171797</c:v>
                </c:pt>
                <c:pt idx="74">
                  <c:v>6.9376733495135348</c:v>
                </c:pt>
                <c:pt idx="75">
                  <c:v>6.9907621378893134</c:v>
                </c:pt>
                <c:pt idx="76">
                  <c:v>7.0414500193232907</c:v>
                </c:pt>
                <c:pt idx="77">
                  <c:v>7.0897311208380716</c:v>
                </c:pt>
                <c:pt idx="78">
                  <c:v>7.1356003045877596</c:v>
                </c:pt>
                <c:pt idx="79">
                  <c:v>7.1790531783167193</c:v>
                </c:pt>
                <c:pt idx="80">
                  <c:v>7.2200861015829458</c:v>
                </c:pt>
                <c:pt idx="81">
                  <c:v>7.2586961871929105</c:v>
                </c:pt>
                <c:pt idx="82">
                  <c:v>7.2948812972436468</c:v>
                </c:pt>
                <c:pt idx="83">
                  <c:v>7.3286400331121184</c:v>
                </c:pt>
                <c:pt idx="84">
                  <c:v>7.3599717186704989</c:v>
                </c:pt>
                <c:pt idx="85">
                  <c:v>7.38887637593914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20B-4790-9A26-9CCCEB989D58}"/>
            </c:ext>
          </c:extLst>
        </c:ser>
        <c:ser>
          <c:idx val="14"/>
          <c:order val="27"/>
          <c:spPr>
            <a:ln w="508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graphbase!$B$8:$B$93</c:f>
              <c:numCache>
                <c:formatCode>General</c:formatCode>
                <c:ptCount val="86"/>
                <c:pt idx="0">
                  <c:v>0.41643116891746634</c:v>
                </c:pt>
                <c:pt idx="1">
                  <c:v>0.39865371158319912</c:v>
                </c:pt>
                <c:pt idx="2">
                  <c:v>0.37948184543909647</c:v>
                </c:pt>
                <c:pt idx="3">
                  <c:v>0.35890790520460653</c:v>
                </c:pt>
                <c:pt idx="4">
                  <c:v>0.3369243376029587</c:v>
                </c:pt>
                <c:pt idx="5">
                  <c:v>0.31352369481273845</c:v>
                </c:pt>
                <c:pt idx="6">
                  <c:v>0.28869862752254355</c:v>
                </c:pt>
                <c:pt idx="7">
                  <c:v>0.26244187760169696</c:v>
                </c:pt>
                <c:pt idx="8">
                  <c:v>0.23474627040025803</c:v>
                </c:pt>
                <c:pt idx="9">
                  <c:v>0.20560470669183284</c:v>
                </c:pt>
                <c:pt idx="10">
                  <c:v>0.17501015427289987</c:v>
                </c:pt>
                <c:pt idx="11">
                  <c:v>0.14295563923256693</c:v>
                </c:pt>
                <c:pt idx="12">
                  <c:v>0.10943423690684123</c:v>
                </c:pt>
                <c:pt idx="13">
                  <c:v>7.4439062531637221E-2</c:v>
                </c:pt>
                <c:pt idx="14">
                  <c:v>3.7963261608861064E-2</c:v>
                </c:pt>
                <c:pt idx="15">
                  <c:v>0</c:v>
                </c:pt>
                <c:pt idx="16">
                  <c:v>-3.9457546238294804E-2</c:v>
                </c:pt>
                <c:pt idx="17">
                  <c:v>-8.0416201262102943E-2</c:v>
                </c:pt>
                <c:pt idx="18">
                  <c:v>-0.12288280007707685</c:v>
                </c:pt>
                <c:pt idx="19">
                  <c:v>-0.16686419938971059</c:v>
                </c:pt>
                <c:pt idx="20">
                  <c:v>-0.21236728865856408</c:v>
                </c:pt>
                <c:pt idx="21">
                  <c:v>-0.25939900133104049</c:v>
                </c:pt>
                <c:pt idx="22">
                  <c:v>-0.30796632625141462</c:v>
                </c:pt>
                <c:pt idx="23">
                  <c:v>-0.35807631922593597</c:v>
                </c:pt>
                <c:pt idx="24">
                  <c:v>-0.40973611473098381</c:v>
                </c:pt>
                <c:pt idx="25">
                  <c:v>-0.46295293775043733</c:v>
                </c:pt>
                <c:pt idx="26">
                  <c:v>-0.5177341157286327</c:v>
                </c:pt>
                <c:pt idx="27">
                  <c:v>-0.57408709062552399</c:v>
                </c:pt>
                <c:pt idx="28">
                  <c:v>-0.63201943106093561</c:v>
                </c:pt>
                <c:pt idx="29">
                  <c:v>-0.6915388445350994</c:v>
                </c:pt>
                <c:pt idx="30">
                  <c:v>-0.75265318971300266</c:v>
                </c:pt>
                <c:pt idx="31">
                  <c:v>-0.81537048876044493</c:v>
                </c:pt>
                <c:pt idx="32">
                  <c:v>-0.87969893972010615</c:v>
                </c:pt>
                <c:pt idx="33">
                  <c:v>-0.94564692891636037</c:v>
                </c:pt>
                <c:pt idx="34">
                  <c:v>-1.0132230433780529</c:v>
                </c:pt>
                <c:pt idx="35">
                  <c:v>-1.0824360832689657</c:v>
                </c:pt>
                <c:pt idx="36">
                  <c:v>-1.1532950743162524</c:v>
                </c:pt>
                <c:pt idx="37">
                  <c:v>-1.2258092802277141</c:v>
                </c:pt>
                <c:pt idx="38">
                  <c:v>-1.2999882150894306</c:v>
                </c:pt>
                <c:pt idx="39">
                  <c:v>-1.3758416557359328</c:v>
                </c:pt>
                <c:pt idx="40">
                  <c:v>-1.453379654085843</c:v>
                </c:pt>
                <c:pt idx="41">
                  <c:v>-1.532612549436682</c:v>
                </c:pt>
                <c:pt idx="42">
                  <c:v>-1.6135509807133672</c:v>
                </c:pt>
                <c:pt idx="43">
                  <c:v>-1.6962058986658262</c:v>
                </c:pt>
                <c:pt idx="44">
                  <c:v>-1.7805885780120732</c:v>
                </c:pt>
                <c:pt idx="45">
                  <c:v>-1.8667106295241207</c:v>
                </c:pt>
                <c:pt idx="46">
                  <c:v>-1.9545840120551452</c:v>
                </c:pt>
                <c:pt idx="47">
                  <c:v>-2.044221044507486</c:v>
                </c:pt>
                <c:pt idx="48">
                  <c:v>-2.1356344177422422</c:v>
                </c:pt>
                <c:pt idx="49">
                  <c:v>-2.2288372064325408</c:v>
                </c:pt>
                <c:pt idx="50">
                  <c:v>-2.3238428808639005</c:v>
                </c:pt>
                <c:pt idx="51">
                  <c:v>-2.4206653186865834</c:v>
                </c:pt>
                <c:pt idx="52">
                  <c:v>-2.5193188166263694</c:v>
                </c:pt>
                <c:pt idx="53">
                  <c:v>-2.6198181021618456</c:v>
                </c:pt>
                <c:pt idx="54">
                  <c:v>-2.7221783451780461</c:v>
                </c:pt>
                <c:pt idx="55">
                  <c:v>-2.8264151696081661</c:v>
                </c:pt>
                <c:pt idx="56">
                  <c:v>-2.9325446650770486</c:v>
                </c:pt>
                <c:pt idx="57">
                  <c:v>-3.0405833985622817</c:v>
                </c:pt>
                <c:pt idx="58">
                  <c:v>-3.150548426091011</c:v>
                </c:pt>
                <c:pt idx="59">
                  <c:v>-3.2624573044929703</c:v>
                </c:pt>
                <c:pt idx="60">
                  <c:v>-3.3763281032328512</c:v>
                </c:pt>
                <c:pt idx="61">
                  <c:v>-3.4921794163478697</c:v>
                </c:pt>
                <c:pt idx="62">
                  <c:v>-3.6100303745193423</c:v>
                </c:pt>
                <c:pt idx="63">
                  <c:v>-3.7299006573102482</c:v>
                </c:pt>
                <c:pt idx="64">
                  <c:v>-3.8518105056041438</c:v>
                </c:pt>
                <c:pt idx="65">
                  <c:v>-3.975780734284414</c:v>
                </c:pt>
                <c:pt idx="66">
                  <c:v>-4.1018327451967185</c:v>
                </c:pt>
                <c:pt idx="67">
                  <c:v>-4.2299885404417052</c:v>
                </c:pt>
                <c:pt idx="68">
                  <c:v>-4.3602707360494986</c:v>
                </c:pt>
                <c:pt idx="69">
                  <c:v>-4.4927025760923209</c:v>
                </c:pt>
                <c:pt idx="70">
                  <c:v>-4.6273079472968019</c:v>
                </c:pt>
                <c:pt idx="71">
                  <c:v>-4.7641113942230424</c:v>
                </c:pt>
                <c:pt idx="72">
                  <c:v>-4.9031381350836236</c:v>
                </c:pt>
                <c:pt idx="73">
                  <c:v>-5.0444140782821645</c:v>
                </c:pt>
                <c:pt idx="74">
                  <c:v>-5.1879658397580384</c:v>
                </c:pt>
                <c:pt idx="75">
                  <c:v>-5.3338207612314807</c:v>
                </c:pt>
                <c:pt idx="76">
                  <c:v>-5.4820069294514289</c:v>
                </c:pt>
                <c:pt idx="77">
                  <c:v>-5.6325531965573656</c:v>
                </c:pt>
                <c:pt idx="78">
                  <c:v>-5.7854892016759525</c:v>
                </c:pt>
                <c:pt idx="79">
                  <c:v>-5.9408453938836647</c:v>
                </c:pt>
                <c:pt idx="80">
                  <c:v>-6.0986530566779349</c:v>
                </c:pt>
                <c:pt idx="81">
                  <c:v>-6.2589443341114537</c:v>
                </c:pt>
                <c:pt idx="82">
                  <c:v>-6.4217522587576772</c:v>
                </c:pt>
                <c:pt idx="83">
                  <c:v>-6.5871107816899297</c:v>
                </c:pt>
                <c:pt idx="84">
                  <c:v>-6.7550548046722589</c:v>
                </c:pt>
                <c:pt idx="85">
                  <c:v>-6.9256202147772541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20B-4790-9A26-9CCCEB989D58}"/>
            </c:ext>
          </c:extLst>
        </c:ser>
        <c:ser>
          <c:idx val="15"/>
          <c:order val="28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graphbase!$E$8:$E$93</c:f>
              <c:numCache>
                <c:formatCode>General</c:formatCode>
                <c:ptCount val="86"/>
                <c:pt idx="0">
                  <c:v>-2.9270908219365217</c:v>
                </c:pt>
                <c:pt idx="1">
                  <c:v>-2.7219668132138564</c:v>
                </c:pt>
                <c:pt idx="2">
                  <c:v>-2.5182372133010258</c:v>
                </c:pt>
                <c:pt idx="3">
                  <c:v>-2.3159096874785829</c:v>
                </c:pt>
                <c:pt idx="4">
                  <c:v>-2.1149917890232981</c:v>
                </c:pt>
                <c:pt idx="5">
                  <c:v>-1.915490965756586</c:v>
                </c:pt>
                <c:pt idx="6">
                  <c:v>-1.7174145669898484</c:v>
                </c:pt>
                <c:pt idx="7">
                  <c:v>-1.5207698508537624</c:v>
                </c:pt>
                <c:pt idx="8">
                  <c:v>-1.3255639919982687</c:v>
                </c:pt>
                <c:pt idx="9">
                  <c:v>-1.1318040896497612</c:v>
                </c:pt>
                <c:pt idx="10">
                  <c:v>-0.93949717601176164</c:v>
                </c:pt>
                <c:pt idx="11">
                  <c:v>-0.74865022499516209</c:v>
                </c:pt>
                <c:pt idx="12">
                  <c:v>-0.55927016126395523</c:v>
                </c:pt>
                <c:pt idx="13">
                  <c:v>-0.37136386958222661</c:v>
                </c:pt>
                <c:pt idx="14">
                  <c:v>-0.18493820444807013</c:v>
                </c:pt>
                <c:pt idx="15">
                  <c:v>0</c:v>
                </c:pt>
                <c:pt idx="16">
                  <c:v>0.18344391981863781</c:v>
                </c:pt>
                <c:pt idx="17">
                  <c:v>0.36538673085176232</c:v>
                </c:pt>
                <c:pt idx="18">
                  <c:v>0.54582159809372111</c:v>
                </c:pt>
                <c:pt idx="19">
                  <c:v>0.72474166483801983</c:v>
                </c:pt>
                <c:pt idx="20">
                  <c:v>0.90214004162609895</c:v>
                </c:pt>
                <c:pt idx="21">
                  <c:v>1.0780097950105552</c:v>
                </c:pt>
                <c:pt idx="22">
                  <c:v>1.2523439361471138</c:v>
                </c:pt>
                <c:pt idx="23">
                  <c:v>1.4251354092295248</c:v>
                </c:pt>
                <c:pt idx="24">
                  <c:v>1.5963770797814094</c:v>
                </c:pt>
                <c:pt idx="25">
                  <c:v>1.7660617228188884</c:v>
                </c:pt>
                <c:pt idx="26">
                  <c:v>1.9341820108976258</c:v>
                </c:pt>
                <c:pt idx="27">
                  <c:v>2.1007305020576674</c:v>
                </c:pt>
                <c:pt idx="28">
                  <c:v>2.2656996276791888</c:v>
                </c:pt>
                <c:pt idx="29">
                  <c:v>2.4290816802619579</c:v>
                </c:pt>
                <c:pt idx="30">
                  <c:v>2.5908688011409873</c:v>
                </c:pt>
                <c:pt idx="31">
                  <c:v>2.7510529681504776</c:v>
                </c:pt>
                <c:pt idx="32">
                  <c:v>2.9096259832477496</c:v>
                </c:pt>
                <c:pt idx="33">
                  <c:v>3.0665794601084282</c:v>
                </c:pt>
                <c:pt idx="34">
                  <c:v>3.2219048117036682</c:v>
                </c:pt>
                <c:pt idx="35">
                  <c:v>3.3755932378696878</c:v>
                </c:pt>
                <c:pt idx="36">
                  <c:v>3.5276357128793334</c:v>
                </c:pt>
                <c:pt idx="37">
                  <c:v>3.6780229730248051</c:v>
                </c:pt>
                <c:pt idx="38">
                  <c:v>3.8267455042200211</c:v>
                </c:pt>
                <c:pt idx="39">
                  <c:v>3.9737935296304521</c:v>
                </c:pt>
                <c:pt idx="40">
                  <c:v>4.1191569973374742</c:v>
                </c:pt>
                <c:pt idx="41">
                  <c:v>4.262825568043568</c:v>
                </c:pt>
                <c:pt idx="42">
                  <c:v>4.4047886028238157</c:v>
                </c:pt>
                <c:pt idx="43">
                  <c:v>4.5450351509282898</c:v>
                </c:pt>
                <c:pt idx="44">
                  <c:v>4.6835539376389761</c:v>
                </c:pt>
                <c:pt idx="45">
                  <c:v>4.8203333521838605</c:v>
                </c:pt>
                <c:pt idx="46">
                  <c:v>4.9553614357097695</c:v>
                </c:pt>
                <c:pt idx="47">
                  <c:v>5.0886258693143613</c:v>
                </c:pt>
                <c:pt idx="48">
                  <c:v>5.220113962136538</c:v>
                </c:pt>
                <c:pt idx="49">
                  <c:v>5.3498126395031722</c:v>
                </c:pt>
                <c:pt idx="50">
                  <c:v>5.4777084311287449</c:v>
                </c:pt>
                <c:pt idx="51">
                  <c:v>5.6037874593629953</c:v>
                </c:pt>
                <c:pt idx="52">
                  <c:v>5.7280354274801413</c:v>
                </c:pt>
                <c:pt idx="53">
                  <c:v>5.8504376080015987</c:v>
                </c:pt>
                <c:pt idx="54">
                  <c:v>5.9709788310423306</c:v>
                </c:pt>
                <c:pt idx="55">
                  <c:v>6.0896434726691417</c:v>
                </c:pt>
                <c:pt idx="56">
                  <c:v>6.2064154432571916</c:v>
                </c:pt>
                <c:pt idx="57">
                  <c:v>6.3212781758288905</c:v>
                </c:pt>
                <c:pt idx="58">
                  <c:v>6.4342146143570931</c:v>
                </c:pt>
                <c:pt idx="59">
                  <c:v>6.5452072020120653</c:v>
                </c:pt>
                <c:pt idx="60">
                  <c:v>6.6542378693291173</c:v>
                </c:pt>
                <c:pt idx="61">
                  <c:v>6.7612880222710299</c:v>
                </c:pt>
                <c:pt idx="62">
                  <c:v>6.8663385301564901</c:v>
                </c:pt>
                <c:pt idx="63">
                  <c:v>6.9693697134225161</c:v>
                </c:pt>
                <c:pt idx="64">
                  <c:v>7.070361331185552</c:v>
                </c:pt>
                <c:pt idx="65">
                  <c:v>7.1692925685622138</c:v>
                </c:pt>
                <c:pt idx="66">
                  <c:v>7.2661420237068395</c:v>
                </c:pt>
                <c:pt idx="67">
                  <c:v>7.3608876945187847</c:v>
                </c:pt>
                <c:pt idx="68">
                  <c:v>7.4535069649679233</c:v>
                </c:pt>
                <c:pt idx="69">
                  <c:v>7.5439765909820329</c:v>
                </c:pt>
                <c:pt idx="70">
                  <c:v>7.6322726858344838</c:v>
                </c:pt>
                <c:pt idx="71">
                  <c:v>7.7183707049651753</c:v>
                </c:pt>
                <c:pt idx="72">
                  <c:v>7.8022454301615261</c:v>
                </c:pt>
                <c:pt idx="73">
                  <c:v>7.8838709530199171</c:v>
                </c:pt>
                <c:pt idx="74">
                  <c:v>7.9632206576009752</c:v>
                </c:pt>
                <c:pt idx="75">
                  <c:v>8.0402672021844648</c:v>
                </c:pt>
                <c:pt idx="76">
                  <c:v>8.1149825000214477</c:v>
                </c:pt>
                <c:pt idx="77">
                  <c:v>8.1873376989724438</c:v>
                </c:pt>
                <c:pt idx="78">
                  <c:v>8.2573031599107889</c:v>
                </c:pt>
                <c:pt idx="79">
                  <c:v>8.3248484337600086</c:v>
                </c:pt>
                <c:pt idx="80">
                  <c:v>8.3899422370226695</c:v>
                </c:pt>
                <c:pt idx="81">
                  <c:v>8.4525524256460827</c:v>
                </c:pt>
                <c:pt idx="82">
                  <c:v>8.5126459670567911</c:v>
                </c:pt>
                <c:pt idx="83">
                  <c:v>8.5701889101814697</c:v>
                </c:pt>
                <c:pt idx="84">
                  <c:v>8.6251463532560724</c:v>
                </c:pt>
                <c:pt idx="85">
                  <c:v>8.6774824092080092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20B-4790-9A26-9CCCEB989D58}"/>
            </c:ext>
          </c:extLst>
        </c:ser>
        <c:ser>
          <c:idx val="17"/>
          <c:order val="29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graphbase!$F$8:$F$93</c:f>
              <c:numCache>
                <c:formatCode>General</c:formatCode>
                <c:ptCount val="86"/>
                <c:pt idx="0">
                  <c:v>5.1561659190455194</c:v>
                </c:pt>
                <c:pt idx="1">
                  <c:v>4.822406145036048</c:v>
                </c:pt>
                <c:pt idx="2">
                  <c:v>4.4872519622167424</c:v>
                </c:pt>
                <c:pt idx="3">
                  <c:v>4.1506957053070481</c:v>
                </c:pt>
                <c:pt idx="4">
                  <c:v>3.8127298210301963</c:v>
                </c:pt>
                <c:pt idx="5">
                  <c:v>3.4733468615647722</c:v>
                </c:pt>
                <c:pt idx="6">
                  <c:v>3.1325394775993738</c:v>
                </c:pt>
                <c:pt idx="7">
                  <c:v>2.790300411003324</c:v>
                </c:pt>
                <c:pt idx="8">
                  <c:v>2.4466224871266813</c:v>
                </c:pt>
                <c:pt idx="9">
                  <c:v>2.1014986067430526</c:v>
                </c:pt>
                <c:pt idx="10">
                  <c:v>1.7549217376489161</c:v>
                </c:pt>
                <c:pt idx="11">
                  <c:v>1.4068849059333797</c:v>
                </c:pt>
                <c:pt idx="12">
                  <c:v>1.0573811869324503</c:v>
                </c:pt>
                <c:pt idx="13">
                  <c:v>0.70640369588204255</c:v>
                </c:pt>
                <c:pt idx="14">
                  <c:v>0.3539455782840627</c:v>
                </c:pt>
                <c:pt idx="15">
                  <c:v>0</c:v>
                </c:pt>
                <c:pt idx="16">
                  <c:v>-0.35543986291349844</c:v>
                </c:pt>
                <c:pt idx="17">
                  <c:v>-0.71238083461251023</c:v>
                </c:pt>
                <c:pt idx="18">
                  <c:v>-1.0708297501026878</c:v>
                </c:pt>
                <c:pt idx="19">
                  <c:v>-1.4307934660905253</c:v>
                </c:pt>
                <c:pt idx="20">
                  <c:v>-1.7922788720345824</c:v>
                </c:pt>
                <c:pt idx="21">
                  <c:v>-2.1552929013822624</c:v>
                </c:pt>
                <c:pt idx="22">
                  <c:v>-2.5198425429778402</c:v>
                </c:pt>
                <c:pt idx="23">
                  <c:v>-2.8859348526275648</c:v>
                </c:pt>
                <c:pt idx="24">
                  <c:v>-3.2535769648078166</c:v>
                </c:pt>
                <c:pt idx="25">
                  <c:v>-3.6227761045024733</c:v>
                </c:pt>
                <c:pt idx="26">
                  <c:v>-3.9935395991558726</c:v>
                </c:pt>
                <c:pt idx="27">
                  <c:v>-4.3658748907279676</c:v>
                </c:pt>
                <c:pt idx="28">
                  <c:v>-4.7397895478385834</c:v>
                </c:pt>
                <c:pt idx="29">
                  <c:v>-5.1152912779879509</c:v>
                </c:pt>
                <c:pt idx="30">
                  <c:v>-5.4923879398410573</c:v>
                </c:pt>
                <c:pt idx="31">
                  <c:v>-5.8710875555637045</c:v>
                </c:pt>
                <c:pt idx="32">
                  <c:v>-6.2513983231985701</c:v>
                </c:pt>
                <c:pt idx="33">
                  <c:v>-6.6333286290700277</c:v>
                </c:pt>
                <c:pt idx="34">
                  <c:v>-7.0168870602069244</c:v>
                </c:pt>
                <c:pt idx="35">
                  <c:v>-7.4020824167730401</c:v>
                </c:pt>
                <c:pt idx="36">
                  <c:v>-7.7889237244955307</c:v>
                </c:pt>
                <c:pt idx="37">
                  <c:v>-8.1774202470821962</c:v>
                </c:pt>
                <c:pt idx="38">
                  <c:v>-8.5675814986191163</c:v>
                </c:pt>
                <c:pt idx="39">
                  <c:v>-8.9594172559408225</c:v>
                </c:pt>
                <c:pt idx="40">
                  <c:v>-9.3529375709659366</c:v>
                </c:pt>
                <c:pt idx="41">
                  <c:v>-9.7481527829919798</c:v>
                </c:pt>
                <c:pt idx="42">
                  <c:v>-10.145073530943868</c:v>
                </c:pt>
                <c:pt idx="43">
                  <c:v>-10.543710765571532</c:v>
                </c:pt>
                <c:pt idx="44">
                  <c:v>-10.944075761592984</c:v>
                </c:pt>
                <c:pt idx="45">
                  <c:v>-11.346180129780235</c:v>
                </c:pt>
                <c:pt idx="46">
                  <c:v>-11.750035828986462</c:v>
                </c:pt>
                <c:pt idx="47">
                  <c:v>-12.155655178114007</c:v>
                </c:pt>
                <c:pt idx="48">
                  <c:v>-12.563050868023968</c:v>
                </c:pt>
                <c:pt idx="49">
                  <c:v>-12.97223597338947</c:v>
                </c:pt>
                <c:pt idx="50">
                  <c:v>-13.383223964496032</c:v>
                </c:pt>
                <c:pt idx="51">
                  <c:v>-13.79602871899392</c:v>
                </c:pt>
                <c:pt idx="52">
                  <c:v>-14.210664533608909</c:v>
                </c:pt>
                <c:pt idx="53">
                  <c:v>-14.62714613581959</c:v>
                </c:pt>
                <c:pt idx="54">
                  <c:v>-15.045488695510995</c:v>
                </c:pt>
                <c:pt idx="55">
                  <c:v>-15.465707836616318</c:v>
                </c:pt>
                <c:pt idx="56">
                  <c:v>-15.887819648760402</c:v>
                </c:pt>
                <c:pt idx="57">
                  <c:v>-16.31184069892084</c:v>
                </c:pt>
                <c:pt idx="58">
                  <c:v>-16.73778804312477</c:v>
                </c:pt>
                <c:pt idx="59">
                  <c:v>-17.165679238201932</c:v>
                </c:pt>
                <c:pt idx="60">
                  <c:v>-17.595532353617017</c:v>
                </c:pt>
                <c:pt idx="61">
                  <c:v>-18.027365983407236</c:v>
                </c:pt>
                <c:pt idx="62">
                  <c:v>-18.461199258253913</c:v>
                </c:pt>
                <c:pt idx="63">
                  <c:v>-18.897051857720019</c:v>
                </c:pt>
                <c:pt idx="64">
                  <c:v>-19.334944022689118</c:v>
                </c:pt>
                <c:pt idx="65">
                  <c:v>-19.774896568044589</c:v>
                </c:pt>
                <c:pt idx="66">
                  <c:v>-20.216930895632096</c:v>
                </c:pt>
                <c:pt idx="67">
                  <c:v>-20.661069007552289</c:v>
                </c:pt>
                <c:pt idx="68">
                  <c:v>-21.107333519835279</c:v>
                </c:pt>
                <c:pt idx="69">
                  <c:v>-21.555747676553306</c:v>
                </c:pt>
                <c:pt idx="70">
                  <c:v>-22.006335364432992</c:v>
                </c:pt>
                <c:pt idx="71">
                  <c:v>-22.459121128034436</c:v>
                </c:pt>
                <c:pt idx="72">
                  <c:v>-22.914130185570215</c:v>
                </c:pt>
                <c:pt idx="73">
                  <c:v>-23.371388445443962</c:v>
                </c:pt>
                <c:pt idx="74">
                  <c:v>-23.830922523595039</c:v>
                </c:pt>
                <c:pt idx="75">
                  <c:v>-24.292759761743682</c:v>
                </c:pt>
                <c:pt idx="76">
                  <c:v>-24.756928246638836</c:v>
                </c:pt>
                <c:pt idx="77">
                  <c:v>-25.22345683041997</c:v>
                </c:pt>
                <c:pt idx="78">
                  <c:v>-25.692375152213764</c:v>
                </c:pt>
                <c:pt idx="79">
                  <c:v>-26.163713661096679</c:v>
                </c:pt>
                <c:pt idx="80">
                  <c:v>-26.637503640566152</c:v>
                </c:pt>
                <c:pt idx="81">
                  <c:v>-27.11377723467487</c:v>
                </c:pt>
                <c:pt idx="82">
                  <c:v>-27.592567475996297</c:v>
                </c:pt>
                <c:pt idx="83">
                  <c:v>-28.073908315603752</c:v>
                </c:pt>
                <c:pt idx="84">
                  <c:v>-28.557834655261285</c:v>
                </c:pt>
                <c:pt idx="85">
                  <c:v>-29.04438238204148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20B-4790-9A26-9CCCEB989D58}"/>
            </c:ext>
          </c:extLst>
        </c:ser>
        <c:ser>
          <c:idx val="18"/>
          <c:order val="30"/>
          <c:spPr>
            <a:ln w="508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20B-4790-9A26-9CCCEB989D58}"/>
            </c:ext>
          </c:extLst>
        </c:ser>
        <c:ser>
          <c:idx val="19"/>
          <c:order val="31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graph!$F$8:$F$93</c:f>
              <c:numCache>
                <c:formatCode>General</c:formatCode>
                <c:ptCount val="86"/>
                <c:pt idx="0">
                  <c:v>4.6893065417123916</c:v>
                </c:pt>
                <c:pt idx="1">
                  <c:v>4.3871059576473188</c:v>
                </c:pt>
                <c:pt idx="2">
                  <c:v>4.0834733412390891</c:v>
                </c:pt>
                <c:pt idx="3">
                  <c:v>3.7783948702391332</c:v>
                </c:pt>
                <c:pt idx="4">
                  <c:v>3.4718570438841745</c:v>
                </c:pt>
                <c:pt idx="5">
                  <c:v>3.163846653782171</c:v>
                </c:pt>
                <c:pt idx="6">
                  <c:v>2.8543507554371073</c:v>
                </c:pt>
                <c:pt idx="7">
                  <c:v>2.5433566404343355</c:v>
                </c:pt>
                <c:pt idx="8">
                  <c:v>2.2308518093087395</c:v>
                </c:pt>
                <c:pt idx="9">
                  <c:v>1.9168239451185125</c:v>
                </c:pt>
                <c:pt idx="10">
                  <c:v>1.6012608877477987</c:v>
                </c:pt>
                <c:pt idx="11">
                  <c:v>1.2841506089618526</c:v>
                </c:pt>
                <c:pt idx="12">
                  <c:v>0.96548118823869311</c:v>
                </c:pt>
                <c:pt idx="13">
                  <c:v>0.64524078940153184</c:v>
                </c:pt>
                <c:pt idx="14">
                  <c:v>0.32341763807645257</c:v>
                </c:pt>
                <c:pt idx="15">
                  <c:v>0</c:v>
                </c:pt>
                <c:pt idx="16">
                  <c:v>-0.32502383979858662</c:v>
                </c:pt>
                <c:pt idx="17">
                  <c:v>-0.65166559691566905</c:v>
                </c:pt>
                <c:pt idx="18">
                  <c:v>-0.97993700656730076</c:v>
                </c:pt>
                <c:pt idx="19">
                  <c:v>-1.3098498416343818</c:v>
                </c:pt>
                <c:pt idx="20">
                  <c:v>-1.641415929734336</c:v>
                </c:pt>
                <c:pt idx="21">
                  <c:v>-1.9746471692949472</c:v>
                </c:pt>
                <c:pt idx="22">
                  <c:v>-2.3095555446062668</c:v>
                </c:pt>
                <c:pt idx="23">
                  <c:v>-2.6461531398268336</c:v>
                </c:pt>
                <c:pt idx="24">
                  <c:v>-2.9844521519208409</c:v>
                </c:pt>
                <c:pt idx="25">
                  <c:v>-3.3244649025033541</c:v>
                </c:pt>
                <c:pt idx="26">
                  <c:v>-3.6662038485712145</c:v>
                </c:pt>
                <c:pt idx="27">
                  <c:v>-4.0096815920978788</c:v>
                </c:pt>
                <c:pt idx="28">
                  <c:v>-4.3549108884711112</c:v>
                </c:pt>
                <c:pt idx="29">
                  <c:v>-4.7019046537532345</c:v>
                </c:pt>
                <c:pt idx="30">
                  <c:v>-5.0506759707444413</c:v>
                </c:pt>
                <c:pt idx="31">
                  <c:v>-5.4012380938306386</c:v>
                </c:pt>
                <c:pt idx="32">
                  <c:v>-5.7536044525982781</c:v>
                </c:pt>
                <c:pt idx="33">
                  <c:v>-6.1077886541997426</c:v>
                </c:pt>
                <c:pt idx="34">
                  <c:v>-6.4638044844540499</c:v>
                </c:pt>
                <c:pt idx="35">
                  <c:v>-6.8216659076689563</c:v>
                </c:pt>
                <c:pt idx="36">
                  <c:v>-7.1813870651719069</c:v>
                </c:pt>
                <c:pt idx="37">
                  <c:v>-7.5429822725388478</c:v>
                </c:pt>
                <c:pt idx="38">
                  <c:v>-7.9064660155115316</c:v>
                </c:pt>
                <c:pt idx="39">
                  <c:v>-8.2718529445957003</c:v>
                </c:pt>
                <c:pt idx="40">
                  <c:v>-8.6391578683344434</c:v>
                </c:pt>
                <c:pt idx="41">
                  <c:v>-9.0083957452530719</c:v>
                </c:pt>
                <c:pt idx="42">
                  <c:v>-9.3795816744740268</c:v>
                </c:pt>
                <c:pt idx="43">
                  <c:v>-9.752730885002693</c:v>
                </c:pt>
                <c:pt idx="44">
                  <c:v>-10.127858723687551</c:v>
                </c:pt>
                <c:pt idx="45">
                  <c:v>-10.504980641860735</c:v>
                </c:pt>
                <c:pt idx="46">
                  <c:v>-10.88411218066806</c:v>
                </c:pt>
                <c:pt idx="47">
                  <c:v>-11.26526895510065</c:v>
                </c:pt>
                <c:pt idx="48">
                  <c:v>-11.648466636743645</c:v>
                </c:pt>
                <c:pt idx="49">
                  <c:v>-12.033720935261091</c:v>
                </c:pt>
                <c:pt idx="50">
                  <c:v>-12.421047578639968</c:v>
                </c:pt>
                <c:pt idx="51">
                  <c:v>-12.810462292220436</c:v>
                </c:pt>
                <c:pt idx="52">
                  <c:v>-13.201980776543856</c:v>
                </c:pt>
                <c:pt idx="53">
                  <c:v>-13.595618684054937</c:v>
                </c:pt>
                <c:pt idx="54">
                  <c:v>-13.991391594699488</c:v>
                </c:pt>
                <c:pt idx="55">
                  <c:v>-14.389314990464813</c:v>
                </c:pt>
                <c:pt idx="56">
                  <c:v>-14.78940422891576</c:v>
                </c:pt>
                <c:pt idx="57">
                  <c:v>-15.191674515785827</c:v>
                </c:pt>
                <c:pt idx="58">
                  <c:v>-15.596140876689734</c:v>
                </c:pt>
                <c:pt idx="59">
                  <c:v>-16.002818128031222</c:v>
                </c:pt>
                <c:pt idx="60">
                  <c:v>-16.411720847188047</c:v>
                </c:pt>
                <c:pt idx="61">
                  <c:v>-16.822863342064736</c:v>
                </c:pt>
                <c:pt idx="62">
                  <c:v>-17.236259620113149</c:v>
                </c:pt>
                <c:pt idx="63">
                  <c:v>-17.651923356931036</c:v>
                </c:pt>
                <c:pt idx="64">
                  <c:v>-18.069867864559868</c:v>
                </c:pt>
                <c:pt idx="65">
                  <c:v>-18.490106059615002</c:v>
                </c:pt>
                <c:pt idx="66">
                  <c:v>-18.912650431394415</c:v>
                </c:pt>
                <c:pt idx="67">
                  <c:v>-19.337513010125999</c:v>
                </c:pt>
                <c:pt idx="68">
                  <c:v>-19.764705335528827</c:v>
                </c:pt>
                <c:pt idx="69">
                  <c:v>-20.194238425880251</c:v>
                </c:pt>
                <c:pt idx="70">
                  <c:v>-20.626122747798657</c:v>
                </c:pt>
                <c:pt idx="71">
                  <c:v>-21.060368186971228</c:v>
                </c:pt>
                <c:pt idx="72">
                  <c:v>-21.496984020077331</c:v>
                </c:pt>
                <c:pt idx="73">
                  <c:v>-21.935978888181303</c:v>
                </c:pt>
                <c:pt idx="74">
                  <c:v>-22.377360771893542</c:v>
                </c:pt>
                <c:pt idx="75">
                  <c:v>-22.821136968626355</c:v>
                </c:pt>
                <c:pt idx="76">
                  <c:v>-23.267314072300969</c:v>
                </c:pt>
                <c:pt idx="77">
                  <c:v>-23.715897955894786</c:v>
                </c:pt>
                <c:pt idx="78">
                  <c:v>-24.166893757253689</c:v>
                </c:pt>
                <c:pt idx="79">
                  <c:v>-24.620305868633324</c:v>
                </c:pt>
                <c:pt idx="80">
                  <c:v>-25.076137930475689</c:v>
                </c:pt>
                <c:pt idx="81">
                  <c:v>-25.534392829974315</c:v>
                </c:pt>
                <c:pt idx="82">
                  <c:v>-25.995072705032175</c:v>
                </c:pt>
                <c:pt idx="83">
                  <c:v>-26.458178954272299</c:v>
                </c:pt>
                <c:pt idx="84">
                  <c:v>-26.923712253822508</c:v>
                </c:pt>
                <c:pt idx="85">
                  <c:v>-27.391672581662462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20B-4790-9A26-9CCCEB989D58}"/>
            </c:ext>
          </c:extLst>
        </c:ser>
        <c:ser>
          <c:idx val="20"/>
          <c:order val="32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graph!$E$8:$E$93</c:f>
              <c:numCache>
                <c:formatCode>General</c:formatCode>
                <c:ptCount val="86"/>
                <c:pt idx="0">
                  <c:v>-2.7636682349165302</c:v>
                </c:pt>
                <c:pt idx="1">
                  <c:v>-2.5690038338730079</c:v>
                </c:pt>
                <c:pt idx="2">
                  <c:v>-2.3757714651726416</c:v>
                </c:pt>
                <c:pt idx="3">
                  <c:v>-2.1839849510640024</c:v>
                </c:pt>
                <c:pt idx="4">
                  <c:v>-1.993657792310366</c:v>
                </c:pt>
                <c:pt idx="5">
                  <c:v>-1.8048031973037744</c:v>
                </c:pt>
                <c:pt idx="6">
                  <c:v>-1.6174341105402434</c:v>
                </c:pt>
                <c:pt idx="7">
                  <c:v>-1.4315632404344203</c:v>
                </c:pt>
                <c:pt idx="8">
                  <c:v>-1.2472030864514214</c:v>
                </c:pt>
                <c:pt idx="9">
                  <c:v>-1.0643659655330537</c:v>
                </c:pt>
                <c:pt idx="10">
                  <c:v>-0.88306403779517262</c:v>
                </c:pt>
                <c:pt idx="11">
                  <c:v>-0.70330933147252406</c:v>
                </c:pt>
                <c:pt idx="12">
                  <c:v>-0.52511376708708857</c:v>
                </c:pt>
                <c:pt idx="13">
                  <c:v>-0.34848918081565494</c:v>
                </c:pt>
                <c:pt idx="14">
                  <c:v>-0.17344734703213924</c:v>
                </c:pt>
                <c:pt idx="15">
                  <c:v>0</c:v>
                </c:pt>
                <c:pt idx="16">
                  <c:v>0.17184114531000835</c:v>
                </c:pt>
                <c:pt idx="17">
                  <c:v>0.34206437330152084</c:v>
                </c:pt>
                <c:pt idx="18">
                  <c:v>0.51065794875848436</c:v>
                </c:pt>
                <c:pt idx="19">
                  <c:v>0.67761009879999812</c:v>
                </c:pt>
                <c:pt idx="20">
                  <c:v>0.84290899580863865</c:v>
                </c:pt>
                <c:pt idx="21">
                  <c:v>1.0065427413566224</c:v>
                </c:pt>
                <c:pt idx="22">
                  <c:v>1.1684993511538977</c:v>
                </c:pt>
                <c:pt idx="23">
                  <c:v>1.3287667410419255</c:v>
                </c:pt>
                <c:pt idx="24">
                  <c:v>1.4873327140565129</c:v>
                </c:pt>
                <c:pt idx="25">
                  <c:v>1.6441849485825943</c:v>
                </c:pt>
                <c:pt idx="26">
                  <c:v>1.7993109876233289</c:v>
                </c:pt>
                <c:pt idx="27">
                  <c:v>1.9526982292052608</c:v>
                </c:pt>
                <c:pt idx="28">
                  <c:v>2.1043339179406231</c:v>
                </c:pt>
                <c:pt idx="29">
                  <c:v>2.2542051377670949</c:v>
                </c:pt>
                <c:pt idx="30">
                  <c:v>2.4022988058844832</c:v>
                </c:pt>
                <c:pt idx="31">
                  <c:v>2.5486016679068815</c:v>
                </c:pt>
                <c:pt idx="32">
                  <c:v>2.6931002942478379</c:v>
                </c:pt>
                <c:pt idx="33">
                  <c:v>2.8357810777549695</c:v>
                </c:pt>
                <c:pt idx="34">
                  <c:v>2.976630232609256</c:v>
                </c:pt>
                <c:pt idx="35">
                  <c:v>3.1156337945029438</c:v>
                </c:pt>
                <c:pt idx="36">
                  <c:v>3.2527776221085896</c:v>
                </c:pt>
                <c:pt idx="37">
                  <c:v>3.3880473998502438</c:v>
                </c:pt>
                <c:pt idx="38">
                  <c:v>3.5214286419861556</c:v>
                </c:pt>
                <c:pt idx="39">
                  <c:v>3.6529066980105824</c:v>
                </c:pt>
                <c:pt idx="40">
                  <c:v>3.7824667593804349</c:v>
                </c:pt>
                <c:pt idx="41">
                  <c:v>3.9100938675704007</c:v>
                </c:pt>
                <c:pt idx="42">
                  <c:v>4.0357729234580431</c:v>
                </c:pt>
                <c:pt idx="43">
                  <c:v>4.1594886980379702</c:v>
                </c:pt>
                <c:pt idx="44">
                  <c:v>4.2812258444617086</c:v>
                </c:pt>
                <c:pt idx="45">
                  <c:v>4.4009689113971211</c:v>
                </c:pt>
                <c:pt idx="46">
                  <c:v>4.5187023576983911</c:v>
                </c:pt>
                <c:pt idx="47">
                  <c:v>4.6344105683743955</c:v>
                </c:pt>
                <c:pt idx="48">
                  <c:v>4.7480778718399961</c:v>
                </c:pt>
                <c:pt idx="49">
                  <c:v>4.8596885584311451</c:v>
                </c:pt>
                <c:pt idx="50">
                  <c:v>4.969226900160864</c:v>
                </c:pt>
                <c:pt idx="51">
                  <c:v>5.0766771716889902</c:v>
                </c:pt>
                <c:pt idx="52">
                  <c:v>5.1820236724741671</c:v>
                </c:pt>
                <c:pt idx="53">
                  <c:v>5.2852507500716808</c:v>
                </c:pt>
                <c:pt idx="54">
                  <c:v>5.3863428245357241</c:v>
                </c:pt>
                <c:pt idx="55">
                  <c:v>5.4852844138789933</c:v>
                </c:pt>
                <c:pt idx="56">
                  <c:v>5.5820601605366411</c:v>
                </c:pt>
                <c:pt idx="57">
                  <c:v>5.6766548587751666</c:v>
                </c:pt>
                <c:pt idx="58">
                  <c:v>5.7690534829798521</c:v>
                </c:pt>
                <c:pt idx="59">
                  <c:v>5.8592412167469581</c:v>
                </c:pt>
                <c:pt idx="60">
                  <c:v>5.9472034826987263</c:v>
                </c:pt>
                <c:pt idx="61">
                  <c:v>6.032925972930629</c:v>
                </c:pt>
                <c:pt idx="62">
                  <c:v>6.1163946799908109</c:v>
                </c:pt>
                <c:pt idx="63">
                  <c:v>6.1975959282815154</c:v>
                </c:pt>
                <c:pt idx="64">
                  <c:v>6.2765164057612797</c:v>
                </c:pt>
                <c:pt idx="65">
                  <c:v>6.3531431958147353</c:v>
                </c:pt>
                <c:pt idx="66">
                  <c:v>6.4274638091439149</c:v>
                </c:pt>
                <c:pt idx="67">
                  <c:v>6.4994662155209255</c:v>
                </c:pt>
                <c:pt idx="68">
                  <c:v>6.5691388752266917</c:v>
                </c:pt>
                <c:pt idx="69">
                  <c:v>6.636470769983859</c:v>
                </c:pt>
                <c:pt idx="70">
                  <c:v>6.7014514331740456</c:v>
                </c:pt>
                <c:pt idx="71">
                  <c:v>6.7640709791100697</c:v>
                </c:pt>
                <c:pt idx="72">
                  <c:v>6.8243201311125601</c:v>
                </c:pt>
                <c:pt idx="73">
                  <c:v>6.8821902481171797</c:v>
                </c:pt>
                <c:pt idx="74">
                  <c:v>6.9376733495135348</c:v>
                </c:pt>
                <c:pt idx="75">
                  <c:v>6.9907621378893134</c:v>
                </c:pt>
                <c:pt idx="76">
                  <c:v>7.0414500193232907</c:v>
                </c:pt>
                <c:pt idx="77">
                  <c:v>7.0897311208380716</c:v>
                </c:pt>
                <c:pt idx="78">
                  <c:v>7.1356003045877596</c:v>
                </c:pt>
                <c:pt idx="79">
                  <c:v>7.1790531783167193</c:v>
                </c:pt>
                <c:pt idx="80">
                  <c:v>7.2200861015829458</c:v>
                </c:pt>
                <c:pt idx="81">
                  <c:v>7.2586961871929105</c:v>
                </c:pt>
                <c:pt idx="82">
                  <c:v>7.2948812972436468</c:v>
                </c:pt>
                <c:pt idx="83">
                  <c:v>7.3286400331121184</c:v>
                </c:pt>
                <c:pt idx="84">
                  <c:v>7.3599717186704989</c:v>
                </c:pt>
                <c:pt idx="85">
                  <c:v>7.38887637593914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20B-4790-9A26-9CCCEB989D58}"/>
            </c:ext>
          </c:extLst>
        </c:ser>
        <c:ser>
          <c:idx val="21"/>
          <c:order val="33"/>
          <c:spPr>
            <a:ln w="508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graphbase!$B$8:$B$93</c:f>
              <c:numCache>
                <c:formatCode>General</c:formatCode>
                <c:ptCount val="86"/>
                <c:pt idx="0">
                  <c:v>0.41643116891746634</c:v>
                </c:pt>
                <c:pt idx="1">
                  <c:v>0.39865371158319912</c:v>
                </c:pt>
                <c:pt idx="2">
                  <c:v>0.37948184543909647</c:v>
                </c:pt>
                <c:pt idx="3">
                  <c:v>0.35890790520460653</c:v>
                </c:pt>
                <c:pt idx="4">
                  <c:v>0.3369243376029587</c:v>
                </c:pt>
                <c:pt idx="5">
                  <c:v>0.31352369481273845</c:v>
                </c:pt>
                <c:pt idx="6">
                  <c:v>0.28869862752254355</c:v>
                </c:pt>
                <c:pt idx="7">
                  <c:v>0.26244187760169696</c:v>
                </c:pt>
                <c:pt idx="8">
                  <c:v>0.23474627040025803</c:v>
                </c:pt>
                <c:pt idx="9">
                  <c:v>0.20560470669183284</c:v>
                </c:pt>
                <c:pt idx="10">
                  <c:v>0.17501015427289987</c:v>
                </c:pt>
                <c:pt idx="11">
                  <c:v>0.14295563923256693</c:v>
                </c:pt>
                <c:pt idx="12">
                  <c:v>0.10943423690684123</c:v>
                </c:pt>
                <c:pt idx="13">
                  <c:v>7.4439062531637221E-2</c:v>
                </c:pt>
                <c:pt idx="14">
                  <c:v>3.7963261608861064E-2</c:v>
                </c:pt>
                <c:pt idx="15">
                  <c:v>0</c:v>
                </c:pt>
                <c:pt idx="16">
                  <c:v>-3.9457546238294804E-2</c:v>
                </c:pt>
                <c:pt idx="17">
                  <c:v>-8.0416201262102943E-2</c:v>
                </c:pt>
                <c:pt idx="18">
                  <c:v>-0.12288280007707685</c:v>
                </c:pt>
                <c:pt idx="19">
                  <c:v>-0.16686419938971059</c:v>
                </c:pt>
                <c:pt idx="20">
                  <c:v>-0.21236728865856408</c:v>
                </c:pt>
                <c:pt idx="21">
                  <c:v>-0.25939900133104049</c:v>
                </c:pt>
                <c:pt idx="22">
                  <c:v>-0.30796632625141462</c:v>
                </c:pt>
                <c:pt idx="23">
                  <c:v>-0.35807631922593597</c:v>
                </c:pt>
                <c:pt idx="24">
                  <c:v>-0.40973611473098381</c:v>
                </c:pt>
                <c:pt idx="25">
                  <c:v>-0.46295293775043733</c:v>
                </c:pt>
                <c:pt idx="26">
                  <c:v>-0.5177341157286327</c:v>
                </c:pt>
                <c:pt idx="27">
                  <c:v>-0.57408709062552399</c:v>
                </c:pt>
                <c:pt idx="28">
                  <c:v>-0.63201943106093561</c:v>
                </c:pt>
                <c:pt idx="29">
                  <c:v>-0.6915388445350994</c:v>
                </c:pt>
                <c:pt idx="30">
                  <c:v>-0.75265318971300266</c:v>
                </c:pt>
                <c:pt idx="31">
                  <c:v>-0.81537048876044493</c:v>
                </c:pt>
                <c:pt idx="32">
                  <c:v>-0.87969893972010615</c:v>
                </c:pt>
                <c:pt idx="33">
                  <c:v>-0.94564692891636037</c:v>
                </c:pt>
                <c:pt idx="34">
                  <c:v>-1.0132230433780529</c:v>
                </c:pt>
                <c:pt idx="35">
                  <c:v>-1.0824360832689657</c:v>
                </c:pt>
                <c:pt idx="36">
                  <c:v>-1.1532950743162524</c:v>
                </c:pt>
                <c:pt idx="37">
                  <c:v>-1.2258092802277141</c:v>
                </c:pt>
                <c:pt idx="38">
                  <c:v>-1.2999882150894306</c:v>
                </c:pt>
                <c:pt idx="39">
                  <c:v>-1.3758416557359328</c:v>
                </c:pt>
                <c:pt idx="40">
                  <c:v>-1.453379654085843</c:v>
                </c:pt>
                <c:pt idx="41">
                  <c:v>-1.532612549436682</c:v>
                </c:pt>
                <c:pt idx="42">
                  <c:v>-1.6135509807133672</c:v>
                </c:pt>
                <c:pt idx="43">
                  <c:v>-1.6962058986658262</c:v>
                </c:pt>
                <c:pt idx="44">
                  <c:v>-1.7805885780120732</c:v>
                </c:pt>
                <c:pt idx="45">
                  <c:v>-1.8667106295241207</c:v>
                </c:pt>
                <c:pt idx="46">
                  <c:v>-1.9545840120551452</c:v>
                </c:pt>
                <c:pt idx="47">
                  <c:v>-2.044221044507486</c:v>
                </c:pt>
                <c:pt idx="48">
                  <c:v>-2.1356344177422422</c:v>
                </c:pt>
                <c:pt idx="49">
                  <c:v>-2.2288372064325408</c:v>
                </c:pt>
                <c:pt idx="50">
                  <c:v>-2.3238428808639005</c:v>
                </c:pt>
                <c:pt idx="51">
                  <c:v>-2.4206653186865834</c:v>
                </c:pt>
                <c:pt idx="52">
                  <c:v>-2.5193188166263694</c:v>
                </c:pt>
                <c:pt idx="53">
                  <c:v>-2.6198181021618456</c:v>
                </c:pt>
                <c:pt idx="54">
                  <c:v>-2.7221783451780461</c:v>
                </c:pt>
                <c:pt idx="55">
                  <c:v>-2.8264151696081661</c:v>
                </c:pt>
                <c:pt idx="56">
                  <c:v>-2.9325446650770486</c:v>
                </c:pt>
                <c:pt idx="57">
                  <c:v>-3.0405833985622817</c:v>
                </c:pt>
                <c:pt idx="58">
                  <c:v>-3.150548426091011</c:v>
                </c:pt>
                <c:pt idx="59">
                  <c:v>-3.2624573044929703</c:v>
                </c:pt>
                <c:pt idx="60">
                  <c:v>-3.3763281032328512</c:v>
                </c:pt>
                <c:pt idx="61">
                  <c:v>-3.4921794163478697</c:v>
                </c:pt>
                <c:pt idx="62">
                  <c:v>-3.6100303745193423</c:v>
                </c:pt>
                <c:pt idx="63">
                  <c:v>-3.7299006573102482</c:v>
                </c:pt>
                <c:pt idx="64">
                  <c:v>-3.8518105056041438</c:v>
                </c:pt>
                <c:pt idx="65">
                  <c:v>-3.975780734284414</c:v>
                </c:pt>
                <c:pt idx="66">
                  <c:v>-4.1018327451967185</c:v>
                </c:pt>
                <c:pt idx="67">
                  <c:v>-4.2299885404417052</c:v>
                </c:pt>
                <c:pt idx="68">
                  <c:v>-4.3602707360494986</c:v>
                </c:pt>
                <c:pt idx="69">
                  <c:v>-4.4927025760923209</c:v>
                </c:pt>
                <c:pt idx="70">
                  <c:v>-4.6273079472968019</c:v>
                </c:pt>
                <c:pt idx="71">
                  <c:v>-4.7641113942230424</c:v>
                </c:pt>
                <c:pt idx="72">
                  <c:v>-4.9031381350836236</c:v>
                </c:pt>
                <c:pt idx="73">
                  <c:v>-5.0444140782821645</c:v>
                </c:pt>
                <c:pt idx="74">
                  <c:v>-5.1879658397580384</c:v>
                </c:pt>
                <c:pt idx="75">
                  <c:v>-5.3338207612314807</c:v>
                </c:pt>
                <c:pt idx="76">
                  <c:v>-5.4820069294514289</c:v>
                </c:pt>
                <c:pt idx="77">
                  <c:v>-5.6325531965573656</c:v>
                </c:pt>
                <c:pt idx="78">
                  <c:v>-5.7854892016759525</c:v>
                </c:pt>
                <c:pt idx="79">
                  <c:v>-5.9408453938836647</c:v>
                </c:pt>
                <c:pt idx="80">
                  <c:v>-6.0986530566779349</c:v>
                </c:pt>
                <c:pt idx="81">
                  <c:v>-6.2589443341114537</c:v>
                </c:pt>
                <c:pt idx="82">
                  <c:v>-6.4217522587576772</c:v>
                </c:pt>
                <c:pt idx="83">
                  <c:v>-6.5871107816899297</c:v>
                </c:pt>
                <c:pt idx="84">
                  <c:v>-6.7550548046722589</c:v>
                </c:pt>
                <c:pt idx="85">
                  <c:v>-6.9256202147772541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20B-4790-9A26-9CCCEB989D58}"/>
            </c:ext>
          </c:extLst>
        </c:ser>
        <c:ser>
          <c:idx val="22"/>
          <c:order val="34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graphbase!$E$8:$E$93</c:f>
              <c:numCache>
                <c:formatCode>General</c:formatCode>
                <c:ptCount val="86"/>
                <c:pt idx="0">
                  <c:v>-2.9270908219365217</c:v>
                </c:pt>
                <c:pt idx="1">
                  <c:v>-2.7219668132138564</c:v>
                </c:pt>
                <c:pt idx="2">
                  <c:v>-2.5182372133010258</c:v>
                </c:pt>
                <c:pt idx="3">
                  <c:v>-2.3159096874785829</c:v>
                </c:pt>
                <c:pt idx="4">
                  <c:v>-2.1149917890232981</c:v>
                </c:pt>
                <c:pt idx="5">
                  <c:v>-1.915490965756586</c:v>
                </c:pt>
                <c:pt idx="6">
                  <c:v>-1.7174145669898484</c:v>
                </c:pt>
                <c:pt idx="7">
                  <c:v>-1.5207698508537624</c:v>
                </c:pt>
                <c:pt idx="8">
                  <c:v>-1.3255639919982687</c:v>
                </c:pt>
                <c:pt idx="9">
                  <c:v>-1.1318040896497612</c:v>
                </c:pt>
                <c:pt idx="10">
                  <c:v>-0.93949717601176164</c:v>
                </c:pt>
                <c:pt idx="11">
                  <c:v>-0.74865022499516209</c:v>
                </c:pt>
                <c:pt idx="12">
                  <c:v>-0.55927016126395523</c:v>
                </c:pt>
                <c:pt idx="13">
                  <c:v>-0.37136386958222661</c:v>
                </c:pt>
                <c:pt idx="14">
                  <c:v>-0.18493820444807013</c:v>
                </c:pt>
                <c:pt idx="15">
                  <c:v>0</c:v>
                </c:pt>
                <c:pt idx="16">
                  <c:v>0.18344391981863781</c:v>
                </c:pt>
                <c:pt idx="17">
                  <c:v>0.36538673085176232</c:v>
                </c:pt>
                <c:pt idx="18">
                  <c:v>0.54582159809372111</c:v>
                </c:pt>
                <c:pt idx="19">
                  <c:v>0.72474166483801983</c:v>
                </c:pt>
                <c:pt idx="20">
                  <c:v>0.90214004162609895</c:v>
                </c:pt>
                <c:pt idx="21">
                  <c:v>1.0780097950105552</c:v>
                </c:pt>
                <c:pt idx="22">
                  <c:v>1.2523439361471138</c:v>
                </c:pt>
                <c:pt idx="23">
                  <c:v>1.4251354092295248</c:v>
                </c:pt>
                <c:pt idx="24">
                  <c:v>1.5963770797814094</c:v>
                </c:pt>
                <c:pt idx="25">
                  <c:v>1.7660617228188884</c:v>
                </c:pt>
                <c:pt idx="26">
                  <c:v>1.9341820108976258</c:v>
                </c:pt>
                <c:pt idx="27">
                  <c:v>2.1007305020576674</c:v>
                </c:pt>
                <c:pt idx="28">
                  <c:v>2.2656996276791888</c:v>
                </c:pt>
                <c:pt idx="29">
                  <c:v>2.4290816802619579</c:v>
                </c:pt>
                <c:pt idx="30">
                  <c:v>2.5908688011409873</c:v>
                </c:pt>
                <c:pt idx="31">
                  <c:v>2.7510529681504776</c:v>
                </c:pt>
                <c:pt idx="32">
                  <c:v>2.9096259832477496</c:v>
                </c:pt>
                <c:pt idx="33">
                  <c:v>3.0665794601084282</c:v>
                </c:pt>
                <c:pt idx="34">
                  <c:v>3.2219048117036682</c:v>
                </c:pt>
                <c:pt idx="35">
                  <c:v>3.3755932378696878</c:v>
                </c:pt>
                <c:pt idx="36">
                  <c:v>3.5276357128793334</c:v>
                </c:pt>
                <c:pt idx="37">
                  <c:v>3.6780229730248051</c:v>
                </c:pt>
                <c:pt idx="38">
                  <c:v>3.8267455042200211</c:v>
                </c:pt>
                <c:pt idx="39">
                  <c:v>3.9737935296304521</c:v>
                </c:pt>
                <c:pt idx="40">
                  <c:v>4.1191569973374742</c:v>
                </c:pt>
                <c:pt idx="41">
                  <c:v>4.262825568043568</c:v>
                </c:pt>
                <c:pt idx="42">
                  <c:v>4.4047886028238157</c:v>
                </c:pt>
                <c:pt idx="43">
                  <c:v>4.5450351509282898</c:v>
                </c:pt>
                <c:pt idx="44">
                  <c:v>4.6835539376389761</c:v>
                </c:pt>
                <c:pt idx="45">
                  <c:v>4.8203333521838605</c:v>
                </c:pt>
                <c:pt idx="46">
                  <c:v>4.9553614357097695</c:v>
                </c:pt>
                <c:pt idx="47">
                  <c:v>5.0886258693143613</c:v>
                </c:pt>
                <c:pt idx="48">
                  <c:v>5.220113962136538</c:v>
                </c:pt>
                <c:pt idx="49">
                  <c:v>5.3498126395031722</c:v>
                </c:pt>
                <c:pt idx="50">
                  <c:v>5.4777084311287449</c:v>
                </c:pt>
                <c:pt idx="51">
                  <c:v>5.6037874593629953</c:v>
                </c:pt>
                <c:pt idx="52">
                  <c:v>5.7280354274801413</c:v>
                </c:pt>
                <c:pt idx="53">
                  <c:v>5.8504376080015987</c:v>
                </c:pt>
                <c:pt idx="54">
                  <c:v>5.9709788310423306</c:v>
                </c:pt>
                <c:pt idx="55">
                  <c:v>6.0896434726691417</c:v>
                </c:pt>
                <c:pt idx="56">
                  <c:v>6.2064154432571916</c:v>
                </c:pt>
                <c:pt idx="57">
                  <c:v>6.3212781758288905</c:v>
                </c:pt>
                <c:pt idx="58">
                  <c:v>6.4342146143570931</c:v>
                </c:pt>
                <c:pt idx="59">
                  <c:v>6.5452072020120653</c:v>
                </c:pt>
                <c:pt idx="60">
                  <c:v>6.6542378693291173</c:v>
                </c:pt>
                <c:pt idx="61">
                  <c:v>6.7612880222710299</c:v>
                </c:pt>
                <c:pt idx="62">
                  <c:v>6.8663385301564901</c:v>
                </c:pt>
                <c:pt idx="63">
                  <c:v>6.9693697134225161</c:v>
                </c:pt>
                <c:pt idx="64">
                  <c:v>7.070361331185552</c:v>
                </c:pt>
                <c:pt idx="65">
                  <c:v>7.1692925685622138</c:v>
                </c:pt>
                <c:pt idx="66">
                  <c:v>7.2661420237068395</c:v>
                </c:pt>
                <c:pt idx="67">
                  <c:v>7.3608876945187847</c:v>
                </c:pt>
                <c:pt idx="68">
                  <c:v>7.4535069649679233</c:v>
                </c:pt>
                <c:pt idx="69">
                  <c:v>7.5439765909820329</c:v>
                </c:pt>
                <c:pt idx="70">
                  <c:v>7.6322726858344838</c:v>
                </c:pt>
                <c:pt idx="71">
                  <c:v>7.7183707049651753</c:v>
                </c:pt>
                <c:pt idx="72">
                  <c:v>7.8022454301615261</c:v>
                </c:pt>
                <c:pt idx="73">
                  <c:v>7.8838709530199171</c:v>
                </c:pt>
                <c:pt idx="74">
                  <c:v>7.9632206576009752</c:v>
                </c:pt>
                <c:pt idx="75">
                  <c:v>8.0402672021844648</c:v>
                </c:pt>
                <c:pt idx="76">
                  <c:v>8.1149825000214477</c:v>
                </c:pt>
                <c:pt idx="77">
                  <c:v>8.1873376989724438</c:v>
                </c:pt>
                <c:pt idx="78">
                  <c:v>8.2573031599107889</c:v>
                </c:pt>
                <c:pt idx="79">
                  <c:v>8.3248484337600086</c:v>
                </c:pt>
                <c:pt idx="80">
                  <c:v>8.3899422370226695</c:v>
                </c:pt>
                <c:pt idx="81">
                  <c:v>8.4525524256460827</c:v>
                </c:pt>
                <c:pt idx="82">
                  <c:v>8.5126459670567911</c:v>
                </c:pt>
                <c:pt idx="83">
                  <c:v>8.5701889101814697</c:v>
                </c:pt>
                <c:pt idx="84">
                  <c:v>8.6251463532560724</c:v>
                </c:pt>
                <c:pt idx="85">
                  <c:v>8.6774824092080092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20B-4790-9A26-9CCCEB989D58}"/>
            </c:ext>
          </c:extLst>
        </c:ser>
        <c:ser>
          <c:idx val="23"/>
          <c:order val="35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graphbasenl!$F$8:$F$93</c:f>
              <c:numCache>
                <c:formatCode>General</c:formatCode>
                <c:ptCount val="86"/>
                <c:pt idx="0">
                  <c:v>5.0564281706901983</c:v>
                </c:pt>
                <c:pt idx="1">
                  <c:v>4.7293949386891834</c:v>
                </c:pt>
                <c:pt idx="2">
                  <c:v>4.4009493933563135</c:v>
                </c:pt>
                <c:pt idx="3">
                  <c:v>4.0710855254131086</c:v>
                </c:pt>
                <c:pt idx="4">
                  <c:v>3.7397974073812046</c:v>
                </c:pt>
                <c:pt idx="5">
                  <c:v>3.4070791895296084</c:v>
                </c:pt>
                <c:pt idx="6">
                  <c:v>3.0729250953920277</c:v>
                </c:pt>
                <c:pt idx="7">
                  <c:v>2.7373294168689899</c:v>
                </c:pt>
                <c:pt idx="8">
                  <c:v>2.4002865089296281</c:v>
                </c:pt>
                <c:pt idx="9">
                  <c:v>2.0617907839282736</c:v>
                </c:pt>
                <c:pt idx="10">
                  <c:v>1.7218367055511334</c:v>
                </c:pt>
                <c:pt idx="11">
                  <c:v>1.380418782408513</c:v>
                </c:pt>
                <c:pt idx="12">
                  <c:v>1.037531561288187</c:v>
                </c:pt>
                <c:pt idx="13">
                  <c:v>0.69316962008562022</c:v>
                </c:pt>
                <c:pt idx="14">
                  <c:v>0.34732756042686236</c:v>
                </c:pt>
                <c:pt idx="15">
                  <c:v>0</c:v>
                </c:pt>
                <c:pt idx="16">
                  <c:v>-0.34881843538889534</c:v>
                </c:pt>
                <c:pt idx="17">
                  <c:v>-0.69913312001930994</c:v>
                </c:pt>
                <c:pt idx="18">
                  <c:v>-1.0509494367033652</c:v>
                </c:pt>
                <c:pt idx="19">
                  <c:v>-1.4042727854604029</c:v>
                </c:pt>
                <c:pt idx="20">
                  <c:v>-1.7591085924031233</c:v>
                </c:pt>
                <c:pt idx="21">
                  <c:v>-2.1154623188193469</c:v>
                </c:pt>
                <c:pt idx="22">
                  <c:v>-2.4733394704335452</c:v>
                </c:pt>
                <c:pt idx="23">
                  <c:v>-2.832745606832372</c:v>
                </c:pt>
                <c:pt idx="24">
                  <c:v>-3.1936863510385241</c:v>
                </c:pt>
                <c:pt idx="25">
                  <c:v>-3.5561673992174132</c:v>
                </c:pt>
                <c:pt idx="26">
                  <c:v>-3.9201945305012518</c:v>
                </c:pt>
                <c:pt idx="27">
                  <c:v>-4.2857736169153542</c:v>
                </c:pt>
                <c:pt idx="28">
                  <c:v>-4.6529106333916364</c:v>
                </c:pt>
                <c:pt idx="29">
                  <c:v>-5.0216116678545157</c:v>
                </c:pt>
                <c:pt idx="30">
                  <c:v>-5.391882931364659</c:v>
                </c:pt>
                <c:pt idx="31">
                  <c:v>-5.7637307683062842</c:v>
                </c:pt>
                <c:pt idx="32">
                  <c:v>-6.1371616666040119</c:v>
                </c:pt>
                <c:pt idx="33">
                  <c:v>-6.512182267955577</c:v>
                </c:pt>
                <c:pt idx="34">
                  <c:v>-6.8887993780670591</c:v>
                </c:pt>
                <c:pt idx="35">
                  <c:v>-7.2670199768776147</c:v>
                </c:pt>
                <c:pt idx="36">
                  <c:v>-7.646851228761153</c:v>
                </c:pt>
                <c:pt idx="37">
                  <c:v>-8.028300492692745</c:v>
                </c:pt>
                <c:pt idx="38">
                  <c:v>-8.4113753323680509</c:v>
                </c:pt>
                <c:pt idx="39">
                  <c:v>-8.7960835262644963</c:v>
                </c:pt>
                <c:pt idx="40">
                  <c:v>-9.1824330776334779</c:v>
                </c:pt>
                <c:pt idx="41">
                  <c:v>-9.5704322244133415</c:v>
                </c:pt>
                <c:pt idx="42">
                  <c:v>-9.960089449053541</c:v>
                </c:pt>
                <c:pt idx="43">
                  <c:v>-10.351413488240913</c:v>
                </c:pt>
                <c:pt idx="44">
                  <c:v>-10.744413342519682</c:v>
                </c:pt>
                <c:pt idx="45">
                  <c:v>-11.139098285797466</c:v>
                </c:pt>
                <c:pt idx="46">
                  <c:v>-11.535477874730313</c:v>
                </c:pt>
                <c:pt idx="47">
                  <c:v>-11.933561957980489</c:v>
                </c:pt>
                <c:pt idx="48">
                  <c:v>-12.333360685341564</c:v>
                </c:pt>
                <c:pt idx="49">
                  <c:v>-12.734884516726225</c:v>
                </c:pt>
                <c:pt idx="50">
                  <c:v>-13.13814423101304</c:v>
                </c:pt>
                <c:pt idx="51">
                  <c:v>-13.543150934749439</c:v>
                </c:pt>
                <c:pt idx="52">
                  <c:v>-13.949916070709047</c:v>
                </c:pt>
                <c:pt idx="53">
                  <c:v>-14.358451426302681</c:v>
                </c:pt>
                <c:pt idx="54">
                  <c:v>-14.768769141843251</c:v>
                </c:pt>
                <c:pt idx="55">
                  <c:v>-15.180881718666114</c:v>
                </c:pt>
                <c:pt idx="56">
                  <c:v>-15.594802027107557</c:v>
                </c:pt>
                <c:pt idx="57">
                  <c:v>-16.010543314345338</c:v>
                </c:pt>
                <c:pt idx="58">
                  <c:v>-16.428119212106697</c:v>
                </c:pt>
                <c:pt idx="59">
                  <c:v>-16.847543744250491</c:v>
                </c:pt>
                <c:pt idx="60">
                  <c:v>-17.268831334231741</c:v>
                </c:pt>
                <c:pt idx="61">
                  <c:v>-17.691996812458417</c:v>
                </c:pt>
                <c:pt idx="62">
                  <c:v>-18.117055423551935</c:v>
                </c:pt>
                <c:pt idx="63">
                  <c:v>-18.544022833524611</c:v>
                </c:pt>
                <c:pt idx="64">
                  <c:v>-18.972915136889206</c:v>
                </c:pt>
                <c:pt idx="65">
                  <c:v>-19.403748863717588</c:v>
                </c:pt>
                <c:pt idx="66">
                  <c:v>-19.836540986667714</c:v>
                </c:pt>
                <c:pt idx="67">
                  <c:v>-20.271308928000227</c:v>
                </c:pt>
                <c:pt idx="68">
                  <c:v>-20.708070566608288</c:v>
                </c:pt>
                <c:pt idx="69">
                  <c:v>-21.146844245086843</c:v>
                </c:pt>
                <c:pt idx="70">
                  <c:v>-21.587648776869969</c:v>
                </c:pt>
                <c:pt idx="71">
                  <c:v>-22.03050345346773</c:v>
                </c:pt>
                <c:pt idx="72">
                  <c:v>-22.475428051837032</c:v>
                </c:pt>
                <c:pt idx="73">
                  <c:v>-22.922442841923843</c:v>
                </c:pt>
                <c:pt idx="74">
                  <c:v>-23.371568594417614</c:v>
                </c:pt>
                <c:pt idx="75">
                  <c:v>-23.822826588762162</c:v>
                </c:pt>
                <c:pt idx="76">
                  <c:v>-24.276238621470981</c:v>
                </c:pt>
                <c:pt idx="77">
                  <c:v>-24.731827014798974</c:v>
                </c:pt>
                <c:pt idx="78">
                  <c:v>-25.189614625826696</c:v>
                </c:pt>
                <c:pt idx="79">
                  <c:v>-25.649624856017841</c:v>
                </c:pt>
                <c:pt idx="80">
                  <c:v>-26.111881661315383</c:v>
                </c:pt>
                <c:pt idx="81">
                  <c:v>-26.576409562846933</c:v>
                </c:pt>
                <c:pt idx="82">
                  <c:v>-27.043233658315426</c:v>
                </c:pt>
                <c:pt idx="83">
                  <c:v>-27.51237963415694</c:v>
                </c:pt>
                <c:pt idx="84">
                  <c:v>-27.983873778553878</c:v>
                </c:pt>
                <c:pt idx="85">
                  <c:v>-28.457742995398423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20B-4790-9A26-9CCCEB989D58}"/>
            </c:ext>
          </c:extLst>
        </c:ser>
        <c:ser>
          <c:idx val="3"/>
          <c:order val="36"/>
          <c:spPr>
            <a:ln w="508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20B-4790-9A26-9CCCEB989D58}"/>
            </c:ext>
          </c:extLst>
        </c:ser>
        <c:ser>
          <c:idx val="6"/>
          <c:order val="37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graph!$F$8:$F$93</c:f>
              <c:numCache>
                <c:formatCode>General</c:formatCode>
                <c:ptCount val="86"/>
                <c:pt idx="0">
                  <c:v>4.6893065417123916</c:v>
                </c:pt>
                <c:pt idx="1">
                  <c:v>4.3871059576473188</c:v>
                </c:pt>
                <c:pt idx="2">
                  <c:v>4.0834733412390891</c:v>
                </c:pt>
                <c:pt idx="3">
                  <c:v>3.7783948702391332</c:v>
                </c:pt>
                <c:pt idx="4">
                  <c:v>3.4718570438841745</c:v>
                </c:pt>
                <c:pt idx="5">
                  <c:v>3.163846653782171</c:v>
                </c:pt>
                <c:pt idx="6">
                  <c:v>2.8543507554371073</c:v>
                </c:pt>
                <c:pt idx="7">
                  <c:v>2.5433566404343355</c:v>
                </c:pt>
                <c:pt idx="8">
                  <c:v>2.2308518093087395</c:v>
                </c:pt>
                <c:pt idx="9">
                  <c:v>1.9168239451185125</c:v>
                </c:pt>
                <c:pt idx="10">
                  <c:v>1.6012608877477987</c:v>
                </c:pt>
                <c:pt idx="11">
                  <c:v>1.2841506089618526</c:v>
                </c:pt>
                <c:pt idx="12">
                  <c:v>0.96548118823869311</c:v>
                </c:pt>
                <c:pt idx="13">
                  <c:v>0.64524078940153184</c:v>
                </c:pt>
                <c:pt idx="14">
                  <c:v>0.32341763807645257</c:v>
                </c:pt>
                <c:pt idx="15">
                  <c:v>0</c:v>
                </c:pt>
                <c:pt idx="16">
                  <c:v>-0.32502383979858662</c:v>
                </c:pt>
                <c:pt idx="17">
                  <c:v>-0.65166559691566905</c:v>
                </c:pt>
                <c:pt idx="18">
                  <c:v>-0.97993700656730076</c:v>
                </c:pt>
                <c:pt idx="19">
                  <c:v>-1.3098498416343818</c:v>
                </c:pt>
                <c:pt idx="20">
                  <c:v>-1.641415929734336</c:v>
                </c:pt>
                <c:pt idx="21">
                  <c:v>-1.9746471692949472</c:v>
                </c:pt>
                <c:pt idx="22">
                  <c:v>-2.3095555446062668</c:v>
                </c:pt>
                <c:pt idx="23">
                  <c:v>-2.6461531398268336</c:v>
                </c:pt>
                <c:pt idx="24">
                  <c:v>-2.9844521519208409</c:v>
                </c:pt>
                <c:pt idx="25">
                  <c:v>-3.3244649025033541</c:v>
                </c:pt>
                <c:pt idx="26">
                  <c:v>-3.6662038485712145</c:v>
                </c:pt>
                <c:pt idx="27">
                  <c:v>-4.0096815920978788</c:v>
                </c:pt>
                <c:pt idx="28">
                  <c:v>-4.3549108884711112</c:v>
                </c:pt>
                <c:pt idx="29">
                  <c:v>-4.7019046537532345</c:v>
                </c:pt>
                <c:pt idx="30">
                  <c:v>-5.0506759707444413</c:v>
                </c:pt>
                <c:pt idx="31">
                  <c:v>-5.4012380938306386</c:v>
                </c:pt>
                <c:pt idx="32">
                  <c:v>-5.7536044525982781</c:v>
                </c:pt>
                <c:pt idx="33">
                  <c:v>-6.1077886541997426</c:v>
                </c:pt>
                <c:pt idx="34">
                  <c:v>-6.4638044844540499</c:v>
                </c:pt>
                <c:pt idx="35">
                  <c:v>-6.8216659076689563</c:v>
                </c:pt>
                <c:pt idx="36">
                  <c:v>-7.1813870651719069</c:v>
                </c:pt>
                <c:pt idx="37">
                  <c:v>-7.5429822725388478</c:v>
                </c:pt>
                <c:pt idx="38">
                  <c:v>-7.9064660155115316</c:v>
                </c:pt>
                <c:pt idx="39">
                  <c:v>-8.2718529445957003</c:v>
                </c:pt>
                <c:pt idx="40">
                  <c:v>-8.6391578683344434</c:v>
                </c:pt>
                <c:pt idx="41">
                  <c:v>-9.0083957452530719</c:v>
                </c:pt>
                <c:pt idx="42">
                  <c:v>-9.3795816744740268</c:v>
                </c:pt>
                <c:pt idx="43">
                  <c:v>-9.752730885002693</c:v>
                </c:pt>
                <c:pt idx="44">
                  <c:v>-10.127858723687551</c:v>
                </c:pt>
                <c:pt idx="45">
                  <c:v>-10.504980641860735</c:v>
                </c:pt>
                <c:pt idx="46">
                  <c:v>-10.88411218066806</c:v>
                </c:pt>
                <c:pt idx="47">
                  <c:v>-11.26526895510065</c:v>
                </c:pt>
                <c:pt idx="48">
                  <c:v>-11.648466636743645</c:v>
                </c:pt>
                <c:pt idx="49">
                  <c:v>-12.033720935261091</c:v>
                </c:pt>
                <c:pt idx="50">
                  <c:v>-12.421047578639968</c:v>
                </c:pt>
                <c:pt idx="51">
                  <c:v>-12.810462292220436</c:v>
                </c:pt>
                <c:pt idx="52">
                  <c:v>-13.201980776543856</c:v>
                </c:pt>
                <c:pt idx="53">
                  <c:v>-13.595618684054937</c:v>
                </c:pt>
                <c:pt idx="54">
                  <c:v>-13.991391594699488</c:v>
                </c:pt>
                <c:pt idx="55">
                  <c:v>-14.389314990464813</c:v>
                </c:pt>
                <c:pt idx="56">
                  <c:v>-14.78940422891576</c:v>
                </c:pt>
                <c:pt idx="57">
                  <c:v>-15.191674515785827</c:v>
                </c:pt>
                <c:pt idx="58">
                  <c:v>-15.596140876689734</c:v>
                </c:pt>
                <c:pt idx="59">
                  <c:v>-16.002818128031222</c:v>
                </c:pt>
                <c:pt idx="60">
                  <c:v>-16.411720847188047</c:v>
                </c:pt>
                <c:pt idx="61">
                  <c:v>-16.822863342064736</c:v>
                </c:pt>
                <c:pt idx="62">
                  <c:v>-17.236259620113149</c:v>
                </c:pt>
                <c:pt idx="63">
                  <c:v>-17.651923356931036</c:v>
                </c:pt>
                <c:pt idx="64">
                  <c:v>-18.069867864559868</c:v>
                </c:pt>
                <c:pt idx="65">
                  <c:v>-18.490106059615002</c:v>
                </c:pt>
                <c:pt idx="66">
                  <c:v>-18.912650431394415</c:v>
                </c:pt>
                <c:pt idx="67">
                  <c:v>-19.337513010125999</c:v>
                </c:pt>
                <c:pt idx="68">
                  <c:v>-19.764705335528827</c:v>
                </c:pt>
                <c:pt idx="69">
                  <c:v>-20.194238425880251</c:v>
                </c:pt>
                <c:pt idx="70">
                  <c:v>-20.626122747798657</c:v>
                </c:pt>
                <c:pt idx="71">
                  <c:v>-21.060368186971228</c:v>
                </c:pt>
                <c:pt idx="72">
                  <c:v>-21.496984020077331</c:v>
                </c:pt>
                <c:pt idx="73">
                  <c:v>-21.935978888181303</c:v>
                </c:pt>
                <c:pt idx="74">
                  <c:v>-22.377360771893542</c:v>
                </c:pt>
                <c:pt idx="75">
                  <c:v>-22.821136968626355</c:v>
                </c:pt>
                <c:pt idx="76">
                  <c:v>-23.267314072300969</c:v>
                </c:pt>
                <c:pt idx="77">
                  <c:v>-23.715897955894786</c:v>
                </c:pt>
                <c:pt idx="78">
                  <c:v>-24.166893757253689</c:v>
                </c:pt>
                <c:pt idx="79">
                  <c:v>-24.620305868633324</c:v>
                </c:pt>
                <c:pt idx="80">
                  <c:v>-25.076137930475689</c:v>
                </c:pt>
                <c:pt idx="81">
                  <c:v>-25.534392829974315</c:v>
                </c:pt>
                <c:pt idx="82">
                  <c:v>-25.995072705032175</c:v>
                </c:pt>
                <c:pt idx="83">
                  <c:v>-26.458178954272299</c:v>
                </c:pt>
                <c:pt idx="84">
                  <c:v>-26.923712253822508</c:v>
                </c:pt>
                <c:pt idx="85">
                  <c:v>-27.391672581662462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20B-4790-9A26-9CCCEB989D58}"/>
            </c:ext>
          </c:extLst>
        </c:ser>
        <c:ser>
          <c:idx val="7"/>
          <c:order val="38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graph!$E$8:$E$93</c:f>
              <c:numCache>
                <c:formatCode>General</c:formatCode>
                <c:ptCount val="86"/>
                <c:pt idx="0">
                  <c:v>-2.7636682349165302</c:v>
                </c:pt>
                <c:pt idx="1">
                  <c:v>-2.5690038338730079</c:v>
                </c:pt>
                <c:pt idx="2">
                  <c:v>-2.3757714651726416</c:v>
                </c:pt>
                <c:pt idx="3">
                  <c:v>-2.1839849510640024</c:v>
                </c:pt>
                <c:pt idx="4">
                  <c:v>-1.993657792310366</c:v>
                </c:pt>
                <c:pt idx="5">
                  <c:v>-1.8048031973037744</c:v>
                </c:pt>
                <c:pt idx="6">
                  <c:v>-1.6174341105402434</c:v>
                </c:pt>
                <c:pt idx="7">
                  <c:v>-1.4315632404344203</c:v>
                </c:pt>
                <c:pt idx="8">
                  <c:v>-1.2472030864514214</c:v>
                </c:pt>
                <c:pt idx="9">
                  <c:v>-1.0643659655330537</c:v>
                </c:pt>
                <c:pt idx="10">
                  <c:v>-0.88306403779517262</c:v>
                </c:pt>
                <c:pt idx="11">
                  <c:v>-0.70330933147252406</c:v>
                </c:pt>
                <c:pt idx="12">
                  <c:v>-0.52511376708708857</c:v>
                </c:pt>
                <c:pt idx="13">
                  <c:v>-0.34848918081565494</c:v>
                </c:pt>
                <c:pt idx="14">
                  <c:v>-0.17344734703213924</c:v>
                </c:pt>
                <c:pt idx="15">
                  <c:v>0</c:v>
                </c:pt>
                <c:pt idx="16">
                  <c:v>0.17184114531000835</c:v>
                </c:pt>
                <c:pt idx="17">
                  <c:v>0.34206437330152084</c:v>
                </c:pt>
                <c:pt idx="18">
                  <c:v>0.51065794875848436</c:v>
                </c:pt>
                <c:pt idx="19">
                  <c:v>0.67761009879999812</c:v>
                </c:pt>
                <c:pt idx="20">
                  <c:v>0.84290899580863865</c:v>
                </c:pt>
                <c:pt idx="21">
                  <c:v>1.0065427413566224</c:v>
                </c:pt>
                <c:pt idx="22">
                  <c:v>1.1684993511538977</c:v>
                </c:pt>
                <c:pt idx="23">
                  <c:v>1.3287667410419255</c:v>
                </c:pt>
                <c:pt idx="24">
                  <c:v>1.4873327140565129</c:v>
                </c:pt>
                <c:pt idx="25">
                  <c:v>1.6441849485825943</c:v>
                </c:pt>
                <c:pt idx="26">
                  <c:v>1.7993109876233289</c:v>
                </c:pt>
                <c:pt idx="27">
                  <c:v>1.9526982292052608</c:v>
                </c:pt>
                <c:pt idx="28">
                  <c:v>2.1043339179406231</c:v>
                </c:pt>
                <c:pt idx="29">
                  <c:v>2.2542051377670949</c:v>
                </c:pt>
                <c:pt idx="30">
                  <c:v>2.4022988058844832</c:v>
                </c:pt>
                <c:pt idx="31">
                  <c:v>2.5486016679068815</c:v>
                </c:pt>
                <c:pt idx="32">
                  <c:v>2.6931002942478379</c:v>
                </c:pt>
                <c:pt idx="33">
                  <c:v>2.8357810777549695</c:v>
                </c:pt>
                <c:pt idx="34">
                  <c:v>2.976630232609256</c:v>
                </c:pt>
                <c:pt idx="35">
                  <c:v>3.1156337945029438</c:v>
                </c:pt>
                <c:pt idx="36">
                  <c:v>3.2527776221085896</c:v>
                </c:pt>
                <c:pt idx="37">
                  <c:v>3.3880473998502438</c:v>
                </c:pt>
                <c:pt idx="38">
                  <c:v>3.5214286419861556</c:v>
                </c:pt>
                <c:pt idx="39">
                  <c:v>3.6529066980105824</c:v>
                </c:pt>
                <c:pt idx="40">
                  <c:v>3.7824667593804349</c:v>
                </c:pt>
                <c:pt idx="41">
                  <c:v>3.9100938675704007</c:v>
                </c:pt>
                <c:pt idx="42">
                  <c:v>4.0357729234580431</c:v>
                </c:pt>
                <c:pt idx="43">
                  <c:v>4.1594886980379702</c:v>
                </c:pt>
                <c:pt idx="44">
                  <c:v>4.2812258444617086</c:v>
                </c:pt>
                <c:pt idx="45">
                  <c:v>4.4009689113971211</c:v>
                </c:pt>
                <c:pt idx="46">
                  <c:v>4.5187023576983911</c:v>
                </c:pt>
                <c:pt idx="47">
                  <c:v>4.6344105683743955</c:v>
                </c:pt>
                <c:pt idx="48">
                  <c:v>4.7480778718399961</c:v>
                </c:pt>
                <c:pt idx="49">
                  <c:v>4.8596885584311451</c:v>
                </c:pt>
                <c:pt idx="50">
                  <c:v>4.969226900160864</c:v>
                </c:pt>
                <c:pt idx="51">
                  <c:v>5.0766771716889902</c:v>
                </c:pt>
                <c:pt idx="52">
                  <c:v>5.1820236724741671</c:v>
                </c:pt>
                <c:pt idx="53">
                  <c:v>5.2852507500716808</c:v>
                </c:pt>
                <c:pt idx="54">
                  <c:v>5.3863428245357241</c:v>
                </c:pt>
                <c:pt idx="55">
                  <c:v>5.4852844138789933</c:v>
                </c:pt>
                <c:pt idx="56">
                  <c:v>5.5820601605366411</c:v>
                </c:pt>
                <c:pt idx="57">
                  <c:v>5.6766548587751666</c:v>
                </c:pt>
                <c:pt idx="58">
                  <c:v>5.7690534829798521</c:v>
                </c:pt>
                <c:pt idx="59">
                  <c:v>5.8592412167469581</c:v>
                </c:pt>
                <c:pt idx="60">
                  <c:v>5.9472034826987263</c:v>
                </c:pt>
                <c:pt idx="61">
                  <c:v>6.032925972930629</c:v>
                </c:pt>
                <c:pt idx="62">
                  <c:v>6.1163946799908109</c:v>
                </c:pt>
                <c:pt idx="63">
                  <c:v>6.1975959282815154</c:v>
                </c:pt>
                <c:pt idx="64">
                  <c:v>6.2765164057612797</c:v>
                </c:pt>
                <c:pt idx="65">
                  <c:v>6.3531431958147353</c:v>
                </c:pt>
                <c:pt idx="66">
                  <c:v>6.4274638091439149</c:v>
                </c:pt>
                <c:pt idx="67">
                  <c:v>6.4994662155209255</c:v>
                </c:pt>
                <c:pt idx="68">
                  <c:v>6.5691388752266917</c:v>
                </c:pt>
                <c:pt idx="69">
                  <c:v>6.636470769983859</c:v>
                </c:pt>
                <c:pt idx="70">
                  <c:v>6.7014514331740456</c:v>
                </c:pt>
                <c:pt idx="71">
                  <c:v>6.7640709791100697</c:v>
                </c:pt>
                <c:pt idx="72">
                  <c:v>6.8243201311125601</c:v>
                </c:pt>
                <c:pt idx="73">
                  <c:v>6.8821902481171797</c:v>
                </c:pt>
                <c:pt idx="74">
                  <c:v>6.9376733495135348</c:v>
                </c:pt>
                <c:pt idx="75">
                  <c:v>6.9907621378893134</c:v>
                </c:pt>
                <c:pt idx="76">
                  <c:v>7.0414500193232907</c:v>
                </c:pt>
                <c:pt idx="77">
                  <c:v>7.0897311208380716</c:v>
                </c:pt>
                <c:pt idx="78">
                  <c:v>7.1356003045877596</c:v>
                </c:pt>
                <c:pt idx="79">
                  <c:v>7.1790531783167193</c:v>
                </c:pt>
                <c:pt idx="80">
                  <c:v>7.2200861015829458</c:v>
                </c:pt>
                <c:pt idx="81">
                  <c:v>7.2586961871929105</c:v>
                </c:pt>
                <c:pt idx="82">
                  <c:v>7.2948812972436468</c:v>
                </c:pt>
                <c:pt idx="83">
                  <c:v>7.3286400331121184</c:v>
                </c:pt>
                <c:pt idx="84">
                  <c:v>7.3599717186704989</c:v>
                </c:pt>
                <c:pt idx="85">
                  <c:v>7.38887637593914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20B-4790-9A26-9CCCEB989D58}"/>
            </c:ext>
          </c:extLst>
        </c:ser>
        <c:ser>
          <c:idx val="8"/>
          <c:order val="39"/>
          <c:spPr>
            <a:ln w="508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graphbase!$B$8:$B$93</c:f>
              <c:numCache>
                <c:formatCode>General</c:formatCode>
                <c:ptCount val="86"/>
                <c:pt idx="0">
                  <c:v>0.41643116891746634</c:v>
                </c:pt>
                <c:pt idx="1">
                  <c:v>0.39865371158319912</c:v>
                </c:pt>
                <c:pt idx="2">
                  <c:v>0.37948184543909647</c:v>
                </c:pt>
                <c:pt idx="3">
                  <c:v>0.35890790520460653</c:v>
                </c:pt>
                <c:pt idx="4">
                  <c:v>0.3369243376029587</c:v>
                </c:pt>
                <c:pt idx="5">
                  <c:v>0.31352369481273845</c:v>
                </c:pt>
                <c:pt idx="6">
                  <c:v>0.28869862752254355</c:v>
                </c:pt>
                <c:pt idx="7">
                  <c:v>0.26244187760169696</c:v>
                </c:pt>
                <c:pt idx="8">
                  <c:v>0.23474627040025803</c:v>
                </c:pt>
                <c:pt idx="9">
                  <c:v>0.20560470669183284</c:v>
                </c:pt>
                <c:pt idx="10">
                  <c:v>0.17501015427289987</c:v>
                </c:pt>
                <c:pt idx="11">
                  <c:v>0.14295563923256693</c:v>
                </c:pt>
                <c:pt idx="12">
                  <c:v>0.10943423690684123</c:v>
                </c:pt>
                <c:pt idx="13">
                  <c:v>7.4439062531637221E-2</c:v>
                </c:pt>
                <c:pt idx="14">
                  <c:v>3.7963261608861064E-2</c:v>
                </c:pt>
                <c:pt idx="15">
                  <c:v>0</c:v>
                </c:pt>
                <c:pt idx="16">
                  <c:v>-3.9457546238294804E-2</c:v>
                </c:pt>
                <c:pt idx="17">
                  <c:v>-8.0416201262102943E-2</c:v>
                </c:pt>
                <c:pt idx="18">
                  <c:v>-0.12288280007707685</c:v>
                </c:pt>
                <c:pt idx="19">
                  <c:v>-0.16686419938971059</c:v>
                </c:pt>
                <c:pt idx="20">
                  <c:v>-0.21236728865856408</c:v>
                </c:pt>
                <c:pt idx="21">
                  <c:v>-0.25939900133104049</c:v>
                </c:pt>
                <c:pt idx="22">
                  <c:v>-0.30796632625141462</c:v>
                </c:pt>
                <c:pt idx="23">
                  <c:v>-0.35807631922593597</c:v>
                </c:pt>
                <c:pt idx="24">
                  <c:v>-0.40973611473098381</c:v>
                </c:pt>
                <c:pt idx="25">
                  <c:v>-0.46295293775043733</c:v>
                </c:pt>
                <c:pt idx="26">
                  <c:v>-0.5177341157286327</c:v>
                </c:pt>
                <c:pt idx="27">
                  <c:v>-0.57408709062552399</c:v>
                </c:pt>
                <c:pt idx="28">
                  <c:v>-0.63201943106093561</c:v>
                </c:pt>
                <c:pt idx="29">
                  <c:v>-0.6915388445350994</c:v>
                </c:pt>
                <c:pt idx="30">
                  <c:v>-0.75265318971300266</c:v>
                </c:pt>
                <c:pt idx="31">
                  <c:v>-0.81537048876044493</c:v>
                </c:pt>
                <c:pt idx="32">
                  <c:v>-0.87969893972010615</c:v>
                </c:pt>
                <c:pt idx="33">
                  <c:v>-0.94564692891636037</c:v>
                </c:pt>
                <c:pt idx="34">
                  <c:v>-1.0132230433780529</c:v>
                </c:pt>
                <c:pt idx="35">
                  <c:v>-1.0824360832689657</c:v>
                </c:pt>
                <c:pt idx="36">
                  <c:v>-1.1532950743162524</c:v>
                </c:pt>
                <c:pt idx="37">
                  <c:v>-1.2258092802277141</c:v>
                </c:pt>
                <c:pt idx="38">
                  <c:v>-1.2999882150894306</c:v>
                </c:pt>
                <c:pt idx="39">
                  <c:v>-1.3758416557359328</c:v>
                </c:pt>
                <c:pt idx="40">
                  <c:v>-1.453379654085843</c:v>
                </c:pt>
                <c:pt idx="41">
                  <c:v>-1.532612549436682</c:v>
                </c:pt>
                <c:pt idx="42">
                  <c:v>-1.6135509807133672</c:v>
                </c:pt>
                <c:pt idx="43">
                  <c:v>-1.6962058986658262</c:v>
                </c:pt>
                <c:pt idx="44">
                  <c:v>-1.7805885780120732</c:v>
                </c:pt>
                <c:pt idx="45">
                  <c:v>-1.8667106295241207</c:v>
                </c:pt>
                <c:pt idx="46">
                  <c:v>-1.9545840120551452</c:v>
                </c:pt>
                <c:pt idx="47">
                  <c:v>-2.044221044507486</c:v>
                </c:pt>
                <c:pt idx="48">
                  <c:v>-2.1356344177422422</c:v>
                </c:pt>
                <c:pt idx="49">
                  <c:v>-2.2288372064325408</c:v>
                </c:pt>
                <c:pt idx="50">
                  <c:v>-2.3238428808639005</c:v>
                </c:pt>
                <c:pt idx="51">
                  <c:v>-2.4206653186865834</c:v>
                </c:pt>
                <c:pt idx="52">
                  <c:v>-2.5193188166263694</c:v>
                </c:pt>
                <c:pt idx="53">
                  <c:v>-2.6198181021618456</c:v>
                </c:pt>
                <c:pt idx="54">
                  <c:v>-2.7221783451780461</c:v>
                </c:pt>
                <c:pt idx="55">
                  <c:v>-2.8264151696081661</c:v>
                </c:pt>
                <c:pt idx="56">
                  <c:v>-2.9325446650770486</c:v>
                </c:pt>
                <c:pt idx="57">
                  <c:v>-3.0405833985622817</c:v>
                </c:pt>
                <c:pt idx="58">
                  <c:v>-3.150548426091011</c:v>
                </c:pt>
                <c:pt idx="59">
                  <c:v>-3.2624573044929703</c:v>
                </c:pt>
                <c:pt idx="60">
                  <c:v>-3.3763281032328512</c:v>
                </c:pt>
                <c:pt idx="61">
                  <c:v>-3.4921794163478697</c:v>
                </c:pt>
                <c:pt idx="62">
                  <c:v>-3.6100303745193423</c:v>
                </c:pt>
                <c:pt idx="63">
                  <c:v>-3.7299006573102482</c:v>
                </c:pt>
                <c:pt idx="64">
                  <c:v>-3.8518105056041438</c:v>
                </c:pt>
                <c:pt idx="65">
                  <c:v>-3.975780734284414</c:v>
                </c:pt>
                <c:pt idx="66">
                  <c:v>-4.1018327451967185</c:v>
                </c:pt>
                <c:pt idx="67">
                  <c:v>-4.2299885404417052</c:v>
                </c:pt>
                <c:pt idx="68">
                  <c:v>-4.3602707360494986</c:v>
                </c:pt>
                <c:pt idx="69">
                  <c:v>-4.4927025760923209</c:v>
                </c:pt>
                <c:pt idx="70">
                  <c:v>-4.6273079472968019</c:v>
                </c:pt>
                <c:pt idx="71">
                  <c:v>-4.7641113942230424</c:v>
                </c:pt>
                <c:pt idx="72">
                  <c:v>-4.9031381350836236</c:v>
                </c:pt>
                <c:pt idx="73">
                  <c:v>-5.0444140782821645</c:v>
                </c:pt>
                <c:pt idx="74">
                  <c:v>-5.1879658397580384</c:v>
                </c:pt>
                <c:pt idx="75">
                  <c:v>-5.3338207612314807</c:v>
                </c:pt>
                <c:pt idx="76">
                  <c:v>-5.4820069294514289</c:v>
                </c:pt>
                <c:pt idx="77">
                  <c:v>-5.6325531965573656</c:v>
                </c:pt>
                <c:pt idx="78">
                  <c:v>-5.7854892016759525</c:v>
                </c:pt>
                <c:pt idx="79">
                  <c:v>-5.9408453938836647</c:v>
                </c:pt>
                <c:pt idx="80">
                  <c:v>-6.0986530566779349</c:v>
                </c:pt>
                <c:pt idx="81">
                  <c:v>-6.2589443341114537</c:v>
                </c:pt>
                <c:pt idx="82">
                  <c:v>-6.4217522587576772</c:v>
                </c:pt>
                <c:pt idx="83">
                  <c:v>-6.5871107816899297</c:v>
                </c:pt>
                <c:pt idx="84">
                  <c:v>-6.7550548046722589</c:v>
                </c:pt>
                <c:pt idx="85">
                  <c:v>-6.9256202147772541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20B-4790-9A26-9CCCEB989D58}"/>
            </c:ext>
          </c:extLst>
        </c:ser>
        <c:ser>
          <c:idx val="9"/>
          <c:order val="40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graphbase!$E$8:$E$93</c:f>
              <c:numCache>
                <c:formatCode>General</c:formatCode>
                <c:ptCount val="86"/>
                <c:pt idx="0">
                  <c:v>-2.9270908219365217</c:v>
                </c:pt>
                <c:pt idx="1">
                  <c:v>-2.7219668132138564</c:v>
                </c:pt>
                <c:pt idx="2">
                  <c:v>-2.5182372133010258</c:v>
                </c:pt>
                <c:pt idx="3">
                  <c:v>-2.3159096874785829</c:v>
                </c:pt>
                <c:pt idx="4">
                  <c:v>-2.1149917890232981</c:v>
                </c:pt>
                <c:pt idx="5">
                  <c:v>-1.915490965756586</c:v>
                </c:pt>
                <c:pt idx="6">
                  <c:v>-1.7174145669898484</c:v>
                </c:pt>
                <c:pt idx="7">
                  <c:v>-1.5207698508537624</c:v>
                </c:pt>
                <c:pt idx="8">
                  <c:v>-1.3255639919982687</c:v>
                </c:pt>
                <c:pt idx="9">
                  <c:v>-1.1318040896497612</c:v>
                </c:pt>
                <c:pt idx="10">
                  <c:v>-0.93949717601176164</c:v>
                </c:pt>
                <c:pt idx="11">
                  <c:v>-0.74865022499516209</c:v>
                </c:pt>
                <c:pt idx="12">
                  <c:v>-0.55927016126395523</c:v>
                </c:pt>
                <c:pt idx="13">
                  <c:v>-0.37136386958222661</c:v>
                </c:pt>
                <c:pt idx="14">
                  <c:v>-0.18493820444807013</c:v>
                </c:pt>
                <c:pt idx="15">
                  <c:v>0</c:v>
                </c:pt>
                <c:pt idx="16">
                  <c:v>0.18344391981863781</c:v>
                </c:pt>
                <c:pt idx="17">
                  <c:v>0.36538673085176232</c:v>
                </c:pt>
                <c:pt idx="18">
                  <c:v>0.54582159809372111</c:v>
                </c:pt>
                <c:pt idx="19">
                  <c:v>0.72474166483801983</c:v>
                </c:pt>
                <c:pt idx="20">
                  <c:v>0.90214004162609895</c:v>
                </c:pt>
                <c:pt idx="21">
                  <c:v>1.0780097950105552</c:v>
                </c:pt>
                <c:pt idx="22">
                  <c:v>1.2523439361471138</c:v>
                </c:pt>
                <c:pt idx="23">
                  <c:v>1.4251354092295248</c:v>
                </c:pt>
                <c:pt idx="24">
                  <c:v>1.5963770797814094</c:v>
                </c:pt>
                <c:pt idx="25">
                  <c:v>1.7660617228188884</c:v>
                </c:pt>
                <c:pt idx="26">
                  <c:v>1.9341820108976258</c:v>
                </c:pt>
                <c:pt idx="27">
                  <c:v>2.1007305020576674</c:v>
                </c:pt>
                <c:pt idx="28">
                  <c:v>2.2656996276791888</c:v>
                </c:pt>
                <c:pt idx="29">
                  <c:v>2.4290816802619579</c:v>
                </c:pt>
                <c:pt idx="30">
                  <c:v>2.5908688011409873</c:v>
                </c:pt>
                <c:pt idx="31">
                  <c:v>2.7510529681504776</c:v>
                </c:pt>
                <c:pt idx="32">
                  <c:v>2.9096259832477496</c:v>
                </c:pt>
                <c:pt idx="33">
                  <c:v>3.0665794601084282</c:v>
                </c:pt>
                <c:pt idx="34">
                  <c:v>3.2219048117036682</c:v>
                </c:pt>
                <c:pt idx="35">
                  <c:v>3.3755932378696878</c:v>
                </c:pt>
                <c:pt idx="36">
                  <c:v>3.5276357128793334</c:v>
                </c:pt>
                <c:pt idx="37">
                  <c:v>3.6780229730248051</c:v>
                </c:pt>
                <c:pt idx="38">
                  <c:v>3.8267455042200211</c:v>
                </c:pt>
                <c:pt idx="39">
                  <c:v>3.9737935296304521</c:v>
                </c:pt>
                <c:pt idx="40">
                  <c:v>4.1191569973374742</c:v>
                </c:pt>
                <c:pt idx="41">
                  <c:v>4.262825568043568</c:v>
                </c:pt>
                <c:pt idx="42">
                  <c:v>4.4047886028238157</c:v>
                </c:pt>
                <c:pt idx="43">
                  <c:v>4.5450351509282898</c:v>
                </c:pt>
                <c:pt idx="44">
                  <c:v>4.6835539376389761</c:v>
                </c:pt>
                <c:pt idx="45">
                  <c:v>4.8203333521838605</c:v>
                </c:pt>
                <c:pt idx="46">
                  <c:v>4.9553614357097695</c:v>
                </c:pt>
                <c:pt idx="47">
                  <c:v>5.0886258693143613</c:v>
                </c:pt>
                <c:pt idx="48">
                  <c:v>5.220113962136538</c:v>
                </c:pt>
                <c:pt idx="49">
                  <c:v>5.3498126395031722</c:v>
                </c:pt>
                <c:pt idx="50">
                  <c:v>5.4777084311287449</c:v>
                </c:pt>
                <c:pt idx="51">
                  <c:v>5.6037874593629953</c:v>
                </c:pt>
                <c:pt idx="52">
                  <c:v>5.7280354274801413</c:v>
                </c:pt>
                <c:pt idx="53">
                  <c:v>5.8504376080015987</c:v>
                </c:pt>
                <c:pt idx="54">
                  <c:v>5.9709788310423306</c:v>
                </c:pt>
                <c:pt idx="55">
                  <c:v>6.0896434726691417</c:v>
                </c:pt>
                <c:pt idx="56">
                  <c:v>6.2064154432571916</c:v>
                </c:pt>
                <c:pt idx="57">
                  <c:v>6.3212781758288905</c:v>
                </c:pt>
                <c:pt idx="58">
                  <c:v>6.4342146143570931</c:v>
                </c:pt>
                <c:pt idx="59">
                  <c:v>6.5452072020120653</c:v>
                </c:pt>
                <c:pt idx="60">
                  <c:v>6.6542378693291173</c:v>
                </c:pt>
                <c:pt idx="61">
                  <c:v>6.7612880222710299</c:v>
                </c:pt>
                <c:pt idx="62">
                  <c:v>6.8663385301564901</c:v>
                </c:pt>
                <c:pt idx="63">
                  <c:v>6.9693697134225161</c:v>
                </c:pt>
                <c:pt idx="64">
                  <c:v>7.070361331185552</c:v>
                </c:pt>
                <c:pt idx="65">
                  <c:v>7.1692925685622138</c:v>
                </c:pt>
                <c:pt idx="66">
                  <c:v>7.2661420237068395</c:v>
                </c:pt>
                <c:pt idx="67">
                  <c:v>7.3608876945187847</c:v>
                </c:pt>
                <c:pt idx="68">
                  <c:v>7.4535069649679233</c:v>
                </c:pt>
                <c:pt idx="69">
                  <c:v>7.5439765909820329</c:v>
                </c:pt>
                <c:pt idx="70">
                  <c:v>7.6322726858344838</c:v>
                </c:pt>
                <c:pt idx="71">
                  <c:v>7.7183707049651753</c:v>
                </c:pt>
                <c:pt idx="72">
                  <c:v>7.8022454301615261</c:v>
                </c:pt>
                <c:pt idx="73">
                  <c:v>7.8838709530199171</c:v>
                </c:pt>
                <c:pt idx="74">
                  <c:v>7.9632206576009752</c:v>
                </c:pt>
                <c:pt idx="75">
                  <c:v>8.0402672021844648</c:v>
                </c:pt>
                <c:pt idx="76">
                  <c:v>8.1149825000214477</c:v>
                </c:pt>
                <c:pt idx="77">
                  <c:v>8.1873376989724438</c:v>
                </c:pt>
                <c:pt idx="78">
                  <c:v>8.2573031599107889</c:v>
                </c:pt>
                <c:pt idx="79">
                  <c:v>8.3248484337600086</c:v>
                </c:pt>
                <c:pt idx="80">
                  <c:v>8.3899422370226695</c:v>
                </c:pt>
                <c:pt idx="81">
                  <c:v>8.4525524256460827</c:v>
                </c:pt>
                <c:pt idx="82">
                  <c:v>8.5126459670567911</c:v>
                </c:pt>
                <c:pt idx="83">
                  <c:v>8.5701889101814697</c:v>
                </c:pt>
                <c:pt idx="84">
                  <c:v>8.6251463532560724</c:v>
                </c:pt>
                <c:pt idx="85">
                  <c:v>8.6774824092080092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20B-4790-9A26-9CCCEB989D58}"/>
            </c:ext>
          </c:extLst>
        </c:ser>
        <c:ser>
          <c:idx val="10"/>
          <c:order val="41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graphbase!$F$8:$F$93</c:f>
              <c:numCache>
                <c:formatCode>General</c:formatCode>
                <c:ptCount val="86"/>
                <c:pt idx="0">
                  <c:v>5.1561659190455194</c:v>
                </c:pt>
                <c:pt idx="1">
                  <c:v>4.822406145036048</c:v>
                </c:pt>
                <c:pt idx="2">
                  <c:v>4.4872519622167424</c:v>
                </c:pt>
                <c:pt idx="3">
                  <c:v>4.1506957053070481</c:v>
                </c:pt>
                <c:pt idx="4">
                  <c:v>3.8127298210301963</c:v>
                </c:pt>
                <c:pt idx="5">
                  <c:v>3.4733468615647722</c:v>
                </c:pt>
                <c:pt idx="6">
                  <c:v>3.1325394775993738</c:v>
                </c:pt>
                <c:pt idx="7">
                  <c:v>2.790300411003324</c:v>
                </c:pt>
                <c:pt idx="8">
                  <c:v>2.4466224871266813</c:v>
                </c:pt>
                <c:pt idx="9">
                  <c:v>2.1014986067430526</c:v>
                </c:pt>
                <c:pt idx="10">
                  <c:v>1.7549217376489161</c:v>
                </c:pt>
                <c:pt idx="11">
                  <c:v>1.4068849059333797</c:v>
                </c:pt>
                <c:pt idx="12">
                  <c:v>1.0573811869324503</c:v>
                </c:pt>
                <c:pt idx="13">
                  <c:v>0.70640369588204255</c:v>
                </c:pt>
                <c:pt idx="14">
                  <c:v>0.3539455782840627</c:v>
                </c:pt>
                <c:pt idx="15">
                  <c:v>0</c:v>
                </c:pt>
                <c:pt idx="16">
                  <c:v>-0.35543986291349844</c:v>
                </c:pt>
                <c:pt idx="17">
                  <c:v>-0.71238083461251023</c:v>
                </c:pt>
                <c:pt idx="18">
                  <c:v>-1.0708297501026878</c:v>
                </c:pt>
                <c:pt idx="19">
                  <c:v>-1.4307934660905253</c:v>
                </c:pt>
                <c:pt idx="20">
                  <c:v>-1.7922788720345824</c:v>
                </c:pt>
                <c:pt idx="21">
                  <c:v>-2.1552929013822624</c:v>
                </c:pt>
                <c:pt idx="22">
                  <c:v>-2.5198425429778402</c:v>
                </c:pt>
                <c:pt idx="23">
                  <c:v>-2.8859348526275648</c:v>
                </c:pt>
                <c:pt idx="24">
                  <c:v>-3.2535769648078166</c:v>
                </c:pt>
                <c:pt idx="25">
                  <c:v>-3.6227761045024733</c:v>
                </c:pt>
                <c:pt idx="26">
                  <c:v>-3.9935395991558726</c:v>
                </c:pt>
                <c:pt idx="27">
                  <c:v>-4.3658748907279676</c:v>
                </c:pt>
                <c:pt idx="28">
                  <c:v>-4.7397895478385834</c:v>
                </c:pt>
                <c:pt idx="29">
                  <c:v>-5.1152912779879509</c:v>
                </c:pt>
                <c:pt idx="30">
                  <c:v>-5.4923879398410573</c:v>
                </c:pt>
                <c:pt idx="31">
                  <c:v>-5.8710875555637045</c:v>
                </c:pt>
                <c:pt idx="32">
                  <c:v>-6.2513983231985701</c:v>
                </c:pt>
                <c:pt idx="33">
                  <c:v>-6.6333286290700277</c:v>
                </c:pt>
                <c:pt idx="34">
                  <c:v>-7.0168870602069244</c:v>
                </c:pt>
                <c:pt idx="35">
                  <c:v>-7.4020824167730401</c:v>
                </c:pt>
                <c:pt idx="36">
                  <c:v>-7.7889237244955307</c:v>
                </c:pt>
                <c:pt idx="37">
                  <c:v>-8.1774202470821962</c:v>
                </c:pt>
                <c:pt idx="38">
                  <c:v>-8.5675814986191163</c:v>
                </c:pt>
                <c:pt idx="39">
                  <c:v>-8.9594172559408225</c:v>
                </c:pt>
                <c:pt idx="40">
                  <c:v>-9.3529375709659366</c:v>
                </c:pt>
                <c:pt idx="41">
                  <c:v>-9.7481527829919798</c:v>
                </c:pt>
                <c:pt idx="42">
                  <c:v>-10.145073530943868</c:v>
                </c:pt>
                <c:pt idx="43">
                  <c:v>-10.543710765571532</c:v>
                </c:pt>
                <c:pt idx="44">
                  <c:v>-10.944075761592984</c:v>
                </c:pt>
                <c:pt idx="45">
                  <c:v>-11.346180129780235</c:v>
                </c:pt>
                <c:pt idx="46">
                  <c:v>-11.750035828986462</c:v>
                </c:pt>
                <c:pt idx="47">
                  <c:v>-12.155655178114007</c:v>
                </c:pt>
                <c:pt idx="48">
                  <c:v>-12.563050868023968</c:v>
                </c:pt>
                <c:pt idx="49">
                  <c:v>-12.97223597338947</c:v>
                </c:pt>
                <c:pt idx="50">
                  <c:v>-13.383223964496032</c:v>
                </c:pt>
                <c:pt idx="51">
                  <c:v>-13.79602871899392</c:v>
                </c:pt>
                <c:pt idx="52">
                  <c:v>-14.210664533608909</c:v>
                </c:pt>
                <c:pt idx="53">
                  <c:v>-14.62714613581959</c:v>
                </c:pt>
                <c:pt idx="54">
                  <c:v>-15.045488695510995</c:v>
                </c:pt>
                <c:pt idx="55">
                  <c:v>-15.465707836616318</c:v>
                </c:pt>
                <c:pt idx="56">
                  <c:v>-15.887819648760402</c:v>
                </c:pt>
                <c:pt idx="57">
                  <c:v>-16.31184069892084</c:v>
                </c:pt>
                <c:pt idx="58">
                  <c:v>-16.73778804312477</c:v>
                </c:pt>
                <c:pt idx="59">
                  <c:v>-17.165679238201932</c:v>
                </c:pt>
                <c:pt idx="60">
                  <c:v>-17.595532353617017</c:v>
                </c:pt>
                <c:pt idx="61">
                  <c:v>-18.027365983407236</c:v>
                </c:pt>
                <c:pt idx="62">
                  <c:v>-18.461199258253913</c:v>
                </c:pt>
                <c:pt idx="63">
                  <c:v>-18.897051857720019</c:v>
                </c:pt>
                <c:pt idx="64">
                  <c:v>-19.334944022689118</c:v>
                </c:pt>
                <c:pt idx="65">
                  <c:v>-19.774896568044589</c:v>
                </c:pt>
                <c:pt idx="66">
                  <c:v>-20.216930895632096</c:v>
                </c:pt>
                <c:pt idx="67">
                  <c:v>-20.661069007552289</c:v>
                </c:pt>
                <c:pt idx="68">
                  <c:v>-21.107333519835279</c:v>
                </c:pt>
                <c:pt idx="69">
                  <c:v>-21.555747676553306</c:v>
                </c:pt>
                <c:pt idx="70">
                  <c:v>-22.006335364432992</c:v>
                </c:pt>
                <c:pt idx="71">
                  <c:v>-22.459121128034436</c:v>
                </c:pt>
                <c:pt idx="72">
                  <c:v>-22.914130185570215</c:v>
                </c:pt>
                <c:pt idx="73">
                  <c:v>-23.371388445443962</c:v>
                </c:pt>
                <c:pt idx="74">
                  <c:v>-23.830922523595039</c:v>
                </c:pt>
                <c:pt idx="75">
                  <c:v>-24.292759761743682</c:v>
                </c:pt>
                <c:pt idx="76">
                  <c:v>-24.756928246638836</c:v>
                </c:pt>
                <c:pt idx="77">
                  <c:v>-25.22345683041997</c:v>
                </c:pt>
                <c:pt idx="78">
                  <c:v>-25.692375152213764</c:v>
                </c:pt>
                <c:pt idx="79">
                  <c:v>-26.163713661096679</c:v>
                </c:pt>
                <c:pt idx="80">
                  <c:v>-26.637503640566152</c:v>
                </c:pt>
                <c:pt idx="81">
                  <c:v>-27.11377723467487</c:v>
                </c:pt>
                <c:pt idx="82">
                  <c:v>-27.592567475996297</c:v>
                </c:pt>
                <c:pt idx="83">
                  <c:v>-28.073908315603752</c:v>
                </c:pt>
                <c:pt idx="84">
                  <c:v>-28.557834655261285</c:v>
                </c:pt>
                <c:pt idx="85">
                  <c:v>-29.04438238204148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20B-4790-9A26-9CCCEB989D58}"/>
            </c:ext>
          </c:extLst>
        </c:ser>
        <c:ser>
          <c:idx val="0"/>
          <c:order val="42"/>
          <c:spPr>
            <a:ln w="508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20B-4790-9A26-9CCCEB989D58}"/>
            </c:ext>
          </c:extLst>
        </c:ser>
        <c:ser>
          <c:idx val="1"/>
          <c:order val="43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graph!$F$8:$F$93</c:f>
              <c:numCache>
                <c:formatCode>General</c:formatCode>
                <c:ptCount val="86"/>
                <c:pt idx="0">
                  <c:v>4.6893065417123916</c:v>
                </c:pt>
                <c:pt idx="1">
                  <c:v>4.3871059576473188</c:v>
                </c:pt>
                <c:pt idx="2">
                  <c:v>4.0834733412390891</c:v>
                </c:pt>
                <c:pt idx="3">
                  <c:v>3.7783948702391332</c:v>
                </c:pt>
                <c:pt idx="4">
                  <c:v>3.4718570438841745</c:v>
                </c:pt>
                <c:pt idx="5">
                  <c:v>3.163846653782171</c:v>
                </c:pt>
                <c:pt idx="6">
                  <c:v>2.8543507554371073</c:v>
                </c:pt>
                <c:pt idx="7">
                  <c:v>2.5433566404343355</c:v>
                </c:pt>
                <c:pt idx="8">
                  <c:v>2.2308518093087395</c:v>
                </c:pt>
                <c:pt idx="9">
                  <c:v>1.9168239451185125</c:v>
                </c:pt>
                <c:pt idx="10">
                  <c:v>1.6012608877477987</c:v>
                </c:pt>
                <c:pt idx="11">
                  <c:v>1.2841506089618526</c:v>
                </c:pt>
                <c:pt idx="12">
                  <c:v>0.96548118823869311</c:v>
                </c:pt>
                <c:pt idx="13">
                  <c:v>0.64524078940153184</c:v>
                </c:pt>
                <c:pt idx="14">
                  <c:v>0.32341763807645257</c:v>
                </c:pt>
                <c:pt idx="15">
                  <c:v>0</c:v>
                </c:pt>
                <c:pt idx="16">
                  <c:v>-0.32502383979858662</c:v>
                </c:pt>
                <c:pt idx="17">
                  <c:v>-0.65166559691566905</c:v>
                </c:pt>
                <c:pt idx="18">
                  <c:v>-0.97993700656730076</c:v>
                </c:pt>
                <c:pt idx="19">
                  <c:v>-1.3098498416343818</c:v>
                </c:pt>
                <c:pt idx="20">
                  <c:v>-1.641415929734336</c:v>
                </c:pt>
                <c:pt idx="21">
                  <c:v>-1.9746471692949472</c:v>
                </c:pt>
                <c:pt idx="22">
                  <c:v>-2.3095555446062668</c:v>
                </c:pt>
                <c:pt idx="23">
                  <c:v>-2.6461531398268336</c:v>
                </c:pt>
                <c:pt idx="24">
                  <c:v>-2.9844521519208409</c:v>
                </c:pt>
                <c:pt idx="25">
                  <c:v>-3.3244649025033541</c:v>
                </c:pt>
                <c:pt idx="26">
                  <c:v>-3.6662038485712145</c:v>
                </c:pt>
                <c:pt idx="27">
                  <c:v>-4.0096815920978788</c:v>
                </c:pt>
                <c:pt idx="28">
                  <c:v>-4.3549108884711112</c:v>
                </c:pt>
                <c:pt idx="29">
                  <c:v>-4.7019046537532345</c:v>
                </c:pt>
                <c:pt idx="30">
                  <c:v>-5.0506759707444413</c:v>
                </c:pt>
                <c:pt idx="31">
                  <c:v>-5.4012380938306386</c:v>
                </c:pt>
                <c:pt idx="32">
                  <c:v>-5.7536044525982781</c:v>
                </c:pt>
                <c:pt idx="33">
                  <c:v>-6.1077886541997426</c:v>
                </c:pt>
                <c:pt idx="34">
                  <c:v>-6.4638044844540499</c:v>
                </c:pt>
                <c:pt idx="35">
                  <c:v>-6.8216659076689563</c:v>
                </c:pt>
                <c:pt idx="36">
                  <c:v>-7.1813870651719069</c:v>
                </c:pt>
                <c:pt idx="37">
                  <c:v>-7.5429822725388478</c:v>
                </c:pt>
                <c:pt idx="38">
                  <c:v>-7.9064660155115316</c:v>
                </c:pt>
                <c:pt idx="39">
                  <c:v>-8.2718529445957003</c:v>
                </c:pt>
                <c:pt idx="40">
                  <c:v>-8.6391578683344434</c:v>
                </c:pt>
                <c:pt idx="41">
                  <c:v>-9.0083957452530719</c:v>
                </c:pt>
                <c:pt idx="42">
                  <c:v>-9.3795816744740268</c:v>
                </c:pt>
                <c:pt idx="43">
                  <c:v>-9.752730885002693</c:v>
                </c:pt>
                <c:pt idx="44">
                  <c:v>-10.127858723687551</c:v>
                </c:pt>
                <c:pt idx="45">
                  <c:v>-10.504980641860735</c:v>
                </c:pt>
                <c:pt idx="46">
                  <c:v>-10.88411218066806</c:v>
                </c:pt>
                <c:pt idx="47">
                  <c:v>-11.26526895510065</c:v>
                </c:pt>
                <c:pt idx="48">
                  <c:v>-11.648466636743645</c:v>
                </c:pt>
                <c:pt idx="49">
                  <c:v>-12.033720935261091</c:v>
                </c:pt>
                <c:pt idx="50">
                  <c:v>-12.421047578639968</c:v>
                </c:pt>
                <c:pt idx="51">
                  <c:v>-12.810462292220436</c:v>
                </c:pt>
                <c:pt idx="52">
                  <c:v>-13.201980776543856</c:v>
                </c:pt>
                <c:pt idx="53">
                  <c:v>-13.595618684054937</c:v>
                </c:pt>
                <c:pt idx="54">
                  <c:v>-13.991391594699488</c:v>
                </c:pt>
                <c:pt idx="55">
                  <c:v>-14.389314990464813</c:v>
                </c:pt>
                <c:pt idx="56">
                  <c:v>-14.78940422891576</c:v>
                </c:pt>
                <c:pt idx="57">
                  <c:v>-15.191674515785827</c:v>
                </c:pt>
                <c:pt idx="58">
                  <c:v>-15.596140876689734</c:v>
                </c:pt>
                <c:pt idx="59">
                  <c:v>-16.002818128031222</c:v>
                </c:pt>
                <c:pt idx="60">
                  <c:v>-16.411720847188047</c:v>
                </c:pt>
                <c:pt idx="61">
                  <c:v>-16.822863342064736</c:v>
                </c:pt>
                <c:pt idx="62">
                  <c:v>-17.236259620113149</c:v>
                </c:pt>
                <c:pt idx="63">
                  <c:v>-17.651923356931036</c:v>
                </c:pt>
                <c:pt idx="64">
                  <c:v>-18.069867864559868</c:v>
                </c:pt>
                <c:pt idx="65">
                  <c:v>-18.490106059615002</c:v>
                </c:pt>
                <c:pt idx="66">
                  <c:v>-18.912650431394415</c:v>
                </c:pt>
                <c:pt idx="67">
                  <c:v>-19.337513010125999</c:v>
                </c:pt>
                <c:pt idx="68">
                  <c:v>-19.764705335528827</c:v>
                </c:pt>
                <c:pt idx="69">
                  <c:v>-20.194238425880251</c:v>
                </c:pt>
                <c:pt idx="70">
                  <c:v>-20.626122747798657</c:v>
                </c:pt>
                <c:pt idx="71">
                  <c:v>-21.060368186971228</c:v>
                </c:pt>
                <c:pt idx="72">
                  <c:v>-21.496984020077331</c:v>
                </c:pt>
                <c:pt idx="73">
                  <c:v>-21.935978888181303</c:v>
                </c:pt>
                <c:pt idx="74">
                  <c:v>-22.377360771893542</c:v>
                </c:pt>
                <c:pt idx="75">
                  <c:v>-22.821136968626355</c:v>
                </c:pt>
                <c:pt idx="76">
                  <c:v>-23.267314072300969</c:v>
                </c:pt>
                <c:pt idx="77">
                  <c:v>-23.715897955894786</c:v>
                </c:pt>
                <c:pt idx="78">
                  <c:v>-24.166893757253689</c:v>
                </c:pt>
                <c:pt idx="79">
                  <c:v>-24.620305868633324</c:v>
                </c:pt>
                <c:pt idx="80">
                  <c:v>-25.076137930475689</c:v>
                </c:pt>
                <c:pt idx="81">
                  <c:v>-25.534392829974315</c:v>
                </c:pt>
                <c:pt idx="82">
                  <c:v>-25.995072705032175</c:v>
                </c:pt>
                <c:pt idx="83">
                  <c:v>-26.458178954272299</c:v>
                </c:pt>
                <c:pt idx="84">
                  <c:v>-26.923712253822508</c:v>
                </c:pt>
                <c:pt idx="85">
                  <c:v>-27.391672581662462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20B-4790-9A26-9CCCEB989D58}"/>
            </c:ext>
          </c:extLst>
        </c:ser>
        <c:ser>
          <c:idx val="2"/>
          <c:order val="44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graph!$E$8:$E$93</c:f>
              <c:numCache>
                <c:formatCode>General</c:formatCode>
                <c:ptCount val="86"/>
                <c:pt idx="0">
                  <c:v>-2.7636682349165302</c:v>
                </c:pt>
                <c:pt idx="1">
                  <c:v>-2.5690038338730079</c:v>
                </c:pt>
                <c:pt idx="2">
                  <c:v>-2.3757714651726416</c:v>
                </c:pt>
                <c:pt idx="3">
                  <c:v>-2.1839849510640024</c:v>
                </c:pt>
                <c:pt idx="4">
                  <c:v>-1.993657792310366</c:v>
                </c:pt>
                <c:pt idx="5">
                  <c:v>-1.8048031973037744</c:v>
                </c:pt>
                <c:pt idx="6">
                  <c:v>-1.6174341105402434</c:v>
                </c:pt>
                <c:pt idx="7">
                  <c:v>-1.4315632404344203</c:v>
                </c:pt>
                <c:pt idx="8">
                  <c:v>-1.2472030864514214</c:v>
                </c:pt>
                <c:pt idx="9">
                  <c:v>-1.0643659655330537</c:v>
                </c:pt>
                <c:pt idx="10">
                  <c:v>-0.88306403779517262</c:v>
                </c:pt>
                <c:pt idx="11">
                  <c:v>-0.70330933147252406</c:v>
                </c:pt>
                <c:pt idx="12">
                  <c:v>-0.52511376708708857</c:v>
                </c:pt>
                <c:pt idx="13">
                  <c:v>-0.34848918081565494</c:v>
                </c:pt>
                <c:pt idx="14">
                  <c:v>-0.17344734703213924</c:v>
                </c:pt>
                <c:pt idx="15">
                  <c:v>0</c:v>
                </c:pt>
                <c:pt idx="16">
                  <c:v>0.17184114531000835</c:v>
                </c:pt>
                <c:pt idx="17">
                  <c:v>0.34206437330152084</c:v>
                </c:pt>
                <c:pt idx="18">
                  <c:v>0.51065794875848436</c:v>
                </c:pt>
                <c:pt idx="19">
                  <c:v>0.67761009879999812</c:v>
                </c:pt>
                <c:pt idx="20">
                  <c:v>0.84290899580863865</c:v>
                </c:pt>
                <c:pt idx="21">
                  <c:v>1.0065427413566224</c:v>
                </c:pt>
                <c:pt idx="22">
                  <c:v>1.1684993511538977</c:v>
                </c:pt>
                <c:pt idx="23">
                  <c:v>1.3287667410419255</c:v>
                </c:pt>
                <c:pt idx="24">
                  <c:v>1.4873327140565129</c:v>
                </c:pt>
                <c:pt idx="25">
                  <c:v>1.6441849485825943</c:v>
                </c:pt>
                <c:pt idx="26">
                  <c:v>1.7993109876233289</c:v>
                </c:pt>
                <c:pt idx="27">
                  <c:v>1.9526982292052608</c:v>
                </c:pt>
                <c:pt idx="28">
                  <c:v>2.1043339179406231</c:v>
                </c:pt>
                <c:pt idx="29">
                  <c:v>2.2542051377670949</c:v>
                </c:pt>
                <c:pt idx="30">
                  <c:v>2.4022988058844832</c:v>
                </c:pt>
                <c:pt idx="31">
                  <c:v>2.5486016679068815</c:v>
                </c:pt>
                <c:pt idx="32">
                  <c:v>2.6931002942478379</c:v>
                </c:pt>
                <c:pt idx="33">
                  <c:v>2.8357810777549695</c:v>
                </c:pt>
                <c:pt idx="34">
                  <c:v>2.976630232609256</c:v>
                </c:pt>
                <c:pt idx="35">
                  <c:v>3.1156337945029438</c:v>
                </c:pt>
                <c:pt idx="36">
                  <c:v>3.2527776221085896</c:v>
                </c:pt>
                <c:pt idx="37">
                  <c:v>3.3880473998502438</c:v>
                </c:pt>
                <c:pt idx="38">
                  <c:v>3.5214286419861556</c:v>
                </c:pt>
                <c:pt idx="39">
                  <c:v>3.6529066980105824</c:v>
                </c:pt>
                <c:pt idx="40">
                  <c:v>3.7824667593804349</c:v>
                </c:pt>
                <c:pt idx="41">
                  <c:v>3.9100938675704007</c:v>
                </c:pt>
                <c:pt idx="42">
                  <c:v>4.0357729234580431</c:v>
                </c:pt>
                <c:pt idx="43">
                  <c:v>4.1594886980379702</c:v>
                </c:pt>
                <c:pt idx="44">
                  <c:v>4.2812258444617086</c:v>
                </c:pt>
                <c:pt idx="45">
                  <c:v>4.4009689113971211</c:v>
                </c:pt>
                <c:pt idx="46">
                  <c:v>4.5187023576983911</c:v>
                </c:pt>
                <c:pt idx="47">
                  <c:v>4.6344105683743955</c:v>
                </c:pt>
                <c:pt idx="48">
                  <c:v>4.7480778718399961</c:v>
                </c:pt>
                <c:pt idx="49">
                  <c:v>4.8596885584311451</c:v>
                </c:pt>
                <c:pt idx="50">
                  <c:v>4.969226900160864</c:v>
                </c:pt>
                <c:pt idx="51">
                  <c:v>5.0766771716889902</c:v>
                </c:pt>
                <c:pt idx="52">
                  <c:v>5.1820236724741671</c:v>
                </c:pt>
                <c:pt idx="53">
                  <c:v>5.2852507500716808</c:v>
                </c:pt>
                <c:pt idx="54">
                  <c:v>5.3863428245357241</c:v>
                </c:pt>
                <c:pt idx="55">
                  <c:v>5.4852844138789933</c:v>
                </c:pt>
                <c:pt idx="56">
                  <c:v>5.5820601605366411</c:v>
                </c:pt>
                <c:pt idx="57">
                  <c:v>5.6766548587751666</c:v>
                </c:pt>
                <c:pt idx="58">
                  <c:v>5.7690534829798521</c:v>
                </c:pt>
                <c:pt idx="59">
                  <c:v>5.8592412167469581</c:v>
                </c:pt>
                <c:pt idx="60">
                  <c:v>5.9472034826987263</c:v>
                </c:pt>
                <c:pt idx="61">
                  <c:v>6.032925972930629</c:v>
                </c:pt>
                <c:pt idx="62">
                  <c:v>6.1163946799908109</c:v>
                </c:pt>
                <c:pt idx="63">
                  <c:v>6.1975959282815154</c:v>
                </c:pt>
                <c:pt idx="64">
                  <c:v>6.2765164057612797</c:v>
                </c:pt>
                <c:pt idx="65">
                  <c:v>6.3531431958147353</c:v>
                </c:pt>
                <c:pt idx="66">
                  <c:v>6.4274638091439149</c:v>
                </c:pt>
                <c:pt idx="67">
                  <c:v>6.4994662155209255</c:v>
                </c:pt>
                <c:pt idx="68">
                  <c:v>6.5691388752266917</c:v>
                </c:pt>
                <c:pt idx="69">
                  <c:v>6.636470769983859</c:v>
                </c:pt>
                <c:pt idx="70">
                  <c:v>6.7014514331740456</c:v>
                </c:pt>
                <c:pt idx="71">
                  <c:v>6.7640709791100697</c:v>
                </c:pt>
                <c:pt idx="72">
                  <c:v>6.8243201311125601</c:v>
                </c:pt>
                <c:pt idx="73">
                  <c:v>6.8821902481171797</c:v>
                </c:pt>
                <c:pt idx="74">
                  <c:v>6.9376733495135348</c:v>
                </c:pt>
                <c:pt idx="75">
                  <c:v>6.9907621378893134</c:v>
                </c:pt>
                <c:pt idx="76">
                  <c:v>7.0414500193232907</c:v>
                </c:pt>
                <c:pt idx="77">
                  <c:v>7.0897311208380716</c:v>
                </c:pt>
                <c:pt idx="78">
                  <c:v>7.1356003045877596</c:v>
                </c:pt>
                <c:pt idx="79">
                  <c:v>7.1790531783167193</c:v>
                </c:pt>
                <c:pt idx="80">
                  <c:v>7.2200861015829458</c:v>
                </c:pt>
                <c:pt idx="81">
                  <c:v>7.2586961871929105</c:v>
                </c:pt>
                <c:pt idx="82">
                  <c:v>7.2948812972436468</c:v>
                </c:pt>
                <c:pt idx="83">
                  <c:v>7.3286400331121184</c:v>
                </c:pt>
                <c:pt idx="84">
                  <c:v>7.3599717186704989</c:v>
                </c:pt>
                <c:pt idx="85">
                  <c:v>7.38887637593914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20B-4790-9A26-9CCCEB989D58}"/>
            </c:ext>
          </c:extLst>
        </c:ser>
        <c:ser>
          <c:idx val="4"/>
          <c:order val="45"/>
          <c:spPr>
            <a:ln w="50800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graphbasenl!$B$8:$B$93</c:f>
              <c:numCache>
                <c:formatCode>General</c:formatCode>
                <c:ptCount val="86"/>
                <c:pt idx="0">
                  <c:v>0.44499486507736707</c:v>
                </c:pt>
                <c:pt idx="1">
                  <c:v>0.42539052011720818</c:v>
                </c:pt>
                <c:pt idx="2">
                  <c:v>0.40437386182519419</c:v>
                </c:pt>
                <c:pt idx="3">
                  <c:v>0.38193888092284489</c:v>
                </c:pt>
                <c:pt idx="4">
                  <c:v>0.35807964993179703</c:v>
                </c:pt>
                <c:pt idx="5">
                  <c:v>0.33279031912105578</c:v>
                </c:pt>
                <c:pt idx="6">
                  <c:v>0.30606511202433101</c:v>
                </c:pt>
                <c:pt idx="7">
                  <c:v>0.27789832054214819</c:v>
                </c:pt>
                <c:pt idx="8">
                  <c:v>0.24828429964364199</c:v>
                </c:pt>
                <c:pt idx="9">
                  <c:v>0.21721746168314318</c:v>
                </c:pt>
                <c:pt idx="10">
                  <c:v>0.18469227034685806</c:v>
                </c:pt>
                <c:pt idx="11">
                  <c:v>0.15070323424509316</c:v>
                </c:pt>
                <c:pt idx="12">
                  <c:v>0.11524490016562239</c:v>
                </c:pt>
                <c:pt idx="13">
                  <c:v>7.8311846003911195E-2</c:v>
                </c:pt>
                <c:pt idx="14">
                  <c:v>3.9898673386008825E-2</c:v>
                </c:pt>
                <c:pt idx="15">
                  <c:v>0</c:v>
                </c:pt>
                <c:pt idx="16">
                  <c:v>-4.1389548348039901E-2</c:v>
                </c:pt>
                <c:pt idx="17">
                  <c:v>-8.4275345937598972E-2</c:v>
                </c:pt>
                <c:pt idx="18">
                  <c:v>-0.12866277558079869</c:v>
                </c:pt>
                <c:pt idx="19">
                  <c:v>-0.17455723729698103</c:v>
                </c:pt>
                <c:pt idx="20">
                  <c:v>-0.22196415719884593</c:v>
                </c:pt>
                <c:pt idx="21">
                  <c:v>-0.27088899657421389</c:v>
                </c:pt>
                <c:pt idx="22">
                  <c:v>-0.32133726114755706</c:v>
                </c:pt>
                <c:pt idx="23">
                  <c:v>-0.37331451050552816</c:v>
                </c:pt>
                <c:pt idx="24">
                  <c:v>-0.42682636767082516</c:v>
                </c:pt>
                <c:pt idx="25">
                  <c:v>-0.48187852880885901</c:v>
                </c:pt>
                <c:pt idx="26">
                  <c:v>-0.53847677305184194</c:v>
                </c:pt>
                <c:pt idx="27">
                  <c:v>-0.59662697242508844</c:v>
                </c:pt>
                <c:pt idx="28">
                  <c:v>-0.65633510186051469</c:v>
                </c:pt>
                <c:pt idx="29">
                  <c:v>-0.71760724928253861</c:v>
                </c:pt>
                <c:pt idx="30">
                  <c:v>-0.78044962575182675</c:v>
                </c:pt>
                <c:pt idx="31">
                  <c:v>-0.8448685756525961</c:v>
                </c:pt>
                <c:pt idx="32">
                  <c:v>-0.91087058690946754</c:v>
                </c:pt>
                <c:pt idx="33">
                  <c:v>-0.97846230122017763</c:v>
                </c:pt>
                <c:pt idx="34">
                  <c:v>-1.0476505242908034</c:v>
                </c:pt>
                <c:pt idx="35">
                  <c:v>-1.1184422360605031</c:v>
                </c:pt>
                <c:pt idx="36">
                  <c:v>-1.1908446009031861</c:v>
                </c:pt>
                <c:pt idx="37">
                  <c:v>-1.2648649777939232</c:v>
                </c:pt>
                <c:pt idx="38">
                  <c:v>-1.3405109304283724</c:v>
                </c:pt>
                <c:pt idx="39">
                  <c:v>-1.4177902372839633</c:v>
                </c:pt>
                <c:pt idx="40">
                  <c:v>-1.4967109016120879</c:v>
                </c:pt>
                <c:pt idx="41">
                  <c:v>-1.5772811613510953</c:v>
                </c:pt>
                <c:pt idx="42">
                  <c:v>-1.6595094989504402</c:v>
                </c:pt>
                <c:pt idx="43">
                  <c:v>-1.7434046510969581</c:v>
                </c:pt>
                <c:pt idx="44">
                  <c:v>-1.8289756183348693</c:v>
                </c:pt>
                <c:pt idx="45">
                  <c:v>-1.9162316745717964</c:v>
                </c:pt>
                <c:pt idx="46">
                  <c:v>-2.0051823764637891</c:v>
                </c:pt>
                <c:pt idx="47">
                  <c:v>-2.0958375726731084</c:v>
                </c:pt>
                <c:pt idx="48">
                  <c:v>-2.1882074129933295</c:v>
                </c:pt>
                <c:pt idx="49">
                  <c:v>-2.2823023573371342</c:v>
                </c:pt>
                <c:pt idx="50">
                  <c:v>-2.3781331845830946</c:v>
                </c:pt>
                <c:pt idx="51">
                  <c:v>-2.4757110012786359</c:v>
                </c:pt>
                <c:pt idx="52">
                  <c:v>-2.5750472501973887</c:v>
                </c:pt>
                <c:pt idx="53">
                  <c:v>-2.6761537187501667</c:v>
                </c:pt>
                <c:pt idx="54">
                  <c:v>-2.7790425472498805</c:v>
                </c:pt>
                <c:pt idx="55">
                  <c:v>-2.8837262370318903</c:v>
                </c:pt>
                <c:pt idx="56">
                  <c:v>-2.9902176584324778</c:v>
                </c:pt>
                <c:pt idx="57">
                  <c:v>-3.0985300586294042</c:v>
                </c:pt>
                <c:pt idx="58">
                  <c:v>-3.20867706934991</c:v>
                </c:pt>
                <c:pt idx="59">
                  <c:v>-3.3206727144528481</c:v>
                </c:pt>
                <c:pt idx="60">
                  <c:v>-3.4345314173932433</c:v>
                </c:pt>
                <c:pt idx="61">
                  <c:v>-3.5502680085790668</c:v>
                </c:pt>
                <c:pt idx="62">
                  <c:v>-3.6678977326317312</c:v>
                </c:pt>
                <c:pt idx="63">
                  <c:v>-3.7874362555635535</c:v>
                </c:pt>
                <c:pt idx="64">
                  <c:v>-3.9088996718872915</c:v>
                </c:pt>
                <c:pt idx="65">
                  <c:v>-4.032304511674818</c:v>
                </c:pt>
                <c:pt idx="66">
                  <c:v>-4.1576677475840933</c:v>
                </c:pt>
                <c:pt idx="67">
                  <c:v>-4.2850068018757499</c:v>
                </c:pt>
                <c:pt idx="68">
                  <c:v>-4.4143395534429564</c:v>
                </c:pt>
                <c:pt idx="69">
                  <c:v>-4.5456843448806588</c:v>
                </c:pt>
                <c:pt idx="70">
                  <c:v>-4.6790599896229281</c:v>
                </c:pt>
                <c:pt idx="71">
                  <c:v>-4.8144857791798357</c:v>
                </c:pt>
                <c:pt idx="72">
                  <c:v>-4.9519814905082837</c:v>
                </c:pt>
                <c:pt idx="73">
                  <c:v>-5.0915673935542403</c:v>
                </c:pt>
                <c:pt idx="74">
                  <c:v>-5.2332642590071572</c:v>
                </c:pt>
                <c:pt idx="75">
                  <c:v>-5.3770933663108487</c:v>
                </c:pt>
                <c:pt idx="76">
                  <c:v>-5.5230765119788146</c:v>
                </c:pt>
                <c:pt idx="77">
                  <c:v>-5.6712360182659536</c:v>
                </c:pt>
                <c:pt idx="78">
                  <c:v>-5.8215947422528203</c:v>
                </c:pt>
                <c:pt idx="79">
                  <c:v>-5.974176085403113</c:v>
                </c:pt>
                <c:pt idx="80">
                  <c:v>-6.1290040036597979</c:v>
                </c:pt>
                <c:pt idx="81">
                  <c:v>-6.2861030181504969</c:v>
                </c:pt>
                <c:pt idx="82">
                  <c:v>-6.4454982265781338</c:v>
                </c:pt>
                <c:pt idx="83">
                  <c:v>-6.6072153153787907</c:v>
                </c:pt>
                <c:pt idx="84">
                  <c:v>-6.771280572734879</c:v>
                </c:pt>
                <c:pt idx="85">
                  <c:v>-6.937720902538568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20B-4790-9A26-9CCCEB989D58}"/>
            </c:ext>
          </c:extLst>
        </c:ser>
        <c:ser>
          <c:idx val="5"/>
          <c:order val="46"/>
          <c:spPr>
            <a:ln w="38100"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graphbasenl!$E$8:$E$93</c:f>
              <c:numCache>
                <c:formatCode>General</c:formatCode>
                <c:ptCount val="86"/>
                <c:pt idx="0">
                  <c:v>-2.8215512519686006</c:v>
                </c:pt>
                <c:pt idx="1">
                  <c:v>-2.6233858557923613</c:v>
                </c:pt>
                <c:pt idx="2">
                  <c:v>-2.4266327729479773</c:v>
                </c:pt>
                <c:pt idx="3">
                  <c:v>-2.2312980127139288</c:v>
                </c:pt>
                <c:pt idx="4">
                  <c:v>-2.0373875025685786</c:v>
                </c:pt>
                <c:pt idx="5">
                  <c:v>-1.8449070922429216</c:v>
                </c:pt>
                <c:pt idx="6">
                  <c:v>-1.6538625582032487</c:v>
                </c:pt>
                <c:pt idx="7">
                  <c:v>-1.4642596085490336</c:v>
                </c:pt>
                <c:pt idx="8">
                  <c:v>-1.2761038883111417</c:v>
                </c:pt>
                <c:pt idx="9">
                  <c:v>-1.0894009851352426</c:v>
                </c:pt>
                <c:pt idx="10">
                  <c:v>-0.9041564353351299</c:v>
                </c:pt>
                <c:pt idx="11">
                  <c:v>-0.72037573030049706</c:v>
                </c:pt>
                <c:pt idx="12">
                  <c:v>-0.53806432324357001</c:v>
                </c:pt>
                <c:pt idx="13">
                  <c:v>-0.35722763626888321</c:v>
                </c:pt>
                <c:pt idx="14">
                  <c:v>-0.17787106775038769</c:v>
                </c:pt>
                <c:pt idx="15">
                  <c:v>0</c:v>
                </c:pt>
                <c:pt idx="16">
                  <c:v>0.17638019278835801</c:v>
                </c:pt>
                <c:pt idx="17">
                  <c:v>0.35126413633519682</c:v>
                </c:pt>
                <c:pt idx="18">
                  <c:v>0.5246464478283952</c:v>
                </c:pt>
                <c:pt idx="19">
                  <c:v>0.69652172724861061</c:v>
                </c:pt>
                <c:pt idx="20">
                  <c:v>0.86688454848314356</c:v>
                </c:pt>
                <c:pt idx="21">
                  <c:v>1.0357294502441736</c:v>
                </c:pt>
                <c:pt idx="22">
                  <c:v>1.2030509268072282</c:v>
                </c:pt>
                <c:pt idx="23">
                  <c:v>1.3688434185856548</c:v>
                </c:pt>
                <c:pt idx="24">
                  <c:v>1.5331013025567559</c:v>
                </c:pt>
                <c:pt idx="25">
                  <c:v>1.6958188825551197</c:v>
                </c:pt>
                <c:pt idx="26">
                  <c:v>1.856990379448535</c:v>
                </c:pt>
                <c:pt idx="27">
                  <c:v>2.0166099212116864</c:v>
                </c:pt>
                <c:pt idx="28">
                  <c:v>2.1746715329126585</c:v>
                </c:pt>
                <c:pt idx="29">
                  <c:v>2.3311691266270325</c:v>
                </c:pt>
                <c:pt idx="30">
                  <c:v>2.4860964912941426</c:v>
                </c:pt>
                <c:pt idx="31">
                  <c:v>2.6394472825297712</c:v>
                </c:pt>
                <c:pt idx="32">
                  <c:v>2.7912150124092978</c:v>
                </c:pt>
                <c:pt idx="33">
                  <c:v>2.9413930392349856</c:v>
                </c:pt>
                <c:pt idx="34">
                  <c:v>3.0899745573007582</c:v>
                </c:pt>
                <c:pt idx="35">
                  <c:v>3.236952586667456</c:v>
                </c:pt>
                <c:pt idx="36">
                  <c:v>3.3823199629611711</c:v>
                </c:pt>
                <c:pt idx="37">
                  <c:v>3.526069327206832</c:v>
                </c:pt>
                <c:pt idx="38">
                  <c:v>3.6681931157087808</c:v>
                </c:pt>
                <c:pt idx="39">
                  <c:v>3.8086835499895884</c:v>
                </c:pt>
                <c:pt idx="40">
                  <c:v>3.9475326267978619</c:v>
                </c:pt>
                <c:pt idx="41">
                  <c:v>4.0847321081952526</c:v>
                </c:pt>
                <c:pt idx="42">
                  <c:v>4.220273511732306</c:v>
                </c:pt>
                <c:pt idx="43">
                  <c:v>4.3541481007221865</c:v>
                </c:pt>
                <c:pt idx="44">
                  <c:v>4.4863468746206729</c:v>
                </c:pt>
                <c:pt idx="45">
                  <c:v>4.616860559520144</c:v>
                </c:pt>
                <c:pt idx="46">
                  <c:v>4.7456795987645499</c:v>
                </c:pt>
                <c:pt idx="47">
                  <c:v>4.8727941436916282</c:v>
                </c:pt>
                <c:pt idx="48">
                  <c:v>4.9981940445078052</c:v>
                </c:pt>
                <c:pt idx="49">
                  <c:v>5.1218688413003992</c:v>
                </c:pt>
                <c:pt idx="50">
                  <c:v>5.2438077551908364</c:v>
                </c:pt>
                <c:pt idx="51">
                  <c:v>5.3639996796316929</c:v>
                </c:pt>
                <c:pt idx="52">
                  <c:v>5.4824331718493378</c:v>
                </c:pt>
                <c:pt idx="53">
                  <c:v>5.5990964444329592</c:v>
                </c:pt>
                <c:pt idx="54">
                  <c:v>5.7139773570696422</c:v>
                </c:pt>
                <c:pt idx="55">
                  <c:v>5.8270634084240296</c:v>
                </c:pt>
                <c:pt idx="56">
                  <c:v>5.9383417281598394</c:v>
                </c:pt>
                <c:pt idx="57">
                  <c:v>6.0477990690993106</c:v>
                </c:pt>
                <c:pt idx="58">
                  <c:v>6.1554217995152012</c:v>
                </c:pt>
                <c:pt idx="59">
                  <c:v>6.2611958955486609</c:v>
                </c:pt>
                <c:pt idx="60">
                  <c:v>6.3651069337446629</c:v>
                </c:pt>
                <c:pt idx="61">
                  <c:v>6.4671400836952362</c:v>
                </c:pt>
                <c:pt idx="62">
                  <c:v>6.5672801007789694</c:v>
                </c:pt>
                <c:pt idx="63">
                  <c:v>6.665511318983544</c:v>
                </c:pt>
                <c:pt idx="64">
                  <c:v>6.7618176437962036</c:v>
                </c:pt>
                <c:pt idx="65">
                  <c:v>6.8561825451450744</c:v>
                </c:pt>
                <c:pt idx="66">
                  <c:v>6.9485890503721963</c:v>
                </c:pt>
                <c:pt idx="67">
                  <c:v>7.0390197372169352</c:v>
                </c:pt>
                <c:pt idx="68">
                  <c:v>7.127456726786126</c:v>
                </c:pt>
                <c:pt idx="69">
                  <c:v>7.2138816764848208</c:v>
                </c:pt>
                <c:pt idx="70">
                  <c:v>7.2982757728789487</c:v>
                </c:pt>
                <c:pt idx="71">
                  <c:v>7.3806197244584384</c:v>
                </c:pt>
                <c:pt idx="72">
                  <c:v>7.4608937542663876</c:v>
                </c:pt>
                <c:pt idx="73">
                  <c:v>7.5390775923568283</c:v>
                </c:pt>
                <c:pt idx="74">
                  <c:v>7.6151504680403086</c:v>
                </c:pt>
                <c:pt idx="75">
                  <c:v>7.6890911018730144</c:v>
                </c:pt>
                <c:pt idx="76">
                  <c:v>7.7608776973414457</c:v>
                </c:pt>
                <c:pt idx="77">
                  <c:v>7.8304879321907039</c:v>
                </c:pt>
                <c:pt idx="78">
                  <c:v>7.8978989493402345</c:v>
                </c:pt>
                <c:pt idx="79">
                  <c:v>7.963087347326339</c:v>
                </c:pt>
                <c:pt idx="80">
                  <c:v>8.0260291702060513</c:v>
                </c:pt>
                <c:pt idx="81">
                  <c:v>8.0866998968517496</c:v>
                </c:pt>
                <c:pt idx="82">
                  <c:v>8.1450744295605091</c:v>
                </c:pt>
                <c:pt idx="83">
                  <c:v>8.2011270818962494</c:v>
                </c:pt>
                <c:pt idx="84">
                  <c:v>8.2548315656765574</c:v>
                </c:pt>
                <c:pt idx="85">
                  <c:v>8.3061609770092666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20B-4790-9A26-9CCCEB989D58}"/>
            </c:ext>
          </c:extLst>
        </c:ser>
        <c:ser>
          <c:idx val="16"/>
          <c:order val="47"/>
          <c:spPr>
            <a:ln w="38100"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graphbasenl!$F$8:$F$93</c:f>
              <c:numCache>
                <c:formatCode>General</c:formatCode>
                <c:ptCount val="86"/>
                <c:pt idx="0">
                  <c:v>5.0564281706901983</c:v>
                </c:pt>
                <c:pt idx="1">
                  <c:v>4.7293949386891834</c:v>
                </c:pt>
                <c:pt idx="2">
                  <c:v>4.4009493933563135</c:v>
                </c:pt>
                <c:pt idx="3">
                  <c:v>4.0710855254131086</c:v>
                </c:pt>
                <c:pt idx="4">
                  <c:v>3.7397974073812046</c:v>
                </c:pt>
                <c:pt idx="5">
                  <c:v>3.4070791895296084</c:v>
                </c:pt>
                <c:pt idx="6">
                  <c:v>3.0729250953920277</c:v>
                </c:pt>
                <c:pt idx="7">
                  <c:v>2.7373294168689899</c:v>
                </c:pt>
                <c:pt idx="8">
                  <c:v>2.4002865089296281</c:v>
                </c:pt>
                <c:pt idx="9">
                  <c:v>2.0617907839282736</c:v>
                </c:pt>
                <c:pt idx="10">
                  <c:v>1.7218367055511334</c:v>
                </c:pt>
                <c:pt idx="11">
                  <c:v>1.380418782408513</c:v>
                </c:pt>
                <c:pt idx="12">
                  <c:v>1.037531561288187</c:v>
                </c:pt>
                <c:pt idx="13">
                  <c:v>0.69316962008562022</c:v>
                </c:pt>
                <c:pt idx="14">
                  <c:v>0.34732756042686236</c:v>
                </c:pt>
                <c:pt idx="15">
                  <c:v>0</c:v>
                </c:pt>
                <c:pt idx="16">
                  <c:v>-0.34881843538889534</c:v>
                </c:pt>
                <c:pt idx="17">
                  <c:v>-0.69913312001930994</c:v>
                </c:pt>
                <c:pt idx="18">
                  <c:v>-1.0509494367033652</c:v>
                </c:pt>
                <c:pt idx="19">
                  <c:v>-1.4042727854604029</c:v>
                </c:pt>
                <c:pt idx="20">
                  <c:v>-1.7591085924031233</c:v>
                </c:pt>
                <c:pt idx="21">
                  <c:v>-2.1154623188193469</c:v>
                </c:pt>
                <c:pt idx="22">
                  <c:v>-2.4733394704335452</c:v>
                </c:pt>
                <c:pt idx="23">
                  <c:v>-2.832745606832372</c:v>
                </c:pt>
                <c:pt idx="24">
                  <c:v>-3.1936863510385241</c:v>
                </c:pt>
                <c:pt idx="25">
                  <c:v>-3.5561673992174132</c:v>
                </c:pt>
                <c:pt idx="26">
                  <c:v>-3.9201945305012518</c:v>
                </c:pt>
                <c:pt idx="27">
                  <c:v>-4.2857736169153542</c:v>
                </c:pt>
                <c:pt idx="28">
                  <c:v>-4.6529106333916364</c:v>
                </c:pt>
                <c:pt idx="29">
                  <c:v>-5.0216116678545157</c:v>
                </c:pt>
                <c:pt idx="30">
                  <c:v>-5.391882931364659</c:v>
                </c:pt>
                <c:pt idx="31">
                  <c:v>-5.7637307683062842</c:v>
                </c:pt>
                <c:pt idx="32">
                  <c:v>-6.1371616666040119</c:v>
                </c:pt>
                <c:pt idx="33">
                  <c:v>-6.512182267955577</c:v>
                </c:pt>
                <c:pt idx="34">
                  <c:v>-6.8887993780670591</c:v>
                </c:pt>
                <c:pt idx="35">
                  <c:v>-7.2670199768776147</c:v>
                </c:pt>
                <c:pt idx="36">
                  <c:v>-7.646851228761153</c:v>
                </c:pt>
                <c:pt idx="37">
                  <c:v>-8.028300492692745</c:v>
                </c:pt>
                <c:pt idx="38">
                  <c:v>-8.4113753323680509</c:v>
                </c:pt>
                <c:pt idx="39">
                  <c:v>-8.7960835262644963</c:v>
                </c:pt>
                <c:pt idx="40">
                  <c:v>-9.1824330776334779</c:v>
                </c:pt>
                <c:pt idx="41">
                  <c:v>-9.5704322244133415</c:v>
                </c:pt>
                <c:pt idx="42">
                  <c:v>-9.960089449053541</c:v>
                </c:pt>
                <c:pt idx="43">
                  <c:v>-10.351413488240913</c:v>
                </c:pt>
                <c:pt idx="44">
                  <c:v>-10.744413342519682</c:v>
                </c:pt>
                <c:pt idx="45">
                  <c:v>-11.139098285797466</c:v>
                </c:pt>
                <c:pt idx="46">
                  <c:v>-11.535477874730313</c:v>
                </c:pt>
                <c:pt idx="47">
                  <c:v>-11.933561957980489</c:v>
                </c:pt>
                <c:pt idx="48">
                  <c:v>-12.333360685341564</c:v>
                </c:pt>
                <c:pt idx="49">
                  <c:v>-12.734884516726225</c:v>
                </c:pt>
                <c:pt idx="50">
                  <c:v>-13.13814423101304</c:v>
                </c:pt>
                <c:pt idx="51">
                  <c:v>-13.543150934749439</c:v>
                </c:pt>
                <c:pt idx="52">
                  <c:v>-13.949916070709047</c:v>
                </c:pt>
                <c:pt idx="53">
                  <c:v>-14.358451426302681</c:v>
                </c:pt>
                <c:pt idx="54">
                  <c:v>-14.768769141843251</c:v>
                </c:pt>
                <c:pt idx="55">
                  <c:v>-15.180881718666114</c:v>
                </c:pt>
                <c:pt idx="56">
                  <c:v>-15.594802027107557</c:v>
                </c:pt>
                <c:pt idx="57">
                  <c:v>-16.010543314345338</c:v>
                </c:pt>
                <c:pt idx="58">
                  <c:v>-16.428119212106697</c:v>
                </c:pt>
                <c:pt idx="59">
                  <c:v>-16.847543744250491</c:v>
                </c:pt>
                <c:pt idx="60">
                  <c:v>-17.268831334231741</c:v>
                </c:pt>
                <c:pt idx="61">
                  <c:v>-17.691996812458417</c:v>
                </c:pt>
                <c:pt idx="62">
                  <c:v>-18.117055423551935</c:v>
                </c:pt>
                <c:pt idx="63">
                  <c:v>-18.544022833524611</c:v>
                </c:pt>
                <c:pt idx="64">
                  <c:v>-18.972915136889206</c:v>
                </c:pt>
                <c:pt idx="65">
                  <c:v>-19.403748863717588</c:v>
                </c:pt>
                <c:pt idx="66">
                  <c:v>-19.836540986667714</c:v>
                </c:pt>
                <c:pt idx="67">
                  <c:v>-20.271308928000227</c:v>
                </c:pt>
                <c:pt idx="68">
                  <c:v>-20.708070566608288</c:v>
                </c:pt>
                <c:pt idx="69">
                  <c:v>-21.146844245086843</c:v>
                </c:pt>
                <c:pt idx="70">
                  <c:v>-21.587648776869969</c:v>
                </c:pt>
                <c:pt idx="71">
                  <c:v>-22.03050345346773</c:v>
                </c:pt>
                <c:pt idx="72">
                  <c:v>-22.475428051837032</c:v>
                </c:pt>
                <c:pt idx="73">
                  <c:v>-22.922442841923843</c:v>
                </c:pt>
                <c:pt idx="74">
                  <c:v>-23.371568594417614</c:v>
                </c:pt>
                <c:pt idx="75">
                  <c:v>-23.822826588762162</c:v>
                </c:pt>
                <c:pt idx="76">
                  <c:v>-24.276238621470981</c:v>
                </c:pt>
                <c:pt idx="77">
                  <c:v>-24.731827014798974</c:v>
                </c:pt>
                <c:pt idx="78">
                  <c:v>-25.189614625826696</c:v>
                </c:pt>
                <c:pt idx="79">
                  <c:v>-25.649624856017841</c:v>
                </c:pt>
                <c:pt idx="80">
                  <c:v>-26.111881661315383</c:v>
                </c:pt>
                <c:pt idx="81">
                  <c:v>-26.576409562846933</c:v>
                </c:pt>
                <c:pt idx="82">
                  <c:v>-27.043233658315426</c:v>
                </c:pt>
                <c:pt idx="83">
                  <c:v>-27.51237963415694</c:v>
                </c:pt>
                <c:pt idx="84">
                  <c:v>-27.983873778553878</c:v>
                </c:pt>
                <c:pt idx="85">
                  <c:v>-28.457742995398423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20B-4790-9A26-9CCCEB989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847648"/>
        <c:axId val="335847256"/>
      </c:lineChart>
      <c:catAx>
        <c:axId val="3358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Global</a:t>
                </a:r>
                <a:r>
                  <a:rPr lang="en-US" b="0" baseline="0"/>
                  <a:t> warming (in d</a:t>
                </a:r>
                <a:r>
                  <a:rPr lang="en-US" b="0"/>
                  <a:t>egrees centrigrade)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335847256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335847256"/>
        <c:scaling>
          <c:orientation val="minMax"/>
          <c:max val="6"/>
          <c:min val="-1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Welfare-equivalent</a:t>
                </a:r>
                <a:r>
                  <a:rPr lang="en-US" b="0" baseline="0"/>
                  <a:t> income change (in percent)</a:t>
                </a:r>
                <a:endParaRPr lang="en-US" b="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335847648"/>
        <c:crossesAt val="16"/>
        <c:crossBetween val="between"/>
        <c:majorUnit val="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823114323824276E-2"/>
          <c:y val="4.1593417454617337E-2"/>
          <c:w val="0.93272378073331486"/>
          <c:h val="0.93870556452409981"/>
        </c:manualLayout>
      </c:layout>
      <c:lineChart>
        <c:grouping val="standard"/>
        <c:varyColors val="0"/>
        <c:ser>
          <c:idx val="0"/>
          <c:order val="0"/>
          <c:spPr>
            <a:ln w="508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graph!$B$8:$B$93</c:f>
              <c:numCache>
                <c:formatCode>General</c:formatCode>
                <c:ptCount val="86"/>
                <c:pt idx="0">
                  <c:v>0.39633022878670149</c:v>
                </c:pt>
                <c:pt idx="1">
                  <c:v>0.38032806558334153</c:v>
                </c:pt>
                <c:pt idx="2">
                  <c:v>0.36289387003682533</c:v>
                </c:pt>
                <c:pt idx="3">
                  <c:v>0.34401381989858221</c:v>
                </c:pt>
                <c:pt idx="4">
                  <c:v>0.32367441440533617</c:v>
                </c:pt>
                <c:pt idx="5">
                  <c:v>0.30186244516504546</c:v>
                </c:pt>
                <c:pt idx="6">
                  <c:v>0.27856496768169459</c:v>
                </c:pt>
                <c:pt idx="7">
                  <c:v>0.25376927354063561</c:v>
                </c:pt>
                <c:pt idx="8">
                  <c:v>0.22746286327675244</c:v>
                </c:pt>
                <c:pt idx="9">
                  <c:v>0.19963341994823786</c:v>
                </c:pt>
                <c:pt idx="10">
                  <c:v>0.1702687834392369</c:v>
                </c:pt>
                <c:pt idx="11">
                  <c:v>0.13935692551500328</c:v>
                </c:pt>
                <c:pt idx="12">
                  <c:v>0.10688592565355659</c:v>
                </c:pt>
                <c:pt idx="13">
                  <c:v>7.284394767810809E-2</c:v>
                </c:pt>
                <c:pt idx="14">
                  <c:v>3.7219217214741619E-2</c:v>
                </c:pt>
                <c:pt idx="15">
                  <c:v>0</c:v>
                </c:pt>
                <c:pt idx="16">
                  <c:v>-3.8825418936873829E-2</c:v>
                </c:pt>
                <c:pt idx="17">
                  <c:v>-7.9268755192243523E-2</c:v>
                </c:pt>
                <c:pt idx="18">
                  <c:v>-0.1213417439821623</c:v>
                </c:pt>
                <c:pt idx="19">
                  <c:v>-0.16505615818753064</c:v>
                </c:pt>
                <c:pt idx="20">
                  <c:v>-0.21042382542577223</c:v>
                </c:pt>
                <c:pt idx="21">
                  <c:v>-0.25745664412467062</c:v>
                </c:pt>
                <c:pt idx="22">
                  <c:v>-0.30616659857427742</c:v>
                </c:pt>
                <c:pt idx="23">
                  <c:v>-0.35656577293313169</c:v>
                </c:pt>
                <c:pt idx="24">
                  <c:v>-0.40866636416542657</c:v>
                </c:pt>
                <c:pt idx="25">
                  <c:v>-0.46248069388622692</c:v>
                </c:pt>
                <c:pt idx="26">
                  <c:v>-0.51802121909237475</c:v>
                </c:pt>
                <c:pt idx="27">
                  <c:v>-0.57530054175732526</c:v>
                </c:pt>
                <c:pt idx="28">
                  <c:v>-0.63433141726884523</c:v>
                </c:pt>
                <c:pt idx="29">
                  <c:v>-0.6951267616892558</c:v>
                </c:pt>
                <c:pt idx="30">
                  <c:v>-0.75769965781874971</c:v>
                </c:pt>
                <c:pt idx="31">
                  <c:v>-0.82206336004323388</c:v>
                </c:pt>
                <c:pt idx="32">
                  <c:v>-0.88823129794916</c:v>
                </c:pt>
                <c:pt idx="33">
                  <c:v>-0.95621707868891082</c:v>
                </c:pt>
                <c:pt idx="34">
                  <c:v>-1.0260344880815064</c:v>
                </c:pt>
                <c:pt idx="35">
                  <c:v>-1.0976974904347006</c:v>
                </c:pt>
                <c:pt idx="36">
                  <c:v>-1.1712202270759375</c:v>
                </c:pt>
                <c:pt idx="37">
                  <c:v>-1.2466170135811649</c:v>
                </c:pt>
                <c:pt idx="38">
                  <c:v>-1.3239023356921362</c:v>
                </c:pt>
                <c:pt idx="39">
                  <c:v>-1.4030908439145915</c:v>
                </c:pt>
                <c:pt idx="40">
                  <c:v>-1.4841973467916216</c:v>
                </c:pt>
                <c:pt idx="41">
                  <c:v>-1.5672368028485377</c:v>
                </c:pt>
                <c:pt idx="42">
                  <c:v>-1.6522243112077784</c:v>
                </c:pt>
                <c:pt idx="43">
                  <c:v>-1.7391751008747327</c:v>
                </c:pt>
                <c:pt idx="44">
                  <c:v>-1.8281045186978768</c:v>
                </c:pt>
                <c:pt idx="45">
                  <c:v>-1.9190280160093469</c:v>
                </c:pt>
                <c:pt idx="46">
                  <c:v>-2.0119611339549599</c:v>
                </c:pt>
                <c:pt idx="47">
                  <c:v>-2.1069194875258375</c:v>
                </c:pt>
                <c:pt idx="48">
                  <c:v>-2.2039187483071188</c:v>
                </c:pt>
                <c:pt idx="49">
                  <c:v>-2.3029746259628516</c:v>
                </c:pt>
                <c:pt idx="50">
                  <c:v>-2.404102848480016</c:v>
                </c:pt>
                <c:pt idx="51">
                  <c:v>-2.5073191411987712</c:v>
                </c:pt>
                <c:pt idx="52">
                  <c:v>-2.6126392046604776</c:v>
                </c:pt>
                <c:pt idx="53">
                  <c:v>-2.7200786913098463</c:v>
                </c:pt>
                <c:pt idx="54">
                  <c:v>-2.8296531810926848</c:v>
                </c:pt>
                <c:pt idx="55">
                  <c:v>-2.9413781559962975</c:v>
                </c:pt>
                <c:pt idx="56">
                  <c:v>-3.0552689735855312</c:v>
                </c:pt>
                <c:pt idx="57">
                  <c:v>-3.1713408395938876</c:v>
                </c:pt>
                <c:pt idx="58">
                  <c:v>-3.2896087796360822</c:v>
                </c:pt>
                <c:pt idx="59">
                  <c:v>-3.4100876101158581</c:v>
                </c:pt>
                <c:pt idx="60">
                  <c:v>-3.5327919084109718</c:v>
                </c:pt>
                <c:pt idx="61">
                  <c:v>-3.6577359824259497</c:v>
                </c:pt>
                <c:pt idx="62">
                  <c:v>-3.7849338396126493</c:v>
                </c:pt>
                <c:pt idx="63">
                  <c:v>-3.9143991555688271</c:v>
                </c:pt>
                <c:pt idx="64">
                  <c:v>-4.0461452423359443</c:v>
                </c:pt>
                <c:pt idx="65">
                  <c:v>-4.1801850165293688</c:v>
                </c:pt>
                <c:pt idx="66">
                  <c:v>-4.3165309674470711</c:v>
                </c:pt>
                <c:pt idx="67">
                  <c:v>-4.4551951253169424</c:v>
                </c:pt>
                <c:pt idx="68">
                  <c:v>-4.5961890298580581</c:v>
                </c:pt>
                <c:pt idx="69">
                  <c:v>-4.739523699347771</c:v>
                </c:pt>
                <c:pt idx="70">
                  <c:v>-4.8852096004044663</c:v>
                </c:pt>
                <c:pt idx="71">
                  <c:v>-5.033256618715324</c:v>
                </c:pt>
                <c:pt idx="72">
                  <c:v>-5.1836740309597138</c:v>
                </c:pt>
                <c:pt idx="73">
                  <c:v>-5.3364704782019761</c:v>
                </c:pt>
                <c:pt idx="74">
                  <c:v>-5.4916539410525029</c:v>
                </c:pt>
                <c:pt idx="75">
                  <c:v>-5.6492317169236062</c:v>
                </c:pt>
                <c:pt idx="76">
                  <c:v>-5.809210399736509</c:v>
                </c:pt>
                <c:pt idx="77">
                  <c:v>-5.9715958624686101</c:v>
                </c:pt>
                <c:pt idx="78">
                  <c:v>-6.1363932429658039</c:v>
                </c:pt>
                <c:pt idx="79">
                  <c:v>-6.3036069334837261</c:v>
                </c:pt>
                <c:pt idx="80">
                  <c:v>-6.4732405744643797</c:v>
                </c:pt>
                <c:pt idx="81">
                  <c:v>-6.6452970531012969</c:v>
                </c:pt>
                <c:pt idx="82">
                  <c:v>-6.8197785072974426</c:v>
                </c:pt>
                <c:pt idx="83">
                  <c:v>-6.9966863356758529</c:v>
                </c:pt>
                <c:pt idx="84">
                  <c:v>-7.1760212143643525</c:v>
                </c:pt>
                <c:pt idx="85">
                  <c:v>-7.3577831213425933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6-4149-A43C-177B635E82E2}"/>
            </c:ext>
          </c:extLst>
        </c:ser>
        <c:ser>
          <c:idx val="1"/>
          <c:order val="1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graph!$F$8:$F$93</c:f>
              <c:numCache>
                <c:formatCode>General</c:formatCode>
                <c:ptCount val="86"/>
                <c:pt idx="0">
                  <c:v>4.6893065417123916</c:v>
                </c:pt>
                <c:pt idx="1">
                  <c:v>4.3871059576473188</c:v>
                </c:pt>
                <c:pt idx="2">
                  <c:v>4.0834733412390891</c:v>
                </c:pt>
                <c:pt idx="3">
                  <c:v>3.7783948702391332</c:v>
                </c:pt>
                <c:pt idx="4">
                  <c:v>3.4718570438841745</c:v>
                </c:pt>
                <c:pt idx="5">
                  <c:v>3.163846653782171</c:v>
                </c:pt>
                <c:pt idx="6">
                  <c:v>2.8543507554371073</c:v>
                </c:pt>
                <c:pt idx="7">
                  <c:v>2.5433566404343355</c:v>
                </c:pt>
                <c:pt idx="8">
                  <c:v>2.2308518093087395</c:v>
                </c:pt>
                <c:pt idx="9">
                  <c:v>1.9168239451185125</c:v>
                </c:pt>
                <c:pt idx="10">
                  <c:v>1.6012608877477987</c:v>
                </c:pt>
                <c:pt idx="11">
                  <c:v>1.2841506089618526</c:v>
                </c:pt>
                <c:pt idx="12">
                  <c:v>0.96548118823869311</c:v>
                </c:pt>
                <c:pt idx="13">
                  <c:v>0.64524078940153184</c:v>
                </c:pt>
                <c:pt idx="14">
                  <c:v>0.32341763807645257</c:v>
                </c:pt>
                <c:pt idx="15">
                  <c:v>0</c:v>
                </c:pt>
                <c:pt idx="16">
                  <c:v>-0.32502383979858662</c:v>
                </c:pt>
                <c:pt idx="17">
                  <c:v>-0.65166559691566905</c:v>
                </c:pt>
                <c:pt idx="18">
                  <c:v>-0.97993700656730076</c:v>
                </c:pt>
                <c:pt idx="19">
                  <c:v>-1.3098498416343818</c:v>
                </c:pt>
                <c:pt idx="20">
                  <c:v>-1.641415929734336</c:v>
                </c:pt>
                <c:pt idx="21">
                  <c:v>-1.9746471692949472</c:v>
                </c:pt>
                <c:pt idx="22">
                  <c:v>-2.3095555446062668</c:v>
                </c:pt>
                <c:pt idx="23">
                  <c:v>-2.6461531398268336</c:v>
                </c:pt>
                <c:pt idx="24">
                  <c:v>-2.9844521519208409</c:v>
                </c:pt>
                <c:pt idx="25">
                  <c:v>-3.3244649025033541</c:v>
                </c:pt>
                <c:pt idx="26">
                  <c:v>-3.6662038485712145</c:v>
                </c:pt>
                <c:pt idx="27">
                  <c:v>-4.0096815920978788</c:v>
                </c:pt>
                <c:pt idx="28">
                  <c:v>-4.3549108884711112</c:v>
                </c:pt>
                <c:pt idx="29">
                  <c:v>-4.7019046537532345</c:v>
                </c:pt>
                <c:pt idx="30">
                  <c:v>-5.0506759707444413</c:v>
                </c:pt>
                <c:pt idx="31">
                  <c:v>-5.4012380938306386</c:v>
                </c:pt>
                <c:pt idx="32">
                  <c:v>-5.7536044525982781</c:v>
                </c:pt>
                <c:pt idx="33">
                  <c:v>-6.1077886541997426</c:v>
                </c:pt>
                <c:pt idx="34">
                  <c:v>-6.4638044844540499</c:v>
                </c:pt>
                <c:pt idx="35">
                  <c:v>-6.8216659076689563</c:v>
                </c:pt>
                <c:pt idx="36">
                  <c:v>-7.1813870651719069</c:v>
                </c:pt>
                <c:pt idx="37">
                  <c:v>-7.5429822725388478</c:v>
                </c:pt>
                <c:pt idx="38">
                  <c:v>-7.9064660155115316</c:v>
                </c:pt>
                <c:pt idx="39">
                  <c:v>-8.2718529445957003</c:v>
                </c:pt>
                <c:pt idx="40">
                  <c:v>-8.6391578683344434</c:v>
                </c:pt>
                <c:pt idx="41">
                  <c:v>-9.0083957452530719</c:v>
                </c:pt>
                <c:pt idx="42">
                  <c:v>-9.3795816744740268</c:v>
                </c:pt>
                <c:pt idx="43">
                  <c:v>-9.752730885002693</c:v>
                </c:pt>
                <c:pt idx="44">
                  <c:v>-10.127858723687551</c:v>
                </c:pt>
                <c:pt idx="45">
                  <c:v>-10.504980641860735</c:v>
                </c:pt>
                <c:pt idx="46">
                  <c:v>-10.88411218066806</c:v>
                </c:pt>
                <c:pt idx="47">
                  <c:v>-11.26526895510065</c:v>
                </c:pt>
                <c:pt idx="48">
                  <c:v>-11.648466636743645</c:v>
                </c:pt>
                <c:pt idx="49">
                  <c:v>-12.033720935261091</c:v>
                </c:pt>
                <c:pt idx="50">
                  <c:v>-12.421047578639968</c:v>
                </c:pt>
                <c:pt idx="51">
                  <c:v>-12.810462292220436</c:v>
                </c:pt>
                <c:pt idx="52">
                  <c:v>-13.201980776543856</c:v>
                </c:pt>
                <c:pt idx="53">
                  <c:v>-13.595618684054937</c:v>
                </c:pt>
                <c:pt idx="54">
                  <c:v>-13.991391594699488</c:v>
                </c:pt>
                <c:pt idx="55">
                  <c:v>-14.389314990464813</c:v>
                </c:pt>
                <c:pt idx="56">
                  <c:v>-14.78940422891576</c:v>
                </c:pt>
                <c:pt idx="57">
                  <c:v>-15.191674515785827</c:v>
                </c:pt>
                <c:pt idx="58">
                  <c:v>-15.596140876689734</c:v>
                </c:pt>
                <c:pt idx="59">
                  <c:v>-16.002818128031222</c:v>
                </c:pt>
                <c:pt idx="60">
                  <c:v>-16.411720847188047</c:v>
                </c:pt>
                <c:pt idx="61">
                  <c:v>-16.822863342064736</c:v>
                </c:pt>
                <c:pt idx="62">
                  <c:v>-17.236259620113149</c:v>
                </c:pt>
                <c:pt idx="63">
                  <c:v>-17.651923356931036</c:v>
                </c:pt>
                <c:pt idx="64">
                  <c:v>-18.069867864559868</c:v>
                </c:pt>
                <c:pt idx="65">
                  <c:v>-18.490106059615002</c:v>
                </c:pt>
                <c:pt idx="66">
                  <c:v>-18.912650431394415</c:v>
                </c:pt>
                <c:pt idx="67">
                  <c:v>-19.337513010125999</c:v>
                </c:pt>
                <c:pt idx="68">
                  <c:v>-19.764705335528827</c:v>
                </c:pt>
                <c:pt idx="69">
                  <c:v>-20.194238425880251</c:v>
                </c:pt>
                <c:pt idx="70">
                  <c:v>-20.626122747798657</c:v>
                </c:pt>
                <c:pt idx="71">
                  <c:v>-21.060368186971228</c:v>
                </c:pt>
                <c:pt idx="72">
                  <c:v>-21.496984020077331</c:v>
                </c:pt>
                <c:pt idx="73">
                  <c:v>-21.935978888181303</c:v>
                </c:pt>
                <c:pt idx="74">
                  <c:v>-22.377360771893542</c:v>
                </c:pt>
                <c:pt idx="75">
                  <c:v>-22.821136968626355</c:v>
                </c:pt>
                <c:pt idx="76">
                  <c:v>-23.267314072300969</c:v>
                </c:pt>
                <c:pt idx="77">
                  <c:v>-23.715897955894786</c:v>
                </c:pt>
                <c:pt idx="78">
                  <c:v>-24.166893757253689</c:v>
                </c:pt>
                <c:pt idx="79">
                  <c:v>-24.620305868633324</c:v>
                </c:pt>
                <c:pt idx="80">
                  <c:v>-25.076137930475689</c:v>
                </c:pt>
                <c:pt idx="81">
                  <c:v>-25.534392829974315</c:v>
                </c:pt>
                <c:pt idx="82">
                  <c:v>-25.995072705032175</c:v>
                </c:pt>
                <c:pt idx="83">
                  <c:v>-26.458178954272299</c:v>
                </c:pt>
                <c:pt idx="84">
                  <c:v>-26.923712253822508</c:v>
                </c:pt>
                <c:pt idx="85">
                  <c:v>-27.391672581662462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16-4149-A43C-177B635E82E2}"/>
            </c:ext>
          </c:extLst>
        </c:ser>
        <c:ser>
          <c:idx val="2"/>
          <c:order val="2"/>
          <c:spPr>
            <a:ln w="38100">
              <a:solidFill>
                <a:srgbClr val="0070C0"/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graph!$E$8:$E$93</c:f>
              <c:numCache>
                <c:formatCode>General</c:formatCode>
                <c:ptCount val="86"/>
                <c:pt idx="0">
                  <c:v>-2.7636682349165302</c:v>
                </c:pt>
                <c:pt idx="1">
                  <c:v>-2.5690038338730079</c:v>
                </c:pt>
                <c:pt idx="2">
                  <c:v>-2.3757714651726416</c:v>
                </c:pt>
                <c:pt idx="3">
                  <c:v>-2.1839849510640024</c:v>
                </c:pt>
                <c:pt idx="4">
                  <c:v>-1.993657792310366</c:v>
                </c:pt>
                <c:pt idx="5">
                  <c:v>-1.8048031973037744</c:v>
                </c:pt>
                <c:pt idx="6">
                  <c:v>-1.6174341105402434</c:v>
                </c:pt>
                <c:pt idx="7">
                  <c:v>-1.4315632404344203</c:v>
                </c:pt>
                <c:pt idx="8">
                  <c:v>-1.2472030864514214</c:v>
                </c:pt>
                <c:pt idx="9">
                  <c:v>-1.0643659655330537</c:v>
                </c:pt>
                <c:pt idx="10">
                  <c:v>-0.88306403779517262</c:v>
                </c:pt>
                <c:pt idx="11">
                  <c:v>-0.70330933147252406</c:v>
                </c:pt>
                <c:pt idx="12">
                  <c:v>-0.52511376708708857</c:v>
                </c:pt>
                <c:pt idx="13">
                  <c:v>-0.34848918081565494</c:v>
                </c:pt>
                <c:pt idx="14">
                  <c:v>-0.17344734703213924</c:v>
                </c:pt>
                <c:pt idx="15">
                  <c:v>0</c:v>
                </c:pt>
                <c:pt idx="16">
                  <c:v>0.17184114531000835</c:v>
                </c:pt>
                <c:pt idx="17">
                  <c:v>0.34206437330152084</c:v>
                </c:pt>
                <c:pt idx="18">
                  <c:v>0.51065794875848436</c:v>
                </c:pt>
                <c:pt idx="19">
                  <c:v>0.67761009879999812</c:v>
                </c:pt>
                <c:pt idx="20">
                  <c:v>0.84290899580863865</c:v>
                </c:pt>
                <c:pt idx="21">
                  <c:v>1.0065427413566224</c:v>
                </c:pt>
                <c:pt idx="22">
                  <c:v>1.1684993511538977</c:v>
                </c:pt>
                <c:pt idx="23">
                  <c:v>1.3287667410419255</c:v>
                </c:pt>
                <c:pt idx="24">
                  <c:v>1.4873327140565129</c:v>
                </c:pt>
                <c:pt idx="25">
                  <c:v>1.6441849485825943</c:v>
                </c:pt>
                <c:pt idx="26">
                  <c:v>1.7993109876233289</c:v>
                </c:pt>
                <c:pt idx="27">
                  <c:v>1.9526982292052608</c:v>
                </c:pt>
                <c:pt idx="28">
                  <c:v>2.1043339179406231</c:v>
                </c:pt>
                <c:pt idx="29">
                  <c:v>2.2542051377670949</c:v>
                </c:pt>
                <c:pt idx="30">
                  <c:v>2.4022988058844832</c:v>
                </c:pt>
                <c:pt idx="31">
                  <c:v>2.5486016679068815</c:v>
                </c:pt>
                <c:pt idx="32">
                  <c:v>2.6931002942478379</c:v>
                </c:pt>
                <c:pt idx="33">
                  <c:v>2.8357810777549695</c:v>
                </c:pt>
                <c:pt idx="34">
                  <c:v>2.976630232609256</c:v>
                </c:pt>
                <c:pt idx="35">
                  <c:v>3.1156337945029438</c:v>
                </c:pt>
                <c:pt idx="36">
                  <c:v>3.2527776221085896</c:v>
                </c:pt>
                <c:pt idx="37">
                  <c:v>3.3880473998502438</c:v>
                </c:pt>
                <c:pt idx="38">
                  <c:v>3.5214286419861556</c:v>
                </c:pt>
                <c:pt idx="39">
                  <c:v>3.6529066980105824</c:v>
                </c:pt>
                <c:pt idx="40">
                  <c:v>3.7824667593804349</c:v>
                </c:pt>
                <c:pt idx="41">
                  <c:v>3.9100938675704007</c:v>
                </c:pt>
                <c:pt idx="42">
                  <c:v>4.0357729234580431</c:v>
                </c:pt>
                <c:pt idx="43">
                  <c:v>4.1594886980379702</c:v>
                </c:pt>
                <c:pt idx="44">
                  <c:v>4.2812258444617086</c:v>
                </c:pt>
                <c:pt idx="45">
                  <c:v>4.4009689113971211</c:v>
                </c:pt>
                <c:pt idx="46">
                  <c:v>4.5187023576983911</c:v>
                </c:pt>
                <c:pt idx="47">
                  <c:v>4.6344105683743955</c:v>
                </c:pt>
                <c:pt idx="48">
                  <c:v>4.7480778718399961</c:v>
                </c:pt>
                <c:pt idx="49">
                  <c:v>4.8596885584311451</c:v>
                </c:pt>
                <c:pt idx="50">
                  <c:v>4.969226900160864</c:v>
                </c:pt>
                <c:pt idx="51">
                  <c:v>5.0766771716889902</c:v>
                </c:pt>
                <c:pt idx="52">
                  <c:v>5.1820236724741671</c:v>
                </c:pt>
                <c:pt idx="53">
                  <c:v>5.2852507500716808</c:v>
                </c:pt>
                <c:pt idx="54">
                  <c:v>5.3863428245357241</c:v>
                </c:pt>
                <c:pt idx="55">
                  <c:v>5.4852844138789933</c:v>
                </c:pt>
                <c:pt idx="56">
                  <c:v>5.5820601605366411</c:v>
                </c:pt>
                <c:pt idx="57">
                  <c:v>5.6766548587751666</c:v>
                </c:pt>
                <c:pt idx="58">
                  <c:v>5.7690534829798521</c:v>
                </c:pt>
                <c:pt idx="59">
                  <c:v>5.8592412167469581</c:v>
                </c:pt>
                <c:pt idx="60">
                  <c:v>5.9472034826987263</c:v>
                </c:pt>
                <c:pt idx="61">
                  <c:v>6.032925972930629</c:v>
                </c:pt>
                <c:pt idx="62">
                  <c:v>6.1163946799908109</c:v>
                </c:pt>
                <c:pt idx="63">
                  <c:v>6.1975959282815154</c:v>
                </c:pt>
                <c:pt idx="64">
                  <c:v>6.2765164057612797</c:v>
                </c:pt>
                <c:pt idx="65">
                  <c:v>6.3531431958147353</c:v>
                </c:pt>
                <c:pt idx="66">
                  <c:v>6.4274638091439149</c:v>
                </c:pt>
                <c:pt idx="67">
                  <c:v>6.4994662155209255</c:v>
                </c:pt>
                <c:pt idx="68">
                  <c:v>6.5691388752266917</c:v>
                </c:pt>
                <c:pt idx="69">
                  <c:v>6.636470769983859</c:v>
                </c:pt>
                <c:pt idx="70">
                  <c:v>6.7014514331740456</c:v>
                </c:pt>
                <c:pt idx="71">
                  <c:v>6.7640709791100697</c:v>
                </c:pt>
                <c:pt idx="72">
                  <c:v>6.8243201311125601</c:v>
                </c:pt>
                <c:pt idx="73">
                  <c:v>6.8821902481171797</c:v>
                </c:pt>
                <c:pt idx="74">
                  <c:v>6.9376733495135348</c:v>
                </c:pt>
                <c:pt idx="75">
                  <c:v>6.9907621378893134</c:v>
                </c:pt>
                <c:pt idx="76">
                  <c:v>7.0414500193232907</c:v>
                </c:pt>
                <c:pt idx="77">
                  <c:v>7.0897311208380716</c:v>
                </c:pt>
                <c:pt idx="78">
                  <c:v>7.1356003045877596</c:v>
                </c:pt>
                <c:pt idx="79">
                  <c:v>7.1790531783167193</c:v>
                </c:pt>
                <c:pt idx="80">
                  <c:v>7.2200861015829458</c:v>
                </c:pt>
                <c:pt idx="81">
                  <c:v>7.2586961871929105</c:v>
                </c:pt>
                <c:pt idx="82">
                  <c:v>7.2948812972436468</c:v>
                </c:pt>
                <c:pt idx="83">
                  <c:v>7.3286400331121184</c:v>
                </c:pt>
                <c:pt idx="84">
                  <c:v>7.3599717186704989</c:v>
                </c:pt>
                <c:pt idx="85">
                  <c:v>7.38887637593914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16-4149-A43C-177B635E82E2}"/>
            </c:ext>
          </c:extLst>
        </c:ser>
        <c:ser>
          <c:idx val="4"/>
          <c:order val="3"/>
          <c:spPr>
            <a:ln w="508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graphsens!$B$8:$B$93</c:f>
              <c:numCache>
                <c:formatCode>General</c:formatCode>
                <c:ptCount val="86"/>
                <c:pt idx="0">
                  <c:v>0.17038254760458976</c:v>
                </c:pt>
                <c:pt idx="1">
                  <c:v>0.18114616075309187</c:v>
                </c:pt>
                <c:pt idx="2">
                  <c:v>0.18877277940093964</c:v>
                </c:pt>
                <c:pt idx="3">
                  <c:v>0.19325572007665653</c:v>
                </c:pt>
                <c:pt idx="4">
                  <c:v>0.19458886547405588</c:v>
                </c:pt>
                <c:pt idx="5">
                  <c:v>0.19276659899162818</c:v>
                </c:pt>
                <c:pt idx="6">
                  <c:v>0.18778374111353546</c:v>
                </c:pt>
                <c:pt idx="7">
                  <c:v>0.17963548812964691</c:v>
                </c:pt>
                <c:pt idx="8">
                  <c:v>0.16831735369231812</c:v>
                </c:pt>
                <c:pt idx="9">
                  <c:v>0.15382511370787402</c:v>
                </c:pt>
                <c:pt idx="10">
                  <c:v>0.13615475506096947</c:v>
                </c:pt>
                <c:pt idx="11">
                  <c:v>0.11530242867020483</c:v>
                </c:pt>
                <c:pt idx="12">
                  <c:v>9.1264407373539261E-2</c:v>
                </c:pt>
                <c:pt idx="13">
                  <c:v>6.4037049142191549E-2</c:v>
                </c:pt>
                <c:pt idx="14">
                  <c:v>3.3616766121836471E-2</c:v>
                </c:pt>
                <c:pt idx="15">
                  <c:v>0</c:v>
                </c:pt>
                <c:pt idx="16">
                  <c:v>-3.6816795801376374E-2</c:v>
                </c:pt>
                <c:pt idx="17">
                  <c:v>-7.6837166609182425E-2</c:v>
                </c:pt>
                <c:pt idx="18">
                  <c:v>-0.12006465915916567</c:v>
                </c:pt>
                <c:pt idx="19">
                  <c:v>-0.16650281593370378</c:v>
                </c:pt>
                <c:pt idx="20">
                  <c:v>-0.21615516067832413</c:v>
                </c:pt>
                <c:pt idx="21">
                  <c:v>-0.26902517459802416</c:v>
                </c:pt>
                <c:pt idx="22">
                  <c:v>-0.32511626273452893</c:v>
                </c:pt>
                <c:pt idx="23">
                  <c:v>-0.38443171002572574</c:v>
                </c:pt>
                <c:pt idx="24">
                  <c:v>-0.44697462654864728</c:v>
                </c:pt>
                <c:pt idx="25">
                  <c:v>-0.5127478814475348</c:v>
                </c:pt>
                <c:pt idx="26">
                  <c:v>-0.58175402504869123</c:v>
                </c:pt>
                <c:pt idx="27">
                  <c:v>-0.65399519866404865</c:v>
                </c:pt>
                <c:pt idx="28">
                  <c:v>-0.72947303158561116</c:v>
                </c:pt>
                <c:pt idx="29">
                  <c:v>-0.80818852477319858</c:v>
                </c:pt>
                <c:pt idx="30">
                  <c:v>-0.89014192073820897</c:v>
                </c:pt>
                <c:pt idx="31">
                  <c:v>-0.97533255912644501</c:v>
                </c:pt>
                <c:pt idx="32">
                  <c:v>-1.0637587175033989</c:v>
                </c:pt>
                <c:pt idx="33">
                  <c:v>-1.1554174368457721</c:v>
                </c:pt>
                <c:pt idx="34">
                  <c:v>-1.2503043312434263</c:v>
                </c:pt>
                <c:pt idx="35">
                  <c:v>-1.3484133813164048</c:v>
                </c:pt>
                <c:pt idx="36">
                  <c:v>-1.4497367108521497</c:v>
                </c:pt>
                <c:pt idx="37">
                  <c:v>-1.5542643461685468</c:v>
                </c:pt>
                <c:pt idx="38">
                  <c:v>-1.6619839577089992</c:v>
                </c:pt>
                <c:pt idx="39">
                  <c:v>-1.7728805833762979</c:v>
                </c:pt>
                <c:pt idx="40">
                  <c:v>-1.8869363331127056</c:v>
                </c:pt>
                <c:pt idx="41">
                  <c:v>-2.0041300742343275</c:v>
                </c:pt>
                <c:pt idx="42">
                  <c:v>-2.1244370970285562</c:v>
                </c:pt>
                <c:pt idx="43">
                  <c:v>-2.2478287601241305</c:v>
                </c:pt>
                <c:pt idx="44">
                  <c:v>-2.3742721151441586</c:v>
                </c:pt>
                <c:pt idx="45">
                  <c:v>-2.5037295101532764</c:v>
                </c:pt>
                <c:pt idx="46">
                  <c:v>-2.6361581714110502</c:v>
                </c:pt>
                <c:pt idx="47">
                  <c:v>-2.7715097629446439</c:v>
                </c:pt>
                <c:pt idx="48">
                  <c:v>-2.9097299234548015</c:v>
                </c:pt>
                <c:pt idx="49">
                  <c:v>-3.0507577800702412</c:v>
                </c:pt>
                <c:pt idx="50">
                  <c:v>-3.1945254384666972</c:v>
                </c:pt>
                <c:pt idx="51">
                  <c:v>-3.3409574488680085</c:v>
                </c:pt>
                <c:pt idx="52">
                  <c:v>-3.4899702474479359</c:v>
                </c:pt>
                <c:pt idx="53">
                  <c:v>-3.6414715726526734</c:v>
                </c:pt>
                <c:pt idx="54">
                  <c:v>-3.7953598559654624</c:v>
                </c:pt>
                <c:pt idx="55">
                  <c:v>-3.9515235866361453</c:v>
                </c:pt>
                <c:pt idx="56">
                  <c:v>-4.1098406499001037</c:v>
                </c:pt>
                <c:pt idx="57">
                  <c:v>-4.2701776382126049</c:v>
                </c:pt>
                <c:pt idx="58">
                  <c:v>-4.4323891350263995</c:v>
                </c:pt>
                <c:pt idx="59">
                  <c:v>-4.5963169706421683</c:v>
                </c:pt>
                <c:pt idx="60">
                  <c:v>-4.761789449663409</c:v>
                </c:pt>
                <c:pt idx="61">
                  <c:v>-4.9286205495893851</c:v>
                </c:pt>
                <c:pt idx="62">
                  <c:v>-5.0966090900819143</c:v>
                </c:pt>
                <c:pt idx="63">
                  <c:v>-5.2655378724440585</c:v>
                </c:pt>
                <c:pt idx="64">
                  <c:v>-5.4351727888512453</c:v>
                </c:pt>
                <c:pt idx="65">
                  <c:v>-5.6052619008778297</c:v>
                </c:pt>
                <c:pt idx="66">
                  <c:v>-5.7755344868648928</c:v>
                </c:pt>
                <c:pt idx="67">
                  <c:v>-5.945700057677894</c:v>
                </c:pt>
                <c:pt idx="68">
                  <c:v>-6.1154473404058347</c:v>
                </c:pt>
                <c:pt idx="69">
                  <c:v>-6.284443229556854</c:v>
                </c:pt>
                <c:pt idx="70">
                  <c:v>-6.4523317053085192</c:v>
                </c:pt>
                <c:pt idx="71">
                  <c:v>-6.6187327183747708</c:v>
                </c:pt>
                <c:pt idx="72">
                  <c:v>-6.7832410410552519</c:v>
                </c:pt>
                <c:pt idx="73">
                  <c:v>-6.9454250840368923</c:v>
                </c:pt>
                <c:pt idx="74">
                  <c:v>-7.1048256785219079</c:v>
                </c:pt>
                <c:pt idx="75">
                  <c:v>-7.2609548232610326</c:v>
                </c:pt>
                <c:pt idx="76">
                  <c:v>-7.4132943960756181</c:v>
                </c:pt>
                <c:pt idx="77">
                  <c:v>-7.5612948294575926</c:v>
                </c:pt>
                <c:pt idx="78">
                  <c:v>-7.7043737498416798</c:v>
                </c:pt>
                <c:pt idx="79">
                  <c:v>-7.8419145801503038</c:v>
                </c:pt>
                <c:pt idx="80">
                  <c:v>-7.9732651052179042</c:v>
                </c:pt>
                <c:pt idx="81">
                  <c:v>-8.0977359997081138</c:v>
                </c:pt>
                <c:pt idx="82">
                  <c:v>-8.2145993181444865</c:v>
                </c:pt>
                <c:pt idx="83">
                  <c:v>-8.3230869466831354</c:v>
                </c:pt>
                <c:pt idx="84">
                  <c:v>-8.4223890162639297</c:v>
                </c:pt>
                <c:pt idx="85">
                  <c:v>-8.5116522767856679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16-4149-A43C-177B635E82E2}"/>
            </c:ext>
          </c:extLst>
        </c:ser>
        <c:ser>
          <c:idx val="5"/>
          <c:order val="4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graphsens!$F$8:$F$93</c:f>
              <c:numCache>
                <c:formatCode>General</c:formatCode>
                <c:ptCount val="86"/>
                <c:pt idx="0">
                  <c:v>4.1495365915033222</c:v>
                </c:pt>
                <c:pt idx="1">
                  <c:v>3.8950232683919084</c:v>
                </c:pt>
                <c:pt idx="2">
                  <c:v>3.6373729507798402</c:v>
                </c:pt>
                <c:pt idx="3">
                  <c:v>3.3765789551956416</c:v>
                </c:pt>
                <c:pt idx="4">
                  <c:v>3.1126351643331254</c:v>
                </c:pt>
                <c:pt idx="5">
                  <c:v>2.8455359615907816</c:v>
                </c:pt>
                <c:pt idx="6">
                  <c:v>2.5752761674527735</c:v>
                </c:pt>
                <c:pt idx="7">
                  <c:v>2.3018509782089698</c:v>
                </c:pt>
                <c:pt idx="8">
                  <c:v>2.0252559075117254</c:v>
                </c:pt>
                <c:pt idx="9">
                  <c:v>1.7454867312673656</c:v>
                </c:pt>
                <c:pt idx="10">
                  <c:v>1.4625394363605455</c:v>
                </c:pt>
                <c:pt idx="11">
                  <c:v>1.1764101737098656</c:v>
                </c:pt>
                <c:pt idx="12">
                  <c:v>0.88709521615328435</c:v>
                </c:pt>
                <c:pt idx="13">
                  <c:v>0.59459092166202099</c:v>
                </c:pt>
                <c:pt idx="14">
                  <c:v>0.29889370238175034</c:v>
                </c:pt>
                <c:pt idx="15">
                  <c:v>0</c:v>
                </c:pt>
                <c:pt idx="16">
                  <c:v>-0.30209373206129198</c:v>
                </c:pt>
                <c:pt idx="17">
                  <c:v>-0.6073910391290136</c:v>
                </c:pt>
                <c:pt idx="18">
                  <c:v>-0.91589546793891252</c:v>
                </c:pt>
                <c:pt idx="19">
                  <c:v>-1.2276105609733663</c:v>
                </c:pt>
                <c:pt idx="20">
                  <c:v>-1.5425398419779019</c:v>
                </c:pt>
                <c:pt idx="21">
                  <c:v>-1.8606867921575174</c:v>
                </c:pt>
                <c:pt idx="22">
                  <c:v>-2.1820548165539377</c:v>
                </c:pt>
                <c:pt idx="23">
                  <c:v>-2.5066472001050499</c:v>
                </c:pt>
                <c:pt idx="24">
                  <c:v>-2.834467052887887</c:v>
                </c:pt>
                <c:pt idx="25">
                  <c:v>-3.1655172440466899</c:v>
                </c:pt>
                <c:pt idx="26">
                  <c:v>-3.4998003239077624</c:v>
                </c:pt>
                <c:pt idx="27">
                  <c:v>-3.8373184337830351</c:v>
                </c:pt>
                <c:pt idx="28">
                  <c:v>-4.178073202964514</c:v>
                </c:pt>
                <c:pt idx="29">
                  <c:v>-4.5220656324120174</c:v>
                </c:pt>
                <c:pt idx="30">
                  <c:v>-4.8692959646369429</c:v>
                </c:pt>
                <c:pt idx="31">
                  <c:v>-5.2197635392850952</c:v>
                </c:pt>
                <c:pt idx="32">
                  <c:v>-5.5734666339219645</c:v>
                </c:pt>
                <c:pt idx="33">
                  <c:v>-5.9304022895242534</c:v>
                </c:pt>
                <c:pt idx="34">
                  <c:v>-6.2905661201818237</c:v>
                </c:pt>
                <c:pt idx="35">
                  <c:v>-6.6539521065147174</c:v>
                </c:pt>
                <c:pt idx="36">
                  <c:v>-7.0205523723103784</c:v>
                </c:pt>
                <c:pt idx="37">
                  <c:v>-7.3903569438866912</c:v>
                </c:pt>
                <c:pt idx="38">
                  <c:v>-7.7633534916870595</c:v>
                </c:pt>
                <c:pt idx="39">
                  <c:v>-8.1395270536142732</c:v>
                </c:pt>
                <c:pt idx="40">
                  <c:v>-8.5188597396105976</c:v>
                </c:pt>
                <c:pt idx="41">
                  <c:v>-8.9013304169921348</c:v>
                </c:pt>
                <c:pt idx="42">
                  <c:v>-9.2869143760462798</c:v>
                </c:pt>
                <c:pt idx="43">
                  <c:v>-9.6755829754017704</c:v>
                </c:pt>
                <c:pt idx="44">
                  <c:v>-10.067303266681714</c:v>
                </c:pt>
                <c:pt idx="45">
                  <c:v>-10.462037597950747</c:v>
                </c:pt>
                <c:pt idx="46">
                  <c:v>-10.859743195468438</c:v>
                </c:pt>
                <c:pt idx="47">
                  <c:v>-11.260371723261947</c:v>
                </c:pt>
                <c:pt idx="48">
                  <c:v>-11.66386882003202</c:v>
                </c:pt>
                <c:pt idx="49">
                  <c:v>-12.070173612907375</c:v>
                </c:pt>
                <c:pt idx="50">
                  <c:v>-12.479218207563747</c:v>
                </c:pt>
                <c:pt idx="51">
                  <c:v>-12.890927154224974</c:v>
                </c:pt>
                <c:pt idx="52">
                  <c:v>-13.305216889064816</c:v>
                </c:pt>
                <c:pt idx="53">
                  <c:v>-13.721995150529469</c:v>
                </c:pt>
                <c:pt idx="54">
                  <c:v>-14.141160370102174</c:v>
                </c:pt>
                <c:pt idx="55">
                  <c:v>-14.562601037032774</c:v>
                </c:pt>
                <c:pt idx="56">
                  <c:v>-14.986195036556646</c:v>
                </c:pt>
                <c:pt idx="57">
                  <c:v>-15.411808961129061</c:v>
                </c:pt>
                <c:pt idx="58">
                  <c:v>-15.839297394202772</c:v>
                </c:pt>
                <c:pt idx="59">
                  <c:v>-16.268502166078456</c:v>
                </c:pt>
                <c:pt idx="60">
                  <c:v>-16.699251581359611</c:v>
                </c:pt>
                <c:pt idx="61">
                  <c:v>-17.131359617545499</c:v>
                </c:pt>
                <c:pt idx="62">
                  <c:v>-17.564625094297945</c:v>
                </c:pt>
                <c:pt idx="63">
                  <c:v>-17.998830812920005</c:v>
                </c:pt>
                <c:pt idx="64">
                  <c:v>-18.433742665587104</c:v>
                </c:pt>
                <c:pt idx="65">
                  <c:v>-18.869108713873604</c:v>
                </c:pt>
                <c:pt idx="66">
                  <c:v>-19.304658236120581</c:v>
                </c:pt>
                <c:pt idx="67">
                  <c:v>-19.740100743193498</c:v>
                </c:pt>
                <c:pt idx="68">
                  <c:v>-20.17512496218135</c:v>
                </c:pt>
                <c:pt idx="69">
                  <c:v>-20.609397787592286</c:v>
                </c:pt>
                <c:pt idx="70">
                  <c:v>-21.042563199603865</c:v>
                </c:pt>
                <c:pt idx="71">
                  <c:v>-21.474241148930034</c:v>
                </c:pt>
                <c:pt idx="72">
                  <c:v>-21.904026407870429</c:v>
                </c:pt>
                <c:pt idx="73">
                  <c:v>-22.331487387111984</c:v>
                </c:pt>
                <c:pt idx="74">
                  <c:v>-22.756164917856914</c:v>
                </c:pt>
                <c:pt idx="75">
                  <c:v>-23.177570998855956</c:v>
                </c:pt>
                <c:pt idx="76">
                  <c:v>-23.595187507930451</c:v>
                </c:pt>
                <c:pt idx="77">
                  <c:v>-24.008464877572344</c:v>
                </c:pt>
                <c:pt idx="78">
                  <c:v>-24.416820734216344</c:v>
                </c:pt>
                <c:pt idx="79">
                  <c:v>-24.819638500784883</c:v>
                </c:pt>
                <c:pt idx="80">
                  <c:v>-25.216265962112399</c:v>
                </c:pt>
                <c:pt idx="81">
                  <c:v>-25.606013792862523</c:v>
                </c:pt>
                <c:pt idx="82">
                  <c:v>-25.988154047558808</c:v>
                </c:pt>
                <c:pt idx="83">
                  <c:v>-26.361918612357371</c:v>
                </c:pt>
                <c:pt idx="84">
                  <c:v>-26.726497618198081</c:v>
                </c:pt>
                <c:pt idx="85">
                  <c:v>-27.081037814979734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16-4149-A43C-177B635E82E2}"/>
            </c:ext>
          </c:extLst>
        </c:ser>
        <c:ser>
          <c:idx val="16"/>
          <c:order val="5"/>
          <c:spPr>
            <a:ln w="3810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graph!$A$8:$A$93</c:f>
              <c:numCache>
                <c:formatCode>General</c:formatCode>
                <c:ptCount val="86"/>
                <c:pt idx="0">
                  <c:v>-1.4999999999999996</c:v>
                </c:pt>
                <c:pt idx="1">
                  <c:v>-1.3999999999999995</c:v>
                </c:pt>
                <c:pt idx="2">
                  <c:v>-1.2999999999999994</c:v>
                </c:pt>
                <c:pt idx="3">
                  <c:v>-1.1999999999999993</c:v>
                </c:pt>
                <c:pt idx="4">
                  <c:v>-1.0999999999999992</c:v>
                </c:pt>
                <c:pt idx="5">
                  <c:v>-0.99999999999999922</c:v>
                </c:pt>
                <c:pt idx="6">
                  <c:v>-0.89999999999999925</c:v>
                </c:pt>
                <c:pt idx="7">
                  <c:v>-0.79999999999999927</c:v>
                </c:pt>
                <c:pt idx="8">
                  <c:v>-0.69999999999999929</c:v>
                </c:pt>
                <c:pt idx="9">
                  <c:v>-0.59999999999999931</c:v>
                </c:pt>
                <c:pt idx="10">
                  <c:v>-0.49999999999999933</c:v>
                </c:pt>
                <c:pt idx="11">
                  <c:v>-0.39999999999999936</c:v>
                </c:pt>
                <c:pt idx="12">
                  <c:v>-0.29999999999999938</c:v>
                </c:pt>
                <c:pt idx="13">
                  <c:v>-0.19999999999999937</c:v>
                </c:pt>
                <c:pt idx="14">
                  <c:v>-9.9999999999999367E-2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graphsens!$E$8:$E$93</c:f>
              <c:numCache>
                <c:formatCode>General</c:formatCode>
                <c:ptCount val="86"/>
                <c:pt idx="0">
                  <c:v>-2.1890593161630334</c:v>
                </c:pt>
                <c:pt idx="1">
                  <c:v>-2.0209995787633561</c:v>
                </c:pt>
                <c:pt idx="2">
                  <c:v>-1.8560768358643334</c:v>
                </c:pt>
                <c:pt idx="3">
                  <c:v>-1.6942977709374414</c:v>
                </c:pt>
                <c:pt idx="4">
                  <c:v>-1.5356685012888669</c:v>
                </c:pt>
                <c:pt idx="5">
                  <c:v>-1.3801946435201198</c:v>
                </c:pt>
                <c:pt idx="6">
                  <c:v>-1.2278813771470376</c:v>
                </c:pt>
                <c:pt idx="7">
                  <c:v>-1.0787335058797514</c:v>
                </c:pt>
                <c:pt idx="8">
                  <c:v>-0.93275551606590512</c:v>
                </c:pt>
                <c:pt idx="9">
                  <c:v>-0.78995163179917438</c:v>
                </c:pt>
                <c:pt idx="10">
                  <c:v>-0.65032586619490407</c:v>
                </c:pt>
                <c:pt idx="11">
                  <c:v>-0.5138820683344939</c:v>
                </c:pt>
                <c:pt idx="12">
                  <c:v>-0.38062396537998455</c:v>
                </c:pt>
                <c:pt idx="13">
                  <c:v>-0.2505551993601573</c:v>
                </c:pt>
                <c:pt idx="14">
                  <c:v>-0.12367935812933745</c:v>
                </c:pt>
                <c:pt idx="15">
                  <c:v>0</c:v>
                </c:pt>
                <c:pt idx="16">
                  <c:v>0.12047932844979856</c:v>
                </c:pt>
                <c:pt idx="17">
                  <c:v>0.23775508189316741</c:v>
                </c:pt>
                <c:pt idx="18">
                  <c:v>0.35182371359435916</c:v>
                </c:pt>
                <c:pt idx="19">
                  <c:v>0.46268168107099594</c:v>
                </c:pt>
                <c:pt idx="20">
                  <c:v>0.57032546057755051</c:v>
                </c:pt>
                <c:pt idx="21">
                  <c:v>0.67475157090902527</c:v>
                </c:pt>
                <c:pt idx="22">
                  <c:v>0.7759566070236954</c:v>
                </c:pt>
                <c:pt idx="23">
                  <c:v>0.87393728398367343</c:v>
                </c:pt>
                <c:pt idx="24">
                  <c:v>0.96869049171192689</c:v>
                </c:pt>
                <c:pt idx="25">
                  <c:v>1.0602133610642142</c:v>
                </c:pt>
                <c:pt idx="26">
                  <c:v>1.1485033417142327</c:v>
                </c:pt>
                <c:pt idx="27">
                  <c:v>1.2335582923500503</c:v>
                </c:pt>
                <c:pt idx="28">
                  <c:v>1.3153765836796629</c:v>
                </c:pt>
                <c:pt idx="29">
                  <c:v>1.3939572147432506</c:v>
                </c:pt>
                <c:pt idx="30">
                  <c:v>1.4692999430294149</c:v>
                </c:pt>
                <c:pt idx="31">
                  <c:v>1.5414054288923542</c:v>
                </c:pt>
                <c:pt idx="32">
                  <c:v>1.6102753947665756</c:v>
                </c:pt>
                <c:pt idx="33">
                  <c:v>1.6759127996753771</c:v>
                </c:pt>
                <c:pt idx="34">
                  <c:v>1.7383220295288981</c:v>
                </c:pt>
                <c:pt idx="35">
                  <c:v>1.7975091037070945</c:v>
                </c:pt>
                <c:pt idx="36">
                  <c:v>1.8534818984225243</c:v>
                </c:pt>
                <c:pt idx="37">
                  <c:v>1.9062503873573025</c:v>
                </c:pt>
                <c:pt idx="38">
                  <c:v>1.9558269000680248</c:v>
                </c:pt>
                <c:pt idx="39">
                  <c:v>2.0022263986519011</c:v>
                </c:pt>
                <c:pt idx="40">
                  <c:v>2.0454667731666687</c:v>
                </c:pt>
                <c:pt idx="41">
                  <c:v>2.0855691562962222</c:v>
                </c:pt>
                <c:pt idx="42">
                  <c:v>2.1225582577531679</c:v>
                </c:pt>
                <c:pt idx="43">
                  <c:v>2.1564627189087688</c:v>
                </c:pt>
                <c:pt idx="44">
                  <c:v>2.1873154881399159</c:v>
                </c:pt>
                <c:pt idx="45">
                  <c:v>2.2151542173819734</c:v>
                </c:pt>
                <c:pt idx="46">
                  <c:v>2.2400216803753747</c:v>
                </c:pt>
                <c:pt idx="47">
                  <c:v>2.2619662130929554</c:v>
                </c:pt>
                <c:pt idx="48">
                  <c:v>2.281042176833973</c:v>
                </c:pt>
                <c:pt idx="49">
                  <c:v>2.2973104444697086</c:v>
                </c:pt>
                <c:pt idx="50">
                  <c:v>2.3108389103244278</c:v>
                </c:pt>
                <c:pt idx="51">
                  <c:v>2.3217030241742918</c:v>
                </c:pt>
                <c:pt idx="52">
                  <c:v>2.3299863498455395</c:v>
                </c:pt>
                <c:pt idx="53">
                  <c:v>2.3357811488919764</c:v>
                </c:pt>
                <c:pt idx="54">
                  <c:v>2.3391889898303626</c:v>
                </c:pt>
                <c:pt idx="55">
                  <c:v>2.3403213834108541</c:v>
                </c:pt>
                <c:pt idx="56">
                  <c:v>2.3393004443980701</c:v>
                </c:pt>
                <c:pt idx="57">
                  <c:v>2.3362595803367432</c:v>
                </c:pt>
                <c:pt idx="58">
                  <c:v>2.3313442077741229</c:v>
                </c:pt>
                <c:pt idx="59">
                  <c:v>2.3247124964095285</c:v>
                </c:pt>
                <c:pt idx="60">
                  <c:v>2.3165361416394621</c:v>
                </c:pt>
                <c:pt idx="61">
                  <c:v>2.3070011659646603</c:v>
                </c:pt>
                <c:pt idx="62">
                  <c:v>2.2963087497233055</c:v>
                </c:pt>
                <c:pt idx="63">
                  <c:v>2.2846760916123356</c:v>
                </c:pt>
                <c:pt idx="64">
                  <c:v>2.2723372994563231</c:v>
                </c:pt>
                <c:pt idx="65">
                  <c:v>2.2595443116809131</c:v>
                </c:pt>
                <c:pt idx="66">
                  <c:v>2.2465678499450243</c:v>
                </c:pt>
                <c:pt idx="67">
                  <c:v>2.2336984033831984</c:v>
                </c:pt>
                <c:pt idx="68">
                  <c:v>2.2212472449064311</c:v>
                </c:pt>
                <c:pt idx="69">
                  <c:v>2.2095474800065871</c:v>
                </c:pt>
                <c:pt idx="70">
                  <c:v>2.1989551285060953</c:v>
                </c:pt>
                <c:pt idx="71">
                  <c:v>2.1898502396910189</c:v>
                </c:pt>
                <c:pt idx="72">
                  <c:v>2.1826380412617112</c:v>
                </c:pt>
                <c:pt idx="73">
                  <c:v>2.1777501225312461</c:v>
                </c:pt>
                <c:pt idx="74">
                  <c:v>2.1756456522974039</c:v>
                </c:pt>
                <c:pt idx="75">
                  <c:v>2.1768126318094545</c:v>
                </c:pt>
                <c:pt idx="76">
                  <c:v>2.1817691832460424</c:v>
                </c:pt>
                <c:pt idx="77">
                  <c:v>2.1910648741152432</c:v>
                </c:pt>
                <c:pt idx="78">
                  <c:v>2.2052820779823294</c:v>
                </c:pt>
                <c:pt idx="79">
                  <c:v>2.2250373719248806</c:v>
                </c:pt>
                <c:pt idx="80">
                  <c:v>2.2509829711084537</c:v>
                </c:pt>
                <c:pt idx="81">
                  <c:v>2.2838082008694194</c:v>
                </c:pt>
                <c:pt idx="82">
                  <c:v>2.3242410066842201</c:v>
                </c:pt>
                <c:pt idx="83">
                  <c:v>2.3730495023967464</c:v>
                </c:pt>
                <c:pt idx="84">
                  <c:v>2.4310435570671256</c:v>
                </c:pt>
                <c:pt idx="85">
                  <c:v>2.4990764207965626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16-4149-A43C-177B635E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847648"/>
        <c:axId val="335847256"/>
      </c:lineChart>
      <c:catAx>
        <c:axId val="3358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Global</a:t>
                </a:r>
                <a:r>
                  <a:rPr lang="en-US" b="0" baseline="0"/>
                  <a:t> warming (in d</a:t>
                </a:r>
                <a:r>
                  <a:rPr lang="en-US" b="0"/>
                  <a:t>egrees centrigrade)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335847256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335847256"/>
        <c:scaling>
          <c:orientation val="minMax"/>
          <c:max val="6"/>
          <c:min val="-1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Welfare-equivalent</a:t>
                </a:r>
                <a:r>
                  <a:rPr lang="en-US" b="0" baseline="0"/>
                  <a:t> income change (in percent)</a:t>
                </a:r>
                <a:endParaRPr lang="en-US" b="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335847648"/>
        <c:crossesAt val="16"/>
        <c:crossBetween val="between"/>
        <c:majorUnit val="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graphtime!$A$3:$A$253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graphtime!$AU$3:$AU$253</c:f>
              <c:numCache>
                <c:formatCode>General</c:formatCode>
                <c:ptCount val="251"/>
                <c:pt idx="0">
                  <c:v>0</c:v>
                </c:pt>
                <c:pt idx="1">
                  <c:v>-8.8888918329624008E-5</c:v>
                </c:pt>
                <c:pt idx="2">
                  <c:v>-1.78587605043915E-4</c:v>
                </c:pt>
                <c:pt idx="3">
                  <c:v>-2.6930627841497616E-4</c:v>
                </c:pt>
                <c:pt idx="4">
                  <c:v>-3.6113767031308784E-4</c:v>
                </c:pt>
                <c:pt idx="5">
                  <c:v>-4.549870370861426E-4</c:v>
                </c:pt>
                <c:pt idx="6">
                  <c:v>-5.508652883673093E-4</c:v>
                </c:pt>
                <c:pt idx="7">
                  <c:v>-6.4910137994652261E-4</c:v>
                </c:pt>
                <c:pt idx="8">
                  <c:v>-7.495947819879294E-4</c:v>
                </c:pt>
                <c:pt idx="9">
                  <c:v>-8.522634208542292E-4</c:v>
                </c:pt>
                <c:pt idx="10">
                  <c:v>-9.5744572412858936E-4</c:v>
                </c:pt>
                <c:pt idx="11">
                  <c:v>-1.0657576261895061E-3</c:v>
                </c:pt>
                <c:pt idx="12">
                  <c:v>-1.1773560658110073E-3</c:v>
                </c:pt>
                <c:pt idx="13">
                  <c:v>-1.2921898973518382E-3</c:v>
                </c:pt>
                <c:pt idx="14">
                  <c:v>-1.4107311223712825E-3</c:v>
                </c:pt>
                <c:pt idx="15">
                  <c:v>-1.5335154760785703E-3</c:v>
                </c:pt>
                <c:pt idx="16">
                  <c:v>-1.6609360558950659E-3</c:v>
                </c:pt>
                <c:pt idx="17">
                  <c:v>-1.7929532047859526E-3</c:v>
                </c:pt>
                <c:pt idx="18">
                  <c:v>-1.9300525021327525E-3</c:v>
                </c:pt>
                <c:pt idx="19">
                  <c:v>-2.0723759811879872E-3</c:v>
                </c:pt>
                <c:pt idx="20">
                  <c:v>-2.2202664323166762E-3</c:v>
                </c:pt>
                <c:pt idx="21">
                  <c:v>-2.373838971414122E-3</c:v>
                </c:pt>
                <c:pt idx="22">
                  <c:v>-2.5336148642312556E-3</c:v>
                </c:pt>
                <c:pt idx="23">
                  <c:v>-2.7008905520443166E-3</c:v>
                </c:pt>
                <c:pt idx="24">
                  <c:v>-2.8762418418650684E-3</c:v>
                </c:pt>
                <c:pt idx="25">
                  <c:v>-3.0580701929174212E-3</c:v>
                </c:pt>
                <c:pt idx="26">
                  <c:v>-3.2473905876057776E-3</c:v>
                </c:pt>
                <c:pt idx="27">
                  <c:v>-3.4439976265789617E-3</c:v>
                </c:pt>
                <c:pt idx="28">
                  <c:v>-3.6477120509902398E-3</c:v>
                </c:pt>
                <c:pt idx="29">
                  <c:v>-3.8582711284876788E-3</c:v>
                </c:pt>
                <c:pt idx="30">
                  <c:v>-4.0766593816412393E-3</c:v>
                </c:pt>
                <c:pt idx="31">
                  <c:v>-4.304991908075889E-3</c:v>
                </c:pt>
                <c:pt idx="32">
                  <c:v>-4.5432608731575293E-3</c:v>
                </c:pt>
                <c:pt idx="33">
                  <c:v>-4.7920996544181492E-3</c:v>
                </c:pt>
                <c:pt idx="34">
                  <c:v>-5.0524076685748822E-3</c:v>
                </c:pt>
                <c:pt idx="35">
                  <c:v>-5.3236943937308955E-3</c:v>
                </c:pt>
                <c:pt idx="36">
                  <c:v>-5.6054332628908965E-3</c:v>
                </c:pt>
                <c:pt idx="37">
                  <c:v>-5.8973574348997549E-3</c:v>
                </c:pt>
                <c:pt idx="38">
                  <c:v>-6.200243031401249E-3</c:v>
                </c:pt>
                <c:pt idx="39">
                  <c:v>-6.5166271077000768E-3</c:v>
                </c:pt>
                <c:pt idx="40">
                  <c:v>-6.8455571570122005E-3</c:v>
                </c:pt>
                <c:pt idx="41">
                  <c:v>-7.1891564718770421E-3</c:v>
                </c:pt>
                <c:pt idx="42">
                  <c:v>-7.5480379907457706E-3</c:v>
                </c:pt>
                <c:pt idx="43">
                  <c:v>-7.9213599770729844E-3</c:v>
                </c:pt>
                <c:pt idx="44">
                  <c:v>-8.3077703456230952E-3</c:v>
                </c:pt>
                <c:pt idx="45">
                  <c:v>-8.7077798233806195E-3</c:v>
                </c:pt>
                <c:pt idx="46">
                  <c:v>-9.1228607786262954E-3</c:v>
                </c:pt>
                <c:pt idx="47">
                  <c:v>-9.5533294024535732E-3</c:v>
                </c:pt>
                <c:pt idx="48">
                  <c:v>-1.0000303324716655E-2</c:v>
                </c:pt>
                <c:pt idx="49">
                  <c:v>-1.0465218608941595E-2</c:v>
                </c:pt>
                <c:pt idx="50">
                  <c:v>-1.0951133951853875E-2</c:v>
                </c:pt>
                <c:pt idx="51">
                  <c:v>-1.1459328180835414E-2</c:v>
                </c:pt>
                <c:pt idx="52">
                  <c:v>-1.199009769109936E-2</c:v>
                </c:pt>
                <c:pt idx="53">
                  <c:v>-1.2543350955543993E-2</c:v>
                </c:pt>
                <c:pt idx="54">
                  <c:v>-1.3122809653359498E-2</c:v>
                </c:pt>
                <c:pt idx="55">
                  <c:v>-1.3727390891474456E-2</c:v>
                </c:pt>
                <c:pt idx="56">
                  <c:v>-1.4359425595818773E-2</c:v>
                </c:pt>
                <c:pt idx="57">
                  <c:v>-1.5021563889114492E-2</c:v>
                </c:pt>
                <c:pt idx="58">
                  <c:v>-1.5719616923091529E-2</c:v>
                </c:pt>
                <c:pt idx="59">
                  <c:v>-1.6447611250700132E-2</c:v>
                </c:pt>
                <c:pt idx="60">
                  <c:v>-1.7207246073586157E-2</c:v>
                </c:pt>
                <c:pt idx="61">
                  <c:v>-1.7999960846349562E-2</c:v>
                </c:pt>
                <c:pt idx="62">
                  <c:v>-1.8825348727276217E-2</c:v>
                </c:pt>
                <c:pt idx="63">
                  <c:v>-1.9685714306013079E-2</c:v>
                </c:pt>
                <c:pt idx="64">
                  <c:v>-2.0585303710991432E-2</c:v>
                </c:pt>
                <c:pt idx="65">
                  <c:v>-2.1512020347633706E-2</c:v>
                </c:pt>
                <c:pt idx="66">
                  <c:v>-2.2463179482448865E-2</c:v>
                </c:pt>
                <c:pt idx="67">
                  <c:v>-2.3443887083174447E-2</c:v>
                </c:pt>
                <c:pt idx="68">
                  <c:v>-2.4457781548327347E-2</c:v>
                </c:pt>
                <c:pt idx="69">
                  <c:v>-2.5500733668536262E-2</c:v>
                </c:pt>
                <c:pt idx="70">
                  <c:v>-2.6557711650532917E-2</c:v>
                </c:pt>
                <c:pt idx="71">
                  <c:v>-2.7641109856602449E-2</c:v>
                </c:pt>
                <c:pt idx="72">
                  <c:v>-2.8736022652429149E-2</c:v>
                </c:pt>
                <c:pt idx="73">
                  <c:v>-2.9846343462943646E-2</c:v>
                </c:pt>
                <c:pt idx="74">
                  <c:v>-3.0983934448822484E-2</c:v>
                </c:pt>
                <c:pt idx="75">
                  <c:v>-3.2146064762613086E-2</c:v>
                </c:pt>
                <c:pt idx="76">
                  <c:v>-3.3332285041119056E-2</c:v>
                </c:pt>
                <c:pt idx="77">
                  <c:v>-3.4541808821554026E-2</c:v>
                </c:pt>
                <c:pt idx="78">
                  <c:v>-3.5781188224104962E-2</c:v>
                </c:pt>
                <c:pt idx="79">
                  <c:v>-3.704862344428185E-2</c:v>
                </c:pt>
                <c:pt idx="80">
                  <c:v>-3.8350419328330554E-2</c:v>
                </c:pt>
                <c:pt idx="81">
                  <c:v>-3.9674760162592769E-2</c:v>
                </c:pt>
                <c:pt idx="82">
                  <c:v>-4.1008822292182376E-2</c:v>
                </c:pt>
                <c:pt idx="83">
                  <c:v>-4.2342886761085712E-2</c:v>
                </c:pt>
                <c:pt idx="84">
                  <c:v>-4.3682135292266985E-2</c:v>
                </c:pt>
                <c:pt idx="85">
                  <c:v>-4.5034541448465866E-2</c:v>
                </c:pt>
                <c:pt idx="86">
                  <c:v>-4.6404613309279315E-2</c:v>
                </c:pt>
                <c:pt idx="87">
                  <c:v>-4.7801514601988157E-2</c:v>
                </c:pt>
                <c:pt idx="88">
                  <c:v>-4.9231200464379669E-2</c:v>
                </c:pt>
                <c:pt idx="89">
                  <c:v>-5.0684259600766793E-2</c:v>
                </c:pt>
                <c:pt idx="90">
                  <c:v>-5.2164293065293972E-2</c:v>
                </c:pt>
                <c:pt idx="91">
                  <c:v>-5.3680434117525253E-2</c:v>
                </c:pt>
                <c:pt idx="92">
                  <c:v>-5.5233645181429258E-2</c:v>
                </c:pt>
                <c:pt idx="93">
                  <c:v>-5.6822157380897215E-2</c:v>
                </c:pt>
                <c:pt idx="94">
                  <c:v>-5.8448667393814567E-2</c:v>
                </c:pt>
                <c:pt idx="95">
                  <c:v>-6.0109812134874735E-2</c:v>
                </c:pt>
                <c:pt idx="96">
                  <c:v>-6.1780466190820699E-2</c:v>
                </c:pt>
                <c:pt idx="97">
                  <c:v>-6.3468702984347092E-2</c:v>
                </c:pt>
                <c:pt idx="98">
                  <c:v>-6.5189427128600791E-2</c:v>
                </c:pt>
                <c:pt idx="99">
                  <c:v>-6.6948197445651336E-2</c:v>
                </c:pt>
                <c:pt idx="100">
                  <c:v>-6.873709947474721E-2</c:v>
                </c:pt>
                <c:pt idx="101">
                  <c:v>-7.0575964125473942E-2</c:v>
                </c:pt>
                <c:pt idx="102">
                  <c:v>-7.2475223595096006E-2</c:v>
                </c:pt>
                <c:pt idx="103">
                  <c:v>-7.4433363043122897E-2</c:v>
                </c:pt>
                <c:pt idx="104">
                  <c:v>-7.6451122471044394E-2</c:v>
                </c:pt>
                <c:pt idx="105">
                  <c:v>-7.8527060620544265E-2</c:v>
                </c:pt>
                <c:pt idx="106">
                  <c:v>-8.0675858149783231E-2</c:v>
                </c:pt>
                <c:pt idx="107">
                  <c:v>-8.2906401613597719E-2</c:v>
                </c:pt>
                <c:pt idx="108">
                  <c:v>-8.5222758988861391E-2</c:v>
                </c:pt>
                <c:pt idx="109">
                  <c:v>-8.7625467613732383E-2</c:v>
                </c:pt>
                <c:pt idx="110">
                  <c:v>-9.0121816331314178E-2</c:v>
                </c:pt>
                <c:pt idx="111">
                  <c:v>-9.2717653811033751E-2</c:v>
                </c:pt>
                <c:pt idx="112">
                  <c:v>-9.5407765110694695E-2</c:v>
                </c:pt>
                <c:pt idx="113">
                  <c:v>-9.8197375661746938E-2</c:v>
                </c:pt>
                <c:pt idx="114">
                  <c:v>-0.10109553406482505</c:v>
                </c:pt>
                <c:pt idx="115">
                  <c:v>-0.10411213292418842</c:v>
                </c:pt>
                <c:pt idx="116">
                  <c:v>-0.10725357873001488</c:v>
                </c:pt>
                <c:pt idx="117">
                  <c:v>-0.11052830800865227</c:v>
                </c:pt>
                <c:pt idx="118">
                  <c:v>-0.11393878264867451</c:v>
                </c:pt>
                <c:pt idx="119">
                  <c:v>-0.11749449494537358</c:v>
                </c:pt>
                <c:pt idx="120">
                  <c:v>-0.12120850689722451</c:v>
                </c:pt>
                <c:pt idx="121">
                  <c:v>-0.12509902310780829</c:v>
                </c:pt>
                <c:pt idx="122">
                  <c:v>-0.12917082576698097</c:v>
                </c:pt>
                <c:pt idx="123">
                  <c:v>-0.13343003702362757</c:v>
                </c:pt>
                <c:pt idx="124">
                  <c:v>-0.13788986088888458</c:v>
                </c:pt>
                <c:pt idx="125">
                  <c:v>-0.14253897383405328</c:v>
                </c:pt>
                <c:pt idx="126">
                  <c:v>-0.14736385065043009</c:v>
                </c:pt>
                <c:pt idx="127">
                  <c:v>-0.15238248827596029</c:v>
                </c:pt>
                <c:pt idx="128">
                  <c:v>-0.15760039139058701</c:v>
                </c:pt>
                <c:pt idx="129">
                  <c:v>-0.16301243914057587</c:v>
                </c:pt>
                <c:pt idx="130">
                  <c:v>-0.1686367632072627</c:v>
                </c:pt>
                <c:pt idx="131">
                  <c:v>-0.17445575433283447</c:v>
                </c:pt>
                <c:pt idx="132">
                  <c:v>-0.18044227432696844</c:v>
                </c:pt>
                <c:pt idx="133">
                  <c:v>-0.18658429570218343</c:v>
                </c:pt>
                <c:pt idx="134">
                  <c:v>-0.1928726550808223</c:v>
                </c:pt>
                <c:pt idx="135">
                  <c:v>-0.19931973831141095</c:v>
                </c:pt>
                <c:pt idx="136">
                  <c:v>-0.2059334979112841</c:v>
                </c:pt>
                <c:pt idx="137">
                  <c:v>-0.21272219241856594</c:v>
                </c:pt>
                <c:pt idx="138">
                  <c:v>-0.21969119738970072</c:v>
                </c:pt>
                <c:pt idx="139">
                  <c:v>-0.22685246441137391</c:v>
                </c:pt>
                <c:pt idx="140">
                  <c:v>-0.23420755856819975</c:v>
                </c:pt>
                <c:pt idx="141">
                  <c:v>-0.24175232343222811</c:v>
                </c:pt>
                <c:pt idx="142">
                  <c:v>-0.24948572429644558</c:v>
                </c:pt>
                <c:pt idx="143">
                  <c:v>-0.25739158182758815</c:v>
                </c:pt>
                <c:pt idx="144">
                  <c:v>-0.26546078453787059</c:v>
                </c:pt>
                <c:pt idx="145">
                  <c:v>-0.2736969924536618</c:v>
                </c:pt>
                <c:pt idx="146">
                  <c:v>-0.2821060516822535</c:v>
                </c:pt>
                <c:pt idx="147">
                  <c:v>-0.29069221703531634</c:v>
                </c:pt>
                <c:pt idx="148">
                  <c:v>-0.29945786826729975</c:v>
                </c:pt>
                <c:pt idx="149">
                  <c:v>-0.3083909857876857</c:v>
                </c:pt>
                <c:pt idx="150">
                  <c:v>-0.31747761472331687</c:v>
                </c:pt>
                <c:pt idx="151">
                  <c:v>-0.32672767779765594</c:v>
                </c:pt>
                <c:pt idx="152">
                  <c:v>-0.33615007273315267</c:v>
                </c:pt>
                <c:pt idx="153">
                  <c:v>-0.3457424504371831</c:v>
                </c:pt>
                <c:pt idx="154">
                  <c:v>-0.35553928284364983</c:v>
                </c:pt>
                <c:pt idx="155">
                  <c:v>-0.36556900386654934</c:v>
                </c:pt>
                <c:pt idx="156">
                  <c:v>-0.37584967740999214</c:v>
                </c:pt>
                <c:pt idx="157">
                  <c:v>-0.38639431363618826</c:v>
                </c:pt>
                <c:pt idx="158">
                  <c:v>-0.3972080610865234</c:v>
                </c:pt>
                <c:pt idx="159">
                  <c:v>-0.40829756371060838</c:v>
                </c:pt>
                <c:pt idx="160">
                  <c:v>-0.41969025174089597</c:v>
                </c:pt>
                <c:pt idx="161">
                  <c:v>-0.43140504807834379</c:v>
                </c:pt>
                <c:pt idx="162">
                  <c:v>-0.44345671533824271</c:v>
                </c:pt>
                <c:pt idx="163">
                  <c:v>-0.45586602406714843</c:v>
                </c:pt>
                <c:pt idx="164">
                  <c:v>-0.46862219642896763</c:v>
                </c:pt>
                <c:pt idx="165">
                  <c:v>-0.48169498954404411</c:v>
                </c:pt>
                <c:pt idx="166">
                  <c:v>-0.4951333640862372</c:v>
                </c:pt>
                <c:pt idx="167">
                  <c:v>-0.50895272174787642</c:v>
                </c:pt>
                <c:pt idx="168">
                  <c:v>-0.52314801873655681</c:v>
                </c:pt>
                <c:pt idx="169">
                  <c:v>-0.53772181137962338</c:v>
                </c:pt>
                <c:pt idx="170">
                  <c:v>-0.55265579874645354</c:v>
                </c:pt>
                <c:pt idx="171">
                  <c:v>-0.56792786507989446</c:v>
                </c:pt>
                <c:pt idx="172">
                  <c:v>-0.58314043564210671</c:v>
                </c:pt>
                <c:pt idx="173">
                  <c:v>-0.59804722463967463</c:v>
                </c:pt>
                <c:pt idx="174">
                  <c:v>-0.61249742636933635</c:v>
                </c:pt>
                <c:pt idx="175">
                  <c:v>-0.62640133664750852</c:v>
                </c:pt>
                <c:pt idx="176">
                  <c:v>-0.63970871244840766</c:v>
                </c:pt>
                <c:pt idx="177">
                  <c:v>-0.65239493925450509</c:v>
                </c:pt>
                <c:pt idx="178">
                  <c:v>-0.66445208878661788</c:v>
                </c:pt>
                <c:pt idx="179">
                  <c:v>-0.67588308760698901</c:v>
                </c:pt>
                <c:pt idx="180">
                  <c:v>-0.68669788725825709</c:v>
                </c:pt>
                <c:pt idx="181">
                  <c:v>-0.69691093349285405</c:v>
                </c:pt>
                <c:pt idx="182">
                  <c:v>-0.70653948468453442</c:v>
                </c:pt>
                <c:pt idx="183">
                  <c:v>-0.71560248876183907</c:v>
                </c:pt>
                <c:pt idx="184">
                  <c:v>-0.72411982959733945</c:v>
                </c:pt>
                <c:pt idx="185">
                  <c:v>-0.73211181916616841</c:v>
                </c:pt>
                <c:pt idx="186">
                  <c:v>-0.73959885414745818</c:v>
                </c:pt>
                <c:pt idx="187">
                  <c:v>-0.74660118323941016</c:v>
                </c:pt>
                <c:pt idx="188">
                  <c:v>-0.7531387495228965</c:v>
                </c:pt>
                <c:pt idx="189">
                  <c:v>-0.75923108408287154</c:v>
                </c:pt>
                <c:pt idx="190">
                  <c:v>-0.76489723493371831</c:v>
                </c:pt>
                <c:pt idx="191">
                  <c:v>-0.77015572048704195</c:v>
                </c:pt>
                <c:pt idx="192">
                  <c:v>-0.77502450025452152</c:v>
                </c:pt>
                <c:pt idx="193">
                  <c:v>-0.77952095778580444</c:v>
                </c:pt>
                <c:pt idx="194">
                  <c:v>-0.78366189238987582</c:v>
                </c:pt>
                <c:pt idx="195">
                  <c:v>-0.78746351723272257</c:v>
                </c:pt>
                <c:pt idx="196">
                  <c:v>-0.79094146211267202</c:v>
                </c:pt>
                <c:pt idx="197">
                  <c:v>-0.79411077969868771</c:v>
                </c:pt>
                <c:pt idx="198">
                  <c:v>-0.79698595435003994</c:v>
                </c:pt>
                <c:pt idx="199">
                  <c:v>-0.79958091286722022</c:v>
                </c:pt>
                <c:pt idx="200">
                  <c:v>-0.801909036686548</c:v>
                </c:pt>
                <c:pt idx="201">
                  <c:v>-0.80398317514657225</c:v>
                </c:pt>
                <c:pt idx="202">
                  <c:v>-0.80581565953786538</c:v>
                </c:pt>
                <c:pt idx="203">
                  <c:v>-0.80741831770904948</c:v>
                </c:pt>
                <c:pt idx="204">
                  <c:v>-0.80880248904765839</c:v>
                </c:pt>
                <c:pt idx="205">
                  <c:v>-0.80997903968924756</c:v>
                </c:pt>
                <c:pt idx="206">
                  <c:v>-0.81095837783518143</c:v>
                </c:pt>
                <c:pt idx="207">
                  <c:v>-0.81175046908087678</c:v>
                </c:pt>
                <c:pt idx="208">
                  <c:v>-0.81236485167345618</c:v>
                </c:pt>
                <c:pt idx="209">
                  <c:v>-0.8128106516318101</c:v>
                </c:pt>
                <c:pt idx="210">
                  <c:v>-0.8130965976737069</c:v>
                </c:pt>
                <c:pt idx="211">
                  <c:v>-0.81323103590435786</c:v>
                </c:pt>
                <c:pt idx="212">
                  <c:v>-0.81322194422910643</c:v>
                </c:pt>
                <c:pt idx="213">
                  <c:v>-0.81307694645998463</c:v>
                </c:pt>
                <c:pt idx="214">
                  <c:v>-0.81280332609190964</c:v>
                </c:pt>
                <c:pt idx="215">
                  <c:v>-0.81240803972952835</c:v>
                </c:pt>
                <c:pt idx="216">
                  <c:v>-0.81189773015020394</c:v>
                </c:pt>
                <c:pt idx="217">
                  <c:v>-0.81127873899253289</c:v>
                </c:pt>
                <c:pt idx="218">
                  <c:v>-0.81055711906313777</c:v>
                </c:pt>
                <c:pt idx="219">
                  <c:v>-0.80973864625738101</c:v>
                </c:pt>
                <c:pt idx="220">
                  <c:v>-0.80882883109213988</c:v>
                </c:pt>
                <c:pt idx="221">
                  <c:v>-0.80783292985092459</c:v>
                </c:pt>
                <c:pt idx="222">
                  <c:v>-0.80675595534346245</c:v>
                </c:pt>
                <c:pt idx="223">
                  <c:v>-0.80560268728341355</c:v>
                </c:pt>
                <c:pt idx="224">
                  <c:v>-0.80437768228921425</c:v>
                </c:pt>
                <c:pt idx="225">
                  <c:v>-0.80308528351414821</c:v>
                </c:pt>
                <c:pt idx="226">
                  <c:v>-0.8017296299126504</c:v>
                </c:pt>
                <c:pt idx="227">
                  <c:v>-0.80031466515061989</c:v>
                </c:pt>
                <c:pt idx="228">
                  <c:v>-0.79884414616810673</c:v>
                </c:pt>
                <c:pt idx="229">
                  <c:v>-0.7973216514032343</c:v>
                </c:pt>
                <c:pt idx="230">
                  <c:v>-0.79575058868657289</c:v>
                </c:pt>
                <c:pt idx="231">
                  <c:v>-0.79413420281546554</c:v>
                </c:pt>
                <c:pt idx="232">
                  <c:v>-0.79247558281798025</c:v>
                </c:pt>
                <c:pt idx="233">
                  <c:v>-0.79077766891628887</c:v>
                </c:pt>
                <c:pt idx="234">
                  <c:v>-0.78904325919930907</c:v>
                </c:pt>
                <c:pt idx="235">
                  <c:v>-0.78727501601445271</c:v>
                </c:pt>
                <c:pt idx="236">
                  <c:v>-0.78547547208825952</c:v>
                </c:pt>
                <c:pt idx="237">
                  <c:v>-0.78364703638561073</c:v>
                </c:pt>
                <c:pt idx="238">
                  <c:v>-0.78179199971708835</c:v>
                </c:pt>
                <c:pt idx="239">
                  <c:v>-0.77991254010388322</c:v>
                </c:pt>
                <c:pt idx="240">
                  <c:v>-0.77801072790949022</c:v>
                </c:pt>
                <c:pt idx="241">
                  <c:v>-0.77608853074721806</c:v>
                </c:pt>
                <c:pt idx="242">
                  <c:v>-0.77414781817232881</c:v>
                </c:pt>
                <c:pt idx="243">
                  <c:v>-0.77219036616740688</c:v>
                </c:pt>
                <c:pt idx="244">
                  <c:v>-0.77021786142930426</c:v>
                </c:pt>
                <c:pt idx="245">
                  <c:v>-0.76823190546577969</c:v>
                </c:pt>
                <c:pt idx="246">
                  <c:v>-0.7662340185096963</c:v>
                </c:pt>
                <c:pt idx="247">
                  <c:v>-0.76422564325839004</c:v>
                </c:pt>
                <c:pt idx="248">
                  <c:v>-0.76220814844557494</c:v>
                </c:pt>
                <c:pt idx="249">
                  <c:v>-0.7601828322528934</c:v>
                </c:pt>
                <c:pt idx="250">
                  <c:v>-0.75815092556797414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A7-44CC-BF79-18D71EBD1434}"/>
            </c:ext>
          </c:extLst>
        </c:ser>
        <c:ser>
          <c:idx val="0"/>
          <c:order val="1"/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graphtime!$A$3:$A$253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graphtime!$AJ$3:$AJ$253</c:f>
              <c:numCache>
                <c:formatCode>General</c:formatCode>
                <c:ptCount val="251"/>
                <c:pt idx="0">
                  <c:v>0</c:v>
                </c:pt>
                <c:pt idx="1">
                  <c:v>-8.8888918329624008E-5</c:v>
                </c:pt>
                <c:pt idx="2">
                  <c:v>-1.78587605043915E-4</c:v>
                </c:pt>
                <c:pt idx="3">
                  <c:v>-2.6930627841497616E-4</c:v>
                </c:pt>
                <c:pt idx="4">
                  <c:v>-3.6113767031308784E-4</c:v>
                </c:pt>
                <c:pt idx="5">
                  <c:v>-4.549870370861426E-4</c:v>
                </c:pt>
                <c:pt idx="6">
                  <c:v>-5.508652883673093E-4</c:v>
                </c:pt>
                <c:pt idx="7">
                  <c:v>-6.4910137994652261E-4</c:v>
                </c:pt>
                <c:pt idx="8">
                  <c:v>-7.495947819879294E-4</c:v>
                </c:pt>
                <c:pt idx="9">
                  <c:v>-8.522634208542292E-4</c:v>
                </c:pt>
                <c:pt idx="10">
                  <c:v>-9.5744572412858936E-4</c:v>
                </c:pt>
                <c:pt idx="11">
                  <c:v>-1.0657576261895061E-3</c:v>
                </c:pt>
                <c:pt idx="12">
                  <c:v>-1.1773560658110073E-3</c:v>
                </c:pt>
                <c:pt idx="13">
                  <c:v>-1.2921898973518382E-3</c:v>
                </c:pt>
                <c:pt idx="14">
                  <c:v>-1.4107311223712825E-3</c:v>
                </c:pt>
                <c:pt idx="15">
                  <c:v>-1.5335154760785703E-3</c:v>
                </c:pt>
                <c:pt idx="16">
                  <c:v>-1.6609360558950659E-3</c:v>
                </c:pt>
                <c:pt idx="17">
                  <c:v>-1.7929532047859526E-3</c:v>
                </c:pt>
                <c:pt idx="18">
                  <c:v>-1.9300525021327525E-3</c:v>
                </c:pt>
                <c:pt idx="19">
                  <c:v>-2.0723759811879872E-3</c:v>
                </c:pt>
                <c:pt idx="20">
                  <c:v>-2.2202664323166762E-3</c:v>
                </c:pt>
                <c:pt idx="21">
                  <c:v>-2.373838971414122E-3</c:v>
                </c:pt>
                <c:pt idx="22">
                  <c:v>-2.5336148642312556E-3</c:v>
                </c:pt>
                <c:pt idx="23">
                  <c:v>-2.7008905520443166E-3</c:v>
                </c:pt>
                <c:pt idx="24">
                  <c:v>-2.8762418418650684E-3</c:v>
                </c:pt>
                <c:pt idx="25">
                  <c:v>-3.0580701929174212E-3</c:v>
                </c:pt>
                <c:pt idx="26">
                  <c:v>-3.2473905876057776E-3</c:v>
                </c:pt>
                <c:pt idx="27">
                  <c:v>-3.4439976265789617E-3</c:v>
                </c:pt>
                <c:pt idx="28">
                  <c:v>-3.6477120509902398E-3</c:v>
                </c:pt>
                <c:pt idx="29">
                  <c:v>-3.8582711284876788E-3</c:v>
                </c:pt>
                <c:pt idx="30">
                  <c:v>-4.0766593816412393E-3</c:v>
                </c:pt>
                <c:pt idx="31">
                  <c:v>-4.304991908075889E-3</c:v>
                </c:pt>
                <c:pt idx="32">
                  <c:v>-4.5432608731575293E-3</c:v>
                </c:pt>
                <c:pt idx="33">
                  <c:v>-4.7920996544181492E-3</c:v>
                </c:pt>
                <c:pt idx="34">
                  <c:v>-5.0524076685748822E-3</c:v>
                </c:pt>
                <c:pt idx="35">
                  <c:v>-5.3236943937308955E-3</c:v>
                </c:pt>
                <c:pt idx="36">
                  <c:v>-5.6054332628908965E-3</c:v>
                </c:pt>
                <c:pt idx="37">
                  <c:v>-5.8973574348997549E-3</c:v>
                </c:pt>
                <c:pt idx="38">
                  <c:v>-6.200243031401249E-3</c:v>
                </c:pt>
                <c:pt idx="39">
                  <c:v>-6.5166271077000768E-3</c:v>
                </c:pt>
                <c:pt idx="40">
                  <c:v>-6.8455571570122005E-3</c:v>
                </c:pt>
                <c:pt idx="41">
                  <c:v>-7.1891564718770421E-3</c:v>
                </c:pt>
                <c:pt idx="42">
                  <c:v>-7.5480379907457706E-3</c:v>
                </c:pt>
                <c:pt idx="43">
                  <c:v>-7.9213599770729844E-3</c:v>
                </c:pt>
                <c:pt idx="44">
                  <c:v>-8.3077703456230952E-3</c:v>
                </c:pt>
                <c:pt idx="45">
                  <c:v>-8.7077798233806195E-3</c:v>
                </c:pt>
                <c:pt idx="46">
                  <c:v>-9.1228607786262954E-3</c:v>
                </c:pt>
                <c:pt idx="47">
                  <c:v>-9.5533294024535732E-3</c:v>
                </c:pt>
                <c:pt idx="48">
                  <c:v>-1.0000303324716655E-2</c:v>
                </c:pt>
                <c:pt idx="49">
                  <c:v>-1.0465218608941595E-2</c:v>
                </c:pt>
                <c:pt idx="50">
                  <c:v>-1.0951133951853875E-2</c:v>
                </c:pt>
                <c:pt idx="51">
                  <c:v>-1.1459328180835414E-2</c:v>
                </c:pt>
                <c:pt idx="52">
                  <c:v>-1.199009769109936E-2</c:v>
                </c:pt>
                <c:pt idx="53">
                  <c:v>-1.2543350955543993E-2</c:v>
                </c:pt>
                <c:pt idx="54">
                  <c:v>-1.3122809653359498E-2</c:v>
                </c:pt>
                <c:pt idx="55">
                  <c:v>-1.3727390891474456E-2</c:v>
                </c:pt>
                <c:pt idx="56">
                  <c:v>-1.4359425595818773E-2</c:v>
                </c:pt>
                <c:pt idx="57">
                  <c:v>-1.5021563889114492E-2</c:v>
                </c:pt>
                <c:pt idx="58">
                  <c:v>-1.5719616923091529E-2</c:v>
                </c:pt>
                <c:pt idx="59">
                  <c:v>-1.6447611250700132E-2</c:v>
                </c:pt>
                <c:pt idx="60">
                  <c:v>-1.7207246073586157E-2</c:v>
                </c:pt>
                <c:pt idx="61">
                  <c:v>-1.7999960846349562E-2</c:v>
                </c:pt>
                <c:pt idx="62">
                  <c:v>-1.8825348727276217E-2</c:v>
                </c:pt>
                <c:pt idx="63">
                  <c:v>-1.9685714306013079E-2</c:v>
                </c:pt>
                <c:pt idx="64">
                  <c:v>-2.0585303710991432E-2</c:v>
                </c:pt>
                <c:pt idx="65">
                  <c:v>-2.1512020347633706E-2</c:v>
                </c:pt>
                <c:pt idx="66">
                  <c:v>-2.2463179482448865E-2</c:v>
                </c:pt>
                <c:pt idx="67">
                  <c:v>-2.3443887083174447E-2</c:v>
                </c:pt>
                <c:pt idx="68">
                  <c:v>-2.4457781548327347E-2</c:v>
                </c:pt>
                <c:pt idx="69">
                  <c:v>-2.5500733668536262E-2</c:v>
                </c:pt>
                <c:pt idx="70">
                  <c:v>-2.6557711650532917E-2</c:v>
                </c:pt>
                <c:pt idx="71">
                  <c:v>-2.7641109856602449E-2</c:v>
                </c:pt>
                <c:pt idx="72">
                  <c:v>-2.8736022652429149E-2</c:v>
                </c:pt>
                <c:pt idx="73">
                  <c:v>-2.9846343462943646E-2</c:v>
                </c:pt>
                <c:pt idx="74">
                  <c:v>-3.0983934448822484E-2</c:v>
                </c:pt>
                <c:pt idx="75">
                  <c:v>-3.2146064762613086E-2</c:v>
                </c:pt>
                <c:pt idx="76">
                  <c:v>-3.3332285041119056E-2</c:v>
                </c:pt>
                <c:pt idx="77">
                  <c:v>-3.4541808821554026E-2</c:v>
                </c:pt>
                <c:pt idx="78">
                  <c:v>-3.5781188224104962E-2</c:v>
                </c:pt>
                <c:pt idx="79">
                  <c:v>-3.704862344428185E-2</c:v>
                </c:pt>
                <c:pt idx="80">
                  <c:v>-3.8350419328330554E-2</c:v>
                </c:pt>
                <c:pt idx="81">
                  <c:v>-3.9674760162592769E-2</c:v>
                </c:pt>
                <c:pt idx="82">
                  <c:v>-4.1008822292182376E-2</c:v>
                </c:pt>
                <c:pt idx="83">
                  <c:v>-4.2342886761085712E-2</c:v>
                </c:pt>
                <c:pt idx="84">
                  <c:v>-4.3682135292266985E-2</c:v>
                </c:pt>
                <c:pt idx="85">
                  <c:v>-4.5034541448465866E-2</c:v>
                </c:pt>
                <c:pt idx="86">
                  <c:v>-4.6404613309279315E-2</c:v>
                </c:pt>
                <c:pt idx="87">
                  <c:v>-4.7801514601988157E-2</c:v>
                </c:pt>
                <c:pt idx="88">
                  <c:v>-4.9231200464379669E-2</c:v>
                </c:pt>
                <c:pt idx="89">
                  <c:v>-5.0684259600766793E-2</c:v>
                </c:pt>
                <c:pt idx="90">
                  <c:v>-5.2164293065293972E-2</c:v>
                </c:pt>
                <c:pt idx="91">
                  <c:v>-5.3680434117525253E-2</c:v>
                </c:pt>
                <c:pt idx="92">
                  <c:v>-5.5233645181429258E-2</c:v>
                </c:pt>
                <c:pt idx="93">
                  <c:v>-5.6822157380897215E-2</c:v>
                </c:pt>
                <c:pt idx="94">
                  <c:v>-5.8448667393814567E-2</c:v>
                </c:pt>
                <c:pt idx="95">
                  <c:v>-6.0109812134874735E-2</c:v>
                </c:pt>
                <c:pt idx="96">
                  <c:v>-6.1780466190820699E-2</c:v>
                </c:pt>
                <c:pt idx="97">
                  <c:v>-6.3468702984347092E-2</c:v>
                </c:pt>
                <c:pt idx="98">
                  <c:v>-6.5189427128600791E-2</c:v>
                </c:pt>
                <c:pt idx="99">
                  <c:v>-6.6948197445651336E-2</c:v>
                </c:pt>
                <c:pt idx="100">
                  <c:v>-6.873709947474721E-2</c:v>
                </c:pt>
                <c:pt idx="101">
                  <c:v>-7.0575964125473942E-2</c:v>
                </c:pt>
                <c:pt idx="102">
                  <c:v>-7.2475223595096006E-2</c:v>
                </c:pt>
                <c:pt idx="103">
                  <c:v>-7.4433363043122897E-2</c:v>
                </c:pt>
                <c:pt idx="104">
                  <c:v>-7.6451122471044394E-2</c:v>
                </c:pt>
                <c:pt idx="105">
                  <c:v>-7.8527060620544265E-2</c:v>
                </c:pt>
                <c:pt idx="106">
                  <c:v>-8.0675858149783231E-2</c:v>
                </c:pt>
                <c:pt idx="107">
                  <c:v>-8.2906401613597719E-2</c:v>
                </c:pt>
                <c:pt idx="108">
                  <c:v>-8.5222758988861391E-2</c:v>
                </c:pt>
                <c:pt idx="109">
                  <c:v>-8.7625467613732383E-2</c:v>
                </c:pt>
                <c:pt idx="110">
                  <c:v>-9.0121816331314178E-2</c:v>
                </c:pt>
                <c:pt idx="111">
                  <c:v>-9.2717653811033751E-2</c:v>
                </c:pt>
                <c:pt idx="112">
                  <c:v>-9.5407765110694695E-2</c:v>
                </c:pt>
                <c:pt idx="113">
                  <c:v>-9.8197375661746938E-2</c:v>
                </c:pt>
                <c:pt idx="114">
                  <c:v>-0.10109553406482505</c:v>
                </c:pt>
                <c:pt idx="115">
                  <c:v>-0.10411213292418842</c:v>
                </c:pt>
                <c:pt idx="116">
                  <c:v>-0.10725357873001488</c:v>
                </c:pt>
                <c:pt idx="117">
                  <c:v>-0.11052830800865227</c:v>
                </c:pt>
                <c:pt idx="118">
                  <c:v>-0.11393878264867451</c:v>
                </c:pt>
                <c:pt idx="119">
                  <c:v>-0.11749449494537358</c:v>
                </c:pt>
                <c:pt idx="120">
                  <c:v>-0.12120850689722451</c:v>
                </c:pt>
                <c:pt idx="121">
                  <c:v>-0.12509902310780829</c:v>
                </c:pt>
                <c:pt idx="122">
                  <c:v>-0.12917082576698097</c:v>
                </c:pt>
                <c:pt idx="123">
                  <c:v>-0.13343003702362757</c:v>
                </c:pt>
                <c:pt idx="124">
                  <c:v>-0.13788986088888458</c:v>
                </c:pt>
                <c:pt idx="125">
                  <c:v>-0.14253897383405328</c:v>
                </c:pt>
                <c:pt idx="126">
                  <c:v>-0.14736385065043009</c:v>
                </c:pt>
                <c:pt idx="127">
                  <c:v>-0.15238248827596029</c:v>
                </c:pt>
                <c:pt idx="128">
                  <c:v>-0.15760039139058701</c:v>
                </c:pt>
                <c:pt idx="129">
                  <c:v>-0.16301243914057587</c:v>
                </c:pt>
                <c:pt idx="130">
                  <c:v>-0.1686367632072627</c:v>
                </c:pt>
                <c:pt idx="131">
                  <c:v>-0.17445575433283447</c:v>
                </c:pt>
                <c:pt idx="132">
                  <c:v>-0.18044227432696844</c:v>
                </c:pt>
                <c:pt idx="133">
                  <c:v>-0.18658429570218343</c:v>
                </c:pt>
                <c:pt idx="134">
                  <c:v>-0.1928726550808223</c:v>
                </c:pt>
                <c:pt idx="135">
                  <c:v>-0.19931973831141095</c:v>
                </c:pt>
                <c:pt idx="136">
                  <c:v>-0.2059334979112841</c:v>
                </c:pt>
                <c:pt idx="137">
                  <c:v>-0.21272219241856594</c:v>
                </c:pt>
                <c:pt idx="138">
                  <c:v>-0.21969119738970072</c:v>
                </c:pt>
                <c:pt idx="139">
                  <c:v>-0.22685246441137391</c:v>
                </c:pt>
                <c:pt idx="140">
                  <c:v>-0.23420755856819975</c:v>
                </c:pt>
                <c:pt idx="141">
                  <c:v>-0.24175232343222811</c:v>
                </c:pt>
                <c:pt idx="142">
                  <c:v>-0.24948572429644558</c:v>
                </c:pt>
                <c:pt idx="143">
                  <c:v>-0.25739158182758815</c:v>
                </c:pt>
                <c:pt idx="144">
                  <c:v>-0.26546078453787059</c:v>
                </c:pt>
                <c:pt idx="145">
                  <c:v>-0.2736969924536618</c:v>
                </c:pt>
                <c:pt idx="146">
                  <c:v>-0.2821060516822535</c:v>
                </c:pt>
                <c:pt idx="147">
                  <c:v>-0.29069221703531634</c:v>
                </c:pt>
                <c:pt idx="148">
                  <c:v>-0.29945786826729975</c:v>
                </c:pt>
                <c:pt idx="149">
                  <c:v>-0.3083909857876857</c:v>
                </c:pt>
                <c:pt idx="150">
                  <c:v>-0.31747761472331687</c:v>
                </c:pt>
                <c:pt idx="151">
                  <c:v>-0.32672767779765594</c:v>
                </c:pt>
                <c:pt idx="152">
                  <c:v>-0.33615007273315267</c:v>
                </c:pt>
                <c:pt idx="153">
                  <c:v>-0.3457424504371831</c:v>
                </c:pt>
                <c:pt idx="154">
                  <c:v>-0.35553928284364983</c:v>
                </c:pt>
                <c:pt idx="155">
                  <c:v>-0.36556900386654934</c:v>
                </c:pt>
                <c:pt idx="156">
                  <c:v>-0.37584967740999214</c:v>
                </c:pt>
                <c:pt idx="157">
                  <c:v>-0.38639431363618826</c:v>
                </c:pt>
                <c:pt idx="158">
                  <c:v>-0.3972080610865234</c:v>
                </c:pt>
                <c:pt idx="159">
                  <c:v>-0.40829756371060838</c:v>
                </c:pt>
                <c:pt idx="160">
                  <c:v>-0.41969025174089597</c:v>
                </c:pt>
                <c:pt idx="161">
                  <c:v>-0.43140504807834379</c:v>
                </c:pt>
                <c:pt idx="162">
                  <c:v>-0.44345671533824271</c:v>
                </c:pt>
                <c:pt idx="163">
                  <c:v>-0.45586602406714843</c:v>
                </c:pt>
                <c:pt idx="164">
                  <c:v>-0.46862219642896763</c:v>
                </c:pt>
                <c:pt idx="165">
                  <c:v>-0.48169498954404411</c:v>
                </c:pt>
                <c:pt idx="166">
                  <c:v>-0.4951333640862372</c:v>
                </c:pt>
                <c:pt idx="167">
                  <c:v>-0.50895272174787642</c:v>
                </c:pt>
                <c:pt idx="168">
                  <c:v>-0.52314801873655681</c:v>
                </c:pt>
                <c:pt idx="169">
                  <c:v>-0.53772181137962338</c:v>
                </c:pt>
                <c:pt idx="170">
                  <c:v>-0.55265579874645354</c:v>
                </c:pt>
                <c:pt idx="171">
                  <c:v>-0.56792786507989446</c:v>
                </c:pt>
                <c:pt idx="172">
                  <c:v>-0.58346271479720047</c:v>
                </c:pt>
                <c:pt idx="173">
                  <c:v>-0.59919377301354348</c:v>
                </c:pt>
                <c:pt idx="174">
                  <c:v>-0.61506142572063971</c:v>
                </c:pt>
                <c:pt idx="175">
                  <c:v>-0.63101183344817047</c:v>
                </c:pt>
                <c:pt idx="176">
                  <c:v>-0.64699610425784626</c:v>
                </c:pt>
                <c:pt idx="177">
                  <c:v>-0.66296969524490146</c:v>
                </c:pt>
                <c:pt idx="178">
                  <c:v>-0.67889196188343082</c:v>
                </c:pt>
                <c:pt idx="179">
                  <c:v>-0.69472580496786229</c:v>
                </c:pt>
                <c:pt idx="180">
                  <c:v>-0.710437383483004</c:v>
                </c:pt>
                <c:pt idx="181">
                  <c:v>-0.72599587317729142</c:v>
                </c:pt>
                <c:pt idx="182">
                  <c:v>-0.741373257725083</c:v>
                </c:pt>
                <c:pt idx="183">
                  <c:v>-0.75654414383035462</c:v>
                </c:pt>
                <c:pt idx="184">
                  <c:v>-0.77148559446407006</c:v>
                </c:pt>
                <c:pt idx="185">
                  <c:v>-0.78617697625878047</c:v>
                </c:pt>
                <c:pt idx="186">
                  <c:v>-0.80059981828369597</c:v>
                </c:pt>
                <c:pt idx="187">
                  <c:v>-0.81473768022317961</c:v>
                </c:pt>
                <c:pt idx="188">
                  <c:v>-0.82857602852454926</c:v>
                </c:pt>
                <c:pt idx="189">
                  <c:v>-0.84210211945661306</c:v>
                </c:pt>
                <c:pt idx="190">
                  <c:v>-0.85530488828485851</c:v>
                </c:pt>
                <c:pt idx="191">
                  <c:v>-0.86817484395859024</c:v>
                </c:pt>
                <c:pt idx="192">
                  <c:v>-0.88070396884287927</c:v>
                </c:pt>
                <c:pt idx="193">
                  <c:v>-0.89288562312927544</c:v>
                </c:pt>
                <c:pt idx="194">
                  <c:v>-0.90471445363412673</c:v>
                </c:pt>
                <c:pt idx="195">
                  <c:v>-0.91618630674913004</c:v>
                </c:pt>
                <c:pt idx="196">
                  <c:v>-0.92729814535032218</c:v>
                </c:pt>
                <c:pt idx="197">
                  <c:v>-0.93804796950266534</c:v>
                </c:pt>
                <c:pt idx="198">
                  <c:v>-0.94843474082027157</c:v>
                </c:pt>
                <c:pt idx="199">
                  <c:v>-0.95845831035906026</c:v>
                </c:pt>
                <c:pt idx="200">
                  <c:v>-0.96811934993072712</c:v>
                </c:pt>
                <c:pt idx="201">
                  <c:v>-0.97741928673543532</c:v>
                </c:pt>
                <c:pt idx="202">
                  <c:v>-0.98636024121646937</c:v>
                </c:pt>
                <c:pt idx="203">
                  <c:v>-0.99494496804394128</c:v>
                </c:pt>
                <c:pt idx="204">
                  <c:v>-1.0031768001369787</c:v>
                </c:pt>
                <c:pt idx="205">
                  <c:v>-1.0110595956351367</c:v>
                </c:pt>
                <c:pt idx="206">
                  <c:v>-1.0185976877303227</c:v>
                </c:pt>
                <c:pt idx="207">
                  <c:v>-1.0257958372706237</c:v>
                </c:pt>
                <c:pt idx="208">
                  <c:v>-1.0326591880472384</c:v>
                </c:pt>
                <c:pt idx="209">
                  <c:v>-1.0391932246753823</c:v>
                </c:pt>
                <c:pt idx="210">
                  <c:v>-1.0454037329797361</c:v>
                </c:pt>
                <c:pt idx="211">
                  <c:v>-1.0512967627947425</c:v>
                </c:pt>
                <c:pt idx="212">
                  <c:v>-1.0568785930899536</c:v>
                </c:pt>
                <c:pt idx="213">
                  <c:v>-1.0621556993306989</c:v>
                </c:pt>
                <c:pt idx="214">
                  <c:v>-1.0671347229846209</c:v>
                </c:pt>
                <c:pt idx="215">
                  <c:v>-1.0718224430851291</c:v>
                </c:pt>
                <c:pt idx="216">
                  <c:v>-1.0762257497635428</c:v>
                </c:pt>
                <c:pt idx="217">
                  <c:v>-1.0803516196626428</c:v>
                </c:pt>
                <c:pt idx="218">
                  <c:v>-1.0842070931455305</c:v>
                </c:pt>
                <c:pt idx="219">
                  <c:v>-1.0877992532150511</c:v>
                </c:pt>
                <c:pt idx="220">
                  <c:v>-1.0911352060606114</c:v>
                </c:pt>
                <c:pt idx="221">
                  <c:v>-1.0942220631509587</c:v>
                </c:pt>
                <c:pt idx="222">
                  <c:v>-1.0970669247933715</c:v>
                </c:pt>
                <c:pt idx="223">
                  <c:v>-1.0996768650817514</c:v>
                </c:pt>
                <c:pt idx="224">
                  <c:v>-1.1020589181582447</c:v>
                </c:pt>
                <c:pt idx="225">
                  <c:v>-1.1042200657152796</c:v>
                </c:pt>
                <c:pt idx="226">
                  <c:v>-1.1061672256672113</c:v>
                </c:pt>
                <c:pt idx="227">
                  <c:v>-1.1079072419231879</c:v>
                </c:pt>
                <c:pt idx="228">
                  <c:v>-1.1094468751952575</c:v>
                </c:pt>
                <c:pt idx="229">
                  <c:v>-1.110792794778239</c:v>
                </c:pt>
                <c:pt idx="230">
                  <c:v>-1.1119515712403423</c:v>
                </c:pt>
                <c:pt idx="231">
                  <c:v>-1.1129296699660394</c:v>
                </c:pt>
                <c:pt idx="232">
                  <c:v>-1.1137334454951582</c:v>
                </c:pt>
                <c:pt idx="233">
                  <c:v>-1.1143691366046631</c:v>
                </c:pt>
                <c:pt idx="234">
                  <c:v>-1.114842862082003</c:v>
                </c:pt>
                <c:pt idx="235">
                  <c:v>-1.1151606171413462</c:v>
                </c:pt>
                <c:pt idx="236">
                  <c:v>-1.1153282704363618</c:v>
                </c:pt>
                <c:pt idx="237">
                  <c:v>-1.1153515616255343</c:v>
                </c:pt>
                <c:pt idx="238">
                  <c:v>-1.1152360994482686</c:v>
                </c:pt>
                <c:pt idx="239">
                  <c:v>-1.1149873602722198</c:v>
                </c:pt>
                <c:pt idx="240">
                  <c:v>-1.1146106870744492</c:v>
                </c:pt>
                <c:pt idx="241">
                  <c:v>-1.1141112888210587</c:v>
                </c:pt>
                <c:pt idx="242">
                  <c:v>-1.1134942402119641</c:v>
                </c:pt>
                <c:pt idx="243">
                  <c:v>-1.1127644817594087</c:v>
                </c:pt>
                <c:pt idx="244">
                  <c:v>-1.1119268201706682</c:v>
                </c:pt>
                <c:pt idx="245">
                  <c:v>-1.1109859290071857</c:v>
                </c:pt>
                <c:pt idx="246">
                  <c:v>-1.109946349594102</c:v>
                </c:pt>
                <c:pt idx="247">
                  <c:v>-1.1088124921557678</c:v>
                </c:pt>
                <c:pt idx="248">
                  <c:v>-1.1075886371544184</c:v>
                </c:pt>
                <c:pt idx="249">
                  <c:v>-1.106278936810664</c:v>
                </c:pt>
                <c:pt idx="250">
                  <c:v>-1.1048874167858984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7-44CC-BF79-18D71EBD1434}"/>
            </c:ext>
          </c:extLst>
        </c:ser>
        <c:ser>
          <c:idx val="1"/>
          <c:order val="2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graphtime!$A$3:$A$253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graphtime!$C$3:$C$253</c:f>
              <c:numCache>
                <c:formatCode>General</c:formatCode>
                <c:ptCount val="251"/>
                <c:pt idx="0">
                  <c:v>0</c:v>
                </c:pt>
                <c:pt idx="1">
                  <c:v>-8.8888918329624008E-5</c:v>
                </c:pt>
                <c:pt idx="2">
                  <c:v>-1.78587605043915E-4</c:v>
                </c:pt>
                <c:pt idx="3">
                  <c:v>-2.6930627841497616E-4</c:v>
                </c:pt>
                <c:pt idx="4">
                  <c:v>-3.6113767031308784E-4</c:v>
                </c:pt>
                <c:pt idx="5">
                  <c:v>-4.549870370861426E-4</c:v>
                </c:pt>
                <c:pt idx="6">
                  <c:v>-5.508652883673093E-4</c:v>
                </c:pt>
                <c:pt idx="7">
                  <c:v>-6.4910137994652261E-4</c:v>
                </c:pt>
                <c:pt idx="8">
                  <c:v>-7.495947819879294E-4</c:v>
                </c:pt>
                <c:pt idx="9">
                  <c:v>-8.522634208542292E-4</c:v>
                </c:pt>
                <c:pt idx="10">
                  <c:v>-9.5744572412858936E-4</c:v>
                </c:pt>
                <c:pt idx="11">
                  <c:v>-1.0657576261895061E-3</c:v>
                </c:pt>
                <c:pt idx="12">
                  <c:v>-1.1773560658110073E-3</c:v>
                </c:pt>
                <c:pt idx="13">
                  <c:v>-1.2921898973518382E-3</c:v>
                </c:pt>
                <c:pt idx="14">
                  <c:v>-1.4107311223712825E-3</c:v>
                </c:pt>
                <c:pt idx="15">
                  <c:v>-1.5335154760785703E-3</c:v>
                </c:pt>
                <c:pt idx="16">
                  <c:v>-1.6609360558950659E-3</c:v>
                </c:pt>
                <c:pt idx="17">
                  <c:v>-1.7929532047859526E-3</c:v>
                </c:pt>
                <c:pt idx="18">
                  <c:v>-1.9300525021327525E-3</c:v>
                </c:pt>
                <c:pt idx="19">
                  <c:v>-2.0723759811879872E-3</c:v>
                </c:pt>
                <c:pt idx="20">
                  <c:v>-2.2202664323166762E-3</c:v>
                </c:pt>
                <c:pt idx="21">
                  <c:v>-2.373838971414122E-3</c:v>
                </c:pt>
                <c:pt idx="22">
                  <c:v>-2.5336148642312556E-3</c:v>
                </c:pt>
                <c:pt idx="23">
                  <c:v>-2.7008905520443166E-3</c:v>
                </c:pt>
                <c:pt idx="24">
                  <c:v>-2.8762418418650684E-3</c:v>
                </c:pt>
                <c:pt idx="25">
                  <c:v>-3.0580701929174212E-3</c:v>
                </c:pt>
                <c:pt idx="26">
                  <c:v>-3.2473905876057776E-3</c:v>
                </c:pt>
                <c:pt idx="27">
                  <c:v>-3.4439976265789617E-3</c:v>
                </c:pt>
                <c:pt idx="28">
                  <c:v>-3.6477120509902398E-3</c:v>
                </c:pt>
                <c:pt idx="29">
                  <c:v>-3.8582711284876788E-3</c:v>
                </c:pt>
                <c:pt idx="30">
                  <c:v>-4.0766593816412393E-3</c:v>
                </c:pt>
                <c:pt idx="31">
                  <c:v>-4.304991908075889E-3</c:v>
                </c:pt>
                <c:pt idx="32">
                  <c:v>-4.5432608731575293E-3</c:v>
                </c:pt>
                <c:pt idx="33">
                  <c:v>-4.7920996544181492E-3</c:v>
                </c:pt>
                <c:pt idx="34">
                  <c:v>-5.0524076685748822E-3</c:v>
                </c:pt>
                <c:pt idx="35">
                  <c:v>-5.3236943937308955E-3</c:v>
                </c:pt>
                <c:pt idx="36">
                  <c:v>-5.6054332628908965E-3</c:v>
                </c:pt>
                <c:pt idx="37">
                  <c:v>-5.8973574348997549E-3</c:v>
                </c:pt>
                <c:pt idx="38">
                  <c:v>-6.200243031401249E-3</c:v>
                </c:pt>
                <c:pt idx="39">
                  <c:v>-6.5166271077000768E-3</c:v>
                </c:pt>
                <c:pt idx="40">
                  <c:v>-6.8455571570122005E-3</c:v>
                </c:pt>
                <c:pt idx="41">
                  <c:v>-7.1891564718770421E-3</c:v>
                </c:pt>
                <c:pt idx="42">
                  <c:v>-7.5480379907457706E-3</c:v>
                </c:pt>
                <c:pt idx="43">
                  <c:v>-7.9213599770729844E-3</c:v>
                </c:pt>
                <c:pt idx="44">
                  <c:v>-8.3077703456230952E-3</c:v>
                </c:pt>
                <c:pt idx="45">
                  <c:v>-8.7077798233806195E-3</c:v>
                </c:pt>
                <c:pt idx="46">
                  <c:v>-9.1228607786262954E-3</c:v>
                </c:pt>
                <c:pt idx="47">
                  <c:v>-9.5533294024535732E-3</c:v>
                </c:pt>
                <c:pt idx="48">
                  <c:v>-1.0000303324716655E-2</c:v>
                </c:pt>
                <c:pt idx="49">
                  <c:v>-1.0465218608941595E-2</c:v>
                </c:pt>
                <c:pt idx="50">
                  <c:v>-1.0951133951853875E-2</c:v>
                </c:pt>
                <c:pt idx="51">
                  <c:v>-1.1459328180835414E-2</c:v>
                </c:pt>
                <c:pt idx="52">
                  <c:v>-1.199009769109936E-2</c:v>
                </c:pt>
                <c:pt idx="53">
                  <c:v>-1.2543350955543993E-2</c:v>
                </c:pt>
                <c:pt idx="54">
                  <c:v>-1.3122809653359498E-2</c:v>
                </c:pt>
                <c:pt idx="55">
                  <c:v>-1.3727390891474456E-2</c:v>
                </c:pt>
                <c:pt idx="56">
                  <c:v>-1.4359425595818773E-2</c:v>
                </c:pt>
                <c:pt idx="57">
                  <c:v>-1.5021563889114492E-2</c:v>
                </c:pt>
                <c:pt idx="58">
                  <c:v>-1.5719616923091529E-2</c:v>
                </c:pt>
                <c:pt idx="59">
                  <c:v>-1.6447611250700132E-2</c:v>
                </c:pt>
                <c:pt idx="60">
                  <c:v>-1.7207246073586157E-2</c:v>
                </c:pt>
                <c:pt idx="61">
                  <c:v>-1.7999960846349562E-2</c:v>
                </c:pt>
                <c:pt idx="62">
                  <c:v>-1.8825348727276217E-2</c:v>
                </c:pt>
                <c:pt idx="63">
                  <c:v>-1.9685714306013079E-2</c:v>
                </c:pt>
                <c:pt idx="64">
                  <c:v>-2.0585303710991432E-2</c:v>
                </c:pt>
                <c:pt idx="65">
                  <c:v>-2.1512020347633706E-2</c:v>
                </c:pt>
                <c:pt idx="66">
                  <c:v>-2.2463179482448865E-2</c:v>
                </c:pt>
                <c:pt idx="67">
                  <c:v>-2.3443887083174447E-2</c:v>
                </c:pt>
                <c:pt idx="68">
                  <c:v>-2.4457781548327347E-2</c:v>
                </c:pt>
                <c:pt idx="69">
                  <c:v>-2.5500733668536262E-2</c:v>
                </c:pt>
                <c:pt idx="70">
                  <c:v>-2.6557711650532917E-2</c:v>
                </c:pt>
                <c:pt idx="71">
                  <c:v>-2.7641109856602449E-2</c:v>
                </c:pt>
                <c:pt idx="72">
                  <c:v>-2.8736022652429149E-2</c:v>
                </c:pt>
                <c:pt idx="73">
                  <c:v>-2.9846343462943646E-2</c:v>
                </c:pt>
                <c:pt idx="74">
                  <c:v>-3.0983934448822484E-2</c:v>
                </c:pt>
                <c:pt idx="75">
                  <c:v>-3.2146064762613086E-2</c:v>
                </c:pt>
                <c:pt idx="76">
                  <c:v>-3.3332285041119056E-2</c:v>
                </c:pt>
                <c:pt idx="77">
                  <c:v>-3.4541808821554026E-2</c:v>
                </c:pt>
                <c:pt idx="78">
                  <c:v>-3.5781188224104962E-2</c:v>
                </c:pt>
                <c:pt idx="79">
                  <c:v>-3.704862344428185E-2</c:v>
                </c:pt>
                <c:pt idx="80">
                  <c:v>-3.8350419328330554E-2</c:v>
                </c:pt>
                <c:pt idx="81">
                  <c:v>-3.9674760162592769E-2</c:v>
                </c:pt>
                <c:pt idx="82">
                  <c:v>-4.1008822292182376E-2</c:v>
                </c:pt>
                <c:pt idx="83">
                  <c:v>-4.2342886761085712E-2</c:v>
                </c:pt>
                <c:pt idx="84">
                  <c:v>-4.3682135292266985E-2</c:v>
                </c:pt>
                <c:pt idx="85">
                  <c:v>-4.5034541448465866E-2</c:v>
                </c:pt>
                <c:pt idx="86">
                  <c:v>-4.6404613309279315E-2</c:v>
                </c:pt>
                <c:pt idx="87">
                  <c:v>-4.7801514601988157E-2</c:v>
                </c:pt>
                <c:pt idx="88">
                  <c:v>-4.9231200464379669E-2</c:v>
                </c:pt>
                <c:pt idx="89">
                  <c:v>-5.0684259600766793E-2</c:v>
                </c:pt>
                <c:pt idx="90">
                  <c:v>-5.2164293065293972E-2</c:v>
                </c:pt>
                <c:pt idx="91">
                  <c:v>-5.3680434117525253E-2</c:v>
                </c:pt>
                <c:pt idx="92">
                  <c:v>-5.5233645181429258E-2</c:v>
                </c:pt>
                <c:pt idx="93">
                  <c:v>-5.6822157380897215E-2</c:v>
                </c:pt>
                <c:pt idx="94">
                  <c:v>-5.8448667393814567E-2</c:v>
                </c:pt>
                <c:pt idx="95">
                  <c:v>-6.0109812134874735E-2</c:v>
                </c:pt>
                <c:pt idx="96">
                  <c:v>-6.1780466190820699E-2</c:v>
                </c:pt>
                <c:pt idx="97">
                  <c:v>-6.3468702984347092E-2</c:v>
                </c:pt>
                <c:pt idx="98">
                  <c:v>-6.5189427128600791E-2</c:v>
                </c:pt>
                <c:pt idx="99">
                  <c:v>-6.6948197445651336E-2</c:v>
                </c:pt>
                <c:pt idx="100">
                  <c:v>-6.873709947474721E-2</c:v>
                </c:pt>
                <c:pt idx="101">
                  <c:v>-7.0575964125473942E-2</c:v>
                </c:pt>
                <c:pt idx="102">
                  <c:v>-7.2475223595096006E-2</c:v>
                </c:pt>
                <c:pt idx="103">
                  <c:v>-7.4433363043122897E-2</c:v>
                </c:pt>
                <c:pt idx="104">
                  <c:v>-7.6451122471044394E-2</c:v>
                </c:pt>
                <c:pt idx="105">
                  <c:v>-7.8527060620544265E-2</c:v>
                </c:pt>
                <c:pt idx="106">
                  <c:v>-8.0675858149783231E-2</c:v>
                </c:pt>
                <c:pt idx="107">
                  <c:v>-8.2906401613597719E-2</c:v>
                </c:pt>
                <c:pt idx="108">
                  <c:v>-8.5222758988861391E-2</c:v>
                </c:pt>
                <c:pt idx="109">
                  <c:v>-8.7625467613732383E-2</c:v>
                </c:pt>
                <c:pt idx="110">
                  <c:v>-9.0121816331314178E-2</c:v>
                </c:pt>
                <c:pt idx="111">
                  <c:v>-9.2717653811033751E-2</c:v>
                </c:pt>
                <c:pt idx="112">
                  <c:v>-9.5407765110694695E-2</c:v>
                </c:pt>
                <c:pt idx="113">
                  <c:v>-9.8197375661746938E-2</c:v>
                </c:pt>
                <c:pt idx="114">
                  <c:v>-0.10109553406482505</c:v>
                </c:pt>
                <c:pt idx="115">
                  <c:v>-0.10411213292418842</c:v>
                </c:pt>
                <c:pt idx="116">
                  <c:v>-0.10725357873001488</c:v>
                </c:pt>
                <c:pt idx="117">
                  <c:v>-0.11052830800865227</c:v>
                </c:pt>
                <c:pt idx="118">
                  <c:v>-0.11393878264867451</c:v>
                </c:pt>
                <c:pt idx="119">
                  <c:v>-0.11749449494537358</c:v>
                </c:pt>
                <c:pt idx="120">
                  <c:v>-0.12120850689722451</c:v>
                </c:pt>
                <c:pt idx="121">
                  <c:v>-0.12509902310780829</c:v>
                </c:pt>
                <c:pt idx="122">
                  <c:v>-0.12917082576698097</c:v>
                </c:pt>
                <c:pt idx="123">
                  <c:v>-0.13343003702362757</c:v>
                </c:pt>
                <c:pt idx="124">
                  <c:v>-0.13788986088888458</c:v>
                </c:pt>
                <c:pt idx="125">
                  <c:v>-0.14253897383405328</c:v>
                </c:pt>
                <c:pt idx="126">
                  <c:v>-0.14736385065043009</c:v>
                </c:pt>
                <c:pt idx="127">
                  <c:v>-0.15238248827596029</c:v>
                </c:pt>
                <c:pt idx="128">
                  <c:v>-0.15760039139058701</c:v>
                </c:pt>
                <c:pt idx="129">
                  <c:v>-0.16301243914057587</c:v>
                </c:pt>
                <c:pt idx="130">
                  <c:v>-0.1686367632072627</c:v>
                </c:pt>
                <c:pt idx="131">
                  <c:v>-0.17445575433283447</c:v>
                </c:pt>
                <c:pt idx="132">
                  <c:v>-0.18044227432696844</c:v>
                </c:pt>
                <c:pt idx="133">
                  <c:v>-0.18658429570218343</c:v>
                </c:pt>
                <c:pt idx="134">
                  <c:v>-0.1928726550808223</c:v>
                </c:pt>
                <c:pt idx="135">
                  <c:v>-0.19931973831141095</c:v>
                </c:pt>
                <c:pt idx="136">
                  <c:v>-0.2059334979112841</c:v>
                </c:pt>
                <c:pt idx="137">
                  <c:v>-0.21272219241856594</c:v>
                </c:pt>
                <c:pt idx="138">
                  <c:v>-0.21969119738970072</c:v>
                </c:pt>
                <c:pt idx="139">
                  <c:v>-0.22685246441137391</c:v>
                </c:pt>
                <c:pt idx="140">
                  <c:v>-0.23420755856819975</c:v>
                </c:pt>
                <c:pt idx="141">
                  <c:v>-0.24175232343222811</c:v>
                </c:pt>
                <c:pt idx="142">
                  <c:v>-0.24948572429644558</c:v>
                </c:pt>
                <c:pt idx="143">
                  <c:v>-0.25739158182758815</c:v>
                </c:pt>
                <c:pt idx="144">
                  <c:v>-0.26546078453787059</c:v>
                </c:pt>
                <c:pt idx="145">
                  <c:v>-0.2736969924536618</c:v>
                </c:pt>
                <c:pt idx="146">
                  <c:v>-0.2821060516822535</c:v>
                </c:pt>
                <c:pt idx="147">
                  <c:v>-0.29069221703531634</c:v>
                </c:pt>
                <c:pt idx="148">
                  <c:v>-0.29945786826729975</c:v>
                </c:pt>
                <c:pt idx="149">
                  <c:v>-0.3083909857876857</c:v>
                </c:pt>
                <c:pt idx="150">
                  <c:v>-0.31747761472331687</c:v>
                </c:pt>
                <c:pt idx="151">
                  <c:v>-0.32672767779765594</c:v>
                </c:pt>
                <c:pt idx="152">
                  <c:v>-0.33615007273315267</c:v>
                </c:pt>
                <c:pt idx="153">
                  <c:v>-0.3457424504371831</c:v>
                </c:pt>
                <c:pt idx="154">
                  <c:v>-0.35553928284364983</c:v>
                </c:pt>
                <c:pt idx="155">
                  <c:v>-0.36556900386654934</c:v>
                </c:pt>
                <c:pt idx="156">
                  <c:v>-0.37584967740999214</c:v>
                </c:pt>
                <c:pt idx="157">
                  <c:v>-0.38639431363618826</c:v>
                </c:pt>
                <c:pt idx="158">
                  <c:v>-0.3972080610865234</c:v>
                </c:pt>
                <c:pt idx="159">
                  <c:v>-0.40829756371060838</c:v>
                </c:pt>
                <c:pt idx="160">
                  <c:v>-0.41969025174089597</c:v>
                </c:pt>
                <c:pt idx="161">
                  <c:v>-0.43140504807834379</c:v>
                </c:pt>
                <c:pt idx="162">
                  <c:v>-0.44345671533824271</c:v>
                </c:pt>
                <c:pt idx="163">
                  <c:v>-0.45586602406714843</c:v>
                </c:pt>
                <c:pt idx="164">
                  <c:v>-0.46862219642896763</c:v>
                </c:pt>
                <c:pt idx="165">
                  <c:v>-0.48169498954404411</c:v>
                </c:pt>
                <c:pt idx="166">
                  <c:v>-0.4951333640862372</c:v>
                </c:pt>
                <c:pt idx="167">
                  <c:v>-0.50895272174787642</c:v>
                </c:pt>
                <c:pt idx="168">
                  <c:v>-0.52314801873655681</c:v>
                </c:pt>
                <c:pt idx="169">
                  <c:v>-0.53772181137962338</c:v>
                </c:pt>
                <c:pt idx="170">
                  <c:v>-0.55265579874645354</c:v>
                </c:pt>
                <c:pt idx="171">
                  <c:v>-0.56792786507989446</c:v>
                </c:pt>
                <c:pt idx="172">
                  <c:v>-0.58354847433602008</c:v>
                </c:pt>
                <c:pt idx="173">
                  <c:v>-0.59952751695636841</c:v>
                </c:pt>
                <c:pt idx="174">
                  <c:v>-0.61587460123046245</c:v>
                </c:pt>
                <c:pt idx="175">
                  <c:v>-0.63259923150552211</c:v>
                </c:pt>
                <c:pt idx="176">
                  <c:v>-0.64971091768920319</c:v>
                </c:pt>
                <c:pt idx="177">
                  <c:v>-0.66721924303128455</c:v>
                </c:pt>
                <c:pt idx="178">
                  <c:v>-0.68513390656526862</c:v>
                </c:pt>
                <c:pt idx="179">
                  <c:v>-0.70346475015189802</c:v>
                </c:pt>
                <c:pt idx="180">
                  <c:v>-0.72222177615800132</c:v>
                </c:pt>
                <c:pt idx="181">
                  <c:v>-0.74141515943183867</c:v>
                </c:pt>
                <c:pt idx="182">
                  <c:v>-0.76105525579646327</c:v>
                </c:pt>
                <c:pt idx="183">
                  <c:v>-0.78115260840899248</c:v>
                </c:pt>
                <c:pt idx="184">
                  <c:v>-0.80171795280353964</c:v>
                </c:pt>
                <c:pt idx="185">
                  <c:v>-0.8227622211138681</c:v>
                </c:pt>
                <c:pt idx="186">
                  <c:v>-0.84429654577661017</c:v>
                </c:pt>
                <c:pt idx="187">
                  <c:v>-0.86633226289741039</c:v>
                </c:pt>
                <c:pt idx="188">
                  <c:v>-0.88888091539043912</c:v>
                </c:pt>
                <c:pt idx="189">
                  <c:v>-0.91195425595804935</c:v>
                </c:pt>
                <c:pt idx="190">
                  <c:v>-0.935564249950808</c:v>
                </c:pt>
                <c:pt idx="191">
                  <c:v>-0.95972307813200031</c:v>
                </c:pt>
                <c:pt idx="192">
                  <c:v>-0.98444313936086281</c:v>
                </c:pt>
                <c:pt idx="193">
                  <c:v>-1.0097370532027916</c:v>
                </c:pt>
                <c:pt idx="194">
                  <c:v>-1.0356176624710665</c:v>
                </c:pt>
                <c:pt idx="195">
                  <c:v>-1.0620980357023515</c:v>
                </c:pt>
                <c:pt idx="196">
                  <c:v>-1.0891914695667675</c:v>
                </c:pt>
                <c:pt idx="197">
                  <c:v>-1.116911491212409</c:v>
                </c:pt>
                <c:pt idx="198">
                  <c:v>-1.1452718605435439</c:v>
                </c:pt>
                <c:pt idx="199">
                  <c:v>-1.1742865724312823</c:v>
                </c:pt>
                <c:pt idx="200">
                  <c:v>-1.2039698588551506</c:v>
                </c:pt>
                <c:pt idx="201">
                  <c:v>-1.2343361909737376</c:v>
                </c:pt>
                <c:pt idx="202">
                  <c:v>-1.2654002811222997</c:v>
                </c:pt>
                <c:pt idx="203">
                  <c:v>-1.2971770847349773</c:v>
                </c:pt>
                <c:pt idx="204">
                  <c:v>-1.329681802189032</c:v>
                </c:pt>
                <c:pt idx="205">
                  <c:v>-1.3629298805682399</c:v>
                </c:pt>
                <c:pt idx="206">
                  <c:v>-1.3969370153423406</c:v>
                </c:pt>
                <c:pt idx="207">
                  <c:v>-1.4317191519591226</c:v>
                </c:pt>
                <c:pt idx="208">
                  <c:v>-1.4672924873454583</c:v>
                </c:pt>
                <c:pt idx="209">
                  <c:v>-1.5036734713132531</c:v>
                </c:pt>
                <c:pt idx="210">
                  <c:v>-1.5408788078659563</c:v>
                </c:pt>
                <c:pt idx="211">
                  <c:v>-1.5789254564008868</c:v>
                </c:pt>
                <c:pt idx="212">
                  <c:v>-1.6178306328022667</c:v>
                </c:pt>
                <c:pt idx="213">
                  <c:v>-1.6576118104194266</c:v>
                </c:pt>
                <c:pt idx="214">
                  <c:v>-1.6982867209242027</c:v>
                </c:pt>
                <c:pt idx="215">
                  <c:v>-1.7398733550411043</c:v>
                </c:pt>
                <c:pt idx="216">
                  <c:v>-1.7823899631433213</c:v>
                </c:pt>
                <c:pt idx="217">
                  <c:v>-1.8258550557071282</c:v>
                </c:pt>
                <c:pt idx="218">
                  <c:v>-1.8702874036167223</c:v>
                </c:pt>
                <c:pt idx="219">
                  <c:v>-1.9157060383109441</c:v>
                </c:pt>
                <c:pt idx="220">
                  <c:v>-1.9621302517627572</c:v>
                </c:pt>
                <c:pt idx="221">
                  <c:v>-2.0095795962817493</c:v>
                </c:pt>
                <c:pt idx="222">
                  <c:v>-2.0580738841292838</c:v>
                </c:pt>
                <c:pt idx="223">
                  <c:v>-2.1076331869352773</c:v>
                </c:pt>
                <c:pt idx="224">
                  <c:v>-2.1582778349049132</c:v>
                </c:pt>
                <c:pt idx="225">
                  <c:v>-2.2100284158029191</c:v>
                </c:pt>
                <c:pt idx="226">
                  <c:v>-2.2629057737023173</c:v>
                </c:pt>
                <c:pt idx="227">
                  <c:v>-2.3169310074838831</c:v>
                </c:pt>
                <c:pt idx="228">
                  <c:v>-2.3721254690717921</c:v>
                </c:pt>
                <c:pt idx="229">
                  <c:v>-2.4285107613902537</c:v>
                </c:pt>
                <c:pt idx="230">
                  <c:v>-2.4861087360251983</c:v>
                </c:pt>
                <c:pt idx="231">
                  <c:v>-2.5449414905743732</c:v>
                </c:pt>
                <c:pt idx="232">
                  <c:v>-2.6050313656685198</c:v>
                </c:pt>
                <c:pt idx="233">
                  <c:v>-2.6664009416456311</c:v>
                </c:pt>
                <c:pt idx="234">
                  <c:v>-2.7290730348596268</c:v>
                </c:pt>
                <c:pt idx="235">
                  <c:v>-2.7930706936041743</c:v>
                </c:pt>
                <c:pt idx="236">
                  <c:v>-2.858417193631829</c:v>
                </c:pt>
                <c:pt idx="237">
                  <c:v>-2.9251360332481169</c:v>
                </c:pt>
                <c:pt idx="238">
                  <c:v>-2.9932509279597563</c:v>
                </c:pt>
                <c:pt idx="239">
                  <c:v>-3.0627858046557908</c:v>
                </c:pt>
                <c:pt idx="240">
                  <c:v>-3.1337647953001539</c:v>
                </c:pt>
                <c:pt idx="241">
                  <c:v>-3.2062122301139291</c:v>
                </c:pt>
                <c:pt idx="242">
                  <c:v>-3.2801526302255208</c:v>
                </c:pt>
                <c:pt idx="243">
                  <c:v>-3.3556106997669541</c:v>
                </c:pt>
                <c:pt idx="244">
                  <c:v>-3.4326113173947181</c:v>
                </c:pt>
                <c:pt idx="245">
                  <c:v>-3.5111795272139075</c:v>
                </c:pt>
                <c:pt idx="246">
                  <c:v>-3.5913405290849072</c:v>
                </c:pt>
                <c:pt idx="247">
                  <c:v>-3.6731196682926504</c:v>
                </c:pt>
                <c:pt idx="248">
                  <c:v>-3.7565424245593433</c:v>
                </c:pt>
                <c:pt idx="249">
                  <c:v>-3.8416344003828282</c:v>
                </c:pt>
                <c:pt idx="250">
                  <c:v>-3.928421308684177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7-44CC-BF79-18D71EBD1434}"/>
            </c:ext>
          </c:extLst>
        </c:ser>
        <c:ser>
          <c:idx val="3"/>
          <c:order val="3"/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graphtime!$A$3:$A$253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graphtime!$N$3:$N$253</c:f>
              <c:numCache>
                <c:formatCode>General</c:formatCode>
                <c:ptCount val="251"/>
                <c:pt idx="0">
                  <c:v>0</c:v>
                </c:pt>
                <c:pt idx="1">
                  <c:v>-8.8888918329624008E-5</c:v>
                </c:pt>
                <c:pt idx="2">
                  <c:v>-1.78587605043915E-4</c:v>
                </c:pt>
                <c:pt idx="3">
                  <c:v>-2.6930627841497616E-4</c:v>
                </c:pt>
                <c:pt idx="4">
                  <c:v>-3.6113767031308784E-4</c:v>
                </c:pt>
                <c:pt idx="5">
                  <c:v>-4.549870370861426E-4</c:v>
                </c:pt>
                <c:pt idx="6">
                  <c:v>-5.508652883673093E-4</c:v>
                </c:pt>
                <c:pt idx="7">
                  <c:v>-6.4910137994652261E-4</c:v>
                </c:pt>
                <c:pt idx="8">
                  <c:v>-7.495947819879294E-4</c:v>
                </c:pt>
                <c:pt idx="9">
                  <c:v>-8.522634208542292E-4</c:v>
                </c:pt>
                <c:pt idx="10">
                  <c:v>-9.5744572412858936E-4</c:v>
                </c:pt>
                <c:pt idx="11">
                  <c:v>-1.0657576261895061E-3</c:v>
                </c:pt>
                <c:pt idx="12">
                  <c:v>-1.1773560658110073E-3</c:v>
                </c:pt>
                <c:pt idx="13">
                  <c:v>-1.2921898973518382E-3</c:v>
                </c:pt>
                <c:pt idx="14">
                  <c:v>-1.4107311223712825E-3</c:v>
                </c:pt>
                <c:pt idx="15">
                  <c:v>-1.5335154760785703E-3</c:v>
                </c:pt>
                <c:pt idx="16">
                  <c:v>-1.6609360558950659E-3</c:v>
                </c:pt>
                <c:pt idx="17">
                  <c:v>-1.7929532047859526E-3</c:v>
                </c:pt>
                <c:pt idx="18">
                  <c:v>-1.9300525021327525E-3</c:v>
                </c:pt>
                <c:pt idx="19">
                  <c:v>-2.0723759811879872E-3</c:v>
                </c:pt>
                <c:pt idx="20">
                  <c:v>-2.2202664323166762E-3</c:v>
                </c:pt>
                <c:pt idx="21">
                  <c:v>-2.373838971414122E-3</c:v>
                </c:pt>
                <c:pt idx="22">
                  <c:v>-2.5336148642312556E-3</c:v>
                </c:pt>
                <c:pt idx="23">
                  <c:v>-2.7008905520443166E-3</c:v>
                </c:pt>
                <c:pt idx="24">
                  <c:v>-2.8762418418650684E-3</c:v>
                </c:pt>
                <c:pt idx="25">
                  <c:v>-3.0580701929174212E-3</c:v>
                </c:pt>
                <c:pt idx="26">
                  <c:v>-3.2473905876057776E-3</c:v>
                </c:pt>
                <c:pt idx="27">
                  <c:v>-3.4439976265789617E-3</c:v>
                </c:pt>
                <c:pt idx="28">
                  <c:v>-3.6477120509902398E-3</c:v>
                </c:pt>
                <c:pt idx="29">
                  <c:v>-3.8582711284876788E-3</c:v>
                </c:pt>
                <c:pt idx="30">
                  <c:v>-4.0766593816412393E-3</c:v>
                </c:pt>
                <c:pt idx="31">
                  <c:v>-4.304991908075889E-3</c:v>
                </c:pt>
                <c:pt idx="32">
                  <c:v>-4.5432608731575293E-3</c:v>
                </c:pt>
                <c:pt idx="33">
                  <c:v>-4.7920996544181492E-3</c:v>
                </c:pt>
                <c:pt idx="34">
                  <c:v>-5.0524076685748822E-3</c:v>
                </c:pt>
                <c:pt idx="35">
                  <c:v>-5.3236943937308955E-3</c:v>
                </c:pt>
                <c:pt idx="36">
                  <c:v>-5.6054332628908965E-3</c:v>
                </c:pt>
                <c:pt idx="37">
                  <c:v>-5.8973574348997549E-3</c:v>
                </c:pt>
                <c:pt idx="38">
                  <c:v>-6.200243031401249E-3</c:v>
                </c:pt>
                <c:pt idx="39">
                  <c:v>-6.5166271077000768E-3</c:v>
                </c:pt>
                <c:pt idx="40">
                  <c:v>-6.8455571570122005E-3</c:v>
                </c:pt>
                <c:pt idx="41">
                  <c:v>-7.1891564718770421E-3</c:v>
                </c:pt>
                <c:pt idx="42">
                  <c:v>-7.5480379907457706E-3</c:v>
                </c:pt>
                <c:pt idx="43">
                  <c:v>-7.9213599770729844E-3</c:v>
                </c:pt>
                <c:pt idx="44">
                  <c:v>-8.3077703456230952E-3</c:v>
                </c:pt>
                <c:pt idx="45">
                  <c:v>-8.7077798233806195E-3</c:v>
                </c:pt>
                <c:pt idx="46">
                  <c:v>-9.1228607786262954E-3</c:v>
                </c:pt>
                <c:pt idx="47">
                  <c:v>-9.5533294024535732E-3</c:v>
                </c:pt>
                <c:pt idx="48">
                  <c:v>-1.0000303324716655E-2</c:v>
                </c:pt>
                <c:pt idx="49">
                  <c:v>-1.0465218608941595E-2</c:v>
                </c:pt>
                <c:pt idx="50">
                  <c:v>-1.0951133951853875E-2</c:v>
                </c:pt>
                <c:pt idx="51">
                  <c:v>-1.1459328180835414E-2</c:v>
                </c:pt>
                <c:pt idx="52">
                  <c:v>-1.199009769109936E-2</c:v>
                </c:pt>
                <c:pt idx="53">
                  <c:v>-1.2543350955543993E-2</c:v>
                </c:pt>
                <c:pt idx="54">
                  <c:v>-1.3122809653359498E-2</c:v>
                </c:pt>
                <c:pt idx="55">
                  <c:v>-1.3727390891474456E-2</c:v>
                </c:pt>
                <c:pt idx="56">
                  <c:v>-1.4359425595818773E-2</c:v>
                </c:pt>
                <c:pt idx="57">
                  <c:v>-1.5021563889114492E-2</c:v>
                </c:pt>
                <c:pt idx="58">
                  <c:v>-1.5719616923091529E-2</c:v>
                </c:pt>
                <c:pt idx="59">
                  <c:v>-1.6447611250700132E-2</c:v>
                </c:pt>
                <c:pt idx="60">
                  <c:v>-1.7207246073586157E-2</c:v>
                </c:pt>
                <c:pt idx="61">
                  <c:v>-1.7999960846349562E-2</c:v>
                </c:pt>
                <c:pt idx="62">
                  <c:v>-1.8825348727276217E-2</c:v>
                </c:pt>
                <c:pt idx="63">
                  <c:v>-1.9685714306013079E-2</c:v>
                </c:pt>
                <c:pt idx="64">
                  <c:v>-2.0585303710991432E-2</c:v>
                </c:pt>
                <c:pt idx="65">
                  <c:v>-2.1512020347633706E-2</c:v>
                </c:pt>
                <c:pt idx="66">
                  <c:v>-2.2463179482448865E-2</c:v>
                </c:pt>
                <c:pt idx="67">
                  <c:v>-2.3443887083174447E-2</c:v>
                </c:pt>
                <c:pt idx="68">
                  <c:v>-2.4457781548327347E-2</c:v>
                </c:pt>
                <c:pt idx="69">
                  <c:v>-2.5500733668536262E-2</c:v>
                </c:pt>
                <c:pt idx="70">
                  <c:v>-2.6557711650532917E-2</c:v>
                </c:pt>
                <c:pt idx="71">
                  <c:v>-2.7641109856602449E-2</c:v>
                </c:pt>
                <c:pt idx="72">
                  <c:v>-2.8736022652429149E-2</c:v>
                </c:pt>
                <c:pt idx="73">
                  <c:v>-2.9846343462943646E-2</c:v>
                </c:pt>
                <c:pt idx="74">
                  <c:v>-3.0983934448822484E-2</c:v>
                </c:pt>
                <c:pt idx="75">
                  <c:v>-3.2146064762613086E-2</c:v>
                </c:pt>
                <c:pt idx="76">
                  <c:v>-3.3332285041119056E-2</c:v>
                </c:pt>
                <c:pt idx="77">
                  <c:v>-3.4541808821554026E-2</c:v>
                </c:pt>
                <c:pt idx="78">
                  <c:v>-3.5781188224104962E-2</c:v>
                </c:pt>
                <c:pt idx="79">
                  <c:v>-3.704862344428185E-2</c:v>
                </c:pt>
                <c:pt idx="80">
                  <c:v>-3.8350419328330554E-2</c:v>
                </c:pt>
                <c:pt idx="81">
                  <c:v>-3.9674760162592769E-2</c:v>
                </c:pt>
                <c:pt idx="82">
                  <c:v>-4.1008822292182376E-2</c:v>
                </c:pt>
                <c:pt idx="83">
                  <c:v>-4.2342886761085712E-2</c:v>
                </c:pt>
                <c:pt idx="84">
                  <c:v>-4.3682135292266985E-2</c:v>
                </c:pt>
                <c:pt idx="85">
                  <c:v>-4.5034541448465866E-2</c:v>
                </c:pt>
                <c:pt idx="86">
                  <c:v>-4.6404613309279315E-2</c:v>
                </c:pt>
                <c:pt idx="87">
                  <c:v>-4.7801514601988157E-2</c:v>
                </c:pt>
                <c:pt idx="88">
                  <c:v>-4.9231200464379669E-2</c:v>
                </c:pt>
                <c:pt idx="89">
                  <c:v>-5.0684259600766793E-2</c:v>
                </c:pt>
                <c:pt idx="90">
                  <c:v>-5.2164293065293972E-2</c:v>
                </c:pt>
                <c:pt idx="91">
                  <c:v>-5.3680434117525253E-2</c:v>
                </c:pt>
                <c:pt idx="92">
                  <c:v>-5.5233645181429258E-2</c:v>
                </c:pt>
                <c:pt idx="93">
                  <c:v>-5.6822157380897215E-2</c:v>
                </c:pt>
                <c:pt idx="94">
                  <c:v>-5.8448667393814567E-2</c:v>
                </c:pt>
                <c:pt idx="95">
                  <c:v>-6.0109812134874735E-2</c:v>
                </c:pt>
                <c:pt idx="96">
                  <c:v>-6.1780466190820699E-2</c:v>
                </c:pt>
                <c:pt idx="97">
                  <c:v>-6.3468702984347092E-2</c:v>
                </c:pt>
                <c:pt idx="98">
                  <c:v>-6.5189427128600791E-2</c:v>
                </c:pt>
                <c:pt idx="99">
                  <c:v>-6.6948197445651336E-2</c:v>
                </c:pt>
                <c:pt idx="100">
                  <c:v>-6.873709947474721E-2</c:v>
                </c:pt>
                <c:pt idx="101">
                  <c:v>-7.0575964125473942E-2</c:v>
                </c:pt>
                <c:pt idx="102">
                  <c:v>-7.2475223595096006E-2</c:v>
                </c:pt>
                <c:pt idx="103">
                  <c:v>-7.4433363043122897E-2</c:v>
                </c:pt>
                <c:pt idx="104">
                  <c:v>-7.6451122471044394E-2</c:v>
                </c:pt>
                <c:pt idx="105">
                  <c:v>-7.8527060620544265E-2</c:v>
                </c:pt>
                <c:pt idx="106">
                  <c:v>-8.0675858149783231E-2</c:v>
                </c:pt>
                <c:pt idx="107">
                  <c:v>-8.2906401613597719E-2</c:v>
                </c:pt>
                <c:pt idx="108">
                  <c:v>-8.5222758988861391E-2</c:v>
                </c:pt>
                <c:pt idx="109">
                  <c:v>-8.7625467613732383E-2</c:v>
                </c:pt>
                <c:pt idx="110">
                  <c:v>-9.0121816331314178E-2</c:v>
                </c:pt>
                <c:pt idx="111">
                  <c:v>-9.2717653811033751E-2</c:v>
                </c:pt>
                <c:pt idx="112">
                  <c:v>-9.5407765110694695E-2</c:v>
                </c:pt>
                <c:pt idx="113">
                  <c:v>-9.8197375661746938E-2</c:v>
                </c:pt>
                <c:pt idx="114">
                  <c:v>-0.10109553406482505</c:v>
                </c:pt>
                <c:pt idx="115">
                  <c:v>-0.10411213292418842</c:v>
                </c:pt>
                <c:pt idx="116">
                  <c:v>-0.10725357873001488</c:v>
                </c:pt>
                <c:pt idx="117">
                  <c:v>-0.11052830800865227</c:v>
                </c:pt>
                <c:pt idx="118">
                  <c:v>-0.11393878264867451</c:v>
                </c:pt>
                <c:pt idx="119">
                  <c:v>-0.11749449494537358</c:v>
                </c:pt>
                <c:pt idx="120">
                  <c:v>-0.12120850689722451</c:v>
                </c:pt>
                <c:pt idx="121">
                  <c:v>-0.12509902310780829</c:v>
                </c:pt>
                <c:pt idx="122">
                  <c:v>-0.12917082576698097</c:v>
                </c:pt>
                <c:pt idx="123">
                  <c:v>-0.13343003702362757</c:v>
                </c:pt>
                <c:pt idx="124">
                  <c:v>-0.13788986088888458</c:v>
                </c:pt>
                <c:pt idx="125">
                  <c:v>-0.14253897383405328</c:v>
                </c:pt>
                <c:pt idx="126">
                  <c:v>-0.14736385065043009</c:v>
                </c:pt>
                <c:pt idx="127">
                  <c:v>-0.15238248827596029</c:v>
                </c:pt>
                <c:pt idx="128">
                  <c:v>-0.15760039139058701</c:v>
                </c:pt>
                <c:pt idx="129">
                  <c:v>-0.16301243914057587</c:v>
                </c:pt>
                <c:pt idx="130">
                  <c:v>-0.1686367632072627</c:v>
                </c:pt>
                <c:pt idx="131">
                  <c:v>-0.17445575433283447</c:v>
                </c:pt>
                <c:pt idx="132">
                  <c:v>-0.18044227432696844</c:v>
                </c:pt>
                <c:pt idx="133">
                  <c:v>-0.18658429570218343</c:v>
                </c:pt>
                <c:pt idx="134">
                  <c:v>-0.1928726550808223</c:v>
                </c:pt>
                <c:pt idx="135">
                  <c:v>-0.19931973831141095</c:v>
                </c:pt>
                <c:pt idx="136">
                  <c:v>-0.2059334979112841</c:v>
                </c:pt>
                <c:pt idx="137">
                  <c:v>-0.21272219241856594</c:v>
                </c:pt>
                <c:pt idx="138">
                  <c:v>-0.21969119738970072</c:v>
                </c:pt>
                <c:pt idx="139">
                  <c:v>-0.22685246441137391</c:v>
                </c:pt>
                <c:pt idx="140">
                  <c:v>-0.23420755856819975</c:v>
                </c:pt>
                <c:pt idx="141">
                  <c:v>-0.24175232343222811</c:v>
                </c:pt>
                <c:pt idx="142">
                  <c:v>-0.24948572429644558</c:v>
                </c:pt>
                <c:pt idx="143">
                  <c:v>-0.25739158182758815</c:v>
                </c:pt>
                <c:pt idx="144">
                  <c:v>-0.26546078453787059</c:v>
                </c:pt>
                <c:pt idx="145">
                  <c:v>-0.2736969924536618</c:v>
                </c:pt>
                <c:pt idx="146">
                  <c:v>-0.2821060516822535</c:v>
                </c:pt>
                <c:pt idx="147">
                  <c:v>-0.29069221703531634</c:v>
                </c:pt>
                <c:pt idx="148">
                  <c:v>-0.29945786826729975</c:v>
                </c:pt>
                <c:pt idx="149">
                  <c:v>-0.3083909857876857</c:v>
                </c:pt>
                <c:pt idx="150">
                  <c:v>-0.31747761472331687</c:v>
                </c:pt>
                <c:pt idx="151">
                  <c:v>-0.32672767779765594</c:v>
                </c:pt>
                <c:pt idx="152">
                  <c:v>-0.33615007273315267</c:v>
                </c:pt>
                <c:pt idx="153">
                  <c:v>-0.3457424504371831</c:v>
                </c:pt>
                <c:pt idx="154">
                  <c:v>-0.35553928284364983</c:v>
                </c:pt>
                <c:pt idx="155">
                  <c:v>-0.36556900386654934</c:v>
                </c:pt>
                <c:pt idx="156">
                  <c:v>-0.37584967740999214</c:v>
                </c:pt>
                <c:pt idx="157">
                  <c:v>-0.38639431363618826</c:v>
                </c:pt>
                <c:pt idx="158">
                  <c:v>-0.3972080610865234</c:v>
                </c:pt>
                <c:pt idx="159">
                  <c:v>-0.40829756371060838</c:v>
                </c:pt>
                <c:pt idx="160">
                  <c:v>-0.41969025174089597</c:v>
                </c:pt>
                <c:pt idx="161">
                  <c:v>-0.43140504807834379</c:v>
                </c:pt>
                <c:pt idx="162">
                  <c:v>-0.44345671533824271</c:v>
                </c:pt>
                <c:pt idx="163">
                  <c:v>-0.45586602406714843</c:v>
                </c:pt>
                <c:pt idx="164">
                  <c:v>-0.46862219642896763</c:v>
                </c:pt>
                <c:pt idx="165">
                  <c:v>-0.48169498954404411</c:v>
                </c:pt>
                <c:pt idx="166">
                  <c:v>-0.4951333640862372</c:v>
                </c:pt>
                <c:pt idx="167">
                  <c:v>-0.50895272174787642</c:v>
                </c:pt>
                <c:pt idx="168">
                  <c:v>-0.52314801873655681</c:v>
                </c:pt>
                <c:pt idx="169">
                  <c:v>-0.53772181137962338</c:v>
                </c:pt>
                <c:pt idx="170">
                  <c:v>-0.55265579874645354</c:v>
                </c:pt>
                <c:pt idx="171">
                  <c:v>-0.56792786507989446</c:v>
                </c:pt>
                <c:pt idx="172">
                  <c:v>-0.58353772617191657</c:v>
                </c:pt>
                <c:pt idx="173">
                  <c:v>-0.59948497904546183</c:v>
                </c:pt>
                <c:pt idx="174">
                  <c:v>-0.61576921689628561</c:v>
                </c:pt>
                <c:pt idx="175">
                  <c:v>-0.63239009477016128</c:v>
                </c:pt>
                <c:pt idx="176">
                  <c:v>-0.64934736574676555</c:v>
                </c:pt>
                <c:pt idx="177">
                  <c:v>-0.66664089956310058</c:v>
                </c:pt>
                <c:pt idx="178">
                  <c:v>-0.68427069086928638</c:v>
                </c:pt>
                <c:pt idx="179">
                  <c:v>-0.70223686144435071</c:v>
                </c:pt>
                <c:pt idx="180">
                  <c:v>-0.72053965896857353</c:v>
                </c:pt>
                <c:pt idx="181">
                  <c:v>-0.73917945390379547</c:v>
                </c:pt>
                <c:pt idx="182">
                  <c:v>-0.75815673540272555</c:v>
                </c:pt>
                <c:pt idx="183">
                  <c:v>-0.77747210678866518</c:v>
                </c:pt>
                <c:pt idx="184">
                  <c:v>-0.79712628091894955</c:v>
                </c:pt>
                <c:pt idx="185">
                  <c:v>-0.81712007560883593</c:v>
                </c:pt>
                <c:pt idx="186">
                  <c:v>-0.83745440921119885</c:v>
                </c:pt>
                <c:pt idx="187">
                  <c:v>-0.85813029639931804</c:v>
                </c:pt>
                <c:pt idx="188">
                  <c:v>-0.87914884417198425</c:v>
                </c:pt>
                <c:pt idx="189">
                  <c:v>-0.90051124808410199</c:v>
                </c:pt>
                <c:pt idx="190">
                  <c:v>-0.92221878869707252</c:v>
                </c:pt>
                <c:pt idx="191">
                  <c:v>-0.9442728282386188</c:v>
                </c:pt>
                <c:pt idx="192">
                  <c:v>-0.96667480745957779</c:v>
                </c:pt>
                <c:pt idx="193">
                  <c:v>-0.98942624267447687</c:v>
                </c:pt>
                <c:pt idx="194">
                  <c:v>-1.0125287229728466</c:v>
                </c:pt>
                <c:pt idx="195">
                  <c:v>-1.0359839075887498</c:v>
                </c:pt>
                <c:pt idx="196">
                  <c:v>-1.0597935234167863</c:v>
                </c:pt>
                <c:pt idx="197">
                  <c:v>-1.0839593626636748</c:v>
                </c:pt>
                <c:pt idx="198">
                  <c:v>-1.1084832806253733</c:v>
                </c:pt>
                <c:pt idx="199">
                  <c:v>-1.1333671935805294</c:v>
                </c:pt>
                <c:pt idx="200">
                  <c:v>-1.1586130767918461</c:v>
                </c:pt>
                <c:pt idx="201">
                  <c:v>-1.1842229626076572</c:v>
                </c:pt>
                <c:pt idx="202">
                  <c:v>-1.2101989386566836</c:v>
                </c:pt>
                <c:pt idx="203">
                  <c:v>-1.2365431461295464</c:v>
                </c:pt>
                <c:pt idx="204">
                  <c:v>-1.263257778141152</c:v>
                </c:pt>
                <c:pt idx="205">
                  <c:v>-1.2903450781685697</c:v>
                </c:pt>
                <c:pt idx="206">
                  <c:v>-1.3178073385594722</c:v>
                </c:pt>
                <c:pt idx="207">
                  <c:v>-1.345646899106598</c:v>
                </c:pt>
                <c:pt idx="208">
                  <c:v>-1.3738661456840724</c:v>
                </c:pt>
                <c:pt idx="209">
                  <c:v>-1.4024675089417591</c:v>
                </c:pt>
                <c:pt idx="210">
                  <c:v>-1.4314534630540698</c:v>
                </c:pt>
                <c:pt idx="211">
                  <c:v>-1.4608265245199901</c:v>
                </c:pt>
                <c:pt idx="212">
                  <c:v>-1.4905892510112404</c:v>
                </c:pt>
                <c:pt idx="213">
                  <c:v>-1.5207442402657787</c:v>
                </c:pt>
                <c:pt idx="214">
                  <c:v>-1.5512941290239959</c:v>
                </c:pt>
                <c:pt idx="215">
                  <c:v>-1.5822415920051447</c:v>
                </c:pt>
                <c:pt idx="216">
                  <c:v>-1.6135893409217112</c:v>
                </c:pt>
                <c:pt idx="217">
                  <c:v>-1.6453401235295519</c:v>
                </c:pt>
                <c:pt idx="218">
                  <c:v>-1.6774967227117745</c:v>
                </c:pt>
                <c:pt idx="219">
                  <c:v>-1.710061955594433</c:v>
                </c:pt>
                <c:pt idx="220">
                  <c:v>-1.7430386726922189</c:v>
                </c:pt>
                <c:pt idx="221">
                  <c:v>-1.7764297570824303</c:v>
                </c:pt>
                <c:pt idx="222">
                  <c:v>-1.810238123605554</c:v>
                </c:pt>
                <c:pt idx="223">
                  <c:v>-1.8444667180909149</c:v>
                </c:pt>
                <c:pt idx="224">
                  <c:v>-1.8791185166058693</c:v>
                </c:pt>
                <c:pt idx="225">
                  <c:v>-1.914196524727108</c:v>
                </c:pt>
                <c:pt idx="226">
                  <c:v>-1.949703776832677</c:v>
                </c:pt>
                <c:pt idx="227">
                  <c:v>-1.9856433354133756</c:v>
                </c:pt>
                <c:pt idx="228">
                  <c:v>-2.0220182904022312</c:v>
                </c:pt>
                <c:pt idx="229">
                  <c:v>-2.0588317585207911</c:v>
                </c:pt>
                <c:pt idx="230">
                  <c:v>-2.0960868826410186</c:v>
                </c:pt>
                <c:pt idx="231">
                  <c:v>-2.1337868311615877</c:v>
                </c:pt>
                <c:pt idx="232">
                  <c:v>-2.1719347973974235</c:v>
                </c:pt>
                <c:pt idx="233">
                  <c:v>-2.2105339989813491</c:v>
                </c:pt>
                <c:pt idx="234">
                  <c:v>-2.2495876772767329</c:v>
                </c:pt>
                <c:pt idx="235">
                  <c:v>-2.289099096800034</c:v>
                </c:pt>
                <c:pt idx="236">
                  <c:v>-2.3290715446521899</c:v>
                </c:pt>
                <c:pt idx="237">
                  <c:v>-2.3695083299577884</c:v>
                </c:pt>
                <c:pt idx="238">
                  <c:v>-2.4104127833109841</c:v>
                </c:pt>
                <c:pt idx="239">
                  <c:v>-2.4517882562271609</c:v>
                </c:pt>
                <c:pt idx="240">
                  <c:v>-2.4936381205993157</c:v>
                </c:pt>
                <c:pt idx="241">
                  <c:v>-2.5359657681581891</c:v>
                </c:pt>
                <c:pt idx="242">
                  <c:v>-2.5787746099351732</c:v>
                </c:pt>
                <c:pt idx="243">
                  <c:v>-2.6220680757270265</c:v>
                </c:pt>
                <c:pt idx="244">
                  <c:v>-2.6658496135614604</c:v>
                </c:pt>
                <c:pt idx="245">
                  <c:v>-2.7101226891626573</c:v>
                </c:pt>
                <c:pt idx="246">
                  <c:v>-2.7548907854158049</c:v>
                </c:pt>
                <c:pt idx="247">
                  <c:v>-2.8001574018297557</c:v>
                </c:pt>
                <c:pt idx="248">
                  <c:v>-2.8459260539968967</c:v>
                </c:pt>
                <c:pt idx="249">
                  <c:v>-2.8922002730493643</c:v>
                </c:pt>
                <c:pt idx="250">
                  <c:v>-2.9389836051107627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364-A2ED-D9BA5A561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712184"/>
        <c:axId val="750715064"/>
      </c:lineChart>
      <c:catAx>
        <c:axId val="75071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50715064"/>
        <c:crosses val="autoZero"/>
        <c:auto val="1"/>
        <c:lblAlgn val="ctr"/>
        <c:lblOffset val="100"/>
        <c:tickLblSkip val="25"/>
        <c:tickMarkSkip val="25"/>
        <c:noMultiLvlLbl val="0"/>
      </c:catAx>
      <c:valAx>
        <c:axId val="750715064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Hicksian equivalent variation (% income)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50712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73012027342736"/>
          <c:y val="2.8000000000000001E-2"/>
          <c:w val="0.85205803120763757"/>
          <c:h val="0.94399999999999995"/>
        </c:manualLayout>
      </c:layout>
      <c:lineChart>
        <c:grouping val="standard"/>
        <c:varyColors val="0"/>
        <c:ser>
          <c:idx val="2"/>
          <c:order val="0"/>
          <c:tx>
            <c:v>Hyperbolic sine</c:v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graphtime!$A$153:$A$253</c:f>
              <c:numCache>
                <c:formatCode>General</c:formatCode>
                <c:ptCount val="10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</c:numCache>
            </c:numRef>
          </c:cat>
          <c:val>
            <c:numRef>
              <c:f>graphtime!$H$153:$H$253</c:f>
              <c:numCache>
                <c:formatCode>General</c:formatCode>
                <c:ptCount val="101"/>
                <c:pt idx="0">
                  <c:v>-9.9132242276286794E-2</c:v>
                </c:pt>
                <c:pt idx="1">
                  <c:v>-0.10426236335739811</c:v>
                </c:pt>
                <c:pt idx="2">
                  <c:v>-0.10958721165867148</c:v>
                </c:pt>
                <c:pt idx="3">
                  <c:v>-0.11510894264676128</c:v>
                </c:pt>
                <c:pt idx="4">
                  <c:v>-0.12085133327231594</c:v>
                </c:pt>
                <c:pt idx="5">
                  <c:v>-0.12683591906536204</c:v>
                </c:pt>
                <c:pt idx="6">
                  <c:v>-0.1330790258658002</c:v>
                </c:pt>
                <c:pt idx="7">
                  <c:v>-0.13959453727769264</c:v>
                </c:pt>
                <c:pt idx="8">
                  <c:v>-0.14639184657456247</c:v>
                </c:pt>
                <c:pt idx="9">
                  <c:v>-0.15348146560595025</c:v>
                </c:pt>
                <c:pt idx="10">
                  <c:v>-0.16088774535502343</c:v>
                </c:pt>
                <c:pt idx="11">
                  <c:v>-0.1686304807192037</c:v>
                </c:pt>
                <c:pt idx="12">
                  <c:v>-0.17672739652908076</c:v>
                </c:pt>
                <c:pt idx="13">
                  <c:v>-0.18520091882974016</c:v>
                </c:pt>
                <c:pt idx="14">
                  <c:v>-0.19405223845429972</c:v>
                </c:pt>
                <c:pt idx="15">
                  <c:v>-0.20326814138739327</c:v>
                </c:pt>
                <c:pt idx="16">
                  <c:v>-0.2128911128371764</c:v>
                </c:pt>
                <c:pt idx="17">
                  <c:v>-0.22294110753141677</c:v>
                </c:pt>
                <c:pt idx="18">
                  <c:v>-0.23342343233692017</c:v>
                </c:pt>
                <c:pt idx="19">
                  <c:v>-0.24434877204155847</c:v>
                </c:pt>
                <c:pt idx="20">
                  <c:v>-0.25571179261849608</c:v>
                </c:pt>
                <c:pt idx="21">
                  <c:v>-0.26750321557484097</c:v>
                </c:pt>
                <c:pt idx="22">
                  <c:v>-0.27973831058499143</c:v>
                </c:pt>
                <c:pt idx="23">
                  <c:v>-0.29243218882257038</c:v>
                </c:pt>
                <c:pt idx="24">
                  <c:v>-0.30559999873100685</c:v>
                </c:pt>
                <c:pt idx="25">
                  <c:v>-0.31925704805224925</c:v>
                </c:pt>
                <c:pt idx="26">
                  <c:v>-0.33341888020961635</c:v>
                </c:pt>
                <c:pt idx="27">
                  <c:v>-0.34810132240868513</c:v>
                </c:pt>
                <c:pt idx="28">
                  <c:v>-0.3633205161768448</c:v>
                </c:pt>
                <c:pt idx="29">
                  <c:v>-0.37909293695359508</c:v>
                </c:pt>
                <c:pt idx="30">
                  <c:v>-0.39543540680435957</c:v>
                </c:pt>
                <c:pt idx="31">
                  <c:v>-0.41236510276187865</c:v>
                </c:pt>
                <c:pt idx="32">
                  <c:v>-0.42989956233044935</c:v>
                </c:pt>
                <c:pt idx="33">
                  <c:v>-0.44805668709006763</c:v>
                </c:pt>
                <c:pt idx="34">
                  <c:v>-0.46685474496810814</c:v>
                </c:pt>
                <c:pt idx="35">
                  <c:v>-0.48631237151796303</c:v>
                </c:pt>
                <c:pt idx="36">
                  <c:v>-0.50644857040292923</c:v>
                </c:pt>
                <c:pt idx="37">
                  <c:v>-0.52728271319619568</c:v>
                </c:pt>
                <c:pt idx="38">
                  <c:v>-0.5488345385534209</c:v>
                </c:pt>
                <c:pt idx="39">
                  <c:v>-0.57112415078038181</c:v>
                </c:pt>
                <c:pt idx="40">
                  <c:v>-0.59417201779668471</c:v>
                </c:pt>
                <c:pt idx="41">
                  <c:v>-0.61799896848270919</c:v>
                </c:pt>
                <c:pt idx="42">
                  <c:v>-0.64262618938783489</c:v>
                </c:pt>
                <c:pt idx="43">
                  <c:v>-0.66807522077172987</c:v>
                </c:pt>
                <c:pt idx="44">
                  <c:v>-0.69436795194593048</c:v>
                </c:pt>
                <c:pt idx="45">
                  <c:v>-0.72152661587941413</c:v>
                </c:pt>
                <c:pt idx="46">
                  <c:v>-0.74957378302892452</c:v>
                </c:pt>
                <c:pt idx="47">
                  <c:v>-0.77853235435218915</c:v>
                </c:pt>
                <c:pt idx="48">
                  <c:v>-0.80842555345969813</c:v>
                </c:pt>
                <c:pt idx="49">
                  <c:v>-0.83927691785830805</c:v>
                </c:pt>
                <c:pt idx="50">
                  <c:v>-0.87111028923748501</c:v>
                </c:pt>
                <c:pt idx="51">
                  <c:v>-0.90394980274653469</c:v>
                </c:pt>
                <c:pt idx="52">
                  <c:v>-0.93781987520858179</c:v>
                </c:pt>
                <c:pt idx="53">
                  <c:v>-0.9727451922143977</c:v>
                </c:pt>
                <c:pt idx="54">
                  <c:v>-1.008750694036388</c:v>
                </c:pt>
                <c:pt idx="55">
                  <c:v>-1.0458615603001469</c:v>
                </c:pt>
                <c:pt idx="56">
                  <c:v>-1.0841031933479588</c:v>
                </c:pt>
                <c:pt idx="57">
                  <c:v>-1.1235012002254459</c:v>
                </c:pt>
                <c:pt idx="58">
                  <c:v>-1.1640813732192807</c:v>
                </c:pt>
                <c:pt idx="59">
                  <c:v>-1.2058696688704242</c:v>
                </c:pt>
                <c:pt idx="60">
                  <c:v>-1.2488921853837782</c:v>
                </c:pt>
                <c:pt idx="61">
                  <c:v>-1.2931751383514165</c:v>
                </c:pt>
                <c:pt idx="62">
                  <c:v>-1.3387448347026889</c:v>
                </c:pt>
                <c:pt idx="63">
                  <c:v>-1.3856276447904781</c:v>
                </c:pt>
                <c:pt idx="64">
                  <c:v>-1.4338499725187437</c:v>
                </c:pt>
                <c:pt idx="65">
                  <c:v>-1.4834382234121721</c:v>
                </c:pt>
                <c:pt idx="66">
                  <c:v>-1.5344187705243164</c:v>
                </c:pt>
                <c:pt idx="67">
                  <c:v>-1.5868179180760187</c:v>
                </c:pt>
                <c:pt idx="68">
                  <c:v>-1.6406618627111935</c:v>
                </c:pt>
                <c:pt idx="69">
                  <c:v>-1.6959766522521622</c:v>
                </c:pt>
                <c:pt idx="70">
                  <c:v>-1.7527881418317599</c:v>
                </c:pt>
                <c:pt idx="71">
                  <c:v>-1.8111219472742834</c:v>
                </c:pt>
                <c:pt idx="72">
                  <c:v>-1.8710033955921064</c:v>
                </c:pt>
                <c:pt idx="73">
                  <c:v>-1.9324574724594046</c:v>
                </c:pt>
                <c:pt idx="74">
                  <c:v>-1.9955087665189359</c:v>
                </c:pt>
                <c:pt idx="75">
                  <c:v>-2.0601814103722331</c:v>
                </c:pt>
                <c:pt idx="76">
                  <c:v>-2.1264990180978276</c:v>
                </c:pt>
                <c:pt idx="77">
                  <c:v>-2.1944846191363481</c:v>
                </c:pt>
                <c:pt idx="78">
                  <c:v>-2.264160588375419</c:v>
                </c:pt>
                <c:pt idx="79">
                  <c:v>-2.3355485722613198</c:v>
                </c:pt>
                <c:pt idx="80">
                  <c:v>-2.4086694107583151</c:v>
                </c:pt>
                <c:pt idx="81">
                  <c:v>-2.4835430549704509</c:v>
                </c:pt>
                <c:pt idx="82">
                  <c:v>-2.5601884802344519</c:v>
                </c:pt>
                <c:pt idx="83">
                  <c:v>-2.6386235944861305</c:v>
                </c:pt>
                <c:pt idx="84">
                  <c:v>-2.7188651416965079</c:v>
                </c:pt>
                <c:pt idx="85">
                  <c:v>-2.8009286001675471</c:v>
                </c:pt>
                <c:pt idx="86">
                  <c:v>-2.8848280754711575</c:v>
                </c:pt>
                <c:pt idx="87">
                  <c:v>-2.9705761878088306</c:v>
                </c:pt>
                <c:pt idx="88">
                  <c:v>-3.0581839535630326</c:v>
                </c:pt>
                <c:pt idx="89">
                  <c:v>-3.1476606608052227</c:v>
                </c:pt>
                <c:pt idx="90">
                  <c:v>-3.2390137385191924</c:v>
                </c:pt>
                <c:pt idx="91">
                  <c:v>-3.3322486192922529</c:v>
                </c:pt>
                <c:pt idx="92">
                  <c:v>-3.4273685952207353</c:v>
                </c:pt>
                <c:pt idx="93">
                  <c:v>-3.524374666770246</c:v>
                </c:pt>
                <c:pt idx="94">
                  <c:v>-3.6232653843252085</c:v>
                </c:pt>
                <c:pt idx="95">
                  <c:v>-3.7240366821563984</c:v>
                </c:pt>
                <c:pt idx="96">
                  <c:v>-3.8266817045294701</c:v>
                </c:pt>
                <c:pt idx="97">
                  <c:v>-3.9311906236719132</c:v>
                </c:pt>
                <c:pt idx="98">
                  <c:v>-4.0375504493103929</c:v>
                </c:pt>
                <c:pt idx="99">
                  <c:v>-4.145744829485186</c:v>
                </c:pt>
                <c:pt idx="100">
                  <c:v>-4.2557538423432302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9-4BDC-8350-EFCAFC422A3F}"/>
            </c:ext>
          </c:extLst>
        </c:ser>
        <c:ser>
          <c:idx val="0"/>
          <c:order val="1"/>
          <c:tx>
            <c:v>Second-order polynomial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graphtime!$A$153:$A$253</c:f>
              <c:numCache>
                <c:formatCode>General</c:formatCode>
                <c:ptCount val="10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</c:numCache>
            </c:numRef>
          </c:cat>
          <c:val>
            <c:numRef>
              <c:f>graphtime!$E$153:$E$253</c:f>
              <c:numCache>
                <c:formatCode>General</c:formatCode>
                <c:ptCount val="101"/>
                <c:pt idx="0">
                  <c:v>-0.37033705211055812</c:v>
                </c:pt>
                <c:pt idx="1">
                  <c:v>-0.38091769815523163</c:v>
                </c:pt>
                <c:pt idx="2">
                  <c:v>-0.39168493314506081</c:v>
                </c:pt>
                <c:pt idx="3">
                  <c:v>-0.4026356048676808</c:v>
                </c:pt>
                <c:pt idx="4">
                  <c:v>-0.41380854266920114</c:v>
                </c:pt>
                <c:pt idx="5">
                  <c:v>-0.42523554018451853</c:v>
                </c:pt>
                <c:pt idx="6">
                  <c:v>-0.43693645849055829</c:v>
                </c:pt>
                <c:pt idx="7">
                  <c:v>-0.44892532506514687</c:v>
                </c:pt>
                <c:pt idx="8">
                  <c:v>-0.46120717440751452</c:v>
                </c:pt>
                <c:pt idx="9">
                  <c:v>-0.47378870478873641</c:v>
                </c:pt>
                <c:pt idx="10">
                  <c:v>-0.48670011911052713</c:v>
                </c:pt>
                <c:pt idx="11">
                  <c:v>-0.49996184942730459</c:v>
                </c:pt>
                <c:pt idx="12">
                  <c:v>-0.51358951967168887</c:v>
                </c:pt>
                <c:pt idx="13">
                  <c:v>-0.52760544778392116</c:v>
                </c:pt>
                <c:pt idx="14">
                  <c:v>-0.54199625934234485</c:v>
                </c:pt>
                <c:pt idx="15">
                  <c:v>-0.55672670518659229</c:v>
                </c:pt>
                <c:pt idx="16">
                  <c:v>-0.57185077591002809</c:v>
                </c:pt>
                <c:pt idx="17">
                  <c:v>-0.58738448407737265</c:v>
                </c:pt>
                <c:pt idx="18">
                  <c:v>-0.6033208050490918</c:v>
                </c:pt>
                <c:pt idx="19">
                  <c:v>-0.61966124690928459</c:v>
                </c:pt>
                <c:pt idx="20">
                  <c:v>-0.63638395193721342</c:v>
                </c:pt>
                <c:pt idx="21">
                  <c:v>-0.65346289684064951</c:v>
                </c:pt>
                <c:pt idx="22">
                  <c:v>-0.67090854453134541</c:v>
                </c:pt>
                <c:pt idx="23">
                  <c:v>-0.68873065133550537</c:v>
                </c:pt>
                <c:pt idx="24">
                  <c:v>-0.70693859466346431</c:v>
                </c:pt>
                <c:pt idx="25">
                  <c:v>-0.72554157236472838</c:v>
                </c:pt>
                <c:pt idx="26">
                  <c:v>-0.74454872423668561</c:v>
                </c:pt>
                <c:pt idx="27">
                  <c:v>-0.76396920629376464</c:v>
                </c:pt>
                <c:pt idx="28">
                  <c:v>-0.78381223635408981</c:v>
                </c:pt>
                <c:pt idx="29">
                  <c:v>-0.80408712219296163</c:v>
                </c:pt>
                <c:pt idx="30">
                  <c:v>-0.82480327908171569</c:v>
                </c:pt>
                <c:pt idx="31">
                  <c:v>-0.84597024084450223</c:v>
                </c:pt>
                <c:pt idx="32">
                  <c:v>-0.86759766693740448</c:v>
                </c:pt>
                <c:pt idx="33">
                  <c:v>-0.88969534706752285</c:v>
                </c:pt>
                <c:pt idx="34">
                  <c:v>-0.91227320427159675</c:v>
                </c:pt>
                <c:pt idx="35">
                  <c:v>-0.93534129701130797</c:v>
                </c:pt>
                <c:pt idx="36">
                  <c:v>-0.95890982062277941</c:v>
                </c:pt>
                <c:pt idx="37">
                  <c:v>-0.9829891083246991</c:v>
                </c:pt>
                <c:pt idx="38">
                  <c:v>-1.0075896319088675</c:v>
                </c:pt>
                <c:pt idx="39">
                  <c:v>-1.0327220021881198</c:v>
                </c:pt>
                <c:pt idx="40">
                  <c:v>-1.0583969692469806</c:v>
                </c:pt>
                <c:pt idx="41">
                  <c:v>-1.0846254225225138</c:v>
                </c:pt>
                <c:pt idx="42">
                  <c:v>-1.1114183907319921</c:v>
                </c:pt>
                <c:pt idx="43">
                  <c:v>-1.1387870416574706</c:v>
                </c:pt>
                <c:pt idx="44">
                  <c:v>-1.1667426817934214</c:v>
                </c:pt>
                <c:pt idx="45">
                  <c:v>-1.1952967558612366</c:v>
                </c:pt>
                <c:pt idx="46">
                  <c:v>-1.2244608461929993</c:v>
                </c:pt>
                <c:pt idx="47">
                  <c:v>-1.2542466719861425</c:v>
                </c:pt>
                <c:pt idx="48">
                  <c:v>-1.2846660884301466</c:v>
                </c:pt>
                <c:pt idx="49">
                  <c:v>-1.3157310857062168</c:v>
                </c:pt>
                <c:pt idx="50">
                  <c:v>-1.3474537878607711</c:v>
                </c:pt>
                <c:pt idx="51">
                  <c:v>-1.3798464515535895</c:v>
                </c:pt>
                <c:pt idx="52">
                  <c:v>-1.4129214646814967</c:v>
                </c:pt>
                <c:pt idx="53">
                  <c:v>-1.4466913448785481</c:v>
                </c:pt>
                <c:pt idx="54">
                  <c:v>-1.4811687378937941</c:v>
                </c:pt>
                <c:pt idx="55">
                  <c:v>-1.5163664158478019</c:v>
                </c:pt>
                <c:pt idx="56">
                  <c:v>-1.5522972753692725</c:v>
                </c:pt>
                <c:pt idx="57">
                  <c:v>-1.5889743356131998</c:v>
                </c:pt>
                <c:pt idx="58">
                  <c:v>-1.6264107361621805</c:v>
                </c:pt>
                <c:pt idx="59">
                  <c:v>-1.6646197348126253</c:v>
                </c:pt>
                <c:pt idx="60">
                  <c:v>-1.7036147052477726</c:v>
                </c:pt>
                <c:pt idx="61">
                  <c:v>-1.7434091345995544</c:v>
                </c:pt>
                <c:pt idx="62">
                  <c:v>-1.7840166209015205</c:v>
                </c:pt>
                <c:pt idx="63">
                  <c:v>-1.8254508704351728</c:v>
                </c:pt>
                <c:pt idx="64">
                  <c:v>-1.8677256949722254</c:v>
                </c:pt>
                <c:pt idx="65">
                  <c:v>-1.910855008915437</c:v>
                </c:pt>
                <c:pt idx="66">
                  <c:v>-1.9548528263408285</c:v>
                </c:pt>
                <c:pt idx="67">
                  <c:v>-1.9997332579442282</c:v>
                </c:pt>
                <c:pt idx="68">
                  <c:v>-2.0455105078952447</c:v>
                </c:pt>
                <c:pt idx="69">
                  <c:v>-2.0921988706018908</c:v>
                </c:pt>
                <c:pt idx="70">
                  <c:v>-2.139812727389224</c:v>
                </c:pt>
                <c:pt idx="71">
                  <c:v>-2.1883665430954933</c:v>
                </c:pt>
                <c:pt idx="72">
                  <c:v>-2.2378748625894156</c:v>
                </c:pt>
                <c:pt idx="73">
                  <c:v>-2.2883523072123038</c:v>
                </c:pt>
                <c:pt idx="74">
                  <c:v>-2.3398135711488979</c:v>
                </c:pt>
                <c:pt idx="75">
                  <c:v>-2.3922734177308529</c:v>
                </c:pt>
                <c:pt idx="76">
                  <c:v>-2.4457466756769164</c:v>
                </c:pt>
                <c:pt idx="77">
                  <c:v>-2.5002482352739492</c:v>
                </c:pt>
                <c:pt idx="78">
                  <c:v>-2.5557930445029977</c:v>
                </c:pt>
                <c:pt idx="79">
                  <c:v>-2.6123961051147147</c:v>
                </c:pt>
                <c:pt idx="80">
                  <c:v>-2.6700724686584936</c:v>
                </c:pt>
                <c:pt idx="81">
                  <c:v>-2.7288372324697319</c:v>
                </c:pt>
                <c:pt idx="82">
                  <c:v>-2.7887055356196848</c:v>
                </c:pt>
                <c:pt idx="83">
                  <c:v>-2.8496925548324334</c:v>
                </c:pt>
                <c:pt idx="84">
                  <c:v>-2.911813500373488</c:v>
                </c:pt>
                <c:pt idx="85">
                  <c:v>-2.9750836119146014</c:v>
                </c:pt>
                <c:pt idx="86">
                  <c:v>-3.0395181543793681</c:v>
                </c:pt>
                <c:pt idx="87">
                  <c:v>-3.1051324137741787</c:v>
                </c:pt>
                <c:pt idx="88">
                  <c:v>-3.1719416930091189</c:v>
                </c:pt>
                <c:pt idx="89">
                  <c:v>-3.2399613077133678</c:v>
                </c:pt>
                <c:pt idx="90">
                  <c:v>-3.3092065820496357</c:v>
                </c:pt>
                <c:pt idx="91">
                  <c:v>-3.3796928445321566</c:v>
                </c:pt>
                <c:pt idx="92">
                  <c:v>-3.4514354238526961</c:v>
                </c:pt>
                <c:pt idx="93">
                  <c:v>-3.5244496447190081</c:v>
                </c:pt>
                <c:pt idx="94">
                  <c:v>-3.5987508237100947</c:v>
                </c:pt>
                <c:pt idx="95">
                  <c:v>-3.6743542651525791</c:v>
                </c:pt>
                <c:pt idx="96">
                  <c:v>-3.7512752570224182</c:v>
                </c:pt>
                <c:pt idx="97">
                  <c:v>-3.8295290668761064</c:v>
                </c:pt>
                <c:pt idx="98">
                  <c:v>-3.9091309378154371</c:v>
                </c:pt>
                <c:pt idx="99">
                  <c:v>-3.9900960844897879</c:v>
                </c:pt>
                <c:pt idx="100">
                  <c:v>-4.0724396891398085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9-4BDC-8350-EFCAFC422A3F}"/>
            </c:ext>
          </c:extLst>
        </c:ser>
        <c:ser>
          <c:idx val="1"/>
          <c:order val="2"/>
          <c:tx>
            <c:v>Bayesian model average</c:v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graphtime!$A$153:$A$253</c:f>
              <c:numCache>
                <c:formatCode>General</c:formatCode>
                <c:ptCount val="10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</c:numCache>
            </c:numRef>
          </c:cat>
          <c:val>
            <c:numRef>
              <c:f>graphtime!$C$153:$C$253</c:f>
              <c:numCache>
                <c:formatCode>General</c:formatCode>
                <c:ptCount val="101"/>
                <c:pt idx="0">
                  <c:v>-0.31747761472331687</c:v>
                </c:pt>
                <c:pt idx="1">
                  <c:v>-0.32672767779765594</c:v>
                </c:pt>
                <c:pt idx="2">
                  <c:v>-0.33615007273315267</c:v>
                </c:pt>
                <c:pt idx="3">
                  <c:v>-0.3457424504371831</c:v>
                </c:pt>
                <c:pt idx="4">
                  <c:v>-0.35553928284364983</c:v>
                </c:pt>
                <c:pt idx="5">
                  <c:v>-0.36556900386654934</c:v>
                </c:pt>
                <c:pt idx="6">
                  <c:v>-0.37584967740999214</c:v>
                </c:pt>
                <c:pt idx="7">
                  <c:v>-0.38639431363618826</c:v>
                </c:pt>
                <c:pt idx="8">
                  <c:v>-0.3972080610865234</c:v>
                </c:pt>
                <c:pt idx="9">
                  <c:v>-0.40829756371060838</c:v>
                </c:pt>
                <c:pt idx="10">
                  <c:v>-0.41969025174089597</c:v>
                </c:pt>
                <c:pt idx="11">
                  <c:v>-0.43140504807834379</c:v>
                </c:pt>
                <c:pt idx="12">
                  <c:v>-0.44345671533824271</c:v>
                </c:pt>
                <c:pt idx="13">
                  <c:v>-0.45586602406714843</c:v>
                </c:pt>
                <c:pt idx="14">
                  <c:v>-0.46862219642896763</c:v>
                </c:pt>
                <c:pt idx="15">
                  <c:v>-0.48169498954404411</c:v>
                </c:pt>
                <c:pt idx="16">
                  <c:v>-0.4951333640862372</c:v>
                </c:pt>
                <c:pt idx="17">
                  <c:v>-0.50895272174787642</c:v>
                </c:pt>
                <c:pt idx="18">
                  <c:v>-0.52314801873655681</c:v>
                </c:pt>
                <c:pt idx="19">
                  <c:v>-0.53772181137962338</c:v>
                </c:pt>
                <c:pt idx="20">
                  <c:v>-0.55265579874645354</c:v>
                </c:pt>
                <c:pt idx="21">
                  <c:v>-0.56792786507989446</c:v>
                </c:pt>
                <c:pt idx="22">
                  <c:v>-0.58354847433602008</c:v>
                </c:pt>
                <c:pt idx="23">
                  <c:v>-0.59952751695636841</c:v>
                </c:pt>
                <c:pt idx="24">
                  <c:v>-0.61587460123046245</c:v>
                </c:pt>
                <c:pt idx="25">
                  <c:v>-0.63259923150552211</c:v>
                </c:pt>
                <c:pt idx="26">
                  <c:v>-0.64971091768920319</c:v>
                </c:pt>
                <c:pt idx="27">
                  <c:v>-0.66721924303128455</c:v>
                </c:pt>
                <c:pt idx="28">
                  <c:v>-0.68513390656526862</c:v>
                </c:pt>
                <c:pt idx="29">
                  <c:v>-0.70346475015189802</c:v>
                </c:pt>
                <c:pt idx="30">
                  <c:v>-0.72222177615800132</c:v>
                </c:pt>
                <c:pt idx="31">
                  <c:v>-0.74141515943183867</c:v>
                </c:pt>
                <c:pt idx="32">
                  <c:v>-0.76105525579646327</c:v>
                </c:pt>
                <c:pt idx="33">
                  <c:v>-0.78115260840899248</c:v>
                </c:pt>
                <c:pt idx="34">
                  <c:v>-0.80171795280353964</c:v>
                </c:pt>
                <c:pt idx="35">
                  <c:v>-0.8227622211138681</c:v>
                </c:pt>
                <c:pt idx="36">
                  <c:v>-0.84429654577661017</c:v>
                </c:pt>
                <c:pt idx="37">
                  <c:v>-0.86633226289741039</c:v>
                </c:pt>
                <c:pt idx="38">
                  <c:v>-0.88888091539043912</c:v>
                </c:pt>
                <c:pt idx="39">
                  <c:v>-0.91195425595804935</c:v>
                </c:pt>
                <c:pt idx="40">
                  <c:v>-0.935564249950808</c:v>
                </c:pt>
                <c:pt idx="41">
                  <c:v>-0.95972307813200031</c:v>
                </c:pt>
                <c:pt idx="42">
                  <c:v>-0.98444313936086281</c:v>
                </c:pt>
                <c:pt idx="43">
                  <c:v>-1.0097370532027916</c:v>
                </c:pt>
                <c:pt idx="44">
                  <c:v>-1.0356176624710665</c:v>
                </c:pt>
                <c:pt idx="45">
                  <c:v>-1.0620980357023515</c:v>
                </c:pt>
                <c:pt idx="46">
                  <c:v>-1.0891914695667675</c:v>
                </c:pt>
                <c:pt idx="47">
                  <c:v>-1.116911491212409</c:v>
                </c:pt>
                <c:pt idx="48">
                  <c:v>-1.1452718605435439</c:v>
                </c:pt>
                <c:pt idx="49">
                  <c:v>-1.1742865724312823</c:v>
                </c:pt>
                <c:pt idx="50">
                  <c:v>-1.2039698588551506</c:v>
                </c:pt>
                <c:pt idx="51">
                  <c:v>-1.2343361909737376</c:v>
                </c:pt>
                <c:pt idx="52">
                  <c:v>-1.2654002811222997</c:v>
                </c:pt>
                <c:pt idx="53">
                  <c:v>-1.2971770847349773</c:v>
                </c:pt>
                <c:pt idx="54">
                  <c:v>-1.329681802189032</c:v>
                </c:pt>
                <c:pt idx="55">
                  <c:v>-1.3629298805682399</c:v>
                </c:pt>
                <c:pt idx="56">
                  <c:v>-1.3969370153423406</c:v>
                </c:pt>
                <c:pt idx="57">
                  <c:v>-1.4317191519591226</c:v>
                </c:pt>
                <c:pt idx="58">
                  <c:v>-1.4672924873454583</c:v>
                </c:pt>
                <c:pt idx="59">
                  <c:v>-1.5036734713132531</c:v>
                </c:pt>
                <c:pt idx="60">
                  <c:v>-1.5408788078659563</c:v>
                </c:pt>
                <c:pt idx="61">
                  <c:v>-1.5789254564008868</c:v>
                </c:pt>
                <c:pt idx="62">
                  <c:v>-1.6178306328022667</c:v>
                </c:pt>
                <c:pt idx="63">
                  <c:v>-1.6576118104194266</c:v>
                </c:pt>
                <c:pt idx="64">
                  <c:v>-1.6982867209242027</c:v>
                </c:pt>
                <c:pt idx="65">
                  <c:v>-1.7398733550411043</c:v>
                </c:pt>
                <c:pt idx="66">
                  <c:v>-1.7823899631433213</c:v>
                </c:pt>
                <c:pt idx="67">
                  <c:v>-1.8258550557071282</c:v>
                </c:pt>
                <c:pt idx="68">
                  <c:v>-1.8702874036167223</c:v>
                </c:pt>
                <c:pt idx="69">
                  <c:v>-1.9157060383109441</c:v>
                </c:pt>
                <c:pt idx="70">
                  <c:v>-1.9621302517627572</c:v>
                </c:pt>
                <c:pt idx="71">
                  <c:v>-2.0095795962817493</c:v>
                </c:pt>
                <c:pt idx="72">
                  <c:v>-2.0580738841292838</c:v>
                </c:pt>
                <c:pt idx="73">
                  <c:v>-2.1076331869352773</c:v>
                </c:pt>
                <c:pt idx="74">
                  <c:v>-2.1582778349049132</c:v>
                </c:pt>
                <c:pt idx="75">
                  <c:v>-2.2100284158029191</c:v>
                </c:pt>
                <c:pt idx="76">
                  <c:v>-2.2629057737023173</c:v>
                </c:pt>
                <c:pt idx="77">
                  <c:v>-2.3169310074838831</c:v>
                </c:pt>
                <c:pt idx="78">
                  <c:v>-2.3721254690717921</c:v>
                </c:pt>
                <c:pt idx="79">
                  <c:v>-2.4285107613902537</c:v>
                </c:pt>
                <c:pt idx="80">
                  <c:v>-2.4861087360251983</c:v>
                </c:pt>
                <c:pt idx="81">
                  <c:v>-2.5449414905743732</c:v>
                </c:pt>
                <c:pt idx="82">
                  <c:v>-2.6050313656685198</c:v>
                </c:pt>
                <c:pt idx="83">
                  <c:v>-2.6664009416456311</c:v>
                </c:pt>
                <c:pt idx="84">
                  <c:v>-2.7290730348596268</c:v>
                </c:pt>
                <c:pt idx="85">
                  <c:v>-2.7930706936041743</c:v>
                </c:pt>
                <c:pt idx="86">
                  <c:v>-2.858417193631829</c:v>
                </c:pt>
                <c:pt idx="87">
                  <c:v>-2.9251360332481169</c:v>
                </c:pt>
                <c:pt idx="88">
                  <c:v>-2.9932509279597563</c:v>
                </c:pt>
                <c:pt idx="89">
                  <c:v>-3.0627858046557908</c:v>
                </c:pt>
                <c:pt idx="90">
                  <c:v>-3.1337647953001539</c:v>
                </c:pt>
                <c:pt idx="91">
                  <c:v>-3.2062122301139291</c:v>
                </c:pt>
                <c:pt idx="92">
                  <c:v>-3.2801526302255208</c:v>
                </c:pt>
                <c:pt idx="93">
                  <c:v>-3.3556106997669541</c:v>
                </c:pt>
                <c:pt idx="94">
                  <c:v>-3.4326113173947181</c:v>
                </c:pt>
                <c:pt idx="95">
                  <c:v>-3.5111795272139075</c:v>
                </c:pt>
                <c:pt idx="96">
                  <c:v>-3.5913405290849072</c:v>
                </c:pt>
                <c:pt idx="97">
                  <c:v>-3.6731196682926504</c:v>
                </c:pt>
                <c:pt idx="98">
                  <c:v>-3.7565424245593433</c:v>
                </c:pt>
                <c:pt idx="99">
                  <c:v>-3.8416344003828282</c:v>
                </c:pt>
                <c:pt idx="100">
                  <c:v>-3.928421308684177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99-4BDC-8350-EFCAFC422A3F}"/>
            </c:ext>
          </c:extLst>
        </c:ser>
        <c:ser>
          <c:idx val="3"/>
          <c:order val="3"/>
          <c:tx>
            <c:v>Linear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graphtime!$A$153:$A$253</c:f>
              <c:numCache>
                <c:formatCode>General</c:formatCode>
                <c:ptCount val="10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</c:numCache>
            </c:numRef>
          </c:cat>
          <c:val>
            <c:numRef>
              <c:f>graphtime!$F$153:$F$253</c:f>
              <c:numCache>
                <c:formatCode>General</c:formatCode>
                <c:ptCount val="101"/>
                <c:pt idx="0">
                  <c:v>-0.57441769904933226</c:v>
                </c:pt>
                <c:pt idx="1">
                  <c:v>-0.58909385915259815</c:v>
                </c:pt>
                <c:pt idx="2">
                  <c:v>-0.60395008912165027</c:v>
                </c:pt>
                <c:pt idx="3">
                  <c:v>-0.61897923148439526</c:v>
                </c:pt>
                <c:pt idx="4">
                  <c:v>-0.63423140347847973</c:v>
                </c:pt>
                <c:pt idx="5">
                  <c:v>-0.64974607907932691</c:v>
                </c:pt>
                <c:pt idx="6">
                  <c:v>-0.66554574521188459</c:v>
                </c:pt>
                <c:pt idx="7">
                  <c:v>-0.68164450462089643</c:v>
                </c:pt>
                <c:pt idx="8">
                  <c:v>-0.69804408340239699</c:v>
                </c:pt>
                <c:pt idx="9">
                  <c:v>-0.71474827883816772</c:v>
                </c:pt>
                <c:pt idx="10">
                  <c:v>-0.73179164451793033</c:v>
                </c:pt>
                <c:pt idx="11">
                  <c:v>-0.74919504259556857</c:v>
                </c:pt>
                <c:pt idx="12">
                  <c:v>-0.76697246697929489</c:v>
                </c:pt>
                <c:pt idx="13">
                  <c:v>-0.78514609507814659</c:v>
                </c:pt>
                <c:pt idx="14">
                  <c:v>-0.80369156276182896</c:v>
                </c:pt>
                <c:pt idx="15">
                  <c:v>-0.82255703199662444</c:v>
                </c:pt>
                <c:pt idx="16">
                  <c:v>-0.84180505285205409</c:v>
                </c:pt>
                <c:pt idx="17">
                  <c:v>-0.86144860375039178</c:v>
                </c:pt>
                <c:pt idx="18">
                  <c:v>-0.8814713334123111</c:v>
                </c:pt>
                <c:pt idx="19">
                  <c:v>-0.90186778499919351</c:v>
                </c:pt>
                <c:pt idx="20">
                  <c:v>-0.92260363177331861</c:v>
                </c:pt>
                <c:pt idx="21">
                  <c:v>-0.94364022024587846</c:v>
                </c:pt>
                <c:pt idx="22">
                  <c:v>-0.96498431933806761</c:v>
                </c:pt>
                <c:pt idx="23">
                  <c:v>-0.98664157351311399</c:v>
                </c:pt>
                <c:pt idx="24">
                  <c:v>-1.0086169288013755</c:v>
                </c:pt>
                <c:pt idx="25">
                  <c:v>-1.0309148894866818</c:v>
                </c:pt>
                <c:pt idx="26">
                  <c:v>-1.053539672712664</c:v>
                </c:pt>
                <c:pt idx="27">
                  <c:v>-1.0764953015501295</c:v>
                </c:pt>
                <c:pt idx="28">
                  <c:v>-1.0997856609568888</c:v>
                </c:pt>
                <c:pt idx="29">
                  <c:v>-1.1234145313514834</c:v>
                </c:pt>
                <c:pt idx="30">
                  <c:v>-1.1473856086710925</c:v>
                </c:pt>
                <c:pt idx="31">
                  <c:v>-1.1717025162587116</c:v>
                </c:pt>
                <c:pt idx="32">
                  <c:v>-1.1963688118011178</c:v>
                </c:pt>
                <c:pt idx="33">
                  <c:v>-1.2213879912600547</c:v>
                </c:pt>
                <c:pt idx="34">
                  <c:v>-1.246763490968698</c:v>
                </c:pt>
                <c:pt idx="35">
                  <c:v>-1.27249868860149</c:v>
                </c:pt>
                <c:pt idx="36">
                  <c:v>-1.2985969034460147</c:v>
                </c:pt>
                <c:pt idx="37">
                  <c:v>-1.3250613962372639</c:v>
                </c:pt>
                <c:pt idx="38">
                  <c:v>-1.3518953687132647</c:v>
                </c:pt>
                <c:pt idx="39">
                  <c:v>-1.3791019629899275</c:v>
                </c:pt>
                <c:pt idx="40">
                  <c:v>-1.4066842608161121</c:v>
                </c:pt>
                <c:pt idx="41">
                  <c:v>-1.4346452827476672</c:v>
                </c:pt>
                <c:pt idx="42">
                  <c:v>-1.4629879872657259</c:v>
                </c:pt>
                <c:pt idx="43">
                  <c:v>-1.4917152698563714</c:v>
                </c:pt>
                <c:pt idx="44">
                  <c:v>-1.5208299620637971</c:v>
                </c:pt>
                <c:pt idx="45">
                  <c:v>-1.5503348305260201</c:v>
                </c:pt>
                <c:pt idx="46">
                  <c:v>-1.5802325760002862</c:v>
                </c:pt>
                <c:pt idx="47">
                  <c:v>-1.6105258323840947</c:v>
                </c:pt>
                <c:pt idx="48">
                  <c:v>-1.6412171657369616</c:v>
                </c:pt>
                <c:pt idx="49">
                  <c:v>-1.6723090733075141</c:v>
                </c:pt>
                <c:pt idx="50">
                  <c:v>-1.7038039825700872</c:v>
                </c:pt>
                <c:pt idx="51">
                  <c:v>-1.7357042502747286</c:v>
                </c:pt>
                <c:pt idx="52">
                  <c:v>-1.7680121615142437</c:v>
                </c:pt>
                <c:pt idx="53">
                  <c:v>-1.800729928811726</c:v>
                </c:pt>
                <c:pt idx="54">
                  <c:v>-1.8338596912318175</c:v>
                </c:pt>
                <c:pt idx="55">
                  <c:v>-1.8674035135187714</c:v>
                </c:pt>
                <c:pt idx="56">
                  <c:v>-1.9013633852642327</c:v>
                </c:pt>
                <c:pt idx="57">
                  <c:v>-1.9357412201074697</c:v>
                </c:pt>
                <c:pt idx="58">
                  <c:v>-1.9705388549706584</c:v>
                </c:pt>
                <c:pt idx="59">
                  <c:v>-2.0057580493316389</c:v>
                </c:pt>
                <c:pt idx="60">
                  <c:v>-2.0414004845364357</c:v>
                </c:pt>
                <c:pt idx="61">
                  <c:v>-2.0774677631536576</c:v>
                </c:pt>
                <c:pt idx="62">
                  <c:v>-2.1139614083727594</c:v>
                </c:pt>
                <c:pt idx="63">
                  <c:v>-2.1508828634479906</c:v>
                </c:pt>
                <c:pt idx="64">
                  <c:v>-2.1882334911897057</c:v>
                </c:pt>
                <c:pt idx="65">
                  <c:v>-2.2260145735045711</c:v>
                </c:pt>
                <c:pt idx="66">
                  <c:v>-2.2642273109860467</c:v>
                </c:pt>
                <c:pt idx="67">
                  <c:v>-2.3028728225563855</c:v>
                </c:pt>
                <c:pt idx="68">
                  <c:v>-2.3419521451612502</c:v>
                </c:pt>
                <c:pt idx="69">
                  <c:v>-2.3814662335178953</c:v>
                </c:pt>
                <c:pt idx="70">
                  <c:v>-2.4214159599177369</c:v>
                </c:pt>
                <c:pt idx="71">
                  <c:v>-2.4618021140839876</c:v>
                </c:pt>
                <c:pt idx="72">
                  <c:v>-2.5026254030848989</c:v>
                </c:pt>
                <c:pt idx="73">
                  <c:v>-2.5438864513030217</c:v>
                </c:pt>
                <c:pt idx="74">
                  <c:v>-2.5855858004607692</c:v>
                </c:pt>
                <c:pt idx="75">
                  <c:v>-2.6277239097024365</c:v>
                </c:pt>
                <c:pt idx="76">
                  <c:v>-2.670301155732699</c:v>
                </c:pt>
                <c:pt idx="77">
                  <c:v>-2.71331783301151</c:v>
                </c:pt>
                <c:pt idx="78">
                  <c:v>-2.7567741540051767</c:v>
                </c:pt>
                <c:pt idx="79">
                  <c:v>-2.8006702494932982</c:v>
                </c:pt>
                <c:pt idx="80">
                  <c:v>-2.845006168931131</c:v>
                </c:pt>
                <c:pt idx="81">
                  <c:v>-2.8897818808668334</c:v>
                </c:pt>
                <c:pt idx="82">
                  <c:v>-2.9349972734129546</c:v>
                </c:pt>
                <c:pt idx="83">
                  <c:v>-2.9806521547714144</c:v>
                </c:pt>
                <c:pt idx="84">
                  <c:v>-3.026746253811146</c:v>
                </c:pt>
                <c:pt idx="85">
                  <c:v>-3.0732792206974611</c:v>
                </c:pt>
                <c:pt idx="86">
                  <c:v>-3.1202506275721347</c:v>
                </c:pt>
                <c:pt idx="87">
                  <c:v>-3.1676599692830996</c:v>
                </c:pt>
                <c:pt idx="88">
                  <c:v>-3.215506664162592</c:v>
                </c:pt>
                <c:pt idx="89">
                  <c:v>-3.2637900548524841</c:v>
                </c:pt>
                <c:pt idx="90">
                  <c:v>-3.3125094091755081</c:v>
                </c:pt>
                <c:pt idx="91">
                  <c:v>-3.3616639210509764</c:v>
                </c:pt>
                <c:pt idx="92">
                  <c:v>-3.4112527114535771</c:v>
                </c:pt>
                <c:pt idx="93">
                  <c:v>-3.4612748294137443</c:v>
                </c:pt>
                <c:pt idx="94">
                  <c:v>-3.5117292530580726</c:v>
                </c:pt>
                <c:pt idx="95">
                  <c:v>-3.5626148906881836</c:v>
                </c:pt>
                <c:pt idx="96">
                  <c:v>-3.6139305818964345</c:v>
                </c:pt>
                <c:pt idx="97">
                  <c:v>-3.6656750987167981</c:v>
                </c:pt>
                <c:pt idx="98">
                  <c:v>-3.7178471468092367</c:v>
                </c:pt>
                <c:pt idx="99">
                  <c:v>-3.7704453666758493</c:v>
                </c:pt>
                <c:pt idx="100">
                  <c:v>-3.8234683349070582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99-4BDC-8350-EFCAFC422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712184"/>
        <c:axId val="750715064"/>
      </c:lineChart>
      <c:catAx>
        <c:axId val="75071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50715064"/>
        <c:crosses val="autoZero"/>
        <c:auto val="1"/>
        <c:lblAlgn val="ctr"/>
        <c:lblOffset val="100"/>
        <c:tickLblSkip val="25"/>
        <c:tickMarkSkip val="25"/>
        <c:noMultiLvlLbl val="0"/>
      </c:catAx>
      <c:valAx>
        <c:axId val="750715064"/>
        <c:scaling>
          <c:orientation val="minMax"/>
          <c:min val="-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Hicksian equivalent variation (% income)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5071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638072164056418"/>
          <c:y val="0.76649423367533609"/>
          <c:w val="0.28288667762683511"/>
          <c:h val="0.190243855881651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750183020339769E-2"/>
          <c:y val="2.6730742854766159E-2"/>
          <c:w val="0.86876857846113975"/>
          <c:h val="0.94653851429046765"/>
        </c:manualLayout>
      </c:layout>
      <c:lineChart>
        <c:grouping val="standard"/>
        <c:varyColors val="0"/>
        <c:ser>
          <c:idx val="4"/>
          <c:order val="0"/>
          <c:tx>
            <c:v>1.5K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graphtime!$A$153:$A$253</c:f>
              <c:numCache>
                <c:formatCode>General</c:formatCode>
                <c:ptCount val="10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</c:numCache>
            </c:numRef>
          </c:cat>
          <c:val>
            <c:numRef>
              <c:f>graphtime!$AU$153:$AU$253</c:f>
              <c:numCache>
                <c:formatCode>General</c:formatCode>
                <c:ptCount val="101"/>
                <c:pt idx="0">
                  <c:v>-0.31747761472331687</c:v>
                </c:pt>
                <c:pt idx="1">
                  <c:v>-0.32672767779765594</c:v>
                </c:pt>
                <c:pt idx="2">
                  <c:v>-0.33615007273315267</c:v>
                </c:pt>
                <c:pt idx="3">
                  <c:v>-0.3457424504371831</c:v>
                </c:pt>
                <c:pt idx="4">
                  <c:v>-0.35553928284364983</c:v>
                </c:pt>
                <c:pt idx="5">
                  <c:v>-0.36556900386654934</c:v>
                </c:pt>
                <c:pt idx="6">
                  <c:v>-0.37584967740999214</c:v>
                </c:pt>
                <c:pt idx="7">
                  <c:v>-0.38639431363618826</c:v>
                </c:pt>
                <c:pt idx="8">
                  <c:v>-0.3972080610865234</c:v>
                </c:pt>
                <c:pt idx="9">
                  <c:v>-0.40829756371060838</c:v>
                </c:pt>
                <c:pt idx="10">
                  <c:v>-0.41969025174089597</c:v>
                </c:pt>
                <c:pt idx="11">
                  <c:v>-0.43140504807834379</c:v>
                </c:pt>
                <c:pt idx="12">
                  <c:v>-0.44345671533824271</c:v>
                </c:pt>
                <c:pt idx="13">
                  <c:v>-0.45586602406714843</c:v>
                </c:pt>
                <c:pt idx="14">
                  <c:v>-0.46862219642896763</c:v>
                </c:pt>
                <c:pt idx="15">
                  <c:v>-0.48169498954404411</c:v>
                </c:pt>
                <c:pt idx="16">
                  <c:v>-0.4951333640862372</c:v>
                </c:pt>
                <c:pt idx="17">
                  <c:v>-0.50895272174787642</c:v>
                </c:pt>
                <c:pt idx="18">
                  <c:v>-0.52314801873655681</c:v>
                </c:pt>
                <c:pt idx="19">
                  <c:v>-0.53772181137962338</c:v>
                </c:pt>
                <c:pt idx="20">
                  <c:v>-0.55265579874645354</c:v>
                </c:pt>
                <c:pt idx="21">
                  <c:v>-0.56792786507989446</c:v>
                </c:pt>
                <c:pt idx="22">
                  <c:v>-0.58314043564210671</c:v>
                </c:pt>
                <c:pt idx="23">
                  <c:v>-0.59804722463967463</c:v>
                </c:pt>
                <c:pt idx="24">
                  <c:v>-0.61249742636933635</c:v>
                </c:pt>
                <c:pt idx="25">
                  <c:v>-0.62640133664750852</c:v>
                </c:pt>
                <c:pt idx="26">
                  <c:v>-0.63970871244840766</c:v>
                </c:pt>
                <c:pt idx="27">
                  <c:v>-0.65239493925450509</c:v>
                </c:pt>
                <c:pt idx="28">
                  <c:v>-0.66445208878661788</c:v>
                </c:pt>
                <c:pt idx="29">
                  <c:v>-0.67588308760698901</c:v>
                </c:pt>
                <c:pt idx="30">
                  <c:v>-0.68669788725825709</c:v>
                </c:pt>
                <c:pt idx="31">
                  <c:v>-0.69691093349285405</c:v>
                </c:pt>
                <c:pt idx="32">
                  <c:v>-0.70653948468453442</c:v>
                </c:pt>
                <c:pt idx="33">
                  <c:v>-0.71560248876183907</c:v>
                </c:pt>
                <c:pt idx="34">
                  <c:v>-0.72411982959733945</c:v>
                </c:pt>
                <c:pt idx="35">
                  <c:v>-0.73211181916616841</c:v>
                </c:pt>
                <c:pt idx="36">
                  <c:v>-0.73959885414745818</c:v>
                </c:pt>
                <c:pt idx="37">
                  <c:v>-0.74660118323941016</c:v>
                </c:pt>
                <c:pt idx="38">
                  <c:v>-0.7531387495228965</c:v>
                </c:pt>
                <c:pt idx="39">
                  <c:v>-0.75923108408287154</c:v>
                </c:pt>
                <c:pt idx="40">
                  <c:v>-0.76489723493371831</c:v>
                </c:pt>
                <c:pt idx="41">
                  <c:v>-0.77015572048704195</c:v>
                </c:pt>
                <c:pt idx="42">
                  <c:v>-0.77502450025452152</c:v>
                </c:pt>
                <c:pt idx="43">
                  <c:v>-0.77952095778580444</c:v>
                </c:pt>
                <c:pt idx="44">
                  <c:v>-0.78366189238987582</c:v>
                </c:pt>
                <c:pt idx="45">
                  <c:v>-0.78746351723272257</c:v>
                </c:pt>
                <c:pt idx="46">
                  <c:v>-0.79094146211267202</c:v>
                </c:pt>
                <c:pt idx="47">
                  <c:v>-0.79411077969868771</c:v>
                </c:pt>
                <c:pt idx="48">
                  <c:v>-0.79698595435003994</c:v>
                </c:pt>
                <c:pt idx="49">
                  <c:v>-0.79958091286722022</c:v>
                </c:pt>
                <c:pt idx="50">
                  <c:v>-0.801909036686548</c:v>
                </c:pt>
                <c:pt idx="51">
                  <c:v>-0.80398317514657225</c:v>
                </c:pt>
                <c:pt idx="52">
                  <c:v>-0.80581565953786538</c:v>
                </c:pt>
                <c:pt idx="53">
                  <c:v>-0.80741831770904948</c:v>
                </c:pt>
                <c:pt idx="54">
                  <c:v>-0.80880248904765839</c:v>
                </c:pt>
                <c:pt idx="55">
                  <c:v>-0.80997903968924756</c:v>
                </c:pt>
                <c:pt idx="56">
                  <c:v>-0.81095837783518143</c:v>
                </c:pt>
                <c:pt idx="57">
                  <c:v>-0.81175046908087678</c:v>
                </c:pt>
                <c:pt idx="58">
                  <c:v>-0.81236485167345618</c:v>
                </c:pt>
                <c:pt idx="59">
                  <c:v>-0.8128106516318101</c:v>
                </c:pt>
                <c:pt idx="60">
                  <c:v>-0.8130965976737069</c:v>
                </c:pt>
                <c:pt idx="61">
                  <c:v>-0.81323103590435786</c:v>
                </c:pt>
                <c:pt idx="62">
                  <c:v>-0.81322194422910643</c:v>
                </c:pt>
                <c:pt idx="63">
                  <c:v>-0.81307694645998463</c:v>
                </c:pt>
                <c:pt idx="64">
                  <c:v>-0.81280332609190964</c:v>
                </c:pt>
                <c:pt idx="65">
                  <c:v>-0.81240803972952835</c:v>
                </c:pt>
                <c:pt idx="66">
                  <c:v>-0.81189773015020394</c:v>
                </c:pt>
                <c:pt idx="67">
                  <c:v>-0.81127873899253289</c:v>
                </c:pt>
                <c:pt idx="68">
                  <c:v>-0.81055711906313777</c:v>
                </c:pt>
                <c:pt idx="69">
                  <c:v>-0.80973864625738101</c:v>
                </c:pt>
                <c:pt idx="70">
                  <c:v>-0.80882883109213988</c:v>
                </c:pt>
                <c:pt idx="71">
                  <c:v>-0.80783292985092459</c:v>
                </c:pt>
                <c:pt idx="72">
                  <c:v>-0.80675595534346245</c:v>
                </c:pt>
                <c:pt idx="73">
                  <c:v>-0.80560268728341355</c:v>
                </c:pt>
                <c:pt idx="74">
                  <c:v>-0.80437768228921425</c:v>
                </c:pt>
                <c:pt idx="75">
                  <c:v>-0.80308528351414821</c:v>
                </c:pt>
                <c:pt idx="76">
                  <c:v>-0.8017296299126504</c:v>
                </c:pt>
                <c:pt idx="77">
                  <c:v>-0.80031466515061989</c:v>
                </c:pt>
                <c:pt idx="78">
                  <c:v>-0.79884414616810673</c:v>
                </c:pt>
                <c:pt idx="79">
                  <c:v>-0.7973216514032343</c:v>
                </c:pt>
                <c:pt idx="80">
                  <c:v>-0.79575058868657289</c:v>
                </c:pt>
                <c:pt idx="81">
                  <c:v>-0.79413420281546554</c:v>
                </c:pt>
                <c:pt idx="82">
                  <c:v>-0.79247558281798025</c:v>
                </c:pt>
                <c:pt idx="83">
                  <c:v>-0.79077766891628887</c:v>
                </c:pt>
                <c:pt idx="84">
                  <c:v>-0.78904325919930907</c:v>
                </c:pt>
                <c:pt idx="85">
                  <c:v>-0.78727501601445271</c:v>
                </c:pt>
                <c:pt idx="86">
                  <c:v>-0.78547547208825952</c:v>
                </c:pt>
                <c:pt idx="87">
                  <c:v>-0.78364703638561073</c:v>
                </c:pt>
                <c:pt idx="88">
                  <c:v>-0.78179199971708835</c:v>
                </c:pt>
                <c:pt idx="89">
                  <c:v>-0.77991254010388322</c:v>
                </c:pt>
                <c:pt idx="90">
                  <c:v>-0.77801072790949022</c:v>
                </c:pt>
                <c:pt idx="91">
                  <c:v>-0.77608853074721806</c:v>
                </c:pt>
                <c:pt idx="92">
                  <c:v>-0.77414781817232881</c:v>
                </c:pt>
                <c:pt idx="93">
                  <c:v>-0.77219036616740688</c:v>
                </c:pt>
                <c:pt idx="94">
                  <c:v>-0.77021786142930426</c:v>
                </c:pt>
                <c:pt idx="95">
                  <c:v>-0.76823190546577969</c:v>
                </c:pt>
                <c:pt idx="96">
                  <c:v>-0.7662340185096963</c:v>
                </c:pt>
                <c:pt idx="97">
                  <c:v>-0.76422564325839004</c:v>
                </c:pt>
                <c:pt idx="98">
                  <c:v>-0.76220814844557494</c:v>
                </c:pt>
                <c:pt idx="99">
                  <c:v>-0.7601828322528934</c:v>
                </c:pt>
                <c:pt idx="100">
                  <c:v>-0.75815092556797414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68-4CE6-9616-2F69D84BC30A}"/>
            </c:ext>
          </c:extLst>
        </c:ser>
        <c:ser>
          <c:idx val="3"/>
          <c:order val="1"/>
          <c:tx>
            <c:v>2.0K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graphtime!$A$153:$A$253</c:f>
              <c:numCache>
                <c:formatCode>General</c:formatCode>
                <c:ptCount val="10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</c:numCache>
            </c:numRef>
          </c:cat>
          <c:val>
            <c:numRef>
              <c:f>graphtime!$AJ$153:$AJ$253</c:f>
              <c:numCache>
                <c:formatCode>General</c:formatCode>
                <c:ptCount val="101"/>
                <c:pt idx="0">
                  <c:v>-0.31747761472331687</c:v>
                </c:pt>
                <c:pt idx="1">
                  <c:v>-0.32672767779765594</c:v>
                </c:pt>
                <c:pt idx="2">
                  <c:v>-0.33615007273315267</c:v>
                </c:pt>
                <c:pt idx="3">
                  <c:v>-0.3457424504371831</c:v>
                </c:pt>
                <c:pt idx="4">
                  <c:v>-0.35553928284364983</c:v>
                </c:pt>
                <c:pt idx="5">
                  <c:v>-0.36556900386654934</c:v>
                </c:pt>
                <c:pt idx="6">
                  <c:v>-0.37584967740999214</c:v>
                </c:pt>
                <c:pt idx="7">
                  <c:v>-0.38639431363618826</c:v>
                </c:pt>
                <c:pt idx="8">
                  <c:v>-0.3972080610865234</c:v>
                </c:pt>
                <c:pt idx="9">
                  <c:v>-0.40829756371060838</c:v>
                </c:pt>
                <c:pt idx="10">
                  <c:v>-0.41969025174089597</c:v>
                </c:pt>
                <c:pt idx="11">
                  <c:v>-0.43140504807834379</c:v>
                </c:pt>
                <c:pt idx="12">
                  <c:v>-0.44345671533824271</c:v>
                </c:pt>
                <c:pt idx="13">
                  <c:v>-0.45586602406714843</c:v>
                </c:pt>
                <c:pt idx="14">
                  <c:v>-0.46862219642896763</c:v>
                </c:pt>
                <c:pt idx="15">
                  <c:v>-0.48169498954404411</c:v>
                </c:pt>
                <c:pt idx="16">
                  <c:v>-0.4951333640862372</c:v>
                </c:pt>
                <c:pt idx="17">
                  <c:v>-0.50895272174787642</c:v>
                </c:pt>
                <c:pt idx="18">
                  <c:v>-0.52314801873655681</c:v>
                </c:pt>
                <c:pt idx="19">
                  <c:v>-0.53772181137962338</c:v>
                </c:pt>
                <c:pt idx="20">
                  <c:v>-0.55265579874645354</c:v>
                </c:pt>
                <c:pt idx="21">
                  <c:v>-0.56792786507989446</c:v>
                </c:pt>
                <c:pt idx="22">
                  <c:v>-0.58346271479720047</c:v>
                </c:pt>
                <c:pt idx="23">
                  <c:v>-0.59919377301354348</c:v>
                </c:pt>
                <c:pt idx="24">
                  <c:v>-0.61506142572063971</c:v>
                </c:pt>
                <c:pt idx="25">
                  <c:v>-0.63101183344817047</c:v>
                </c:pt>
                <c:pt idx="26">
                  <c:v>-0.64699610425784626</c:v>
                </c:pt>
                <c:pt idx="27">
                  <c:v>-0.66296969524490146</c:v>
                </c:pt>
                <c:pt idx="28">
                  <c:v>-0.67889196188343082</c:v>
                </c:pt>
                <c:pt idx="29">
                  <c:v>-0.69472580496786229</c:v>
                </c:pt>
                <c:pt idx="30">
                  <c:v>-0.710437383483004</c:v>
                </c:pt>
                <c:pt idx="31">
                  <c:v>-0.72599587317729142</c:v>
                </c:pt>
                <c:pt idx="32">
                  <c:v>-0.741373257725083</c:v>
                </c:pt>
                <c:pt idx="33">
                  <c:v>-0.75654414383035462</c:v>
                </c:pt>
                <c:pt idx="34">
                  <c:v>-0.77148559446407006</c:v>
                </c:pt>
                <c:pt idx="35">
                  <c:v>-0.78617697625878047</c:v>
                </c:pt>
                <c:pt idx="36">
                  <c:v>-0.80059981828369597</c:v>
                </c:pt>
                <c:pt idx="37">
                  <c:v>-0.81473768022317961</c:v>
                </c:pt>
                <c:pt idx="38">
                  <c:v>-0.82857602852454926</c:v>
                </c:pt>
                <c:pt idx="39">
                  <c:v>-0.84210211945661306</c:v>
                </c:pt>
                <c:pt idx="40">
                  <c:v>-0.85530488828485851</c:v>
                </c:pt>
                <c:pt idx="41">
                  <c:v>-0.86817484395859024</c:v>
                </c:pt>
                <c:pt idx="42">
                  <c:v>-0.88070396884287927</c:v>
                </c:pt>
                <c:pt idx="43">
                  <c:v>-0.89288562312927544</c:v>
                </c:pt>
                <c:pt idx="44">
                  <c:v>-0.90471445363412673</c:v>
                </c:pt>
                <c:pt idx="45">
                  <c:v>-0.91618630674913004</c:v>
                </c:pt>
                <c:pt idx="46">
                  <c:v>-0.92729814535032218</c:v>
                </c:pt>
                <c:pt idx="47">
                  <c:v>-0.93804796950266534</c:v>
                </c:pt>
                <c:pt idx="48">
                  <c:v>-0.94843474082027157</c:v>
                </c:pt>
                <c:pt idx="49">
                  <c:v>-0.95845831035906026</c:v>
                </c:pt>
                <c:pt idx="50">
                  <c:v>-0.96811934993072712</c:v>
                </c:pt>
                <c:pt idx="51">
                  <c:v>-0.97741928673543532</c:v>
                </c:pt>
                <c:pt idx="52">
                  <c:v>-0.98636024121646937</c:v>
                </c:pt>
                <c:pt idx="53">
                  <c:v>-0.99494496804394128</c:v>
                </c:pt>
                <c:pt idx="54">
                  <c:v>-1.0031768001369787</c:v>
                </c:pt>
                <c:pt idx="55">
                  <c:v>-1.0110595956351367</c:v>
                </c:pt>
                <c:pt idx="56">
                  <c:v>-1.0185976877303227</c:v>
                </c:pt>
                <c:pt idx="57">
                  <c:v>-1.0257958372706237</c:v>
                </c:pt>
                <c:pt idx="58">
                  <c:v>-1.0326591880472384</c:v>
                </c:pt>
                <c:pt idx="59">
                  <c:v>-1.0391932246753823</c:v>
                </c:pt>
                <c:pt idx="60">
                  <c:v>-1.0454037329797361</c:v>
                </c:pt>
                <c:pt idx="61">
                  <c:v>-1.0512967627947425</c:v>
                </c:pt>
                <c:pt idx="62">
                  <c:v>-1.0568785930899536</c:v>
                </c:pt>
                <c:pt idx="63">
                  <c:v>-1.0621556993306989</c:v>
                </c:pt>
                <c:pt idx="64">
                  <c:v>-1.0671347229846209</c:v>
                </c:pt>
                <c:pt idx="65">
                  <c:v>-1.0718224430851291</c:v>
                </c:pt>
                <c:pt idx="66">
                  <c:v>-1.0762257497635428</c:v>
                </c:pt>
                <c:pt idx="67">
                  <c:v>-1.0803516196626428</c:v>
                </c:pt>
                <c:pt idx="68">
                  <c:v>-1.0842070931455305</c:v>
                </c:pt>
                <c:pt idx="69">
                  <c:v>-1.0877992532150511</c:v>
                </c:pt>
                <c:pt idx="70">
                  <c:v>-1.0911352060606114</c:v>
                </c:pt>
                <c:pt idx="71">
                  <c:v>-1.0942220631509587</c:v>
                </c:pt>
                <c:pt idx="72">
                  <c:v>-1.0970669247933715</c:v>
                </c:pt>
                <c:pt idx="73">
                  <c:v>-1.0996768650817514</c:v>
                </c:pt>
                <c:pt idx="74">
                  <c:v>-1.1020589181582447</c:v>
                </c:pt>
                <c:pt idx="75">
                  <c:v>-1.1042200657152796</c:v>
                </c:pt>
                <c:pt idx="76">
                  <c:v>-1.1061672256672113</c:v>
                </c:pt>
                <c:pt idx="77">
                  <c:v>-1.1079072419231879</c:v>
                </c:pt>
                <c:pt idx="78">
                  <c:v>-1.1094468751952575</c:v>
                </c:pt>
                <c:pt idx="79">
                  <c:v>-1.110792794778239</c:v>
                </c:pt>
                <c:pt idx="80">
                  <c:v>-1.1119515712403423</c:v>
                </c:pt>
                <c:pt idx="81">
                  <c:v>-1.1129296699660394</c:v>
                </c:pt>
                <c:pt idx="82">
                  <c:v>-1.1137334454951582</c:v>
                </c:pt>
                <c:pt idx="83">
                  <c:v>-1.1143691366046631</c:v>
                </c:pt>
                <c:pt idx="84">
                  <c:v>-1.114842862082003</c:v>
                </c:pt>
                <c:pt idx="85">
                  <c:v>-1.1151606171413462</c:v>
                </c:pt>
                <c:pt idx="86">
                  <c:v>-1.1153282704363618</c:v>
                </c:pt>
                <c:pt idx="87">
                  <c:v>-1.1153515616255343</c:v>
                </c:pt>
                <c:pt idx="88">
                  <c:v>-1.1152360994482686</c:v>
                </c:pt>
                <c:pt idx="89">
                  <c:v>-1.1149873602722198</c:v>
                </c:pt>
                <c:pt idx="90">
                  <c:v>-1.1146106870744492</c:v>
                </c:pt>
                <c:pt idx="91">
                  <c:v>-1.1141112888210587</c:v>
                </c:pt>
                <c:pt idx="92">
                  <c:v>-1.1134942402119641</c:v>
                </c:pt>
                <c:pt idx="93">
                  <c:v>-1.1127644817594087</c:v>
                </c:pt>
                <c:pt idx="94">
                  <c:v>-1.1119268201706682</c:v>
                </c:pt>
                <c:pt idx="95">
                  <c:v>-1.1109859290071857</c:v>
                </c:pt>
                <c:pt idx="96">
                  <c:v>-1.109946349594102</c:v>
                </c:pt>
                <c:pt idx="97">
                  <c:v>-1.1088124921557678</c:v>
                </c:pt>
                <c:pt idx="98">
                  <c:v>-1.1075886371544184</c:v>
                </c:pt>
                <c:pt idx="99">
                  <c:v>-1.106278936810664</c:v>
                </c:pt>
                <c:pt idx="100">
                  <c:v>-1.1048874167858984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68-4CE6-9616-2F69D84BC30A}"/>
            </c:ext>
          </c:extLst>
        </c:ser>
        <c:ser>
          <c:idx val="2"/>
          <c:order val="2"/>
          <c:tx>
            <c:v>2.5K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graphtime!$A$153:$A$253</c:f>
              <c:numCache>
                <c:formatCode>General</c:formatCode>
                <c:ptCount val="10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</c:numCache>
            </c:numRef>
          </c:cat>
          <c:val>
            <c:numRef>
              <c:f>graphtime!$Y$153:$Y$253</c:f>
              <c:numCache>
                <c:formatCode>General</c:formatCode>
                <c:ptCount val="101"/>
                <c:pt idx="0">
                  <c:v>-0.31747761472331687</c:v>
                </c:pt>
                <c:pt idx="1">
                  <c:v>-0.32672767779765594</c:v>
                </c:pt>
                <c:pt idx="2">
                  <c:v>-0.33615007273315267</c:v>
                </c:pt>
                <c:pt idx="3">
                  <c:v>-0.3457424504371831</c:v>
                </c:pt>
                <c:pt idx="4">
                  <c:v>-0.35553928284364983</c:v>
                </c:pt>
                <c:pt idx="5">
                  <c:v>-0.36556900386654934</c:v>
                </c:pt>
                <c:pt idx="6">
                  <c:v>-0.37584967740999214</c:v>
                </c:pt>
                <c:pt idx="7">
                  <c:v>-0.38639431363618826</c:v>
                </c:pt>
                <c:pt idx="8">
                  <c:v>-0.3972080610865234</c:v>
                </c:pt>
                <c:pt idx="9">
                  <c:v>-0.40829756371060838</c:v>
                </c:pt>
                <c:pt idx="10">
                  <c:v>-0.41969025174089597</c:v>
                </c:pt>
                <c:pt idx="11">
                  <c:v>-0.43140504807834379</c:v>
                </c:pt>
                <c:pt idx="12">
                  <c:v>-0.44345671533824271</c:v>
                </c:pt>
                <c:pt idx="13">
                  <c:v>-0.45586602406714843</c:v>
                </c:pt>
                <c:pt idx="14">
                  <c:v>-0.46862219642896763</c:v>
                </c:pt>
                <c:pt idx="15">
                  <c:v>-0.48169498954404411</c:v>
                </c:pt>
                <c:pt idx="16">
                  <c:v>-0.4951333640862372</c:v>
                </c:pt>
                <c:pt idx="17">
                  <c:v>-0.50895272174787642</c:v>
                </c:pt>
                <c:pt idx="18">
                  <c:v>-0.52314801873655681</c:v>
                </c:pt>
                <c:pt idx="19">
                  <c:v>-0.53772181137962338</c:v>
                </c:pt>
                <c:pt idx="20">
                  <c:v>-0.55265579874645354</c:v>
                </c:pt>
                <c:pt idx="21">
                  <c:v>-0.56792786507989446</c:v>
                </c:pt>
                <c:pt idx="22">
                  <c:v>-0.58350742812175338</c:v>
                </c:pt>
                <c:pt idx="23">
                  <c:v>-0.59936630276260128</c:v>
                </c:pt>
                <c:pt idx="24">
                  <c:v>-0.61547821665742197</c:v>
                </c:pt>
                <c:pt idx="25">
                  <c:v>-0.63181849030641413</c:v>
                </c:pt>
                <c:pt idx="26">
                  <c:v>-0.64836382003617776</c:v>
                </c:pt>
                <c:pt idx="27">
                  <c:v>-0.66509212614772728</c:v>
                </c:pt>
                <c:pt idx="28">
                  <c:v>-0.68198244293287547</c:v>
                </c:pt>
                <c:pt idx="29">
                  <c:v>-0.69901483604643777</c:v>
                </c:pt>
                <c:pt idx="30">
                  <c:v>-0.71617033809770236</c:v>
                </c:pt>
                <c:pt idx="31">
                  <c:v>-0.73343089663456473</c:v>
                </c:pt>
                <c:pt idx="32">
                  <c:v>-0.75077933074707659</c:v>
                </c:pt>
                <c:pt idx="33">
                  <c:v>-0.76819929380290086</c:v>
                </c:pt>
                <c:pt idx="34">
                  <c:v>-0.78567524064165084</c:v>
                </c:pt>
                <c:pt idx="35">
                  <c:v>-0.80319239807844178</c:v>
                </c:pt>
                <c:pt idx="36">
                  <c:v>-0.82073673790909341</c:v>
                </c:pt>
                <c:pt idx="37">
                  <c:v>-0.83829495183757086</c:v>
                </c:pt>
                <c:pt idx="38">
                  <c:v>-0.85585442790188404</c:v>
                </c:pt>
                <c:pt idx="39">
                  <c:v>-0.87340322808342141</c:v>
                </c:pt>
                <c:pt idx="40">
                  <c:v>-0.89093006686257958</c:v>
                </c:pt>
                <c:pt idx="41">
                  <c:v>-0.90842429054069562</c:v>
                </c:pt>
                <c:pt idx="42">
                  <c:v>-0.92587585719110821</c:v>
                </c:pt>
                <c:pt idx="43">
                  <c:v>-0.94327531713486634</c:v>
                </c:pt>
                <c:pt idx="44">
                  <c:v>-0.96061379386194257</c:v>
                </c:pt>
                <c:pt idx="45">
                  <c:v>-0.97788296533865304</c:v>
                </c:pt>
                <c:pt idx="46">
                  <c:v>-0.99507504565764182</c:v>
                </c:pt>
                <c:pt idx="47">
                  <c:v>-1.0121827669991874</c:v>
                </c:pt>
                <c:pt idx="48">
                  <c:v>-1.0291993618823883</c:v>
                </c:pt>
                <c:pt idx="49">
                  <c:v>-1.0461185456925339</c:v>
                </c:pt>
                <c:pt idx="50">
                  <c:v>-1.0629344994770142</c:v>
                </c:pt>
                <c:pt idx="51">
                  <c:v>-1.0796418530068208</c:v>
                </c:pt>
                <c:pt idx="52">
                  <c:v>-1.0962356681042535</c:v>
                </c:pt>
                <c:pt idx="53">
                  <c:v>-1.112711422240108</c:v>
                </c:pt>
                <c:pt idx="54">
                  <c:v>-1.1290649924055147</c:v>
                </c:pt>
                <c:pt idx="55">
                  <c:v>-1.1452926392649001</c:v>
                </c:pt>
                <c:pt idx="56">
                  <c:v>-1.1613909915973195</c:v>
                </c:pt>
                <c:pt idx="57">
                  <c:v>-1.1773570310338095</c:v>
                </c:pt>
                <c:pt idx="58">
                  <c:v>-1.1931880770984726</c:v>
                </c:pt>
                <c:pt idx="59">
                  <c:v>-1.2088817725608112</c:v>
                </c:pt>
                <c:pt idx="60">
                  <c:v>-1.2244360691064491</c:v>
                </c:pt>
                <c:pt idx="61">
                  <c:v>-1.2398492133328314</c:v>
                </c:pt>
                <c:pt idx="62">
                  <c:v>-1.2551197330758397</c:v>
                </c:pt>
                <c:pt idx="63">
                  <c:v>-1.2702464240725346</c:v>
                </c:pt>
                <c:pt idx="64">
                  <c:v>-1.2852283369644348</c:v>
                </c:pt>
                <c:pt idx="65">
                  <c:v>-1.3000647646449359</c:v>
                </c:pt>
                <c:pt idx="66">
                  <c:v>-1.3147552299536336</c:v>
                </c:pt>
                <c:pt idx="67">
                  <c:v>-1.3292994737194845</c:v>
                </c:pt>
                <c:pt idx="68">
                  <c:v>-1.3436974431539219</c:v>
                </c:pt>
                <c:pt idx="69">
                  <c:v>-1.3579492805942501</c:v>
                </c:pt>
                <c:pt idx="70">
                  <c:v>-1.3720553125968666</c:v>
                </c:pt>
                <c:pt idx="71">
                  <c:v>-1.3860160393791474</c:v>
                </c:pt>
                <c:pt idx="72">
                  <c:v>-1.3998321246081178</c:v>
                </c:pt>
                <c:pt idx="73">
                  <c:v>-1.4135043855334086</c:v>
                </c:pt>
                <c:pt idx="74">
                  <c:v>-1.4270337834613653</c:v>
                </c:pt>
                <c:pt idx="75">
                  <c:v>-1.4404214145666476</c:v>
                </c:pt>
                <c:pt idx="76">
                  <c:v>-1.4536685010371053</c:v>
                </c:pt>
                <c:pt idx="77">
                  <c:v>-1.4667763825472961</c:v>
                </c:pt>
                <c:pt idx="78">
                  <c:v>-1.4797465080555354</c:v>
                </c:pt>
                <c:pt idx="79">
                  <c:v>-1.4925804279190185</c:v>
                </c:pt>
                <c:pt idx="80">
                  <c:v>-1.5052797863212131</c:v>
                </c:pt>
                <c:pt idx="81">
                  <c:v>-1.5178463140053977</c:v>
                </c:pt>
                <c:pt idx="82">
                  <c:v>-1.5302818213079938</c:v>
                </c:pt>
                <c:pt idx="83">
                  <c:v>-1.5425881914850843</c:v>
                </c:pt>
                <c:pt idx="84">
                  <c:v>-1.554767374325337</c:v>
                </c:pt>
                <c:pt idx="85">
                  <c:v>-1.56682138004239</c:v>
                </c:pt>
                <c:pt idx="86">
                  <c:v>-1.5787522734396353</c:v>
                </c:pt>
                <c:pt idx="87">
                  <c:v>-1.5905621683402191</c:v>
                </c:pt>
                <c:pt idx="88">
                  <c:v>-1.6022532222750305</c:v>
                </c:pt>
                <c:pt idx="89">
                  <c:v>-1.61382763142139</c:v>
                </c:pt>
                <c:pt idx="90">
                  <c:v>-1.6252876257851199</c:v>
                </c:pt>
                <c:pt idx="91">
                  <c:v>-1.6366354646186894</c:v>
                </c:pt>
                <c:pt idx="92">
                  <c:v>-1.6478734320681365</c:v>
                </c:pt>
                <c:pt idx="93">
                  <c:v>-1.659003833041496</c:v>
                </c:pt>
                <c:pt idx="94">
                  <c:v>-1.6700289892915297</c:v>
                </c:pt>
                <c:pt idx="95">
                  <c:v>-1.6809512357055993</c:v>
                </c:pt>
                <c:pt idx="96">
                  <c:v>-1.6917729167956206</c:v>
                </c:pt>
                <c:pt idx="97">
                  <c:v>-1.7024963833811069</c:v>
                </c:pt>
                <c:pt idx="98">
                  <c:v>-1.7131239894584247</c:v>
                </c:pt>
                <c:pt idx="99">
                  <c:v>-1.7236580892494922</c:v>
                </c:pt>
                <c:pt idx="100">
                  <c:v>-1.7341010344232517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68-4CE6-9616-2F69D84BC30A}"/>
            </c:ext>
          </c:extLst>
        </c:ser>
        <c:ser>
          <c:idx val="0"/>
          <c:order val="3"/>
          <c:tx>
            <c:v>3.9K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graphtime!$A$153:$A$253</c:f>
              <c:numCache>
                <c:formatCode>General</c:formatCode>
                <c:ptCount val="10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</c:numCache>
            </c:numRef>
          </c:cat>
          <c:val>
            <c:numRef>
              <c:f>graphtime!$N$153:$N$253</c:f>
              <c:numCache>
                <c:formatCode>General</c:formatCode>
                <c:ptCount val="101"/>
                <c:pt idx="0">
                  <c:v>-0.31747761472331687</c:v>
                </c:pt>
                <c:pt idx="1">
                  <c:v>-0.32672767779765594</c:v>
                </c:pt>
                <c:pt idx="2">
                  <c:v>-0.33615007273315267</c:v>
                </c:pt>
                <c:pt idx="3">
                  <c:v>-0.3457424504371831</c:v>
                </c:pt>
                <c:pt idx="4">
                  <c:v>-0.35553928284364983</c:v>
                </c:pt>
                <c:pt idx="5">
                  <c:v>-0.36556900386654934</c:v>
                </c:pt>
                <c:pt idx="6">
                  <c:v>-0.37584967740999214</c:v>
                </c:pt>
                <c:pt idx="7">
                  <c:v>-0.38639431363618826</c:v>
                </c:pt>
                <c:pt idx="8">
                  <c:v>-0.3972080610865234</c:v>
                </c:pt>
                <c:pt idx="9">
                  <c:v>-0.40829756371060838</c:v>
                </c:pt>
                <c:pt idx="10">
                  <c:v>-0.41969025174089597</c:v>
                </c:pt>
                <c:pt idx="11">
                  <c:v>-0.43140504807834379</c:v>
                </c:pt>
                <c:pt idx="12">
                  <c:v>-0.44345671533824271</c:v>
                </c:pt>
                <c:pt idx="13">
                  <c:v>-0.45586602406714843</c:v>
                </c:pt>
                <c:pt idx="14">
                  <c:v>-0.46862219642896763</c:v>
                </c:pt>
                <c:pt idx="15">
                  <c:v>-0.48169498954404411</c:v>
                </c:pt>
                <c:pt idx="16">
                  <c:v>-0.4951333640862372</c:v>
                </c:pt>
                <c:pt idx="17">
                  <c:v>-0.50895272174787642</c:v>
                </c:pt>
                <c:pt idx="18">
                  <c:v>-0.52314801873655681</c:v>
                </c:pt>
                <c:pt idx="19">
                  <c:v>-0.53772181137962338</c:v>
                </c:pt>
                <c:pt idx="20">
                  <c:v>-0.55265579874645354</c:v>
                </c:pt>
                <c:pt idx="21">
                  <c:v>-0.56792786507989446</c:v>
                </c:pt>
                <c:pt idx="22">
                  <c:v>-0.58353772617191657</c:v>
                </c:pt>
                <c:pt idx="23">
                  <c:v>-0.59948497904546183</c:v>
                </c:pt>
                <c:pt idx="24">
                  <c:v>-0.61576921689628561</c:v>
                </c:pt>
                <c:pt idx="25">
                  <c:v>-0.63239009477016128</c:v>
                </c:pt>
                <c:pt idx="26">
                  <c:v>-0.64934736574676555</c:v>
                </c:pt>
                <c:pt idx="27">
                  <c:v>-0.66664089956310058</c:v>
                </c:pt>
                <c:pt idx="28">
                  <c:v>-0.68427069086928638</c:v>
                </c:pt>
                <c:pt idx="29">
                  <c:v>-0.70223686144435071</c:v>
                </c:pt>
                <c:pt idx="30">
                  <c:v>-0.72053965896857353</c:v>
                </c:pt>
                <c:pt idx="31">
                  <c:v>-0.73917945390379547</c:v>
                </c:pt>
                <c:pt idx="32">
                  <c:v>-0.75815673540272555</c:v>
                </c:pt>
                <c:pt idx="33">
                  <c:v>-0.77747210678866518</c:v>
                </c:pt>
                <c:pt idx="34">
                  <c:v>-0.79712628091894955</c:v>
                </c:pt>
                <c:pt idx="35">
                  <c:v>-0.81712007560883593</c:v>
                </c:pt>
                <c:pt idx="36">
                  <c:v>-0.83745440921119885</c:v>
                </c:pt>
                <c:pt idx="37">
                  <c:v>-0.85813029639931804</c:v>
                </c:pt>
                <c:pt idx="38">
                  <c:v>-0.87914884417198425</c:v>
                </c:pt>
                <c:pt idx="39">
                  <c:v>-0.90051124808410199</c:v>
                </c:pt>
                <c:pt idx="40">
                  <c:v>-0.92221878869707252</c:v>
                </c:pt>
                <c:pt idx="41">
                  <c:v>-0.9442728282386188</c:v>
                </c:pt>
                <c:pt idx="42">
                  <c:v>-0.96667480745957779</c:v>
                </c:pt>
                <c:pt idx="43">
                  <c:v>-0.98942624267447687</c:v>
                </c:pt>
                <c:pt idx="44">
                  <c:v>-1.0125287229728466</c:v>
                </c:pt>
                <c:pt idx="45">
                  <c:v>-1.0359839075887498</c:v>
                </c:pt>
                <c:pt idx="46">
                  <c:v>-1.0597935234167863</c:v>
                </c:pt>
                <c:pt idx="47">
                  <c:v>-1.0839593626636748</c:v>
                </c:pt>
                <c:pt idx="48">
                  <c:v>-1.1084832806253733</c:v>
                </c:pt>
                <c:pt idx="49">
                  <c:v>-1.1333671935805294</c:v>
                </c:pt>
                <c:pt idx="50">
                  <c:v>-1.1586130767918461</c:v>
                </c:pt>
                <c:pt idx="51">
                  <c:v>-1.1842229626076572</c:v>
                </c:pt>
                <c:pt idx="52">
                  <c:v>-1.2101989386566836</c:v>
                </c:pt>
                <c:pt idx="53">
                  <c:v>-1.2365431461295464</c:v>
                </c:pt>
                <c:pt idx="54">
                  <c:v>-1.263257778141152</c:v>
                </c:pt>
                <c:pt idx="55">
                  <c:v>-1.2903450781685697</c:v>
                </c:pt>
                <c:pt idx="56">
                  <c:v>-1.3178073385594722</c:v>
                </c:pt>
                <c:pt idx="57">
                  <c:v>-1.345646899106598</c:v>
                </c:pt>
                <c:pt idx="58">
                  <c:v>-1.3738661456840724</c:v>
                </c:pt>
                <c:pt idx="59">
                  <c:v>-1.4024675089417591</c:v>
                </c:pt>
                <c:pt idx="60">
                  <c:v>-1.4314534630540698</c:v>
                </c:pt>
                <c:pt idx="61">
                  <c:v>-1.4608265245199901</c:v>
                </c:pt>
                <c:pt idx="62">
                  <c:v>-1.4905892510112404</c:v>
                </c:pt>
                <c:pt idx="63">
                  <c:v>-1.5207442402657787</c:v>
                </c:pt>
                <c:pt idx="64">
                  <c:v>-1.5512941290239959</c:v>
                </c:pt>
                <c:pt idx="65">
                  <c:v>-1.5822415920051447</c:v>
                </c:pt>
                <c:pt idx="66">
                  <c:v>-1.6135893409217112</c:v>
                </c:pt>
                <c:pt idx="67">
                  <c:v>-1.6453401235295519</c:v>
                </c:pt>
                <c:pt idx="68">
                  <c:v>-1.6774967227117745</c:v>
                </c:pt>
                <c:pt idx="69">
                  <c:v>-1.710061955594433</c:v>
                </c:pt>
                <c:pt idx="70">
                  <c:v>-1.7430386726922189</c:v>
                </c:pt>
                <c:pt idx="71">
                  <c:v>-1.7764297570824303</c:v>
                </c:pt>
                <c:pt idx="72">
                  <c:v>-1.810238123605554</c:v>
                </c:pt>
                <c:pt idx="73">
                  <c:v>-1.8444667180909149</c:v>
                </c:pt>
                <c:pt idx="74">
                  <c:v>-1.8791185166058693</c:v>
                </c:pt>
                <c:pt idx="75">
                  <c:v>-1.914196524727108</c:v>
                </c:pt>
                <c:pt idx="76">
                  <c:v>-1.949703776832677</c:v>
                </c:pt>
                <c:pt idx="77">
                  <c:v>-1.9856433354133756</c:v>
                </c:pt>
                <c:pt idx="78">
                  <c:v>-2.0220182904022312</c:v>
                </c:pt>
                <c:pt idx="79">
                  <c:v>-2.0588317585207911</c:v>
                </c:pt>
                <c:pt idx="80">
                  <c:v>-2.0960868826410186</c:v>
                </c:pt>
                <c:pt idx="81">
                  <c:v>-2.1337868311615877</c:v>
                </c:pt>
                <c:pt idx="82">
                  <c:v>-2.1719347973974235</c:v>
                </c:pt>
                <c:pt idx="83">
                  <c:v>-2.2105339989813491</c:v>
                </c:pt>
                <c:pt idx="84">
                  <c:v>-2.2495876772767329</c:v>
                </c:pt>
                <c:pt idx="85">
                  <c:v>-2.289099096800034</c:v>
                </c:pt>
                <c:pt idx="86">
                  <c:v>-2.3290715446521899</c:v>
                </c:pt>
                <c:pt idx="87">
                  <c:v>-2.3695083299577884</c:v>
                </c:pt>
                <c:pt idx="88">
                  <c:v>-2.4104127833109841</c:v>
                </c:pt>
                <c:pt idx="89">
                  <c:v>-2.4517882562271609</c:v>
                </c:pt>
                <c:pt idx="90">
                  <c:v>-2.4936381205993157</c:v>
                </c:pt>
                <c:pt idx="91">
                  <c:v>-2.5359657681581891</c:v>
                </c:pt>
                <c:pt idx="92">
                  <c:v>-2.5787746099351732</c:v>
                </c:pt>
                <c:pt idx="93">
                  <c:v>-2.6220680757270265</c:v>
                </c:pt>
                <c:pt idx="94">
                  <c:v>-2.6658496135614604</c:v>
                </c:pt>
                <c:pt idx="95">
                  <c:v>-2.7101226891626573</c:v>
                </c:pt>
                <c:pt idx="96">
                  <c:v>-2.7548907854158049</c:v>
                </c:pt>
                <c:pt idx="97">
                  <c:v>-2.8001574018297557</c:v>
                </c:pt>
                <c:pt idx="98">
                  <c:v>-2.8459260539968967</c:v>
                </c:pt>
                <c:pt idx="99">
                  <c:v>-2.8922002730493643</c:v>
                </c:pt>
                <c:pt idx="100">
                  <c:v>-2.9389836051107627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68-4CE6-9616-2F69D84BC30A}"/>
            </c:ext>
          </c:extLst>
        </c:ser>
        <c:ser>
          <c:idx val="1"/>
          <c:order val="4"/>
          <c:tx>
            <c:v>4.8K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graphtime!$A$153:$A$253</c:f>
              <c:numCache>
                <c:formatCode>General</c:formatCode>
                <c:ptCount val="10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</c:numCache>
            </c:numRef>
          </c:cat>
          <c:val>
            <c:numRef>
              <c:f>graphtime!$C$153:$C$253</c:f>
              <c:numCache>
                <c:formatCode>General</c:formatCode>
                <c:ptCount val="101"/>
                <c:pt idx="0">
                  <c:v>-0.31747761472331687</c:v>
                </c:pt>
                <c:pt idx="1">
                  <c:v>-0.32672767779765594</c:v>
                </c:pt>
                <c:pt idx="2">
                  <c:v>-0.33615007273315267</c:v>
                </c:pt>
                <c:pt idx="3">
                  <c:v>-0.3457424504371831</c:v>
                </c:pt>
                <c:pt idx="4">
                  <c:v>-0.35553928284364983</c:v>
                </c:pt>
                <c:pt idx="5">
                  <c:v>-0.36556900386654934</c:v>
                </c:pt>
                <c:pt idx="6">
                  <c:v>-0.37584967740999214</c:v>
                </c:pt>
                <c:pt idx="7">
                  <c:v>-0.38639431363618826</c:v>
                </c:pt>
                <c:pt idx="8">
                  <c:v>-0.3972080610865234</c:v>
                </c:pt>
                <c:pt idx="9">
                  <c:v>-0.40829756371060838</c:v>
                </c:pt>
                <c:pt idx="10">
                  <c:v>-0.41969025174089597</c:v>
                </c:pt>
                <c:pt idx="11">
                  <c:v>-0.43140504807834379</c:v>
                </c:pt>
                <c:pt idx="12">
                  <c:v>-0.44345671533824271</c:v>
                </c:pt>
                <c:pt idx="13">
                  <c:v>-0.45586602406714843</c:v>
                </c:pt>
                <c:pt idx="14">
                  <c:v>-0.46862219642896763</c:v>
                </c:pt>
                <c:pt idx="15">
                  <c:v>-0.48169498954404411</c:v>
                </c:pt>
                <c:pt idx="16">
                  <c:v>-0.4951333640862372</c:v>
                </c:pt>
                <c:pt idx="17">
                  <c:v>-0.50895272174787642</c:v>
                </c:pt>
                <c:pt idx="18">
                  <c:v>-0.52314801873655681</c:v>
                </c:pt>
                <c:pt idx="19">
                  <c:v>-0.53772181137962338</c:v>
                </c:pt>
                <c:pt idx="20">
                  <c:v>-0.55265579874645354</c:v>
                </c:pt>
                <c:pt idx="21">
                  <c:v>-0.56792786507989446</c:v>
                </c:pt>
                <c:pt idx="22">
                  <c:v>-0.58354847433602008</c:v>
                </c:pt>
                <c:pt idx="23">
                  <c:v>-0.59952751695636841</c:v>
                </c:pt>
                <c:pt idx="24">
                  <c:v>-0.61587460123046245</c:v>
                </c:pt>
                <c:pt idx="25">
                  <c:v>-0.63259923150552211</c:v>
                </c:pt>
                <c:pt idx="26">
                  <c:v>-0.64971091768920319</c:v>
                </c:pt>
                <c:pt idx="27">
                  <c:v>-0.66721924303128455</c:v>
                </c:pt>
                <c:pt idx="28">
                  <c:v>-0.68513390656526862</c:v>
                </c:pt>
                <c:pt idx="29">
                  <c:v>-0.70346475015189802</c:v>
                </c:pt>
                <c:pt idx="30">
                  <c:v>-0.72222177615800132</c:v>
                </c:pt>
                <c:pt idx="31">
                  <c:v>-0.74141515943183867</c:v>
                </c:pt>
                <c:pt idx="32">
                  <c:v>-0.76105525579646327</c:v>
                </c:pt>
                <c:pt idx="33">
                  <c:v>-0.78115260840899248</c:v>
                </c:pt>
                <c:pt idx="34">
                  <c:v>-0.80171795280353964</c:v>
                </c:pt>
                <c:pt idx="35">
                  <c:v>-0.8227622211138681</c:v>
                </c:pt>
                <c:pt idx="36">
                  <c:v>-0.84429654577661017</c:v>
                </c:pt>
                <c:pt idx="37">
                  <c:v>-0.86633226289741039</c:v>
                </c:pt>
                <c:pt idx="38">
                  <c:v>-0.88888091539043912</c:v>
                </c:pt>
                <c:pt idx="39">
                  <c:v>-0.91195425595804935</c:v>
                </c:pt>
                <c:pt idx="40">
                  <c:v>-0.935564249950808</c:v>
                </c:pt>
                <c:pt idx="41">
                  <c:v>-0.95972307813200031</c:v>
                </c:pt>
                <c:pt idx="42">
                  <c:v>-0.98444313936086281</c:v>
                </c:pt>
                <c:pt idx="43">
                  <c:v>-1.0097370532027916</c:v>
                </c:pt>
                <c:pt idx="44">
                  <c:v>-1.0356176624710665</c:v>
                </c:pt>
                <c:pt idx="45">
                  <c:v>-1.0620980357023515</c:v>
                </c:pt>
                <c:pt idx="46">
                  <c:v>-1.0891914695667675</c:v>
                </c:pt>
                <c:pt idx="47">
                  <c:v>-1.116911491212409</c:v>
                </c:pt>
                <c:pt idx="48">
                  <c:v>-1.1452718605435439</c:v>
                </c:pt>
                <c:pt idx="49">
                  <c:v>-1.1742865724312823</c:v>
                </c:pt>
                <c:pt idx="50">
                  <c:v>-1.2039698588551506</c:v>
                </c:pt>
                <c:pt idx="51">
                  <c:v>-1.2343361909737376</c:v>
                </c:pt>
                <c:pt idx="52">
                  <c:v>-1.2654002811222997</c:v>
                </c:pt>
                <c:pt idx="53">
                  <c:v>-1.2971770847349773</c:v>
                </c:pt>
                <c:pt idx="54">
                  <c:v>-1.329681802189032</c:v>
                </c:pt>
                <c:pt idx="55">
                  <c:v>-1.3629298805682399</c:v>
                </c:pt>
                <c:pt idx="56">
                  <c:v>-1.3969370153423406</c:v>
                </c:pt>
                <c:pt idx="57">
                  <c:v>-1.4317191519591226</c:v>
                </c:pt>
                <c:pt idx="58">
                  <c:v>-1.4672924873454583</c:v>
                </c:pt>
                <c:pt idx="59">
                  <c:v>-1.5036734713132531</c:v>
                </c:pt>
                <c:pt idx="60">
                  <c:v>-1.5408788078659563</c:v>
                </c:pt>
                <c:pt idx="61">
                  <c:v>-1.5789254564008868</c:v>
                </c:pt>
                <c:pt idx="62">
                  <c:v>-1.6178306328022667</c:v>
                </c:pt>
                <c:pt idx="63">
                  <c:v>-1.6576118104194266</c:v>
                </c:pt>
                <c:pt idx="64">
                  <c:v>-1.6982867209242027</c:v>
                </c:pt>
                <c:pt idx="65">
                  <c:v>-1.7398733550411043</c:v>
                </c:pt>
                <c:pt idx="66">
                  <c:v>-1.7823899631433213</c:v>
                </c:pt>
                <c:pt idx="67">
                  <c:v>-1.8258550557071282</c:v>
                </c:pt>
                <c:pt idx="68">
                  <c:v>-1.8702874036167223</c:v>
                </c:pt>
                <c:pt idx="69">
                  <c:v>-1.9157060383109441</c:v>
                </c:pt>
                <c:pt idx="70">
                  <c:v>-1.9621302517627572</c:v>
                </c:pt>
                <c:pt idx="71">
                  <c:v>-2.0095795962817493</c:v>
                </c:pt>
                <c:pt idx="72">
                  <c:v>-2.0580738841292838</c:v>
                </c:pt>
                <c:pt idx="73">
                  <c:v>-2.1076331869352773</c:v>
                </c:pt>
                <c:pt idx="74">
                  <c:v>-2.1582778349049132</c:v>
                </c:pt>
                <c:pt idx="75">
                  <c:v>-2.2100284158029191</c:v>
                </c:pt>
                <c:pt idx="76">
                  <c:v>-2.2629057737023173</c:v>
                </c:pt>
                <c:pt idx="77">
                  <c:v>-2.3169310074838831</c:v>
                </c:pt>
                <c:pt idx="78">
                  <c:v>-2.3721254690717921</c:v>
                </c:pt>
                <c:pt idx="79">
                  <c:v>-2.4285107613902537</c:v>
                </c:pt>
                <c:pt idx="80">
                  <c:v>-2.4861087360251983</c:v>
                </c:pt>
                <c:pt idx="81">
                  <c:v>-2.5449414905743732</c:v>
                </c:pt>
                <c:pt idx="82">
                  <c:v>-2.6050313656685198</c:v>
                </c:pt>
                <c:pt idx="83">
                  <c:v>-2.6664009416456311</c:v>
                </c:pt>
                <c:pt idx="84">
                  <c:v>-2.7290730348596268</c:v>
                </c:pt>
                <c:pt idx="85">
                  <c:v>-2.7930706936041743</c:v>
                </c:pt>
                <c:pt idx="86">
                  <c:v>-2.858417193631829</c:v>
                </c:pt>
                <c:pt idx="87">
                  <c:v>-2.9251360332481169</c:v>
                </c:pt>
                <c:pt idx="88">
                  <c:v>-2.9932509279597563</c:v>
                </c:pt>
                <c:pt idx="89">
                  <c:v>-3.0627858046557908</c:v>
                </c:pt>
                <c:pt idx="90">
                  <c:v>-3.1337647953001539</c:v>
                </c:pt>
                <c:pt idx="91">
                  <c:v>-3.2062122301139291</c:v>
                </c:pt>
                <c:pt idx="92">
                  <c:v>-3.2801526302255208</c:v>
                </c:pt>
                <c:pt idx="93">
                  <c:v>-3.3556106997669541</c:v>
                </c:pt>
                <c:pt idx="94">
                  <c:v>-3.4326113173947181</c:v>
                </c:pt>
                <c:pt idx="95">
                  <c:v>-3.5111795272139075</c:v>
                </c:pt>
                <c:pt idx="96">
                  <c:v>-3.5913405290849072</c:v>
                </c:pt>
                <c:pt idx="97">
                  <c:v>-3.6731196682926504</c:v>
                </c:pt>
                <c:pt idx="98">
                  <c:v>-3.7565424245593433</c:v>
                </c:pt>
                <c:pt idx="99">
                  <c:v>-3.8416344003828282</c:v>
                </c:pt>
                <c:pt idx="100">
                  <c:v>-3.928421308684177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68-4CE6-9616-2F69D84BC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015480"/>
        <c:axId val="620012600"/>
      </c:lineChart>
      <c:catAx>
        <c:axId val="62001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2001260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620012600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Welfare-equivalent income loss (percentage)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2001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7166340442259747E-2"/>
          <c:y val="0.74445969674998258"/>
          <c:w val="7.8733666046716541E-2"/>
          <c:h val="0.223759409615290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regressions!$F$82:$F$92</c:f>
              <c:strCache>
                <c:ptCount val="11"/>
                <c:pt idx="0">
                  <c:v>12% or worse</c:v>
                </c:pt>
                <c:pt idx="1">
                  <c:v>10-12%</c:v>
                </c:pt>
                <c:pt idx="2">
                  <c:v>8-10%</c:v>
                </c:pt>
                <c:pt idx="3">
                  <c:v>6-8%</c:v>
                </c:pt>
                <c:pt idx="4">
                  <c:v>4-6%</c:v>
                </c:pt>
                <c:pt idx="5">
                  <c:v>2-4%</c:v>
                </c:pt>
                <c:pt idx="6">
                  <c:v>0-2%</c:v>
                </c:pt>
                <c:pt idx="7">
                  <c:v>0-2%</c:v>
                </c:pt>
                <c:pt idx="8">
                  <c:v>2-4%</c:v>
                </c:pt>
                <c:pt idx="9">
                  <c:v>4-6%</c:v>
                </c:pt>
                <c:pt idx="10">
                  <c:v>6% or better</c:v>
                </c:pt>
              </c:strCache>
            </c:strRef>
          </c:cat>
          <c:val>
            <c:numRef>
              <c:f>regressions!$E$82:$E$92</c:f>
              <c:numCache>
                <c:formatCode>General</c:formatCode>
                <c:ptCount val="11"/>
                <c:pt idx="0">
                  <c:v>2.5641025641025626E-2</c:v>
                </c:pt>
                <c:pt idx="1">
                  <c:v>0</c:v>
                </c:pt>
                <c:pt idx="2">
                  <c:v>0</c:v>
                </c:pt>
                <c:pt idx="3">
                  <c:v>5.7692307692307661E-2</c:v>
                </c:pt>
                <c:pt idx="4">
                  <c:v>7.051282051282047E-2</c:v>
                </c:pt>
                <c:pt idx="5">
                  <c:v>0.13247863247863242</c:v>
                </c:pt>
                <c:pt idx="6">
                  <c:v>0.59686609686609626</c:v>
                </c:pt>
                <c:pt idx="7">
                  <c:v>3.7037037037036979E-2</c:v>
                </c:pt>
                <c:pt idx="8">
                  <c:v>5.4131054131053999E-2</c:v>
                </c:pt>
                <c:pt idx="9">
                  <c:v>0</c:v>
                </c:pt>
                <c:pt idx="10">
                  <c:v>2.5641025641026539E-2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E-4D11-A722-8825FBEDE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93154872"/>
        <c:axId val="793156792"/>
      </c:barChart>
      <c:catAx>
        <c:axId val="793154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Welfare-equivalent income change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93156792"/>
        <c:crosses val="autoZero"/>
        <c:auto val="1"/>
        <c:lblAlgn val="ctr"/>
        <c:lblOffset val="100"/>
        <c:noMultiLvlLbl val="0"/>
      </c:catAx>
      <c:valAx>
        <c:axId val="79315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93154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regressions!$E$10:$E$78</c:f>
              <c:numCache>
                <c:formatCode>General</c:formatCode>
                <c:ptCount val="69"/>
                <c:pt idx="0">
                  <c:v>1979</c:v>
                </c:pt>
                <c:pt idx="1">
                  <c:v>1982</c:v>
                </c:pt>
                <c:pt idx="2">
                  <c:v>1991</c:v>
                </c:pt>
                <c:pt idx="3">
                  <c:v>1994</c:v>
                </c:pt>
                <c:pt idx="4">
                  <c:v>1994</c:v>
                </c:pt>
                <c:pt idx="5">
                  <c:v>1994</c:v>
                </c:pt>
                <c:pt idx="6">
                  <c:v>1995</c:v>
                </c:pt>
                <c:pt idx="7">
                  <c:v>1995</c:v>
                </c:pt>
                <c:pt idx="8">
                  <c:v>1995</c:v>
                </c:pt>
                <c:pt idx="9">
                  <c:v>1996</c:v>
                </c:pt>
                <c:pt idx="10">
                  <c:v>1996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2002</c:v>
                </c:pt>
                <c:pt idx="19">
                  <c:v>2003</c:v>
                </c:pt>
                <c:pt idx="20">
                  <c:v>2005</c:v>
                </c:pt>
                <c:pt idx="21">
                  <c:v>2005</c:v>
                </c:pt>
                <c:pt idx="22">
                  <c:v>2006</c:v>
                </c:pt>
                <c:pt idx="23">
                  <c:v>2006</c:v>
                </c:pt>
                <c:pt idx="24">
                  <c:v>2006</c:v>
                </c:pt>
                <c:pt idx="25">
                  <c:v>2008</c:v>
                </c:pt>
                <c:pt idx="26">
                  <c:v>2011</c:v>
                </c:pt>
                <c:pt idx="27">
                  <c:v>2012</c:v>
                </c:pt>
                <c:pt idx="28">
                  <c:v>2012</c:v>
                </c:pt>
                <c:pt idx="29">
                  <c:v>2012</c:v>
                </c:pt>
                <c:pt idx="30">
                  <c:v>2013</c:v>
                </c:pt>
                <c:pt idx="31">
                  <c:v>2016</c:v>
                </c:pt>
                <c:pt idx="32">
                  <c:v>2018</c:v>
                </c:pt>
                <c:pt idx="33">
                  <c:v>2018</c:v>
                </c:pt>
                <c:pt idx="34">
                  <c:v>2018</c:v>
                </c:pt>
                <c:pt idx="35">
                  <c:v>2018</c:v>
                </c:pt>
                <c:pt idx="36">
                  <c:v>2019</c:v>
                </c:pt>
                <c:pt idx="37">
                  <c:v>2019</c:v>
                </c:pt>
                <c:pt idx="38">
                  <c:v>2019</c:v>
                </c:pt>
                <c:pt idx="39">
                  <c:v>2019</c:v>
                </c:pt>
                <c:pt idx="40">
                  <c:v>2000</c:v>
                </c:pt>
                <c:pt idx="41">
                  <c:v>2021</c:v>
                </c:pt>
                <c:pt idx="42">
                  <c:v>2021</c:v>
                </c:pt>
                <c:pt idx="43">
                  <c:v>2021</c:v>
                </c:pt>
                <c:pt idx="44">
                  <c:v>2021</c:v>
                </c:pt>
                <c:pt idx="45">
                  <c:v>2021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2021</c:v>
                </c:pt>
                <c:pt idx="51">
                  <c:v>2020</c:v>
                </c:pt>
                <c:pt idx="52">
                  <c:v>2021</c:v>
                </c:pt>
                <c:pt idx="53">
                  <c:v>2021</c:v>
                </c:pt>
                <c:pt idx="54">
                  <c:v>2021</c:v>
                </c:pt>
                <c:pt idx="55">
                  <c:v>2021</c:v>
                </c:pt>
                <c:pt idx="56">
                  <c:v>2021</c:v>
                </c:pt>
                <c:pt idx="57">
                  <c:v>2021</c:v>
                </c:pt>
                <c:pt idx="58">
                  <c:v>2021</c:v>
                </c:pt>
                <c:pt idx="59">
                  <c:v>2021</c:v>
                </c:pt>
                <c:pt idx="60">
                  <c:v>2021</c:v>
                </c:pt>
                <c:pt idx="61">
                  <c:v>1995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2011</c:v>
                </c:pt>
                <c:pt idx="66">
                  <c:v>2011</c:v>
                </c:pt>
                <c:pt idx="67">
                  <c:v>2013</c:v>
                </c:pt>
                <c:pt idx="68">
                  <c:v>2013</c:v>
                </c:pt>
              </c:numCache>
            </c:numRef>
          </c:xVal>
          <c:yVal>
            <c:numRef>
              <c:f>regressions!$F$10:$F$78</c:f>
              <c:numCache>
                <c:formatCode>0.00</c:formatCode>
                <c:ptCount val="69"/>
                <c:pt idx="0">
                  <c:v>2.9325226176909172</c:v>
                </c:pt>
                <c:pt idx="1">
                  <c:v>-3</c:v>
                </c:pt>
                <c:pt idx="2">
                  <c:v>-0.77341098431592292</c:v>
                </c:pt>
                <c:pt idx="3">
                  <c:v>-1.0286366091401775</c:v>
                </c:pt>
                <c:pt idx="4">
                  <c:v>-2.7842795435373229</c:v>
                </c:pt>
                <c:pt idx="5">
                  <c:v>-1.7602609915457885</c:v>
                </c:pt>
                <c:pt idx="6">
                  <c:v>-1.4</c:v>
                </c:pt>
                <c:pt idx="7">
                  <c:v>-1.5</c:v>
                </c:pt>
                <c:pt idx="8">
                  <c:v>-1.9</c:v>
                </c:pt>
                <c:pt idx="9">
                  <c:v>-1.435622202473182</c:v>
                </c:pt>
                <c:pt idx="10">
                  <c:v>-2.8909238132996098</c:v>
                </c:pt>
                <c:pt idx="11">
                  <c:v>0.03</c:v>
                </c:pt>
                <c:pt idx="12">
                  <c:v>0.1</c:v>
                </c:pt>
                <c:pt idx="13">
                  <c:v>-5.0459249646834254E-3</c:v>
                </c:pt>
                <c:pt idx="14">
                  <c:v>-2.0183699858733702E-2</c:v>
                </c:pt>
                <c:pt idx="15">
                  <c:v>-3.3313857306890367E-3</c:v>
                </c:pt>
                <c:pt idx="16">
                  <c:v>-4.3308014498957478E-2</c:v>
                </c:pt>
                <c:pt idx="17">
                  <c:v>-1.5</c:v>
                </c:pt>
                <c:pt idx="18">
                  <c:v>7.3811814044296282</c:v>
                </c:pt>
                <c:pt idx="19">
                  <c:v>3.3000365094043249E-2</c:v>
                </c:pt>
                <c:pt idx="20">
                  <c:v>-1.0354850240503519</c:v>
                </c:pt>
                <c:pt idx="21">
                  <c:v>-0.99317507887269996</c:v>
                </c:pt>
                <c:pt idx="22">
                  <c:v>-0.9804776851232514</c:v>
                </c:pt>
                <c:pt idx="23">
                  <c:v>-0.71927221541380837</c:v>
                </c:pt>
                <c:pt idx="24">
                  <c:v>-0.81208153353171908</c:v>
                </c:pt>
                <c:pt idx="25">
                  <c:v>-1.9335274607898072</c:v>
                </c:pt>
                <c:pt idx="26">
                  <c:v>-3.6021692302144768</c:v>
                </c:pt>
                <c:pt idx="27">
                  <c:v>-0.72326874195369129</c:v>
                </c:pt>
                <c:pt idx="28">
                  <c:v>-1.4613799139492396</c:v>
                </c:pt>
                <c:pt idx="29">
                  <c:v>-1.4405050440365976</c:v>
                </c:pt>
                <c:pt idx="30">
                  <c:v>-1.6237554599435993</c:v>
                </c:pt>
                <c:pt idx="31">
                  <c:v>-0.55497395303356922</c:v>
                </c:pt>
                <c:pt idx="32">
                  <c:v>-1.4950629303885776</c:v>
                </c:pt>
                <c:pt idx="33">
                  <c:v>-1.4522557617485055</c:v>
                </c:pt>
                <c:pt idx="34">
                  <c:v>-1.4207161514135112</c:v>
                </c:pt>
                <c:pt idx="35">
                  <c:v>-1.4093799049414413</c:v>
                </c:pt>
                <c:pt idx="36">
                  <c:v>-2</c:v>
                </c:pt>
                <c:pt idx="37">
                  <c:v>-1.4220994442347257</c:v>
                </c:pt>
                <c:pt idx="38">
                  <c:v>-2.3671019340301251</c:v>
                </c:pt>
                <c:pt idx="39">
                  <c:v>-2.4949401508079627</c:v>
                </c:pt>
                <c:pt idx="40">
                  <c:v>-7.1153810557064894</c:v>
                </c:pt>
                <c:pt idx="41">
                  <c:v>-5.6757015263144268</c:v>
                </c:pt>
                <c:pt idx="42">
                  <c:v>-6.5739933666853441</c:v>
                </c:pt>
                <c:pt idx="43">
                  <c:v>-5.7163922622699133</c:v>
                </c:pt>
                <c:pt idx="44">
                  <c:v>-5.0429501736957842</c:v>
                </c:pt>
                <c:pt idx="45">
                  <c:v>-2.1019091244336758</c:v>
                </c:pt>
                <c:pt idx="46">
                  <c:v>2.0814052358742905</c:v>
                </c:pt>
                <c:pt idx="47">
                  <c:v>-0.59095334529418708</c:v>
                </c:pt>
                <c:pt idx="48">
                  <c:v>-1.1510359566511486</c:v>
                </c:pt>
                <c:pt idx="49">
                  <c:v>-0.6367627620812939</c:v>
                </c:pt>
                <c:pt idx="50">
                  <c:v>-0.96019996837483579</c:v>
                </c:pt>
                <c:pt idx="51">
                  <c:v>-7.3811814044296282</c:v>
                </c:pt>
                <c:pt idx="52">
                  <c:v>2.5401291223940698</c:v>
                </c:pt>
                <c:pt idx="53">
                  <c:v>1.6287506450874945</c:v>
                </c:pt>
                <c:pt idx="54">
                  <c:v>-0.77151346346249727</c:v>
                </c:pt>
                <c:pt idx="55">
                  <c:v>-0.73541926634144483</c:v>
                </c:pt>
                <c:pt idx="56">
                  <c:v>-0.97905509690854919</c:v>
                </c:pt>
                <c:pt idx="57">
                  <c:v>-0.28875357696842002</c:v>
                </c:pt>
                <c:pt idx="58">
                  <c:v>-0.82114298450394463</c:v>
                </c:pt>
                <c:pt idx="59">
                  <c:v>-0.7895605620230236</c:v>
                </c:pt>
                <c:pt idx="60">
                  <c:v>-0.97454332226841778</c:v>
                </c:pt>
                <c:pt idx="61">
                  <c:v>-5.22</c:v>
                </c:pt>
                <c:pt idx="62">
                  <c:v>-12.194995363840254</c:v>
                </c:pt>
                <c:pt idx="63">
                  <c:v>-1.044104828826496</c:v>
                </c:pt>
                <c:pt idx="64">
                  <c:v>-4.3324325634695651</c:v>
                </c:pt>
                <c:pt idx="65">
                  <c:v>-5.1668269831007407</c:v>
                </c:pt>
                <c:pt idx="66">
                  <c:v>-0.54138768902114598</c:v>
                </c:pt>
                <c:pt idx="67">
                  <c:v>-0.94647036347209279</c:v>
                </c:pt>
                <c:pt idx="68">
                  <c:v>-0.9082664936430167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A5-41BD-9505-06EEF2AB0CEB}"/>
            </c:ext>
          </c:extLst>
        </c:ser>
        <c:ser>
          <c:idx val="1"/>
          <c:order val="1"/>
          <c:spPr>
            <a:ln w="254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6.1208699999999991"/>
            <c:spPr>
              <a:noFill/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xVal>
            <c:numRef>
              <c:f>regressions!$E$10:$E$78</c:f>
              <c:numCache>
                <c:formatCode>General</c:formatCode>
                <c:ptCount val="69"/>
                <c:pt idx="0">
                  <c:v>1979</c:v>
                </c:pt>
                <c:pt idx="1">
                  <c:v>1982</c:v>
                </c:pt>
                <c:pt idx="2">
                  <c:v>1991</c:v>
                </c:pt>
                <c:pt idx="3">
                  <c:v>1994</c:v>
                </c:pt>
                <c:pt idx="4">
                  <c:v>1994</c:v>
                </c:pt>
                <c:pt idx="5">
                  <c:v>1994</c:v>
                </c:pt>
                <c:pt idx="6">
                  <c:v>1995</c:v>
                </c:pt>
                <c:pt idx="7">
                  <c:v>1995</c:v>
                </c:pt>
                <c:pt idx="8">
                  <c:v>1995</c:v>
                </c:pt>
                <c:pt idx="9">
                  <c:v>1996</c:v>
                </c:pt>
                <c:pt idx="10">
                  <c:v>1996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2002</c:v>
                </c:pt>
                <c:pt idx="19">
                  <c:v>2003</c:v>
                </c:pt>
                <c:pt idx="20">
                  <c:v>2005</c:v>
                </c:pt>
                <c:pt idx="21">
                  <c:v>2005</c:v>
                </c:pt>
                <c:pt idx="22">
                  <c:v>2006</c:v>
                </c:pt>
                <c:pt idx="23">
                  <c:v>2006</c:v>
                </c:pt>
                <c:pt idx="24">
                  <c:v>2006</c:v>
                </c:pt>
                <c:pt idx="25">
                  <c:v>2008</c:v>
                </c:pt>
                <c:pt idx="26">
                  <c:v>2011</c:v>
                </c:pt>
                <c:pt idx="27">
                  <c:v>2012</c:v>
                </c:pt>
                <c:pt idx="28">
                  <c:v>2012</c:v>
                </c:pt>
                <c:pt idx="29">
                  <c:v>2012</c:v>
                </c:pt>
                <c:pt idx="30">
                  <c:v>2013</c:v>
                </c:pt>
                <c:pt idx="31">
                  <c:v>2016</c:v>
                </c:pt>
                <c:pt idx="32">
                  <c:v>2018</c:v>
                </c:pt>
                <c:pt idx="33">
                  <c:v>2018</c:v>
                </c:pt>
                <c:pt idx="34">
                  <c:v>2018</c:v>
                </c:pt>
                <c:pt idx="35">
                  <c:v>2018</c:v>
                </c:pt>
                <c:pt idx="36">
                  <c:v>2019</c:v>
                </c:pt>
                <c:pt idx="37">
                  <c:v>2019</c:v>
                </c:pt>
                <c:pt idx="38">
                  <c:v>2019</c:v>
                </c:pt>
                <c:pt idx="39">
                  <c:v>2019</c:v>
                </c:pt>
                <c:pt idx="40">
                  <c:v>2000</c:v>
                </c:pt>
                <c:pt idx="41">
                  <c:v>2021</c:v>
                </c:pt>
                <c:pt idx="42">
                  <c:v>2021</c:v>
                </c:pt>
                <c:pt idx="43">
                  <c:v>2021</c:v>
                </c:pt>
                <c:pt idx="44">
                  <c:v>2021</c:v>
                </c:pt>
                <c:pt idx="45">
                  <c:v>2021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2021</c:v>
                </c:pt>
                <c:pt idx="51">
                  <c:v>2020</c:v>
                </c:pt>
                <c:pt idx="52">
                  <c:v>2021</c:v>
                </c:pt>
                <c:pt idx="53">
                  <c:v>2021</c:v>
                </c:pt>
                <c:pt idx="54">
                  <c:v>2021</c:v>
                </c:pt>
                <c:pt idx="55">
                  <c:v>2021</c:v>
                </c:pt>
                <c:pt idx="56">
                  <c:v>2021</c:v>
                </c:pt>
                <c:pt idx="57">
                  <c:v>2021</c:v>
                </c:pt>
                <c:pt idx="58">
                  <c:v>2021</c:v>
                </c:pt>
                <c:pt idx="59">
                  <c:v>2021</c:v>
                </c:pt>
                <c:pt idx="60">
                  <c:v>2021</c:v>
                </c:pt>
                <c:pt idx="61">
                  <c:v>1995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2011</c:v>
                </c:pt>
                <c:pt idx="66">
                  <c:v>2011</c:v>
                </c:pt>
                <c:pt idx="67">
                  <c:v>2013</c:v>
                </c:pt>
                <c:pt idx="68">
                  <c:v>2013</c:v>
                </c:pt>
              </c:numCache>
            </c:numRef>
          </c:xVal>
          <c:yVal>
            <c:numRef>
              <c:f>regressions!$G$10:$G$78</c:f>
              <c:numCache>
                <c:formatCode>0.00</c:formatCode>
                <c:ptCount val="69"/>
                <c:pt idx="0">
                  <c:v>-0.7219767877580523</c:v>
                </c:pt>
                <c:pt idx="1">
                  <c:v>-0.84555358023850147</c:v>
                </c:pt>
                <c:pt idx="2">
                  <c:v>-1.2162839576798348</c:v>
                </c:pt>
                <c:pt idx="3">
                  <c:v>-1.3398607501602839</c:v>
                </c:pt>
                <c:pt idx="4">
                  <c:v>-1.3398607501602839</c:v>
                </c:pt>
                <c:pt idx="5">
                  <c:v>-1.3398607501602839</c:v>
                </c:pt>
                <c:pt idx="6">
                  <c:v>-1.3810530143204289</c:v>
                </c:pt>
                <c:pt idx="7">
                  <c:v>-1.3810530143204289</c:v>
                </c:pt>
                <c:pt idx="8">
                  <c:v>-1.3810530143204289</c:v>
                </c:pt>
                <c:pt idx="9">
                  <c:v>-1.4222452784805739</c:v>
                </c:pt>
                <c:pt idx="10">
                  <c:v>-1.4222452784805739</c:v>
                </c:pt>
                <c:pt idx="11">
                  <c:v>-1.5870143351211681</c:v>
                </c:pt>
                <c:pt idx="12">
                  <c:v>-1.5870143351211681</c:v>
                </c:pt>
                <c:pt idx="13">
                  <c:v>-1.5870143351211681</c:v>
                </c:pt>
                <c:pt idx="14">
                  <c:v>-1.5870143351211681</c:v>
                </c:pt>
                <c:pt idx="15">
                  <c:v>-1.5870143351211681</c:v>
                </c:pt>
                <c:pt idx="16">
                  <c:v>-1.5870143351211681</c:v>
                </c:pt>
                <c:pt idx="17">
                  <c:v>-1.5870143351211681</c:v>
                </c:pt>
                <c:pt idx="18">
                  <c:v>-1.669398863441458</c:v>
                </c:pt>
                <c:pt idx="19">
                  <c:v>-1.7105911276016172</c:v>
                </c:pt>
                <c:pt idx="20">
                  <c:v>-1.7929756559219072</c:v>
                </c:pt>
                <c:pt idx="21">
                  <c:v>-1.7929756559219072</c:v>
                </c:pt>
                <c:pt idx="22">
                  <c:v>-1.8341679200820522</c:v>
                </c:pt>
                <c:pt idx="23">
                  <c:v>-1.8341679200820522</c:v>
                </c:pt>
                <c:pt idx="24">
                  <c:v>-1.8341679200820522</c:v>
                </c:pt>
                <c:pt idx="25">
                  <c:v>-1.9165524484023564</c:v>
                </c:pt>
                <c:pt idx="26">
                  <c:v>-2.0401292408827914</c:v>
                </c:pt>
                <c:pt idx="27">
                  <c:v>-2.0813215050429505</c:v>
                </c:pt>
                <c:pt idx="28">
                  <c:v>-2.0813215050429505</c:v>
                </c:pt>
                <c:pt idx="29">
                  <c:v>-2.0813215050429505</c:v>
                </c:pt>
                <c:pt idx="30">
                  <c:v>-2.1225137692030955</c:v>
                </c:pt>
                <c:pt idx="31">
                  <c:v>-2.2460905616835447</c:v>
                </c:pt>
                <c:pt idx="32">
                  <c:v>-2.3284750900038347</c:v>
                </c:pt>
                <c:pt idx="33">
                  <c:v>-2.3284750900038347</c:v>
                </c:pt>
                <c:pt idx="34">
                  <c:v>-2.3284750900038347</c:v>
                </c:pt>
                <c:pt idx="35">
                  <c:v>-2.3284750900038347</c:v>
                </c:pt>
                <c:pt idx="36">
                  <c:v>-2.3696673541639797</c:v>
                </c:pt>
                <c:pt idx="37">
                  <c:v>-2.3696673541639797</c:v>
                </c:pt>
                <c:pt idx="38">
                  <c:v>-2.3696673541639797</c:v>
                </c:pt>
                <c:pt idx="39">
                  <c:v>-2.3696673541639797</c:v>
                </c:pt>
                <c:pt idx="40">
                  <c:v>-1.5870143351211681</c:v>
                </c:pt>
                <c:pt idx="41">
                  <c:v>-2.4520518824842839</c:v>
                </c:pt>
                <c:pt idx="42">
                  <c:v>-2.4520518824842839</c:v>
                </c:pt>
                <c:pt idx="43">
                  <c:v>-2.4520518824842839</c:v>
                </c:pt>
                <c:pt idx="44">
                  <c:v>-2.4520518824842839</c:v>
                </c:pt>
                <c:pt idx="45">
                  <c:v>-2.4520518824842839</c:v>
                </c:pt>
                <c:pt idx="46">
                  <c:v>-2.2048982975233855</c:v>
                </c:pt>
                <c:pt idx="47">
                  <c:v>-2.2048982975233855</c:v>
                </c:pt>
                <c:pt idx="48">
                  <c:v>-2.2048982975233855</c:v>
                </c:pt>
                <c:pt idx="49">
                  <c:v>-2.2048982975233855</c:v>
                </c:pt>
                <c:pt idx="50">
                  <c:v>-2.4520518824842839</c:v>
                </c:pt>
                <c:pt idx="51">
                  <c:v>-2.4108596183241389</c:v>
                </c:pt>
                <c:pt idx="52">
                  <c:v>-2.4520518824842839</c:v>
                </c:pt>
                <c:pt idx="53">
                  <c:v>-2.4520518824842839</c:v>
                </c:pt>
                <c:pt idx="54">
                  <c:v>-2.4520518824842839</c:v>
                </c:pt>
                <c:pt idx="55">
                  <c:v>-2.4520518824842839</c:v>
                </c:pt>
                <c:pt idx="56">
                  <c:v>-2.4520518824842839</c:v>
                </c:pt>
                <c:pt idx="57">
                  <c:v>-2.4520518824842839</c:v>
                </c:pt>
                <c:pt idx="58">
                  <c:v>-2.4520518824842839</c:v>
                </c:pt>
                <c:pt idx="59">
                  <c:v>-2.4520518824842839</c:v>
                </c:pt>
                <c:pt idx="60">
                  <c:v>-2.4520518824842839</c:v>
                </c:pt>
                <c:pt idx="61">
                  <c:v>-1.3810530143204289</c:v>
                </c:pt>
                <c:pt idx="62">
                  <c:v>-1.9577447125625014</c:v>
                </c:pt>
                <c:pt idx="63">
                  <c:v>-1.9989369767226464</c:v>
                </c:pt>
                <c:pt idx="64">
                  <c:v>-2.0401292408827914</c:v>
                </c:pt>
                <c:pt idx="65">
                  <c:v>-2.0401292408827914</c:v>
                </c:pt>
                <c:pt idx="66">
                  <c:v>-2.0401292408827914</c:v>
                </c:pt>
                <c:pt idx="67">
                  <c:v>-2.1225137692030955</c:v>
                </c:pt>
                <c:pt idx="68">
                  <c:v>-2.1225137692030955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60-41DB-B271-4F790C695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413552"/>
        <c:axId val="1671447040"/>
      </c:scatterChart>
      <c:valAx>
        <c:axId val="168441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Year of publication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71447040"/>
        <c:crosses val="autoZero"/>
        <c:crossBetween val="midCat"/>
      </c:valAx>
      <c:valAx>
        <c:axId val="16714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Welfare-equivalent income change (in percent)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441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48585214840537"/>
          <c:y val="2.9052148525729973E-2"/>
          <c:w val="0.85571379116235857"/>
          <c:h val="0.95237627600977015"/>
        </c:manualLayout>
      </c:layout>
      <c:lineChart>
        <c:grouping val="standard"/>
        <c:varyColors val="0"/>
        <c:ser>
          <c:idx val="7"/>
          <c:order val="0"/>
          <c:tx>
            <c:v>enumerative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regressionsenum!$I$81:$I$166</c:f>
              <c:numCache>
                <c:formatCode>General</c:formatCode>
                <c:ptCount val="86"/>
                <c:pt idx="0">
                  <c:v>-1.447706350734308</c:v>
                </c:pt>
                <c:pt idx="1">
                  <c:v>-1.3511925940186873</c:v>
                </c:pt>
                <c:pt idx="2">
                  <c:v>-1.2546788373030666</c:v>
                </c:pt>
                <c:pt idx="3">
                  <c:v>-1.1581650805874459</c:v>
                </c:pt>
                <c:pt idx="4">
                  <c:v>-1.0616513238718255</c:v>
                </c:pt>
                <c:pt idx="5">
                  <c:v>-0.96513756715620491</c:v>
                </c:pt>
                <c:pt idx="6">
                  <c:v>-0.86862381044058445</c:v>
                </c:pt>
                <c:pt idx="7">
                  <c:v>-0.77211005372496389</c:v>
                </c:pt>
                <c:pt idx="8">
                  <c:v>-0.67559629700934343</c:v>
                </c:pt>
                <c:pt idx="9">
                  <c:v>-0.57908254029372286</c:v>
                </c:pt>
                <c:pt idx="10">
                  <c:v>-0.4825687835781024</c:v>
                </c:pt>
                <c:pt idx="11">
                  <c:v>-0.38605502686248189</c:v>
                </c:pt>
                <c:pt idx="12">
                  <c:v>-0.28954127014686143</c:v>
                </c:pt>
                <c:pt idx="13">
                  <c:v>-0.19302751343124086</c:v>
                </c:pt>
                <c:pt idx="14">
                  <c:v>-9.6513756715620347E-2</c:v>
                </c:pt>
                <c:pt idx="15">
                  <c:v>0</c:v>
                </c:pt>
                <c:pt idx="16">
                  <c:v>9.6513756715620527E-2</c:v>
                </c:pt>
                <c:pt idx="17">
                  <c:v>0.19302751343124105</c:v>
                </c:pt>
                <c:pt idx="18">
                  <c:v>0.2895412701468616</c:v>
                </c:pt>
                <c:pt idx="19">
                  <c:v>0.38605502686248211</c:v>
                </c:pt>
                <c:pt idx="20">
                  <c:v>0.48256878357810262</c:v>
                </c:pt>
                <c:pt idx="21">
                  <c:v>0.57908254029372308</c:v>
                </c:pt>
                <c:pt idx="22">
                  <c:v>0.67559629700934365</c:v>
                </c:pt>
                <c:pt idx="23">
                  <c:v>0.77211005372496411</c:v>
                </c:pt>
                <c:pt idx="24">
                  <c:v>0.86862381044058468</c:v>
                </c:pt>
                <c:pt idx="25">
                  <c:v>0.96513650814561547</c:v>
                </c:pt>
                <c:pt idx="26">
                  <c:v>0.81116672276106483</c:v>
                </c:pt>
                <c:pt idx="27">
                  <c:v>0.65719693737651408</c:v>
                </c:pt>
                <c:pt idx="28">
                  <c:v>0.50322715199196322</c:v>
                </c:pt>
                <c:pt idx="29">
                  <c:v>0.34925736660741236</c:v>
                </c:pt>
                <c:pt idx="30">
                  <c:v>0.19528758122286161</c:v>
                </c:pt>
                <c:pt idx="31">
                  <c:v>4.1317795838310745E-2</c:v>
                </c:pt>
                <c:pt idx="32">
                  <c:v>-0.11265198954624012</c:v>
                </c:pt>
                <c:pt idx="33">
                  <c:v>-0.26662177493079087</c:v>
                </c:pt>
                <c:pt idx="34">
                  <c:v>-0.42059156031534162</c:v>
                </c:pt>
                <c:pt idx="35">
                  <c:v>-0.57456134569989192</c:v>
                </c:pt>
                <c:pt idx="36">
                  <c:v>-0.7285311310844429</c:v>
                </c:pt>
                <c:pt idx="37">
                  <c:v>-0.88250091646899365</c:v>
                </c:pt>
                <c:pt idx="38">
                  <c:v>-1.0364707018535444</c:v>
                </c:pt>
                <c:pt idx="39">
                  <c:v>-1.1904404872380951</c:v>
                </c:pt>
                <c:pt idx="40">
                  <c:v>-1.3444102726226463</c:v>
                </c:pt>
                <c:pt idx="41">
                  <c:v>-1.4983800580071971</c:v>
                </c:pt>
                <c:pt idx="42">
                  <c:v>-1.6523498433917478</c:v>
                </c:pt>
                <c:pt idx="43">
                  <c:v>-1.8063196287762986</c:v>
                </c:pt>
                <c:pt idx="44">
                  <c:v>-1.9602894141608493</c:v>
                </c:pt>
                <c:pt idx="45">
                  <c:v>-2.1142591995454003</c:v>
                </c:pt>
                <c:pt idx="46">
                  <c:v>-2.2682289849299506</c:v>
                </c:pt>
                <c:pt idx="47">
                  <c:v>-2.4221987703145018</c:v>
                </c:pt>
                <c:pt idx="48">
                  <c:v>-2.576168555699053</c:v>
                </c:pt>
                <c:pt idx="49">
                  <c:v>-2.7301383410836033</c:v>
                </c:pt>
                <c:pt idx="50">
                  <c:v>-2.8841081264681545</c:v>
                </c:pt>
                <c:pt idx="51">
                  <c:v>-3.0380779118527048</c:v>
                </c:pt>
                <c:pt idx="52">
                  <c:v>-3.192047697237256</c:v>
                </c:pt>
                <c:pt idx="53">
                  <c:v>-3.3460174826218063</c:v>
                </c:pt>
                <c:pt idx="54">
                  <c:v>-3.4999872680063575</c:v>
                </c:pt>
                <c:pt idx="55">
                  <c:v>-3.6539570533909078</c:v>
                </c:pt>
                <c:pt idx="56">
                  <c:v>-3.8079268387754572</c:v>
                </c:pt>
                <c:pt idx="57">
                  <c:v>-3.9618966241600075</c:v>
                </c:pt>
                <c:pt idx="58">
                  <c:v>-4.1158664095445578</c:v>
                </c:pt>
                <c:pt idx="59">
                  <c:v>-4.2698361949291082</c:v>
                </c:pt>
                <c:pt idx="60">
                  <c:v>-4.4238059803136585</c:v>
                </c:pt>
                <c:pt idx="61">
                  <c:v>-4.5777757656982088</c:v>
                </c:pt>
                <c:pt idx="62">
                  <c:v>-4.7317455510827582</c:v>
                </c:pt>
                <c:pt idx="63">
                  <c:v>-4.8857153364673085</c:v>
                </c:pt>
                <c:pt idx="64">
                  <c:v>-5.0396851218518588</c:v>
                </c:pt>
                <c:pt idx="65">
                  <c:v>-5.1936549072364091</c:v>
                </c:pt>
                <c:pt idx="66">
                  <c:v>-5.3476246926209594</c:v>
                </c:pt>
                <c:pt idx="67">
                  <c:v>-5.5015944780055088</c:v>
                </c:pt>
                <c:pt idx="68">
                  <c:v>-5.6555642633900591</c:v>
                </c:pt>
                <c:pt idx="69">
                  <c:v>-5.8095340487746094</c:v>
                </c:pt>
                <c:pt idx="70">
                  <c:v>-5.9635038341591597</c:v>
                </c:pt>
                <c:pt idx="71">
                  <c:v>-6.1174736195437101</c:v>
                </c:pt>
                <c:pt idx="72">
                  <c:v>-6.2714434049282595</c:v>
                </c:pt>
                <c:pt idx="73">
                  <c:v>-6.4254131903128098</c:v>
                </c:pt>
                <c:pt idx="74">
                  <c:v>-6.5793829756973601</c:v>
                </c:pt>
                <c:pt idx="75">
                  <c:v>-6.7333527610819104</c:v>
                </c:pt>
                <c:pt idx="76">
                  <c:v>-6.8873225464664607</c:v>
                </c:pt>
                <c:pt idx="77">
                  <c:v>-7.0412923318510101</c:v>
                </c:pt>
                <c:pt idx="78">
                  <c:v>-7.1952621172355604</c:v>
                </c:pt>
                <c:pt idx="79">
                  <c:v>-7.3492319026201107</c:v>
                </c:pt>
                <c:pt idx="80">
                  <c:v>-7.503201688004661</c:v>
                </c:pt>
                <c:pt idx="81">
                  <c:v>-7.6571714733892113</c:v>
                </c:pt>
                <c:pt idx="82">
                  <c:v>-7.8111412587737616</c:v>
                </c:pt>
                <c:pt idx="83">
                  <c:v>-7.9651110441583119</c:v>
                </c:pt>
                <c:pt idx="84">
                  <c:v>-8.1190808295428631</c:v>
                </c:pt>
                <c:pt idx="85">
                  <c:v>-8.2730506149274117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E0-4F52-A245-009F10CA16DD}"/>
            </c:ext>
          </c:extLst>
        </c:ser>
        <c:ser>
          <c:idx val="0"/>
          <c:order val="1"/>
          <c:tx>
            <c:v>elicitation</c:v>
          </c:tx>
          <c:spPr>
            <a:ln w="381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regressionselic!$S$81:$S$166</c:f>
              <c:numCache>
                <c:formatCode>General</c:formatCode>
                <c:ptCount val="86"/>
                <c:pt idx="0">
                  <c:v>3.4928644297044347</c:v>
                </c:pt>
                <c:pt idx="1">
                  <c:v>3.2600068010574721</c:v>
                </c:pt>
                <c:pt idx="2">
                  <c:v>3.0271491724105095</c:v>
                </c:pt>
                <c:pt idx="3">
                  <c:v>2.7942915437635469</c:v>
                </c:pt>
                <c:pt idx="4">
                  <c:v>2.5614339151165848</c:v>
                </c:pt>
                <c:pt idx="5">
                  <c:v>2.3285762864696222</c:v>
                </c:pt>
                <c:pt idx="6">
                  <c:v>2.0957186578226601</c:v>
                </c:pt>
                <c:pt idx="7">
                  <c:v>1.8628610291756977</c:v>
                </c:pt>
                <c:pt idx="8">
                  <c:v>1.6300034005287356</c:v>
                </c:pt>
                <c:pt idx="9">
                  <c:v>1.3971457718817732</c:v>
                </c:pt>
                <c:pt idx="10">
                  <c:v>1.1642881432348111</c:v>
                </c:pt>
                <c:pt idx="11">
                  <c:v>0.93143051458784876</c:v>
                </c:pt>
                <c:pt idx="12">
                  <c:v>0.69857288594088651</c:v>
                </c:pt>
                <c:pt idx="13">
                  <c:v>0.46571525729392421</c:v>
                </c:pt>
                <c:pt idx="14">
                  <c:v>0.23285762864696188</c:v>
                </c:pt>
                <c:pt idx="15">
                  <c:v>0</c:v>
                </c:pt>
                <c:pt idx="16">
                  <c:v>-0.23285762864696233</c:v>
                </c:pt>
                <c:pt idx="17">
                  <c:v>-0.46571525729392466</c:v>
                </c:pt>
                <c:pt idx="18">
                  <c:v>-0.69857288594088707</c:v>
                </c:pt>
                <c:pt idx="19">
                  <c:v>-0.93143051458784931</c:v>
                </c:pt>
                <c:pt idx="20">
                  <c:v>-1.1642881432348116</c:v>
                </c:pt>
                <c:pt idx="21">
                  <c:v>-1.3971457718817739</c:v>
                </c:pt>
                <c:pt idx="22">
                  <c:v>-1.630003400528736</c:v>
                </c:pt>
                <c:pt idx="23">
                  <c:v>-1.8628610291756984</c:v>
                </c:pt>
                <c:pt idx="24">
                  <c:v>-2.0957186578226605</c:v>
                </c:pt>
                <c:pt idx="25">
                  <c:v>-2.3285762864696227</c:v>
                </c:pt>
                <c:pt idx="26">
                  <c:v>-2.5614339151165852</c:v>
                </c:pt>
                <c:pt idx="27">
                  <c:v>-2.7942915437635478</c:v>
                </c:pt>
                <c:pt idx="28">
                  <c:v>-3.02714917241051</c:v>
                </c:pt>
                <c:pt idx="29">
                  <c:v>-3.2600068010574725</c:v>
                </c:pt>
                <c:pt idx="30">
                  <c:v>-3.4928644297044351</c:v>
                </c:pt>
                <c:pt idx="31">
                  <c:v>-3.7257220583513977</c:v>
                </c:pt>
                <c:pt idx="32">
                  <c:v>-3.9585796869983603</c:v>
                </c:pt>
                <c:pt idx="33">
                  <c:v>-4.1914373156453228</c:v>
                </c:pt>
                <c:pt idx="34">
                  <c:v>-4.424294944292285</c:v>
                </c:pt>
                <c:pt idx="35">
                  <c:v>-4.6571525729392471</c:v>
                </c:pt>
                <c:pt idx="36">
                  <c:v>-4.8900102015862101</c:v>
                </c:pt>
                <c:pt idx="37">
                  <c:v>-5.1228678302331723</c:v>
                </c:pt>
                <c:pt idx="38">
                  <c:v>-5.3557254588801344</c:v>
                </c:pt>
                <c:pt idx="39">
                  <c:v>-5.5885830875270974</c:v>
                </c:pt>
                <c:pt idx="40">
                  <c:v>-5.8214407161740596</c:v>
                </c:pt>
                <c:pt idx="41">
                  <c:v>-6.0542983448210226</c:v>
                </c:pt>
                <c:pt idx="42">
                  <c:v>-6.2871559734679847</c:v>
                </c:pt>
                <c:pt idx="43">
                  <c:v>-6.5200136021149477</c:v>
                </c:pt>
                <c:pt idx="44">
                  <c:v>-6.7528712307619099</c:v>
                </c:pt>
                <c:pt idx="45">
                  <c:v>-6.985728859408872</c:v>
                </c:pt>
                <c:pt idx="46">
                  <c:v>-7.218586488055835</c:v>
                </c:pt>
                <c:pt idx="47">
                  <c:v>-7.4514441167027972</c:v>
                </c:pt>
                <c:pt idx="48">
                  <c:v>-7.6843017453497602</c:v>
                </c:pt>
                <c:pt idx="49">
                  <c:v>-7.9171593739967223</c:v>
                </c:pt>
                <c:pt idx="50">
                  <c:v>-8.1500170026436844</c:v>
                </c:pt>
                <c:pt idx="51">
                  <c:v>-8.3828746312906475</c:v>
                </c:pt>
                <c:pt idx="52">
                  <c:v>-8.6157322599376105</c:v>
                </c:pt>
                <c:pt idx="53">
                  <c:v>-8.8485898885845717</c:v>
                </c:pt>
                <c:pt idx="54">
                  <c:v>-9.0814475172315348</c:v>
                </c:pt>
                <c:pt idx="55">
                  <c:v>-9.314305145878496</c:v>
                </c:pt>
                <c:pt idx="56">
                  <c:v>-9.5471627745254573</c:v>
                </c:pt>
                <c:pt idx="57">
                  <c:v>-9.7800204031724203</c:v>
                </c:pt>
                <c:pt idx="58">
                  <c:v>-10.012878031819382</c:v>
                </c:pt>
                <c:pt idx="59">
                  <c:v>-10.245735660466343</c:v>
                </c:pt>
                <c:pt idx="60">
                  <c:v>-10.478593289113304</c:v>
                </c:pt>
                <c:pt idx="61">
                  <c:v>-10.711450917760265</c:v>
                </c:pt>
                <c:pt idx="62">
                  <c:v>-10.944308546407227</c:v>
                </c:pt>
                <c:pt idx="63">
                  <c:v>-11.177166175054188</c:v>
                </c:pt>
                <c:pt idx="64">
                  <c:v>-11.410023803701151</c:v>
                </c:pt>
                <c:pt idx="65">
                  <c:v>-11.642881432348112</c:v>
                </c:pt>
                <c:pt idx="66">
                  <c:v>-11.875739060995073</c:v>
                </c:pt>
                <c:pt idx="67">
                  <c:v>-12.108596689642035</c:v>
                </c:pt>
                <c:pt idx="68">
                  <c:v>-12.341454318288996</c:v>
                </c:pt>
                <c:pt idx="69">
                  <c:v>-12.574311946935957</c:v>
                </c:pt>
                <c:pt idx="70">
                  <c:v>-12.807169575582918</c:v>
                </c:pt>
                <c:pt idx="71">
                  <c:v>-13.040027204229879</c:v>
                </c:pt>
                <c:pt idx="72">
                  <c:v>-13.272884832876843</c:v>
                </c:pt>
                <c:pt idx="73">
                  <c:v>-13.505742461523804</c:v>
                </c:pt>
                <c:pt idx="74">
                  <c:v>-13.738600090170765</c:v>
                </c:pt>
                <c:pt idx="75">
                  <c:v>-13.971457718817726</c:v>
                </c:pt>
                <c:pt idx="76">
                  <c:v>-14.204315347464687</c:v>
                </c:pt>
                <c:pt idx="77">
                  <c:v>-14.437172976111649</c:v>
                </c:pt>
                <c:pt idx="78">
                  <c:v>-14.67003060475861</c:v>
                </c:pt>
                <c:pt idx="79">
                  <c:v>-14.902888233405573</c:v>
                </c:pt>
                <c:pt idx="80">
                  <c:v>-15.135745862052534</c:v>
                </c:pt>
                <c:pt idx="81">
                  <c:v>-15.368603490699495</c:v>
                </c:pt>
                <c:pt idx="82">
                  <c:v>-15.601461119346457</c:v>
                </c:pt>
                <c:pt idx="83">
                  <c:v>-15.834318747993418</c:v>
                </c:pt>
                <c:pt idx="84">
                  <c:v>-16.067176376640379</c:v>
                </c:pt>
                <c:pt idx="85">
                  <c:v>-16.30003400528734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E0-4F52-A245-009F10CA16DD}"/>
            </c:ext>
          </c:extLst>
        </c:ser>
        <c:ser>
          <c:idx val="8"/>
          <c:order val="2"/>
          <c:tx>
            <c:v>econometric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regressionsectric!$Q$81:$Q$166</c:f>
              <c:numCache>
                <c:formatCode>General</c:formatCode>
                <c:ptCount val="86"/>
                <c:pt idx="0">
                  <c:v>2.7655318354518786E-3</c:v>
                </c:pt>
                <c:pt idx="1">
                  <c:v>2.6819937835965866E-3</c:v>
                </c:pt>
                <c:pt idx="2">
                  <c:v>2.5896699581334222E-3</c:v>
                </c:pt>
                <c:pt idx="3">
                  <c:v>2.4876363511860409E-3</c:v>
                </c:pt>
                <c:pt idx="4">
                  <c:v>2.3748717761214342E-3</c:v>
                </c:pt>
                <c:pt idx="5">
                  <c:v>2.2502476471708719E-3</c:v>
                </c:pt>
                <c:pt idx="6">
                  <c:v>2.1125166841642019E-3</c:v>
                </c:pt>
                <c:pt idx="7">
                  <c:v>1.9603004293306768E-3</c:v>
                </c:pt>
                <c:pt idx="8">
                  <c:v>1.7920754512302734E-3</c:v>
                </c:pt>
                <c:pt idx="9">
                  <c:v>1.6061580977397944E-3</c:v>
                </c:pt>
                <c:pt idx="10">
                  <c:v>1.4006876454965276E-3</c:v>
                </c:pt>
                <c:pt idx="11">
                  <c:v>1.1736076771534177E-3</c:v>
                </c:pt>
                <c:pt idx="12">
                  <c:v>9.22645500063074E-4</c:v>
                </c:pt>
                <c:pt idx="13">
                  <c:v>6.452894004058754E-4</c:v>
                </c:pt>
                <c:pt idx="14">
                  <c:v>3.3876350511384849E-4</c:v>
                </c:pt>
                <c:pt idx="15">
                  <c:v>0</c:v>
                </c:pt>
                <c:pt idx="16">
                  <c:v>-3.7439157395719727E-4</c:v>
                </c:pt>
                <c:pt idx="17">
                  <c:v>-7.8815825346725951E-4</c:v>
                </c:pt>
                <c:pt idx="18">
                  <c:v>-1.2454411545305068E-3</c:v>
                </c:pt>
                <c:pt idx="19">
                  <c:v>-1.7508169181188718E-3</c:v>
                </c:pt>
                <c:pt idx="20">
                  <c:v>-2.3093435147370071E-3</c:v>
                </c:pt>
                <c:pt idx="21">
                  <c:v>-2.926610866291137E-3</c:v>
                </c:pt>
                <c:pt idx="22">
                  <c:v>-3.6087967919063405E-3</c:v>
                </c:pt>
                <c:pt idx="23">
                  <c:v>-4.3627288376167778E-3</c:v>
                </c:pt>
                <c:pt idx="24">
                  <c:v>-5.1959526087412347E-3</c:v>
                </c:pt>
                <c:pt idx="25">
                  <c:v>-6.1168072888373032E-3</c:v>
                </c:pt>
                <c:pt idx="26">
                  <c:v>-7.1345091010533313E-3</c:v>
                </c:pt>
                <c:pt idx="27">
                  <c:v>-8.259243547187373E-3</c:v>
                </c:pt>
                <c:pt idx="28">
                  <c:v>-9.5022673476126349E-3</c:v>
                </c:pt>
                <c:pt idx="29">
                  <c:v>-1.0876021102318504E-2</c:v>
                </c:pt>
                <c:pt idx="30">
                  <c:v>-1.2394253800616655E-2</c:v>
                </c:pt>
                <c:pt idx="31">
                  <c:v>-1.4072160425647294E-2</c:v>
                </c:pt>
                <c:pt idx="32">
                  <c:v>-1.5926534030877612E-2</c:v>
                </c:pt>
                <c:pt idx="33">
                  <c:v>-1.7975933810625254E-2</c:v>
                </c:pt>
                <c:pt idx="34">
                  <c:v>-2.0240870846712986E-2</c:v>
                </c:pt>
                <c:pt idx="35">
                  <c:v>-2.2744013390269595E-2</c:v>
                </c:pt>
                <c:pt idx="36">
                  <c:v>-2.5510413733206276E-2</c:v>
                </c:pt>
                <c:pt idx="37">
                  <c:v>-2.8567758939974389E-2</c:v>
                </c:pt>
                <c:pt idx="38">
                  <c:v>-3.1946647949012481E-2</c:v>
                </c:pt>
                <c:pt idx="39">
                  <c:v>-3.5680897817206826E-2</c:v>
                </c:pt>
                <c:pt idx="40">
                  <c:v>-3.9807882172363043E-2</c:v>
                </c:pt>
                <c:pt idx="41">
                  <c:v>-4.4368905261034874E-2</c:v>
                </c:pt>
                <c:pt idx="42">
                  <c:v>-4.9409615335306543E-2</c:v>
                </c:pt>
                <c:pt idx="43">
                  <c:v>-5.4980461515842537E-2</c:v>
                </c:pt>
                <c:pt idx="44">
                  <c:v>-6.113719870364371E-2</c:v>
                </c:pt>
                <c:pt idx="45">
                  <c:v>-6.7941445593836414E-2</c:v>
                </c:pt>
                <c:pt idx="46">
                  <c:v>-7.5461301376284068E-2</c:v>
                </c:pt>
                <c:pt idx="47">
                  <c:v>-8.3772027295168194E-2</c:v>
                </c:pt>
                <c:pt idx="48">
                  <c:v>-9.2956799888816444E-2</c:v>
                </c:pt>
                <c:pt idx="49">
                  <c:v>-0.10310754344845474</c:v>
                </c:pt>
                <c:pt idx="50">
                  <c:v>-0.11432585002741068</c:v>
                </c:pt>
                <c:pt idx="51">
                  <c:v>-0.12672399620852945</c:v>
                </c:pt>
                <c:pt idx="52">
                  <c:v>-0.1404260668059526</c:v>
                </c:pt>
                <c:pt idx="53">
                  <c:v>-0.15556919674764405</c:v>
                </c:pt>
                <c:pt idx="54">
                  <c:v>-0.17230494356784207</c:v>
                </c:pt>
                <c:pt idx="55">
                  <c:v>-0.19080080424580179</c:v>
                </c:pt>
                <c:pt idx="56">
                  <c:v>-0.2112418915718618</c:v>
                </c:pt>
                <c:pt idx="57">
                  <c:v>-0.23383278681846803</c:v>
                </c:pt>
                <c:pt idx="58">
                  <c:v>-0.25879958725831065</c:v>
                </c:pt>
                <c:pt idx="59">
                  <c:v>-0.28639216902182291</c:v>
                </c:pt>
                <c:pt idx="60">
                  <c:v>-0.31688668794148117</c:v>
                </c:pt>
                <c:pt idx="61">
                  <c:v>-0.35058834341219508</c:v>
                </c:pt>
                <c:pt idx="62">
                  <c:v>-0.38783443292943315</c:v>
                </c:pt>
                <c:pt idx="63">
                  <c:v>-0.42899772787592683</c:v>
                </c:pt>
                <c:pt idx="64">
                  <c:v>-0.47449020434296196</c:v>
                </c:pt>
                <c:pt idx="65">
                  <c:v>-0.52476716632556997</c:v>
                </c:pt>
                <c:pt idx="66">
                  <c:v>-0.58033180255794314</c:v>
                </c:pt>
                <c:pt idx="67">
                  <c:v>-0.64174022259541452</c:v>
                </c:pt>
                <c:pt idx="68">
                  <c:v>-0.70960702254580166</c:v>
                </c:pt>
                <c:pt idx="69">
                  <c:v>-0.78461143615382722</c:v>
                </c:pt>
                <c:pt idx="70">
                  <c:v>-0.86750413280073457</c:v>
                </c:pt>
                <c:pt idx="71">
                  <c:v>-0.95911473045576323</c:v>
                </c:pt>
                <c:pt idx="72">
                  <c:v>-1.06036009877163</c:v>
                </c:pt>
                <c:pt idx="73">
                  <c:v>-1.1722535354241834</c:v>
                </c:pt>
                <c:pt idx="74">
                  <c:v>-1.2959149075361251</c:v>
                </c:pt>
                <c:pt idx="75">
                  <c:v>-1.4325818596835742</c:v>
                </c:pt>
                <c:pt idx="76">
                  <c:v>-1.5836222006589709</c:v>
                </c:pt>
                <c:pt idx="77">
                  <c:v>-1.7505475929612089</c:v>
                </c:pt>
                <c:pt idx="78">
                  <c:v>-1.9350286820220111</c:v>
                </c:pt>
                <c:pt idx="79">
                  <c:v>-2.1389118165869325</c:v>
                </c:pt>
                <c:pt idx="80">
                  <c:v>-2.364237527594188</c:v>
                </c:pt>
                <c:pt idx="81">
                  <c:v>-2.6132609504941242</c:v>
                </c:pt>
                <c:pt idx="82">
                  <c:v>-2.8884743954027869</c:v>
                </c:pt>
                <c:pt idx="83">
                  <c:v>-3.1926322909792555</c:v>
                </c:pt>
                <c:pt idx="84">
                  <c:v>-3.5287787516734572</c:v>
                </c:pt>
                <c:pt idx="85">
                  <c:v>-3.9002780442467491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E0-4F52-A245-009F10CA16DD}"/>
            </c:ext>
          </c:extLst>
        </c:ser>
        <c:ser>
          <c:idx val="9"/>
          <c:order val="3"/>
          <c:tx>
            <c:v>CGE</c:v>
          </c:tx>
          <c:spPr>
            <a:ln w="381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regressionscge!$M$81:$M$166</c:f>
              <c:numCache>
                <c:formatCode>General</c:formatCode>
                <c:ptCount val="86"/>
                <c:pt idx="0">
                  <c:v>-0.34459474516048771</c:v>
                </c:pt>
                <c:pt idx="1">
                  <c:v>-0.30022795143893505</c:v>
                </c:pt>
                <c:pt idx="2">
                  <c:v>-0.25890089561123636</c:v>
                </c:pt>
                <c:pt idx="3">
                  <c:v>-0.2206212930900173</c:v>
                </c:pt>
                <c:pt idx="4">
                  <c:v>-0.18539482264714807</c:v>
                </c:pt>
                <c:pt idx="5">
                  <c:v>-0.15322555954548731</c:v>
                </c:pt>
                <c:pt idx="6">
                  <c:v>-0.12411634231853</c:v>
                </c:pt>
                <c:pt idx="7">
                  <c:v>-9.8069078727298933E-2</c:v>
                </c:pt>
                <c:pt idx="8">
                  <c:v>-7.508499642382245E-2</c:v>
                </c:pt>
                <c:pt idx="9">
                  <c:v>-5.5164843850539394E-2</c:v>
                </c:pt>
                <c:pt idx="10">
                  <c:v>-3.8309046904972471E-2</c:v>
                </c:pt>
                <c:pt idx="11">
                  <c:v>-2.4517826899011965E-2</c:v>
                </c:pt>
                <c:pt idx="12">
                  <c:v>-1.3791285342150742E-2</c:v>
                </c:pt>
                <c:pt idx="13">
                  <c:v>-6.1294610780122608E-3</c:v>
                </c:pt>
                <c:pt idx="14">
                  <c:v>-1.5323653035129003E-3</c:v>
                </c:pt>
                <c:pt idx="15">
                  <c:v>0</c:v>
                </c:pt>
                <c:pt idx="16">
                  <c:v>-1.5323653057070896E-3</c:v>
                </c:pt>
                <c:pt idx="17">
                  <c:v>-6.1294613588677108E-3</c:v>
                </c:pt>
                <c:pt idx="18">
                  <c:v>-1.3791290140829205E-2</c:v>
                </c:pt>
                <c:pt idx="19">
                  <c:v>-2.4517862848507942E-2</c:v>
                </c:pt>
                <c:pt idx="20">
                  <c:v>-3.8309218325527382E-2</c:v>
                </c:pt>
                <c:pt idx="21">
                  <c:v>-5.5165458081380403E-2</c:v>
                </c:pt>
                <c:pt idx="22">
                  <c:v>-7.508680342795726E-2</c:v>
                </c:pt>
                <c:pt idx="23">
                  <c:v>-9.8073680262780696E-2</c:v>
                </c:pt>
                <c:pt idx="24">
                  <c:v>-0.12412683702828951</c:v>
                </c:pt>
                <c:pt idx="25">
                  <c:v>-0.15324750137651211</c:v>
                </c:pt>
                <c:pt idx="26">
                  <c:v>-0.18543758106847125</c:v>
                </c:pt>
                <c:pt idx="27">
                  <c:v>-0.22069991463766195</c:v>
                </c:pt>
                <c:pt idx="28">
                  <c:v>-0.25903857734694286</c:v>
                </c:pt>
                <c:pt idx="29">
                  <c:v>-0.30045924796818407</c:v>
                </c:pt>
                <c:pt idx="30">
                  <c:v>-0.34496964191401142</c:v>
                </c:pt>
                <c:pt idx="31">
                  <c:v>-0.39258001625098909</c:v>
                </c:pt>
                <c:pt idx="32">
                  <c:v>-0.44330375212358281</c:v>
                </c:pt>
                <c:pt idx="33">
                  <c:v>-0.49715802011824345</c:v>
                </c:pt>
                <c:pt idx="34">
                  <c:v>-0.55416453409695399</c:v>
                </c:pt>
                <c:pt idx="35">
                  <c:v>-0.61435039902958</c:v>
                </c:pt>
                <c:pt idx="36">
                  <c:v>-0.67774905835436638</c:v>
                </c:pt>
                <c:pt idx="37">
                  <c:v>-0.74440134639592015</c:v>
                </c:pt>
                <c:pt idx="38">
                  <c:v>-0.81435665137002256</c:v>
                </c:pt>
                <c:pt idx="39">
                  <c:v>-0.88767419450460994</c:v>
                </c:pt>
                <c:pt idx="40">
                  <c:v>-0.96442443080626672</c:v>
                </c:pt>
                <c:pt idx="41">
                  <c:v>-1.0446905770015711</c:v>
                </c:pt>
                <c:pt idx="42">
                  <c:v>-1.1285702721826329</c:v>
                </c:pt>
                <c:pt idx="43">
                  <c:v>-1.2161773766861703</c:v>
                </c:pt>
                <c:pt idx="44">
                  <c:v>-1.3076439147354597</c:v>
                </c:pt>
                <c:pt idx="45">
                  <c:v>-1.4031221663745055</c:v>
                </c:pt>
                <c:pt idx="46">
                  <c:v>-1.5027869142237724</c:v>
                </c:pt>
                <c:pt idx="47">
                  <c:v>-1.6068378505868124</c:v>
                </c:pt>
                <c:pt idx="48">
                  <c:v>-1.715502150437141</c:v>
                </c:pt>
                <c:pt idx="49">
                  <c:v>-1.8290372158146921</c:v>
                </c:pt>
                <c:pt idx="50">
                  <c:v>-1.9477335971612035</c:v>
                </c:pt>
                <c:pt idx="51">
                  <c:v>-2.0719180971238633</c:v>
                </c:pt>
                <c:pt idx="52">
                  <c:v>-2.2019570623565698</c:v>
                </c:pt>
                <c:pt idx="53">
                  <c:v>-2.3382598688481373</c:v>
                </c:pt>
                <c:pt idx="54">
                  <c:v>-2.4812826063067956</c:v>
                </c:pt>
                <c:pt idx="55">
                  <c:v>-2.6315319671303192</c:v>
                </c:pt>
                <c:pt idx="56">
                  <c:v>-2.7895693454911341</c:v>
                </c:pt>
                <c:pt idx="57">
                  <c:v>-2.9560151520657372</c:v>
                </c:pt>
                <c:pt idx="58">
                  <c:v>-3.1315533499377715</c:v>
                </c:pt>
                <c:pt idx="59">
                  <c:v>-3.3169362172041037</c:v>
                </c:pt>
                <c:pt idx="60">
                  <c:v>-3.5129893418132347</c:v>
                </c:pt>
                <c:pt idx="61">
                  <c:v>-3.7206168541653999</c:v>
                </c:pt>
                <c:pt idx="62">
                  <c:v>-3.9408069030036827</c:v>
                </c:pt>
                <c:pt idx="63">
                  <c:v>-4.1746373801254997</c:v>
                </c:pt>
                <c:pt idx="64">
                  <c:v>-4.4232818994437864</c:v>
                </c:pt>
                <c:pt idx="65">
                  <c:v>-4.6880160359272267</c:v>
                </c:pt>
                <c:pt idx="66">
                  <c:v>-4.970223829948881</c:v>
                </c:pt>
                <c:pt idx="67">
                  <c:v>-5.2714045625725365</c:v>
                </c:pt>
                <c:pt idx="68">
                  <c:v>-5.5931798073061234</c:v>
                </c:pt>
                <c:pt idx="69">
                  <c:v>-5.9373007638515531</c:v>
                </c:pt>
                <c:pt idx="70">
                  <c:v>-6.3056558793803115</c:v>
                </c:pt>
                <c:pt idx="71">
                  <c:v>-6.70027876286413</c:v>
                </c:pt>
                <c:pt idx="72">
                  <c:v>-7.1233563979901184</c:v>
                </c:pt>
                <c:pt idx="73">
                  <c:v>-7.5772376601896516</c:v>
                </c:pt>
                <c:pt idx="74">
                  <c:v>-8.0644421433103979</c:v>
                </c:pt>
                <c:pt idx="75">
                  <c:v>-8.5876693014607888</c:v>
                </c:pt>
                <c:pt idx="76">
                  <c:v>-9.1498079115562998</c:v>
                </c:pt>
                <c:pt idx="77">
                  <c:v>-9.7539458620968809</c:v>
                </c:pt>
                <c:pt idx="78">
                  <c:v>-10.403380273704855</c:v>
                </c:pt>
                <c:pt idx="79">
                  <c:v>-11.101627956952669</c:v>
                </c:pt>
                <c:pt idx="80">
                  <c:v>-11.852436213009778</c:v>
                </c:pt>
                <c:pt idx="81">
                  <c:v>-12.659793982638078</c:v>
                </c:pt>
                <c:pt idx="82">
                  <c:v>-13.527943349065158</c:v>
                </c:pt>
                <c:pt idx="83">
                  <c:v>-14.461391400264754</c:v>
                </c:pt>
                <c:pt idx="84">
                  <c:v>-15.464922456173749</c:v>
                </c:pt>
                <c:pt idx="85">
                  <c:v>-16.543610666375017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E0-4F52-A245-009F10CA16DD}"/>
            </c:ext>
          </c:extLst>
        </c:ser>
        <c:ser>
          <c:idx val="10"/>
          <c:order val="4"/>
          <c:spPr>
            <a:ln w="254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regressionsenum!$J$81:$J$166</c:f>
              <c:numCache>
                <c:formatCode>0.00</c:formatCode>
                <c:ptCount val="86"/>
                <c:pt idx="0">
                  <c:v>-2.4291414836449823</c:v>
                </c:pt>
                <c:pt idx="1">
                  <c:v>-2.3326277269293616</c:v>
                </c:pt>
                <c:pt idx="2">
                  <c:v>-2.2361139702137409</c:v>
                </c:pt>
                <c:pt idx="3">
                  <c:v>-2.1396002134981202</c:v>
                </c:pt>
                <c:pt idx="4">
                  <c:v>-2.0430864567825</c:v>
                </c:pt>
                <c:pt idx="5">
                  <c:v>-1.9465727000668793</c:v>
                </c:pt>
                <c:pt idx="6">
                  <c:v>-1.8500589433512589</c:v>
                </c:pt>
                <c:pt idx="7">
                  <c:v>-1.7535451866356384</c:v>
                </c:pt>
                <c:pt idx="8">
                  <c:v>-1.6570314299200177</c:v>
                </c:pt>
                <c:pt idx="9">
                  <c:v>-1.5605176732043973</c:v>
                </c:pt>
                <c:pt idx="10">
                  <c:v>-1.4640039164887768</c:v>
                </c:pt>
                <c:pt idx="11">
                  <c:v>-1.3674901597731564</c:v>
                </c:pt>
                <c:pt idx="12">
                  <c:v>-1.2709764030575359</c:v>
                </c:pt>
                <c:pt idx="13">
                  <c:v>-1.1744626463419152</c:v>
                </c:pt>
                <c:pt idx="14">
                  <c:v>-1.0779488896262948</c:v>
                </c:pt>
                <c:pt idx="15">
                  <c:v>-0.98143513291067441</c:v>
                </c:pt>
                <c:pt idx="16">
                  <c:v>-0.88492137619505384</c:v>
                </c:pt>
                <c:pt idx="17">
                  <c:v>-0.78840761947943339</c:v>
                </c:pt>
                <c:pt idx="18">
                  <c:v>-0.69189386276381282</c:v>
                </c:pt>
                <c:pt idx="19">
                  <c:v>-0.59538010604819225</c:v>
                </c:pt>
                <c:pt idx="20">
                  <c:v>-0.49886634933257179</c:v>
                </c:pt>
                <c:pt idx="21">
                  <c:v>-0.40235259261695133</c:v>
                </c:pt>
                <c:pt idx="22">
                  <c:v>-0.30583883590133076</c:v>
                </c:pt>
                <c:pt idx="23">
                  <c:v>-0.20932507918571031</c:v>
                </c:pt>
                <c:pt idx="24">
                  <c:v>-0.11281132247008974</c:v>
                </c:pt>
                <c:pt idx="25">
                  <c:v>-1.6298624765058944E-2</c:v>
                </c:pt>
                <c:pt idx="26">
                  <c:v>-0.17026841014960958</c:v>
                </c:pt>
                <c:pt idx="27">
                  <c:v>-0.32423819553416033</c:v>
                </c:pt>
                <c:pt idx="28">
                  <c:v>-0.4782079809187112</c:v>
                </c:pt>
                <c:pt idx="29">
                  <c:v>-0.63217776630326206</c:v>
                </c:pt>
                <c:pt idx="30">
                  <c:v>-0.78614755168781281</c:v>
                </c:pt>
                <c:pt idx="31">
                  <c:v>-0.94011733707236367</c:v>
                </c:pt>
                <c:pt idx="32">
                  <c:v>-1.0940871224569144</c:v>
                </c:pt>
                <c:pt idx="33">
                  <c:v>-1.2480569078414652</c:v>
                </c:pt>
                <c:pt idx="34">
                  <c:v>-1.4020266932260159</c:v>
                </c:pt>
                <c:pt idx="35">
                  <c:v>-1.5559964786105662</c:v>
                </c:pt>
                <c:pt idx="36">
                  <c:v>-1.7099662639951174</c:v>
                </c:pt>
                <c:pt idx="37">
                  <c:v>-1.8639360493796682</c:v>
                </c:pt>
                <c:pt idx="38">
                  <c:v>-2.0179058347642189</c:v>
                </c:pt>
                <c:pt idx="39">
                  <c:v>-2.1718756201487697</c:v>
                </c:pt>
                <c:pt idx="40">
                  <c:v>-2.3258454055333209</c:v>
                </c:pt>
                <c:pt idx="41">
                  <c:v>-2.4798151909178716</c:v>
                </c:pt>
                <c:pt idx="42">
                  <c:v>-2.6337849763024224</c:v>
                </c:pt>
                <c:pt idx="43">
                  <c:v>-2.7877547616869731</c:v>
                </c:pt>
                <c:pt idx="44">
                  <c:v>-2.9417245470715239</c:v>
                </c:pt>
                <c:pt idx="45">
                  <c:v>-3.0956943324560746</c:v>
                </c:pt>
                <c:pt idx="46">
                  <c:v>-3.2496641178406249</c:v>
                </c:pt>
                <c:pt idx="47">
                  <c:v>-3.4036339032251761</c:v>
                </c:pt>
                <c:pt idx="48">
                  <c:v>-3.5576036886097273</c:v>
                </c:pt>
                <c:pt idx="49">
                  <c:v>-3.7115734739942776</c:v>
                </c:pt>
                <c:pt idx="50">
                  <c:v>-3.8655432593788288</c:v>
                </c:pt>
                <c:pt idx="51">
                  <c:v>-4.0195130447633796</c:v>
                </c:pt>
                <c:pt idx="52">
                  <c:v>-4.1734828301479308</c:v>
                </c:pt>
                <c:pt idx="53">
                  <c:v>-4.3274526155324811</c:v>
                </c:pt>
                <c:pt idx="54">
                  <c:v>-4.4814224009170323</c:v>
                </c:pt>
                <c:pt idx="55">
                  <c:v>-4.6353921863015826</c:v>
                </c:pt>
                <c:pt idx="56">
                  <c:v>-4.789361971686132</c:v>
                </c:pt>
                <c:pt idx="57">
                  <c:v>-4.9433317570706823</c:v>
                </c:pt>
                <c:pt idx="58">
                  <c:v>-5.0973015424552326</c:v>
                </c:pt>
                <c:pt idx="59">
                  <c:v>-5.2512713278397829</c:v>
                </c:pt>
                <c:pt idx="60">
                  <c:v>-5.4052411132243332</c:v>
                </c:pt>
                <c:pt idx="61">
                  <c:v>-5.5592108986088835</c:v>
                </c:pt>
                <c:pt idx="62">
                  <c:v>-5.7131806839934329</c:v>
                </c:pt>
                <c:pt idx="63">
                  <c:v>-5.8671504693779832</c:v>
                </c:pt>
                <c:pt idx="64">
                  <c:v>-6.0211202547625335</c:v>
                </c:pt>
                <c:pt idx="65">
                  <c:v>-6.1750900401470838</c:v>
                </c:pt>
                <c:pt idx="66">
                  <c:v>-6.3290598255316342</c:v>
                </c:pt>
                <c:pt idx="67">
                  <c:v>-6.4830296109161836</c:v>
                </c:pt>
                <c:pt idx="68">
                  <c:v>-6.6369993963007339</c:v>
                </c:pt>
                <c:pt idx="69">
                  <c:v>-6.7909691816852842</c:v>
                </c:pt>
                <c:pt idx="70">
                  <c:v>-6.9449389670698345</c:v>
                </c:pt>
                <c:pt idx="71">
                  <c:v>-7.0989087524543848</c:v>
                </c:pt>
                <c:pt idx="72">
                  <c:v>-7.2528785378389342</c:v>
                </c:pt>
                <c:pt idx="73">
                  <c:v>-7.4068483232234845</c:v>
                </c:pt>
                <c:pt idx="74">
                  <c:v>-7.5608181086080348</c:v>
                </c:pt>
                <c:pt idx="75">
                  <c:v>-7.7147878939925851</c:v>
                </c:pt>
                <c:pt idx="76">
                  <c:v>-7.8687576793771354</c:v>
                </c:pt>
                <c:pt idx="77">
                  <c:v>-8.0227274647616849</c:v>
                </c:pt>
                <c:pt idx="78">
                  <c:v>-8.1766972501462352</c:v>
                </c:pt>
                <c:pt idx="79">
                  <c:v>-8.3306670355307855</c:v>
                </c:pt>
                <c:pt idx="80">
                  <c:v>-8.4846368209153358</c:v>
                </c:pt>
                <c:pt idx="81">
                  <c:v>-8.6386066062998861</c:v>
                </c:pt>
                <c:pt idx="82">
                  <c:v>-8.7925763916844364</c:v>
                </c:pt>
                <c:pt idx="83">
                  <c:v>-8.9465461770689867</c:v>
                </c:pt>
                <c:pt idx="84">
                  <c:v>-9.100515962453537</c:v>
                </c:pt>
                <c:pt idx="85">
                  <c:v>-9.2544857478380855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E0-4F52-A245-009F10CA16DD}"/>
            </c:ext>
          </c:extLst>
        </c:ser>
        <c:ser>
          <c:idx val="11"/>
          <c:order val="5"/>
          <c:spPr>
            <a:ln w="254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regressionsenum!$K$81:$K$166</c:f>
              <c:numCache>
                <c:formatCode>0.00</c:formatCode>
                <c:ptCount val="86"/>
                <c:pt idx="0">
                  <c:v>-0.46627121782363357</c:v>
                </c:pt>
                <c:pt idx="1">
                  <c:v>-0.36975746110801289</c:v>
                </c:pt>
                <c:pt idx="2">
                  <c:v>-0.27324370439239221</c:v>
                </c:pt>
                <c:pt idx="3">
                  <c:v>-0.17672994767677153</c:v>
                </c:pt>
                <c:pt idx="4">
                  <c:v>-8.0216190961151068E-2</c:v>
                </c:pt>
                <c:pt idx="5">
                  <c:v>1.6297565754469501E-2</c:v>
                </c:pt>
                <c:pt idx="6">
                  <c:v>0.11281132247008996</c:v>
                </c:pt>
                <c:pt idx="7">
                  <c:v>0.20932507918571053</c:v>
                </c:pt>
                <c:pt idx="8">
                  <c:v>0.30583883590133099</c:v>
                </c:pt>
                <c:pt idx="9">
                  <c:v>0.40235259261695155</c:v>
                </c:pt>
                <c:pt idx="10">
                  <c:v>0.49886634933257201</c:v>
                </c:pt>
                <c:pt idx="11">
                  <c:v>0.59538010604819247</c:v>
                </c:pt>
                <c:pt idx="12">
                  <c:v>0.69189386276381293</c:v>
                </c:pt>
                <c:pt idx="13">
                  <c:v>0.78840761947943361</c:v>
                </c:pt>
                <c:pt idx="14">
                  <c:v>0.88492137619505407</c:v>
                </c:pt>
                <c:pt idx="15">
                  <c:v>0.98143513291067441</c:v>
                </c:pt>
                <c:pt idx="16">
                  <c:v>1.077948889626295</c:v>
                </c:pt>
                <c:pt idx="17">
                  <c:v>1.1744626463419154</c:v>
                </c:pt>
                <c:pt idx="18">
                  <c:v>1.2709764030575359</c:v>
                </c:pt>
                <c:pt idx="19">
                  <c:v>1.3674901597731566</c:v>
                </c:pt>
                <c:pt idx="20">
                  <c:v>1.464003916488777</c:v>
                </c:pt>
                <c:pt idx="21">
                  <c:v>1.5605176732043975</c:v>
                </c:pt>
                <c:pt idx="22">
                  <c:v>1.6570314299200182</c:v>
                </c:pt>
                <c:pt idx="23">
                  <c:v>1.7535451866356384</c:v>
                </c:pt>
                <c:pt idx="24">
                  <c:v>1.8500589433512591</c:v>
                </c:pt>
                <c:pt idx="25">
                  <c:v>1.9465716410562899</c:v>
                </c:pt>
                <c:pt idx="26">
                  <c:v>1.7926018556717391</c:v>
                </c:pt>
                <c:pt idx="27">
                  <c:v>1.6386320702871884</c:v>
                </c:pt>
                <c:pt idx="28">
                  <c:v>1.4846622849026376</c:v>
                </c:pt>
                <c:pt idx="29">
                  <c:v>1.3306924995180869</c:v>
                </c:pt>
                <c:pt idx="30">
                  <c:v>1.1767227141335361</c:v>
                </c:pt>
                <c:pt idx="31">
                  <c:v>1.0227529287489852</c:v>
                </c:pt>
                <c:pt idx="32">
                  <c:v>0.8687831433644343</c:v>
                </c:pt>
                <c:pt idx="33">
                  <c:v>0.71481335797988355</c:v>
                </c:pt>
                <c:pt idx="34">
                  <c:v>0.5608435725953328</c:v>
                </c:pt>
                <c:pt idx="35">
                  <c:v>0.40687378721078249</c:v>
                </c:pt>
                <c:pt idx="36">
                  <c:v>0.25290400182623152</c:v>
                </c:pt>
                <c:pt idx="37">
                  <c:v>9.8934216441680767E-2</c:v>
                </c:pt>
                <c:pt idx="38">
                  <c:v>-5.5035568942869983E-2</c:v>
                </c:pt>
                <c:pt idx="39">
                  <c:v>-0.20900535432742073</c:v>
                </c:pt>
                <c:pt idx="40">
                  <c:v>-0.36297513971197193</c:v>
                </c:pt>
                <c:pt idx="41">
                  <c:v>-0.51694492509652268</c:v>
                </c:pt>
                <c:pt idx="42">
                  <c:v>-0.67091471048107343</c:v>
                </c:pt>
                <c:pt idx="43">
                  <c:v>-0.82488449586562418</c:v>
                </c:pt>
                <c:pt idx="44">
                  <c:v>-0.97885428125017493</c:v>
                </c:pt>
                <c:pt idx="45">
                  <c:v>-1.132824066634726</c:v>
                </c:pt>
                <c:pt idx="46">
                  <c:v>-1.2867938520192763</c:v>
                </c:pt>
                <c:pt idx="47">
                  <c:v>-1.4407636374038275</c:v>
                </c:pt>
                <c:pt idx="48">
                  <c:v>-1.5947334227883787</c:v>
                </c:pt>
                <c:pt idx="49">
                  <c:v>-1.748703208172929</c:v>
                </c:pt>
                <c:pt idx="50">
                  <c:v>-1.9026729935574802</c:v>
                </c:pt>
                <c:pt idx="51">
                  <c:v>-2.0566427789420305</c:v>
                </c:pt>
                <c:pt idx="52">
                  <c:v>-2.2106125643265817</c:v>
                </c:pt>
                <c:pt idx="53">
                  <c:v>-2.364582349711132</c:v>
                </c:pt>
                <c:pt idx="54">
                  <c:v>-2.5185521350956832</c:v>
                </c:pt>
                <c:pt idx="55">
                  <c:v>-2.6725219204802335</c:v>
                </c:pt>
                <c:pt idx="56">
                  <c:v>-2.8264917058647829</c:v>
                </c:pt>
                <c:pt idx="57">
                  <c:v>-2.9804614912493332</c:v>
                </c:pt>
                <c:pt idx="58">
                  <c:v>-3.1344312766338835</c:v>
                </c:pt>
                <c:pt idx="59">
                  <c:v>-3.2884010620184339</c:v>
                </c:pt>
                <c:pt idx="60">
                  <c:v>-3.4423708474029842</c:v>
                </c:pt>
                <c:pt idx="61">
                  <c:v>-3.5963406327875345</c:v>
                </c:pt>
                <c:pt idx="62">
                  <c:v>-3.7503104181720839</c:v>
                </c:pt>
                <c:pt idx="63">
                  <c:v>-3.9042802035566342</c:v>
                </c:pt>
                <c:pt idx="64">
                  <c:v>-4.058249988941184</c:v>
                </c:pt>
                <c:pt idx="65">
                  <c:v>-4.2122197743257344</c:v>
                </c:pt>
                <c:pt idx="66">
                  <c:v>-4.3661895597102847</c:v>
                </c:pt>
                <c:pt idx="67">
                  <c:v>-4.5201593450948341</c:v>
                </c:pt>
                <c:pt idx="68">
                  <c:v>-4.6741291304793844</c:v>
                </c:pt>
                <c:pt idx="69">
                  <c:v>-4.8280989158639347</c:v>
                </c:pt>
                <c:pt idx="70">
                  <c:v>-4.982068701248485</c:v>
                </c:pt>
                <c:pt idx="71">
                  <c:v>-5.1360384866330353</c:v>
                </c:pt>
                <c:pt idx="72">
                  <c:v>-5.2900082720175847</c:v>
                </c:pt>
                <c:pt idx="73">
                  <c:v>-5.443978057402135</c:v>
                </c:pt>
                <c:pt idx="74">
                  <c:v>-5.5979478427866853</c:v>
                </c:pt>
                <c:pt idx="75">
                  <c:v>-5.7519176281712356</c:v>
                </c:pt>
                <c:pt idx="76">
                  <c:v>-5.9058874135557859</c:v>
                </c:pt>
                <c:pt idx="77">
                  <c:v>-6.0598571989403354</c:v>
                </c:pt>
                <c:pt idx="78">
                  <c:v>-6.2138269843248857</c:v>
                </c:pt>
                <c:pt idx="79">
                  <c:v>-6.367796769709436</c:v>
                </c:pt>
                <c:pt idx="80">
                  <c:v>-6.5217665550939863</c:v>
                </c:pt>
                <c:pt idx="81">
                  <c:v>-6.6757363404785366</c:v>
                </c:pt>
                <c:pt idx="82">
                  <c:v>-6.8297061258630869</c:v>
                </c:pt>
                <c:pt idx="83">
                  <c:v>-6.9836759112476372</c:v>
                </c:pt>
                <c:pt idx="84">
                  <c:v>-7.1376456966321884</c:v>
                </c:pt>
                <c:pt idx="85">
                  <c:v>-7.2916154820167369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E0-4F52-A245-009F10CA16DD}"/>
            </c:ext>
          </c:extLst>
        </c:ser>
        <c:ser>
          <c:idx val="12"/>
          <c:order val="6"/>
          <c:spPr>
            <a:ln w="25400" cap="rnd">
              <a:solidFill>
                <a:schemeClr val="accent3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regressionselic!$T$81:$T$166</c:f>
              <c:numCache>
                <c:formatCode>0.00</c:formatCode>
                <c:ptCount val="86"/>
                <c:pt idx="0">
                  <c:v>-1.0525997817372179</c:v>
                </c:pt>
                <c:pt idx="1">
                  <c:v>-1.2854574103841805</c:v>
                </c:pt>
                <c:pt idx="2">
                  <c:v>-1.5183150390311431</c:v>
                </c:pt>
                <c:pt idx="3">
                  <c:v>-1.7511726676781056</c:v>
                </c:pt>
                <c:pt idx="4">
                  <c:v>-1.9840302963250678</c:v>
                </c:pt>
                <c:pt idx="5">
                  <c:v>-2.2168879249720304</c:v>
                </c:pt>
                <c:pt idx="6">
                  <c:v>-2.4497455536189925</c:v>
                </c:pt>
                <c:pt idx="7">
                  <c:v>-2.6826031822659546</c:v>
                </c:pt>
                <c:pt idx="8">
                  <c:v>-2.9154608109129168</c:v>
                </c:pt>
                <c:pt idx="9">
                  <c:v>-3.1483184395598793</c:v>
                </c:pt>
                <c:pt idx="10">
                  <c:v>-3.3811760682068415</c:v>
                </c:pt>
                <c:pt idx="11">
                  <c:v>-3.614033696853804</c:v>
                </c:pt>
                <c:pt idx="12">
                  <c:v>-3.8468913255007662</c:v>
                </c:pt>
                <c:pt idx="13">
                  <c:v>-4.0797489541477283</c:v>
                </c:pt>
                <c:pt idx="14">
                  <c:v>-4.3126065827946904</c:v>
                </c:pt>
                <c:pt idx="15">
                  <c:v>-4.5454642114416526</c:v>
                </c:pt>
                <c:pt idx="16">
                  <c:v>-4.7783218400886147</c:v>
                </c:pt>
                <c:pt idx="17">
                  <c:v>-5.0111794687355768</c:v>
                </c:pt>
                <c:pt idx="18">
                  <c:v>-5.2440370973825399</c:v>
                </c:pt>
                <c:pt idx="19">
                  <c:v>-5.476894726029502</c:v>
                </c:pt>
                <c:pt idx="20">
                  <c:v>-5.7097523546764641</c:v>
                </c:pt>
                <c:pt idx="21">
                  <c:v>-5.9426099833234263</c:v>
                </c:pt>
                <c:pt idx="22">
                  <c:v>-6.1754676119703884</c:v>
                </c:pt>
                <c:pt idx="23">
                  <c:v>-6.4083252406173514</c:v>
                </c:pt>
                <c:pt idx="24">
                  <c:v>-6.6411828692643127</c:v>
                </c:pt>
                <c:pt idx="25">
                  <c:v>-6.8740404979112757</c:v>
                </c:pt>
                <c:pt idx="26">
                  <c:v>-7.1068981265582378</c:v>
                </c:pt>
                <c:pt idx="27">
                  <c:v>-7.3397557552052</c:v>
                </c:pt>
                <c:pt idx="28">
                  <c:v>-7.572613383852163</c:v>
                </c:pt>
                <c:pt idx="29">
                  <c:v>-7.8054710124991251</c:v>
                </c:pt>
                <c:pt idx="30">
                  <c:v>-8.0383286411460873</c:v>
                </c:pt>
                <c:pt idx="31">
                  <c:v>-8.2711862697930503</c:v>
                </c:pt>
                <c:pt idx="32">
                  <c:v>-8.5040438984400133</c:v>
                </c:pt>
                <c:pt idx="33">
                  <c:v>-8.7369015270869745</c:v>
                </c:pt>
                <c:pt idx="34">
                  <c:v>-8.9697591557339376</c:v>
                </c:pt>
                <c:pt idx="35">
                  <c:v>-9.2026167843809006</c:v>
                </c:pt>
                <c:pt idx="36">
                  <c:v>-9.4354744130278618</c:v>
                </c:pt>
                <c:pt idx="37">
                  <c:v>-9.6683320416748249</c:v>
                </c:pt>
                <c:pt idx="38">
                  <c:v>-9.9011896703217879</c:v>
                </c:pt>
                <c:pt idx="39">
                  <c:v>-10.134047298968749</c:v>
                </c:pt>
                <c:pt idx="40">
                  <c:v>-10.366904927615712</c:v>
                </c:pt>
                <c:pt idx="41">
                  <c:v>-10.599762556262675</c:v>
                </c:pt>
                <c:pt idx="42">
                  <c:v>-10.832620184909636</c:v>
                </c:pt>
                <c:pt idx="43">
                  <c:v>-11.065477813556601</c:v>
                </c:pt>
                <c:pt idx="44">
                  <c:v>-11.298335442203562</c:v>
                </c:pt>
                <c:pt idx="45">
                  <c:v>-11.531193070850524</c:v>
                </c:pt>
                <c:pt idx="46">
                  <c:v>-11.764050699497488</c:v>
                </c:pt>
                <c:pt idx="47">
                  <c:v>-11.99690832814445</c:v>
                </c:pt>
                <c:pt idx="48">
                  <c:v>-12.229765956791413</c:v>
                </c:pt>
                <c:pt idx="49">
                  <c:v>-12.462623585438376</c:v>
                </c:pt>
                <c:pt idx="50">
                  <c:v>-12.695481214085337</c:v>
                </c:pt>
                <c:pt idx="51">
                  <c:v>-12.9283388427323</c:v>
                </c:pt>
                <c:pt idx="52">
                  <c:v>-13.161196471379263</c:v>
                </c:pt>
                <c:pt idx="53">
                  <c:v>-13.394054100026224</c:v>
                </c:pt>
                <c:pt idx="54">
                  <c:v>-13.626911728673187</c:v>
                </c:pt>
                <c:pt idx="55">
                  <c:v>-13.859769357320149</c:v>
                </c:pt>
                <c:pt idx="56">
                  <c:v>-14.09262698596711</c:v>
                </c:pt>
                <c:pt idx="57">
                  <c:v>-14.325484614614073</c:v>
                </c:pt>
                <c:pt idx="58">
                  <c:v>-14.558342243261034</c:v>
                </c:pt>
                <c:pt idx="59">
                  <c:v>-14.791199871907995</c:v>
                </c:pt>
                <c:pt idx="60">
                  <c:v>-15.024057500554957</c:v>
                </c:pt>
                <c:pt idx="61">
                  <c:v>-15.256915129201918</c:v>
                </c:pt>
                <c:pt idx="62">
                  <c:v>-15.489772757848879</c:v>
                </c:pt>
                <c:pt idx="63">
                  <c:v>-15.72263038649584</c:v>
                </c:pt>
                <c:pt idx="64">
                  <c:v>-15.955488015142803</c:v>
                </c:pt>
                <c:pt idx="65">
                  <c:v>-16.188345643789766</c:v>
                </c:pt>
                <c:pt idx="66">
                  <c:v>-16.421203272436728</c:v>
                </c:pt>
                <c:pt idx="67">
                  <c:v>-16.654060901083689</c:v>
                </c:pt>
                <c:pt idx="68">
                  <c:v>-16.88691852973065</c:v>
                </c:pt>
                <c:pt idx="69">
                  <c:v>-17.119776158377611</c:v>
                </c:pt>
                <c:pt idx="70">
                  <c:v>-17.352633787024573</c:v>
                </c:pt>
                <c:pt idx="71">
                  <c:v>-17.585491415671534</c:v>
                </c:pt>
                <c:pt idx="72">
                  <c:v>-17.818349044318495</c:v>
                </c:pt>
                <c:pt idx="73">
                  <c:v>-18.051206672965456</c:v>
                </c:pt>
                <c:pt idx="74">
                  <c:v>-18.284064301612418</c:v>
                </c:pt>
                <c:pt idx="75">
                  <c:v>-18.516921930259379</c:v>
                </c:pt>
                <c:pt idx="76">
                  <c:v>-18.74977955890634</c:v>
                </c:pt>
                <c:pt idx="77">
                  <c:v>-18.982637187553301</c:v>
                </c:pt>
                <c:pt idx="78">
                  <c:v>-19.215494816200263</c:v>
                </c:pt>
                <c:pt idx="79">
                  <c:v>-19.448352444847224</c:v>
                </c:pt>
                <c:pt idx="80">
                  <c:v>-19.681210073494185</c:v>
                </c:pt>
                <c:pt idx="81">
                  <c:v>-19.914067702141146</c:v>
                </c:pt>
                <c:pt idx="82">
                  <c:v>-20.146925330788108</c:v>
                </c:pt>
                <c:pt idx="83">
                  <c:v>-20.379782959435069</c:v>
                </c:pt>
                <c:pt idx="84">
                  <c:v>-20.61264058808203</c:v>
                </c:pt>
                <c:pt idx="85">
                  <c:v>-20.845498216728991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E0-4F52-A245-009F10CA16DD}"/>
            </c:ext>
          </c:extLst>
        </c:ser>
        <c:ser>
          <c:idx val="13"/>
          <c:order val="7"/>
          <c:spPr>
            <a:ln w="25400" cap="rnd">
              <a:solidFill>
                <a:schemeClr val="accent3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regressionselic!$U$81:$U$166</c:f>
              <c:numCache>
                <c:formatCode>0.00</c:formatCode>
                <c:ptCount val="86"/>
                <c:pt idx="0">
                  <c:v>8.0383286411460873</c:v>
                </c:pt>
                <c:pt idx="1">
                  <c:v>7.8054710124991242</c:v>
                </c:pt>
                <c:pt idx="2">
                  <c:v>7.5726133838521621</c:v>
                </c:pt>
                <c:pt idx="3">
                  <c:v>7.3397557552052</c:v>
                </c:pt>
                <c:pt idx="4">
                  <c:v>7.1068981265582369</c:v>
                </c:pt>
                <c:pt idx="5">
                  <c:v>6.8740404979112748</c:v>
                </c:pt>
                <c:pt idx="6">
                  <c:v>6.6411828692643127</c:v>
                </c:pt>
                <c:pt idx="7">
                  <c:v>6.4083252406173505</c:v>
                </c:pt>
                <c:pt idx="8">
                  <c:v>6.1754676119703884</c:v>
                </c:pt>
                <c:pt idx="9">
                  <c:v>5.9426099833234254</c:v>
                </c:pt>
                <c:pt idx="10">
                  <c:v>5.7097523546764641</c:v>
                </c:pt>
                <c:pt idx="11">
                  <c:v>5.4768947260295011</c:v>
                </c:pt>
                <c:pt idx="12">
                  <c:v>5.244037097382539</c:v>
                </c:pt>
                <c:pt idx="13">
                  <c:v>5.0111794687355768</c:v>
                </c:pt>
                <c:pt idx="14">
                  <c:v>4.7783218400886147</c:v>
                </c:pt>
                <c:pt idx="15">
                  <c:v>4.5454642114416526</c:v>
                </c:pt>
                <c:pt idx="16">
                  <c:v>4.3126065827946904</c:v>
                </c:pt>
                <c:pt idx="17">
                  <c:v>4.0797489541477283</c:v>
                </c:pt>
                <c:pt idx="18">
                  <c:v>3.8468913255007653</c:v>
                </c:pt>
                <c:pt idx="19">
                  <c:v>3.6140336968538032</c:v>
                </c:pt>
                <c:pt idx="20">
                  <c:v>3.381176068206841</c:v>
                </c:pt>
                <c:pt idx="21">
                  <c:v>3.1483184395598789</c:v>
                </c:pt>
                <c:pt idx="22">
                  <c:v>2.9154608109129168</c:v>
                </c:pt>
                <c:pt idx="23">
                  <c:v>2.6826031822659542</c:v>
                </c:pt>
                <c:pt idx="24">
                  <c:v>2.449745553618992</c:v>
                </c:pt>
                <c:pt idx="25">
                  <c:v>2.2168879249720299</c:v>
                </c:pt>
                <c:pt idx="26">
                  <c:v>1.9840302963250673</c:v>
                </c:pt>
                <c:pt idx="27">
                  <c:v>1.7511726676781048</c:v>
                </c:pt>
                <c:pt idx="28">
                  <c:v>1.5183150390311426</c:v>
                </c:pt>
                <c:pt idx="29">
                  <c:v>1.28545741038418</c:v>
                </c:pt>
                <c:pt idx="30">
                  <c:v>1.0525997817372175</c:v>
                </c:pt>
                <c:pt idx="31">
                  <c:v>0.81974215309025489</c:v>
                </c:pt>
                <c:pt idx="32">
                  <c:v>0.58688452444329231</c:v>
                </c:pt>
                <c:pt idx="33">
                  <c:v>0.35402689579632973</c:v>
                </c:pt>
                <c:pt idx="34">
                  <c:v>0.1211692671493676</c:v>
                </c:pt>
                <c:pt idx="35">
                  <c:v>-0.11168836149759453</c:v>
                </c:pt>
                <c:pt idx="36">
                  <c:v>-0.34454599014455756</c:v>
                </c:pt>
                <c:pt idx="37">
                  <c:v>-0.57740361879151969</c:v>
                </c:pt>
                <c:pt idx="38">
                  <c:v>-0.81026124743848182</c:v>
                </c:pt>
                <c:pt idx="39">
                  <c:v>-1.0431188760854448</c:v>
                </c:pt>
                <c:pt idx="40">
                  <c:v>-1.275976504732407</c:v>
                </c:pt>
                <c:pt idx="41">
                  <c:v>-1.50883413337937</c:v>
                </c:pt>
                <c:pt idx="42">
                  <c:v>-1.7416917620263321</c:v>
                </c:pt>
                <c:pt idx="43">
                  <c:v>-1.9745493906732952</c:v>
                </c:pt>
                <c:pt idx="44">
                  <c:v>-2.2074070193202573</c:v>
                </c:pt>
                <c:pt idx="45">
                  <c:v>-2.4402646479672194</c:v>
                </c:pt>
                <c:pt idx="46">
                  <c:v>-2.6731222766141824</c:v>
                </c:pt>
                <c:pt idx="47">
                  <c:v>-2.9059799052611446</c:v>
                </c:pt>
                <c:pt idx="48">
                  <c:v>-3.1388375339081076</c:v>
                </c:pt>
                <c:pt idx="49">
                  <c:v>-3.3716951625550697</c:v>
                </c:pt>
                <c:pt idx="50">
                  <c:v>-3.6045527912020319</c:v>
                </c:pt>
                <c:pt idx="51">
                  <c:v>-3.8374104198489949</c:v>
                </c:pt>
                <c:pt idx="52">
                  <c:v>-4.0702680484959579</c:v>
                </c:pt>
                <c:pt idx="53">
                  <c:v>-4.3031256771429192</c:v>
                </c:pt>
                <c:pt idx="54">
                  <c:v>-4.5359833057898822</c:v>
                </c:pt>
                <c:pt idx="55">
                  <c:v>-4.7688409344368434</c:v>
                </c:pt>
                <c:pt idx="56">
                  <c:v>-5.0016985630838047</c:v>
                </c:pt>
                <c:pt idx="57">
                  <c:v>-5.2345561917307677</c:v>
                </c:pt>
                <c:pt idx="58">
                  <c:v>-5.4674138203777289</c:v>
                </c:pt>
                <c:pt idx="59">
                  <c:v>-5.7002714490246902</c:v>
                </c:pt>
                <c:pt idx="60">
                  <c:v>-5.9331290776716514</c:v>
                </c:pt>
                <c:pt idx="61">
                  <c:v>-6.1659867063186127</c:v>
                </c:pt>
                <c:pt idx="62">
                  <c:v>-6.3988443349655739</c:v>
                </c:pt>
                <c:pt idx="63">
                  <c:v>-6.6317019636125352</c:v>
                </c:pt>
                <c:pt idx="64">
                  <c:v>-6.8645595922594982</c:v>
                </c:pt>
                <c:pt idx="65">
                  <c:v>-7.0974172209064594</c:v>
                </c:pt>
                <c:pt idx="66">
                  <c:v>-7.3302748495534207</c:v>
                </c:pt>
                <c:pt idx="67">
                  <c:v>-7.5631324782003819</c:v>
                </c:pt>
                <c:pt idx="68">
                  <c:v>-7.7959901068473432</c:v>
                </c:pt>
                <c:pt idx="69">
                  <c:v>-8.0288477354943044</c:v>
                </c:pt>
                <c:pt idx="70">
                  <c:v>-8.2617053641412657</c:v>
                </c:pt>
                <c:pt idx="71">
                  <c:v>-8.4945629927882269</c:v>
                </c:pt>
                <c:pt idx="72">
                  <c:v>-8.7274206214351899</c:v>
                </c:pt>
                <c:pt idx="73">
                  <c:v>-8.9602782500821512</c:v>
                </c:pt>
                <c:pt idx="74">
                  <c:v>-9.1931358787291124</c:v>
                </c:pt>
                <c:pt idx="75">
                  <c:v>-9.4259935073760737</c:v>
                </c:pt>
                <c:pt idx="76">
                  <c:v>-9.6588511360230349</c:v>
                </c:pt>
                <c:pt idx="77">
                  <c:v>-9.8917087646699962</c:v>
                </c:pt>
                <c:pt idx="78">
                  <c:v>-10.124566393316957</c:v>
                </c:pt>
                <c:pt idx="79">
                  <c:v>-10.35742402196392</c:v>
                </c:pt>
                <c:pt idx="80">
                  <c:v>-10.590281650610882</c:v>
                </c:pt>
                <c:pt idx="81">
                  <c:v>-10.823139279257843</c:v>
                </c:pt>
                <c:pt idx="82">
                  <c:v>-11.055996907904804</c:v>
                </c:pt>
                <c:pt idx="83">
                  <c:v>-11.288854536551765</c:v>
                </c:pt>
                <c:pt idx="84">
                  <c:v>-11.521712165198727</c:v>
                </c:pt>
                <c:pt idx="85">
                  <c:v>-11.754569793845688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E0-4F52-A245-009F10CA16DD}"/>
            </c:ext>
          </c:extLst>
        </c:ser>
        <c:ser>
          <c:idx val="14"/>
          <c:order val="8"/>
          <c:spPr>
            <a:ln w="254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regressionsectric!$R$81:$R$166</c:f>
              <c:numCache>
                <c:formatCode>0.00</c:formatCode>
                <c:ptCount val="86"/>
                <c:pt idx="0">
                  <c:v>-2.9887325963024636</c:v>
                </c:pt>
                <c:pt idx="1">
                  <c:v>-2.9888161343543187</c:v>
                </c:pt>
                <c:pt idx="2">
                  <c:v>-2.988908458179782</c:v>
                </c:pt>
                <c:pt idx="3">
                  <c:v>-2.9890104917867295</c:v>
                </c:pt>
                <c:pt idx="4">
                  <c:v>-2.9891232563617938</c:v>
                </c:pt>
                <c:pt idx="5">
                  <c:v>-2.9892478804907445</c:v>
                </c:pt>
                <c:pt idx="6">
                  <c:v>-2.9893856114537511</c:v>
                </c:pt>
                <c:pt idx="7">
                  <c:v>-2.9895378277085847</c:v>
                </c:pt>
                <c:pt idx="8">
                  <c:v>-2.9897060526866852</c:v>
                </c:pt>
                <c:pt idx="9">
                  <c:v>-2.9898919700401754</c:v>
                </c:pt>
                <c:pt idx="10">
                  <c:v>-2.990097440492419</c:v>
                </c:pt>
                <c:pt idx="11">
                  <c:v>-2.9903245204607618</c:v>
                </c:pt>
                <c:pt idx="12">
                  <c:v>-2.9905754826378521</c:v>
                </c:pt>
                <c:pt idx="13">
                  <c:v>-2.9908528387375095</c:v>
                </c:pt>
                <c:pt idx="14">
                  <c:v>-2.9911593646328014</c:v>
                </c:pt>
                <c:pt idx="15">
                  <c:v>-2.9914981281379154</c:v>
                </c:pt>
                <c:pt idx="16">
                  <c:v>-2.9918725197118725</c:v>
                </c:pt>
                <c:pt idx="17">
                  <c:v>-2.9922862863913826</c:v>
                </c:pt>
                <c:pt idx="18">
                  <c:v>-2.992743569292446</c:v>
                </c:pt>
                <c:pt idx="19">
                  <c:v>-2.9932489450560342</c:v>
                </c:pt>
                <c:pt idx="20">
                  <c:v>-2.9938074716526524</c:v>
                </c:pt>
                <c:pt idx="21">
                  <c:v>-2.9944247390042067</c:v>
                </c:pt>
                <c:pt idx="22">
                  <c:v>-2.9951069249298219</c:v>
                </c:pt>
                <c:pt idx="23">
                  <c:v>-2.9958608569755323</c:v>
                </c:pt>
                <c:pt idx="24">
                  <c:v>-2.9966940807466567</c:v>
                </c:pt>
                <c:pt idx="25">
                  <c:v>-2.9976149354267525</c:v>
                </c:pt>
                <c:pt idx="26">
                  <c:v>-2.9986326372389689</c:v>
                </c:pt>
                <c:pt idx="27">
                  <c:v>-2.9997573716851029</c:v>
                </c:pt>
                <c:pt idx="28">
                  <c:v>-3.0010003954855282</c:v>
                </c:pt>
                <c:pt idx="29">
                  <c:v>-3.002374149240234</c:v>
                </c:pt>
                <c:pt idx="30">
                  <c:v>-3.0038923819385319</c:v>
                </c:pt>
                <c:pt idx="31">
                  <c:v>-3.0055702885635625</c:v>
                </c:pt>
                <c:pt idx="32">
                  <c:v>-3.007424662168793</c:v>
                </c:pt>
                <c:pt idx="33">
                  <c:v>-3.0094740619485405</c:v>
                </c:pt>
                <c:pt idx="34">
                  <c:v>-3.0117389989846282</c:v>
                </c:pt>
                <c:pt idx="35">
                  <c:v>-3.014242141528185</c:v>
                </c:pt>
                <c:pt idx="36">
                  <c:v>-3.0170085418711214</c:v>
                </c:pt>
                <c:pt idx="37">
                  <c:v>-3.0200658870778896</c:v>
                </c:pt>
                <c:pt idx="38">
                  <c:v>-3.0234447760869281</c:v>
                </c:pt>
                <c:pt idx="39">
                  <c:v>-3.0271790259551223</c:v>
                </c:pt>
                <c:pt idx="40">
                  <c:v>-3.0313060103102782</c:v>
                </c:pt>
                <c:pt idx="41">
                  <c:v>-3.0358670333989504</c:v>
                </c:pt>
                <c:pt idx="42">
                  <c:v>-3.0409077434732219</c:v>
                </c:pt>
                <c:pt idx="43">
                  <c:v>-3.0464785896537578</c:v>
                </c:pt>
                <c:pt idx="44">
                  <c:v>-3.0526353268415591</c:v>
                </c:pt>
                <c:pt idx="45">
                  <c:v>-3.0594395737317517</c:v>
                </c:pt>
                <c:pt idx="46">
                  <c:v>-3.0669594295141995</c:v>
                </c:pt>
                <c:pt idx="47">
                  <c:v>-3.0752701554330835</c:v>
                </c:pt>
                <c:pt idx="48">
                  <c:v>-3.0844549280267319</c:v>
                </c:pt>
                <c:pt idx="49">
                  <c:v>-3.0946056715863701</c:v>
                </c:pt>
                <c:pt idx="50">
                  <c:v>-3.1058239781653261</c:v>
                </c:pt>
                <c:pt idx="51">
                  <c:v>-3.118222124346445</c:v>
                </c:pt>
                <c:pt idx="52">
                  <c:v>-3.1319241949438679</c:v>
                </c:pt>
                <c:pt idx="53">
                  <c:v>-3.1470673248855596</c:v>
                </c:pt>
                <c:pt idx="54">
                  <c:v>-3.1638030717057575</c:v>
                </c:pt>
                <c:pt idx="55">
                  <c:v>-3.1822989323837172</c:v>
                </c:pt>
                <c:pt idx="56">
                  <c:v>-3.2027400197097773</c:v>
                </c:pt>
                <c:pt idx="57">
                  <c:v>-3.2253309149563836</c:v>
                </c:pt>
                <c:pt idx="58">
                  <c:v>-3.250297715396226</c:v>
                </c:pt>
                <c:pt idx="59">
                  <c:v>-3.2778902971597383</c:v>
                </c:pt>
                <c:pt idx="60">
                  <c:v>-3.3083848160793967</c:v>
                </c:pt>
                <c:pt idx="61">
                  <c:v>-3.3420864715501106</c:v>
                </c:pt>
                <c:pt idx="62">
                  <c:v>-3.3793325610673484</c:v>
                </c:pt>
                <c:pt idx="63">
                  <c:v>-3.4204958560138423</c:v>
                </c:pt>
                <c:pt idx="64">
                  <c:v>-3.4659883324808773</c:v>
                </c:pt>
                <c:pt idx="65">
                  <c:v>-3.5162652944634853</c:v>
                </c:pt>
                <c:pt idx="66">
                  <c:v>-3.5718299306958583</c:v>
                </c:pt>
                <c:pt idx="67">
                  <c:v>-3.6332383507333299</c:v>
                </c:pt>
                <c:pt idx="68">
                  <c:v>-3.7011051506837171</c:v>
                </c:pt>
                <c:pt idx="69">
                  <c:v>-3.7761095642917426</c:v>
                </c:pt>
                <c:pt idx="70">
                  <c:v>-3.8590022609386501</c:v>
                </c:pt>
                <c:pt idx="71">
                  <c:v>-3.9506128585936784</c:v>
                </c:pt>
                <c:pt idx="72">
                  <c:v>-4.0518582269095456</c:v>
                </c:pt>
                <c:pt idx="73">
                  <c:v>-4.163751663562099</c:v>
                </c:pt>
                <c:pt idx="74">
                  <c:v>-4.2874130356740405</c:v>
                </c:pt>
                <c:pt idx="75">
                  <c:v>-4.4240799878214894</c:v>
                </c:pt>
                <c:pt idx="76">
                  <c:v>-4.5751203287968867</c:v>
                </c:pt>
                <c:pt idx="77">
                  <c:v>-4.7420457210991245</c:v>
                </c:pt>
                <c:pt idx="78">
                  <c:v>-4.9265268101599267</c:v>
                </c:pt>
                <c:pt idx="79">
                  <c:v>-5.1304099447248479</c:v>
                </c:pt>
                <c:pt idx="80">
                  <c:v>-5.3557356557321034</c:v>
                </c:pt>
                <c:pt idx="81">
                  <c:v>-5.6047590786320391</c:v>
                </c:pt>
                <c:pt idx="82">
                  <c:v>-5.8799725235407028</c:v>
                </c:pt>
                <c:pt idx="83">
                  <c:v>-6.1841304191171709</c:v>
                </c:pt>
                <c:pt idx="84">
                  <c:v>-6.520276879811373</c:v>
                </c:pt>
                <c:pt idx="85">
                  <c:v>-6.8917761723846649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AE0-4F52-A245-009F10CA16DD}"/>
            </c:ext>
          </c:extLst>
        </c:ser>
        <c:ser>
          <c:idx val="15"/>
          <c:order val="9"/>
          <c:spPr>
            <a:ln w="254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regressionsectric!$S$81:$S$166</c:f>
              <c:numCache>
                <c:formatCode>0.00</c:formatCode>
                <c:ptCount val="86"/>
                <c:pt idx="0">
                  <c:v>2.9942636599733672</c:v>
                </c:pt>
                <c:pt idx="1">
                  <c:v>2.9941801219215121</c:v>
                </c:pt>
                <c:pt idx="2">
                  <c:v>2.9940877980960487</c:v>
                </c:pt>
                <c:pt idx="3">
                  <c:v>2.9939857644891013</c:v>
                </c:pt>
                <c:pt idx="4">
                  <c:v>2.993872999914037</c:v>
                </c:pt>
                <c:pt idx="5">
                  <c:v>2.9937483757850862</c:v>
                </c:pt>
                <c:pt idx="6">
                  <c:v>2.9936106448220796</c:v>
                </c:pt>
                <c:pt idx="7">
                  <c:v>2.9934584285672461</c:v>
                </c:pt>
                <c:pt idx="8">
                  <c:v>2.9932902035891455</c:v>
                </c:pt>
                <c:pt idx="9">
                  <c:v>2.9931042862356554</c:v>
                </c:pt>
                <c:pt idx="10">
                  <c:v>2.9928988157834118</c:v>
                </c:pt>
                <c:pt idx="11">
                  <c:v>2.992671735815069</c:v>
                </c:pt>
                <c:pt idx="12">
                  <c:v>2.9924207736379786</c:v>
                </c:pt>
                <c:pt idx="13">
                  <c:v>2.9921434175383212</c:v>
                </c:pt>
                <c:pt idx="14">
                  <c:v>2.9918368916430294</c:v>
                </c:pt>
                <c:pt idx="15">
                  <c:v>2.9914981281379154</c:v>
                </c:pt>
                <c:pt idx="16">
                  <c:v>2.9911237365639582</c:v>
                </c:pt>
                <c:pt idx="17">
                  <c:v>2.9907099698844481</c:v>
                </c:pt>
                <c:pt idx="18">
                  <c:v>2.9902526869833848</c:v>
                </c:pt>
                <c:pt idx="19">
                  <c:v>2.9897473112197965</c:v>
                </c:pt>
                <c:pt idx="20">
                  <c:v>2.9891887846231784</c:v>
                </c:pt>
                <c:pt idx="21">
                  <c:v>2.9885715172716241</c:v>
                </c:pt>
                <c:pt idx="22">
                  <c:v>2.9878893313460089</c:v>
                </c:pt>
                <c:pt idx="23">
                  <c:v>2.9871353993002985</c:v>
                </c:pt>
                <c:pt idx="24">
                  <c:v>2.9863021755291741</c:v>
                </c:pt>
                <c:pt idx="25">
                  <c:v>2.9853813208490783</c:v>
                </c:pt>
                <c:pt idx="26">
                  <c:v>2.9843636190368619</c:v>
                </c:pt>
                <c:pt idx="27">
                  <c:v>2.9832388845907278</c:v>
                </c:pt>
                <c:pt idx="28">
                  <c:v>2.9819958607903025</c:v>
                </c:pt>
                <c:pt idx="29">
                  <c:v>2.9806221070355967</c:v>
                </c:pt>
                <c:pt idx="30">
                  <c:v>2.9791038743372988</c:v>
                </c:pt>
                <c:pt idx="31">
                  <c:v>2.9774259677122683</c:v>
                </c:pt>
                <c:pt idx="32">
                  <c:v>2.9755715941070378</c:v>
                </c:pt>
                <c:pt idx="33">
                  <c:v>2.9735221943272903</c:v>
                </c:pt>
                <c:pt idx="34">
                  <c:v>2.9712572572912026</c:v>
                </c:pt>
                <c:pt idx="35">
                  <c:v>2.9687541147476457</c:v>
                </c:pt>
                <c:pt idx="36">
                  <c:v>2.9659877144047093</c:v>
                </c:pt>
                <c:pt idx="37">
                  <c:v>2.9629303691979412</c:v>
                </c:pt>
                <c:pt idx="38">
                  <c:v>2.9595514801889027</c:v>
                </c:pt>
                <c:pt idx="39">
                  <c:v>2.9558172303207084</c:v>
                </c:pt>
                <c:pt idx="40">
                  <c:v>2.9516902459655525</c:v>
                </c:pt>
                <c:pt idx="41">
                  <c:v>2.9471292228768804</c:v>
                </c:pt>
                <c:pt idx="42">
                  <c:v>2.9420885128026089</c:v>
                </c:pt>
                <c:pt idx="43">
                  <c:v>2.9365176666220729</c:v>
                </c:pt>
                <c:pt idx="44">
                  <c:v>2.9303609294342716</c:v>
                </c:pt>
                <c:pt idx="45">
                  <c:v>2.9235566825440791</c:v>
                </c:pt>
                <c:pt idx="46">
                  <c:v>2.9160368267616312</c:v>
                </c:pt>
                <c:pt idx="47">
                  <c:v>2.9077261008427473</c:v>
                </c:pt>
                <c:pt idx="48">
                  <c:v>2.8985413282490988</c:v>
                </c:pt>
                <c:pt idx="49">
                  <c:v>2.8883905846894606</c:v>
                </c:pt>
                <c:pt idx="50">
                  <c:v>2.8771722781105047</c:v>
                </c:pt>
                <c:pt idx="51">
                  <c:v>2.8647741319293858</c:v>
                </c:pt>
                <c:pt idx="52">
                  <c:v>2.8510720613319629</c:v>
                </c:pt>
                <c:pt idx="53">
                  <c:v>2.8359289313902711</c:v>
                </c:pt>
                <c:pt idx="54">
                  <c:v>2.8191931845700733</c:v>
                </c:pt>
                <c:pt idx="55">
                  <c:v>2.8006973238921136</c:v>
                </c:pt>
                <c:pt idx="56">
                  <c:v>2.7802562365660535</c:v>
                </c:pt>
                <c:pt idx="57">
                  <c:v>2.7576653413194472</c:v>
                </c:pt>
                <c:pt idx="58">
                  <c:v>2.7326985408796047</c:v>
                </c:pt>
                <c:pt idx="59">
                  <c:v>2.7051059591160924</c:v>
                </c:pt>
                <c:pt idx="60">
                  <c:v>2.674611440196434</c:v>
                </c:pt>
                <c:pt idx="61">
                  <c:v>2.6409097847257201</c:v>
                </c:pt>
                <c:pt idx="62">
                  <c:v>2.6036636952084824</c:v>
                </c:pt>
                <c:pt idx="63">
                  <c:v>2.5625004002619884</c:v>
                </c:pt>
                <c:pt idx="64">
                  <c:v>2.5170079237949534</c:v>
                </c:pt>
                <c:pt idx="65">
                  <c:v>2.4667309618123454</c:v>
                </c:pt>
                <c:pt idx="66">
                  <c:v>2.4111663255799725</c:v>
                </c:pt>
                <c:pt idx="67">
                  <c:v>2.3497579055425009</c:v>
                </c:pt>
                <c:pt idx="68">
                  <c:v>2.2818911055921136</c:v>
                </c:pt>
                <c:pt idx="69">
                  <c:v>2.2068866919840882</c:v>
                </c:pt>
                <c:pt idx="70">
                  <c:v>2.1239939953371807</c:v>
                </c:pt>
                <c:pt idx="71">
                  <c:v>2.0323833976821524</c:v>
                </c:pt>
                <c:pt idx="72">
                  <c:v>1.9311380293662854</c:v>
                </c:pt>
                <c:pt idx="73">
                  <c:v>1.819244592713732</c:v>
                </c:pt>
                <c:pt idx="74">
                  <c:v>1.6955832206017902</c:v>
                </c:pt>
                <c:pt idx="75">
                  <c:v>1.5589162684543412</c:v>
                </c:pt>
                <c:pt idx="76">
                  <c:v>1.4078759274789445</c:v>
                </c:pt>
                <c:pt idx="77">
                  <c:v>1.2409505351767065</c:v>
                </c:pt>
                <c:pt idx="78">
                  <c:v>1.0564694461159043</c:v>
                </c:pt>
                <c:pt idx="79">
                  <c:v>0.85258631155098286</c:v>
                </c:pt>
                <c:pt idx="80">
                  <c:v>0.62726060054372734</c:v>
                </c:pt>
                <c:pt idx="81">
                  <c:v>0.37823717764379117</c:v>
                </c:pt>
                <c:pt idx="82">
                  <c:v>0.10302373273512844</c:v>
                </c:pt>
                <c:pt idx="83">
                  <c:v>-0.20113416284134011</c:v>
                </c:pt>
                <c:pt idx="84">
                  <c:v>-0.53728062353554185</c:v>
                </c:pt>
                <c:pt idx="85">
                  <c:v>-0.90877991610883369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AE0-4F52-A245-009F10CA16DD}"/>
            </c:ext>
          </c:extLst>
        </c:ser>
        <c:ser>
          <c:idx val="16"/>
          <c:order val="10"/>
          <c:spPr>
            <a:ln w="2540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regressionscge!$N$81:$N$166</c:f>
              <c:numCache>
                <c:formatCode>0.00</c:formatCode>
                <c:ptCount val="86"/>
                <c:pt idx="0">
                  <c:v>-1.2388006033133925</c:v>
                </c:pt>
                <c:pt idx="1">
                  <c:v>-1.1944338095918396</c:v>
                </c:pt>
                <c:pt idx="2">
                  <c:v>-1.1531067537641411</c:v>
                </c:pt>
                <c:pt idx="3">
                  <c:v>-1.114827151242922</c:v>
                </c:pt>
                <c:pt idx="4">
                  <c:v>-1.0796006808000527</c:v>
                </c:pt>
                <c:pt idx="5">
                  <c:v>-1.0474314176983919</c:v>
                </c:pt>
                <c:pt idx="6">
                  <c:v>-1.0183222004714347</c:v>
                </c:pt>
                <c:pt idx="7">
                  <c:v>-0.99227493688020363</c:v>
                </c:pt>
                <c:pt idx="8">
                  <c:v>-0.96929085457672715</c:v>
                </c:pt>
                <c:pt idx="9">
                  <c:v>-0.94937070200344409</c:v>
                </c:pt>
                <c:pt idx="10">
                  <c:v>-0.93251490505787715</c:v>
                </c:pt>
                <c:pt idx="11">
                  <c:v>-0.91872368505191659</c:v>
                </c:pt>
                <c:pt idx="12">
                  <c:v>-0.90799714349505545</c:v>
                </c:pt>
                <c:pt idx="13">
                  <c:v>-0.90033531923091692</c:v>
                </c:pt>
                <c:pt idx="14">
                  <c:v>-0.89573822345641751</c:v>
                </c:pt>
                <c:pt idx="15">
                  <c:v>-0.89420585815290465</c:v>
                </c:pt>
                <c:pt idx="16">
                  <c:v>-0.89573822345861176</c:v>
                </c:pt>
                <c:pt idx="17">
                  <c:v>-0.90033531951177237</c:v>
                </c:pt>
                <c:pt idx="18">
                  <c:v>-0.9079971482937339</c:v>
                </c:pt>
                <c:pt idx="19">
                  <c:v>-0.91872372100141264</c:v>
                </c:pt>
                <c:pt idx="20">
                  <c:v>-0.93251507647843201</c:v>
                </c:pt>
                <c:pt idx="21">
                  <c:v>-0.94937131623428506</c:v>
                </c:pt>
                <c:pt idx="22">
                  <c:v>-0.96929266158086191</c:v>
                </c:pt>
                <c:pt idx="23">
                  <c:v>-0.99227953841568539</c:v>
                </c:pt>
                <c:pt idx="24">
                  <c:v>-1.0183326951811942</c:v>
                </c:pt>
                <c:pt idx="25">
                  <c:v>-1.0474533595294169</c:v>
                </c:pt>
                <c:pt idx="26">
                  <c:v>-1.0796434392213758</c:v>
                </c:pt>
                <c:pt idx="27">
                  <c:v>-1.1149057727905667</c:v>
                </c:pt>
                <c:pt idx="28">
                  <c:v>-1.1532444354998475</c:v>
                </c:pt>
                <c:pt idx="29">
                  <c:v>-1.1946651061210887</c:v>
                </c:pt>
                <c:pt idx="30">
                  <c:v>-1.239175500066916</c:v>
                </c:pt>
                <c:pt idx="31">
                  <c:v>-1.2867858744038938</c:v>
                </c:pt>
                <c:pt idx="32">
                  <c:v>-1.3375096102764874</c:v>
                </c:pt>
                <c:pt idx="33">
                  <c:v>-1.3913638782711482</c:v>
                </c:pt>
                <c:pt idx="34">
                  <c:v>-1.4483703922498585</c:v>
                </c:pt>
                <c:pt idx="35">
                  <c:v>-1.5085562571824847</c:v>
                </c:pt>
                <c:pt idx="36">
                  <c:v>-1.571954916507271</c:v>
                </c:pt>
                <c:pt idx="37">
                  <c:v>-1.6386072045488249</c:v>
                </c:pt>
                <c:pt idx="38">
                  <c:v>-1.7085625095229271</c:v>
                </c:pt>
                <c:pt idx="39">
                  <c:v>-1.7818800526575145</c:v>
                </c:pt>
                <c:pt idx="40">
                  <c:v>-1.8586302889591715</c:v>
                </c:pt>
                <c:pt idx="41">
                  <c:v>-1.9388964351544757</c:v>
                </c:pt>
                <c:pt idx="42">
                  <c:v>-2.0227761303355374</c:v>
                </c:pt>
                <c:pt idx="43">
                  <c:v>-2.110383234839075</c:v>
                </c:pt>
                <c:pt idx="44">
                  <c:v>-2.2018497728883641</c:v>
                </c:pt>
                <c:pt idx="45">
                  <c:v>-2.2973280245274101</c:v>
                </c:pt>
                <c:pt idx="46">
                  <c:v>-2.3969927723766773</c:v>
                </c:pt>
                <c:pt idx="47">
                  <c:v>-2.5010437087397168</c:v>
                </c:pt>
                <c:pt idx="48">
                  <c:v>-2.6097080085900455</c:v>
                </c:pt>
                <c:pt idx="49">
                  <c:v>-2.7232430739675966</c:v>
                </c:pt>
                <c:pt idx="50">
                  <c:v>-2.8419394553141082</c:v>
                </c:pt>
                <c:pt idx="51">
                  <c:v>-2.966123955276768</c:v>
                </c:pt>
                <c:pt idx="52">
                  <c:v>-3.0961629205094745</c:v>
                </c:pt>
                <c:pt idx="53">
                  <c:v>-3.232465727001042</c:v>
                </c:pt>
                <c:pt idx="54">
                  <c:v>-3.3754884644597003</c:v>
                </c:pt>
                <c:pt idx="55">
                  <c:v>-3.5257378252832239</c:v>
                </c:pt>
                <c:pt idx="56">
                  <c:v>-3.6837752036440388</c:v>
                </c:pt>
                <c:pt idx="57">
                  <c:v>-3.8502210102186418</c:v>
                </c:pt>
                <c:pt idx="58">
                  <c:v>-4.0257592080906761</c:v>
                </c:pt>
                <c:pt idx="59">
                  <c:v>-4.2111420753570084</c:v>
                </c:pt>
                <c:pt idx="60">
                  <c:v>-4.4071951999661394</c:v>
                </c:pt>
                <c:pt idx="61">
                  <c:v>-4.6148227123183041</c:v>
                </c:pt>
                <c:pt idx="62">
                  <c:v>-4.8350127611565874</c:v>
                </c:pt>
                <c:pt idx="63">
                  <c:v>-5.0688432382784043</c:v>
                </c:pt>
                <c:pt idx="64">
                  <c:v>-5.317487757596691</c:v>
                </c:pt>
                <c:pt idx="65">
                  <c:v>-5.5822218940801314</c:v>
                </c:pt>
                <c:pt idx="66">
                  <c:v>-5.8644296881017857</c:v>
                </c:pt>
                <c:pt idx="67">
                  <c:v>-6.1656104207254412</c:v>
                </c:pt>
                <c:pt idx="68">
                  <c:v>-6.4873856654590281</c:v>
                </c:pt>
                <c:pt idx="69">
                  <c:v>-6.8315066220044578</c:v>
                </c:pt>
                <c:pt idx="70">
                  <c:v>-7.1998617375332161</c:v>
                </c:pt>
                <c:pt idx="71">
                  <c:v>-7.5944846210170347</c:v>
                </c:pt>
                <c:pt idx="72">
                  <c:v>-8.0175622561430231</c:v>
                </c:pt>
                <c:pt idx="73">
                  <c:v>-8.4714435183425572</c:v>
                </c:pt>
                <c:pt idx="74">
                  <c:v>-8.9586480014633025</c:v>
                </c:pt>
                <c:pt idx="75">
                  <c:v>-9.4818751596136934</c:v>
                </c:pt>
                <c:pt idx="76">
                  <c:v>-10.044013769709204</c:v>
                </c:pt>
                <c:pt idx="77">
                  <c:v>-10.648151720249786</c:v>
                </c:pt>
                <c:pt idx="78">
                  <c:v>-11.297586131857759</c:v>
                </c:pt>
                <c:pt idx="79">
                  <c:v>-11.995833815105573</c:v>
                </c:pt>
                <c:pt idx="80">
                  <c:v>-12.746642071162682</c:v>
                </c:pt>
                <c:pt idx="81">
                  <c:v>-13.553999840790983</c:v>
                </c:pt>
                <c:pt idx="82">
                  <c:v>-14.422149207218062</c:v>
                </c:pt>
                <c:pt idx="83">
                  <c:v>-15.355597258417658</c:v>
                </c:pt>
                <c:pt idx="84">
                  <c:v>-16.359128314326654</c:v>
                </c:pt>
                <c:pt idx="85">
                  <c:v>-17.437816524527921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AE0-4F52-A245-009F10CA16DD}"/>
            </c:ext>
          </c:extLst>
        </c:ser>
        <c:ser>
          <c:idx val="17"/>
          <c:order val="11"/>
          <c:spPr>
            <a:ln w="2540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regressionsenum!$B$81:$B$166</c:f>
              <c:numCache>
                <c:formatCode>General</c:formatCode>
                <c:ptCount val="86"/>
                <c:pt idx="0">
                  <c:v>-1.5</c:v>
                </c:pt>
                <c:pt idx="1">
                  <c:v>-1.4</c:v>
                </c:pt>
                <c:pt idx="2">
                  <c:v>-1.2999999999999998</c:v>
                </c:pt>
                <c:pt idx="3">
                  <c:v>-1.1999999999999997</c:v>
                </c:pt>
                <c:pt idx="4">
                  <c:v>-1.0999999999999996</c:v>
                </c:pt>
                <c:pt idx="5">
                  <c:v>-0.99999999999999967</c:v>
                </c:pt>
                <c:pt idx="6">
                  <c:v>-0.89999999999999969</c:v>
                </c:pt>
                <c:pt idx="7">
                  <c:v>-0.79999999999999971</c:v>
                </c:pt>
                <c:pt idx="8">
                  <c:v>-0.69999999999999973</c:v>
                </c:pt>
                <c:pt idx="9">
                  <c:v>-0.59999999999999976</c:v>
                </c:pt>
                <c:pt idx="10">
                  <c:v>-0.49999999999999978</c:v>
                </c:pt>
                <c:pt idx="11">
                  <c:v>-0.3999999999999998</c:v>
                </c:pt>
                <c:pt idx="12">
                  <c:v>-0.29999999999999982</c:v>
                </c:pt>
                <c:pt idx="13">
                  <c:v>-0.19999999999999982</c:v>
                </c:pt>
                <c:pt idx="14">
                  <c:v>-9.9999999999999811E-2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0.7</c:v>
                </c:pt>
                <c:pt idx="23">
                  <c:v>0.79999999999999993</c:v>
                </c:pt>
                <c:pt idx="24">
                  <c:v>0.89999999999999991</c:v>
                </c:pt>
                <c:pt idx="25">
                  <c:v>0.99999999999999989</c:v>
                </c:pt>
                <c:pt idx="26">
                  <c:v>1.0999999999999999</c:v>
                </c:pt>
                <c:pt idx="27">
                  <c:v>1.2</c:v>
                </c:pt>
                <c:pt idx="28">
                  <c:v>1.3</c:v>
                </c:pt>
                <c:pt idx="29">
                  <c:v>1.4000000000000001</c:v>
                </c:pt>
                <c:pt idx="30">
                  <c:v>1.5000000000000002</c:v>
                </c:pt>
                <c:pt idx="31">
                  <c:v>1.6000000000000003</c:v>
                </c:pt>
                <c:pt idx="32">
                  <c:v>1.7000000000000004</c:v>
                </c:pt>
                <c:pt idx="33">
                  <c:v>1.8000000000000005</c:v>
                </c:pt>
                <c:pt idx="34">
                  <c:v>1.9000000000000006</c:v>
                </c:pt>
                <c:pt idx="35">
                  <c:v>2.0000000000000004</c:v>
                </c:pt>
                <c:pt idx="36">
                  <c:v>2.1000000000000005</c:v>
                </c:pt>
                <c:pt idx="37">
                  <c:v>2.2000000000000006</c:v>
                </c:pt>
                <c:pt idx="38">
                  <c:v>2.3000000000000007</c:v>
                </c:pt>
                <c:pt idx="39">
                  <c:v>2.4000000000000008</c:v>
                </c:pt>
                <c:pt idx="40">
                  <c:v>2.5000000000000009</c:v>
                </c:pt>
                <c:pt idx="41">
                  <c:v>2.600000000000001</c:v>
                </c:pt>
                <c:pt idx="42">
                  <c:v>2.7000000000000011</c:v>
                </c:pt>
                <c:pt idx="43">
                  <c:v>2.8000000000000012</c:v>
                </c:pt>
                <c:pt idx="44">
                  <c:v>2.9000000000000012</c:v>
                </c:pt>
                <c:pt idx="45">
                  <c:v>3.0000000000000013</c:v>
                </c:pt>
                <c:pt idx="46">
                  <c:v>3.1000000000000014</c:v>
                </c:pt>
                <c:pt idx="47">
                  <c:v>3.2000000000000015</c:v>
                </c:pt>
                <c:pt idx="48">
                  <c:v>3.3000000000000016</c:v>
                </c:pt>
                <c:pt idx="49">
                  <c:v>3.4000000000000017</c:v>
                </c:pt>
                <c:pt idx="50">
                  <c:v>3.5000000000000018</c:v>
                </c:pt>
                <c:pt idx="51">
                  <c:v>3.6000000000000019</c:v>
                </c:pt>
                <c:pt idx="52">
                  <c:v>3.700000000000002</c:v>
                </c:pt>
                <c:pt idx="53">
                  <c:v>3.800000000000002</c:v>
                </c:pt>
                <c:pt idx="54">
                  <c:v>3.9000000000000021</c:v>
                </c:pt>
                <c:pt idx="55">
                  <c:v>4.0000000000000018</c:v>
                </c:pt>
                <c:pt idx="56">
                  <c:v>4.1000000000000014</c:v>
                </c:pt>
                <c:pt idx="57">
                  <c:v>4.2000000000000011</c:v>
                </c:pt>
                <c:pt idx="58">
                  <c:v>4.3000000000000007</c:v>
                </c:pt>
                <c:pt idx="59">
                  <c:v>4.4000000000000004</c:v>
                </c:pt>
                <c:pt idx="60">
                  <c:v>4.5</c:v>
                </c:pt>
                <c:pt idx="61">
                  <c:v>4.5999999999999996</c:v>
                </c:pt>
                <c:pt idx="62">
                  <c:v>4.6999999999999993</c:v>
                </c:pt>
                <c:pt idx="63">
                  <c:v>4.7999999999999989</c:v>
                </c:pt>
                <c:pt idx="64">
                  <c:v>4.8999999999999986</c:v>
                </c:pt>
                <c:pt idx="65">
                  <c:v>4.9999999999999982</c:v>
                </c:pt>
                <c:pt idx="66">
                  <c:v>5.0999999999999979</c:v>
                </c:pt>
                <c:pt idx="67">
                  <c:v>5.1999999999999975</c:v>
                </c:pt>
                <c:pt idx="68">
                  <c:v>5.2999999999999972</c:v>
                </c:pt>
                <c:pt idx="69">
                  <c:v>5.3999999999999968</c:v>
                </c:pt>
                <c:pt idx="70">
                  <c:v>5.4999999999999964</c:v>
                </c:pt>
                <c:pt idx="71">
                  <c:v>5.5999999999999961</c:v>
                </c:pt>
                <c:pt idx="72">
                  <c:v>5.6999999999999957</c:v>
                </c:pt>
                <c:pt idx="73">
                  <c:v>5.7999999999999954</c:v>
                </c:pt>
                <c:pt idx="74">
                  <c:v>5.899999999999995</c:v>
                </c:pt>
                <c:pt idx="75">
                  <c:v>5.9999999999999947</c:v>
                </c:pt>
                <c:pt idx="76">
                  <c:v>6.0999999999999943</c:v>
                </c:pt>
                <c:pt idx="77">
                  <c:v>6.199999999999994</c:v>
                </c:pt>
                <c:pt idx="78">
                  <c:v>6.2999999999999936</c:v>
                </c:pt>
                <c:pt idx="79">
                  <c:v>6.3999999999999932</c:v>
                </c:pt>
                <c:pt idx="80">
                  <c:v>6.4999999999999929</c:v>
                </c:pt>
                <c:pt idx="81">
                  <c:v>6.5999999999999925</c:v>
                </c:pt>
                <c:pt idx="82">
                  <c:v>6.6999999999999922</c:v>
                </c:pt>
                <c:pt idx="83">
                  <c:v>6.7999999999999918</c:v>
                </c:pt>
                <c:pt idx="84">
                  <c:v>6.8999999999999915</c:v>
                </c:pt>
                <c:pt idx="85">
                  <c:v>6.9999999999999911</c:v>
                </c:pt>
              </c:numCache>
            </c:numRef>
          </c:cat>
          <c:val>
            <c:numRef>
              <c:f>regressionscge!$O$81:$O$166</c:f>
              <c:numCache>
                <c:formatCode>0.00</c:formatCode>
                <c:ptCount val="86"/>
                <c:pt idx="0">
                  <c:v>0.54961111299241694</c:v>
                </c:pt>
                <c:pt idx="1">
                  <c:v>0.59397790671396966</c:v>
                </c:pt>
                <c:pt idx="2">
                  <c:v>0.63530496254166824</c:v>
                </c:pt>
                <c:pt idx="3">
                  <c:v>0.67358456506288733</c:v>
                </c:pt>
                <c:pt idx="4">
                  <c:v>0.70881103550575664</c:v>
                </c:pt>
                <c:pt idx="5">
                  <c:v>0.74098029860741732</c:v>
                </c:pt>
                <c:pt idx="6">
                  <c:v>0.77008951583437468</c:v>
                </c:pt>
                <c:pt idx="7">
                  <c:v>0.79613677942560568</c:v>
                </c:pt>
                <c:pt idx="8">
                  <c:v>0.81912086172908216</c:v>
                </c:pt>
                <c:pt idx="9">
                  <c:v>0.83904101430236522</c:v>
                </c:pt>
                <c:pt idx="10">
                  <c:v>0.85589681124793215</c:v>
                </c:pt>
                <c:pt idx="11">
                  <c:v>0.86968803125389271</c:v>
                </c:pt>
                <c:pt idx="12">
                  <c:v>0.88041457281075386</c:v>
                </c:pt>
                <c:pt idx="13">
                  <c:v>0.88807639707489239</c:v>
                </c:pt>
                <c:pt idx="14">
                  <c:v>0.89267349284939179</c:v>
                </c:pt>
                <c:pt idx="15">
                  <c:v>0.89420585815290465</c:v>
                </c:pt>
                <c:pt idx="16">
                  <c:v>0.89267349284719755</c:v>
                </c:pt>
                <c:pt idx="17">
                  <c:v>0.88807639679403694</c:v>
                </c:pt>
                <c:pt idx="18">
                  <c:v>0.8804145680120754</c:v>
                </c:pt>
                <c:pt idx="19">
                  <c:v>0.86968799530439667</c:v>
                </c:pt>
                <c:pt idx="20">
                  <c:v>0.85589663982737729</c:v>
                </c:pt>
                <c:pt idx="21">
                  <c:v>0.83904040007152425</c:v>
                </c:pt>
                <c:pt idx="22">
                  <c:v>0.81911905472494739</c:v>
                </c:pt>
                <c:pt idx="23">
                  <c:v>0.79613217789012392</c:v>
                </c:pt>
                <c:pt idx="24">
                  <c:v>0.77007902112461513</c:v>
                </c:pt>
                <c:pt idx="25">
                  <c:v>0.74095835677639255</c:v>
                </c:pt>
                <c:pt idx="26">
                  <c:v>0.70876827708443346</c:v>
                </c:pt>
                <c:pt idx="27">
                  <c:v>0.67350594351524273</c:v>
                </c:pt>
                <c:pt idx="28">
                  <c:v>0.63516728080596185</c:v>
                </c:pt>
                <c:pt idx="29">
                  <c:v>0.59374661018472064</c:v>
                </c:pt>
                <c:pt idx="30">
                  <c:v>0.54923621623889329</c:v>
                </c:pt>
                <c:pt idx="31">
                  <c:v>0.5016258419019155</c:v>
                </c:pt>
                <c:pt idx="32">
                  <c:v>0.45090210602932185</c:v>
                </c:pt>
                <c:pt idx="33">
                  <c:v>0.3970478380346612</c:v>
                </c:pt>
                <c:pt idx="34">
                  <c:v>0.34004132405595067</c:v>
                </c:pt>
                <c:pt idx="35">
                  <c:v>0.27985545912332466</c:v>
                </c:pt>
                <c:pt idx="36">
                  <c:v>0.21645679979853827</c:v>
                </c:pt>
                <c:pt idx="37">
                  <c:v>0.1498045117569845</c:v>
                </c:pt>
                <c:pt idx="38">
                  <c:v>7.9849206782882098E-2</c:v>
                </c:pt>
                <c:pt idx="39">
                  <c:v>6.5316636482947166E-3</c:v>
                </c:pt>
                <c:pt idx="40">
                  <c:v>-7.0218572653362066E-2</c:v>
                </c:pt>
                <c:pt idx="41">
                  <c:v>-0.15048471884866643</c:v>
                </c:pt>
                <c:pt idx="42">
                  <c:v>-0.2343644140297283</c:v>
                </c:pt>
                <c:pt idx="43">
                  <c:v>-0.32197151853326567</c:v>
                </c:pt>
                <c:pt idx="44">
                  <c:v>-0.41343805658255506</c:v>
                </c:pt>
                <c:pt idx="45">
                  <c:v>-0.50891630822160083</c:v>
                </c:pt>
                <c:pt idx="46">
                  <c:v>-0.60858105607086777</c:v>
                </c:pt>
                <c:pt idx="47">
                  <c:v>-0.71263199243390773</c:v>
                </c:pt>
                <c:pt idx="48">
                  <c:v>-0.8212962922842364</c:v>
                </c:pt>
                <c:pt idx="49">
                  <c:v>-0.93483135766178749</c:v>
                </c:pt>
                <c:pt idx="50">
                  <c:v>-1.0535277390082989</c:v>
                </c:pt>
                <c:pt idx="51">
                  <c:v>-1.1777122389709587</c:v>
                </c:pt>
                <c:pt idx="52">
                  <c:v>-1.3077512042036652</c:v>
                </c:pt>
                <c:pt idx="53">
                  <c:v>-1.4440540106952326</c:v>
                </c:pt>
                <c:pt idx="54">
                  <c:v>-1.587076748153891</c:v>
                </c:pt>
                <c:pt idx="55">
                  <c:v>-1.7373261089774146</c:v>
                </c:pt>
                <c:pt idx="56">
                  <c:v>-1.8953634873382295</c:v>
                </c:pt>
                <c:pt idx="57">
                  <c:v>-2.0618092939128325</c:v>
                </c:pt>
                <c:pt idx="58">
                  <c:v>-2.2373474917848668</c:v>
                </c:pt>
                <c:pt idx="59">
                  <c:v>-2.422730359051199</c:v>
                </c:pt>
                <c:pt idx="60">
                  <c:v>-2.6187834836603301</c:v>
                </c:pt>
                <c:pt idx="61">
                  <c:v>-2.8264109960124952</c:v>
                </c:pt>
                <c:pt idx="62">
                  <c:v>-3.0466010448507781</c:v>
                </c:pt>
                <c:pt idx="63">
                  <c:v>-3.280431521972595</c:v>
                </c:pt>
                <c:pt idx="64">
                  <c:v>-3.5290760412908817</c:v>
                </c:pt>
                <c:pt idx="65">
                  <c:v>-3.7938101777743221</c:v>
                </c:pt>
                <c:pt idx="66">
                  <c:v>-4.0760179717959764</c:v>
                </c:pt>
                <c:pt idx="67">
                  <c:v>-4.3771987044196319</c:v>
                </c:pt>
                <c:pt idx="68">
                  <c:v>-4.6989739491532188</c:v>
                </c:pt>
                <c:pt idx="69">
                  <c:v>-5.0430949056986485</c:v>
                </c:pt>
                <c:pt idx="70">
                  <c:v>-5.4114500212274068</c:v>
                </c:pt>
                <c:pt idx="71">
                  <c:v>-5.8060729047112254</c:v>
                </c:pt>
                <c:pt idx="72">
                  <c:v>-6.2291505398372138</c:v>
                </c:pt>
                <c:pt idx="73">
                  <c:v>-6.683031802036747</c:v>
                </c:pt>
                <c:pt idx="74">
                  <c:v>-7.1702362851574932</c:v>
                </c:pt>
                <c:pt idx="75">
                  <c:v>-7.6934634433078841</c:v>
                </c:pt>
                <c:pt idx="76">
                  <c:v>-8.2556020534033951</c:v>
                </c:pt>
                <c:pt idx="77">
                  <c:v>-8.8597400039439762</c:v>
                </c:pt>
                <c:pt idx="78">
                  <c:v>-9.50917441555195</c:v>
                </c:pt>
                <c:pt idx="79">
                  <c:v>-10.207422098799764</c:v>
                </c:pt>
                <c:pt idx="80">
                  <c:v>-10.958230354856873</c:v>
                </c:pt>
                <c:pt idx="81">
                  <c:v>-11.765588124485173</c:v>
                </c:pt>
                <c:pt idx="82">
                  <c:v>-12.633737490912253</c:v>
                </c:pt>
                <c:pt idx="83">
                  <c:v>-13.567185542111849</c:v>
                </c:pt>
                <c:pt idx="84">
                  <c:v>-14.570716598020844</c:v>
                </c:pt>
                <c:pt idx="85">
                  <c:v>-15.649404808222112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AE0-4F52-A245-009F10CA1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898192"/>
        <c:axId val="844895952"/>
      </c:lineChart>
      <c:catAx>
        <c:axId val="844898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Global warming (in degrees centigrade)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448959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844895952"/>
        <c:scaling>
          <c:orientation val="minMax"/>
          <c:min val="-2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Welfare-equivalent income change (in percent)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44898192"/>
        <c:crosses val="autoZero"/>
        <c:crossBetween val="between"/>
        <c:majorUnit val="2.5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11209701224070595"/>
          <c:y val="0.78349892363689422"/>
          <c:w val="0.14905566024365621"/>
          <c:h val="0.19739259847076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799104757648683E-2"/>
          <c:y val="2.6688328402371741E-2"/>
          <c:w val="0.88030352736852402"/>
          <c:h val="0.92360266809130098"/>
        </c:manualLayout>
      </c:layout>
      <c:lineChart>
        <c:grouping val="standard"/>
        <c:varyColors val="0"/>
        <c:ser>
          <c:idx val="10"/>
          <c:order val="0"/>
          <c:tx>
            <c:v>Damania et al.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growth!$BN$23:$BS$23</c:f>
              <c:numCache>
                <c:formatCode>0.0000</c:formatCode>
                <c:ptCount val="6"/>
                <c:pt idx="0">
                  <c:v>4.0057575210797475E-3</c:v>
                </c:pt>
                <c:pt idx="1">
                  <c:v>6.4315150421594691E-3</c:v>
                </c:pt>
                <c:pt idx="2">
                  <c:v>7.2772725632392135E-3</c:v>
                </c:pt>
                <c:pt idx="3">
                  <c:v>6.5430300843189876E-3</c:v>
                </c:pt>
                <c:pt idx="4">
                  <c:v>4.228787605398715E-3</c:v>
                </c:pt>
                <c:pt idx="5">
                  <c:v>3.3454512647840273E-4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1-45D2-800C-DFC96C97B72D}"/>
            </c:ext>
          </c:extLst>
        </c:ser>
        <c:ser>
          <c:idx val="2"/>
          <c:order val="1"/>
          <c:tx>
            <c:v>Pretis et al.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growth!$Q$23:$V$23</c:f>
              <c:numCache>
                <c:formatCode>0.0000</c:formatCode>
                <c:ptCount val="6"/>
                <c:pt idx="0">
                  <c:v>2.1864595043441706E-3</c:v>
                </c:pt>
                <c:pt idx="1">
                  <c:v>3.5729190086883286E-3</c:v>
                </c:pt>
                <c:pt idx="2">
                  <c:v>4.1593785130325175E-3</c:v>
                </c:pt>
                <c:pt idx="3">
                  <c:v>3.9458380173766905E-3</c:v>
                </c:pt>
                <c:pt idx="4">
                  <c:v>2.9322975217208683E-3</c:v>
                </c:pt>
                <c:pt idx="5">
                  <c:v>1.1187570260650787E-3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10-4463-988A-65591D7C05A5}"/>
            </c:ext>
          </c:extLst>
        </c:ser>
        <c:ser>
          <c:idx val="5"/>
          <c:order val="2"/>
          <c:tx>
            <c:v>Acevedo et al.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growth!$AL$23:$AQ$23</c:f>
              <c:numCache>
                <c:formatCode>0.0000</c:formatCode>
                <c:ptCount val="6"/>
                <c:pt idx="0">
                  <c:v>1.5952358680388131E-3</c:v>
                </c:pt>
                <c:pt idx="1">
                  <c:v>2.170471736077647E-3</c:v>
                </c:pt>
                <c:pt idx="2">
                  <c:v>1.7257076041164443E-3</c:v>
                </c:pt>
                <c:pt idx="3">
                  <c:v>2.6094347215526587E-4</c:v>
                </c:pt>
                <c:pt idx="4">
                  <c:v>-2.2238206598059196E-3</c:v>
                </c:pt>
                <c:pt idx="5">
                  <c:v>-5.7285847917670496E-3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10-4463-988A-65591D7C05A5}"/>
            </c:ext>
          </c:extLst>
        </c:ser>
        <c:ser>
          <c:idx val="3"/>
          <c:order val="3"/>
          <c:tx>
            <c:v>Burke et al.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growth!$X$23:$AC$23</c:f>
              <c:numCache>
                <c:formatCode>0.0000</c:formatCode>
                <c:ptCount val="6"/>
                <c:pt idx="0">
                  <c:v>1.0580743804302056E-3</c:v>
                </c:pt>
                <c:pt idx="1">
                  <c:v>1.116148760860431E-3</c:v>
                </c:pt>
                <c:pt idx="2">
                  <c:v>1.7422314129064004E-4</c:v>
                </c:pt>
                <c:pt idx="3">
                  <c:v>-1.7677024782791761E-3</c:v>
                </c:pt>
                <c:pt idx="4">
                  <c:v>-4.7096280978489308E-3</c:v>
                </c:pt>
                <c:pt idx="5">
                  <c:v>-8.6515537174187279E-3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10-4463-988A-65591D7C05A5}"/>
            </c:ext>
          </c:extLst>
        </c:ser>
        <c:ser>
          <c:idx val="1"/>
          <c:order val="4"/>
          <c:tx>
            <c:v>Combined</c:v>
          </c:tx>
          <c:spPr>
            <a:ln w="508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growth!$J$3:$O$3</c:f>
                <c:numCache>
                  <c:formatCode>General</c:formatCode>
                  <c:ptCount val="6"/>
                  <c:pt idx="0">
                    <c:v>5.9609152848411377E-4</c:v>
                  </c:pt>
                  <c:pt idx="1">
                    <c:v>1.1937549318778997E-3</c:v>
                  </c:pt>
                  <c:pt idx="2">
                    <c:v>1.7929348412893467E-3</c:v>
                  </c:pt>
                  <c:pt idx="3">
                    <c:v>2.3935718448850093E-3</c:v>
                  </c:pt>
                  <c:pt idx="4">
                    <c:v>2.9956044737408992E-3</c:v>
                  </c:pt>
                  <c:pt idx="5">
                    <c:v>3.5989700600775778E-3</c:v>
                  </c:pt>
                </c:numCache>
              </c:numRef>
            </c:plus>
            <c:minus>
              <c:numRef>
                <c:f>growth!$J$3:$O$3</c:f>
                <c:numCache>
                  <c:formatCode>General</c:formatCode>
                  <c:ptCount val="6"/>
                  <c:pt idx="0">
                    <c:v>5.9609152848411377E-4</c:v>
                  </c:pt>
                  <c:pt idx="1">
                    <c:v>1.1937549318778997E-3</c:v>
                  </c:pt>
                  <c:pt idx="2">
                    <c:v>1.7929348412893467E-3</c:v>
                  </c:pt>
                  <c:pt idx="3">
                    <c:v>2.3935718448850093E-3</c:v>
                  </c:pt>
                  <c:pt idx="4">
                    <c:v>2.9956044737408992E-3</c:v>
                  </c:pt>
                  <c:pt idx="5">
                    <c:v>3.5989700600775778E-3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growth!$J$2:$O$2</c:f>
              <c:numCache>
                <c:formatCode>0.0000</c:formatCode>
                <c:ptCount val="6"/>
                <c:pt idx="0">
                  <c:v>-1.95282817827296E-3</c:v>
                </c:pt>
                <c:pt idx="1">
                  <c:v>-4.000076540523553E-3</c:v>
                </c:pt>
                <c:pt idx="2">
                  <c:v>-6.1332179063519239E-3</c:v>
                </c:pt>
                <c:pt idx="3">
                  <c:v>-8.3448946759972931E-3</c:v>
                </c:pt>
                <c:pt idx="4">
                  <c:v>-1.0628095988315506E-2</c:v>
                </c:pt>
                <c:pt idx="5">
                  <c:v>-1.297617915252415E-2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0-4463-988A-65591D7C05A5}"/>
            </c:ext>
          </c:extLst>
        </c:ser>
        <c:ser>
          <c:idx val="0"/>
          <c:order val="5"/>
          <c:tx>
            <c:v>Dell et al.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growth!$J$23:$O$23</c:f>
              <c:numCache>
                <c:formatCode>0.0000</c:formatCode>
                <c:ptCount val="6"/>
                <c:pt idx="0">
                  <c:v>-2.1305416441247896E-3</c:v>
                </c:pt>
                <c:pt idx="1">
                  <c:v>-4.261083288249575E-3</c:v>
                </c:pt>
                <c:pt idx="2">
                  <c:v>-6.3916249323743689E-3</c:v>
                </c:pt>
                <c:pt idx="3">
                  <c:v>-8.5221665764991534E-3</c:v>
                </c:pt>
                <c:pt idx="4">
                  <c:v>-1.0652708220623945E-2</c:v>
                </c:pt>
                <c:pt idx="5">
                  <c:v>-1.2783249864748738E-2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0-4463-988A-65591D7C05A5}"/>
            </c:ext>
          </c:extLst>
        </c:ser>
        <c:ser>
          <c:idx val="4"/>
          <c:order val="6"/>
          <c:tx>
            <c:v>Henseler &amp; Schumacher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growth!$AE$23:$AJ$23</c:f>
              <c:numCache>
                <c:formatCode>0.0000</c:formatCode>
                <c:ptCount val="6"/>
                <c:pt idx="0">
                  <c:v>-1.2675846113302334E-3</c:v>
                </c:pt>
                <c:pt idx="1">
                  <c:v>-3.4411692226604534E-3</c:v>
                </c:pt>
                <c:pt idx="2">
                  <c:v>-6.5207538339906758E-3</c:v>
                </c:pt>
                <c:pt idx="3">
                  <c:v>-1.0506338445320867E-2</c:v>
                </c:pt>
                <c:pt idx="4">
                  <c:v>-1.5397923056651108E-2</c:v>
                </c:pt>
                <c:pt idx="5">
                  <c:v>-2.1195507667981374E-2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10-4463-988A-65591D7C05A5}"/>
            </c:ext>
          </c:extLst>
        </c:ser>
        <c:ser>
          <c:idx val="6"/>
          <c:order val="7"/>
          <c:spPr>
            <a:ln w="25400" cap="rnd">
              <a:solidFill>
                <a:schemeClr val="bg1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growth!$J$12:$O$12</c:f>
              <c:numCache>
                <c:formatCode>0.0000</c:formatCode>
                <c:ptCount val="6"/>
                <c:pt idx="0">
                  <c:v>7.0058058085509549E-3</c:v>
                </c:pt>
                <c:pt idx="1">
                  <c:v>1.3327326794152128E-2</c:v>
                </c:pt>
                <c:pt idx="2">
                  <c:v>1.8971784899504344E-2</c:v>
                </c:pt>
                <c:pt idx="3">
                  <c:v>2.3945681877250158E-2</c:v>
                </c:pt>
                <c:pt idx="4">
                  <c:v>2.8254876121682392E-2</c:v>
                </c:pt>
                <c:pt idx="5">
                  <c:v>3.1904651565146838E-2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10-4463-988A-65591D7C05A5}"/>
            </c:ext>
          </c:extLst>
        </c:ser>
        <c:ser>
          <c:idx val="7"/>
          <c:order val="8"/>
          <c:spPr>
            <a:ln w="25400" cap="rnd">
              <a:solidFill>
                <a:schemeClr val="bg1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growth!$J$13:$O$13</c:f>
              <c:numCache>
                <c:formatCode>0.0000</c:formatCode>
                <c:ptCount val="6"/>
                <c:pt idx="0">
                  <c:v>-1.7812027111065051E-2</c:v>
                </c:pt>
                <c:pt idx="1">
                  <c:v>-3.734300615216006E-2</c:v>
                </c:pt>
                <c:pt idx="2">
                  <c:v>-5.8601031437426607E-2</c:v>
                </c:pt>
                <c:pt idx="3">
                  <c:v>-8.1593745858571876E-2</c:v>
                </c:pt>
                <c:pt idx="4">
                  <c:v>-0.10632835867225318</c:v>
                </c:pt>
                <c:pt idx="5">
                  <c:v>-0.13281166402808775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10-4463-988A-65591D7C05A5}"/>
            </c:ext>
          </c:extLst>
        </c:ser>
        <c:ser>
          <c:idx val="8"/>
          <c:order val="9"/>
          <c:tx>
            <c:v>Kalkuhl &amp; Wenz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growth!$BV$28:$CA$28</c:f>
              <c:numCache>
                <c:formatCode>0.000000</c:formatCode>
                <c:ptCount val="6"/>
                <c:pt idx="0">
                  <c:v>-6.5889599999999996E-3</c:v>
                </c:pt>
                <c:pt idx="1">
                  <c:v>-1.3375119999999999E-2</c:v>
                </c:pt>
                <c:pt idx="2">
                  <c:v>-2.016128E-2</c:v>
                </c:pt>
                <c:pt idx="3">
                  <c:v>-2.694744E-2</c:v>
                </c:pt>
                <c:pt idx="4">
                  <c:v>-3.3733600000000002E-2</c:v>
                </c:pt>
                <c:pt idx="5">
                  <c:v>-4.0519760000000002E-2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A-498C-83A7-FF8A50F9481D}"/>
            </c:ext>
          </c:extLst>
        </c:ser>
        <c:ser>
          <c:idx val="9"/>
          <c:order val="10"/>
          <c:tx>
            <c:v>Kikstra et al.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growth!$J$1:$O$1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growth!$AS$23:$AX$23</c:f>
              <c:numCache>
                <c:formatCode>0.0000</c:formatCode>
                <c:ptCount val="6"/>
                <c:pt idx="0">
                  <c:v>-1.0859010792985221E-2</c:v>
                </c:pt>
                <c:pt idx="1">
                  <c:v>-2.3240021585970425E-2</c:v>
                </c:pt>
                <c:pt idx="2">
                  <c:v>-3.7143032378955651E-2</c:v>
                </c:pt>
                <c:pt idx="3">
                  <c:v>-5.2568043171940818E-2</c:v>
                </c:pt>
                <c:pt idx="4">
                  <c:v>-6.9515053964926063E-2</c:v>
                </c:pt>
                <c:pt idx="5">
                  <c:v>-8.798406475791129E-2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5-4077-BDC7-EF621361D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326072"/>
        <c:axId val="614327032"/>
      </c:lineChart>
      <c:catAx>
        <c:axId val="614326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Change in the global mean surface air temperature (degree Celsius)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4327032"/>
        <c:crosses val="autoZero"/>
        <c:auto val="1"/>
        <c:lblAlgn val="ctr"/>
        <c:lblOffset val="100"/>
        <c:noMultiLvlLbl val="0"/>
      </c:catAx>
      <c:valAx>
        <c:axId val="614327032"/>
        <c:scaling>
          <c:orientation val="minMax"/>
          <c:max val="4.0000000000000008E-2"/>
          <c:min val="-0.14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Change in the annual growth rate of global economic output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4326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9.0516678369237588E-2"/>
          <c:y val="0.5876676732407039"/>
          <c:w val="0.25437935823657987"/>
          <c:h val="0.357721383758674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27439991768282"/>
          <c:y val="2.6688328402371741E-2"/>
          <c:w val="0.85230879876765331"/>
          <c:h val="0.91031873335862257"/>
        </c:manualLayout>
      </c:layout>
      <c:lineChart>
        <c:grouping val="standard"/>
        <c:varyColors val="0"/>
        <c:ser>
          <c:idx val="5"/>
          <c:order val="0"/>
          <c:tx>
            <c:v>Kotz et al. 2022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growth!$BU$53:$BU$58</c:f>
              <c:numCache>
                <c:formatCode>General</c:formatCode>
                <c:ptCount val="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</c:numCache>
            </c:numRef>
          </c:cat>
          <c:val>
            <c:numRef>
              <c:f>growth!$CM$27:$CM$32</c:f>
              <c:numCache>
                <c:formatCode>0.000000</c:formatCode>
                <c:ptCount val="6"/>
                <c:pt idx="0">
                  <c:v>-1.6370000000000001E-5</c:v>
                </c:pt>
                <c:pt idx="1">
                  <c:v>-3.2740000000000002E-5</c:v>
                </c:pt>
                <c:pt idx="2">
                  <c:v>-4.9109999999999996E-5</c:v>
                </c:pt>
                <c:pt idx="3">
                  <c:v>-6.5480000000000003E-5</c:v>
                </c:pt>
                <c:pt idx="4">
                  <c:v>-8.1850000000000011E-5</c:v>
                </c:pt>
                <c:pt idx="5">
                  <c:v>-9.8219999999999991E-5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16-4DDE-8260-61F7C9CF4A59}"/>
            </c:ext>
          </c:extLst>
        </c:ser>
        <c:ser>
          <c:idx val="4"/>
          <c:order val="1"/>
          <c:tx>
            <c:v>Kotz et al. 2020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growth!$BU$53:$BU$58</c:f>
              <c:numCache>
                <c:formatCode>General</c:formatCode>
                <c:ptCount val="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</c:numCache>
            </c:numRef>
          </c:cat>
          <c:val>
            <c:numRef>
              <c:f>growth!$CE$27:$CE$32</c:f>
              <c:numCache>
                <c:formatCode>0.000000</c:formatCode>
                <c:ptCount val="6"/>
                <c:pt idx="0">
                  <c:v>-1.6690000000000005E-5</c:v>
                </c:pt>
                <c:pt idx="1">
                  <c:v>-3.3380000000000009E-5</c:v>
                </c:pt>
                <c:pt idx="2">
                  <c:v>-5.0070000000000007E-5</c:v>
                </c:pt>
                <c:pt idx="3">
                  <c:v>-6.6760000000000018E-5</c:v>
                </c:pt>
                <c:pt idx="4">
                  <c:v>-8.3450000000000023E-5</c:v>
                </c:pt>
                <c:pt idx="5">
                  <c:v>-1.0014000000000001E-4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16-4DDE-8260-61F7C9CF4A59}"/>
            </c:ext>
          </c:extLst>
        </c:ser>
        <c:ser>
          <c:idx val="1"/>
          <c:order val="2"/>
          <c:tx>
            <c:v>Combined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growth!$BW$61:$BW$66</c:f>
                <c:numCache>
                  <c:formatCode>General</c:formatCode>
                  <c:ptCount val="6"/>
                  <c:pt idx="0">
                    <c:v>1.0532149605609168E-5</c:v>
                  </c:pt>
                  <c:pt idx="1">
                    <c:v>2.1064288681310014E-5</c:v>
                  </c:pt>
                  <c:pt idx="2">
                    <c:v>3.159640670144564E-5</c:v>
                  </c:pt>
                  <c:pt idx="3">
                    <c:v>4.2128493148858399E-5</c:v>
                  </c:pt>
                  <c:pt idx="4">
                    <c:v>5.2660537519130464E-5</c:v>
                  </c:pt>
                  <c:pt idx="5">
                    <c:v>6.3192529324813745E-5</c:v>
                  </c:pt>
                </c:numCache>
              </c:numRef>
            </c:plus>
            <c:minus>
              <c:numRef>
                <c:f>growth!$BW$61:$BW$66</c:f>
                <c:numCache>
                  <c:formatCode>General</c:formatCode>
                  <c:ptCount val="6"/>
                  <c:pt idx="0">
                    <c:v>1.0532149605609168E-5</c:v>
                  </c:pt>
                  <c:pt idx="1">
                    <c:v>2.1064288681310014E-5</c:v>
                  </c:pt>
                  <c:pt idx="2">
                    <c:v>3.159640670144564E-5</c:v>
                  </c:pt>
                  <c:pt idx="3">
                    <c:v>4.2128493148858399E-5</c:v>
                  </c:pt>
                  <c:pt idx="4">
                    <c:v>5.2660537519130464E-5</c:v>
                  </c:pt>
                  <c:pt idx="5">
                    <c:v>6.3192529324813745E-5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growth!$BU$53:$BU$58</c:f>
              <c:numCache>
                <c:formatCode>General</c:formatCode>
                <c:ptCount val="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</c:numCache>
            </c:numRef>
          </c:cat>
          <c:val>
            <c:numRef>
              <c:f>growth!$BV$53:$BV$58</c:f>
              <c:numCache>
                <c:formatCode>0.000000</c:formatCode>
                <c:ptCount val="6"/>
                <c:pt idx="0">
                  <c:v>-4.4937343188578711E-5</c:v>
                </c:pt>
                <c:pt idx="1">
                  <c:v>-8.9874329235368664E-5</c:v>
                </c:pt>
                <c:pt idx="2">
                  <c:v>-1.3481060156538281E-4</c:v>
                </c:pt>
                <c:pt idx="3">
                  <c:v>-1.7974580473534971E-4</c:v>
                </c:pt>
                <c:pt idx="4">
                  <c:v>-2.2467958499486197E-4</c:v>
                </c:pt>
                <c:pt idx="5">
                  <c:v>-2.6961159084190373E-4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16-4DDE-8260-61F7C9CF4A59}"/>
            </c:ext>
          </c:extLst>
        </c:ser>
        <c:ser>
          <c:idx val="0"/>
          <c:order val="3"/>
          <c:tx>
            <c:v>Letta &amp; Tol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growth!$BU$53:$BU$58</c:f>
              <c:numCache>
                <c:formatCode>General</c:formatCode>
                <c:ptCount val="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</c:numCache>
            </c:numRef>
          </c:cat>
          <c:val>
            <c:numRef>
              <c:f>growth!$CD$53:$CD$58</c:f>
              <c:numCache>
                <c:formatCode>0.000000</c:formatCode>
                <c:ptCount val="6"/>
                <c:pt idx="0">
                  <c:v>-4.6554016126284825E-5</c:v>
                </c:pt>
                <c:pt idx="1">
                  <c:v>-9.3108032252569651E-5</c:v>
                </c:pt>
                <c:pt idx="2">
                  <c:v>-1.3966204837885448E-4</c:v>
                </c:pt>
                <c:pt idx="3">
                  <c:v>-1.862160645051393E-4</c:v>
                </c:pt>
                <c:pt idx="4">
                  <c:v>-2.3277008063142415E-4</c:v>
                </c:pt>
                <c:pt idx="5">
                  <c:v>-2.7932409675770895E-4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16-4DDE-8260-61F7C9CF4A59}"/>
            </c:ext>
          </c:extLst>
        </c:ser>
        <c:ser>
          <c:idx val="3"/>
          <c:order val="4"/>
          <c:spPr>
            <a:ln w="25400" cap="rnd">
              <a:solidFill>
                <a:schemeClr val="bg1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growth!$BU$53:$BU$58</c:f>
              <c:numCache>
                <c:formatCode>General</c:formatCode>
                <c:ptCount val="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</c:numCache>
            </c:numRef>
          </c:cat>
          <c:val>
            <c:numRef>
              <c:f>growth!$CG$53:$CG$58</c:f>
              <c:numCache>
                <c:formatCode>0.000000</c:formatCode>
                <c:ptCount val="6"/>
                <c:pt idx="0">
                  <c:v>-2.1920167361086848E-4</c:v>
                </c:pt>
                <c:pt idx="1">
                  <c:v>-4.3840334722173696E-4</c:v>
                </c:pt>
                <c:pt idx="2">
                  <c:v>-6.576050208326053E-4</c:v>
                </c:pt>
                <c:pt idx="3">
                  <c:v>-8.7680669444347391E-4</c:v>
                </c:pt>
                <c:pt idx="4">
                  <c:v>-1.0960083680543425E-3</c:v>
                </c:pt>
                <c:pt idx="5">
                  <c:v>-1.3152100416652106E-3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16-4DDE-8260-61F7C9CF4A59}"/>
            </c:ext>
          </c:extLst>
        </c:ser>
        <c:ser>
          <c:idx val="2"/>
          <c:order val="5"/>
          <c:tx>
            <c:v>Kahn et al.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growth!$BU$53:$BU$58</c:f>
              <c:numCache>
                <c:formatCode>General</c:formatCode>
                <c:ptCount val="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</c:numCache>
            </c:numRef>
          </c:cat>
          <c:val>
            <c:numRef>
              <c:f>growth!$CE$53:$CE$58</c:f>
              <c:numCache>
                <c:formatCode>0.000000</c:formatCode>
                <c:ptCount val="6"/>
                <c:pt idx="0">
                  <c:v>-1.7139999999999999E-4</c:v>
                </c:pt>
                <c:pt idx="1">
                  <c:v>-3.4279999999999998E-4</c:v>
                </c:pt>
                <c:pt idx="2">
                  <c:v>-5.1419999999999992E-4</c:v>
                </c:pt>
                <c:pt idx="3">
                  <c:v>-6.8559999999999997E-4</c:v>
                </c:pt>
                <c:pt idx="4">
                  <c:v>-8.5700000000000001E-4</c:v>
                </c:pt>
                <c:pt idx="5">
                  <c:v>-1.0283999999999998E-3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16-4DDE-8260-61F7C9CF4A59}"/>
            </c:ext>
          </c:extLst>
        </c:ser>
        <c:ser>
          <c:idx val="6"/>
          <c:order val="6"/>
          <c:spPr>
            <a:ln w="25400" cap="rnd">
              <a:solidFill>
                <a:schemeClr val="bg1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growth!$BU$53:$BU$58</c:f>
              <c:numCache>
                <c:formatCode>General</c:formatCode>
                <c:ptCount val="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</c:numCache>
            </c:numRef>
          </c:cat>
          <c:val>
            <c:numRef>
              <c:f>growth!$CH$53:$CH$58</c:f>
              <c:numCache>
                <c:formatCode>0.000000</c:formatCode>
                <c:ptCount val="6"/>
                <c:pt idx="0">
                  <c:v>1.5404832808372093E-5</c:v>
                </c:pt>
                <c:pt idx="1">
                  <c:v>3.0809665616744186E-5</c:v>
                </c:pt>
                <c:pt idx="2">
                  <c:v>4.6214498425116286E-5</c:v>
                </c:pt>
                <c:pt idx="3">
                  <c:v>6.1619331233488372E-5</c:v>
                </c:pt>
                <c:pt idx="4">
                  <c:v>7.7024164041860472E-5</c:v>
                </c:pt>
                <c:pt idx="5">
                  <c:v>9.2428996850232571E-5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16-4DDE-8260-61F7C9CF4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713360"/>
        <c:axId val="668713040"/>
      </c:lineChart>
      <c:catAx>
        <c:axId val="668713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Average annual warming (degree Celsius per year)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68713040"/>
        <c:crosses val="autoZero"/>
        <c:auto val="1"/>
        <c:lblAlgn val="ctr"/>
        <c:lblOffset val="100"/>
        <c:noMultiLvlLbl val="0"/>
      </c:catAx>
      <c:valAx>
        <c:axId val="66871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Change in the annual growth rate of global economic output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687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11598109493929085"/>
          <c:y val="0.71059181135360461"/>
          <c:w val="0.19697012030387698"/>
          <c:h val="0.2234043640081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growth!$DT$92:$DW$92</c:f>
                <c:numCache>
                  <c:formatCode>General</c:formatCode>
                  <c:ptCount val="4"/>
                  <c:pt idx="0">
                    <c:v>2.5288981771707641</c:v>
                  </c:pt>
                  <c:pt idx="1">
                    <c:v>3.0425895995424632</c:v>
                  </c:pt>
                  <c:pt idx="2">
                    <c:v>139.30435012391766</c:v>
                  </c:pt>
                  <c:pt idx="3">
                    <c:v>1.9982214606365645</c:v>
                  </c:pt>
                </c:numCache>
              </c:numRef>
            </c:plus>
            <c:minus>
              <c:numRef>
                <c:f>growth!$DT$93:$DW$93</c:f>
                <c:numCache>
                  <c:formatCode>General</c:formatCode>
                  <c:ptCount val="4"/>
                  <c:pt idx="0">
                    <c:v>3.4356029273736461</c:v>
                  </c:pt>
                  <c:pt idx="1">
                    <c:v>4.1334719718447754</c:v>
                  </c:pt>
                  <c:pt idx="2">
                    <c:v>316.00190211796973</c:v>
                  </c:pt>
                  <c:pt idx="3">
                    <c:v>4.7707299495880395</c:v>
                  </c:pt>
                </c:numCache>
              </c:numRef>
            </c:minus>
            <c:spPr>
              <a:noFill/>
              <a:ln w="381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  <a:headEnd w="lg" len="lg"/>
                <a:tailEnd w="lg" len="lg"/>
              </a:ln>
              <a:effectLst/>
            </c:spPr>
          </c:errBars>
          <c:cat>
            <c:strRef>
              <c:f>growth!$DT$85:$DW$85</c:f>
              <c:strCache>
                <c:ptCount val="4"/>
                <c:pt idx="0">
                  <c:v>Comparative static</c:v>
                </c:pt>
                <c:pt idx="1">
                  <c:v>Implied impact on growth</c:v>
                </c:pt>
                <c:pt idx="2">
                  <c:v>Empirical growth</c:v>
                </c:pt>
                <c:pt idx="3">
                  <c:v>Empirical level</c:v>
                </c:pt>
              </c:strCache>
            </c:strRef>
          </c:cat>
          <c:val>
            <c:numRef>
              <c:f>growth!$DT$88:$DW$88</c:f>
              <c:numCache>
                <c:formatCode>0.00</c:formatCode>
                <c:ptCount val="4"/>
                <c:pt idx="0">
                  <c:v>-1.8367139441236371</c:v>
                </c:pt>
                <c:pt idx="1">
                  <c:v>-2.2098029862069213</c:v>
                </c:pt>
                <c:pt idx="2">
                  <c:v>-36.000599982332403</c:v>
                </c:pt>
                <c:pt idx="3" formatCode="0.0">
                  <c:v>-1.5537556768267735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1-4BB6-B843-13868BCAC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587352"/>
        <c:axId val="696581776"/>
      </c:barChart>
      <c:catAx>
        <c:axId val="69658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581776"/>
        <c:crosses val="autoZero"/>
        <c:auto val="1"/>
        <c:lblAlgn val="ctr"/>
        <c:lblOffset val="150"/>
        <c:noMultiLvlLbl val="0"/>
      </c:catAx>
      <c:valAx>
        <c:axId val="696581776"/>
        <c:scaling>
          <c:orientation val="minMax"/>
          <c:max val="1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Percentage change in economic output in 2100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587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growth!$DT$92:$DW$92</c:f>
                <c:numCache>
                  <c:formatCode>General</c:formatCode>
                  <c:ptCount val="4"/>
                  <c:pt idx="0">
                    <c:v>2.5288981771707641</c:v>
                  </c:pt>
                  <c:pt idx="1">
                    <c:v>3.0425895995424632</c:v>
                  </c:pt>
                  <c:pt idx="2">
                    <c:v>139.30435012391766</c:v>
                  </c:pt>
                  <c:pt idx="3">
                    <c:v>1.9982214606365645</c:v>
                  </c:pt>
                </c:numCache>
              </c:numRef>
            </c:plus>
            <c:minus>
              <c:numRef>
                <c:f>growth!$DT$93:$DW$93</c:f>
                <c:numCache>
                  <c:formatCode>General</c:formatCode>
                  <c:ptCount val="4"/>
                  <c:pt idx="0">
                    <c:v>3.4356029273736461</c:v>
                  </c:pt>
                  <c:pt idx="1">
                    <c:v>4.1334719718447754</c:v>
                  </c:pt>
                  <c:pt idx="2">
                    <c:v>316.00190211796973</c:v>
                  </c:pt>
                  <c:pt idx="3">
                    <c:v>4.7707299495880395</c:v>
                  </c:pt>
                </c:numCache>
              </c:numRef>
            </c:minus>
            <c:spPr>
              <a:noFill/>
              <a:ln w="381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  <a:headEnd w="lg" len="lg"/>
                <a:tailEnd w="lg" len="lg"/>
              </a:ln>
              <a:effectLst/>
            </c:spPr>
          </c:errBars>
          <c:cat>
            <c:strRef>
              <c:f>growth!$DT$85:$DW$85</c:f>
              <c:strCache>
                <c:ptCount val="4"/>
                <c:pt idx="0">
                  <c:v>Comparative static</c:v>
                </c:pt>
                <c:pt idx="1">
                  <c:v>Implied impact on growth</c:v>
                </c:pt>
                <c:pt idx="2">
                  <c:v>Empirical growth</c:v>
                </c:pt>
                <c:pt idx="3">
                  <c:v>Empirical level</c:v>
                </c:pt>
              </c:strCache>
            </c:strRef>
          </c:cat>
          <c:val>
            <c:numRef>
              <c:f>growth!$DT$88:$DW$88</c:f>
              <c:numCache>
                <c:formatCode>0.00</c:formatCode>
                <c:ptCount val="4"/>
                <c:pt idx="0">
                  <c:v>-1.8367139441236371</c:v>
                </c:pt>
                <c:pt idx="1">
                  <c:v>-2.2098029862069213</c:v>
                </c:pt>
                <c:pt idx="2">
                  <c:v>-36.000599982332403</c:v>
                </c:pt>
                <c:pt idx="3" formatCode="0.0">
                  <c:v>-1.5537556768267735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4-4479-A137-50A19004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587352"/>
        <c:axId val="696581776"/>
      </c:barChart>
      <c:catAx>
        <c:axId val="69658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581776"/>
        <c:crosses val="autoZero"/>
        <c:auto val="1"/>
        <c:lblAlgn val="ctr"/>
        <c:lblOffset val="150"/>
        <c:noMultiLvlLbl val="0"/>
      </c:catAx>
      <c:valAx>
        <c:axId val="696581776"/>
        <c:scaling>
          <c:orientation val="minMax"/>
          <c:max val="1"/>
          <c:min val="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Percentage change in economic output in 2100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6587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growth!$DY$2:$EG$2</c:f>
              <c:strCache>
                <c:ptCount val="9"/>
                <c:pt idx="0">
                  <c:v>Kikstra</c:v>
                </c:pt>
                <c:pt idx="1">
                  <c:v>Kalkuhl</c:v>
                </c:pt>
                <c:pt idx="2">
                  <c:v>Dell</c:v>
                </c:pt>
                <c:pt idx="3">
                  <c:v>Henseler</c:v>
                </c:pt>
                <c:pt idx="4">
                  <c:v>Combined</c:v>
                </c:pt>
                <c:pt idx="5">
                  <c:v>Burke</c:v>
                </c:pt>
                <c:pt idx="6">
                  <c:v>Acevedo</c:v>
                </c:pt>
                <c:pt idx="7">
                  <c:v>Pretis</c:v>
                </c:pt>
                <c:pt idx="8">
                  <c:v>Damania</c:v>
                </c:pt>
              </c:strCache>
            </c:strRef>
          </c:cat>
          <c:val>
            <c:numRef>
              <c:f>growth!$DY$1:$EG$1</c:f>
              <c:numCache>
                <c:formatCode>General</c:formatCode>
                <c:ptCount val="9"/>
                <c:pt idx="0">
                  <c:v>-99.991261733883078</c:v>
                </c:pt>
                <c:pt idx="1">
                  <c:v>-99.75262946884726</c:v>
                </c:pt>
                <c:pt idx="2">
                  <c:v>-84.343556824665612</c:v>
                </c:pt>
                <c:pt idx="3">
                  <c:v>-50.274195413019875</c:v>
                </c:pt>
                <c:pt idx="4">
                  <c:v>-36.000599982332403</c:v>
                </c:pt>
                <c:pt idx="5">
                  <c:v>274.84589581927878</c:v>
                </c:pt>
                <c:pt idx="6">
                  <c:v>492.23448905367968</c:v>
                </c:pt>
                <c:pt idx="7">
                  <c:v>783.04588177223332</c:v>
                </c:pt>
                <c:pt idx="8">
                  <c:v>5251.4738289595407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B-4C55-B2D0-637BE6A75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5387152"/>
        <c:axId val="675386512"/>
      </c:barChart>
      <c:catAx>
        <c:axId val="67538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5386512"/>
        <c:crosses val="autoZero"/>
        <c:auto val="1"/>
        <c:lblAlgn val="ctr"/>
        <c:lblOffset val="100"/>
        <c:noMultiLvlLbl val="0"/>
      </c:catAx>
      <c:valAx>
        <c:axId val="675386512"/>
        <c:scaling>
          <c:orientation val="minMax"/>
          <c:max val="5500"/>
          <c:min val="-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Impact on total economic output in 2100 (percentage)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538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country!$BH$214:$BH$304</c:f>
              <c:numCache>
                <c:formatCode>0.0</c:formatCode>
                <c:ptCount val="91"/>
                <c:pt idx="0" formatCode="0.0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3.3000000000000003</c:v>
                </c:pt>
                <c:pt idx="4">
                  <c:v>3.4000000000000004</c:v>
                </c:pt>
                <c:pt idx="5">
                  <c:v>3.5000000000000004</c:v>
                </c:pt>
                <c:pt idx="6">
                  <c:v>3.6000000000000005</c:v>
                </c:pt>
                <c:pt idx="7">
                  <c:v>3.7000000000000006</c:v>
                </c:pt>
                <c:pt idx="8">
                  <c:v>3.8000000000000007</c:v>
                </c:pt>
                <c:pt idx="9">
                  <c:v>3.9000000000000008</c:v>
                </c:pt>
                <c:pt idx="10">
                  <c:v>4.0000000000000009</c:v>
                </c:pt>
                <c:pt idx="11">
                  <c:v>4.1000000000000005</c:v>
                </c:pt>
                <c:pt idx="12">
                  <c:v>4.2</c:v>
                </c:pt>
                <c:pt idx="13">
                  <c:v>4.3</c:v>
                </c:pt>
                <c:pt idx="14">
                  <c:v>4.3999999999999995</c:v>
                </c:pt>
                <c:pt idx="15">
                  <c:v>4.4999999999999991</c:v>
                </c:pt>
                <c:pt idx="16">
                  <c:v>4.5999999999999988</c:v>
                </c:pt>
                <c:pt idx="17">
                  <c:v>4.6999999999999984</c:v>
                </c:pt>
                <c:pt idx="18">
                  <c:v>4.799999999999998</c:v>
                </c:pt>
                <c:pt idx="19">
                  <c:v>4.8999999999999977</c:v>
                </c:pt>
                <c:pt idx="20">
                  <c:v>4.9999999999999973</c:v>
                </c:pt>
                <c:pt idx="21">
                  <c:v>5.099999999999997</c:v>
                </c:pt>
                <c:pt idx="22">
                  <c:v>5.1999999999999966</c:v>
                </c:pt>
                <c:pt idx="23">
                  <c:v>5.2999999999999963</c:v>
                </c:pt>
                <c:pt idx="24">
                  <c:v>5.3999999999999959</c:v>
                </c:pt>
                <c:pt idx="25">
                  <c:v>5.4999999999999956</c:v>
                </c:pt>
                <c:pt idx="26">
                  <c:v>5.5999999999999952</c:v>
                </c:pt>
                <c:pt idx="27">
                  <c:v>5.6999999999999948</c:v>
                </c:pt>
                <c:pt idx="28">
                  <c:v>5.7999999999999945</c:v>
                </c:pt>
                <c:pt idx="29">
                  <c:v>5.8999999999999941</c:v>
                </c:pt>
                <c:pt idx="30">
                  <c:v>5.9999999999999938</c:v>
                </c:pt>
                <c:pt idx="31">
                  <c:v>6.0999999999999934</c:v>
                </c:pt>
                <c:pt idx="32">
                  <c:v>6.1999999999999931</c:v>
                </c:pt>
                <c:pt idx="33">
                  <c:v>6.2999999999999927</c:v>
                </c:pt>
                <c:pt idx="34">
                  <c:v>6.3999999999999924</c:v>
                </c:pt>
                <c:pt idx="35">
                  <c:v>6.499999999999992</c:v>
                </c:pt>
                <c:pt idx="36">
                  <c:v>6.5999999999999917</c:v>
                </c:pt>
                <c:pt idx="37">
                  <c:v>6.6999999999999913</c:v>
                </c:pt>
                <c:pt idx="38">
                  <c:v>6.7999999999999909</c:v>
                </c:pt>
                <c:pt idx="39">
                  <c:v>6.8999999999999906</c:v>
                </c:pt>
                <c:pt idx="40">
                  <c:v>6.9999999999999902</c:v>
                </c:pt>
                <c:pt idx="41">
                  <c:v>7.0999999999999899</c:v>
                </c:pt>
                <c:pt idx="42">
                  <c:v>7.1999999999999895</c:v>
                </c:pt>
                <c:pt idx="43">
                  <c:v>7.2999999999999892</c:v>
                </c:pt>
                <c:pt idx="44">
                  <c:v>7.3999999999999888</c:v>
                </c:pt>
                <c:pt idx="45">
                  <c:v>7.4999999999999885</c:v>
                </c:pt>
                <c:pt idx="46">
                  <c:v>7.5999999999999881</c:v>
                </c:pt>
                <c:pt idx="47">
                  <c:v>7.6999999999999877</c:v>
                </c:pt>
                <c:pt idx="48">
                  <c:v>7.7999999999999874</c:v>
                </c:pt>
                <c:pt idx="49">
                  <c:v>7.899999999999987</c:v>
                </c:pt>
                <c:pt idx="50">
                  <c:v>7.9999999999999867</c:v>
                </c:pt>
                <c:pt idx="51">
                  <c:v>8.0999999999999872</c:v>
                </c:pt>
                <c:pt idx="52">
                  <c:v>8.1999999999999869</c:v>
                </c:pt>
                <c:pt idx="53">
                  <c:v>8.2999999999999865</c:v>
                </c:pt>
                <c:pt idx="54">
                  <c:v>8.3999999999999861</c:v>
                </c:pt>
                <c:pt idx="55">
                  <c:v>8.4999999999999858</c:v>
                </c:pt>
                <c:pt idx="56">
                  <c:v>8.5999999999999854</c:v>
                </c:pt>
                <c:pt idx="57">
                  <c:v>8.6999999999999851</c:v>
                </c:pt>
                <c:pt idx="58">
                  <c:v>8.7999999999999847</c:v>
                </c:pt>
                <c:pt idx="59">
                  <c:v>8.8999999999999844</c:v>
                </c:pt>
                <c:pt idx="60">
                  <c:v>8.999999999999984</c:v>
                </c:pt>
                <c:pt idx="61">
                  <c:v>9.0999999999999837</c:v>
                </c:pt>
                <c:pt idx="62">
                  <c:v>9.1999999999999833</c:v>
                </c:pt>
                <c:pt idx="63">
                  <c:v>9.2999999999999829</c:v>
                </c:pt>
                <c:pt idx="64">
                  <c:v>9.3999999999999826</c:v>
                </c:pt>
                <c:pt idx="65">
                  <c:v>9.4999999999999822</c:v>
                </c:pt>
                <c:pt idx="66">
                  <c:v>9.5999999999999819</c:v>
                </c:pt>
                <c:pt idx="67">
                  <c:v>9.6999999999999815</c:v>
                </c:pt>
                <c:pt idx="68">
                  <c:v>9.7999999999999812</c:v>
                </c:pt>
                <c:pt idx="69">
                  <c:v>9.8999999999999808</c:v>
                </c:pt>
                <c:pt idx="70">
                  <c:v>9.9999999999999805</c:v>
                </c:pt>
                <c:pt idx="71">
                  <c:v>10.09999999999998</c:v>
                </c:pt>
                <c:pt idx="72">
                  <c:v>10.19999999999998</c:v>
                </c:pt>
                <c:pt idx="73">
                  <c:v>10.299999999999979</c:v>
                </c:pt>
                <c:pt idx="74">
                  <c:v>10.399999999999979</c:v>
                </c:pt>
                <c:pt idx="75">
                  <c:v>10.499999999999979</c:v>
                </c:pt>
                <c:pt idx="76">
                  <c:v>10.599999999999978</c:v>
                </c:pt>
                <c:pt idx="77">
                  <c:v>10.699999999999978</c:v>
                </c:pt>
                <c:pt idx="78">
                  <c:v>10.799999999999978</c:v>
                </c:pt>
                <c:pt idx="79">
                  <c:v>10.899999999999977</c:v>
                </c:pt>
                <c:pt idx="80">
                  <c:v>10.999999999999977</c:v>
                </c:pt>
                <c:pt idx="81">
                  <c:v>11.099999999999977</c:v>
                </c:pt>
                <c:pt idx="82">
                  <c:v>11.199999999999976</c:v>
                </c:pt>
                <c:pt idx="83">
                  <c:v>11.299999999999976</c:v>
                </c:pt>
                <c:pt idx="84">
                  <c:v>11.399999999999975</c:v>
                </c:pt>
                <c:pt idx="85">
                  <c:v>11.499999999999975</c:v>
                </c:pt>
                <c:pt idx="86">
                  <c:v>11.599999999999975</c:v>
                </c:pt>
                <c:pt idx="87">
                  <c:v>11.699999999999974</c:v>
                </c:pt>
                <c:pt idx="88">
                  <c:v>11.799999999999974</c:v>
                </c:pt>
                <c:pt idx="89">
                  <c:v>11.899999999999974</c:v>
                </c:pt>
                <c:pt idx="90">
                  <c:v>11.999999999999973</c:v>
                </c:pt>
              </c:numCache>
            </c:numRef>
          </c:cat>
          <c:val>
            <c:numRef>
              <c:f>country!$BT$214:$BT$304</c:f>
              <c:numCache>
                <c:formatCode>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0.98963999999999996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1.5013693999999997</c:v>
                </c:pt>
                <c:pt idx="10">
                  <c:v>0.4349921000000001</c:v>
                </c:pt>
                <c:pt idx="11">
                  <c:v>2.5037522000000001</c:v>
                </c:pt>
                <c:pt idx="12">
                  <c:v>1.9129152999999999</c:v>
                </c:pt>
                <c:pt idx="13">
                  <c:v>2.7437049999999994</c:v>
                </c:pt>
                <c:pt idx="14">
                  <c:v>12.861023400000001</c:v>
                </c:pt>
                <c:pt idx="15">
                  <c:v>2.6807139000000006</c:v>
                </c:pt>
                <c:pt idx="16">
                  <c:v>11.819560499999994</c:v>
                </c:pt>
                <c:pt idx="17">
                  <c:v>2.4027475000000038</c:v>
                </c:pt>
                <c:pt idx="18">
                  <c:v>35.542474499999997</c:v>
                </c:pt>
                <c:pt idx="19">
                  <c:v>18.437322000000009</c:v>
                </c:pt>
                <c:pt idx="20">
                  <c:v>17.32642349999999</c:v>
                </c:pt>
                <c:pt idx="21">
                  <c:v>25.551778600000006</c:v>
                </c:pt>
                <c:pt idx="22">
                  <c:v>27.961535699999985</c:v>
                </c:pt>
                <c:pt idx="23">
                  <c:v>37.195306499999987</c:v>
                </c:pt>
                <c:pt idx="24">
                  <c:v>55.470943700000049</c:v>
                </c:pt>
                <c:pt idx="25">
                  <c:v>64.617637800000011</c:v>
                </c:pt>
                <c:pt idx="26">
                  <c:v>42.976400699999999</c:v>
                </c:pt>
                <c:pt idx="27">
                  <c:v>47.14011690000001</c:v>
                </c:pt>
                <c:pt idx="28">
                  <c:v>169.29416859999998</c:v>
                </c:pt>
                <c:pt idx="29">
                  <c:v>95.019817499999931</c:v>
                </c:pt>
                <c:pt idx="30">
                  <c:v>39.7608527000001</c:v>
                </c:pt>
                <c:pt idx="31">
                  <c:v>237.8072374999997</c:v>
                </c:pt>
                <c:pt idx="32">
                  <c:v>70.007999700000141</c:v>
                </c:pt>
                <c:pt idx="33">
                  <c:v>196.39485520000017</c:v>
                </c:pt>
                <c:pt idx="34">
                  <c:v>228.15957809999964</c:v>
                </c:pt>
                <c:pt idx="35">
                  <c:v>120.80450400000041</c:v>
                </c:pt>
                <c:pt idx="36">
                  <c:v>214.0295649000002</c:v>
                </c:pt>
                <c:pt idx="37">
                  <c:v>73.447281699999621</c:v>
                </c:pt>
                <c:pt idx="38">
                  <c:v>212.27451580000047</c:v>
                </c:pt>
                <c:pt idx="39">
                  <c:v>353.52536129999953</c:v>
                </c:pt>
                <c:pt idx="40">
                  <c:v>76.919911599999978</c:v>
                </c:pt>
                <c:pt idx="41">
                  <c:v>197.07498560000022</c:v>
                </c:pt>
                <c:pt idx="42">
                  <c:v>216.04870149999988</c:v>
                </c:pt>
                <c:pt idx="43">
                  <c:v>91.69307660000004</c:v>
                </c:pt>
                <c:pt idx="44">
                  <c:v>326.04008159999967</c:v>
                </c:pt>
                <c:pt idx="45">
                  <c:v>74.157098500001212</c:v>
                </c:pt>
                <c:pt idx="46">
                  <c:v>260.8396389999989</c:v>
                </c:pt>
                <c:pt idx="47">
                  <c:v>177.56771310000022</c:v>
                </c:pt>
                <c:pt idx="48">
                  <c:v>85.926723699999457</c:v>
                </c:pt>
                <c:pt idx="49">
                  <c:v>224.28735770000048</c:v>
                </c:pt>
                <c:pt idx="50">
                  <c:v>195.65294020000056</c:v>
                </c:pt>
                <c:pt idx="51">
                  <c:v>225.83962289999909</c:v>
                </c:pt>
                <c:pt idx="52">
                  <c:v>172.45028550000097</c:v>
                </c:pt>
                <c:pt idx="53">
                  <c:v>75.619861799999853</c:v>
                </c:pt>
                <c:pt idx="54">
                  <c:v>188.14592420000008</c:v>
                </c:pt>
                <c:pt idx="55">
                  <c:v>69.009730199999467</c:v>
                </c:pt>
                <c:pt idx="56">
                  <c:v>98.237476600001173</c:v>
                </c:pt>
                <c:pt idx="57">
                  <c:v>54.496287399998437</c:v>
                </c:pt>
                <c:pt idx="58">
                  <c:v>61.295548000000053</c:v>
                </c:pt>
                <c:pt idx="59">
                  <c:v>41.939630100000613</c:v>
                </c:pt>
                <c:pt idx="60">
                  <c:v>174.50328280000031</c:v>
                </c:pt>
                <c:pt idx="61">
                  <c:v>84.844516499999372</c:v>
                </c:pt>
                <c:pt idx="62">
                  <c:v>57.551545899999837</c:v>
                </c:pt>
                <c:pt idx="63">
                  <c:v>48.117829799999527</c:v>
                </c:pt>
                <c:pt idx="64">
                  <c:v>10.911550300000272</c:v>
                </c:pt>
                <c:pt idx="65">
                  <c:v>47.858337900000151</c:v>
                </c:pt>
                <c:pt idx="66">
                  <c:v>20.511611500000072</c:v>
                </c:pt>
                <c:pt idx="67">
                  <c:v>35.832262200000514</c:v>
                </c:pt>
                <c:pt idx="68">
                  <c:v>75.913030899999285</c:v>
                </c:pt>
                <c:pt idx="69">
                  <c:v>27.813596400000279</c:v>
                </c:pt>
                <c:pt idx="70">
                  <c:v>65.313884800000778</c:v>
                </c:pt>
                <c:pt idx="71">
                  <c:v>84.440511000000697</c:v>
                </c:pt>
                <c:pt idx="72">
                  <c:v>37.294765699998607</c:v>
                </c:pt>
                <c:pt idx="73">
                  <c:v>84.253182499999639</c:v>
                </c:pt>
                <c:pt idx="74">
                  <c:v>95.286590699999579</c:v>
                </c:pt>
                <c:pt idx="75">
                  <c:v>53.435766099999455</c:v>
                </c:pt>
                <c:pt idx="76">
                  <c:v>97.091103900002054</c:v>
                </c:pt>
                <c:pt idx="77">
                  <c:v>38.497292499999276</c:v>
                </c:pt>
                <c:pt idx="78">
                  <c:v>56.259159499999441</c:v>
                </c:pt>
                <c:pt idx="79">
                  <c:v>32.582627400001911</c:v>
                </c:pt>
                <c:pt idx="80">
                  <c:v>49.108601699998871</c:v>
                </c:pt>
                <c:pt idx="81">
                  <c:v>20.183993899999223</c:v>
                </c:pt>
                <c:pt idx="82">
                  <c:v>38.611572500000875</c:v>
                </c:pt>
                <c:pt idx="83">
                  <c:v>3.3201260000005277</c:v>
                </c:pt>
                <c:pt idx="84">
                  <c:v>16.997226699999374</c:v>
                </c:pt>
                <c:pt idx="85">
                  <c:v>13.733508400000574</c:v>
                </c:pt>
                <c:pt idx="86">
                  <c:v>1.0942423999995299</c:v>
                </c:pt>
                <c:pt idx="87">
                  <c:v>0.49813090000043303</c:v>
                </c:pt>
                <c:pt idx="88">
                  <c:v>32.906458599999496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1-4521-853A-710594977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7494928"/>
        <c:axId val="379772144"/>
      </c:barChart>
      <c:catAx>
        <c:axId val="547494928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72144"/>
        <c:crosses val="autoZero"/>
        <c:auto val="1"/>
        <c:lblAlgn val="ctr"/>
        <c:lblOffset val="100"/>
        <c:noMultiLvlLbl val="0"/>
      </c:catAx>
      <c:valAx>
        <c:axId val="37977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9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country!$BH$306:$BH$366</c:f>
              <c:numCache>
                <c:formatCode>0.0</c:formatCode>
                <c:ptCount val="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</c:numCache>
            </c:numRef>
          </c:cat>
          <c:val>
            <c:numRef>
              <c:f>country!$BT$306:$BT$366</c:f>
              <c:numCache>
                <c:formatCode>0</c:formatCode>
                <c:ptCount val="61"/>
                <c:pt idx="0">
                  <c:v>0</c:v>
                </c:pt>
                <c:pt idx="1">
                  <c:v>39.7608527000001</c:v>
                </c:pt>
                <c:pt idx="2">
                  <c:v>237.8072374999997</c:v>
                </c:pt>
                <c:pt idx="3">
                  <c:v>70.007999700000141</c:v>
                </c:pt>
                <c:pt idx="4">
                  <c:v>196.39485520000017</c:v>
                </c:pt>
                <c:pt idx="5">
                  <c:v>228.15957809999964</c:v>
                </c:pt>
                <c:pt idx="6">
                  <c:v>120.80450400000041</c:v>
                </c:pt>
                <c:pt idx="7">
                  <c:v>214.0295649000002</c:v>
                </c:pt>
                <c:pt idx="8">
                  <c:v>73.447281699999621</c:v>
                </c:pt>
                <c:pt idx="9">
                  <c:v>212.27451580000047</c:v>
                </c:pt>
                <c:pt idx="10">
                  <c:v>353.52536129999953</c:v>
                </c:pt>
                <c:pt idx="11">
                  <c:v>76.919911599999978</c:v>
                </c:pt>
                <c:pt idx="12">
                  <c:v>197.07498560000022</c:v>
                </c:pt>
                <c:pt idx="13">
                  <c:v>214.61454390000017</c:v>
                </c:pt>
                <c:pt idx="14">
                  <c:v>93.127234199999748</c:v>
                </c:pt>
                <c:pt idx="15">
                  <c:v>326.04008159999967</c:v>
                </c:pt>
                <c:pt idx="16">
                  <c:v>74.157098500001212</c:v>
                </c:pt>
                <c:pt idx="17">
                  <c:v>260.8396389999989</c:v>
                </c:pt>
                <c:pt idx="18">
                  <c:v>177.56771310000022</c:v>
                </c:pt>
                <c:pt idx="19">
                  <c:v>85.926723699999457</c:v>
                </c:pt>
                <c:pt idx="20">
                  <c:v>224.28735770000048</c:v>
                </c:pt>
                <c:pt idx="21">
                  <c:v>195.65294020000056</c:v>
                </c:pt>
                <c:pt idx="22">
                  <c:v>225.83962289999909</c:v>
                </c:pt>
                <c:pt idx="23">
                  <c:v>172.45028550000097</c:v>
                </c:pt>
                <c:pt idx="24">
                  <c:v>75.619861799999853</c:v>
                </c:pt>
                <c:pt idx="25">
                  <c:v>188.14592420000008</c:v>
                </c:pt>
                <c:pt idx="26">
                  <c:v>69.009730199999467</c:v>
                </c:pt>
                <c:pt idx="27">
                  <c:v>98.237476600001173</c:v>
                </c:pt>
                <c:pt idx="28">
                  <c:v>54.496287399998437</c:v>
                </c:pt>
                <c:pt idx="29">
                  <c:v>61.295548000000053</c:v>
                </c:pt>
                <c:pt idx="30">
                  <c:v>41.939630100000613</c:v>
                </c:pt>
                <c:pt idx="31">
                  <c:v>174.50328280000031</c:v>
                </c:pt>
                <c:pt idx="32">
                  <c:v>84.844516499999372</c:v>
                </c:pt>
                <c:pt idx="33">
                  <c:v>57.551545899999837</c:v>
                </c:pt>
                <c:pt idx="34">
                  <c:v>48.117829799999527</c:v>
                </c:pt>
                <c:pt idx="35">
                  <c:v>10.911550300000272</c:v>
                </c:pt>
                <c:pt idx="36">
                  <c:v>47.858337900000151</c:v>
                </c:pt>
                <c:pt idx="37">
                  <c:v>20.511611500000072</c:v>
                </c:pt>
                <c:pt idx="38">
                  <c:v>35.832262200000514</c:v>
                </c:pt>
                <c:pt idx="39">
                  <c:v>75.913030899999285</c:v>
                </c:pt>
                <c:pt idx="40">
                  <c:v>27.813596400000279</c:v>
                </c:pt>
                <c:pt idx="41">
                  <c:v>65.313884800000778</c:v>
                </c:pt>
                <c:pt idx="42">
                  <c:v>84.440511000000697</c:v>
                </c:pt>
                <c:pt idx="43">
                  <c:v>37.294765699998607</c:v>
                </c:pt>
                <c:pt idx="44">
                  <c:v>84.253182499999639</c:v>
                </c:pt>
                <c:pt idx="45">
                  <c:v>95.286590699999579</c:v>
                </c:pt>
                <c:pt idx="46">
                  <c:v>53.435766099999455</c:v>
                </c:pt>
                <c:pt idx="47">
                  <c:v>97.091103900002054</c:v>
                </c:pt>
                <c:pt idx="48">
                  <c:v>38.497292499999276</c:v>
                </c:pt>
                <c:pt idx="49">
                  <c:v>56.259159499999441</c:v>
                </c:pt>
                <c:pt idx="50">
                  <c:v>32.582627400001911</c:v>
                </c:pt>
                <c:pt idx="51">
                  <c:v>49.108601699998871</c:v>
                </c:pt>
                <c:pt idx="52">
                  <c:v>20.183993899999223</c:v>
                </c:pt>
                <c:pt idx="53">
                  <c:v>38.611572500000875</c:v>
                </c:pt>
                <c:pt idx="54">
                  <c:v>3.3201260000005277</c:v>
                </c:pt>
                <c:pt idx="55">
                  <c:v>16.997226699999374</c:v>
                </c:pt>
                <c:pt idx="56">
                  <c:v>13.733508400000574</c:v>
                </c:pt>
                <c:pt idx="57">
                  <c:v>1.0942423999995299</c:v>
                </c:pt>
                <c:pt idx="58">
                  <c:v>0.49813090000043303</c:v>
                </c:pt>
                <c:pt idx="59">
                  <c:v>32.906458599999496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25-466E-AFCC-CC16B744E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898744"/>
        <c:axId val="789897144"/>
      </c:barChart>
      <c:catAx>
        <c:axId val="78989874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897144"/>
        <c:crosses val="autoZero"/>
        <c:auto val="1"/>
        <c:lblAlgn val="ctr"/>
        <c:lblOffset val="100"/>
        <c:noMultiLvlLbl val="0"/>
      </c:catAx>
      <c:valAx>
        <c:axId val="78989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89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7"/>
          </c:marker>
          <c:errBars>
            <c:errDir val="y"/>
            <c:errBarType val="both"/>
            <c:errValType val="cust"/>
            <c:noEndCap val="1"/>
            <c:plus>
              <c:numRef>
                <c:f>country!$M$5:$M$202</c:f>
                <c:numCache>
                  <c:formatCode>General</c:formatCode>
                  <c:ptCount val="198"/>
                  <c:pt idx="0">
                    <c:v>7.4031147126757499</c:v>
                  </c:pt>
                  <c:pt idx="1">
                    <c:v>3.7478320307498234</c:v>
                  </c:pt>
                  <c:pt idx="2">
                    <c:v>5.8650978350571661</c:v>
                  </c:pt>
                  <c:pt idx="3">
                    <c:v>5.3811019374800422</c:v>
                  </c:pt>
                  <c:pt idx="4">
                    <c:v>7.3941893671217782</c:v>
                  </c:pt>
                  <c:pt idx="5">
                    <c:v>7.0316626005548795</c:v>
                  </c:pt>
                  <c:pt idx="6">
                    <c:v>4.17882925824886</c:v>
                  </c:pt>
                  <c:pt idx="7">
                    <c:v>3.9285047073943034</c:v>
                  </c:pt>
                  <c:pt idx="8">
                    <c:v>6.8680098177133493</c:v>
                  </c:pt>
                  <c:pt idx="9">
                    <c:v>3.4324537415895455</c:v>
                  </c:pt>
                  <c:pt idx="10">
                    <c:v>5.3021303300511065</c:v>
                  </c:pt>
                  <c:pt idx="11">
                    <c:v>4.0787269101908334</c:v>
                  </c:pt>
                  <c:pt idx="12">
                    <c:v>6.6726157611089345</c:v>
                  </c:pt>
                  <c:pt idx="13">
                    <c:v>6.7349268464492509</c:v>
                  </c:pt>
                  <c:pt idx="14">
                    <c:v>23.414783212770288</c:v>
                  </c:pt>
                  <c:pt idx="15">
                    <c:v>6.8519162143656356</c:v>
                  </c:pt>
                  <c:pt idx="16">
                    <c:v>6.2406330135269297</c:v>
                  </c:pt>
                  <c:pt idx="17">
                    <c:v>5.3076118162459203</c:v>
                  </c:pt>
                  <c:pt idx="18">
                    <c:v>7.314275427681296</c:v>
                  </c:pt>
                  <c:pt idx="19">
                    <c:v>8.762496590513507</c:v>
                  </c:pt>
                  <c:pt idx="20">
                    <c:v>6.3267029556204601</c:v>
                  </c:pt>
                  <c:pt idx="21">
                    <c:v>6.5813912395863277</c:v>
                  </c:pt>
                  <c:pt idx="22">
                    <c:v>7.6569967889129815</c:v>
                  </c:pt>
                  <c:pt idx="23">
                    <c:v>4.3571483027330533</c:v>
                  </c:pt>
                  <c:pt idx="24">
                    <c:v>16.12738414332663</c:v>
                  </c:pt>
                  <c:pt idx="25">
                    <c:v>7.2462985692962691</c:v>
                  </c:pt>
                  <c:pt idx="26">
                    <c:v>6.6390755954001044</c:v>
                  </c:pt>
                  <c:pt idx="27">
                    <c:v>3.8678328864791376</c:v>
                  </c:pt>
                  <c:pt idx="28">
                    <c:v>22.002885831753105</c:v>
                  </c:pt>
                  <c:pt idx="29">
                    <c:v>8.6057884413677517</c:v>
                  </c:pt>
                  <c:pt idx="30">
                    <c:v>8.4986888807019252</c:v>
                  </c:pt>
                  <c:pt idx="31">
                    <c:v>8.5863838725773967</c:v>
                  </c:pt>
                  <c:pt idx="32">
                    <c:v>8.2874897203388223</c:v>
                  </c:pt>
                  <c:pt idx="33">
                    <c:v>4.0805525523942983</c:v>
                  </c:pt>
                  <c:pt idx="34">
                    <c:v>7.5758254439956705</c:v>
                  </c:pt>
                  <c:pt idx="35">
                    <c:v>8.7024702864293051</c:v>
                  </c:pt>
                  <c:pt idx="36">
                    <c:v>8.6048675394258751</c:v>
                  </c:pt>
                  <c:pt idx="37">
                    <c:v>4.9299557964192999</c:v>
                  </c:pt>
                  <c:pt idx="38">
                    <c:v>3.7466148829186388</c:v>
                  </c:pt>
                  <c:pt idx="39">
                    <c:v>11.324957436421178</c:v>
                  </c:pt>
                  <c:pt idx="40">
                    <c:v>8.5057797649936706</c:v>
                  </c:pt>
                  <c:pt idx="41">
                    <c:v>8.9681435136600776</c:v>
                  </c:pt>
                  <c:pt idx="42">
                    <c:v>7.8047005092577333</c:v>
                  </c:pt>
                  <c:pt idx="43">
                    <c:v>7.1452121257397376</c:v>
                  </c:pt>
                  <c:pt idx="44">
                    <c:v>3.2169766842895733</c:v>
                  </c:pt>
                  <c:pt idx="45">
                    <c:v>7.1870936125652918</c:v>
                  </c:pt>
                  <c:pt idx="46">
                    <c:v>3.2080005384242876</c:v>
                  </c:pt>
                  <c:pt idx="47">
                    <c:v>4.0095200633816006</c:v>
                  </c:pt>
                  <c:pt idx="48">
                    <c:v>5.3139585155919349</c:v>
                  </c:pt>
                  <c:pt idx="49">
                    <c:v>8.3294614952570125</c:v>
                  </c:pt>
                  <c:pt idx="50">
                    <c:v>6.9626994309788577</c:v>
                  </c:pt>
                  <c:pt idx="51">
                    <c:v>8.0082204665086802</c:v>
                  </c:pt>
                  <c:pt idx="52">
                    <c:v>13.307576826646152</c:v>
                  </c:pt>
                  <c:pt idx="53">
                    <c:v>9.1265958937685578</c:v>
                  </c:pt>
                  <c:pt idx="54">
                    <c:v>14.180663366773267</c:v>
                  </c:pt>
                  <c:pt idx="55">
                    <c:v>7.0389350477666195</c:v>
                  </c:pt>
                  <c:pt idx="56">
                    <c:v>9.1705760276334534</c:v>
                  </c:pt>
                  <c:pt idx="57">
                    <c:v>5.3296186039874041</c:v>
                  </c:pt>
                  <c:pt idx="58">
                    <c:v>7.8896129965933302</c:v>
                  </c:pt>
                  <c:pt idx="59">
                    <c:v>5.4113253435323294</c:v>
                  </c:pt>
                  <c:pt idx="60">
                    <c:v>7.2042420623156334</c:v>
                  </c:pt>
                  <c:pt idx="61">
                    <c:v>3.8145046966488159</c:v>
                  </c:pt>
                  <c:pt idx="62">
                    <c:v>2.7190380228612998</c:v>
                  </c:pt>
                  <c:pt idx="63">
                    <c:v>7.2012678056620167</c:v>
                  </c:pt>
                  <c:pt idx="64">
                    <c:v>8.8537033278714112</c:v>
                  </c:pt>
                  <c:pt idx="65">
                    <c:v>4.0275651541811657</c:v>
                  </c:pt>
                  <c:pt idx="66">
                    <c:v>2.9637633867043114</c:v>
                  </c:pt>
                  <c:pt idx="67">
                    <c:v>20.202175802455159</c:v>
                  </c:pt>
                  <c:pt idx="68">
                    <c:v>5.4891750003700883</c:v>
                  </c:pt>
                  <c:pt idx="69">
                    <c:v>5.7688572859634979</c:v>
                  </c:pt>
                  <c:pt idx="70">
                    <c:v>7.2532996943116208</c:v>
                  </c:pt>
                  <c:pt idx="71">
                    <c:v>23.576785759691031</c:v>
                  </c:pt>
                  <c:pt idx="72">
                    <c:v>8.8177913310643454</c:v>
                  </c:pt>
                  <c:pt idx="73">
                    <c:v>8.8322869180291228</c:v>
                  </c:pt>
                  <c:pt idx="74">
                    <c:v>8.2089762011496585</c:v>
                  </c:pt>
                  <c:pt idx="75">
                    <c:v>8.4252191830900856</c:v>
                  </c:pt>
                  <c:pt idx="76">
                    <c:v>7.6475805587649077</c:v>
                  </c:pt>
                  <c:pt idx="77">
                    <c:v>3.8998540154589816</c:v>
                  </c:pt>
                  <c:pt idx="78">
                    <c:v>3.2226374500059527</c:v>
                  </c:pt>
                  <c:pt idx="79">
                    <c:v>5.5962600830211038</c:v>
                  </c:pt>
                  <c:pt idx="80">
                    <c:v>15.502554738124582</c:v>
                  </c:pt>
                  <c:pt idx="81">
                    <c:v>10.032264160911252</c:v>
                  </c:pt>
                  <c:pt idx="82">
                    <c:v>4.4711863889625425</c:v>
                  </c:pt>
                  <c:pt idx="83">
                    <c:v>9.2994931985579967</c:v>
                  </c:pt>
                  <c:pt idx="84">
                    <c:v>5.3502714619008964</c:v>
                  </c:pt>
                  <c:pt idx="85">
                    <c:v>5.3751514177475936</c:v>
                  </c:pt>
                  <c:pt idx="86">
                    <c:v>3.645867769158734</c:v>
                  </c:pt>
                  <c:pt idx="87">
                    <c:v>2.6082030098286699</c:v>
                  </c:pt>
                  <c:pt idx="88">
                    <c:v>7.4264604419027878</c:v>
                  </c:pt>
                  <c:pt idx="89">
                    <c:v>2.8450000635989534</c:v>
                  </c:pt>
                  <c:pt idx="90">
                    <c:v>5.4413656832764365</c:v>
                  </c:pt>
                  <c:pt idx="91">
                    <c:v>5.6176941640024749</c:v>
                  </c:pt>
                  <c:pt idx="92">
                    <c:v>8.4249015839420256</c:v>
                  </c:pt>
                  <c:pt idx="93">
                    <c:v>8.296081929139504</c:v>
                  </c:pt>
                  <c:pt idx="94">
                    <c:v>6.0165040659442619</c:v>
                  </c:pt>
                  <c:pt idx="95">
                    <c:v>6.4648157874055325</c:v>
                  </c:pt>
                  <c:pt idx="96">
                    <c:v>4.6015175438726601</c:v>
                  </c:pt>
                  <c:pt idx="97">
                    <c:v>8.0750070665708318</c:v>
                  </c:pt>
                  <c:pt idx="98">
                    <c:v>5.4042899972761473</c:v>
                  </c:pt>
                  <c:pt idx="99">
                    <c:v>6.5075780880607077</c:v>
                  </c:pt>
                  <c:pt idx="100">
                    <c:v>7.2438667683287843</c:v>
                  </c:pt>
                  <c:pt idx="101">
                    <c:v>8.9636549822970242</c:v>
                  </c:pt>
                  <c:pt idx="102">
                    <c:v>6.8367520961937309</c:v>
                  </c:pt>
                  <c:pt idx="103">
                    <c:v>5.4812839585883104</c:v>
                  </c:pt>
                  <c:pt idx="104">
                    <c:v>5.1152767398217662</c:v>
                  </c:pt>
                  <c:pt idx="105">
                    <c:v>5.3860609676460927</c:v>
                  </c:pt>
                  <c:pt idx="106">
                    <c:v>6.2958147674536704</c:v>
                  </c:pt>
                  <c:pt idx="107">
                    <c:v>3.905192160963435</c:v>
                  </c:pt>
                  <c:pt idx="108">
                    <c:v>8.6858721507807779</c:v>
                  </c:pt>
                  <c:pt idx="109">
                    <c:v>8.5856166977054933</c:v>
                  </c:pt>
                  <c:pt idx="110">
                    <c:v>6.5781960760591289</c:v>
                  </c:pt>
                  <c:pt idx="111">
                    <c:v>7.3865386032976152</c:v>
                  </c:pt>
                  <c:pt idx="112">
                    <c:v>26.613271328417643</c:v>
                  </c:pt>
                  <c:pt idx="113">
                    <c:v>5.8106164479551676</c:v>
                  </c:pt>
                  <c:pt idx="114">
                    <c:v>7.630559892451549</c:v>
                  </c:pt>
                  <c:pt idx="115">
                    <c:v>8.601131078377545</c:v>
                  </c:pt>
                  <c:pt idx="116">
                    <c:v>7.0755145613129597</c:v>
                  </c:pt>
                  <c:pt idx="117">
                    <c:v>6.9678648439018467</c:v>
                  </c:pt>
                  <c:pt idx="118">
                    <c:v>7.7444931310607714</c:v>
                  </c:pt>
                  <c:pt idx="119">
                    <c:v>5.7012182596017862</c:v>
                  </c:pt>
                  <c:pt idx="120">
                    <c:v>5.3887933302267212</c:v>
                  </c:pt>
                  <c:pt idx="121">
                    <c:v>6.3162592766563996</c:v>
                  </c:pt>
                  <c:pt idx="122">
                    <c:v>5.9870268361898011</c:v>
                  </c:pt>
                  <c:pt idx="123">
                    <c:v>6.7612499484367259</c:v>
                  </c:pt>
                  <c:pt idx="124">
                    <c:v>8.5069465032829683</c:v>
                  </c:pt>
                  <c:pt idx="125">
                    <c:v>6.9865531278337274</c:v>
                  </c:pt>
                  <c:pt idx="126">
                    <c:v>7.0966744054386144</c:v>
                  </c:pt>
                  <c:pt idx="127">
                    <c:v>2.9887016814468255</c:v>
                  </c:pt>
                  <c:pt idx="128">
                    <c:v>2.9741974416587742</c:v>
                  </c:pt>
                  <c:pt idx="129">
                    <c:v>7.8409964460581509</c:v>
                  </c:pt>
                  <c:pt idx="130">
                    <c:v>9.0951359666844276</c:v>
                  </c:pt>
                  <c:pt idx="131">
                    <c:v>17.398498953633805</c:v>
                  </c:pt>
                  <c:pt idx="132">
                    <c:v>3.5793484507970743</c:v>
                  </c:pt>
                  <c:pt idx="133">
                    <c:v>6.7003853859838518</c:v>
                  </c:pt>
                  <c:pt idx="134">
                    <c:v>16.55958539532158</c:v>
                  </c:pt>
                  <c:pt idx="135">
                    <c:v>7.4429445574701694</c:v>
                  </c:pt>
                  <c:pt idx="136">
                    <c:v>7.3360202005827038</c:v>
                  </c:pt>
                  <c:pt idx="137">
                    <c:v>7.2046159289290612</c:v>
                  </c:pt>
                  <c:pt idx="138">
                    <c:v>8.1506352305019671</c:v>
                  </c:pt>
                  <c:pt idx="139">
                    <c:v>7.5947122248992205</c:v>
                  </c:pt>
                  <c:pt idx="140">
                    <c:v>14.527220726605641</c:v>
                  </c:pt>
                  <c:pt idx="141">
                    <c:v>10.670671144120618</c:v>
                  </c:pt>
                  <c:pt idx="142">
                    <c:v>4.6081604264628862</c:v>
                  </c:pt>
                  <c:pt idx="143">
                    <c:v>5.5813995822840479</c:v>
                  </c:pt>
                  <c:pt idx="144">
                    <c:v>6.5864896452877213</c:v>
                  </c:pt>
                  <c:pt idx="145">
                    <c:v>6.3960945472599819</c:v>
                  </c:pt>
                  <c:pt idx="146">
                    <c:v>3.4448152105074064</c:v>
                  </c:pt>
                  <c:pt idx="147">
                    <c:v>5.3372975830728731</c:v>
                  </c:pt>
                  <c:pt idx="148">
                    <c:v>55.653457209245154</c:v>
                  </c:pt>
                  <c:pt idx="149">
                    <c:v>8.156202808305169</c:v>
                  </c:pt>
                  <c:pt idx="150">
                    <c:v>6.862551837964066</c:v>
                  </c:pt>
                  <c:pt idx="151">
                    <c:v>7.1743118496269922</c:v>
                  </c:pt>
                  <c:pt idx="152">
                    <c:v>7.2689967342655777</c:v>
                  </c:pt>
                  <c:pt idx="153">
                    <c:v>7.9908292239304464</c:v>
                  </c:pt>
                  <c:pt idx="154">
                    <c:v>5.3933085726965144</c:v>
                  </c:pt>
                  <c:pt idx="155">
                    <c:v>5.5103587380774099</c:v>
                  </c:pt>
                  <c:pt idx="156">
                    <c:v>9.093264412949857</c:v>
                  </c:pt>
                  <c:pt idx="157">
                    <c:v>6.0495365425947787</c:v>
                  </c:pt>
                  <c:pt idx="158">
                    <c:v>6.8818703275323356</c:v>
                  </c:pt>
                  <c:pt idx="159">
                    <c:v>8.9435565829196353</c:v>
                  </c:pt>
                  <c:pt idx="160">
                    <c:v>4.4241815387738974</c:v>
                  </c:pt>
                  <c:pt idx="161">
                    <c:v>3.5511297266266419</c:v>
                  </c:pt>
                  <c:pt idx="162">
                    <c:v>3.0712757055726354</c:v>
                  </c:pt>
                  <c:pt idx="163">
                    <c:v>8.060505065867396</c:v>
                  </c:pt>
                  <c:pt idx="164">
                    <c:v>5.0529208073186105</c:v>
                  </c:pt>
                  <c:pt idx="165">
                    <c:v>3.6179186814360165</c:v>
                  </c:pt>
                  <c:pt idx="166">
                    <c:v>2.6314504727630497</c:v>
                  </c:pt>
                  <c:pt idx="167">
                    <c:v>8.0026583947614807</c:v>
                  </c:pt>
                  <c:pt idx="168">
                    <c:v>8.2397689886649026</c:v>
                  </c:pt>
                  <c:pt idx="169">
                    <c:v>7.5552250104218963</c:v>
                  </c:pt>
                  <c:pt idx="170">
                    <c:v>7.4939247679673411</c:v>
                  </c:pt>
                  <c:pt idx="171">
                    <c:v>3.5439471893625543</c:v>
                  </c:pt>
                  <c:pt idx="172">
                    <c:v>3.1677297422114634</c:v>
                  </c:pt>
                  <c:pt idx="173">
                    <c:v>6.9148791120268234</c:v>
                  </c:pt>
                  <c:pt idx="174">
                    <c:v>6.3999576250982253</c:v>
                  </c:pt>
                  <c:pt idx="175">
                    <c:v>22.822758536353902</c:v>
                  </c:pt>
                  <c:pt idx="176">
                    <c:v>8.7946091522548446</c:v>
                  </c:pt>
                  <c:pt idx="177">
                    <c:v>8.2959795010856112</c:v>
                  </c:pt>
                  <c:pt idx="178">
                    <c:v>8.9958390230127865</c:v>
                  </c:pt>
                  <c:pt idx="179">
                    <c:v>7.438325126327662</c:v>
                  </c:pt>
                  <c:pt idx="180">
                    <c:v>4.6810940599919419</c:v>
                  </c:pt>
                  <c:pt idx="181">
                    <c:v>6.9688408237406447</c:v>
                  </c:pt>
                  <c:pt idx="182">
                    <c:v>3.8353166705895245</c:v>
                  </c:pt>
                  <c:pt idx="183">
                    <c:v>6.3513006750658585</c:v>
                  </c:pt>
                  <c:pt idx="184">
                    <c:v>7.9227234971588558</c:v>
                  </c:pt>
                  <c:pt idx="185">
                    <c:v>42.041730800181632</c:v>
                  </c:pt>
                  <c:pt idx="186">
                    <c:v>5.2894571220647109</c:v>
                  </c:pt>
                  <c:pt idx="187">
                    <c:v>6.6060447325566063</c:v>
                  </c:pt>
                  <c:pt idx="188">
                    <c:v>3.0453049439155295</c:v>
                  </c:pt>
                  <c:pt idx="189">
                    <c:v>2.4716049766749077</c:v>
                  </c:pt>
                  <c:pt idx="190">
                    <c:v>4.939002681424391</c:v>
                  </c:pt>
                  <c:pt idx="191">
                    <c:v>6.9690319894455337</c:v>
                  </c:pt>
                  <c:pt idx="192">
                    <c:v>7.4114375156873447</c:v>
                  </c:pt>
                  <c:pt idx="193">
                    <c:v>12.752189032526271</c:v>
                  </c:pt>
                  <c:pt idx="194">
                    <c:v>16.712614121099406</c:v>
                  </c:pt>
                  <c:pt idx="195">
                    <c:v>8.1538162298750692</c:v>
                  </c:pt>
                  <c:pt idx="196">
                    <c:v>35.401716347810058</c:v>
                  </c:pt>
                  <c:pt idx="197">
                    <c:v>8.2895410785997434</c:v>
                  </c:pt>
                </c:numCache>
              </c:numRef>
            </c:plus>
            <c:minus>
              <c:numRef>
                <c:f>country!$M$5:$M$202</c:f>
                <c:numCache>
                  <c:formatCode>General</c:formatCode>
                  <c:ptCount val="198"/>
                  <c:pt idx="0">
                    <c:v>7.4031147126757499</c:v>
                  </c:pt>
                  <c:pt idx="1">
                    <c:v>3.7478320307498234</c:v>
                  </c:pt>
                  <c:pt idx="2">
                    <c:v>5.8650978350571661</c:v>
                  </c:pt>
                  <c:pt idx="3">
                    <c:v>5.3811019374800422</c:v>
                  </c:pt>
                  <c:pt idx="4">
                    <c:v>7.3941893671217782</c:v>
                  </c:pt>
                  <c:pt idx="5">
                    <c:v>7.0316626005548795</c:v>
                  </c:pt>
                  <c:pt idx="6">
                    <c:v>4.17882925824886</c:v>
                  </c:pt>
                  <c:pt idx="7">
                    <c:v>3.9285047073943034</c:v>
                  </c:pt>
                  <c:pt idx="8">
                    <c:v>6.8680098177133493</c:v>
                  </c:pt>
                  <c:pt idx="9">
                    <c:v>3.4324537415895455</c:v>
                  </c:pt>
                  <c:pt idx="10">
                    <c:v>5.3021303300511065</c:v>
                  </c:pt>
                  <c:pt idx="11">
                    <c:v>4.0787269101908334</c:v>
                  </c:pt>
                  <c:pt idx="12">
                    <c:v>6.6726157611089345</c:v>
                  </c:pt>
                  <c:pt idx="13">
                    <c:v>6.7349268464492509</c:v>
                  </c:pt>
                  <c:pt idx="14">
                    <c:v>23.414783212770288</c:v>
                  </c:pt>
                  <c:pt idx="15">
                    <c:v>6.8519162143656356</c:v>
                  </c:pt>
                  <c:pt idx="16">
                    <c:v>6.2406330135269297</c:v>
                  </c:pt>
                  <c:pt idx="17">
                    <c:v>5.3076118162459203</c:v>
                  </c:pt>
                  <c:pt idx="18">
                    <c:v>7.314275427681296</c:v>
                  </c:pt>
                  <c:pt idx="19">
                    <c:v>8.762496590513507</c:v>
                  </c:pt>
                  <c:pt idx="20">
                    <c:v>6.3267029556204601</c:v>
                  </c:pt>
                  <c:pt idx="21">
                    <c:v>6.5813912395863277</c:v>
                  </c:pt>
                  <c:pt idx="22">
                    <c:v>7.6569967889129815</c:v>
                  </c:pt>
                  <c:pt idx="23">
                    <c:v>4.3571483027330533</c:v>
                  </c:pt>
                  <c:pt idx="24">
                    <c:v>16.12738414332663</c:v>
                  </c:pt>
                  <c:pt idx="25">
                    <c:v>7.2462985692962691</c:v>
                  </c:pt>
                  <c:pt idx="26">
                    <c:v>6.6390755954001044</c:v>
                  </c:pt>
                  <c:pt idx="27">
                    <c:v>3.8678328864791376</c:v>
                  </c:pt>
                  <c:pt idx="28">
                    <c:v>22.002885831753105</c:v>
                  </c:pt>
                  <c:pt idx="29">
                    <c:v>8.6057884413677517</c:v>
                  </c:pt>
                  <c:pt idx="30">
                    <c:v>8.4986888807019252</c:v>
                  </c:pt>
                  <c:pt idx="31">
                    <c:v>8.5863838725773967</c:v>
                  </c:pt>
                  <c:pt idx="32">
                    <c:v>8.2874897203388223</c:v>
                  </c:pt>
                  <c:pt idx="33">
                    <c:v>4.0805525523942983</c:v>
                  </c:pt>
                  <c:pt idx="34">
                    <c:v>7.5758254439956705</c:v>
                  </c:pt>
                  <c:pt idx="35">
                    <c:v>8.7024702864293051</c:v>
                  </c:pt>
                  <c:pt idx="36">
                    <c:v>8.6048675394258751</c:v>
                  </c:pt>
                  <c:pt idx="37">
                    <c:v>4.9299557964192999</c:v>
                  </c:pt>
                  <c:pt idx="38">
                    <c:v>3.7466148829186388</c:v>
                  </c:pt>
                  <c:pt idx="39">
                    <c:v>11.324957436421178</c:v>
                  </c:pt>
                  <c:pt idx="40">
                    <c:v>8.5057797649936706</c:v>
                  </c:pt>
                  <c:pt idx="41">
                    <c:v>8.9681435136600776</c:v>
                  </c:pt>
                  <c:pt idx="42">
                    <c:v>7.8047005092577333</c:v>
                  </c:pt>
                  <c:pt idx="43">
                    <c:v>7.1452121257397376</c:v>
                  </c:pt>
                  <c:pt idx="44">
                    <c:v>3.2169766842895733</c:v>
                  </c:pt>
                  <c:pt idx="45">
                    <c:v>7.1870936125652918</c:v>
                  </c:pt>
                  <c:pt idx="46">
                    <c:v>3.2080005384242876</c:v>
                  </c:pt>
                  <c:pt idx="47">
                    <c:v>4.0095200633816006</c:v>
                  </c:pt>
                  <c:pt idx="48">
                    <c:v>5.3139585155919349</c:v>
                  </c:pt>
                  <c:pt idx="49">
                    <c:v>8.3294614952570125</c:v>
                  </c:pt>
                  <c:pt idx="50">
                    <c:v>6.9626994309788577</c:v>
                  </c:pt>
                  <c:pt idx="51">
                    <c:v>8.0082204665086802</c:v>
                  </c:pt>
                  <c:pt idx="52">
                    <c:v>13.307576826646152</c:v>
                  </c:pt>
                  <c:pt idx="53">
                    <c:v>9.1265958937685578</c:v>
                  </c:pt>
                  <c:pt idx="54">
                    <c:v>14.180663366773267</c:v>
                  </c:pt>
                  <c:pt idx="55">
                    <c:v>7.0389350477666195</c:v>
                  </c:pt>
                  <c:pt idx="56">
                    <c:v>9.1705760276334534</c:v>
                  </c:pt>
                  <c:pt idx="57">
                    <c:v>5.3296186039874041</c:v>
                  </c:pt>
                  <c:pt idx="58">
                    <c:v>7.8896129965933302</c:v>
                  </c:pt>
                  <c:pt idx="59">
                    <c:v>5.4113253435323294</c:v>
                  </c:pt>
                  <c:pt idx="60">
                    <c:v>7.2042420623156334</c:v>
                  </c:pt>
                  <c:pt idx="61">
                    <c:v>3.8145046966488159</c:v>
                  </c:pt>
                  <c:pt idx="62">
                    <c:v>2.7190380228612998</c:v>
                  </c:pt>
                  <c:pt idx="63">
                    <c:v>7.2012678056620167</c:v>
                  </c:pt>
                  <c:pt idx="64">
                    <c:v>8.8537033278714112</c:v>
                  </c:pt>
                  <c:pt idx="65">
                    <c:v>4.0275651541811657</c:v>
                  </c:pt>
                  <c:pt idx="66">
                    <c:v>2.9637633867043114</c:v>
                  </c:pt>
                  <c:pt idx="67">
                    <c:v>20.202175802455159</c:v>
                  </c:pt>
                  <c:pt idx="68">
                    <c:v>5.4891750003700883</c:v>
                  </c:pt>
                  <c:pt idx="69">
                    <c:v>5.7688572859634979</c:v>
                  </c:pt>
                  <c:pt idx="70">
                    <c:v>7.2532996943116208</c:v>
                  </c:pt>
                  <c:pt idx="71">
                    <c:v>23.576785759691031</c:v>
                  </c:pt>
                  <c:pt idx="72">
                    <c:v>8.8177913310643454</c:v>
                  </c:pt>
                  <c:pt idx="73">
                    <c:v>8.8322869180291228</c:v>
                  </c:pt>
                  <c:pt idx="74">
                    <c:v>8.2089762011496585</c:v>
                  </c:pt>
                  <c:pt idx="75">
                    <c:v>8.4252191830900856</c:v>
                  </c:pt>
                  <c:pt idx="76">
                    <c:v>7.6475805587649077</c:v>
                  </c:pt>
                  <c:pt idx="77">
                    <c:v>3.8998540154589816</c:v>
                  </c:pt>
                  <c:pt idx="78">
                    <c:v>3.2226374500059527</c:v>
                  </c:pt>
                  <c:pt idx="79">
                    <c:v>5.5962600830211038</c:v>
                  </c:pt>
                  <c:pt idx="80">
                    <c:v>15.502554738124582</c:v>
                  </c:pt>
                  <c:pt idx="81">
                    <c:v>10.032264160911252</c:v>
                  </c:pt>
                  <c:pt idx="82">
                    <c:v>4.4711863889625425</c:v>
                  </c:pt>
                  <c:pt idx="83">
                    <c:v>9.2994931985579967</c:v>
                  </c:pt>
                  <c:pt idx="84">
                    <c:v>5.3502714619008964</c:v>
                  </c:pt>
                  <c:pt idx="85">
                    <c:v>5.3751514177475936</c:v>
                  </c:pt>
                  <c:pt idx="86">
                    <c:v>3.645867769158734</c:v>
                  </c:pt>
                  <c:pt idx="87">
                    <c:v>2.6082030098286699</c:v>
                  </c:pt>
                  <c:pt idx="88">
                    <c:v>7.4264604419027878</c:v>
                  </c:pt>
                  <c:pt idx="89">
                    <c:v>2.8450000635989534</c:v>
                  </c:pt>
                  <c:pt idx="90">
                    <c:v>5.4413656832764365</c:v>
                  </c:pt>
                  <c:pt idx="91">
                    <c:v>5.6176941640024749</c:v>
                  </c:pt>
                  <c:pt idx="92">
                    <c:v>8.4249015839420256</c:v>
                  </c:pt>
                  <c:pt idx="93">
                    <c:v>8.296081929139504</c:v>
                  </c:pt>
                  <c:pt idx="94">
                    <c:v>6.0165040659442619</c:v>
                  </c:pt>
                  <c:pt idx="95">
                    <c:v>6.4648157874055325</c:v>
                  </c:pt>
                  <c:pt idx="96">
                    <c:v>4.6015175438726601</c:v>
                  </c:pt>
                  <c:pt idx="97">
                    <c:v>8.0750070665708318</c:v>
                  </c:pt>
                  <c:pt idx="98">
                    <c:v>5.4042899972761473</c:v>
                  </c:pt>
                  <c:pt idx="99">
                    <c:v>6.5075780880607077</c:v>
                  </c:pt>
                  <c:pt idx="100">
                    <c:v>7.2438667683287843</c:v>
                  </c:pt>
                  <c:pt idx="101">
                    <c:v>8.9636549822970242</c:v>
                  </c:pt>
                  <c:pt idx="102">
                    <c:v>6.8367520961937309</c:v>
                  </c:pt>
                  <c:pt idx="103">
                    <c:v>5.4812839585883104</c:v>
                  </c:pt>
                  <c:pt idx="104">
                    <c:v>5.1152767398217662</c:v>
                  </c:pt>
                  <c:pt idx="105">
                    <c:v>5.3860609676460927</c:v>
                  </c:pt>
                  <c:pt idx="106">
                    <c:v>6.2958147674536704</c:v>
                  </c:pt>
                  <c:pt idx="107">
                    <c:v>3.905192160963435</c:v>
                  </c:pt>
                  <c:pt idx="108">
                    <c:v>8.6858721507807779</c:v>
                  </c:pt>
                  <c:pt idx="109">
                    <c:v>8.5856166977054933</c:v>
                  </c:pt>
                  <c:pt idx="110">
                    <c:v>6.5781960760591289</c:v>
                  </c:pt>
                  <c:pt idx="111">
                    <c:v>7.3865386032976152</c:v>
                  </c:pt>
                  <c:pt idx="112">
                    <c:v>26.613271328417643</c:v>
                  </c:pt>
                  <c:pt idx="113">
                    <c:v>5.8106164479551676</c:v>
                  </c:pt>
                  <c:pt idx="114">
                    <c:v>7.630559892451549</c:v>
                  </c:pt>
                  <c:pt idx="115">
                    <c:v>8.601131078377545</c:v>
                  </c:pt>
                  <c:pt idx="116">
                    <c:v>7.0755145613129597</c:v>
                  </c:pt>
                  <c:pt idx="117">
                    <c:v>6.9678648439018467</c:v>
                  </c:pt>
                  <c:pt idx="118">
                    <c:v>7.7444931310607714</c:v>
                  </c:pt>
                  <c:pt idx="119">
                    <c:v>5.7012182596017862</c:v>
                  </c:pt>
                  <c:pt idx="120">
                    <c:v>5.3887933302267212</c:v>
                  </c:pt>
                  <c:pt idx="121">
                    <c:v>6.3162592766563996</c:v>
                  </c:pt>
                  <c:pt idx="122">
                    <c:v>5.9870268361898011</c:v>
                  </c:pt>
                  <c:pt idx="123">
                    <c:v>6.7612499484367259</c:v>
                  </c:pt>
                  <c:pt idx="124">
                    <c:v>8.5069465032829683</c:v>
                  </c:pt>
                  <c:pt idx="125">
                    <c:v>6.9865531278337274</c:v>
                  </c:pt>
                  <c:pt idx="126">
                    <c:v>7.0966744054386144</c:v>
                  </c:pt>
                  <c:pt idx="127">
                    <c:v>2.9887016814468255</c:v>
                  </c:pt>
                  <c:pt idx="128">
                    <c:v>2.9741974416587742</c:v>
                  </c:pt>
                  <c:pt idx="129">
                    <c:v>7.8409964460581509</c:v>
                  </c:pt>
                  <c:pt idx="130">
                    <c:v>9.0951359666844276</c:v>
                  </c:pt>
                  <c:pt idx="131">
                    <c:v>17.398498953633805</c:v>
                  </c:pt>
                  <c:pt idx="132">
                    <c:v>3.5793484507970743</c:v>
                  </c:pt>
                  <c:pt idx="133">
                    <c:v>6.7003853859838518</c:v>
                  </c:pt>
                  <c:pt idx="134">
                    <c:v>16.55958539532158</c:v>
                  </c:pt>
                  <c:pt idx="135">
                    <c:v>7.4429445574701694</c:v>
                  </c:pt>
                  <c:pt idx="136">
                    <c:v>7.3360202005827038</c:v>
                  </c:pt>
                  <c:pt idx="137">
                    <c:v>7.2046159289290612</c:v>
                  </c:pt>
                  <c:pt idx="138">
                    <c:v>8.1506352305019671</c:v>
                  </c:pt>
                  <c:pt idx="139">
                    <c:v>7.5947122248992205</c:v>
                  </c:pt>
                  <c:pt idx="140">
                    <c:v>14.527220726605641</c:v>
                  </c:pt>
                  <c:pt idx="141">
                    <c:v>10.670671144120618</c:v>
                  </c:pt>
                  <c:pt idx="142">
                    <c:v>4.6081604264628862</c:v>
                  </c:pt>
                  <c:pt idx="143">
                    <c:v>5.5813995822840479</c:v>
                  </c:pt>
                  <c:pt idx="144">
                    <c:v>6.5864896452877213</c:v>
                  </c:pt>
                  <c:pt idx="145">
                    <c:v>6.3960945472599819</c:v>
                  </c:pt>
                  <c:pt idx="146">
                    <c:v>3.4448152105074064</c:v>
                  </c:pt>
                  <c:pt idx="147">
                    <c:v>5.3372975830728731</c:v>
                  </c:pt>
                  <c:pt idx="148">
                    <c:v>55.653457209245154</c:v>
                  </c:pt>
                  <c:pt idx="149">
                    <c:v>8.156202808305169</c:v>
                  </c:pt>
                  <c:pt idx="150">
                    <c:v>6.862551837964066</c:v>
                  </c:pt>
                  <c:pt idx="151">
                    <c:v>7.1743118496269922</c:v>
                  </c:pt>
                  <c:pt idx="152">
                    <c:v>7.2689967342655777</c:v>
                  </c:pt>
                  <c:pt idx="153">
                    <c:v>7.9908292239304464</c:v>
                  </c:pt>
                  <c:pt idx="154">
                    <c:v>5.3933085726965144</c:v>
                  </c:pt>
                  <c:pt idx="155">
                    <c:v>5.5103587380774099</c:v>
                  </c:pt>
                  <c:pt idx="156">
                    <c:v>9.093264412949857</c:v>
                  </c:pt>
                  <c:pt idx="157">
                    <c:v>6.0495365425947787</c:v>
                  </c:pt>
                  <c:pt idx="158">
                    <c:v>6.8818703275323356</c:v>
                  </c:pt>
                  <c:pt idx="159">
                    <c:v>8.9435565829196353</c:v>
                  </c:pt>
                  <c:pt idx="160">
                    <c:v>4.4241815387738974</c:v>
                  </c:pt>
                  <c:pt idx="161">
                    <c:v>3.5511297266266419</c:v>
                  </c:pt>
                  <c:pt idx="162">
                    <c:v>3.0712757055726354</c:v>
                  </c:pt>
                  <c:pt idx="163">
                    <c:v>8.060505065867396</c:v>
                  </c:pt>
                  <c:pt idx="164">
                    <c:v>5.0529208073186105</c:v>
                  </c:pt>
                  <c:pt idx="165">
                    <c:v>3.6179186814360165</c:v>
                  </c:pt>
                  <c:pt idx="166">
                    <c:v>2.6314504727630497</c:v>
                  </c:pt>
                  <c:pt idx="167">
                    <c:v>8.0026583947614807</c:v>
                  </c:pt>
                  <c:pt idx="168">
                    <c:v>8.2397689886649026</c:v>
                  </c:pt>
                  <c:pt idx="169">
                    <c:v>7.5552250104218963</c:v>
                  </c:pt>
                  <c:pt idx="170">
                    <c:v>7.4939247679673411</c:v>
                  </c:pt>
                  <c:pt idx="171">
                    <c:v>3.5439471893625543</c:v>
                  </c:pt>
                  <c:pt idx="172">
                    <c:v>3.1677297422114634</c:v>
                  </c:pt>
                  <c:pt idx="173">
                    <c:v>6.9148791120268234</c:v>
                  </c:pt>
                  <c:pt idx="174">
                    <c:v>6.3999576250982253</c:v>
                  </c:pt>
                  <c:pt idx="175">
                    <c:v>22.822758536353902</c:v>
                  </c:pt>
                  <c:pt idx="176">
                    <c:v>8.7946091522548446</c:v>
                  </c:pt>
                  <c:pt idx="177">
                    <c:v>8.2959795010856112</c:v>
                  </c:pt>
                  <c:pt idx="178">
                    <c:v>8.9958390230127865</c:v>
                  </c:pt>
                  <c:pt idx="179">
                    <c:v>7.438325126327662</c:v>
                  </c:pt>
                  <c:pt idx="180">
                    <c:v>4.6810940599919419</c:v>
                  </c:pt>
                  <c:pt idx="181">
                    <c:v>6.9688408237406447</c:v>
                  </c:pt>
                  <c:pt idx="182">
                    <c:v>3.8353166705895245</c:v>
                  </c:pt>
                  <c:pt idx="183">
                    <c:v>6.3513006750658585</c:v>
                  </c:pt>
                  <c:pt idx="184">
                    <c:v>7.9227234971588558</c:v>
                  </c:pt>
                  <c:pt idx="185">
                    <c:v>42.041730800181632</c:v>
                  </c:pt>
                  <c:pt idx="186">
                    <c:v>5.2894571220647109</c:v>
                  </c:pt>
                  <c:pt idx="187">
                    <c:v>6.6060447325566063</c:v>
                  </c:pt>
                  <c:pt idx="188">
                    <c:v>3.0453049439155295</c:v>
                  </c:pt>
                  <c:pt idx="189">
                    <c:v>2.4716049766749077</c:v>
                  </c:pt>
                  <c:pt idx="190">
                    <c:v>4.939002681424391</c:v>
                  </c:pt>
                  <c:pt idx="191">
                    <c:v>6.9690319894455337</c:v>
                  </c:pt>
                  <c:pt idx="192">
                    <c:v>7.4114375156873447</c:v>
                  </c:pt>
                  <c:pt idx="193">
                    <c:v>12.752189032526271</c:v>
                  </c:pt>
                  <c:pt idx="194">
                    <c:v>16.712614121099406</c:v>
                  </c:pt>
                  <c:pt idx="195">
                    <c:v>8.1538162298750692</c:v>
                  </c:pt>
                  <c:pt idx="196">
                    <c:v>35.401716347810058</c:v>
                  </c:pt>
                  <c:pt idx="197">
                    <c:v>8.2895410785997434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country!$D$5:$D$202</c:f>
              <c:numCache>
                <c:formatCode>0</c:formatCode>
                <c:ptCount val="198"/>
                <c:pt idx="0">
                  <c:v>360.70561512625665</c:v>
                </c:pt>
                <c:pt idx="1">
                  <c:v>3404.6550318859572</c:v>
                </c:pt>
                <c:pt idx="2">
                  <c:v>3143.6291375316246</c:v>
                </c:pt>
                <c:pt idx="3">
                  <c:v>36348.437965811201</c:v>
                </c:pt>
                <c:pt idx="4">
                  <c:v>2576.6454096087737</c:v>
                </c:pt>
                <c:pt idx="5">
                  <c:v>11603.103552595465</c:v>
                </c:pt>
                <c:pt idx="6">
                  <c:v>7274.3904532313973</c:v>
                </c:pt>
                <c:pt idx="7">
                  <c:v>1997.0389119682286</c:v>
                </c:pt>
                <c:pt idx="8">
                  <c:v>20054.5684527587</c:v>
                </c:pt>
                <c:pt idx="9">
                  <c:v>36140.105242213795</c:v>
                </c:pt>
                <c:pt idx="10">
                  <c:v>38803.235792365253</c:v>
                </c:pt>
                <c:pt idx="11">
                  <c:v>3126.7240594662121</c:v>
                </c:pt>
                <c:pt idx="12">
                  <c:v>21013.899093651864</c:v>
                </c:pt>
                <c:pt idx="13">
                  <c:v>16722.241255001882</c:v>
                </c:pt>
                <c:pt idx="14">
                  <c:v>539.09993134762863</c:v>
                </c:pt>
                <c:pt idx="15">
                  <c:v>14383.678172735552</c:v>
                </c:pt>
                <c:pt idx="16">
                  <c:v>4526.3801215876556</c:v>
                </c:pt>
                <c:pt idx="17">
                  <c:v>36747.279047091397</c:v>
                </c:pt>
                <c:pt idx="18">
                  <c:v>4138.971633498445</c:v>
                </c:pt>
                <c:pt idx="19">
                  <c:v>550.04454433952765</c:v>
                </c:pt>
                <c:pt idx="20">
                  <c:v>76393.831384374804</c:v>
                </c:pt>
                <c:pt idx="21">
                  <c:v>1796.8287601287193</c:v>
                </c:pt>
                <c:pt idx="22">
                  <c:v>1176.9744750324021</c:v>
                </c:pt>
                <c:pt idx="23">
                  <c:v>3328.9924023780331</c:v>
                </c:pt>
                <c:pt idx="24">
                  <c:v>6152.7263733715708</c:v>
                </c:pt>
                <c:pt idx="25">
                  <c:v>5618.3246002281494</c:v>
                </c:pt>
                <c:pt idx="26">
                  <c:v>24589.277238754839</c:v>
                </c:pt>
                <c:pt idx="27">
                  <c:v>4378.8790878779682</c:v>
                </c:pt>
                <c:pt idx="28">
                  <c:v>457.22881322240346</c:v>
                </c:pt>
                <c:pt idx="29">
                  <c:v>150.74235337478757</c:v>
                </c:pt>
                <c:pt idx="30">
                  <c:v>957.65895361709386</c:v>
                </c:pt>
                <c:pt idx="31">
                  <c:v>605.16804679176505</c:v>
                </c:pt>
                <c:pt idx="32">
                  <c:v>931.41534703166633</c:v>
                </c:pt>
                <c:pt idx="33">
                  <c:v>36337.22567382102</c:v>
                </c:pt>
                <c:pt idx="34">
                  <c:v>2648.6619630548216</c:v>
                </c:pt>
                <c:pt idx="35">
                  <c:v>435.73292134870741</c:v>
                </c:pt>
                <c:pt idx="36">
                  <c:v>718.82339344639706</c:v>
                </c:pt>
                <c:pt idx="37">
                  <c:v>8610.0220425441075</c:v>
                </c:pt>
                <c:pt idx="38">
                  <c:v>2870.0529334764196</c:v>
                </c:pt>
                <c:pt idx="39">
                  <c:v>3937.8672013546661</c:v>
                </c:pt>
                <c:pt idx="40">
                  <c:v>604.77099500559018</c:v>
                </c:pt>
                <c:pt idx="41">
                  <c:v>251.88821556234575</c:v>
                </c:pt>
                <c:pt idx="42">
                  <c:v>1909.827611710635</c:v>
                </c:pt>
                <c:pt idx="43">
                  <c:v>5357.4903708933716</c:v>
                </c:pt>
                <c:pt idx="44">
                  <c:v>10383.506161918598</c:v>
                </c:pt>
                <c:pt idx="45">
                  <c:v>4913.8475131462556</c:v>
                </c:pt>
                <c:pt idx="46">
                  <c:v>17402.698674388368</c:v>
                </c:pt>
                <c:pt idx="47">
                  <c:v>14114.421997373165</c:v>
                </c:pt>
                <c:pt idx="48">
                  <c:v>46292.736560813282</c:v>
                </c:pt>
                <c:pt idx="49">
                  <c:v>1085.8813944409201</c:v>
                </c:pt>
                <c:pt idx="50">
                  <c:v>6355.9314560512476</c:v>
                </c:pt>
                <c:pt idx="51">
                  <c:v>4776.8421015330105</c:v>
                </c:pt>
                <c:pt idx="52">
                  <c:v>3250.7458870185928</c:v>
                </c:pt>
                <c:pt idx="53">
                  <c:v>1550.2405578416574</c:v>
                </c:pt>
                <c:pt idx="54">
                  <c:v>2949.613728722712</c:v>
                </c:pt>
                <c:pt idx="55">
                  <c:v>11594.42353057435</c:v>
                </c:pt>
                <c:pt idx="56">
                  <c:v>184.04582983990289</c:v>
                </c:pt>
                <c:pt idx="57">
                  <c:v>10369.839494653985</c:v>
                </c:pt>
                <c:pt idx="58">
                  <c:v>234.25889686975188</c:v>
                </c:pt>
                <c:pt idx="59">
                  <c:v>36552.397664849697</c:v>
                </c:pt>
                <c:pt idx="60">
                  <c:v>3523.3680912320156</c:v>
                </c:pt>
                <c:pt idx="61">
                  <c:v>38064.653322818347</c:v>
                </c:pt>
                <c:pt idx="62">
                  <c:v>33898.26965325878</c:v>
                </c:pt>
                <c:pt idx="63">
                  <c:v>6223.1452764687092</c:v>
                </c:pt>
                <c:pt idx="64">
                  <c:v>466.6529302392043</c:v>
                </c:pt>
                <c:pt idx="65">
                  <c:v>1850.8208503929698</c:v>
                </c:pt>
                <c:pt idx="66">
                  <c:v>36127.047700224583</c:v>
                </c:pt>
                <c:pt idx="67">
                  <c:v>610.18365679635724</c:v>
                </c:pt>
                <c:pt idx="68">
                  <c:v>21308.962091753539</c:v>
                </c:pt>
                <c:pt idx="69">
                  <c:v>31796.8397398335</c:v>
                </c:pt>
                <c:pt idx="70">
                  <c:v>6348.3020742390418</c:v>
                </c:pt>
                <c:pt idx="71">
                  <c:v>2270.0961392922113</c:v>
                </c:pt>
                <c:pt idx="72">
                  <c:v>300.44127805988973</c:v>
                </c:pt>
                <c:pt idx="73">
                  <c:v>412.81198676955898</c:v>
                </c:pt>
                <c:pt idx="74">
                  <c:v>1168.8991901583915</c:v>
                </c:pt>
                <c:pt idx="75">
                  <c:v>435.77035871367673</c:v>
                </c:pt>
                <c:pt idx="76">
                  <c:v>1514.9920435883439</c:v>
                </c:pt>
                <c:pt idx="77">
                  <c:v>31328.585208738998</c:v>
                </c:pt>
                <c:pt idx="78">
                  <c:v>10926.468951505391</c:v>
                </c:pt>
                <c:pt idx="79">
                  <c:v>51528.384416011126</c:v>
                </c:pt>
                <c:pt idx="80">
                  <c:v>1031.5611094455749</c:v>
                </c:pt>
                <c:pt idx="81">
                  <c:v>1570.1529365014842</c:v>
                </c:pt>
                <c:pt idx="82">
                  <c:v>3259.3987232145187</c:v>
                </c:pt>
                <c:pt idx="83">
                  <c:v>2172.6575626694016</c:v>
                </c:pt>
                <c:pt idx="84">
                  <c:v>45438.261855700264</c:v>
                </c:pt>
                <c:pt idx="85">
                  <c:v>42009.586522931197</c:v>
                </c:pt>
                <c:pt idx="86">
                  <c:v>22169.403538765182</c:v>
                </c:pt>
                <c:pt idx="87">
                  <c:v>29163.146051932734</c:v>
                </c:pt>
                <c:pt idx="88">
                  <c:v>4329.9743592711902</c:v>
                </c:pt>
                <c:pt idx="89">
                  <c:v>36472.749157637452</c:v>
                </c:pt>
                <c:pt idx="90">
                  <c:v>2817.4886330764352</c:v>
                </c:pt>
                <c:pt idx="91">
                  <c:v>4732.2159481266071</c:v>
                </c:pt>
                <c:pt idx="92">
                  <c:v>575.06029636736923</c:v>
                </c:pt>
                <c:pt idx="93">
                  <c:v>1132.3733525137338</c:v>
                </c:pt>
                <c:pt idx="94">
                  <c:v>2689.8582831712979</c:v>
                </c:pt>
                <c:pt idx="95">
                  <c:v>28615.94754819524</c:v>
                </c:pt>
                <c:pt idx="96">
                  <c:v>560.91462241153135</c:v>
                </c:pt>
                <c:pt idx="97">
                  <c:v>628.83134867195929</c:v>
                </c:pt>
                <c:pt idx="98">
                  <c:v>6923.8888741529627</c:v>
                </c:pt>
                <c:pt idx="99">
                  <c:v>7083.864798023691</c:v>
                </c:pt>
                <c:pt idx="100">
                  <c:v>870.88945319002903</c:v>
                </c:pt>
                <c:pt idx="101">
                  <c:v>242.61193287110416</c:v>
                </c:pt>
                <c:pt idx="102">
                  <c:v>9099.0746013832031</c:v>
                </c:pt>
                <c:pt idx="103">
                  <c:v>115950.613774247</c:v>
                </c:pt>
                <c:pt idx="104">
                  <c:v>8320.1703793334709</c:v>
                </c:pt>
                <c:pt idx="105">
                  <c:v>80276.011290059658</c:v>
                </c:pt>
                <c:pt idx="106">
                  <c:v>38689.01719809317</c:v>
                </c:pt>
                <c:pt idx="107">
                  <c:v>3396.7186907683758</c:v>
                </c:pt>
                <c:pt idx="108">
                  <c:v>273.22480306218836</c:v>
                </c:pt>
                <c:pt idx="109">
                  <c:v>219.15076343135976</c:v>
                </c:pt>
                <c:pt idx="110">
                  <c:v>6318.9012128220729</c:v>
                </c:pt>
                <c:pt idx="111">
                  <c:v>4663.3776529920669</c:v>
                </c:pt>
                <c:pt idx="112">
                  <c:v>498.47514810755899</c:v>
                </c:pt>
                <c:pt idx="113">
                  <c:v>15992.434998447094</c:v>
                </c:pt>
                <c:pt idx="114">
                  <c:v>2809.9512086979294</c:v>
                </c:pt>
                <c:pt idx="115">
                  <c:v>779.63628630847154</c:v>
                </c:pt>
                <c:pt idx="116">
                  <c:v>6109.775155938677</c:v>
                </c:pt>
                <c:pt idx="117">
                  <c:v>8084.6290001796442</c:v>
                </c:pt>
                <c:pt idx="118">
                  <c:v>2378.1192216459017</c:v>
                </c:pt>
                <c:pt idx="119">
                  <c:v>982.97849155955339</c:v>
                </c:pt>
                <c:pt idx="120">
                  <c:v>160228.280321789</c:v>
                </c:pt>
                <c:pt idx="121">
                  <c:v>1273.1540641800757</c:v>
                </c:pt>
                <c:pt idx="122">
                  <c:v>4521.7958779831151</c:v>
                </c:pt>
                <c:pt idx="123">
                  <c:v>2386.7846716762692</c:v>
                </c:pt>
                <c:pt idx="124">
                  <c:v>380.84424396822391</c:v>
                </c:pt>
                <c:pt idx="125">
                  <c:v>4101.3694407822486</c:v>
                </c:pt>
                <c:pt idx="126">
                  <c:v>376.34220962776232</c:v>
                </c:pt>
                <c:pt idx="127">
                  <c:v>41110.27840287541</c:v>
                </c:pt>
                <c:pt idx="128">
                  <c:v>27483.511003152802</c:v>
                </c:pt>
                <c:pt idx="129">
                  <c:v>1230.3353843860234</c:v>
                </c:pt>
                <c:pt idx="130">
                  <c:v>275.68302744227515</c:v>
                </c:pt>
                <c:pt idx="131">
                  <c:v>995.6802013953959</c:v>
                </c:pt>
                <c:pt idx="132">
                  <c:v>64589.974659965468</c:v>
                </c:pt>
                <c:pt idx="133">
                  <c:v>14962.028989271066</c:v>
                </c:pt>
                <c:pt idx="134">
                  <c:v>748.01048783794772</c:v>
                </c:pt>
                <c:pt idx="135">
                  <c:v>8802.3265185756245</c:v>
                </c:pt>
                <c:pt idx="136">
                  <c:v>1268.9610711229307</c:v>
                </c:pt>
                <c:pt idx="137">
                  <c:v>6145.3352543359524</c:v>
                </c:pt>
                <c:pt idx="138">
                  <c:v>955.42443270518891</c:v>
                </c:pt>
                <c:pt idx="139">
                  <c:v>1725.7948003065951</c:v>
                </c:pt>
                <c:pt idx="140">
                  <c:v>3536.4885396339923</c:v>
                </c:pt>
                <c:pt idx="141">
                  <c:v>1403.3063361554944</c:v>
                </c:pt>
                <c:pt idx="142">
                  <c:v>10035.850591834826</c:v>
                </c:pt>
                <c:pt idx="143">
                  <c:v>18535.131234142536</c:v>
                </c:pt>
                <c:pt idx="144">
                  <c:v>20782.83569150712</c:v>
                </c:pt>
                <c:pt idx="145">
                  <c:v>58256.966788513462</c:v>
                </c:pt>
                <c:pt idx="146">
                  <c:v>5321.8101990424975</c:v>
                </c:pt>
                <c:pt idx="147">
                  <c:v>6385.6173068952321</c:v>
                </c:pt>
                <c:pt idx="148">
                  <c:v>349.34486347036096</c:v>
                </c:pt>
                <c:pt idx="149">
                  <c:v>942.19892453235764</c:v>
                </c:pt>
                <c:pt idx="150">
                  <c:v>10594.494056867299</c:v>
                </c:pt>
                <c:pt idx="151">
                  <c:v>6109.4882023480113</c:v>
                </c:pt>
                <c:pt idx="152">
                  <c:v>5395.7785679886438</c:v>
                </c:pt>
                <c:pt idx="153">
                  <c:v>2291.7206357476061</c:v>
                </c:pt>
                <c:pt idx="154">
                  <c:v>49961.150184159698</c:v>
                </c:pt>
                <c:pt idx="155">
                  <c:v>15994.78055746439</c:v>
                </c:pt>
                <c:pt idx="156">
                  <c:v>800.43110309607573</c:v>
                </c:pt>
                <c:pt idx="157">
                  <c:v>3823.2204030260514</c:v>
                </c:pt>
                <c:pt idx="158">
                  <c:v>12645.084724908209</c:v>
                </c:pt>
                <c:pt idx="159">
                  <c:v>370.43813687539563</c:v>
                </c:pt>
                <c:pt idx="160">
                  <c:v>34758.404334915285</c:v>
                </c:pt>
                <c:pt idx="161">
                  <c:v>14161.797545718329</c:v>
                </c:pt>
                <c:pt idx="162">
                  <c:v>19054.257484924816</c:v>
                </c:pt>
                <c:pt idx="163">
                  <c:v>992.71947650383504</c:v>
                </c:pt>
                <c:pt idx="164">
                  <c:v>5797.2434904439497</c:v>
                </c:pt>
                <c:pt idx="165">
                  <c:v>22236.187948867053</c:v>
                </c:pt>
                <c:pt idx="166">
                  <c:v>25595.990106992766</c:v>
                </c:pt>
                <c:pt idx="167">
                  <c:v>1610.0848370777339</c:v>
                </c:pt>
                <c:pt idx="168">
                  <c:v>1004.7756189466916</c:v>
                </c:pt>
                <c:pt idx="169">
                  <c:v>4169.5907084279788</c:v>
                </c:pt>
                <c:pt idx="170">
                  <c:v>2445.0802818366064</c:v>
                </c:pt>
                <c:pt idx="171">
                  <c:v>42825.675932195161</c:v>
                </c:pt>
                <c:pt idx="172">
                  <c:v>54642.81108074497</c:v>
                </c:pt>
                <c:pt idx="173">
                  <c:v>1646.18348597933</c:v>
                </c:pt>
                <c:pt idx="174">
                  <c:v>417.10605268475319</c:v>
                </c:pt>
                <c:pt idx="175">
                  <c:v>438.4920862852793</c:v>
                </c:pt>
                <c:pt idx="176">
                  <c:v>3163.9038450709104</c:v>
                </c:pt>
                <c:pt idx="177">
                  <c:v>641.4407139985351</c:v>
                </c:pt>
                <c:pt idx="178">
                  <c:v>392.85505650149429</c:v>
                </c:pt>
                <c:pt idx="179">
                  <c:v>2582.7032504784875</c:v>
                </c:pt>
                <c:pt idx="180">
                  <c:v>14297.889414135465</c:v>
                </c:pt>
                <c:pt idx="181">
                  <c:v>3861.5088997834828</c:v>
                </c:pt>
                <c:pt idx="182">
                  <c:v>7833.5285846205052</c:v>
                </c:pt>
                <c:pt idx="183">
                  <c:v>2632.4274469546981</c:v>
                </c:pt>
                <c:pt idx="184">
                  <c:v>2423.2614862357495</c:v>
                </c:pt>
                <c:pt idx="185">
                  <c:v>393.14887775627386</c:v>
                </c:pt>
                <c:pt idx="186">
                  <c:v>1974.6211818802449</c:v>
                </c:pt>
                <c:pt idx="187">
                  <c:v>24219.297645532275</c:v>
                </c:pt>
                <c:pt idx="188">
                  <c:v>37899.295520911917</c:v>
                </c:pt>
                <c:pt idx="189">
                  <c:v>43952.446494287382</c:v>
                </c:pt>
                <c:pt idx="190">
                  <c:v>6791.0504176996537</c:v>
                </c:pt>
                <c:pt idx="191">
                  <c:v>752.42831016735465</c:v>
                </c:pt>
                <c:pt idx="192">
                  <c:v>2131.0935359039281</c:v>
                </c:pt>
                <c:pt idx="193">
                  <c:v>6010.0797889966334</c:v>
                </c:pt>
                <c:pt idx="194">
                  <c:v>900.49369266691042</c:v>
                </c:pt>
                <c:pt idx="195">
                  <c:v>878.13958248017809</c:v>
                </c:pt>
                <c:pt idx="196">
                  <c:v>741.44209139426641</c:v>
                </c:pt>
                <c:pt idx="197">
                  <c:v>397.82159673579832</c:v>
                </c:pt>
              </c:numCache>
            </c:numRef>
          </c:xVal>
          <c:yVal>
            <c:numRef>
              <c:f>country!$L$5:$L$202</c:f>
              <c:numCache>
                <c:formatCode>0.0</c:formatCode>
                <c:ptCount val="198"/>
                <c:pt idx="0">
                  <c:v>-8.8196141760438014</c:v>
                </c:pt>
                <c:pt idx="1">
                  <c:v>-4.522852092373963</c:v>
                </c:pt>
                <c:pt idx="2">
                  <c:v>-8.2785040249427322</c:v>
                </c:pt>
                <c:pt idx="3">
                  <c:v>-0.6285096764788487</c:v>
                </c:pt>
                <c:pt idx="4">
                  <c:v>-8.2760787004658223</c:v>
                </c:pt>
                <c:pt idx="5">
                  <c:v>1.3834371065377964</c:v>
                </c:pt>
                <c:pt idx="6">
                  <c:v>-3.4057488886847502</c:v>
                </c:pt>
                <c:pt idx="7">
                  <c:v>-3.9647274836200292</c:v>
                </c:pt>
                <c:pt idx="8">
                  <c:v>-7.5704645598232432</c:v>
                </c:pt>
                <c:pt idx="9">
                  <c:v>-4.6025524982941057</c:v>
                </c:pt>
                <c:pt idx="10">
                  <c:v>-0.25102850762031448</c:v>
                </c:pt>
                <c:pt idx="11">
                  <c:v>-5.2046114908603371</c:v>
                </c:pt>
                <c:pt idx="12">
                  <c:v>-6.5433612977450455</c:v>
                </c:pt>
                <c:pt idx="13">
                  <c:v>-7.8081715444173891</c:v>
                </c:pt>
                <c:pt idx="14">
                  <c:v>-14.046397849600996</c:v>
                </c:pt>
                <c:pt idx="15">
                  <c:v>-7.5198850064426619</c:v>
                </c:pt>
                <c:pt idx="16">
                  <c:v>-1.8000120327851821</c:v>
                </c:pt>
                <c:pt idx="17">
                  <c:v>-1.4068622948091902</c:v>
                </c:pt>
                <c:pt idx="18">
                  <c:v>-9.28511574341635</c:v>
                </c:pt>
                <c:pt idx="19">
                  <c:v>-13.435790632234344</c:v>
                </c:pt>
                <c:pt idx="20">
                  <c:v>-2.7038908650768358</c:v>
                </c:pt>
                <c:pt idx="21">
                  <c:v>-4.3957699718779271</c:v>
                </c:pt>
                <c:pt idx="22">
                  <c:v>-9.6868264645397328</c:v>
                </c:pt>
                <c:pt idx="23">
                  <c:v>-3.6815808667778289</c:v>
                </c:pt>
                <c:pt idx="24">
                  <c:v>-8.3179517387605824</c:v>
                </c:pt>
                <c:pt idx="25">
                  <c:v>-8.040438284088566</c:v>
                </c:pt>
                <c:pt idx="26">
                  <c:v>-7.0472433114067279</c:v>
                </c:pt>
                <c:pt idx="27">
                  <c:v>-3.6652387168722735</c:v>
                </c:pt>
                <c:pt idx="28">
                  <c:v>-16.359064081212182</c:v>
                </c:pt>
                <c:pt idx="29">
                  <c:v>-12.601957949464106</c:v>
                </c:pt>
                <c:pt idx="30">
                  <c:v>-12.022933343772458</c:v>
                </c:pt>
                <c:pt idx="31">
                  <c:v>-13.588973593247598</c:v>
                </c:pt>
                <c:pt idx="32">
                  <c:v>-11.080110776300023</c:v>
                </c:pt>
                <c:pt idx="33">
                  <c:v>4.1394553238431104</c:v>
                </c:pt>
                <c:pt idx="34">
                  <c:v>-9.2870190896105136</c:v>
                </c:pt>
                <c:pt idx="35">
                  <c:v>-12.463207383981938</c:v>
                </c:pt>
                <c:pt idx="36">
                  <c:v>-12.161862008446263</c:v>
                </c:pt>
                <c:pt idx="37">
                  <c:v>-0.63194878343001637</c:v>
                </c:pt>
                <c:pt idx="38">
                  <c:v>-3.1839445821641514</c:v>
                </c:pt>
                <c:pt idx="39">
                  <c:v>-9.3552224040318599</c:v>
                </c:pt>
                <c:pt idx="40">
                  <c:v>-12.280630147204343</c:v>
                </c:pt>
                <c:pt idx="41">
                  <c:v>-13.036284021949669</c:v>
                </c:pt>
                <c:pt idx="42">
                  <c:v>-9.7950136223449267</c:v>
                </c:pt>
                <c:pt idx="43">
                  <c:v>-8.5492013285677793</c:v>
                </c:pt>
                <c:pt idx="44">
                  <c:v>-2.3531117754125583</c:v>
                </c:pt>
                <c:pt idx="45">
                  <c:v>-8.9476213576541461</c:v>
                </c:pt>
                <c:pt idx="46">
                  <c:v>-4.8290482200468166</c:v>
                </c:pt>
                <c:pt idx="47">
                  <c:v>-0.38222795711286511</c:v>
                </c:pt>
                <c:pt idx="48">
                  <c:v>-0.30842875842856188</c:v>
                </c:pt>
                <c:pt idx="49">
                  <c:v>-12.259185883131082</c:v>
                </c:pt>
                <c:pt idx="50">
                  <c:v>-7.3798517157966614</c:v>
                </c:pt>
                <c:pt idx="51">
                  <c:v>-8.7340768756240337</c:v>
                </c:pt>
                <c:pt idx="52">
                  <c:v>-9.7657809579788903</c:v>
                </c:pt>
                <c:pt idx="53">
                  <c:v>-9.9464255704647435</c:v>
                </c:pt>
                <c:pt idx="54">
                  <c:v>-10.386783642204765</c:v>
                </c:pt>
                <c:pt idx="55">
                  <c:v>-6.8112284934533296</c:v>
                </c:pt>
                <c:pt idx="56">
                  <c:v>-14.303222065994007</c:v>
                </c:pt>
                <c:pt idx="57">
                  <c:v>-0.25691601605821601</c:v>
                </c:pt>
                <c:pt idx="58">
                  <c:v>-12.527168874187124</c:v>
                </c:pt>
                <c:pt idx="59">
                  <c:v>-0.28510051412533755</c:v>
                </c:pt>
                <c:pt idx="60">
                  <c:v>-9.3833269436885249</c:v>
                </c:pt>
                <c:pt idx="61">
                  <c:v>2.283341372138012</c:v>
                </c:pt>
                <c:pt idx="62">
                  <c:v>-1.1225553826912369</c:v>
                </c:pt>
                <c:pt idx="63">
                  <c:v>-8.2033344939755999</c:v>
                </c:pt>
                <c:pt idx="64">
                  <c:v>-13.628167631550371</c:v>
                </c:pt>
                <c:pt idx="65">
                  <c:v>-3.7554316350790233</c:v>
                </c:pt>
                <c:pt idx="66">
                  <c:v>-0.20227308452282231</c:v>
                </c:pt>
                <c:pt idx="67">
                  <c:v>-15.470919140236822</c:v>
                </c:pt>
                <c:pt idx="68">
                  <c:v>-4.3672219576275779</c:v>
                </c:pt>
                <c:pt idx="69">
                  <c:v>2.2927067656813795</c:v>
                </c:pt>
                <c:pt idx="70">
                  <c:v>-8.8914714014578156</c:v>
                </c:pt>
                <c:pt idx="71">
                  <c:v>-11.979373837021695</c:v>
                </c:pt>
                <c:pt idx="72">
                  <c:v>-13.714204465335921</c:v>
                </c:pt>
                <c:pt idx="73">
                  <c:v>-13.557946181600515</c:v>
                </c:pt>
                <c:pt idx="74">
                  <c:v>-11.17367784627162</c:v>
                </c:pt>
                <c:pt idx="75">
                  <c:v>-12.828677762408921</c:v>
                </c:pt>
                <c:pt idx="76">
                  <c:v>-10.988715254487557</c:v>
                </c:pt>
                <c:pt idx="77">
                  <c:v>-4.6140351846897723</c:v>
                </c:pt>
                <c:pt idx="78">
                  <c:v>-1.8643433459384302</c:v>
                </c:pt>
                <c:pt idx="79">
                  <c:v>1.7462315992106201</c:v>
                </c:pt>
                <c:pt idx="80">
                  <c:v>-12.055815394078756</c:v>
                </c:pt>
                <c:pt idx="81">
                  <c:v>-11.576556494507585</c:v>
                </c:pt>
                <c:pt idx="82">
                  <c:v>-6.0244287753003007</c:v>
                </c:pt>
                <c:pt idx="83">
                  <c:v>-9.3183581440205163</c:v>
                </c:pt>
                <c:pt idx="84">
                  <c:v>-0.92657868534147625</c:v>
                </c:pt>
                <c:pt idx="85">
                  <c:v>-0.96181805949445898</c:v>
                </c:pt>
                <c:pt idx="86">
                  <c:v>-4.2009104513985989</c:v>
                </c:pt>
                <c:pt idx="87">
                  <c:v>-2.4307636502533168</c:v>
                </c:pt>
                <c:pt idx="88">
                  <c:v>-9.9304229922984746</c:v>
                </c:pt>
                <c:pt idx="89">
                  <c:v>-1.163295105893297</c:v>
                </c:pt>
                <c:pt idx="90">
                  <c:v>-7.1760955378075355</c:v>
                </c:pt>
                <c:pt idx="91">
                  <c:v>-3.2956124929279662</c:v>
                </c:pt>
                <c:pt idx="92">
                  <c:v>-12.0448268938841</c:v>
                </c:pt>
                <c:pt idx="93">
                  <c:v>-12.604518978668272</c:v>
                </c:pt>
                <c:pt idx="94">
                  <c:v>-5.0494006061465964</c:v>
                </c:pt>
                <c:pt idx="95">
                  <c:v>-6.1655406130243193</c:v>
                </c:pt>
                <c:pt idx="96">
                  <c:v>-3.9661201814432183</c:v>
                </c:pt>
                <c:pt idx="97">
                  <c:v>-11.873541372068374</c:v>
                </c:pt>
                <c:pt idx="98">
                  <c:v>-1.0130400953108905</c:v>
                </c:pt>
                <c:pt idx="99">
                  <c:v>-5.1543325692425306</c:v>
                </c:pt>
                <c:pt idx="100">
                  <c:v>-6.6232143774157635</c:v>
                </c:pt>
                <c:pt idx="101">
                  <c:v>-13.983387178893341</c:v>
                </c:pt>
                <c:pt idx="102">
                  <c:v>-6.5810398494609412</c:v>
                </c:pt>
                <c:pt idx="103">
                  <c:v>0.46999630531301773</c:v>
                </c:pt>
                <c:pt idx="104">
                  <c:v>-0.97103268072115301</c:v>
                </c:pt>
                <c:pt idx="105">
                  <c:v>0.29283068123696065</c:v>
                </c:pt>
                <c:pt idx="106">
                  <c:v>-4.9474988468191583</c:v>
                </c:pt>
                <c:pt idx="107">
                  <c:v>-4.3091867517419447</c:v>
                </c:pt>
                <c:pt idx="108">
                  <c:v>-12.532396044660304</c:v>
                </c:pt>
                <c:pt idx="109">
                  <c:v>-12.978987620556602</c:v>
                </c:pt>
                <c:pt idx="110">
                  <c:v>-8.7951192542425343</c:v>
                </c:pt>
                <c:pt idx="111">
                  <c:v>-10.107400009707987</c:v>
                </c:pt>
                <c:pt idx="112">
                  <c:v>-16.546959355950591</c:v>
                </c:pt>
                <c:pt idx="113">
                  <c:v>-6.0216016058486428</c:v>
                </c:pt>
                <c:pt idx="114">
                  <c:v>-10.83325565870005</c:v>
                </c:pt>
                <c:pt idx="115">
                  <c:v>-12.775649795120403</c:v>
                </c:pt>
                <c:pt idx="116">
                  <c:v>-7.6241393027759372</c:v>
                </c:pt>
                <c:pt idx="117">
                  <c:v>-6.5835866438310688</c:v>
                </c:pt>
                <c:pt idx="118">
                  <c:v>-11.192455279199521</c:v>
                </c:pt>
                <c:pt idx="119">
                  <c:v>-5.8605871074452942</c:v>
                </c:pt>
                <c:pt idx="120">
                  <c:v>-1.0272083975725579</c:v>
                </c:pt>
                <c:pt idx="121">
                  <c:v>-2.1353518339373707</c:v>
                </c:pt>
                <c:pt idx="122">
                  <c:v>-4.3784834901796863</c:v>
                </c:pt>
                <c:pt idx="123">
                  <c:v>-7.3224324744999461</c:v>
                </c:pt>
                <c:pt idx="124">
                  <c:v>-12.593424013276552</c:v>
                </c:pt>
                <c:pt idx="125">
                  <c:v>-7.1255588263589917</c:v>
                </c:pt>
                <c:pt idx="126">
                  <c:v>-7.0068072223536308</c:v>
                </c:pt>
                <c:pt idx="127">
                  <c:v>-0.22749353252444557</c:v>
                </c:pt>
                <c:pt idx="128">
                  <c:v>-1.3148160275110312</c:v>
                </c:pt>
                <c:pt idx="129">
                  <c:v>-11.296670904674945</c:v>
                </c:pt>
                <c:pt idx="130">
                  <c:v>-14.3974762961397</c:v>
                </c:pt>
                <c:pt idx="131">
                  <c:v>-14.286204660203207</c:v>
                </c:pt>
                <c:pt idx="132">
                  <c:v>2.8676127864874292</c:v>
                </c:pt>
                <c:pt idx="133">
                  <c:v>-7.3782597604726448</c:v>
                </c:pt>
                <c:pt idx="134">
                  <c:v>-11.769465125822443</c:v>
                </c:pt>
                <c:pt idx="135">
                  <c:v>-8.6791218036349189</c:v>
                </c:pt>
                <c:pt idx="136">
                  <c:v>-9.0960133175610487</c:v>
                </c:pt>
                <c:pt idx="137">
                  <c:v>-8.5650256474931581</c:v>
                </c:pt>
                <c:pt idx="138">
                  <c:v>-11.767881031269381</c:v>
                </c:pt>
                <c:pt idx="139">
                  <c:v>-9.8892691877148913</c:v>
                </c:pt>
                <c:pt idx="140">
                  <c:v>-8.0740002973026819</c:v>
                </c:pt>
                <c:pt idx="141">
                  <c:v>-11.777088694908237</c:v>
                </c:pt>
                <c:pt idx="142">
                  <c:v>-0.88569142640252596</c:v>
                </c:pt>
                <c:pt idx="143">
                  <c:v>-4.4334715132919289</c:v>
                </c:pt>
                <c:pt idx="144">
                  <c:v>-6.5785610903772778</c:v>
                </c:pt>
                <c:pt idx="145">
                  <c:v>-5.6792267772795366</c:v>
                </c:pt>
                <c:pt idx="146">
                  <c:v>-2.771266819066418</c:v>
                </c:pt>
                <c:pt idx="147">
                  <c:v>2.2246716058464249</c:v>
                </c:pt>
                <c:pt idx="148">
                  <c:v>-18.320991577437955</c:v>
                </c:pt>
                <c:pt idx="149">
                  <c:v>-10.759233001539373</c:v>
                </c:pt>
                <c:pt idx="150">
                  <c:v>-7.3835051886025393</c:v>
                </c:pt>
                <c:pt idx="151">
                  <c:v>-8.6126665282442403</c:v>
                </c:pt>
                <c:pt idx="152">
                  <c:v>-9.315063292897559</c:v>
                </c:pt>
                <c:pt idx="153">
                  <c:v>-10.668458386346311</c:v>
                </c:pt>
                <c:pt idx="154">
                  <c:v>-2.3726096569688844</c:v>
                </c:pt>
                <c:pt idx="155">
                  <c:v>-6.7490026276541411</c:v>
                </c:pt>
                <c:pt idx="156">
                  <c:v>-13.281364129627406</c:v>
                </c:pt>
                <c:pt idx="157">
                  <c:v>-4.6107007466144516</c:v>
                </c:pt>
                <c:pt idx="158">
                  <c:v>-8.2479480438938015</c:v>
                </c:pt>
                <c:pt idx="159">
                  <c:v>-13.269220399889388</c:v>
                </c:pt>
                <c:pt idx="160">
                  <c:v>-5.9508627630901785</c:v>
                </c:pt>
                <c:pt idx="161">
                  <c:v>-0.28075432903243391</c:v>
                </c:pt>
                <c:pt idx="162">
                  <c:v>-0.769922383856813</c:v>
                </c:pt>
                <c:pt idx="163">
                  <c:v>-11.914779253656929</c:v>
                </c:pt>
                <c:pt idx="164">
                  <c:v>-5.7605976652459727</c:v>
                </c:pt>
                <c:pt idx="165">
                  <c:v>-0.8794504716145527</c:v>
                </c:pt>
                <c:pt idx="166">
                  <c:v>-2.6692212781331519</c:v>
                </c:pt>
                <c:pt idx="167">
                  <c:v>-11.351640150259989</c:v>
                </c:pt>
                <c:pt idx="168">
                  <c:v>-11.970041207249722</c:v>
                </c:pt>
                <c:pt idx="169">
                  <c:v>-8.9370644561387493</c:v>
                </c:pt>
                <c:pt idx="170">
                  <c:v>-8.2208023191896569</c:v>
                </c:pt>
                <c:pt idx="171">
                  <c:v>2.2488005618678142</c:v>
                </c:pt>
                <c:pt idx="172">
                  <c:v>1.3317678402279178</c:v>
                </c:pt>
                <c:pt idx="173">
                  <c:v>-7.8939563240194115</c:v>
                </c:pt>
                <c:pt idx="174">
                  <c:v>-5.6541473924038463</c:v>
                </c:pt>
                <c:pt idx="175">
                  <c:v>-14.1278003975461</c:v>
                </c:pt>
                <c:pt idx="176">
                  <c:v>-10.474653603515856</c:v>
                </c:pt>
                <c:pt idx="177">
                  <c:v>-12.848487800816564</c:v>
                </c:pt>
                <c:pt idx="178">
                  <c:v>-14.196046257181266</c:v>
                </c:pt>
                <c:pt idx="179">
                  <c:v>-10.202851355046892</c:v>
                </c:pt>
                <c:pt idx="180">
                  <c:v>-6.5349192994913494</c:v>
                </c:pt>
                <c:pt idx="181">
                  <c:v>-7.1071103028473708</c:v>
                </c:pt>
                <c:pt idx="182">
                  <c:v>-2.6684996410294164</c:v>
                </c:pt>
                <c:pt idx="183">
                  <c:v>-7.3586316008872608</c:v>
                </c:pt>
                <c:pt idx="184">
                  <c:v>-11.093070335990122</c:v>
                </c:pt>
                <c:pt idx="185">
                  <c:v>-17.413432696254088</c:v>
                </c:pt>
                <c:pt idx="186">
                  <c:v>-4.0242869153501042</c:v>
                </c:pt>
                <c:pt idx="187">
                  <c:v>-7.1964088261064578</c:v>
                </c:pt>
                <c:pt idx="188">
                  <c:v>-6.1170908006749569E-2</c:v>
                </c:pt>
                <c:pt idx="189">
                  <c:v>-0.52500514331389792</c:v>
                </c:pt>
                <c:pt idx="190">
                  <c:v>-4.1462076210419232</c:v>
                </c:pt>
                <c:pt idx="191">
                  <c:v>-8.1974537065823139</c:v>
                </c:pt>
                <c:pt idx="192">
                  <c:v>-10.111895626798901</c:v>
                </c:pt>
                <c:pt idx="193">
                  <c:v>-9.7268419707896072</c:v>
                </c:pt>
                <c:pt idx="194">
                  <c:v>-13.035914351007792</c:v>
                </c:pt>
                <c:pt idx="195">
                  <c:v>-11.211811963897956</c:v>
                </c:pt>
                <c:pt idx="196">
                  <c:v>-14.761669641829741</c:v>
                </c:pt>
                <c:pt idx="197">
                  <c:v>-11.333087049411347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0-47F6-9899-9611BFDCA817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country!$D$5:$D$202</c:f>
              <c:numCache>
                <c:formatCode>0</c:formatCode>
                <c:ptCount val="198"/>
                <c:pt idx="0">
                  <c:v>360.70561512625665</c:v>
                </c:pt>
                <c:pt idx="1">
                  <c:v>3404.6550318859572</c:v>
                </c:pt>
                <c:pt idx="2">
                  <c:v>3143.6291375316246</c:v>
                </c:pt>
                <c:pt idx="3">
                  <c:v>36348.437965811201</c:v>
                </c:pt>
                <c:pt idx="4">
                  <c:v>2576.6454096087737</c:v>
                </c:pt>
                <c:pt idx="5">
                  <c:v>11603.103552595465</c:v>
                </c:pt>
                <c:pt idx="6">
                  <c:v>7274.3904532313973</c:v>
                </c:pt>
                <c:pt idx="7">
                  <c:v>1997.0389119682286</c:v>
                </c:pt>
                <c:pt idx="8">
                  <c:v>20054.5684527587</c:v>
                </c:pt>
                <c:pt idx="9">
                  <c:v>36140.105242213795</c:v>
                </c:pt>
                <c:pt idx="10">
                  <c:v>38803.235792365253</c:v>
                </c:pt>
                <c:pt idx="11">
                  <c:v>3126.7240594662121</c:v>
                </c:pt>
                <c:pt idx="12">
                  <c:v>21013.899093651864</c:v>
                </c:pt>
                <c:pt idx="13">
                  <c:v>16722.241255001882</c:v>
                </c:pt>
                <c:pt idx="14">
                  <c:v>539.09993134762863</c:v>
                </c:pt>
                <c:pt idx="15">
                  <c:v>14383.678172735552</c:v>
                </c:pt>
                <c:pt idx="16">
                  <c:v>4526.3801215876556</c:v>
                </c:pt>
                <c:pt idx="17">
                  <c:v>36747.279047091397</c:v>
                </c:pt>
                <c:pt idx="18">
                  <c:v>4138.971633498445</c:v>
                </c:pt>
                <c:pt idx="19">
                  <c:v>550.04454433952765</c:v>
                </c:pt>
                <c:pt idx="20">
                  <c:v>76393.831384374804</c:v>
                </c:pt>
                <c:pt idx="21">
                  <c:v>1796.8287601287193</c:v>
                </c:pt>
                <c:pt idx="22">
                  <c:v>1176.9744750324021</c:v>
                </c:pt>
                <c:pt idx="23">
                  <c:v>3328.9924023780331</c:v>
                </c:pt>
                <c:pt idx="24">
                  <c:v>6152.7263733715708</c:v>
                </c:pt>
                <c:pt idx="25">
                  <c:v>5618.3246002281494</c:v>
                </c:pt>
                <c:pt idx="26">
                  <c:v>24589.277238754839</c:v>
                </c:pt>
                <c:pt idx="27">
                  <c:v>4378.8790878779682</c:v>
                </c:pt>
                <c:pt idx="28">
                  <c:v>457.22881322240346</c:v>
                </c:pt>
                <c:pt idx="29">
                  <c:v>150.74235337478757</c:v>
                </c:pt>
                <c:pt idx="30">
                  <c:v>957.65895361709386</c:v>
                </c:pt>
                <c:pt idx="31">
                  <c:v>605.16804679176505</c:v>
                </c:pt>
                <c:pt idx="32">
                  <c:v>931.41534703166633</c:v>
                </c:pt>
                <c:pt idx="33">
                  <c:v>36337.22567382102</c:v>
                </c:pt>
                <c:pt idx="34">
                  <c:v>2648.6619630548216</c:v>
                </c:pt>
                <c:pt idx="35">
                  <c:v>435.73292134870741</c:v>
                </c:pt>
                <c:pt idx="36">
                  <c:v>718.82339344639706</c:v>
                </c:pt>
                <c:pt idx="37">
                  <c:v>8610.0220425441075</c:v>
                </c:pt>
                <c:pt idx="38">
                  <c:v>2870.0529334764196</c:v>
                </c:pt>
                <c:pt idx="39">
                  <c:v>3937.8672013546661</c:v>
                </c:pt>
                <c:pt idx="40">
                  <c:v>604.77099500559018</c:v>
                </c:pt>
                <c:pt idx="41">
                  <c:v>251.88821556234575</c:v>
                </c:pt>
                <c:pt idx="42">
                  <c:v>1909.827611710635</c:v>
                </c:pt>
                <c:pt idx="43">
                  <c:v>5357.4903708933716</c:v>
                </c:pt>
                <c:pt idx="44">
                  <c:v>10383.506161918598</c:v>
                </c:pt>
                <c:pt idx="45">
                  <c:v>4913.8475131462556</c:v>
                </c:pt>
                <c:pt idx="46">
                  <c:v>17402.698674388368</c:v>
                </c:pt>
                <c:pt idx="47">
                  <c:v>14114.421997373165</c:v>
                </c:pt>
                <c:pt idx="48">
                  <c:v>46292.736560813282</c:v>
                </c:pt>
                <c:pt idx="49">
                  <c:v>1085.8813944409201</c:v>
                </c:pt>
                <c:pt idx="50">
                  <c:v>6355.9314560512476</c:v>
                </c:pt>
                <c:pt idx="51">
                  <c:v>4776.8421015330105</c:v>
                </c:pt>
                <c:pt idx="52">
                  <c:v>3250.7458870185928</c:v>
                </c:pt>
                <c:pt idx="53">
                  <c:v>1550.2405578416574</c:v>
                </c:pt>
                <c:pt idx="54">
                  <c:v>2949.613728722712</c:v>
                </c:pt>
                <c:pt idx="55">
                  <c:v>11594.42353057435</c:v>
                </c:pt>
                <c:pt idx="56">
                  <c:v>184.04582983990289</c:v>
                </c:pt>
                <c:pt idx="57">
                  <c:v>10369.839494653985</c:v>
                </c:pt>
                <c:pt idx="58">
                  <c:v>234.25889686975188</c:v>
                </c:pt>
                <c:pt idx="59">
                  <c:v>36552.397664849697</c:v>
                </c:pt>
                <c:pt idx="60">
                  <c:v>3523.3680912320156</c:v>
                </c:pt>
                <c:pt idx="61">
                  <c:v>38064.653322818347</c:v>
                </c:pt>
                <c:pt idx="62">
                  <c:v>33898.26965325878</c:v>
                </c:pt>
                <c:pt idx="63">
                  <c:v>6223.1452764687092</c:v>
                </c:pt>
                <c:pt idx="64">
                  <c:v>466.6529302392043</c:v>
                </c:pt>
                <c:pt idx="65">
                  <c:v>1850.8208503929698</c:v>
                </c:pt>
                <c:pt idx="66">
                  <c:v>36127.047700224583</c:v>
                </c:pt>
                <c:pt idx="67">
                  <c:v>610.18365679635724</c:v>
                </c:pt>
                <c:pt idx="68">
                  <c:v>21308.962091753539</c:v>
                </c:pt>
                <c:pt idx="69">
                  <c:v>31796.8397398335</c:v>
                </c:pt>
                <c:pt idx="70">
                  <c:v>6348.3020742390418</c:v>
                </c:pt>
                <c:pt idx="71">
                  <c:v>2270.0961392922113</c:v>
                </c:pt>
                <c:pt idx="72">
                  <c:v>300.44127805988973</c:v>
                </c:pt>
                <c:pt idx="73">
                  <c:v>412.81198676955898</c:v>
                </c:pt>
                <c:pt idx="74">
                  <c:v>1168.8991901583915</c:v>
                </c:pt>
                <c:pt idx="75">
                  <c:v>435.77035871367673</c:v>
                </c:pt>
                <c:pt idx="76">
                  <c:v>1514.9920435883439</c:v>
                </c:pt>
                <c:pt idx="77">
                  <c:v>31328.585208738998</c:v>
                </c:pt>
                <c:pt idx="78">
                  <c:v>10926.468951505391</c:v>
                </c:pt>
                <c:pt idx="79">
                  <c:v>51528.384416011126</c:v>
                </c:pt>
                <c:pt idx="80">
                  <c:v>1031.5611094455749</c:v>
                </c:pt>
                <c:pt idx="81">
                  <c:v>1570.1529365014842</c:v>
                </c:pt>
                <c:pt idx="82">
                  <c:v>3259.3987232145187</c:v>
                </c:pt>
                <c:pt idx="83">
                  <c:v>2172.6575626694016</c:v>
                </c:pt>
                <c:pt idx="84">
                  <c:v>45438.261855700264</c:v>
                </c:pt>
                <c:pt idx="85">
                  <c:v>42009.586522931197</c:v>
                </c:pt>
                <c:pt idx="86">
                  <c:v>22169.403538765182</c:v>
                </c:pt>
                <c:pt idx="87">
                  <c:v>29163.146051932734</c:v>
                </c:pt>
                <c:pt idx="88">
                  <c:v>4329.9743592711902</c:v>
                </c:pt>
                <c:pt idx="89">
                  <c:v>36472.749157637452</c:v>
                </c:pt>
                <c:pt idx="90">
                  <c:v>2817.4886330764352</c:v>
                </c:pt>
                <c:pt idx="91">
                  <c:v>4732.2159481266071</c:v>
                </c:pt>
                <c:pt idx="92">
                  <c:v>575.06029636736923</c:v>
                </c:pt>
                <c:pt idx="93">
                  <c:v>1132.3733525137338</c:v>
                </c:pt>
                <c:pt idx="94">
                  <c:v>2689.8582831712979</c:v>
                </c:pt>
                <c:pt idx="95">
                  <c:v>28615.94754819524</c:v>
                </c:pt>
                <c:pt idx="96">
                  <c:v>560.91462241153135</c:v>
                </c:pt>
                <c:pt idx="97">
                  <c:v>628.83134867195929</c:v>
                </c:pt>
                <c:pt idx="98">
                  <c:v>6923.8888741529627</c:v>
                </c:pt>
                <c:pt idx="99">
                  <c:v>7083.864798023691</c:v>
                </c:pt>
                <c:pt idx="100">
                  <c:v>870.88945319002903</c:v>
                </c:pt>
                <c:pt idx="101">
                  <c:v>242.61193287110416</c:v>
                </c:pt>
                <c:pt idx="102">
                  <c:v>9099.0746013832031</c:v>
                </c:pt>
                <c:pt idx="103">
                  <c:v>115950.613774247</c:v>
                </c:pt>
                <c:pt idx="104">
                  <c:v>8320.1703793334709</c:v>
                </c:pt>
                <c:pt idx="105">
                  <c:v>80276.011290059658</c:v>
                </c:pt>
                <c:pt idx="106">
                  <c:v>38689.01719809317</c:v>
                </c:pt>
                <c:pt idx="107">
                  <c:v>3396.7186907683758</c:v>
                </c:pt>
                <c:pt idx="108">
                  <c:v>273.22480306218836</c:v>
                </c:pt>
                <c:pt idx="109">
                  <c:v>219.15076343135976</c:v>
                </c:pt>
                <c:pt idx="110">
                  <c:v>6318.9012128220729</c:v>
                </c:pt>
                <c:pt idx="111">
                  <c:v>4663.3776529920669</c:v>
                </c:pt>
                <c:pt idx="112">
                  <c:v>498.47514810755899</c:v>
                </c:pt>
                <c:pt idx="113">
                  <c:v>15992.434998447094</c:v>
                </c:pt>
                <c:pt idx="114">
                  <c:v>2809.9512086979294</c:v>
                </c:pt>
                <c:pt idx="115">
                  <c:v>779.63628630847154</c:v>
                </c:pt>
                <c:pt idx="116">
                  <c:v>6109.775155938677</c:v>
                </c:pt>
                <c:pt idx="117">
                  <c:v>8084.6290001796442</c:v>
                </c:pt>
                <c:pt idx="118">
                  <c:v>2378.1192216459017</c:v>
                </c:pt>
                <c:pt idx="119">
                  <c:v>982.97849155955339</c:v>
                </c:pt>
                <c:pt idx="120">
                  <c:v>160228.280321789</c:v>
                </c:pt>
                <c:pt idx="121">
                  <c:v>1273.1540641800757</c:v>
                </c:pt>
                <c:pt idx="122">
                  <c:v>4521.7958779831151</c:v>
                </c:pt>
                <c:pt idx="123">
                  <c:v>2386.7846716762692</c:v>
                </c:pt>
                <c:pt idx="124">
                  <c:v>380.84424396822391</c:v>
                </c:pt>
                <c:pt idx="125">
                  <c:v>4101.3694407822486</c:v>
                </c:pt>
                <c:pt idx="126">
                  <c:v>376.34220962776232</c:v>
                </c:pt>
                <c:pt idx="127">
                  <c:v>41110.27840287541</c:v>
                </c:pt>
                <c:pt idx="128">
                  <c:v>27483.511003152802</c:v>
                </c:pt>
                <c:pt idx="129">
                  <c:v>1230.3353843860234</c:v>
                </c:pt>
                <c:pt idx="130">
                  <c:v>275.68302744227515</c:v>
                </c:pt>
                <c:pt idx="131">
                  <c:v>995.6802013953959</c:v>
                </c:pt>
                <c:pt idx="132">
                  <c:v>64589.974659965468</c:v>
                </c:pt>
                <c:pt idx="133">
                  <c:v>14962.028989271066</c:v>
                </c:pt>
                <c:pt idx="134">
                  <c:v>748.01048783794772</c:v>
                </c:pt>
                <c:pt idx="135">
                  <c:v>8802.3265185756245</c:v>
                </c:pt>
                <c:pt idx="136">
                  <c:v>1268.9610711229307</c:v>
                </c:pt>
                <c:pt idx="137">
                  <c:v>6145.3352543359524</c:v>
                </c:pt>
                <c:pt idx="138">
                  <c:v>955.42443270518891</c:v>
                </c:pt>
                <c:pt idx="139">
                  <c:v>1725.7948003065951</c:v>
                </c:pt>
                <c:pt idx="140">
                  <c:v>3536.4885396339923</c:v>
                </c:pt>
                <c:pt idx="141">
                  <c:v>1403.3063361554944</c:v>
                </c:pt>
                <c:pt idx="142">
                  <c:v>10035.850591834826</c:v>
                </c:pt>
                <c:pt idx="143">
                  <c:v>18535.131234142536</c:v>
                </c:pt>
                <c:pt idx="144">
                  <c:v>20782.83569150712</c:v>
                </c:pt>
                <c:pt idx="145">
                  <c:v>58256.966788513462</c:v>
                </c:pt>
                <c:pt idx="146">
                  <c:v>5321.8101990424975</c:v>
                </c:pt>
                <c:pt idx="147">
                  <c:v>6385.6173068952321</c:v>
                </c:pt>
                <c:pt idx="148">
                  <c:v>349.34486347036096</c:v>
                </c:pt>
                <c:pt idx="149">
                  <c:v>942.19892453235764</c:v>
                </c:pt>
                <c:pt idx="150">
                  <c:v>10594.494056867299</c:v>
                </c:pt>
                <c:pt idx="151">
                  <c:v>6109.4882023480113</c:v>
                </c:pt>
                <c:pt idx="152">
                  <c:v>5395.7785679886438</c:v>
                </c:pt>
                <c:pt idx="153">
                  <c:v>2291.7206357476061</c:v>
                </c:pt>
                <c:pt idx="154">
                  <c:v>49961.150184159698</c:v>
                </c:pt>
                <c:pt idx="155">
                  <c:v>15994.78055746439</c:v>
                </c:pt>
                <c:pt idx="156">
                  <c:v>800.43110309607573</c:v>
                </c:pt>
                <c:pt idx="157">
                  <c:v>3823.2204030260514</c:v>
                </c:pt>
                <c:pt idx="158">
                  <c:v>12645.084724908209</c:v>
                </c:pt>
                <c:pt idx="159">
                  <c:v>370.43813687539563</c:v>
                </c:pt>
                <c:pt idx="160">
                  <c:v>34758.404334915285</c:v>
                </c:pt>
                <c:pt idx="161">
                  <c:v>14161.797545718329</c:v>
                </c:pt>
                <c:pt idx="162">
                  <c:v>19054.257484924816</c:v>
                </c:pt>
                <c:pt idx="163">
                  <c:v>992.71947650383504</c:v>
                </c:pt>
                <c:pt idx="164">
                  <c:v>5797.2434904439497</c:v>
                </c:pt>
                <c:pt idx="165">
                  <c:v>22236.187948867053</c:v>
                </c:pt>
                <c:pt idx="166">
                  <c:v>25595.990106992766</c:v>
                </c:pt>
                <c:pt idx="167">
                  <c:v>1610.0848370777339</c:v>
                </c:pt>
                <c:pt idx="168">
                  <c:v>1004.7756189466916</c:v>
                </c:pt>
                <c:pt idx="169">
                  <c:v>4169.5907084279788</c:v>
                </c:pt>
                <c:pt idx="170">
                  <c:v>2445.0802818366064</c:v>
                </c:pt>
                <c:pt idx="171">
                  <c:v>42825.675932195161</c:v>
                </c:pt>
                <c:pt idx="172">
                  <c:v>54642.81108074497</c:v>
                </c:pt>
                <c:pt idx="173">
                  <c:v>1646.18348597933</c:v>
                </c:pt>
                <c:pt idx="174">
                  <c:v>417.10605268475319</c:v>
                </c:pt>
                <c:pt idx="175">
                  <c:v>438.4920862852793</c:v>
                </c:pt>
                <c:pt idx="176">
                  <c:v>3163.9038450709104</c:v>
                </c:pt>
                <c:pt idx="177">
                  <c:v>641.4407139985351</c:v>
                </c:pt>
                <c:pt idx="178">
                  <c:v>392.85505650149429</c:v>
                </c:pt>
                <c:pt idx="179">
                  <c:v>2582.7032504784875</c:v>
                </c:pt>
                <c:pt idx="180">
                  <c:v>14297.889414135465</c:v>
                </c:pt>
                <c:pt idx="181">
                  <c:v>3861.5088997834828</c:v>
                </c:pt>
                <c:pt idx="182">
                  <c:v>7833.5285846205052</c:v>
                </c:pt>
                <c:pt idx="183">
                  <c:v>2632.4274469546981</c:v>
                </c:pt>
                <c:pt idx="184">
                  <c:v>2423.2614862357495</c:v>
                </c:pt>
                <c:pt idx="185">
                  <c:v>393.14887775627386</c:v>
                </c:pt>
                <c:pt idx="186">
                  <c:v>1974.6211818802449</c:v>
                </c:pt>
                <c:pt idx="187">
                  <c:v>24219.297645532275</c:v>
                </c:pt>
                <c:pt idx="188">
                  <c:v>37899.295520911917</c:v>
                </c:pt>
                <c:pt idx="189">
                  <c:v>43952.446494287382</c:v>
                </c:pt>
                <c:pt idx="190">
                  <c:v>6791.0504176996537</c:v>
                </c:pt>
                <c:pt idx="191">
                  <c:v>752.42831016735465</c:v>
                </c:pt>
                <c:pt idx="192">
                  <c:v>2131.0935359039281</c:v>
                </c:pt>
                <c:pt idx="193">
                  <c:v>6010.0797889966334</c:v>
                </c:pt>
                <c:pt idx="194">
                  <c:v>900.49369266691042</c:v>
                </c:pt>
                <c:pt idx="195">
                  <c:v>878.13958248017809</c:v>
                </c:pt>
                <c:pt idx="196">
                  <c:v>741.44209139426641</c:v>
                </c:pt>
                <c:pt idx="197">
                  <c:v>397.82159673579832</c:v>
                </c:pt>
              </c:numCache>
            </c:numRef>
          </c:xVal>
          <c:yVal>
            <c:numRef>
              <c:f>country!$D$5:$D$202</c:f>
              <c:numCache>
                <c:formatCode>0</c:formatCode>
                <c:ptCount val="198"/>
                <c:pt idx="0">
                  <c:v>360.70561512625665</c:v>
                </c:pt>
                <c:pt idx="1">
                  <c:v>3404.6550318859572</c:v>
                </c:pt>
                <c:pt idx="2">
                  <c:v>3143.6291375316246</c:v>
                </c:pt>
                <c:pt idx="3">
                  <c:v>36348.437965811201</c:v>
                </c:pt>
                <c:pt idx="4">
                  <c:v>2576.6454096087737</c:v>
                </c:pt>
                <c:pt idx="5">
                  <c:v>11603.103552595465</c:v>
                </c:pt>
                <c:pt idx="6">
                  <c:v>7274.3904532313973</c:v>
                </c:pt>
                <c:pt idx="7">
                  <c:v>1997.0389119682286</c:v>
                </c:pt>
                <c:pt idx="8">
                  <c:v>20054.5684527587</c:v>
                </c:pt>
                <c:pt idx="9">
                  <c:v>36140.105242213795</c:v>
                </c:pt>
                <c:pt idx="10">
                  <c:v>38803.235792365253</c:v>
                </c:pt>
                <c:pt idx="11">
                  <c:v>3126.7240594662121</c:v>
                </c:pt>
                <c:pt idx="12">
                  <c:v>21013.899093651864</c:v>
                </c:pt>
                <c:pt idx="13">
                  <c:v>16722.241255001882</c:v>
                </c:pt>
                <c:pt idx="14">
                  <c:v>539.09993134762863</c:v>
                </c:pt>
                <c:pt idx="15">
                  <c:v>14383.678172735552</c:v>
                </c:pt>
                <c:pt idx="16">
                  <c:v>4526.3801215876556</c:v>
                </c:pt>
                <c:pt idx="17">
                  <c:v>36747.279047091397</c:v>
                </c:pt>
                <c:pt idx="18">
                  <c:v>4138.971633498445</c:v>
                </c:pt>
                <c:pt idx="19">
                  <c:v>550.04454433952765</c:v>
                </c:pt>
                <c:pt idx="20">
                  <c:v>76393.831384374804</c:v>
                </c:pt>
                <c:pt idx="21">
                  <c:v>1796.8287601287193</c:v>
                </c:pt>
                <c:pt idx="22">
                  <c:v>1176.9744750324021</c:v>
                </c:pt>
                <c:pt idx="23">
                  <c:v>3328.9924023780331</c:v>
                </c:pt>
                <c:pt idx="24">
                  <c:v>6152.7263733715708</c:v>
                </c:pt>
                <c:pt idx="25">
                  <c:v>5618.3246002281494</c:v>
                </c:pt>
                <c:pt idx="26">
                  <c:v>24589.277238754839</c:v>
                </c:pt>
                <c:pt idx="27">
                  <c:v>4378.8790878779682</c:v>
                </c:pt>
                <c:pt idx="28">
                  <c:v>457.22881322240346</c:v>
                </c:pt>
                <c:pt idx="29">
                  <c:v>150.74235337478757</c:v>
                </c:pt>
                <c:pt idx="30">
                  <c:v>957.65895361709386</c:v>
                </c:pt>
                <c:pt idx="31">
                  <c:v>605.16804679176505</c:v>
                </c:pt>
                <c:pt idx="32">
                  <c:v>931.41534703166633</c:v>
                </c:pt>
                <c:pt idx="33">
                  <c:v>36337.22567382102</c:v>
                </c:pt>
                <c:pt idx="34">
                  <c:v>2648.6619630548216</c:v>
                </c:pt>
                <c:pt idx="35">
                  <c:v>435.73292134870741</c:v>
                </c:pt>
                <c:pt idx="36">
                  <c:v>718.82339344639706</c:v>
                </c:pt>
                <c:pt idx="37">
                  <c:v>8610.0220425441075</c:v>
                </c:pt>
                <c:pt idx="38">
                  <c:v>2870.0529334764196</c:v>
                </c:pt>
                <c:pt idx="39">
                  <c:v>3937.8672013546661</c:v>
                </c:pt>
                <c:pt idx="40">
                  <c:v>604.77099500559018</c:v>
                </c:pt>
                <c:pt idx="41">
                  <c:v>251.88821556234575</c:v>
                </c:pt>
                <c:pt idx="42">
                  <c:v>1909.827611710635</c:v>
                </c:pt>
                <c:pt idx="43">
                  <c:v>5357.4903708933716</c:v>
                </c:pt>
                <c:pt idx="44">
                  <c:v>10383.506161918598</c:v>
                </c:pt>
                <c:pt idx="45">
                  <c:v>4913.8475131462556</c:v>
                </c:pt>
                <c:pt idx="46">
                  <c:v>17402.698674388368</c:v>
                </c:pt>
                <c:pt idx="47">
                  <c:v>14114.421997373165</c:v>
                </c:pt>
                <c:pt idx="48">
                  <c:v>46292.736560813282</c:v>
                </c:pt>
                <c:pt idx="49">
                  <c:v>1085.8813944409201</c:v>
                </c:pt>
                <c:pt idx="50">
                  <c:v>6355.9314560512476</c:v>
                </c:pt>
                <c:pt idx="51">
                  <c:v>4776.8421015330105</c:v>
                </c:pt>
                <c:pt idx="52">
                  <c:v>3250.7458870185928</c:v>
                </c:pt>
                <c:pt idx="53">
                  <c:v>1550.2405578416574</c:v>
                </c:pt>
                <c:pt idx="54">
                  <c:v>2949.613728722712</c:v>
                </c:pt>
                <c:pt idx="55">
                  <c:v>11594.42353057435</c:v>
                </c:pt>
                <c:pt idx="56">
                  <c:v>184.04582983990289</c:v>
                </c:pt>
                <c:pt idx="57">
                  <c:v>10369.839494653985</c:v>
                </c:pt>
                <c:pt idx="58">
                  <c:v>234.25889686975188</c:v>
                </c:pt>
                <c:pt idx="59">
                  <c:v>36552.397664849697</c:v>
                </c:pt>
                <c:pt idx="60">
                  <c:v>3523.3680912320156</c:v>
                </c:pt>
                <c:pt idx="61">
                  <c:v>38064.653322818347</c:v>
                </c:pt>
                <c:pt idx="62">
                  <c:v>33898.26965325878</c:v>
                </c:pt>
                <c:pt idx="63">
                  <c:v>6223.1452764687092</c:v>
                </c:pt>
                <c:pt idx="64">
                  <c:v>466.6529302392043</c:v>
                </c:pt>
                <c:pt idx="65">
                  <c:v>1850.8208503929698</c:v>
                </c:pt>
                <c:pt idx="66">
                  <c:v>36127.047700224583</c:v>
                </c:pt>
                <c:pt idx="67">
                  <c:v>610.18365679635724</c:v>
                </c:pt>
                <c:pt idx="68">
                  <c:v>21308.962091753539</c:v>
                </c:pt>
                <c:pt idx="69">
                  <c:v>31796.8397398335</c:v>
                </c:pt>
                <c:pt idx="70">
                  <c:v>6348.3020742390418</c:v>
                </c:pt>
                <c:pt idx="71">
                  <c:v>2270.0961392922113</c:v>
                </c:pt>
                <c:pt idx="72">
                  <c:v>300.44127805988973</c:v>
                </c:pt>
                <c:pt idx="73">
                  <c:v>412.81198676955898</c:v>
                </c:pt>
                <c:pt idx="74">
                  <c:v>1168.8991901583915</c:v>
                </c:pt>
                <c:pt idx="75">
                  <c:v>435.77035871367673</c:v>
                </c:pt>
                <c:pt idx="76">
                  <c:v>1514.9920435883439</c:v>
                </c:pt>
                <c:pt idx="77">
                  <c:v>31328.585208738998</c:v>
                </c:pt>
                <c:pt idx="78">
                  <c:v>10926.468951505391</c:v>
                </c:pt>
                <c:pt idx="79">
                  <c:v>51528.384416011126</c:v>
                </c:pt>
                <c:pt idx="80">
                  <c:v>1031.5611094455749</c:v>
                </c:pt>
                <c:pt idx="81">
                  <c:v>1570.1529365014842</c:v>
                </c:pt>
                <c:pt idx="82">
                  <c:v>3259.3987232145187</c:v>
                </c:pt>
                <c:pt idx="83">
                  <c:v>2172.6575626694016</c:v>
                </c:pt>
                <c:pt idx="84">
                  <c:v>45438.261855700264</c:v>
                </c:pt>
                <c:pt idx="85">
                  <c:v>42009.586522931197</c:v>
                </c:pt>
                <c:pt idx="86">
                  <c:v>22169.403538765182</c:v>
                </c:pt>
                <c:pt idx="87">
                  <c:v>29163.146051932734</c:v>
                </c:pt>
                <c:pt idx="88">
                  <c:v>4329.9743592711902</c:v>
                </c:pt>
                <c:pt idx="89">
                  <c:v>36472.749157637452</c:v>
                </c:pt>
                <c:pt idx="90">
                  <c:v>2817.4886330764352</c:v>
                </c:pt>
                <c:pt idx="91">
                  <c:v>4732.2159481266071</c:v>
                </c:pt>
                <c:pt idx="92">
                  <c:v>575.06029636736923</c:v>
                </c:pt>
                <c:pt idx="93">
                  <c:v>1132.3733525137338</c:v>
                </c:pt>
                <c:pt idx="94">
                  <c:v>2689.8582831712979</c:v>
                </c:pt>
                <c:pt idx="95">
                  <c:v>28615.94754819524</c:v>
                </c:pt>
                <c:pt idx="96">
                  <c:v>560.91462241153135</c:v>
                </c:pt>
                <c:pt idx="97">
                  <c:v>628.83134867195929</c:v>
                </c:pt>
                <c:pt idx="98">
                  <c:v>6923.8888741529627</c:v>
                </c:pt>
                <c:pt idx="99">
                  <c:v>7083.864798023691</c:v>
                </c:pt>
                <c:pt idx="100">
                  <c:v>870.88945319002903</c:v>
                </c:pt>
                <c:pt idx="101">
                  <c:v>242.61193287110416</c:v>
                </c:pt>
                <c:pt idx="102">
                  <c:v>9099.0746013832031</c:v>
                </c:pt>
                <c:pt idx="103">
                  <c:v>115950.613774247</c:v>
                </c:pt>
                <c:pt idx="104">
                  <c:v>8320.1703793334709</c:v>
                </c:pt>
                <c:pt idx="105">
                  <c:v>80276.011290059658</c:v>
                </c:pt>
                <c:pt idx="106">
                  <c:v>38689.01719809317</c:v>
                </c:pt>
                <c:pt idx="107">
                  <c:v>3396.7186907683758</c:v>
                </c:pt>
                <c:pt idx="108">
                  <c:v>273.22480306218836</c:v>
                </c:pt>
                <c:pt idx="109">
                  <c:v>219.15076343135976</c:v>
                </c:pt>
                <c:pt idx="110">
                  <c:v>6318.9012128220729</c:v>
                </c:pt>
                <c:pt idx="111">
                  <c:v>4663.3776529920669</c:v>
                </c:pt>
                <c:pt idx="112">
                  <c:v>498.47514810755899</c:v>
                </c:pt>
                <c:pt idx="113">
                  <c:v>15992.434998447094</c:v>
                </c:pt>
                <c:pt idx="114">
                  <c:v>2809.9512086979294</c:v>
                </c:pt>
                <c:pt idx="115">
                  <c:v>779.63628630847154</c:v>
                </c:pt>
                <c:pt idx="116">
                  <c:v>6109.775155938677</c:v>
                </c:pt>
                <c:pt idx="117">
                  <c:v>8084.6290001796442</c:v>
                </c:pt>
                <c:pt idx="118">
                  <c:v>2378.1192216459017</c:v>
                </c:pt>
                <c:pt idx="119">
                  <c:v>982.97849155955339</c:v>
                </c:pt>
                <c:pt idx="120">
                  <c:v>160228.280321789</c:v>
                </c:pt>
                <c:pt idx="121">
                  <c:v>1273.1540641800757</c:v>
                </c:pt>
                <c:pt idx="122">
                  <c:v>4521.7958779831151</c:v>
                </c:pt>
                <c:pt idx="123">
                  <c:v>2386.7846716762692</c:v>
                </c:pt>
                <c:pt idx="124">
                  <c:v>380.84424396822391</c:v>
                </c:pt>
                <c:pt idx="125">
                  <c:v>4101.3694407822486</c:v>
                </c:pt>
                <c:pt idx="126">
                  <c:v>376.34220962776232</c:v>
                </c:pt>
                <c:pt idx="127">
                  <c:v>41110.27840287541</c:v>
                </c:pt>
                <c:pt idx="128">
                  <c:v>27483.511003152802</c:v>
                </c:pt>
                <c:pt idx="129">
                  <c:v>1230.3353843860234</c:v>
                </c:pt>
                <c:pt idx="130">
                  <c:v>275.68302744227515</c:v>
                </c:pt>
                <c:pt idx="131">
                  <c:v>995.6802013953959</c:v>
                </c:pt>
                <c:pt idx="132">
                  <c:v>64589.974659965468</c:v>
                </c:pt>
                <c:pt idx="133">
                  <c:v>14962.028989271066</c:v>
                </c:pt>
                <c:pt idx="134">
                  <c:v>748.01048783794772</c:v>
                </c:pt>
                <c:pt idx="135">
                  <c:v>8802.3265185756245</c:v>
                </c:pt>
                <c:pt idx="136">
                  <c:v>1268.9610711229307</c:v>
                </c:pt>
                <c:pt idx="137">
                  <c:v>6145.3352543359524</c:v>
                </c:pt>
                <c:pt idx="138">
                  <c:v>955.42443270518891</c:v>
                </c:pt>
                <c:pt idx="139">
                  <c:v>1725.7948003065951</c:v>
                </c:pt>
                <c:pt idx="140">
                  <c:v>3536.4885396339923</c:v>
                </c:pt>
                <c:pt idx="141">
                  <c:v>1403.3063361554944</c:v>
                </c:pt>
                <c:pt idx="142">
                  <c:v>10035.850591834826</c:v>
                </c:pt>
                <c:pt idx="143">
                  <c:v>18535.131234142536</c:v>
                </c:pt>
                <c:pt idx="144">
                  <c:v>20782.83569150712</c:v>
                </c:pt>
                <c:pt idx="145">
                  <c:v>58256.966788513462</c:v>
                </c:pt>
                <c:pt idx="146">
                  <c:v>5321.8101990424975</c:v>
                </c:pt>
                <c:pt idx="147">
                  <c:v>6385.6173068952321</c:v>
                </c:pt>
                <c:pt idx="148">
                  <c:v>349.34486347036096</c:v>
                </c:pt>
                <c:pt idx="149">
                  <c:v>942.19892453235764</c:v>
                </c:pt>
                <c:pt idx="150">
                  <c:v>10594.494056867299</c:v>
                </c:pt>
                <c:pt idx="151">
                  <c:v>6109.4882023480113</c:v>
                </c:pt>
                <c:pt idx="152">
                  <c:v>5395.7785679886438</c:v>
                </c:pt>
                <c:pt idx="153">
                  <c:v>2291.7206357476061</c:v>
                </c:pt>
                <c:pt idx="154">
                  <c:v>49961.150184159698</c:v>
                </c:pt>
                <c:pt idx="155">
                  <c:v>15994.78055746439</c:v>
                </c:pt>
                <c:pt idx="156">
                  <c:v>800.43110309607573</c:v>
                </c:pt>
                <c:pt idx="157">
                  <c:v>3823.2204030260514</c:v>
                </c:pt>
                <c:pt idx="158">
                  <c:v>12645.084724908209</c:v>
                </c:pt>
                <c:pt idx="159">
                  <c:v>370.43813687539563</c:v>
                </c:pt>
                <c:pt idx="160">
                  <c:v>34758.404334915285</c:v>
                </c:pt>
                <c:pt idx="161">
                  <c:v>14161.797545718329</c:v>
                </c:pt>
                <c:pt idx="162">
                  <c:v>19054.257484924816</c:v>
                </c:pt>
                <c:pt idx="163">
                  <c:v>992.71947650383504</c:v>
                </c:pt>
                <c:pt idx="164">
                  <c:v>5797.2434904439497</c:v>
                </c:pt>
                <c:pt idx="165">
                  <c:v>22236.187948867053</c:v>
                </c:pt>
                <c:pt idx="166">
                  <c:v>25595.990106992766</c:v>
                </c:pt>
                <c:pt idx="167">
                  <c:v>1610.0848370777339</c:v>
                </c:pt>
                <c:pt idx="168">
                  <c:v>1004.7756189466916</c:v>
                </c:pt>
                <c:pt idx="169">
                  <c:v>4169.5907084279788</c:v>
                </c:pt>
                <c:pt idx="170">
                  <c:v>2445.0802818366064</c:v>
                </c:pt>
                <c:pt idx="171">
                  <c:v>42825.675932195161</c:v>
                </c:pt>
                <c:pt idx="172">
                  <c:v>54642.81108074497</c:v>
                </c:pt>
                <c:pt idx="173">
                  <c:v>1646.18348597933</c:v>
                </c:pt>
                <c:pt idx="174">
                  <c:v>417.10605268475319</c:v>
                </c:pt>
                <c:pt idx="175">
                  <c:v>438.4920862852793</c:v>
                </c:pt>
                <c:pt idx="176">
                  <c:v>3163.9038450709104</c:v>
                </c:pt>
                <c:pt idx="177">
                  <c:v>641.4407139985351</c:v>
                </c:pt>
                <c:pt idx="178">
                  <c:v>392.85505650149429</c:v>
                </c:pt>
                <c:pt idx="179">
                  <c:v>2582.7032504784875</c:v>
                </c:pt>
                <c:pt idx="180">
                  <c:v>14297.889414135465</c:v>
                </c:pt>
                <c:pt idx="181">
                  <c:v>3861.5088997834828</c:v>
                </c:pt>
                <c:pt idx="182">
                  <c:v>7833.5285846205052</c:v>
                </c:pt>
                <c:pt idx="183">
                  <c:v>2632.4274469546981</c:v>
                </c:pt>
                <c:pt idx="184">
                  <c:v>2423.2614862357495</c:v>
                </c:pt>
                <c:pt idx="185">
                  <c:v>393.14887775627386</c:v>
                </c:pt>
                <c:pt idx="186">
                  <c:v>1974.6211818802449</c:v>
                </c:pt>
                <c:pt idx="187">
                  <c:v>24219.297645532275</c:v>
                </c:pt>
                <c:pt idx="188">
                  <c:v>37899.295520911917</c:v>
                </c:pt>
                <c:pt idx="189">
                  <c:v>43952.446494287382</c:v>
                </c:pt>
                <c:pt idx="190">
                  <c:v>6791.0504176996537</c:v>
                </c:pt>
                <c:pt idx="191">
                  <c:v>752.42831016735465</c:v>
                </c:pt>
                <c:pt idx="192">
                  <c:v>2131.0935359039281</c:v>
                </c:pt>
                <c:pt idx="193">
                  <c:v>6010.0797889966334</c:v>
                </c:pt>
                <c:pt idx="194">
                  <c:v>900.49369266691042</c:v>
                </c:pt>
                <c:pt idx="195">
                  <c:v>878.13958248017809</c:v>
                </c:pt>
                <c:pt idx="196">
                  <c:v>741.44209139426641</c:v>
                </c:pt>
                <c:pt idx="197">
                  <c:v>397.82159673579832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60-47F6-9899-9611BFDCA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53704"/>
        <c:axId val="332153312"/>
      </c:scatterChart>
      <c:valAx>
        <c:axId val="332153704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Income (in 2005 dollar per person per year)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332153312"/>
        <c:crosses val="autoZero"/>
        <c:crossBetween val="midCat"/>
      </c:valAx>
      <c:valAx>
        <c:axId val="332153312"/>
        <c:scaling>
          <c:orientation val="minMax"/>
          <c:max val="10"/>
          <c:min val="-2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Welfare-equivalent income change (in percent)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321537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 b="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537447483391089E-2"/>
          <c:y val="2.8982123557743288E-2"/>
          <c:w val="0.9175154147826855"/>
          <c:h val="0.9032674577358438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7"/>
          </c:marker>
          <c:errBars>
            <c:errDir val="y"/>
            <c:errBarType val="both"/>
            <c:errValType val="cust"/>
            <c:noEndCap val="1"/>
            <c:plus>
              <c:numRef>
                <c:f>country!$M$5:$M$202</c:f>
                <c:numCache>
                  <c:formatCode>General</c:formatCode>
                  <c:ptCount val="198"/>
                  <c:pt idx="0">
                    <c:v>7.4031147126757499</c:v>
                  </c:pt>
                  <c:pt idx="1">
                    <c:v>3.7478320307498234</c:v>
                  </c:pt>
                  <c:pt idx="2">
                    <c:v>5.8650978350571661</c:v>
                  </c:pt>
                  <c:pt idx="3">
                    <c:v>5.3811019374800422</c:v>
                  </c:pt>
                  <c:pt idx="4">
                    <c:v>7.3941893671217782</c:v>
                  </c:pt>
                  <c:pt idx="5">
                    <c:v>7.0316626005548795</c:v>
                  </c:pt>
                  <c:pt idx="6">
                    <c:v>4.17882925824886</c:v>
                  </c:pt>
                  <c:pt idx="7">
                    <c:v>3.9285047073943034</c:v>
                  </c:pt>
                  <c:pt idx="8">
                    <c:v>6.8680098177133493</c:v>
                  </c:pt>
                  <c:pt idx="9">
                    <c:v>3.4324537415895455</c:v>
                  </c:pt>
                  <c:pt idx="10">
                    <c:v>5.3021303300511065</c:v>
                  </c:pt>
                  <c:pt idx="11">
                    <c:v>4.0787269101908334</c:v>
                  </c:pt>
                  <c:pt idx="12">
                    <c:v>6.6726157611089345</c:v>
                  </c:pt>
                  <c:pt idx="13">
                    <c:v>6.7349268464492509</c:v>
                  </c:pt>
                  <c:pt idx="14">
                    <c:v>23.414783212770288</c:v>
                  </c:pt>
                  <c:pt idx="15">
                    <c:v>6.8519162143656356</c:v>
                  </c:pt>
                  <c:pt idx="16">
                    <c:v>6.2406330135269297</c:v>
                  </c:pt>
                  <c:pt idx="17">
                    <c:v>5.3076118162459203</c:v>
                  </c:pt>
                  <c:pt idx="18">
                    <c:v>7.314275427681296</c:v>
                  </c:pt>
                  <c:pt idx="19">
                    <c:v>8.762496590513507</c:v>
                  </c:pt>
                  <c:pt idx="20">
                    <c:v>6.3267029556204601</c:v>
                  </c:pt>
                  <c:pt idx="21">
                    <c:v>6.5813912395863277</c:v>
                  </c:pt>
                  <c:pt idx="22">
                    <c:v>7.6569967889129815</c:v>
                  </c:pt>
                  <c:pt idx="23">
                    <c:v>4.3571483027330533</c:v>
                  </c:pt>
                  <c:pt idx="24">
                    <c:v>16.12738414332663</c:v>
                  </c:pt>
                  <c:pt idx="25">
                    <c:v>7.2462985692962691</c:v>
                  </c:pt>
                  <c:pt idx="26">
                    <c:v>6.6390755954001044</c:v>
                  </c:pt>
                  <c:pt idx="27">
                    <c:v>3.8678328864791376</c:v>
                  </c:pt>
                  <c:pt idx="28">
                    <c:v>22.002885831753105</c:v>
                  </c:pt>
                  <c:pt idx="29">
                    <c:v>8.6057884413677517</c:v>
                  </c:pt>
                  <c:pt idx="30">
                    <c:v>8.4986888807019252</c:v>
                  </c:pt>
                  <c:pt idx="31">
                    <c:v>8.5863838725773967</c:v>
                  </c:pt>
                  <c:pt idx="32">
                    <c:v>8.2874897203388223</c:v>
                  </c:pt>
                  <c:pt idx="33">
                    <c:v>4.0805525523942983</c:v>
                  </c:pt>
                  <c:pt idx="34">
                    <c:v>7.5758254439956705</c:v>
                  </c:pt>
                  <c:pt idx="35">
                    <c:v>8.7024702864293051</c:v>
                  </c:pt>
                  <c:pt idx="36">
                    <c:v>8.6048675394258751</c:v>
                  </c:pt>
                  <c:pt idx="37">
                    <c:v>4.9299557964192999</c:v>
                  </c:pt>
                  <c:pt idx="38">
                    <c:v>3.7466148829186388</c:v>
                  </c:pt>
                  <c:pt idx="39">
                    <c:v>11.324957436421178</c:v>
                  </c:pt>
                  <c:pt idx="40">
                    <c:v>8.5057797649936706</c:v>
                  </c:pt>
                  <c:pt idx="41">
                    <c:v>8.9681435136600776</c:v>
                  </c:pt>
                  <c:pt idx="42">
                    <c:v>7.8047005092577333</c:v>
                  </c:pt>
                  <c:pt idx="43">
                    <c:v>7.1452121257397376</c:v>
                  </c:pt>
                  <c:pt idx="44">
                    <c:v>3.2169766842895733</c:v>
                  </c:pt>
                  <c:pt idx="45">
                    <c:v>7.1870936125652918</c:v>
                  </c:pt>
                  <c:pt idx="46">
                    <c:v>3.2080005384242876</c:v>
                  </c:pt>
                  <c:pt idx="47">
                    <c:v>4.0095200633816006</c:v>
                  </c:pt>
                  <c:pt idx="48">
                    <c:v>5.3139585155919349</c:v>
                  </c:pt>
                  <c:pt idx="49">
                    <c:v>8.3294614952570125</c:v>
                  </c:pt>
                  <c:pt idx="50">
                    <c:v>6.9626994309788577</c:v>
                  </c:pt>
                  <c:pt idx="51">
                    <c:v>8.0082204665086802</c:v>
                  </c:pt>
                  <c:pt idx="52">
                    <c:v>13.307576826646152</c:v>
                  </c:pt>
                  <c:pt idx="53">
                    <c:v>9.1265958937685578</c:v>
                  </c:pt>
                  <c:pt idx="54">
                    <c:v>14.180663366773267</c:v>
                  </c:pt>
                  <c:pt idx="55">
                    <c:v>7.0389350477666195</c:v>
                  </c:pt>
                  <c:pt idx="56">
                    <c:v>9.1705760276334534</c:v>
                  </c:pt>
                  <c:pt idx="57">
                    <c:v>5.3296186039874041</c:v>
                  </c:pt>
                  <c:pt idx="58">
                    <c:v>7.8896129965933302</c:v>
                  </c:pt>
                  <c:pt idx="59">
                    <c:v>5.4113253435323294</c:v>
                  </c:pt>
                  <c:pt idx="60">
                    <c:v>7.2042420623156334</c:v>
                  </c:pt>
                  <c:pt idx="61">
                    <c:v>3.8145046966488159</c:v>
                  </c:pt>
                  <c:pt idx="62">
                    <c:v>2.7190380228612998</c:v>
                  </c:pt>
                  <c:pt idx="63">
                    <c:v>7.2012678056620167</c:v>
                  </c:pt>
                  <c:pt idx="64">
                    <c:v>8.8537033278714112</c:v>
                  </c:pt>
                  <c:pt idx="65">
                    <c:v>4.0275651541811657</c:v>
                  </c:pt>
                  <c:pt idx="66">
                    <c:v>2.9637633867043114</c:v>
                  </c:pt>
                  <c:pt idx="67">
                    <c:v>20.202175802455159</c:v>
                  </c:pt>
                  <c:pt idx="68">
                    <c:v>5.4891750003700883</c:v>
                  </c:pt>
                  <c:pt idx="69">
                    <c:v>5.7688572859634979</c:v>
                  </c:pt>
                  <c:pt idx="70">
                    <c:v>7.2532996943116208</c:v>
                  </c:pt>
                  <c:pt idx="71">
                    <c:v>23.576785759691031</c:v>
                  </c:pt>
                  <c:pt idx="72">
                    <c:v>8.8177913310643454</c:v>
                  </c:pt>
                  <c:pt idx="73">
                    <c:v>8.8322869180291228</c:v>
                  </c:pt>
                  <c:pt idx="74">
                    <c:v>8.2089762011496585</c:v>
                  </c:pt>
                  <c:pt idx="75">
                    <c:v>8.4252191830900856</c:v>
                  </c:pt>
                  <c:pt idx="76">
                    <c:v>7.6475805587649077</c:v>
                  </c:pt>
                  <c:pt idx="77">
                    <c:v>3.8998540154589816</c:v>
                  </c:pt>
                  <c:pt idx="78">
                    <c:v>3.2226374500059527</c:v>
                  </c:pt>
                  <c:pt idx="79">
                    <c:v>5.5962600830211038</c:v>
                  </c:pt>
                  <c:pt idx="80">
                    <c:v>15.502554738124582</c:v>
                  </c:pt>
                  <c:pt idx="81">
                    <c:v>10.032264160911252</c:v>
                  </c:pt>
                  <c:pt idx="82">
                    <c:v>4.4711863889625425</c:v>
                  </c:pt>
                  <c:pt idx="83">
                    <c:v>9.2994931985579967</c:v>
                  </c:pt>
                  <c:pt idx="84">
                    <c:v>5.3502714619008964</c:v>
                  </c:pt>
                  <c:pt idx="85">
                    <c:v>5.3751514177475936</c:v>
                  </c:pt>
                  <c:pt idx="86">
                    <c:v>3.645867769158734</c:v>
                  </c:pt>
                  <c:pt idx="87">
                    <c:v>2.6082030098286699</c:v>
                  </c:pt>
                  <c:pt idx="88">
                    <c:v>7.4264604419027878</c:v>
                  </c:pt>
                  <c:pt idx="89">
                    <c:v>2.8450000635989534</c:v>
                  </c:pt>
                  <c:pt idx="90">
                    <c:v>5.4413656832764365</c:v>
                  </c:pt>
                  <c:pt idx="91">
                    <c:v>5.6176941640024749</c:v>
                  </c:pt>
                  <c:pt idx="92">
                    <c:v>8.4249015839420256</c:v>
                  </c:pt>
                  <c:pt idx="93">
                    <c:v>8.296081929139504</c:v>
                  </c:pt>
                  <c:pt idx="94">
                    <c:v>6.0165040659442619</c:v>
                  </c:pt>
                  <c:pt idx="95">
                    <c:v>6.4648157874055325</c:v>
                  </c:pt>
                  <c:pt idx="96">
                    <c:v>4.6015175438726601</c:v>
                  </c:pt>
                  <c:pt idx="97">
                    <c:v>8.0750070665708318</c:v>
                  </c:pt>
                  <c:pt idx="98">
                    <c:v>5.4042899972761473</c:v>
                  </c:pt>
                  <c:pt idx="99">
                    <c:v>6.5075780880607077</c:v>
                  </c:pt>
                  <c:pt idx="100">
                    <c:v>7.2438667683287843</c:v>
                  </c:pt>
                  <c:pt idx="101">
                    <c:v>8.9636549822970242</c:v>
                  </c:pt>
                  <c:pt idx="102">
                    <c:v>6.8367520961937309</c:v>
                  </c:pt>
                  <c:pt idx="103">
                    <c:v>5.4812839585883104</c:v>
                  </c:pt>
                  <c:pt idx="104">
                    <c:v>5.1152767398217662</c:v>
                  </c:pt>
                  <c:pt idx="105">
                    <c:v>5.3860609676460927</c:v>
                  </c:pt>
                  <c:pt idx="106">
                    <c:v>6.2958147674536704</c:v>
                  </c:pt>
                  <c:pt idx="107">
                    <c:v>3.905192160963435</c:v>
                  </c:pt>
                  <c:pt idx="108">
                    <c:v>8.6858721507807779</c:v>
                  </c:pt>
                  <c:pt idx="109">
                    <c:v>8.5856166977054933</c:v>
                  </c:pt>
                  <c:pt idx="110">
                    <c:v>6.5781960760591289</c:v>
                  </c:pt>
                  <c:pt idx="111">
                    <c:v>7.3865386032976152</c:v>
                  </c:pt>
                  <c:pt idx="112">
                    <c:v>26.613271328417643</c:v>
                  </c:pt>
                  <c:pt idx="113">
                    <c:v>5.8106164479551676</c:v>
                  </c:pt>
                  <c:pt idx="114">
                    <c:v>7.630559892451549</c:v>
                  </c:pt>
                  <c:pt idx="115">
                    <c:v>8.601131078377545</c:v>
                  </c:pt>
                  <c:pt idx="116">
                    <c:v>7.0755145613129597</c:v>
                  </c:pt>
                  <c:pt idx="117">
                    <c:v>6.9678648439018467</c:v>
                  </c:pt>
                  <c:pt idx="118">
                    <c:v>7.7444931310607714</c:v>
                  </c:pt>
                  <c:pt idx="119">
                    <c:v>5.7012182596017862</c:v>
                  </c:pt>
                  <c:pt idx="120">
                    <c:v>5.3887933302267212</c:v>
                  </c:pt>
                  <c:pt idx="121">
                    <c:v>6.3162592766563996</c:v>
                  </c:pt>
                  <c:pt idx="122">
                    <c:v>5.9870268361898011</c:v>
                  </c:pt>
                  <c:pt idx="123">
                    <c:v>6.7612499484367259</c:v>
                  </c:pt>
                  <c:pt idx="124">
                    <c:v>8.5069465032829683</c:v>
                  </c:pt>
                  <c:pt idx="125">
                    <c:v>6.9865531278337274</c:v>
                  </c:pt>
                  <c:pt idx="126">
                    <c:v>7.0966744054386144</c:v>
                  </c:pt>
                  <c:pt idx="127">
                    <c:v>2.9887016814468255</c:v>
                  </c:pt>
                  <c:pt idx="128">
                    <c:v>2.9741974416587742</c:v>
                  </c:pt>
                  <c:pt idx="129">
                    <c:v>7.8409964460581509</c:v>
                  </c:pt>
                  <c:pt idx="130">
                    <c:v>9.0951359666844276</c:v>
                  </c:pt>
                  <c:pt idx="131">
                    <c:v>17.398498953633805</c:v>
                  </c:pt>
                  <c:pt idx="132">
                    <c:v>3.5793484507970743</c:v>
                  </c:pt>
                  <c:pt idx="133">
                    <c:v>6.7003853859838518</c:v>
                  </c:pt>
                  <c:pt idx="134">
                    <c:v>16.55958539532158</c:v>
                  </c:pt>
                  <c:pt idx="135">
                    <c:v>7.4429445574701694</c:v>
                  </c:pt>
                  <c:pt idx="136">
                    <c:v>7.3360202005827038</c:v>
                  </c:pt>
                  <c:pt idx="137">
                    <c:v>7.2046159289290612</c:v>
                  </c:pt>
                  <c:pt idx="138">
                    <c:v>8.1506352305019671</c:v>
                  </c:pt>
                  <c:pt idx="139">
                    <c:v>7.5947122248992205</c:v>
                  </c:pt>
                  <c:pt idx="140">
                    <c:v>14.527220726605641</c:v>
                  </c:pt>
                  <c:pt idx="141">
                    <c:v>10.670671144120618</c:v>
                  </c:pt>
                  <c:pt idx="142">
                    <c:v>4.6081604264628862</c:v>
                  </c:pt>
                  <c:pt idx="143">
                    <c:v>5.5813995822840479</c:v>
                  </c:pt>
                  <c:pt idx="144">
                    <c:v>6.5864896452877213</c:v>
                  </c:pt>
                  <c:pt idx="145">
                    <c:v>6.3960945472599819</c:v>
                  </c:pt>
                  <c:pt idx="146">
                    <c:v>3.4448152105074064</c:v>
                  </c:pt>
                  <c:pt idx="147">
                    <c:v>5.3372975830728731</c:v>
                  </c:pt>
                  <c:pt idx="148">
                    <c:v>55.653457209245154</c:v>
                  </c:pt>
                  <c:pt idx="149">
                    <c:v>8.156202808305169</c:v>
                  </c:pt>
                  <c:pt idx="150">
                    <c:v>6.862551837964066</c:v>
                  </c:pt>
                  <c:pt idx="151">
                    <c:v>7.1743118496269922</c:v>
                  </c:pt>
                  <c:pt idx="152">
                    <c:v>7.2689967342655777</c:v>
                  </c:pt>
                  <c:pt idx="153">
                    <c:v>7.9908292239304464</c:v>
                  </c:pt>
                  <c:pt idx="154">
                    <c:v>5.3933085726965144</c:v>
                  </c:pt>
                  <c:pt idx="155">
                    <c:v>5.5103587380774099</c:v>
                  </c:pt>
                  <c:pt idx="156">
                    <c:v>9.093264412949857</c:v>
                  </c:pt>
                  <c:pt idx="157">
                    <c:v>6.0495365425947787</c:v>
                  </c:pt>
                  <c:pt idx="158">
                    <c:v>6.8818703275323356</c:v>
                  </c:pt>
                  <c:pt idx="159">
                    <c:v>8.9435565829196353</c:v>
                  </c:pt>
                  <c:pt idx="160">
                    <c:v>4.4241815387738974</c:v>
                  </c:pt>
                  <c:pt idx="161">
                    <c:v>3.5511297266266419</c:v>
                  </c:pt>
                  <c:pt idx="162">
                    <c:v>3.0712757055726354</c:v>
                  </c:pt>
                  <c:pt idx="163">
                    <c:v>8.060505065867396</c:v>
                  </c:pt>
                  <c:pt idx="164">
                    <c:v>5.0529208073186105</c:v>
                  </c:pt>
                  <c:pt idx="165">
                    <c:v>3.6179186814360165</c:v>
                  </c:pt>
                  <c:pt idx="166">
                    <c:v>2.6314504727630497</c:v>
                  </c:pt>
                  <c:pt idx="167">
                    <c:v>8.0026583947614807</c:v>
                  </c:pt>
                  <c:pt idx="168">
                    <c:v>8.2397689886649026</c:v>
                  </c:pt>
                  <c:pt idx="169">
                    <c:v>7.5552250104218963</c:v>
                  </c:pt>
                  <c:pt idx="170">
                    <c:v>7.4939247679673411</c:v>
                  </c:pt>
                  <c:pt idx="171">
                    <c:v>3.5439471893625543</c:v>
                  </c:pt>
                  <c:pt idx="172">
                    <c:v>3.1677297422114634</c:v>
                  </c:pt>
                  <c:pt idx="173">
                    <c:v>6.9148791120268234</c:v>
                  </c:pt>
                  <c:pt idx="174">
                    <c:v>6.3999576250982253</c:v>
                  </c:pt>
                  <c:pt idx="175">
                    <c:v>22.822758536353902</c:v>
                  </c:pt>
                  <c:pt idx="176">
                    <c:v>8.7946091522548446</c:v>
                  </c:pt>
                  <c:pt idx="177">
                    <c:v>8.2959795010856112</c:v>
                  </c:pt>
                  <c:pt idx="178">
                    <c:v>8.9958390230127865</c:v>
                  </c:pt>
                  <c:pt idx="179">
                    <c:v>7.438325126327662</c:v>
                  </c:pt>
                  <c:pt idx="180">
                    <c:v>4.6810940599919419</c:v>
                  </c:pt>
                  <c:pt idx="181">
                    <c:v>6.9688408237406447</c:v>
                  </c:pt>
                  <c:pt idx="182">
                    <c:v>3.8353166705895245</c:v>
                  </c:pt>
                  <c:pt idx="183">
                    <c:v>6.3513006750658585</c:v>
                  </c:pt>
                  <c:pt idx="184">
                    <c:v>7.9227234971588558</c:v>
                  </c:pt>
                  <c:pt idx="185">
                    <c:v>42.041730800181632</c:v>
                  </c:pt>
                  <c:pt idx="186">
                    <c:v>5.2894571220647109</c:v>
                  </c:pt>
                  <c:pt idx="187">
                    <c:v>6.6060447325566063</c:v>
                  </c:pt>
                  <c:pt idx="188">
                    <c:v>3.0453049439155295</c:v>
                  </c:pt>
                  <c:pt idx="189">
                    <c:v>2.4716049766749077</c:v>
                  </c:pt>
                  <c:pt idx="190">
                    <c:v>4.939002681424391</c:v>
                  </c:pt>
                  <c:pt idx="191">
                    <c:v>6.9690319894455337</c:v>
                  </c:pt>
                  <c:pt idx="192">
                    <c:v>7.4114375156873447</c:v>
                  </c:pt>
                  <c:pt idx="193">
                    <c:v>12.752189032526271</c:v>
                  </c:pt>
                  <c:pt idx="194">
                    <c:v>16.712614121099406</c:v>
                  </c:pt>
                  <c:pt idx="195">
                    <c:v>8.1538162298750692</c:v>
                  </c:pt>
                  <c:pt idx="196">
                    <c:v>35.401716347810058</c:v>
                  </c:pt>
                  <c:pt idx="197">
                    <c:v>8.2895410785997434</c:v>
                  </c:pt>
                </c:numCache>
              </c:numRef>
            </c:plus>
            <c:minus>
              <c:numRef>
                <c:f>country!$M$5:$M$202</c:f>
                <c:numCache>
                  <c:formatCode>General</c:formatCode>
                  <c:ptCount val="198"/>
                  <c:pt idx="0">
                    <c:v>7.4031147126757499</c:v>
                  </c:pt>
                  <c:pt idx="1">
                    <c:v>3.7478320307498234</c:v>
                  </c:pt>
                  <c:pt idx="2">
                    <c:v>5.8650978350571661</c:v>
                  </c:pt>
                  <c:pt idx="3">
                    <c:v>5.3811019374800422</c:v>
                  </c:pt>
                  <c:pt idx="4">
                    <c:v>7.3941893671217782</c:v>
                  </c:pt>
                  <c:pt idx="5">
                    <c:v>7.0316626005548795</c:v>
                  </c:pt>
                  <c:pt idx="6">
                    <c:v>4.17882925824886</c:v>
                  </c:pt>
                  <c:pt idx="7">
                    <c:v>3.9285047073943034</c:v>
                  </c:pt>
                  <c:pt idx="8">
                    <c:v>6.8680098177133493</c:v>
                  </c:pt>
                  <c:pt idx="9">
                    <c:v>3.4324537415895455</c:v>
                  </c:pt>
                  <c:pt idx="10">
                    <c:v>5.3021303300511065</c:v>
                  </c:pt>
                  <c:pt idx="11">
                    <c:v>4.0787269101908334</c:v>
                  </c:pt>
                  <c:pt idx="12">
                    <c:v>6.6726157611089345</c:v>
                  </c:pt>
                  <c:pt idx="13">
                    <c:v>6.7349268464492509</c:v>
                  </c:pt>
                  <c:pt idx="14">
                    <c:v>23.414783212770288</c:v>
                  </c:pt>
                  <c:pt idx="15">
                    <c:v>6.8519162143656356</c:v>
                  </c:pt>
                  <c:pt idx="16">
                    <c:v>6.2406330135269297</c:v>
                  </c:pt>
                  <c:pt idx="17">
                    <c:v>5.3076118162459203</c:v>
                  </c:pt>
                  <c:pt idx="18">
                    <c:v>7.314275427681296</c:v>
                  </c:pt>
                  <c:pt idx="19">
                    <c:v>8.762496590513507</c:v>
                  </c:pt>
                  <c:pt idx="20">
                    <c:v>6.3267029556204601</c:v>
                  </c:pt>
                  <c:pt idx="21">
                    <c:v>6.5813912395863277</c:v>
                  </c:pt>
                  <c:pt idx="22">
                    <c:v>7.6569967889129815</c:v>
                  </c:pt>
                  <c:pt idx="23">
                    <c:v>4.3571483027330533</c:v>
                  </c:pt>
                  <c:pt idx="24">
                    <c:v>16.12738414332663</c:v>
                  </c:pt>
                  <c:pt idx="25">
                    <c:v>7.2462985692962691</c:v>
                  </c:pt>
                  <c:pt idx="26">
                    <c:v>6.6390755954001044</c:v>
                  </c:pt>
                  <c:pt idx="27">
                    <c:v>3.8678328864791376</c:v>
                  </c:pt>
                  <c:pt idx="28">
                    <c:v>22.002885831753105</c:v>
                  </c:pt>
                  <c:pt idx="29">
                    <c:v>8.6057884413677517</c:v>
                  </c:pt>
                  <c:pt idx="30">
                    <c:v>8.4986888807019252</c:v>
                  </c:pt>
                  <c:pt idx="31">
                    <c:v>8.5863838725773967</c:v>
                  </c:pt>
                  <c:pt idx="32">
                    <c:v>8.2874897203388223</c:v>
                  </c:pt>
                  <c:pt idx="33">
                    <c:v>4.0805525523942983</c:v>
                  </c:pt>
                  <c:pt idx="34">
                    <c:v>7.5758254439956705</c:v>
                  </c:pt>
                  <c:pt idx="35">
                    <c:v>8.7024702864293051</c:v>
                  </c:pt>
                  <c:pt idx="36">
                    <c:v>8.6048675394258751</c:v>
                  </c:pt>
                  <c:pt idx="37">
                    <c:v>4.9299557964192999</c:v>
                  </c:pt>
                  <c:pt idx="38">
                    <c:v>3.7466148829186388</c:v>
                  </c:pt>
                  <c:pt idx="39">
                    <c:v>11.324957436421178</c:v>
                  </c:pt>
                  <c:pt idx="40">
                    <c:v>8.5057797649936706</c:v>
                  </c:pt>
                  <c:pt idx="41">
                    <c:v>8.9681435136600776</c:v>
                  </c:pt>
                  <c:pt idx="42">
                    <c:v>7.8047005092577333</c:v>
                  </c:pt>
                  <c:pt idx="43">
                    <c:v>7.1452121257397376</c:v>
                  </c:pt>
                  <c:pt idx="44">
                    <c:v>3.2169766842895733</c:v>
                  </c:pt>
                  <c:pt idx="45">
                    <c:v>7.1870936125652918</c:v>
                  </c:pt>
                  <c:pt idx="46">
                    <c:v>3.2080005384242876</c:v>
                  </c:pt>
                  <c:pt idx="47">
                    <c:v>4.0095200633816006</c:v>
                  </c:pt>
                  <c:pt idx="48">
                    <c:v>5.3139585155919349</c:v>
                  </c:pt>
                  <c:pt idx="49">
                    <c:v>8.3294614952570125</c:v>
                  </c:pt>
                  <c:pt idx="50">
                    <c:v>6.9626994309788577</c:v>
                  </c:pt>
                  <c:pt idx="51">
                    <c:v>8.0082204665086802</c:v>
                  </c:pt>
                  <c:pt idx="52">
                    <c:v>13.307576826646152</c:v>
                  </c:pt>
                  <c:pt idx="53">
                    <c:v>9.1265958937685578</c:v>
                  </c:pt>
                  <c:pt idx="54">
                    <c:v>14.180663366773267</c:v>
                  </c:pt>
                  <c:pt idx="55">
                    <c:v>7.0389350477666195</c:v>
                  </c:pt>
                  <c:pt idx="56">
                    <c:v>9.1705760276334534</c:v>
                  </c:pt>
                  <c:pt idx="57">
                    <c:v>5.3296186039874041</c:v>
                  </c:pt>
                  <c:pt idx="58">
                    <c:v>7.8896129965933302</c:v>
                  </c:pt>
                  <c:pt idx="59">
                    <c:v>5.4113253435323294</c:v>
                  </c:pt>
                  <c:pt idx="60">
                    <c:v>7.2042420623156334</c:v>
                  </c:pt>
                  <c:pt idx="61">
                    <c:v>3.8145046966488159</c:v>
                  </c:pt>
                  <c:pt idx="62">
                    <c:v>2.7190380228612998</c:v>
                  </c:pt>
                  <c:pt idx="63">
                    <c:v>7.2012678056620167</c:v>
                  </c:pt>
                  <c:pt idx="64">
                    <c:v>8.8537033278714112</c:v>
                  </c:pt>
                  <c:pt idx="65">
                    <c:v>4.0275651541811657</c:v>
                  </c:pt>
                  <c:pt idx="66">
                    <c:v>2.9637633867043114</c:v>
                  </c:pt>
                  <c:pt idx="67">
                    <c:v>20.202175802455159</c:v>
                  </c:pt>
                  <c:pt idx="68">
                    <c:v>5.4891750003700883</c:v>
                  </c:pt>
                  <c:pt idx="69">
                    <c:v>5.7688572859634979</c:v>
                  </c:pt>
                  <c:pt idx="70">
                    <c:v>7.2532996943116208</c:v>
                  </c:pt>
                  <c:pt idx="71">
                    <c:v>23.576785759691031</c:v>
                  </c:pt>
                  <c:pt idx="72">
                    <c:v>8.8177913310643454</c:v>
                  </c:pt>
                  <c:pt idx="73">
                    <c:v>8.8322869180291228</c:v>
                  </c:pt>
                  <c:pt idx="74">
                    <c:v>8.2089762011496585</c:v>
                  </c:pt>
                  <c:pt idx="75">
                    <c:v>8.4252191830900856</c:v>
                  </c:pt>
                  <c:pt idx="76">
                    <c:v>7.6475805587649077</c:v>
                  </c:pt>
                  <c:pt idx="77">
                    <c:v>3.8998540154589816</c:v>
                  </c:pt>
                  <c:pt idx="78">
                    <c:v>3.2226374500059527</c:v>
                  </c:pt>
                  <c:pt idx="79">
                    <c:v>5.5962600830211038</c:v>
                  </c:pt>
                  <c:pt idx="80">
                    <c:v>15.502554738124582</c:v>
                  </c:pt>
                  <c:pt idx="81">
                    <c:v>10.032264160911252</c:v>
                  </c:pt>
                  <c:pt idx="82">
                    <c:v>4.4711863889625425</c:v>
                  </c:pt>
                  <c:pt idx="83">
                    <c:v>9.2994931985579967</c:v>
                  </c:pt>
                  <c:pt idx="84">
                    <c:v>5.3502714619008964</c:v>
                  </c:pt>
                  <c:pt idx="85">
                    <c:v>5.3751514177475936</c:v>
                  </c:pt>
                  <c:pt idx="86">
                    <c:v>3.645867769158734</c:v>
                  </c:pt>
                  <c:pt idx="87">
                    <c:v>2.6082030098286699</c:v>
                  </c:pt>
                  <c:pt idx="88">
                    <c:v>7.4264604419027878</c:v>
                  </c:pt>
                  <c:pt idx="89">
                    <c:v>2.8450000635989534</c:v>
                  </c:pt>
                  <c:pt idx="90">
                    <c:v>5.4413656832764365</c:v>
                  </c:pt>
                  <c:pt idx="91">
                    <c:v>5.6176941640024749</c:v>
                  </c:pt>
                  <c:pt idx="92">
                    <c:v>8.4249015839420256</c:v>
                  </c:pt>
                  <c:pt idx="93">
                    <c:v>8.296081929139504</c:v>
                  </c:pt>
                  <c:pt idx="94">
                    <c:v>6.0165040659442619</c:v>
                  </c:pt>
                  <c:pt idx="95">
                    <c:v>6.4648157874055325</c:v>
                  </c:pt>
                  <c:pt idx="96">
                    <c:v>4.6015175438726601</c:v>
                  </c:pt>
                  <c:pt idx="97">
                    <c:v>8.0750070665708318</c:v>
                  </c:pt>
                  <c:pt idx="98">
                    <c:v>5.4042899972761473</c:v>
                  </c:pt>
                  <c:pt idx="99">
                    <c:v>6.5075780880607077</c:v>
                  </c:pt>
                  <c:pt idx="100">
                    <c:v>7.2438667683287843</c:v>
                  </c:pt>
                  <c:pt idx="101">
                    <c:v>8.9636549822970242</c:v>
                  </c:pt>
                  <c:pt idx="102">
                    <c:v>6.8367520961937309</c:v>
                  </c:pt>
                  <c:pt idx="103">
                    <c:v>5.4812839585883104</c:v>
                  </c:pt>
                  <c:pt idx="104">
                    <c:v>5.1152767398217662</c:v>
                  </c:pt>
                  <c:pt idx="105">
                    <c:v>5.3860609676460927</c:v>
                  </c:pt>
                  <c:pt idx="106">
                    <c:v>6.2958147674536704</c:v>
                  </c:pt>
                  <c:pt idx="107">
                    <c:v>3.905192160963435</c:v>
                  </c:pt>
                  <c:pt idx="108">
                    <c:v>8.6858721507807779</c:v>
                  </c:pt>
                  <c:pt idx="109">
                    <c:v>8.5856166977054933</c:v>
                  </c:pt>
                  <c:pt idx="110">
                    <c:v>6.5781960760591289</c:v>
                  </c:pt>
                  <c:pt idx="111">
                    <c:v>7.3865386032976152</c:v>
                  </c:pt>
                  <c:pt idx="112">
                    <c:v>26.613271328417643</c:v>
                  </c:pt>
                  <c:pt idx="113">
                    <c:v>5.8106164479551676</c:v>
                  </c:pt>
                  <c:pt idx="114">
                    <c:v>7.630559892451549</c:v>
                  </c:pt>
                  <c:pt idx="115">
                    <c:v>8.601131078377545</c:v>
                  </c:pt>
                  <c:pt idx="116">
                    <c:v>7.0755145613129597</c:v>
                  </c:pt>
                  <c:pt idx="117">
                    <c:v>6.9678648439018467</c:v>
                  </c:pt>
                  <c:pt idx="118">
                    <c:v>7.7444931310607714</c:v>
                  </c:pt>
                  <c:pt idx="119">
                    <c:v>5.7012182596017862</c:v>
                  </c:pt>
                  <c:pt idx="120">
                    <c:v>5.3887933302267212</c:v>
                  </c:pt>
                  <c:pt idx="121">
                    <c:v>6.3162592766563996</c:v>
                  </c:pt>
                  <c:pt idx="122">
                    <c:v>5.9870268361898011</c:v>
                  </c:pt>
                  <c:pt idx="123">
                    <c:v>6.7612499484367259</c:v>
                  </c:pt>
                  <c:pt idx="124">
                    <c:v>8.5069465032829683</c:v>
                  </c:pt>
                  <c:pt idx="125">
                    <c:v>6.9865531278337274</c:v>
                  </c:pt>
                  <c:pt idx="126">
                    <c:v>7.0966744054386144</c:v>
                  </c:pt>
                  <c:pt idx="127">
                    <c:v>2.9887016814468255</c:v>
                  </c:pt>
                  <c:pt idx="128">
                    <c:v>2.9741974416587742</c:v>
                  </c:pt>
                  <c:pt idx="129">
                    <c:v>7.8409964460581509</c:v>
                  </c:pt>
                  <c:pt idx="130">
                    <c:v>9.0951359666844276</c:v>
                  </c:pt>
                  <c:pt idx="131">
                    <c:v>17.398498953633805</c:v>
                  </c:pt>
                  <c:pt idx="132">
                    <c:v>3.5793484507970743</c:v>
                  </c:pt>
                  <c:pt idx="133">
                    <c:v>6.7003853859838518</c:v>
                  </c:pt>
                  <c:pt idx="134">
                    <c:v>16.55958539532158</c:v>
                  </c:pt>
                  <c:pt idx="135">
                    <c:v>7.4429445574701694</c:v>
                  </c:pt>
                  <c:pt idx="136">
                    <c:v>7.3360202005827038</c:v>
                  </c:pt>
                  <c:pt idx="137">
                    <c:v>7.2046159289290612</c:v>
                  </c:pt>
                  <c:pt idx="138">
                    <c:v>8.1506352305019671</c:v>
                  </c:pt>
                  <c:pt idx="139">
                    <c:v>7.5947122248992205</c:v>
                  </c:pt>
                  <c:pt idx="140">
                    <c:v>14.527220726605641</c:v>
                  </c:pt>
                  <c:pt idx="141">
                    <c:v>10.670671144120618</c:v>
                  </c:pt>
                  <c:pt idx="142">
                    <c:v>4.6081604264628862</c:v>
                  </c:pt>
                  <c:pt idx="143">
                    <c:v>5.5813995822840479</c:v>
                  </c:pt>
                  <c:pt idx="144">
                    <c:v>6.5864896452877213</c:v>
                  </c:pt>
                  <c:pt idx="145">
                    <c:v>6.3960945472599819</c:v>
                  </c:pt>
                  <c:pt idx="146">
                    <c:v>3.4448152105074064</c:v>
                  </c:pt>
                  <c:pt idx="147">
                    <c:v>5.3372975830728731</c:v>
                  </c:pt>
                  <c:pt idx="148">
                    <c:v>55.653457209245154</c:v>
                  </c:pt>
                  <c:pt idx="149">
                    <c:v>8.156202808305169</c:v>
                  </c:pt>
                  <c:pt idx="150">
                    <c:v>6.862551837964066</c:v>
                  </c:pt>
                  <c:pt idx="151">
                    <c:v>7.1743118496269922</c:v>
                  </c:pt>
                  <c:pt idx="152">
                    <c:v>7.2689967342655777</c:v>
                  </c:pt>
                  <c:pt idx="153">
                    <c:v>7.9908292239304464</c:v>
                  </c:pt>
                  <c:pt idx="154">
                    <c:v>5.3933085726965144</c:v>
                  </c:pt>
                  <c:pt idx="155">
                    <c:v>5.5103587380774099</c:v>
                  </c:pt>
                  <c:pt idx="156">
                    <c:v>9.093264412949857</c:v>
                  </c:pt>
                  <c:pt idx="157">
                    <c:v>6.0495365425947787</c:v>
                  </c:pt>
                  <c:pt idx="158">
                    <c:v>6.8818703275323356</c:v>
                  </c:pt>
                  <c:pt idx="159">
                    <c:v>8.9435565829196353</c:v>
                  </c:pt>
                  <c:pt idx="160">
                    <c:v>4.4241815387738974</c:v>
                  </c:pt>
                  <c:pt idx="161">
                    <c:v>3.5511297266266419</c:v>
                  </c:pt>
                  <c:pt idx="162">
                    <c:v>3.0712757055726354</c:v>
                  </c:pt>
                  <c:pt idx="163">
                    <c:v>8.060505065867396</c:v>
                  </c:pt>
                  <c:pt idx="164">
                    <c:v>5.0529208073186105</c:v>
                  </c:pt>
                  <c:pt idx="165">
                    <c:v>3.6179186814360165</c:v>
                  </c:pt>
                  <c:pt idx="166">
                    <c:v>2.6314504727630497</c:v>
                  </c:pt>
                  <c:pt idx="167">
                    <c:v>8.0026583947614807</c:v>
                  </c:pt>
                  <c:pt idx="168">
                    <c:v>8.2397689886649026</c:v>
                  </c:pt>
                  <c:pt idx="169">
                    <c:v>7.5552250104218963</c:v>
                  </c:pt>
                  <c:pt idx="170">
                    <c:v>7.4939247679673411</c:v>
                  </c:pt>
                  <c:pt idx="171">
                    <c:v>3.5439471893625543</c:v>
                  </c:pt>
                  <c:pt idx="172">
                    <c:v>3.1677297422114634</c:v>
                  </c:pt>
                  <c:pt idx="173">
                    <c:v>6.9148791120268234</c:v>
                  </c:pt>
                  <c:pt idx="174">
                    <c:v>6.3999576250982253</c:v>
                  </c:pt>
                  <c:pt idx="175">
                    <c:v>22.822758536353902</c:v>
                  </c:pt>
                  <c:pt idx="176">
                    <c:v>8.7946091522548446</c:v>
                  </c:pt>
                  <c:pt idx="177">
                    <c:v>8.2959795010856112</c:v>
                  </c:pt>
                  <c:pt idx="178">
                    <c:v>8.9958390230127865</c:v>
                  </c:pt>
                  <c:pt idx="179">
                    <c:v>7.438325126327662</c:v>
                  </c:pt>
                  <c:pt idx="180">
                    <c:v>4.6810940599919419</c:v>
                  </c:pt>
                  <c:pt idx="181">
                    <c:v>6.9688408237406447</c:v>
                  </c:pt>
                  <c:pt idx="182">
                    <c:v>3.8353166705895245</c:v>
                  </c:pt>
                  <c:pt idx="183">
                    <c:v>6.3513006750658585</c:v>
                  </c:pt>
                  <c:pt idx="184">
                    <c:v>7.9227234971588558</c:v>
                  </c:pt>
                  <c:pt idx="185">
                    <c:v>42.041730800181632</c:v>
                  </c:pt>
                  <c:pt idx="186">
                    <c:v>5.2894571220647109</c:v>
                  </c:pt>
                  <c:pt idx="187">
                    <c:v>6.6060447325566063</c:v>
                  </c:pt>
                  <c:pt idx="188">
                    <c:v>3.0453049439155295</c:v>
                  </c:pt>
                  <c:pt idx="189">
                    <c:v>2.4716049766749077</c:v>
                  </c:pt>
                  <c:pt idx="190">
                    <c:v>4.939002681424391</c:v>
                  </c:pt>
                  <c:pt idx="191">
                    <c:v>6.9690319894455337</c:v>
                  </c:pt>
                  <c:pt idx="192">
                    <c:v>7.4114375156873447</c:v>
                  </c:pt>
                  <c:pt idx="193">
                    <c:v>12.752189032526271</c:v>
                  </c:pt>
                  <c:pt idx="194">
                    <c:v>16.712614121099406</c:v>
                  </c:pt>
                  <c:pt idx="195">
                    <c:v>8.1538162298750692</c:v>
                  </c:pt>
                  <c:pt idx="196">
                    <c:v>35.401716347810058</c:v>
                  </c:pt>
                  <c:pt idx="197">
                    <c:v>8.2895410785997434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  <c:spPr>
              <a:ln>
                <a:noFill/>
              </a:ln>
            </c:spPr>
          </c:errBars>
          <c:xVal>
            <c:numRef>
              <c:f>country!$G$5:$G$202</c:f>
              <c:numCache>
                <c:formatCode>0.0</c:formatCode>
                <c:ptCount val="198"/>
                <c:pt idx="0">
                  <c:v>12.6</c:v>
                </c:pt>
                <c:pt idx="1">
                  <c:v>11.4</c:v>
                </c:pt>
                <c:pt idx="2">
                  <c:v>22.5</c:v>
                </c:pt>
                <c:pt idx="3">
                  <c:v>7.6</c:v>
                </c:pt>
                <c:pt idx="4">
                  <c:v>21.5</c:v>
                </c:pt>
                <c:pt idx="5">
                  <c:v>0</c:v>
                </c:pt>
                <c:pt idx="6">
                  <c:v>14.8</c:v>
                </c:pt>
                <c:pt idx="7">
                  <c:v>7.1</c:v>
                </c:pt>
                <c:pt idx="8">
                  <c:v>27.8</c:v>
                </c:pt>
                <c:pt idx="9">
                  <c:v>21.6</c:v>
                </c:pt>
                <c:pt idx="10">
                  <c:v>6.3</c:v>
                </c:pt>
                <c:pt idx="11">
                  <c:v>11.9</c:v>
                </c:pt>
                <c:pt idx="12">
                  <c:v>24.8</c:v>
                </c:pt>
                <c:pt idx="13">
                  <c:v>27.1</c:v>
                </c:pt>
                <c:pt idx="14">
                  <c:v>25</c:v>
                </c:pt>
                <c:pt idx="15">
                  <c:v>26</c:v>
                </c:pt>
                <c:pt idx="16">
                  <c:v>6.2</c:v>
                </c:pt>
                <c:pt idx="17">
                  <c:v>9.6</c:v>
                </c:pt>
                <c:pt idx="18">
                  <c:v>25.3</c:v>
                </c:pt>
                <c:pt idx="19">
                  <c:v>27.5</c:v>
                </c:pt>
                <c:pt idx="20">
                  <c:v>21.3</c:v>
                </c:pt>
                <c:pt idx="21">
                  <c:v>7.4</c:v>
                </c:pt>
                <c:pt idx="22">
                  <c:v>21.5</c:v>
                </c:pt>
                <c:pt idx="23">
                  <c:v>9.8000000000000007</c:v>
                </c:pt>
                <c:pt idx="24">
                  <c:v>21.5</c:v>
                </c:pt>
                <c:pt idx="25">
                  <c:v>24.9</c:v>
                </c:pt>
                <c:pt idx="26">
                  <c:v>26.9</c:v>
                </c:pt>
                <c:pt idx="27">
                  <c:v>10.5</c:v>
                </c:pt>
                <c:pt idx="28">
                  <c:v>28.2</c:v>
                </c:pt>
                <c:pt idx="29">
                  <c:v>19.7</c:v>
                </c:pt>
                <c:pt idx="30">
                  <c:v>26.3</c:v>
                </c:pt>
                <c:pt idx="31">
                  <c:v>26.8</c:v>
                </c:pt>
                <c:pt idx="32">
                  <c:v>24.6</c:v>
                </c:pt>
                <c:pt idx="33">
                  <c:v>-5.4</c:v>
                </c:pt>
                <c:pt idx="34">
                  <c:v>23.3</c:v>
                </c:pt>
                <c:pt idx="35">
                  <c:v>24.9</c:v>
                </c:pt>
                <c:pt idx="36">
                  <c:v>26.5</c:v>
                </c:pt>
                <c:pt idx="37">
                  <c:v>8.5</c:v>
                </c:pt>
                <c:pt idx="38">
                  <c:v>6.9</c:v>
                </c:pt>
                <c:pt idx="39">
                  <c:v>24.5</c:v>
                </c:pt>
                <c:pt idx="40">
                  <c:v>25.6</c:v>
                </c:pt>
                <c:pt idx="41">
                  <c:v>24</c:v>
                </c:pt>
                <c:pt idx="42">
                  <c:v>24.5</c:v>
                </c:pt>
                <c:pt idx="43">
                  <c:v>24.8</c:v>
                </c:pt>
                <c:pt idx="44">
                  <c:v>10.9</c:v>
                </c:pt>
                <c:pt idx="45">
                  <c:v>25.2</c:v>
                </c:pt>
                <c:pt idx="46">
                  <c:v>18.399999999999999</c:v>
                </c:pt>
                <c:pt idx="47">
                  <c:v>7.5</c:v>
                </c:pt>
                <c:pt idx="48">
                  <c:v>7.5</c:v>
                </c:pt>
                <c:pt idx="49">
                  <c:v>28</c:v>
                </c:pt>
                <c:pt idx="50">
                  <c:v>22.3</c:v>
                </c:pt>
                <c:pt idx="51">
                  <c:v>24.5</c:v>
                </c:pt>
                <c:pt idx="52">
                  <c:v>21.8</c:v>
                </c:pt>
                <c:pt idx="53">
                  <c:v>22.1</c:v>
                </c:pt>
                <c:pt idx="54">
                  <c:v>24.4</c:v>
                </c:pt>
                <c:pt idx="55">
                  <c:v>24.5</c:v>
                </c:pt>
                <c:pt idx="56">
                  <c:v>25.5</c:v>
                </c:pt>
                <c:pt idx="57">
                  <c:v>5.0999999999999996</c:v>
                </c:pt>
                <c:pt idx="58">
                  <c:v>22.2</c:v>
                </c:pt>
                <c:pt idx="59">
                  <c:v>6.7</c:v>
                </c:pt>
                <c:pt idx="60">
                  <c:v>24.4</c:v>
                </c:pt>
                <c:pt idx="61">
                  <c:v>1.7</c:v>
                </c:pt>
                <c:pt idx="62">
                  <c:v>10.7</c:v>
                </c:pt>
                <c:pt idx="63">
                  <c:v>25</c:v>
                </c:pt>
                <c:pt idx="64">
                  <c:v>27.5</c:v>
                </c:pt>
                <c:pt idx="65">
                  <c:v>5.8</c:v>
                </c:pt>
                <c:pt idx="66">
                  <c:v>8.4</c:v>
                </c:pt>
                <c:pt idx="67">
                  <c:v>27.2</c:v>
                </c:pt>
                <c:pt idx="68">
                  <c:v>15.4</c:v>
                </c:pt>
                <c:pt idx="69">
                  <c:v>-1.4</c:v>
                </c:pt>
                <c:pt idx="70">
                  <c:v>26.6</c:v>
                </c:pt>
                <c:pt idx="71">
                  <c:v>23.4</c:v>
                </c:pt>
                <c:pt idx="72">
                  <c:v>25.7</c:v>
                </c:pt>
                <c:pt idx="73">
                  <c:v>26.7</c:v>
                </c:pt>
                <c:pt idx="74">
                  <c:v>25.9</c:v>
                </c:pt>
                <c:pt idx="75">
                  <c:v>24.8</c:v>
                </c:pt>
                <c:pt idx="76">
                  <c:v>23.5</c:v>
                </c:pt>
                <c:pt idx="77">
                  <c:v>22.7</c:v>
                </c:pt>
                <c:pt idx="78">
                  <c:v>9.8000000000000007</c:v>
                </c:pt>
                <c:pt idx="79">
                  <c:v>1.7</c:v>
                </c:pt>
                <c:pt idx="80">
                  <c:v>23.7</c:v>
                </c:pt>
                <c:pt idx="81">
                  <c:v>25.8</c:v>
                </c:pt>
                <c:pt idx="82">
                  <c:v>17.2</c:v>
                </c:pt>
                <c:pt idx="83">
                  <c:v>21.4</c:v>
                </c:pt>
                <c:pt idx="84">
                  <c:v>9.3000000000000007</c:v>
                </c:pt>
                <c:pt idx="85">
                  <c:v>9.3000000000000007</c:v>
                </c:pt>
                <c:pt idx="86">
                  <c:v>19.2</c:v>
                </c:pt>
                <c:pt idx="87">
                  <c:v>13.4</c:v>
                </c:pt>
                <c:pt idx="88">
                  <c:v>27.2</c:v>
                </c:pt>
                <c:pt idx="89">
                  <c:v>11.1</c:v>
                </c:pt>
                <c:pt idx="90">
                  <c:v>18.3</c:v>
                </c:pt>
                <c:pt idx="91">
                  <c:v>6.4</c:v>
                </c:pt>
                <c:pt idx="92">
                  <c:v>24.7</c:v>
                </c:pt>
                <c:pt idx="93">
                  <c:v>28.2</c:v>
                </c:pt>
                <c:pt idx="94">
                  <c:v>9.9</c:v>
                </c:pt>
                <c:pt idx="95">
                  <c:v>25.3</c:v>
                </c:pt>
                <c:pt idx="96">
                  <c:v>1.6</c:v>
                </c:pt>
                <c:pt idx="97">
                  <c:v>22.7</c:v>
                </c:pt>
                <c:pt idx="98">
                  <c:v>5.6</c:v>
                </c:pt>
                <c:pt idx="99">
                  <c:v>16.399999999999999</c:v>
                </c:pt>
                <c:pt idx="100">
                  <c:v>11.8</c:v>
                </c:pt>
                <c:pt idx="101">
                  <c:v>25.3</c:v>
                </c:pt>
                <c:pt idx="102">
                  <c:v>21.8</c:v>
                </c:pt>
                <c:pt idx="103">
                  <c:v>10.199999999999999</c:v>
                </c:pt>
                <c:pt idx="104">
                  <c:v>6.2</c:v>
                </c:pt>
                <c:pt idx="105">
                  <c:v>8.6999999999999993</c:v>
                </c:pt>
                <c:pt idx="106">
                  <c:v>22.8</c:v>
                </c:pt>
                <c:pt idx="107">
                  <c:v>9.8000000000000007</c:v>
                </c:pt>
                <c:pt idx="108">
                  <c:v>22.6</c:v>
                </c:pt>
                <c:pt idx="109">
                  <c:v>21.9</c:v>
                </c:pt>
                <c:pt idx="110">
                  <c:v>25.4</c:v>
                </c:pt>
                <c:pt idx="111">
                  <c:v>27.6</c:v>
                </c:pt>
                <c:pt idx="112">
                  <c:v>28.2</c:v>
                </c:pt>
                <c:pt idx="113">
                  <c:v>19.2</c:v>
                </c:pt>
                <c:pt idx="114">
                  <c:v>27.4</c:v>
                </c:pt>
                <c:pt idx="115">
                  <c:v>27.6</c:v>
                </c:pt>
                <c:pt idx="116">
                  <c:v>22.4</c:v>
                </c:pt>
                <c:pt idx="117">
                  <c:v>21</c:v>
                </c:pt>
                <c:pt idx="118">
                  <c:v>27.6</c:v>
                </c:pt>
                <c:pt idx="119">
                  <c:v>9.4</c:v>
                </c:pt>
                <c:pt idx="120">
                  <c:v>16.2</c:v>
                </c:pt>
                <c:pt idx="121">
                  <c:v>-0.7</c:v>
                </c:pt>
                <c:pt idx="122">
                  <c:v>9.9</c:v>
                </c:pt>
                <c:pt idx="123">
                  <c:v>17.100000000000001</c:v>
                </c:pt>
                <c:pt idx="124">
                  <c:v>23.8</c:v>
                </c:pt>
                <c:pt idx="125">
                  <c:v>19.899999999999999</c:v>
                </c:pt>
                <c:pt idx="126">
                  <c:v>8.1</c:v>
                </c:pt>
                <c:pt idx="127">
                  <c:v>9.1999999999999993</c:v>
                </c:pt>
                <c:pt idx="128">
                  <c:v>10.5</c:v>
                </c:pt>
                <c:pt idx="129">
                  <c:v>24.8</c:v>
                </c:pt>
                <c:pt idx="130">
                  <c:v>27.1</c:v>
                </c:pt>
                <c:pt idx="131">
                  <c:v>26.8</c:v>
                </c:pt>
                <c:pt idx="132">
                  <c:v>1.5</c:v>
                </c:pt>
                <c:pt idx="133">
                  <c:v>25.6</c:v>
                </c:pt>
                <c:pt idx="134">
                  <c:v>20.2</c:v>
                </c:pt>
                <c:pt idx="135">
                  <c:v>27.6</c:v>
                </c:pt>
                <c:pt idx="136">
                  <c:v>19.2</c:v>
                </c:pt>
                <c:pt idx="137">
                  <c:v>25.4</c:v>
                </c:pt>
                <c:pt idx="138">
                  <c:v>25.2</c:v>
                </c:pt>
                <c:pt idx="139">
                  <c:v>23.5</c:v>
                </c:pt>
                <c:pt idx="140">
                  <c:v>19.600000000000001</c:v>
                </c:pt>
                <c:pt idx="141">
                  <c:v>25.8</c:v>
                </c:pt>
                <c:pt idx="142">
                  <c:v>7.8</c:v>
                </c:pt>
                <c:pt idx="143">
                  <c:v>15.1</c:v>
                </c:pt>
                <c:pt idx="144">
                  <c:v>25.2</c:v>
                </c:pt>
                <c:pt idx="145">
                  <c:v>27.2</c:v>
                </c:pt>
                <c:pt idx="146">
                  <c:v>8.8000000000000007</c:v>
                </c:pt>
                <c:pt idx="147">
                  <c:v>-5.0999999999999996</c:v>
                </c:pt>
                <c:pt idx="148">
                  <c:v>17.899999999999999</c:v>
                </c:pt>
                <c:pt idx="149">
                  <c:v>23.7</c:v>
                </c:pt>
                <c:pt idx="150">
                  <c:v>24.4</c:v>
                </c:pt>
                <c:pt idx="151">
                  <c:v>25.5</c:v>
                </c:pt>
                <c:pt idx="152">
                  <c:v>26.7</c:v>
                </c:pt>
                <c:pt idx="153">
                  <c:v>26.7</c:v>
                </c:pt>
                <c:pt idx="154">
                  <c:v>14.3</c:v>
                </c:pt>
                <c:pt idx="155">
                  <c:v>24.6</c:v>
                </c:pt>
                <c:pt idx="156">
                  <c:v>27.8</c:v>
                </c:pt>
                <c:pt idx="157">
                  <c:v>9.9</c:v>
                </c:pt>
                <c:pt idx="158">
                  <c:v>27.1</c:v>
                </c:pt>
                <c:pt idx="159">
                  <c:v>26</c:v>
                </c:pt>
                <c:pt idx="160">
                  <c:v>26.4</c:v>
                </c:pt>
                <c:pt idx="161">
                  <c:v>6.8</c:v>
                </c:pt>
                <c:pt idx="162">
                  <c:v>8.9</c:v>
                </c:pt>
                <c:pt idx="163">
                  <c:v>25.6</c:v>
                </c:pt>
                <c:pt idx="164">
                  <c:v>17.8</c:v>
                </c:pt>
                <c:pt idx="165">
                  <c:v>11.5</c:v>
                </c:pt>
                <c:pt idx="166">
                  <c:v>13.3</c:v>
                </c:pt>
                <c:pt idx="167">
                  <c:v>26.9</c:v>
                </c:pt>
                <c:pt idx="168">
                  <c:v>26.8</c:v>
                </c:pt>
                <c:pt idx="169">
                  <c:v>25.7</c:v>
                </c:pt>
                <c:pt idx="170">
                  <c:v>21.4</c:v>
                </c:pt>
                <c:pt idx="171">
                  <c:v>2.1</c:v>
                </c:pt>
                <c:pt idx="172">
                  <c:v>5.5</c:v>
                </c:pt>
                <c:pt idx="173">
                  <c:v>16.7</c:v>
                </c:pt>
                <c:pt idx="174">
                  <c:v>2</c:v>
                </c:pt>
                <c:pt idx="175">
                  <c:v>22.3</c:v>
                </c:pt>
                <c:pt idx="176">
                  <c:v>26.3</c:v>
                </c:pt>
                <c:pt idx="177">
                  <c:v>25.8</c:v>
                </c:pt>
                <c:pt idx="178">
                  <c:v>27.1</c:v>
                </c:pt>
                <c:pt idx="179">
                  <c:v>25.2</c:v>
                </c:pt>
                <c:pt idx="180">
                  <c:v>25.7</c:v>
                </c:pt>
                <c:pt idx="181">
                  <c:v>19.2</c:v>
                </c:pt>
                <c:pt idx="182">
                  <c:v>11.1</c:v>
                </c:pt>
                <c:pt idx="183">
                  <c:v>15.1</c:v>
                </c:pt>
                <c:pt idx="184">
                  <c:v>28</c:v>
                </c:pt>
                <c:pt idx="185">
                  <c:v>22.8</c:v>
                </c:pt>
                <c:pt idx="186">
                  <c:v>8.3000000000000007</c:v>
                </c:pt>
                <c:pt idx="187">
                  <c:v>27</c:v>
                </c:pt>
                <c:pt idx="188">
                  <c:v>8.4</c:v>
                </c:pt>
                <c:pt idx="189">
                  <c:v>8.5</c:v>
                </c:pt>
                <c:pt idx="190">
                  <c:v>17.5</c:v>
                </c:pt>
                <c:pt idx="191">
                  <c:v>12.1</c:v>
                </c:pt>
                <c:pt idx="192">
                  <c:v>24</c:v>
                </c:pt>
                <c:pt idx="193">
                  <c:v>25.3</c:v>
                </c:pt>
                <c:pt idx="194">
                  <c:v>24.4</c:v>
                </c:pt>
                <c:pt idx="195">
                  <c:v>23.8</c:v>
                </c:pt>
                <c:pt idx="196">
                  <c:v>21.4</c:v>
                </c:pt>
                <c:pt idx="197">
                  <c:v>21</c:v>
                </c:pt>
              </c:numCache>
            </c:numRef>
          </c:xVal>
          <c:yVal>
            <c:numRef>
              <c:f>country!$L$5:$L$202</c:f>
              <c:numCache>
                <c:formatCode>0.0</c:formatCode>
                <c:ptCount val="198"/>
                <c:pt idx="0">
                  <c:v>-8.8196141760438014</c:v>
                </c:pt>
                <c:pt idx="1">
                  <c:v>-4.522852092373963</c:v>
                </c:pt>
                <c:pt idx="2">
                  <c:v>-8.2785040249427322</c:v>
                </c:pt>
                <c:pt idx="3">
                  <c:v>-0.6285096764788487</c:v>
                </c:pt>
                <c:pt idx="4">
                  <c:v>-8.2760787004658223</c:v>
                </c:pt>
                <c:pt idx="5">
                  <c:v>1.3834371065377964</c:v>
                </c:pt>
                <c:pt idx="6">
                  <c:v>-3.4057488886847502</c:v>
                </c:pt>
                <c:pt idx="7">
                  <c:v>-3.9647274836200292</c:v>
                </c:pt>
                <c:pt idx="8">
                  <c:v>-7.5704645598232432</c:v>
                </c:pt>
                <c:pt idx="9">
                  <c:v>-4.6025524982941057</c:v>
                </c:pt>
                <c:pt idx="10">
                  <c:v>-0.25102850762031448</c:v>
                </c:pt>
                <c:pt idx="11">
                  <c:v>-5.2046114908603371</c:v>
                </c:pt>
                <c:pt idx="12">
                  <c:v>-6.5433612977450455</c:v>
                </c:pt>
                <c:pt idx="13">
                  <c:v>-7.8081715444173891</c:v>
                </c:pt>
                <c:pt idx="14">
                  <c:v>-14.046397849600996</c:v>
                </c:pt>
                <c:pt idx="15">
                  <c:v>-7.5198850064426619</c:v>
                </c:pt>
                <c:pt idx="16">
                  <c:v>-1.8000120327851821</c:v>
                </c:pt>
                <c:pt idx="17">
                  <c:v>-1.4068622948091902</c:v>
                </c:pt>
                <c:pt idx="18">
                  <c:v>-9.28511574341635</c:v>
                </c:pt>
                <c:pt idx="19">
                  <c:v>-13.435790632234344</c:v>
                </c:pt>
                <c:pt idx="20">
                  <c:v>-2.7038908650768358</c:v>
                </c:pt>
                <c:pt idx="21">
                  <c:v>-4.3957699718779271</c:v>
                </c:pt>
                <c:pt idx="22">
                  <c:v>-9.6868264645397328</c:v>
                </c:pt>
                <c:pt idx="23">
                  <c:v>-3.6815808667778289</c:v>
                </c:pt>
                <c:pt idx="24">
                  <c:v>-8.3179517387605824</c:v>
                </c:pt>
                <c:pt idx="25">
                  <c:v>-8.040438284088566</c:v>
                </c:pt>
                <c:pt idx="26">
                  <c:v>-7.0472433114067279</c:v>
                </c:pt>
                <c:pt idx="27">
                  <c:v>-3.6652387168722735</c:v>
                </c:pt>
                <c:pt idx="28">
                  <c:v>-16.359064081212182</c:v>
                </c:pt>
                <c:pt idx="29">
                  <c:v>-12.601957949464106</c:v>
                </c:pt>
                <c:pt idx="30">
                  <c:v>-12.022933343772458</c:v>
                </c:pt>
                <c:pt idx="31">
                  <c:v>-13.588973593247598</c:v>
                </c:pt>
                <c:pt idx="32">
                  <c:v>-11.080110776300023</c:v>
                </c:pt>
                <c:pt idx="33">
                  <c:v>4.1394553238431104</c:v>
                </c:pt>
                <c:pt idx="34">
                  <c:v>-9.2870190896105136</c:v>
                </c:pt>
                <c:pt idx="35">
                  <c:v>-12.463207383981938</c:v>
                </c:pt>
                <c:pt idx="36">
                  <c:v>-12.161862008446263</c:v>
                </c:pt>
                <c:pt idx="37">
                  <c:v>-0.63194878343001637</c:v>
                </c:pt>
                <c:pt idx="38">
                  <c:v>-3.1839445821641514</c:v>
                </c:pt>
                <c:pt idx="39">
                  <c:v>-9.3552224040318599</c:v>
                </c:pt>
                <c:pt idx="40">
                  <c:v>-12.280630147204343</c:v>
                </c:pt>
                <c:pt idx="41">
                  <c:v>-13.036284021949669</c:v>
                </c:pt>
                <c:pt idx="42">
                  <c:v>-9.7950136223449267</c:v>
                </c:pt>
                <c:pt idx="43">
                  <c:v>-8.5492013285677793</c:v>
                </c:pt>
                <c:pt idx="44">
                  <c:v>-2.3531117754125583</c:v>
                </c:pt>
                <c:pt idx="45">
                  <c:v>-8.9476213576541461</c:v>
                </c:pt>
                <c:pt idx="46">
                  <c:v>-4.8290482200468166</c:v>
                </c:pt>
                <c:pt idx="47">
                  <c:v>-0.38222795711286511</c:v>
                </c:pt>
                <c:pt idx="48">
                  <c:v>-0.30842875842856188</c:v>
                </c:pt>
                <c:pt idx="49">
                  <c:v>-12.259185883131082</c:v>
                </c:pt>
                <c:pt idx="50">
                  <c:v>-7.3798517157966614</c:v>
                </c:pt>
                <c:pt idx="51">
                  <c:v>-8.7340768756240337</c:v>
                </c:pt>
                <c:pt idx="52">
                  <c:v>-9.7657809579788903</c:v>
                </c:pt>
                <c:pt idx="53">
                  <c:v>-9.9464255704647435</c:v>
                </c:pt>
                <c:pt idx="54">
                  <c:v>-10.386783642204765</c:v>
                </c:pt>
                <c:pt idx="55">
                  <c:v>-6.8112284934533296</c:v>
                </c:pt>
                <c:pt idx="56">
                  <c:v>-14.303222065994007</c:v>
                </c:pt>
                <c:pt idx="57">
                  <c:v>-0.25691601605821601</c:v>
                </c:pt>
                <c:pt idx="58">
                  <c:v>-12.527168874187124</c:v>
                </c:pt>
                <c:pt idx="59">
                  <c:v>-0.28510051412533755</c:v>
                </c:pt>
                <c:pt idx="60">
                  <c:v>-9.3833269436885249</c:v>
                </c:pt>
                <c:pt idx="61">
                  <c:v>2.283341372138012</c:v>
                </c:pt>
                <c:pt idx="62">
                  <c:v>-1.1225553826912369</c:v>
                </c:pt>
                <c:pt idx="63">
                  <c:v>-8.2033344939755999</c:v>
                </c:pt>
                <c:pt idx="64">
                  <c:v>-13.628167631550371</c:v>
                </c:pt>
                <c:pt idx="65">
                  <c:v>-3.7554316350790233</c:v>
                </c:pt>
                <c:pt idx="66">
                  <c:v>-0.20227308452282231</c:v>
                </c:pt>
                <c:pt idx="67">
                  <c:v>-15.470919140236822</c:v>
                </c:pt>
                <c:pt idx="68">
                  <c:v>-4.3672219576275779</c:v>
                </c:pt>
                <c:pt idx="69">
                  <c:v>2.2927067656813795</c:v>
                </c:pt>
                <c:pt idx="70">
                  <c:v>-8.8914714014578156</c:v>
                </c:pt>
                <c:pt idx="71">
                  <c:v>-11.979373837021695</c:v>
                </c:pt>
                <c:pt idx="72">
                  <c:v>-13.714204465335921</c:v>
                </c:pt>
                <c:pt idx="73">
                  <c:v>-13.557946181600515</c:v>
                </c:pt>
                <c:pt idx="74">
                  <c:v>-11.17367784627162</c:v>
                </c:pt>
                <c:pt idx="75">
                  <c:v>-12.828677762408921</c:v>
                </c:pt>
                <c:pt idx="76">
                  <c:v>-10.988715254487557</c:v>
                </c:pt>
                <c:pt idx="77">
                  <c:v>-4.6140351846897723</c:v>
                </c:pt>
                <c:pt idx="78">
                  <c:v>-1.8643433459384302</c:v>
                </c:pt>
                <c:pt idx="79">
                  <c:v>1.7462315992106201</c:v>
                </c:pt>
                <c:pt idx="80">
                  <c:v>-12.055815394078756</c:v>
                </c:pt>
                <c:pt idx="81">
                  <c:v>-11.576556494507585</c:v>
                </c:pt>
                <c:pt idx="82">
                  <c:v>-6.0244287753003007</c:v>
                </c:pt>
                <c:pt idx="83">
                  <c:v>-9.3183581440205163</c:v>
                </c:pt>
                <c:pt idx="84">
                  <c:v>-0.92657868534147625</c:v>
                </c:pt>
                <c:pt idx="85">
                  <c:v>-0.96181805949445898</c:v>
                </c:pt>
                <c:pt idx="86">
                  <c:v>-4.2009104513985989</c:v>
                </c:pt>
                <c:pt idx="87">
                  <c:v>-2.4307636502533168</c:v>
                </c:pt>
                <c:pt idx="88">
                  <c:v>-9.9304229922984746</c:v>
                </c:pt>
                <c:pt idx="89">
                  <c:v>-1.163295105893297</c:v>
                </c:pt>
                <c:pt idx="90">
                  <c:v>-7.1760955378075355</c:v>
                </c:pt>
                <c:pt idx="91">
                  <c:v>-3.2956124929279662</c:v>
                </c:pt>
                <c:pt idx="92">
                  <c:v>-12.0448268938841</c:v>
                </c:pt>
                <c:pt idx="93">
                  <c:v>-12.604518978668272</c:v>
                </c:pt>
                <c:pt idx="94">
                  <c:v>-5.0494006061465964</c:v>
                </c:pt>
                <c:pt idx="95">
                  <c:v>-6.1655406130243193</c:v>
                </c:pt>
                <c:pt idx="96">
                  <c:v>-3.9661201814432183</c:v>
                </c:pt>
                <c:pt idx="97">
                  <c:v>-11.873541372068374</c:v>
                </c:pt>
                <c:pt idx="98">
                  <c:v>-1.0130400953108905</c:v>
                </c:pt>
                <c:pt idx="99">
                  <c:v>-5.1543325692425306</c:v>
                </c:pt>
                <c:pt idx="100">
                  <c:v>-6.6232143774157635</c:v>
                </c:pt>
                <c:pt idx="101">
                  <c:v>-13.983387178893341</c:v>
                </c:pt>
                <c:pt idx="102">
                  <c:v>-6.5810398494609412</c:v>
                </c:pt>
                <c:pt idx="103">
                  <c:v>0.46999630531301773</c:v>
                </c:pt>
                <c:pt idx="104">
                  <c:v>-0.97103268072115301</c:v>
                </c:pt>
                <c:pt idx="105">
                  <c:v>0.29283068123696065</c:v>
                </c:pt>
                <c:pt idx="106">
                  <c:v>-4.9474988468191583</c:v>
                </c:pt>
                <c:pt idx="107">
                  <c:v>-4.3091867517419447</c:v>
                </c:pt>
                <c:pt idx="108">
                  <c:v>-12.532396044660304</c:v>
                </c:pt>
                <c:pt idx="109">
                  <c:v>-12.978987620556602</c:v>
                </c:pt>
                <c:pt idx="110">
                  <c:v>-8.7951192542425343</c:v>
                </c:pt>
                <c:pt idx="111">
                  <c:v>-10.107400009707987</c:v>
                </c:pt>
                <c:pt idx="112">
                  <c:v>-16.546959355950591</c:v>
                </c:pt>
                <c:pt idx="113">
                  <c:v>-6.0216016058486428</c:v>
                </c:pt>
                <c:pt idx="114">
                  <c:v>-10.83325565870005</c:v>
                </c:pt>
                <c:pt idx="115">
                  <c:v>-12.775649795120403</c:v>
                </c:pt>
                <c:pt idx="116">
                  <c:v>-7.6241393027759372</c:v>
                </c:pt>
                <c:pt idx="117">
                  <c:v>-6.5835866438310688</c:v>
                </c:pt>
                <c:pt idx="118">
                  <c:v>-11.192455279199521</c:v>
                </c:pt>
                <c:pt idx="119">
                  <c:v>-5.8605871074452942</c:v>
                </c:pt>
                <c:pt idx="120">
                  <c:v>-1.0272083975725579</c:v>
                </c:pt>
                <c:pt idx="121">
                  <c:v>-2.1353518339373707</c:v>
                </c:pt>
                <c:pt idx="122">
                  <c:v>-4.3784834901796863</c:v>
                </c:pt>
                <c:pt idx="123">
                  <c:v>-7.3224324744999461</c:v>
                </c:pt>
                <c:pt idx="124">
                  <c:v>-12.593424013276552</c:v>
                </c:pt>
                <c:pt idx="125">
                  <c:v>-7.1255588263589917</c:v>
                </c:pt>
                <c:pt idx="126">
                  <c:v>-7.0068072223536308</c:v>
                </c:pt>
                <c:pt idx="127">
                  <c:v>-0.22749353252444557</c:v>
                </c:pt>
                <c:pt idx="128">
                  <c:v>-1.3148160275110312</c:v>
                </c:pt>
                <c:pt idx="129">
                  <c:v>-11.296670904674945</c:v>
                </c:pt>
                <c:pt idx="130">
                  <c:v>-14.3974762961397</c:v>
                </c:pt>
                <c:pt idx="131">
                  <c:v>-14.286204660203207</c:v>
                </c:pt>
                <c:pt idx="132">
                  <c:v>2.8676127864874292</c:v>
                </c:pt>
                <c:pt idx="133">
                  <c:v>-7.3782597604726448</c:v>
                </c:pt>
                <c:pt idx="134">
                  <c:v>-11.769465125822443</c:v>
                </c:pt>
                <c:pt idx="135">
                  <c:v>-8.6791218036349189</c:v>
                </c:pt>
                <c:pt idx="136">
                  <c:v>-9.0960133175610487</c:v>
                </c:pt>
                <c:pt idx="137">
                  <c:v>-8.5650256474931581</c:v>
                </c:pt>
                <c:pt idx="138">
                  <c:v>-11.767881031269381</c:v>
                </c:pt>
                <c:pt idx="139">
                  <c:v>-9.8892691877148913</c:v>
                </c:pt>
                <c:pt idx="140">
                  <c:v>-8.0740002973026819</c:v>
                </c:pt>
                <c:pt idx="141">
                  <c:v>-11.777088694908237</c:v>
                </c:pt>
                <c:pt idx="142">
                  <c:v>-0.88569142640252596</c:v>
                </c:pt>
                <c:pt idx="143">
                  <c:v>-4.4334715132919289</c:v>
                </c:pt>
                <c:pt idx="144">
                  <c:v>-6.5785610903772778</c:v>
                </c:pt>
                <c:pt idx="145">
                  <c:v>-5.6792267772795366</c:v>
                </c:pt>
                <c:pt idx="146">
                  <c:v>-2.771266819066418</c:v>
                </c:pt>
                <c:pt idx="147">
                  <c:v>2.2246716058464249</c:v>
                </c:pt>
                <c:pt idx="148">
                  <c:v>-18.320991577437955</c:v>
                </c:pt>
                <c:pt idx="149">
                  <c:v>-10.759233001539373</c:v>
                </c:pt>
                <c:pt idx="150">
                  <c:v>-7.3835051886025393</c:v>
                </c:pt>
                <c:pt idx="151">
                  <c:v>-8.6126665282442403</c:v>
                </c:pt>
                <c:pt idx="152">
                  <c:v>-9.315063292897559</c:v>
                </c:pt>
                <c:pt idx="153">
                  <c:v>-10.668458386346311</c:v>
                </c:pt>
                <c:pt idx="154">
                  <c:v>-2.3726096569688844</c:v>
                </c:pt>
                <c:pt idx="155">
                  <c:v>-6.7490026276541411</c:v>
                </c:pt>
                <c:pt idx="156">
                  <c:v>-13.281364129627406</c:v>
                </c:pt>
                <c:pt idx="157">
                  <c:v>-4.6107007466144516</c:v>
                </c:pt>
                <c:pt idx="158">
                  <c:v>-8.2479480438938015</c:v>
                </c:pt>
                <c:pt idx="159">
                  <c:v>-13.269220399889388</c:v>
                </c:pt>
                <c:pt idx="160">
                  <c:v>-5.9508627630901785</c:v>
                </c:pt>
                <c:pt idx="161">
                  <c:v>-0.28075432903243391</c:v>
                </c:pt>
                <c:pt idx="162">
                  <c:v>-0.769922383856813</c:v>
                </c:pt>
                <c:pt idx="163">
                  <c:v>-11.914779253656929</c:v>
                </c:pt>
                <c:pt idx="164">
                  <c:v>-5.7605976652459727</c:v>
                </c:pt>
                <c:pt idx="165">
                  <c:v>-0.8794504716145527</c:v>
                </c:pt>
                <c:pt idx="166">
                  <c:v>-2.6692212781331519</c:v>
                </c:pt>
                <c:pt idx="167">
                  <c:v>-11.351640150259989</c:v>
                </c:pt>
                <c:pt idx="168">
                  <c:v>-11.970041207249722</c:v>
                </c:pt>
                <c:pt idx="169">
                  <c:v>-8.9370644561387493</c:v>
                </c:pt>
                <c:pt idx="170">
                  <c:v>-8.2208023191896569</c:v>
                </c:pt>
                <c:pt idx="171">
                  <c:v>2.2488005618678142</c:v>
                </c:pt>
                <c:pt idx="172">
                  <c:v>1.3317678402279178</c:v>
                </c:pt>
                <c:pt idx="173">
                  <c:v>-7.8939563240194115</c:v>
                </c:pt>
                <c:pt idx="174">
                  <c:v>-5.6541473924038463</c:v>
                </c:pt>
                <c:pt idx="175">
                  <c:v>-14.1278003975461</c:v>
                </c:pt>
                <c:pt idx="176">
                  <c:v>-10.474653603515856</c:v>
                </c:pt>
                <c:pt idx="177">
                  <c:v>-12.848487800816564</c:v>
                </c:pt>
                <c:pt idx="178">
                  <c:v>-14.196046257181266</c:v>
                </c:pt>
                <c:pt idx="179">
                  <c:v>-10.202851355046892</c:v>
                </c:pt>
                <c:pt idx="180">
                  <c:v>-6.5349192994913494</c:v>
                </c:pt>
                <c:pt idx="181">
                  <c:v>-7.1071103028473708</c:v>
                </c:pt>
                <c:pt idx="182">
                  <c:v>-2.6684996410294164</c:v>
                </c:pt>
                <c:pt idx="183">
                  <c:v>-7.3586316008872608</c:v>
                </c:pt>
                <c:pt idx="184">
                  <c:v>-11.093070335990122</c:v>
                </c:pt>
                <c:pt idx="185">
                  <c:v>-17.413432696254088</c:v>
                </c:pt>
                <c:pt idx="186">
                  <c:v>-4.0242869153501042</c:v>
                </c:pt>
                <c:pt idx="187">
                  <c:v>-7.1964088261064578</c:v>
                </c:pt>
                <c:pt idx="188">
                  <c:v>-6.1170908006749569E-2</c:v>
                </c:pt>
                <c:pt idx="189">
                  <c:v>-0.52500514331389792</c:v>
                </c:pt>
                <c:pt idx="190">
                  <c:v>-4.1462076210419232</c:v>
                </c:pt>
                <c:pt idx="191">
                  <c:v>-8.1974537065823139</c:v>
                </c:pt>
                <c:pt idx="192">
                  <c:v>-10.111895626798901</c:v>
                </c:pt>
                <c:pt idx="193">
                  <c:v>-9.7268419707896072</c:v>
                </c:pt>
                <c:pt idx="194">
                  <c:v>-13.035914351007792</c:v>
                </c:pt>
                <c:pt idx="195">
                  <c:v>-11.211811963897956</c:v>
                </c:pt>
                <c:pt idx="196">
                  <c:v>-14.761669641829741</c:v>
                </c:pt>
                <c:pt idx="197">
                  <c:v>-11.333087049411347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F6-40C3-B5F9-12748E5EEA38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country!$G$5:$G$202</c:f>
              <c:numCache>
                <c:formatCode>0.0</c:formatCode>
                <c:ptCount val="198"/>
                <c:pt idx="0">
                  <c:v>12.6</c:v>
                </c:pt>
                <c:pt idx="1">
                  <c:v>11.4</c:v>
                </c:pt>
                <c:pt idx="2">
                  <c:v>22.5</c:v>
                </c:pt>
                <c:pt idx="3">
                  <c:v>7.6</c:v>
                </c:pt>
                <c:pt idx="4">
                  <c:v>21.5</c:v>
                </c:pt>
                <c:pt idx="5">
                  <c:v>0</c:v>
                </c:pt>
                <c:pt idx="6">
                  <c:v>14.8</c:v>
                </c:pt>
                <c:pt idx="7">
                  <c:v>7.1</c:v>
                </c:pt>
                <c:pt idx="8">
                  <c:v>27.8</c:v>
                </c:pt>
                <c:pt idx="9">
                  <c:v>21.6</c:v>
                </c:pt>
                <c:pt idx="10">
                  <c:v>6.3</c:v>
                </c:pt>
                <c:pt idx="11">
                  <c:v>11.9</c:v>
                </c:pt>
                <c:pt idx="12">
                  <c:v>24.8</c:v>
                </c:pt>
                <c:pt idx="13">
                  <c:v>27.1</c:v>
                </c:pt>
                <c:pt idx="14">
                  <c:v>25</c:v>
                </c:pt>
                <c:pt idx="15">
                  <c:v>26</c:v>
                </c:pt>
                <c:pt idx="16">
                  <c:v>6.2</c:v>
                </c:pt>
                <c:pt idx="17">
                  <c:v>9.6</c:v>
                </c:pt>
                <c:pt idx="18">
                  <c:v>25.3</c:v>
                </c:pt>
                <c:pt idx="19">
                  <c:v>27.5</c:v>
                </c:pt>
                <c:pt idx="20">
                  <c:v>21.3</c:v>
                </c:pt>
                <c:pt idx="21">
                  <c:v>7.4</c:v>
                </c:pt>
                <c:pt idx="22">
                  <c:v>21.5</c:v>
                </c:pt>
                <c:pt idx="23">
                  <c:v>9.8000000000000007</c:v>
                </c:pt>
                <c:pt idx="24">
                  <c:v>21.5</c:v>
                </c:pt>
                <c:pt idx="25">
                  <c:v>24.9</c:v>
                </c:pt>
                <c:pt idx="26">
                  <c:v>26.9</c:v>
                </c:pt>
                <c:pt idx="27">
                  <c:v>10.5</c:v>
                </c:pt>
                <c:pt idx="28">
                  <c:v>28.2</c:v>
                </c:pt>
                <c:pt idx="29">
                  <c:v>19.7</c:v>
                </c:pt>
                <c:pt idx="30">
                  <c:v>26.3</c:v>
                </c:pt>
                <c:pt idx="31">
                  <c:v>26.8</c:v>
                </c:pt>
                <c:pt idx="32">
                  <c:v>24.6</c:v>
                </c:pt>
                <c:pt idx="33">
                  <c:v>-5.4</c:v>
                </c:pt>
                <c:pt idx="34">
                  <c:v>23.3</c:v>
                </c:pt>
                <c:pt idx="35">
                  <c:v>24.9</c:v>
                </c:pt>
                <c:pt idx="36">
                  <c:v>26.5</c:v>
                </c:pt>
                <c:pt idx="37">
                  <c:v>8.5</c:v>
                </c:pt>
                <c:pt idx="38">
                  <c:v>6.9</c:v>
                </c:pt>
                <c:pt idx="39">
                  <c:v>24.5</c:v>
                </c:pt>
                <c:pt idx="40">
                  <c:v>25.6</c:v>
                </c:pt>
                <c:pt idx="41">
                  <c:v>24</c:v>
                </c:pt>
                <c:pt idx="42">
                  <c:v>24.5</c:v>
                </c:pt>
                <c:pt idx="43">
                  <c:v>24.8</c:v>
                </c:pt>
                <c:pt idx="44">
                  <c:v>10.9</c:v>
                </c:pt>
                <c:pt idx="45">
                  <c:v>25.2</c:v>
                </c:pt>
                <c:pt idx="46">
                  <c:v>18.399999999999999</c:v>
                </c:pt>
                <c:pt idx="47">
                  <c:v>7.5</c:v>
                </c:pt>
                <c:pt idx="48">
                  <c:v>7.5</c:v>
                </c:pt>
                <c:pt idx="49">
                  <c:v>28</c:v>
                </c:pt>
                <c:pt idx="50">
                  <c:v>22.3</c:v>
                </c:pt>
                <c:pt idx="51">
                  <c:v>24.5</c:v>
                </c:pt>
                <c:pt idx="52">
                  <c:v>21.8</c:v>
                </c:pt>
                <c:pt idx="53">
                  <c:v>22.1</c:v>
                </c:pt>
                <c:pt idx="54">
                  <c:v>24.4</c:v>
                </c:pt>
                <c:pt idx="55">
                  <c:v>24.5</c:v>
                </c:pt>
                <c:pt idx="56">
                  <c:v>25.5</c:v>
                </c:pt>
                <c:pt idx="57">
                  <c:v>5.0999999999999996</c:v>
                </c:pt>
                <c:pt idx="58">
                  <c:v>22.2</c:v>
                </c:pt>
                <c:pt idx="59">
                  <c:v>6.7</c:v>
                </c:pt>
                <c:pt idx="60">
                  <c:v>24.4</c:v>
                </c:pt>
                <c:pt idx="61">
                  <c:v>1.7</c:v>
                </c:pt>
                <c:pt idx="62">
                  <c:v>10.7</c:v>
                </c:pt>
                <c:pt idx="63">
                  <c:v>25</c:v>
                </c:pt>
                <c:pt idx="64">
                  <c:v>27.5</c:v>
                </c:pt>
                <c:pt idx="65">
                  <c:v>5.8</c:v>
                </c:pt>
                <c:pt idx="66">
                  <c:v>8.4</c:v>
                </c:pt>
                <c:pt idx="67">
                  <c:v>27.2</c:v>
                </c:pt>
                <c:pt idx="68">
                  <c:v>15.4</c:v>
                </c:pt>
                <c:pt idx="69">
                  <c:v>-1.4</c:v>
                </c:pt>
                <c:pt idx="70">
                  <c:v>26.6</c:v>
                </c:pt>
                <c:pt idx="71">
                  <c:v>23.4</c:v>
                </c:pt>
                <c:pt idx="72">
                  <c:v>25.7</c:v>
                </c:pt>
                <c:pt idx="73">
                  <c:v>26.7</c:v>
                </c:pt>
                <c:pt idx="74">
                  <c:v>25.9</c:v>
                </c:pt>
                <c:pt idx="75">
                  <c:v>24.8</c:v>
                </c:pt>
                <c:pt idx="76">
                  <c:v>23.5</c:v>
                </c:pt>
                <c:pt idx="77">
                  <c:v>22.7</c:v>
                </c:pt>
                <c:pt idx="78">
                  <c:v>9.8000000000000007</c:v>
                </c:pt>
                <c:pt idx="79">
                  <c:v>1.7</c:v>
                </c:pt>
                <c:pt idx="80">
                  <c:v>23.7</c:v>
                </c:pt>
                <c:pt idx="81">
                  <c:v>25.8</c:v>
                </c:pt>
                <c:pt idx="82">
                  <c:v>17.2</c:v>
                </c:pt>
                <c:pt idx="83">
                  <c:v>21.4</c:v>
                </c:pt>
                <c:pt idx="84">
                  <c:v>9.3000000000000007</c:v>
                </c:pt>
                <c:pt idx="85">
                  <c:v>9.3000000000000007</c:v>
                </c:pt>
                <c:pt idx="86">
                  <c:v>19.2</c:v>
                </c:pt>
                <c:pt idx="87">
                  <c:v>13.4</c:v>
                </c:pt>
                <c:pt idx="88">
                  <c:v>27.2</c:v>
                </c:pt>
                <c:pt idx="89">
                  <c:v>11.1</c:v>
                </c:pt>
                <c:pt idx="90">
                  <c:v>18.3</c:v>
                </c:pt>
                <c:pt idx="91">
                  <c:v>6.4</c:v>
                </c:pt>
                <c:pt idx="92">
                  <c:v>24.7</c:v>
                </c:pt>
                <c:pt idx="93">
                  <c:v>28.2</c:v>
                </c:pt>
                <c:pt idx="94">
                  <c:v>9.9</c:v>
                </c:pt>
                <c:pt idx="95">
                  <c:v>25.3</c:v>
                </c:pt>
                <c:pt idx="96">
                  <c:v>1.6</c:v>
                </c:pt>
                <c:pt idx="97">
                  <c:v>22.7</c:v>
                </c:pt>
                <c:pt idx="98">
                  <c:v>5.6</c:v>
                </c:pt>
                <c:pt idx="99">
                  <c:v>16.399999999999999</c:v>
                </c:pt>
                <c:pt idx="100">
                  <c:v>11.8</c:v>
                </c:pt>
                <c:pt idx="101">
                  <c:v>25.3</c:v>
                </c:pt>
                <c:pt idx="102">
                  <c:v>21.8</c:v>
                </c:pt>
                <c:pt idx="103">
                  <c:v>10.199999999999999</c:v>
                </c:pt>
                <c:pt idx="104">
                  <c:v>6.2</c:v>
                </c:pt>
                <c:pt idx="105">
                  <c:v>8.6999999999999993</c:v>
                </c:pt>
                <c:pt idx="106">
                  <c:v>22.8</c:v>
                </c:pt>
                <c:pt idx="107">
                  <c:v>9.8000000000000007</c:v>
                </c:pt>
                <c:pt idx="108">
                  <c:v>22.6</c:v>
                </c:pt>
                <c:pt idx="109">
                  <c:v>21.9</c:v>
                </c:pt>
                <c:pt idx="110">
                  <c:v>25.4</c:v>
                </c:pt>
                <c:pt idx="111">
                  <c:v>27.6</c:v>
                </c:pt>
                <c:pt idx="112">
                  <c:v>28.2</c:v>
                </c:pt>
                <c:pt idx="113">
                  <c:v>19.2</c:v>
                </c:pt>
                <c:pt idx="114">
                  <c:v>27.4</c:v>
                </c:pt>
                <c:pt idx="115">
                  <c:v>27.6</c:v>
                </c:pt>
                <c:pt idx="116">
                  <c:v>22.4</c:v>
                </c:pt>
                <c:pt idx="117">
                  <c:v>21</c:v>
                </c:pt>
                <c:pt idx="118">
                  <c:v>27.6</c:v>
                </c:pt>
                <c:pt idx="119">
                  <c:v>9.4</c:v>
                </c:pt>
                <c:pt idx="120">
                  <c:v>16.2</c:v>
                </c:pt>
                <c:pt idx="121">
                  <c:v>-0.7</c:v>
                </c:pt>
                <c:pt idx="122">
                  <c:v>9.9</c:v>
                </c:pt>
                <c:pt idx="123">
                  <c:v>17.100000000000001</c:v>
                </c:pt>
                <c:pt idx="124">
                  <c:v>23.8</c:v>
                </c:pt>
                <c:pt idx="125">
                  <c:v>19.899999999999999</c:v>
                </c:pt>
                <c:pt idx="126">
                  <c:v>8.1</c:v>
                </c:pt>
                <c:pt idx="127">
                  <c:v>9.1999999999999993</c:v>
                </c:pt>
                <c:pt idx="128">
                  <c:v>10.5</c:v>
                </c:pt>
                <c:pt idx="129">
                  <c:v>24.8</c:v>
                </c:pt>
                <c:pt idx="130">
                  <c:v>27.1</c:v>
                </c:pt>
                <c:pt idx="131">
                  <c:v>26.8</c:v>
                </c:pt>
                <c:pt idx="132">
                  <c:v>1.5</c:v>
                </c:pt>
                <c:pt idx="133">
                  <c:v>25.6</c:v>
                </c:pt>
                <c:pt idx="134">
                  <c:v>20.2</c:v>
                </c:pt>
                <c:pt idx="135">
                  <c:v>27.6</c:v>
                </c:pt>
                <c:pt idx="136">
                  <c:v>19.2</c:v>
                </c:pt>
                <c:pt idx="137">
                  <c:v>25.4</c:v>
                </c:pt>
                <c:pt idx="138">
                  <c:v>25.2</c:v>
                </c:pt>
                <c:pt idx="139">
                  <c:v>23.5</c:v>
                </c:pt>
                <c:pt idx="140">
                  <c:v>19.600000000000001</c:v>
                </c:pt>
                <c:pt idx="141">
                  <c:v>25.8</c:v>
                </c:pt>
                <c:pt idx="142">
                  <c:v>7.8</c:v>
                </c:pt>
                <c:pt idx="143">
                  <c:v>15.1</c:v>
                </c:pt>
                <c:pt idx="144">
                  <c:v>25.2</c:v>
                </c:pt>
                <c:pt idx="145">
                  <c:v>27.2</c:v>
                </c:pt>
                <c:pt idx="146">
                  <c:v>8.8000000000000007</c:v>
                </c:pt>
                <c:pt idx="147">
                  <c:v>-5.0999999999999996</c:v>
                </c:pt>
                <c:pt idx="148">
                  <c:v>17.899999999999999</c:v>
                </c:pt>
                <c:pt idx="149">
                  <c:v>23.7</c:v>
                </c:pt>
                <c:pt idx="150">
                  <c:v>24.4</c:v>
                </c:pt>
                <c:pt idx="151">
                  <c:v>25.5</c:v>
                </c:pt>
                <c:pt idx="152">
                  <c:v>26.7</c:v>
                </c:pt>
                <c:pt idx="153">
                  <c:v>26.7</c:v>
                </c:pt>
                <c:pt idx="154">
                  <c:v>14.3</c:v>
                </c:pt>
                <c:pt idx="155">
                  <c:v>24.6</c:v>
                </c:pt>
                <c:pt idx="156">
                  <c:v>27.8</c:v>
                </c:pt>
                <c:pt idx="157">
                  <c:v>9.9</c:v>
                </c:pt>
                <c:pt idx="158">
                  <c:v>27.1</c:v>
                </c:pt>
                <c:pt idx="159">
                  <c:v>26</c:v>
                </c:pt>
                <c:pt idx="160">
                  <c:v>26.4</c:v>
                </c:pt>
                <c:pt idx="161">
                  <c:v>6.8</c:v>
                </c:pt>
                <c:pt idx="162">
                  <c:v>8.9</c:v>
                </c:pt>
                <c:pt idx="163">
                  <c:v>25.6</c:v>
                </c:pt>
                <c:pt idx="164">
                  <c:v>17.8</c:v>
                </c:pt>
                <c:pt idx="165">
                  <c:v>11.5</c:v>
                </c:pt>
                <c:pt idx="166">
                  <c:v>13.3</c:v>
                </c:pt>
                <c:pt idx="167">
                  <c:v>26.9</c:v>
                </c:pt>
                <c:pt idx="168">
                  <c:v>26.8</c:v>
                </c:pt>
                <c:pt idx="169">
                  <c:v>25.7</c:v>
                </c:pt>
                <c:pt idx="170">
                  <c:v>21.4</c:v>
                </c:pt>
                <c:pt idx="171">
                  <c:v>2.1</c:v>
                </c:pt>
                <c:pt idx="172">
                  <c:v>5.5</c:v>
                </c:pt>
                <c:pt idx="173">
                  <c:v>16.7</c:v>
                </c:pt>
                <c:pt idx="174">
                  <c:v>2</c:v>
                </c:pt>
                <c:pt idx="175">
                  <c:v>22.3</c:v>
                </c:pt>
                <c:pt idx="176">
                  <c:v>26.3</c:v>
                </c:pt>
                <c:pt idx="177">
                  <c:v>25.8</c:v>
                </c:pt>
                <c:pt idx="178">
                  <c:v>27.1</c:v>
                </c:pt>
                <c:pt idx="179">
                  <c:v>25.2</c:v>
                </c:pt>
                <c:pt idx="180">
                  <c:v>25.7</c:v>
                </c:pt>
                <c:pt idx="181">
                  <c:v>19.2</c:v>
                </c:pt>
                <c:pt idx="182">
                  <c:v>11.1</c:v>
                </c:pt>
                <c:pt idx="183">
                  <c:v>15.1</c:v>
                </c:pt>
                <c:pt idx="184">
                  <c:v>28</c:v>
                </c:pt>
                <c:pt idx="185">
                  <c:v>22.8</c:v>
                </c:pt>
                <c:pt idx="186">
                  <c:v>8.3000000000000007</c:v>
                </c:pt>
                <c:pt idx="187">
                  <c:v>27</c:v>
                </c:pt>
                <c:pt idx="188">
                  <c:v>8.4</c:v>
                </c:pt>
                <c:pt idx="189">
                  <c:v>8.5</c:v>
                </c:pt>
                <c:pt idx="190">
                  <c:v>17.5</c:v>
                </c:pt>
                <c:pt idx="191">
                  <c:v>12.1</c:v>
                </c:pt>
                <c:pt idx="192">
                  <c:v>24</c:v>
                </c:pt>
                <c:pt idx="193">
                  <c:v>25.3</c:v>
                </c:pt>
                <c:pt idx="194">
                  <c:v>24.4</c:v>
                </c:pt>
                <c:pt idx="195">
                  <c:v>23.8</c:v>
                </c:pt>
                <c:pt idx="196">
                  <c:v>21.4</c:v>
                </c:pt>
                <c:pt idx="197">
                  <c:v>21</c:v>
                </c:pt>
              </c:numCache>
            </c:numRef>
          </c:xVal>
          <c:yVal>
            <c:numRef>
              <c:f>country!$D$5:$D$202</c:f>
              <c:numCache>
                <c:formatCode>0</c:formatCode>
                <c:ptCount val="198"/>
                <c:pt idx="0">
                  <c:v>360.70561512625665</c:v>
                </c:pt>
                <c:pt idx="1">
                  <c:v>3404.6550318859572</c:v>
                </c:pt>
                <c:pt idx="2">
                  <c:v>3143.6291375316246</c:v>
                </c:pt>
                <c:pt idx="3">
                  <c:v>36348.437965811201</c:v>
                </c:pt>
                <c:pt idx="4">
                  <c:v>2576.6454096087737</c:v>
                </c:pt>
                <c:pt idx="5">
                  <c:v>11603.103552595465</c:v>
                </c:pt>
                <c:pt idx="6">
                  <c:v>7274.3904532313973</c:v>
                </c:pt>
                <c:pt idx="7">
                  <c:v>1997.0389119682286</c:v>
                </c:pt>
                <c:pt idx="8">
                  <c:v>20054.5684527587</c:v>
                </c:pt>
                <c:pt idx="9">
                  <c:v>36140.105242213795</c:v>
                </c:pt>
                <c:pt idx="10">
                  <c:v>38803.235792365253</c:v>
                </c:pt>
                <c:pt idx="11">
                  <c:v>3126.7240594662121</c:v>
                </c:pt>
                <c:pt idx="12">
                  <c:v>21013.899093651864</c:v>
                </c:pt>
                <c:pt idx="13">
                  <c:v>16722.241255001882</c:v>
                </c:pt>
                <c:pt idx="14">
                  <c:v>539.09993134762863</c:v>
                </c:pt>
                <c:pt idx="15">
                  <c:v>14383.678172735552</c:v>
                </c:pt>
                <c:pt idx="16">
                  <c:v>4526.3801215876556</c:v>
                </c:pt>
                <c:pt idx="17">
                  <c:v>36747.279047091397</c:v>
                </c:pt>
                <c:pt idx="18">
                  <c:v>4138.971633498445</c:v>
                </c:pt>
                <c:pt idx="19">
                  <c:v>550.04454433952765</c:v>
                </c:pt>
                <c:pt idx="20">
                  <c:v>76393.831384374804</c:v>
                </c:pt>
                <c:pt idx="21">
                  <c:v>1796.8287601287193</c:v>
                </c:pt>
                <c:pt idx="22">
                  <c:v>1176.9744750324021</c:v>
                </c:pt>
                <c:pt idx="23">
                  <c:v>3328.9924023780331</c:v>
                </c:pt>
                <c:pt idx="24">
                  <c:v>6152.7263733715708</c:v>
                </c:pt>
                <c:pt idx="25">
                  <c:v>5618.3246002281494</c:v>
                </c:pt>
                <c:pt idx="26">
                  <c:v>24589.277238754839</c:v>
                </c:pt>
                <c:pt idx="27">
                  <c:v>4378.8790878779682</c:v>
                </c:pt>
                <c:pt idx="28">
                  <c:v>457.22881322240346</c:v>
                </c:pt>
                <c:pt idx="29">
                  <c:v>150.74235337478757</c:v>
                </c:pt>
                <c:pt idx="30">
                  <c:v>957.65895361709386</c:v>
                </c:pt>
                <c:pt idx="31">
                  <c:v>605.16804679176505</c:v>
                </c:pt>
                <c:pt idx="32">
                  <c:v>931.41534703166633</c:v>
                </c:pt>
                <c:pt idx="33">
                  <c:v>36337.22567382102</c:v>
                </c:pt>
                <c:pt idx="34">
                  <c:v>2648.6619630548216</c:v>
                </c:pt>
                <c:pt idx="35">
                  <c:v>435.73292134870741</c:v>
                </c:pt>
                <c:pt idx="36">
                  <c:v>718.82339344639706</c:v>
                </c:pt>
                <c:pt idx="37">
                  <c:v>8610.0220425441075</c:v>
                </c:pt>
                <c:pt idx="38">
                  <c:v>2870.0529334764196</c:v>
                </c:pt>
                <c:pt idx="39">
                  <c:v>3937.8672013546661</c:v>
                </c:pt>
                <c:pt idx="40">
                  <c:v>604.77099500559018</c:v>
                </c:pt>
                <c:pt idx="41">
                  <c:v>251.88821556234575</c:v>
                </c:pt>
                <c:pt idx="42">
                  <c:v>1909.827611710635</c:v>
                </c:pt>
                <c:pt idx="43">
                  <c:v>5357.4903708933716</c:v>
                </c:pt>
                <c:pt idx="44">
                  <c:v>10383.506161918598</c:v>
                </c:pt>
                <c:pt idx="45">
                  <c:v>4913.8475131462556</c:v>
                </c:pt>
                <c:pt idx="46">
                  <c:v>17402.698674388368</c:v>
                </c:pt>
                <c:pt idx="47">
                  <c:v>14114.421997373165</c:v>
                </c:pt>
                <c:pt idx="48">
                  <c:v>46292.736560813282</c:v>
                </c:pt>
                <c:pt idx="49">
                  <c:v>1085.8813944409201</c:v>
                </c:pt>
                <c:pt idx="50">
                  <c:v>6355.9314560512476</c:v>
                </c:pt>
                <c:pt idx="51">
                  <c:v>4776.8421015330105</c:v>
                </c:pt>
                <c:pt idx="52">
                  <c:v>3250.7458870185928</c:v>
                </c:pt>
                <c:pt idx="53">
                  <c:v>1550.2405578416574</c:v>
                </c:pt>
                <c:pt idx="54">
                  <c:v>2949.613728722712</c:v>
                </c:pt>
                <c:pt idx="55">
                  <c:v>11594.42353057435</c:v>
                </c:pt>
                <c:pt idx="56">
                  <c:v>184.04582983990289</c:v>
                </c:pt>
                <c:pt idx="57">
                  <c:v>10369.839494653985</c:v>
                </c:pt>
                <c:pt idx="58">
                  <c:v>234.25889686975188</c:v>
                </c:pt>
                <c:pt idx="59">
                  <c:v>36552.397664849697</c:v>
                </c:pt>
                <c:pt idx="60">
                  <c:v>3523.3680912320156</c:v>
                </c:pt>
                <c:pt idx="61">
                  <c:v>38064.653322818347</c:v>
                </c:pt>
                <c:pt idx="62">
                  <c:v>33898.26965325878</c:v>
                </c:pt>
                <c:pt idx="63">
                  <c:v>6223.1452764687092</c:v>
                </c:pt>
                <c:pt idx="64">
                  <c:v>466.6529302392043</c:v>
                </c:pt>
                <c:pt idx="65">
                  <c:v>1850.8208503929698</c:v>
                </c:pt>
                <c:pt idx="66">
                  <c:v>36127.047700224583</c:v>
                </c:pt>
                <c:pt idx="67">
                  <c:v>610.18365679635724</c:v>
                </c:pt>
                <c:pt idx="68">
                  <c:v>21308.962091753539</c:v>
                </c:pt>
                <c:pt idx="69">
                  <c:v>31796.8397398335</c:v>
                </c:pt>
                <c:pt idx="70">
                  <c:v>6348.3020742390418</c:v>
                </c:pt>
                <c:pt idx="71">
                  <c:v>2270.0961392922113</c:v>
                </c:pt>
                <c:pt idx="72">
                  <c:v>300.44127805988973</c:v>
                </c:pt>
                <c:pt idx="73">
                  <c:v>412.81198676955898</c:v>
                </c:pt>
                <c:pt idx="74">
                  <c:v>1168.8991901583915</c:v>
                </c:pt>
                <c:pt idx="75">
                  <c:v>435.77035871367673</c:v>
                </c:pt>
                <c:pt idx="76">
                  <c:v>1514.9920435883439</c:v>
                </c:pt>
                <c:pt idx="77">
                  <c:v>31328.585208738998</c:v>
                </c:pt>
                <c:pt idx="78">
                  <c:v>10926.468951505391</c:v>
                </c:pt>
                <c:pt idx="79">
                  <c:v>51528.384416011126</c:v>
                </c:pt>
                <c:pt idx="80">
                  <c:v>1031.5611094455749</c:v>
                </c:pt>
                <c:pt idx="81">
                  <c:v>1570.1529365014842</c:v>
                </c:pt>
                <c:pt idx="82">
                  <c:v>3259.3987232145187</c:v>
                </c:pt>
                <c:pt idx="83">
                  <c:v>2172.6575626694016</c:v>
                </c:pt>
                <c:pt idx="84">
                  <c:v>45438.261855700264</c:v>
                </c:pt>
                <c:pt idx="85">
                  <c:v>42009.586522931197</c:v>
                </c:pt>
                <c:pt idx="86">
                  <c:v>22169.403538765182</c:v>
                </c:pt>
                <c:pt idx="87">
                  <c:v>29163.146051932734</c:v>
                </c:pt>
                <c:pt idx="88">
                  <c:v>4329.9743592711902</c:v>
                </c:pt>
                <c:pt idx="89">
                  <c:v>36472.749157637452</c:v>
                </c:pt>
                <c:pt idx="90">
                  <c:v>2817.4886330764352</c:v>
                </c:pt>
                <c:pt idx="91">
                  <c:v>4732.2159481266071</c:v>
                </c:pt>
                <c:pt idx="92">
                  <c:v>575.06029636736923</c:v>
                </c:pt>
                <c:pt idx="93">
                  <c:v>1132.3733525137338</c:v>
                </c:pt>
                <c:pt idx="94">
                  <c:v>2689.8582831712979</c:v>
                </c:pt>
                <c:pt idx="95">
                  <c:v>28615.94754819524</c:v>
                </c:pt>
                <c:pt idx="96">
                  <c:v>560.91462241153135</c:v>
                </c:pt>
                <c:pt idx="97">
                  <c:v>628.83134867195929</c:v>
                </c:pt>
                <c:pt idx="98">
                  <c:v>6923.8888741529627</c:v>
                </c:pt>
                <c:pt idx="99">
                  <c:v>7083.864798023691</c:v>
                </c:pt>
                <c:pt idx="100">
                  <c:v>870.88945319002903</c:v>
                </c:pt>
                <c:pt idx="101">
                  <c:v>242.61193287110416</c:v>
                </c:pt>
                <c:pt idx="102">
                  <c:v>9099.0746013832031</c:v>
                </c:pt>
                <c:pt idx="103">
                  <c:v>115950.613774247</c:v>
                </c:pt>
                <c:pt idx="104">
                  <c:v>8320.1703793334709</c:v>
                </c:pt>
                <c:pt idx="105">
                  <c:v>80276.011290059658</c:v>
                </c:pt>
                <c:pt idx="106">
                  <c:v>38689.01719809317</c:v>
                </c:pt>
                <c:pt idx="107">
                  <c:v>3396.7186907683758</c:v>
                </c:pt>
                <c:pt idx="108">
                  <c:v>273.22480306218836</c:v>
                </c:pt>
                <c:pt idx="109">
                  <c:v>219.15076343135976</c:v>
                </c:pt>
                <c:pt idx="110">
                  <c:v>6318.9012128220729</c:v>
                </c:pt>
                <c:pt idx="111">
                  <c:v>4663.3776529920669</c:v>
                </c:pt>
                <c:pt idx="112">
                  <c:v>498.47514810755899</c:v>
                </c:pt>
                <c:pt idx="113">
                  <c:v>15992.434998447094</c:v>
                </c:pt>
                <c:pt idx="114">
                  <c:v>2809.9512086979294</c:v>
                </c:pt>
                <c:pt idx="115">
                  <c:v>779.63628630847154</c:v>
                </c:pt>
                <c:pt idx="116">
                  <c:v>6109.775155938677</c:v>
                </c:pt>
                <c:pt idx="117">
                  <c:v>8084.6290001796442</c:v>
                </c:pt>
                <c:pt idx="118">
                  <c:v>2378.1192216459017</c:v>
                </c:pt>
                <c:pt idx="119">
                  <c:v>982.97849155955339</c:v>
                </c:pt>
                <c:pt idx="120">
                  <c:v>160228.280321789</c:v>
                </c:pt>
                <c:pt idx="121">
                  <c:v>1273.1540641800757</c:v>
                </c:pt>
                <c:pt idx="122">
                  <c:v>4521.7958779831151</c:v>
                </c:pt>
                <c:pt idx="123">
                  <c:v>2386.7846716762692</c:v>
                </c:pt>
                <c:pt idx="124">
                  <c:v>380.84424396822391</c:v>
                </c:pt>
                <c:pt idx="125">
                  <c:v>4101.3694407822486</c:v>
                </c:pt>
                <c:pt idx="126">
                  <c:v>376.34220962776232</c:v>
                </c:pt>
                <c:pt idx="127">
                  <c:v>41110.27840287541</c:v>
                </c:pt>
                <c:pt idx="128">
                  <c:v>27483.511003152802</c:v>
                </c:pt>
                <c:pt idx="129">
                  <c:v>1230.3353843860234</c:v>
                </c:pt>
                <c:pt idx="130">
                  <c:v>275.68302744227515</c:v>
                </c:pt>
                <c:pt idx="131">
                  <c:v>995.6802013953959</c:v>
                </c:pt>
                <c:pt idx="132">
                  <c:v>64589.974659965468</c:v>
                </c:pt>
                <c:pt idx="133">
                  <c:v>14962.028989271066</c:v>
                </c:pt>
                <c:pt idx="134">
                  <c:v>748.01048783794772</c:v>
                </c:pt>
                <c:pt idx="135">
                  <c:v>8802.3265185756245</c:v>
                </c:pt>
                <c:pt idx="136">
                  <c:v>1268.9610711229307</c:v>
                </c:pt>
                <c:pt idx="137">
                  <c:v>6145.3352543359524</c:v>
                </c:pt>
                <c:pt idx="138">
                  <c:v>955.42443270518891</c:v>
                </c:pt>
                <c:pt idx="139">
                  <c:v>1725.7948003065951</c:v>
                </c:pt>
                <c:pt idx="140">
                  <c:v>3536.4885396339923</c:v>
                </c:pt>
                <c:pt idx="141">
                  <c:v>1403.3063361554944</c:v>
                </c:pt>
                <c:pt idx="142">
                  <c:v>10035.850591834826</c:v>
                </c:pt>
                <c:pt idx="143">
                  <c:v>18535.131234142536</c:v>
                </c:pt>
                <c:pt idx="144">
                  <c:v>20782.83569150712</c:v>
                </c:pt>
                <c:pt idx="145">
                  <c:v>58256.966788513462</c:v>
                </c:pt>
                <c:pt idx="146">
                  <c:v>5321.8101990424975</c:v>
                </c:pt>
                <c:pt idx="147">
                  <c:v>6385.6173068952321</c:v>
                </c:pt>
                <c:pt idx="148">
                  <c:v>349.34486347036096</c:v>
                </c:pt>
                <c:pt idx="149">
                  <c:v>942.19892453235764</c:v>
                </c:pt>
                <c:pt idx="150">
                  <c:v>10594.494056867299</c:v>
                </c:pt>
                <c:pt idx="151">
                  <c:v>6109.4882023480113</c:v>
                </c:pt>
                <c:pt idx="152">
                  <c:v>5395.7785679886438</c:v>
                </c:pt>
                <c:pt idx="153">
                  <c:v>2291.7206357476061</c:v>
                </c:pt>
                <c:pt idx="154">
                  <c:v>49961.150184159698</c:v>
                </c:pt>
                <c:pt idx="155">
                  <c:v>15994.78055746439</c:v>
                </c:pt>
                <c:pt idx="156">
                  <c:v>800.43110309607573</c:v>
                </c:pt>
                <c:pt idx="157">
                  <c:v>3823.2204030260514</c:v>
                </c:pt>
                <c:pt idx="158">
                  <c:v>12645.084724908209</c:v>
                </c:pt>
                <c:pt idx="159">
                  <c:v>370.43813687539563</c:v>
                </c:pt>
                <c:pt idx="160">
                  <c:v>34758.404334915285</c:v>
                </c:pt>
                <c:pt idx="161">
                  <c:v>14161.797545718329</c:v>
                </c:pt>
                <c:pt idx="162">
                  <c:v>19054.257484924816</c:v>
                </c:pt>
                <c:pt idx="163">
                  <c:v>992.71947650383504</c:v>
                </c:pt>
                <c:pt idx="164">
                  <c:v>5797.2434904439497</c:v>
                </c:pt>
                <c:pt idx="165">
                  <c:v>22236.187948867053</c:v>
                </c:pt>
                <c:pt idx="166">
                  <c:v>25595.990106992766</c:v>
                </c:pt>
                <c:pt idx="167">
                  <c:v>1610.0848370777339</c:v>
                </c:pt>
                <c:pt idx="168">
                  <c:v>1004.7756189466916</c:v>
                </c:pt>
                <c:pt idx="169">
                  <c:v>4169.5907084279788</c:v>
                </c:pt>
                <c:pt idx="170">
                  <c:v>2445.0802818366064</c:v>
                </c:pt>
                <c:pt idx="171">
                  <c:v>42825.675932195161</c:v>
                </c:pt>
                <c:pt idx="172">
                  <c:v>54642.81108074497</c:v>
                </c:pt>
                <c:pt idx="173">
                  <c:v>1646.18348597933</c:v>
                </c:pt>
                <c:pt idx="174">
                  <c:v>417.10605268475319</c:v>
                </c:pt>
                <c:pt idx="175">
                  <c:v>438.4920862852793</c:v>
                </c:pt>
                <c:pt idx="176">
                  <c:v>3163.9038450709104</c:v>
                </c:pt>
                <c:pt idx="177">
                  <c:v>641.4407139985351</c:v>
                </c:pt>
                <c:pt idx="178">
                  <c:v>392.85505650149429</c:v>
                </c:pt>
                <c:pt idx="179">
                  <c:v>2582.7032504784875</c:v>
                </c:pt>
                <c:pt idx="180">
                  <c:v>14297.889414135465</c:v>
                </c:pt>
                <c:pt idx="181">
                  <c:v>3861.5088997834828</c:v>
                </c:pt>
                <c:pt idx="182">
                  <c:v>7833.5285846205052</c:v>
                </c:pt>
                <c:pt idx="183">
                  <c:v>2632.4274469546981</c:v>
                </c:pt>
                <c:pt idx="184">
                  <c:v>2423.2614862357495</c:v>
                </c:pt>
                <c:pt idx="185">
                  <c:v>393.14887775627386</c:v>
                </c:pt>
                <c:pt idx="186">
                  <c:v>1974.6211818802449</c:v>
                </c:pt>
                <c:pt idx="187">
                  <c:v>24219.297645532275</c:v>
                </c:pt>
                <c:pt idx="188">
                  <c:v>37899.295520911917</c:v>
                </c:pt>
                <c:pt idx="189">
                  <c:v>43952.446494287382</c:v>
                </c:pt>
                <c:pt idx="190">
                  <c:v>6791.0504176996537</c:v>
                </c:pt>
                <c:pt idx="191">
                  <c:v>752.42831016735465</c:v>
                </c:pt>
                <c:pt idx="192">
                  <c:v>2131.0935359039281</c:v>
                </c:pt>
                <c:pt idx="193">
                  <c:v>6010.0797889966334</c:v>
                </c:pt>
                <c:pt idx="194">
                  <c:v>900.49369266691042</c:v>
                </c:pt>
                <c:pt idx="195">
                  <c:v>878.13958248017809</c:v>
                </c:pt>
                <c:pt idx="196">
                  <c:v>741.44209139426641</c:v>
                </c:pt>
                <c:pt idx="197">
                  <c:v>397.82159673579832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F6-40C3-B5F9-12748E5EE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51352"/>
        <c:axId val="229048352"/>
      </c:scatterChart>
      <c:valAx>
        <c:axId val="332151352"/>
        <c:scaling>
          <c:orientation val="minMax"/>
          <c:max val="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 (in degrees centrigrade)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29048352"/>
        <c:crosses val="autoZero"/>
        <c:crossBetween val="midCat"/>
      </c:valAx>
      <c:valAx>
        <c:axId val="229048352"/>
        <c:scaling>
          <c:orientation val="minMax"/>
          <c:max val="10"/>
          <c:min val="-2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Welfare-equivalent income change (in percent)</a:t>
                </a:r>
              </a:p>
            </c:rich>
          </c:tx>
          <c:layout>
            <c:manualLayout>
              <c:xMode val="edge"/>
              <c:yMode val="edge"/>
              <c:x val="6.8281941405061702E-3"/>
              <c:y val="0.1598887159691958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33215135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 b="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A99EAB-89BA-4C16-A0CF-0843EB01991D}">
  <sheetPr/>
  <sheetViews>
    <sheetView zoomScale="8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FA744F8-1136-4FD2-99FA-76C03312DB8E}">
  <sheetPr/>
  <sheetViews>
    <sheetView zoomScale="8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CD50363-D287-4AB5-98D6-605EAC0170F8}">
  <sheetPr/>
  <sheetViews>
    <sheetView zoomScale="8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31B7E2-F3DE-4B19-9878-2DF10508D171}">
  <sheetPr/>
  <sheetViews>
    <sheetView zoomScale="80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48F160-1D44-4825-8571-ADF61A717458}">
  <sheetPr/>
  <sheetViews>
    <sheetView zoomScale="80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92B1EC-56DB-48EC-96FA-91606AE7BE3D}">
  <sheetPr/>
  <sheetViews>
    <sheetView zoomScale="59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78029D-0ADD-4EBE-A541-9BD0E77A52F0}">
  <sheetPr/>
  <sheetViews>
    <sheetView zoomScale="59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677142-567F-483A-8FFB-0AA8B9294A83}">
  <sheetPr/>
  <sheetViews>
    <sheetView zoomScale="59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FC8C665-D7CE-407F-8E89-65D24D9E746A}">
  <sheetPr/>
  <sheetViews>
    <sheetView zoomScale="55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819DAC-556B-475A-A77B-5F2447C9A0F2}">
  <sheetPr/>
  <sheetViews>
    <sheetView zoomScale="59" workbookViewId="0" zoomToFit="1"/>
  </sheetViews>
  <pageMargins left="0.7" right="0.7" top="0.75" bottom="0.75" header="0.3" footer="0.3"/>
  <pageSetup orientation="landscape" r:id="rId1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2086BA-1268-488D-A14E-B226A634ADCD}">
  <sheetPr/>
  <sheetViews>
    <sheetView zoomScale="55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448AC1-C2EB-46FD-A785-C3A3B2FF38CA}">
  <sheetPr/>
  <sheetViews>
    <sheetView zoomScale="59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F6DE6C-5230-45FA-982D-9DD30E1DA9A4}">
  <sheetPr/>
  <sheetViews>
    <sheetView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34750C-5348-49A6-B5AA-CFEDCB4979ED}">
  <sheetPr/>
  <sheetViews>
    <sheetView zoomScale="55" workbookViewId="0" zoomToFit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F6481F-80DF-453D-8ECB-2DD2D2E3B505}">
  <sheetPr/>
  <sheetViews>
    <sheetView zoomScale="55" workbookViewId="0" zoomToFit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0E7B941-8BB9-4D9D-8FE7-04A9CE8523BD}">
  <sheetPr/>
  <sheetViews>
    <sheetView zoomScale="55" workbookViewId="0" zoomToFit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017971A-4162-4E66-86A1-A66C1048C976}">
  <sheetPr/>
  <sheetViews>
    <sheetView zoomScale="55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840637-B48F-44B0-9332-5FD9DA447686}">
  <sheetPr/>
  <sheetViews>
    <sheetView zoomScale="64" workbookViewId="0" zoomToFit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81ADB9-BE91-4E65-BD79-5DF3A1A547D4}">
  <sheetPr/>
  <sheetViews>
    <sheetView zoomScale="55" workbookViewId="0" zoomToFit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E545C6-F56A-4B72-9478-A1C7B618C810}">
  <sheetPr/>
  <sheetViews>
    <sheetView tabSelected="1" zoomScale="5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40764-94F0-1B2A-DA3C-2472627EC59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DC1F8-525A-2049-4D29-A454BF80BE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D929A-D14C-4A85-5225-47F386CF136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E6593-96E5-0A9A-A090-C356113EB25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4F02D-26B1-8E66-B5CD-F8EC70CEAB5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7ACC0-6B09-9332-52A1-D8C2B7ADAB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47B26-E97E-F332-C334-3690A7CD73C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B0031-8802-9D15-C8A2-44E13D5D77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F752B-18C9-0C2D-4762-2C8913A8F28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0.654</cdr:x>
      <cdr:y>0.02761</cdr:y>
    </cdr:from>
    <cdr:to>
      <cdr:x>0.655</cdr:x>
      <cdr:y>0.85276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5BB81C5E-98B2-846F-B948-BE0B4622662F}"/>
            </a:ext>
          </a:extLst>
        </cdr:cNvPr>
        <cdr:cNvCxnSpPr/>
      </cdr:nvCxnSpPr>
      <cdr:spPr>
        <a:xfrm xmlns:a="http://schemas.openxmlformats.org/drawingml/2006/main" flipH="1">
          <a:off x="6077415" y="167268"/>
          <a:ext cx="9292" cy="499946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0.56179</cdr:x>
      <cdr:y>0.02454</cdr:y>
    </cdr:from>
    <cdr:to>
      <cdr:x>0.73179</cdr:x>
      <cdr:y>0.07822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C2EE3D69-F939-4ADE-EC62-CC2F262E36F2}"/>
            </a:ext>
          </a:extLst>
        </cdr:cNvPr>
        <cdr:cNvSpPr txBox="1"/>
      </cdr:nvSpPr>
      <cdr:spPr>
        <a:xfrm xmlns:a="http://schemas.openxmlformats.org/drawingml/2006/main">
          <a:off x="4867328" y="154244"/>
          <a:ext cx="1472877" cy="3374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Damages   Benefits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6C27F-A315-B13E-C287-B77B4A78026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CBAEF-2B6F-2019-A5E4-CEBDBC46A4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BD85F-80D7-4E9F-838F-A14ACB07816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8FAC9-BBB9-4068-9F2A-E87DF89341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0BBAB-11F7-2DA9-D6DD-5A1F92BBB46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24092-0F48-4445-668D-2E49C5FC755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BDC71-C7CE-7679-5A76-C2BBC9F376C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7F052-ACF6-0944-E20F-234CBB5FDDE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D4008-12D8-C0B2-2F78-52EDEA5CE3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A0394-5146-462A-BD42-A5BB754FF04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4EAAB-A915-4818-9456-785617DD741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ichardTol/Google%20Drive/Kaya/DataMast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ichardTol/Google%20Drive/FUND%20(1)/FUND-National/scenarioev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chard/Google%20Drive/Kaya/DataMas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pulation"/>
      <sheetName val="NominalGDP"/>
      <sheetName val="Inflation"/>
      <sheetName val="Chart2"/>
      <sheetName val="Chart3"/>
      <sheetName val="Chart4"/>
      <sheetName val="RealGDP"/>
      <sheetName val="Export"/>
      <sheetName val="Import"/>
      <sheetName val="GDPcap"/>
      <sheetName val="GDPcap (PPP, nom)"/>
      <sheetName val="GDPcap (PPP, real)"/>
      <sheetName val="Energy"/>
      <sheetName val="EnergyIntensity"/>
      <sheetName val="CO2"/>
      <sheetName val="CO2IntEnergy"/>
      <sheetName val="Chart5"/>
      <sheetName val="CO2IntEconomy"/>
      <sheetName val="CO2transfer"/>
      <sheetName val="TaxShare"/>
      <sheetName val="TaxRevenue"/>
      <sheetName val="GDPAgShare"/>
      <sheetName val="CH4"/>
      <sheetName val="CH4AgShare"/>
      <sheetName val="CH4Ag"/>
      <sheetName val="CH4IntAgEcon"/>
      <sheetName val="N2O"/>
      <sheetName val="N2OAgShare"/>
      <sheetName val="N2OAg"/>
      <sheetName val="N2OIntAgEcon"/>
      <sheetName val="Democracy"/>
    </sheetNames>
    <sheetDataSet>
      <sheetData sheetId="0">
        <row r="3">
          <cell r="BB3">
            <v>28397812</v>
          </cell>
        </row>
        <row r="4">
          <cell r="BB4">
            <v>3150143</v>
          </cell>
        </row>
        <row r="5">
          <cell r="BB5">
            <v>37062820</v>
          </cell>
        </row>
        <row r="7">
          <cell r="BB7">
            <v>77907</v>
          </cell>
        </row>
        <row r="8">
          <cell r="BB8">
            <v>19549124</v>
          </cell>
        </row>
        <row r="11">
          <cell r="BB11">
            <v>87233</v>
          </cell>
        </row>
        <row r="12">
          <cell r="BB12">
            <v>40374224</v>
          </cell>
        </row>
        <row r="13">
          <cell r="BB13">
            <v>2963496</v>
          </cell>
        </row>
        <row r="14">
          <cell r="BB14">
            <v>101597</v>
          </cell>
        </row>
        <row r="15">
          <cell r="BB15">
            <v>22065300</v>
          </cell>
        </row>
        <row r="16">
          <cell r="BB16">
            <v>8389771</v>
          </cell>
        </row>
        <row r="17">
          <cell r="BB17">
            <v>9054332</v>
          </cell>
        </row>
        <row r="18">
          <cell r="BB18">
            <v>360498</v>
          </cell>
        </row>
        <row r="19">
          <cell r="BB19">
            <v>1251513</v>
          </cell>
        </row>
        <row r="20">
          <cell r="BB20">
            <v>151125475</v>
          </cell>
        </row>
        <row r="21">
          <cell r="BB21">
            <v>280396</v>
          </cell>
        </row>
        <row r="22">
          <cell r="BB22">
            <v>9490000</v>
          </cell>
        </row>
        <row r="23">
          <cell r="BB23">
            <v>10895586</v>
          </cell>
        </row>
        <row r="24">
          <cell r="BB24">
            <v>308595</v>
          </cell>
        </row>
        <row r="25">
          <cell r="BB25">
            <v>9509798</v>
          </cell>
        </row>
        <row r="26">
          <cell r="BB26">
            <v>65124</v>
          </cell>
        </row>
        <row r="27">
          <cell r="BB27">
            <v>716939</v>
          </cell>
        </row>
        <row r="28">
          <cell r="BB28">
            <v>10156601</v>
          </cell>
        </row>
        <row r="29">
          <cell r="BB29">
            <v>3845929</v>
          </cell>
        </row>
        <row r="30">
          <cell r="BB30">
            <v>1969341</v>
          </cell>
        </row>
        <row r="32">
          <cell r="BB32">
            <v>195210154</v>
          </cell>
        </row>
        <row r="35">
          <cell r="BB35">
            <v>400569</v>
          </cell>
        </row>
        <row r="36">
          <cell r="BB36">
            <v>7534289</v>
          </cell>
        </row>
        <row r="37">
          <cell r="BB37">
            <v>15540284</v>
          </cell>
        </row>
        <row r="38">
          <cell r="BB38">
            <v>9232753</v>
          </cell>
        </row>
        <row r="39">
          <cell r="BB39">
            <v>18976588</v>
          </cell>
        </row>
        <row r="40">
          <cell r="BB40">
            <v>14364931</v>
          </cell>
        </row>
        <row r="41">
          <cell r="BB41">
            <v>20624343</v>
          </cell>
        </row>
        <row r="42">
          <cell r="BB42">
            <v>34126547</v>
          </cell>
        </row>
        <row r="43">
          <cell r="BB43">
            <v>487601</v>
          </cell>
        </row>
        <row r="45">
          <cell r="BB45">
            <v>4349921</v>
          </cell>
        </row>
        <row r="46">
          <cell r="BB46">
            <v>11720781</v>
          </cell>
        </row>
        <row r="47">
          <cell r="BB47">
            <v>17150760</v>
          </cell>
        </row>
        <row r="48">
          <cell r="BB48">
            <v>1337705000</v>
          </cell>
        </row>
        <row r="51">
          <cell r="BB51">
            <v>46444798</v>
          </cell>
        </row>
        <row r="52">
          <cell r="BB52">
            <v>683081</v>
          </cell>
        </row>
        <row r="53">
          <cell r="BB53">
            <v>62191161</v>
          </cell>
        </row>
        <row r="54">
          <cell r="BB54">
            <v>4111715</v>
          </cell>
        </row>
        <row r="56">
          <cell r="BB56">
            <v>4669685</v>
          </cell>
        </row>
        <row r="57">
          <cell r="BB57">
            <v>4417800</v>
          </cell>
        </row>
        <row r="58">
          <cell r="BB58">
            <v>11281768</v>
          </cell>
        </row>
        <row r="59">
          <cell r="BB59">
            <v>1103685</v>
          </cell>
        </row>
        <row r="60">
          <cell r="BB60">
            <v>10519792</v>
          </cell>
        </row>
        <row r="61">
          <cell r="BB61">
            <v>5547683</v>
          </cell>
        </row>
        <row r="62">
          <cell r="BB62">
            <v>834036</v>
          </cell>
        </row>
        <row r="63">
          <cell r="BB63">
            <v>71167</v>
          </cell>
        </row>
        <row r="64">
          <cell r="BB64">
            <v>10016797</v>
          </cell>
        </row>
        <row r="65">
          <cell r="BB65">
            <v>15001072</v>
          </cell>
        </row>
        <row r="66">
          <cell r="BB66">
            <v>78075705</v>
          </cell>
        </row>
        <row r="67">
          <cell r="BB67">
            <v>6218195</v>
          </cell>
        </row>
        <row r="68">
          <cell r="BB68">
            <v>696167</v>
          </cell>
        </row>
        <row r="69">
          <cell r="BB69">
            <v>5741159</v>
          </cell>
        </row>
        <row r="70">
          <cell r="BB70">
            <v>1340161</v>
          </cell>
        </row>
        <row r="71">
          <cell r="BB71">
            <v>87095281</v>
          </cell>
        </row>
        <row r="73">
          <cell r="BB73">
            <v>49581</v>
          </cell>
        </row>
        <row r="74">
          <cell r="BB74">
            <v>860559</v>
          </cell>
        </row>
        <row r="75">
          <cell r="BB75">
            <v>5363352</v>
          </cell>
        </row>
        <row r="76">
          <cell r="BB76">
            <v>65031235</v>
          </cell>
        </row>
        <row r="80">
          <cell r="BB80">
            <v>1556222</v>
          </cell>
        </row>
        <row r="81">
          <cell r="BB81">
            <v>1680640</v>
          </cell>
        </row>
        <row r="83">
          <cell r="BB83">
            <v>4452800</v>
          </cell>
        </row>
        <row r="84">
          <cell r="BB84">
            <v>81776930</v>
          </cell>
        </row>
        <row r="85">
          <cell r="BB85">
            <v>24262901</v>
          </cell>
        </row>
        <row r="87">
          <cell r="BB87">
            <v>11307502</v>
          </cell>
        </row>
        <row r="88">
          <cell r="BB88">
            <v>56905</v>
          </cell>
        </row>
        <row r="89">
          <cell r="BB89">
            <v>104677</v>
          </cell>
        </row>
        <row r="92">
          <cell r="BB92">
            <v>14341576</v>
          </cell>
        </row>
        <row r="94">
          <cell r="BB94">
            <v>10876033</v>
          </cell>
        </row>
        <row r="95">
          <cell r="BB95">
            <v>1586624</v>
          </cell>
        </row>
        <row r="96">
          <cell r="BB96">
            <v>786126</v>
          </cell>
        </row>
        <row r="97">
          <cell r="BB97">
            <v>9896400</v>
          </cell>
        </row>
        <row r="99">
          <cell r="BB99">
            <v>7621204</v>
          </cell>
        </row>
        <row r="100">
          <cell r="BB100">
            <v>7024200</v>
          </cell>
        </row>
        <row r="101">
          <cell r="BB101">
            <v>10000023</v>
          </cell>
        </row>
        <row r="102">
          <cell r="BB102">
            <v>318041</v>
          </cell>
        </row>
        <row r="103">
          <cell r="BB103">
            <v>1205624648</v>
          </cell>
        </row>
        <row r="104">
          <cell r="BB104">
            <v>240676485</v>
          </cell>
        </row>
        <row r="105">
          <cell r="BB105">
            <v>74462314</v>
          </cell>
        </row>
        <row r="106">
          <cell r="BB106">
            <v>30962380</v>
          </cell>
        </row>
        <row r="107">
          <cell r="BB107">
            <v>4474356</v>
          </cell>
        </row>
        <row r="108">
          <cell r="BB108">
            <v>83992</v>
          </cell>
        </row>
        <row r="109">
          <cell r="BB109">
            <v>7623600</v>
          </cell>
        </row>
        <row r="110">
          <cell r="BB110">
            <v>60483385</v>
          </cell>
        </row>
        <row r="111">
          <cell r="BB111">
            <v>2701200</v>
          </cell>
        </row>
        <row r="112">
          <cell r="BB112">
            <v>127450459</v>
          </cell>
        </row>
        <row r="114">
          <cell r="BB114">
            <v>6046000</v>
          </cell>
        </row>
        <row r="115">
          <cell r="BB115">
            <v>16323287</v>
          </cell>
        </row>
        <row r="116">
          <cell r="BB116">
            <v>40909194</v>
          </cell>
        </row>
        <row r="117">
          <cell r="BB117">
            <v>97743</v>
          </cell>
        </row>
        <row r="118">
          <cell r="BB118">
            <v>1775680</v>
          </cell>
        </row>
        <row r="119">
          <cell r="BB119">
            <v>2991580</v>
          </cell>
        </row>
        <row r="120">
          <cell r="BB120">
            <v>5447900</v>
          </cell>
        </row>
        <row r="121">
          <cell r="BB121">
            <v>6395713</v>
          </cell>
        </row>
        <row r="122">
          <cell r="BB122">
            <v>2239008</v>
          </cell>
        </row>
        <row r="123">
          <cell r="BB123">
            <v>4341092</v>
          </cell>
        </row>
        <row r="124">
          <cell r="BB124">
            <v>2008921</v>
          </cell>
        </row>
        <row r="125">
          <cell r="BB125">
            <v>3957990</v>
          </cell>
        </row>
        <row r="126">
          <cell r="BB126">
            <v>6040612</v>
          </cell>
        </row>
        <row r="127">
          <cell r="BB127">
            <v>36120</v>
          </cell>
        </row>
        <row r="128">
          <cell r="BB128">
            <v>3286820</v>
          </cell>
        </row>
        <row r="129">
          <cell r="BB129">
            <v>506953</v>
          </cell>
        </row>
        <row r="130">
          <cell r="BB130">
            <v>534626</v>
          </cell>
        </row>
        <row r="131">
          <cell r="BB131">
            <v>2102216</v>
          </cell>
        </row>
        <row r="132">
          <cell r="BB132">
            <v>21079532</v>
          </cell>
        </row>
        <row r="133">
          <cell r="BB133">
            <v>15013694</v>
          </cell>
        </row>
        <row r="134">
          <cell r="BB134">
            <v>28275835</v>
          </cell>
        </row>
        <row r="135">
          <cell r="BB135">
            <v>325694</v>
          </cell>
        </row>
        <row r="136">
          <cell r="BB136">
            <v>13985961</v>
          </cell>
        </row>
        <row r="137">
          <cell r="BB137">
            <v>415995</v>
          </cell>
        </row>
        <row r="138">
          <cell r="BB138">
            <v>52428</v>
          </cell>
        </row>
        <row r="140">
          <cell r="BB140">
            <v>3609420</v>
          </cell>
        </row>
        <row r="141">
          <cell r="BB141">
            <v>1280924</v>
          </cell>
        </row>
        <row r="143">
          <cell r="BB143">
            <v>117886404</v>
          </cell>
        </row>
        <row r="144">
          <cell r="BB144">
            <v>103619</v>
          </cell>
        </row>
        <row r="145">
          <cell r="BB145">
            <v>3562062</v>
          </cell>
        </row>
        <row r="146">
          <cell r="BB146">
            <v>36845</v>
          </cell>
        </row>
        <row r="147">
          <cell r="BB147">
            <v>2712738</v>
          </cell>
        </row>
        <row r="148">
          <cell r="BB148">
            <v>620078</v>
          </cell>
        </row>
        <row r="150">
          <cell r="BB150">
            <v>31642360</v>
          </cell>
        </row>
        <row r="151">
          <cell r="BB151">
            <v>23967265</v>
          </cell>
        </row>
        <row r="153">
          <cell r="BB153">
            <v>2178967</v>
          </cell>
        </row>
        <row r="155">
          <cell r="BB155">
            <v>26846016</v>
          </cell>
        </row>
        <row r="156">
          <cell r="BB156">
            <v>16615394</v>
          </cell>
        </row>
        <row r="159">
          <cell r="BB159">
            <v>4367800</v>
          </cell>
        </row>
        <row r="160">
          <cell r="BB160">
            <v>5822209</v>
          </cell>
        </row>
        <row r="161">
          <cell r="BB161">
            <v>15893746</v>
          </cell>
        </row>
        <row r="162">
          <cell r="BB162">
            <v>159707780</v>
          </cell>
        </row>
        <row r="167">
          <cell r="BB167">
            <v>4889252</v>
          </cell>
        </row>
        <row r="168">
          <cell r="BB168">
            <v>2802768</v>
          </cell>
        </row>
        <row r="169">
          <cell r="BB169">
            <v>173149306</v>
          </cell>
        </row>
        <row r="170">
          <cell r="BB170">
            <v>20470</v>
          </cell>
        </row>
        <row r="171">
          <cell r="BB171">
            <v>3811102</v>
          </cell>
        </row>
        <row r="172">
          <cell r="BB172">
            <v>3678128</v>
          </cell>
        </row>
        <row r="173">
          <cell r="BB173">
            <v>6858945</v>
          </cell>
        </row>
        <row r="174">
          <cell r="BB174">
            <v>6459721</v>
          </cell>
        </row>
        <row r="175">
          <cell r="BB175">
            <v>29262830</v>
          </cell>
        </row>
        <row r="176">
          <cell r="BB176">
            <v>93444322</v>
          </cell>
        </row>
        <row r="178">
          <cell r="BB178">
            <v>38183683</v>
          </cell>
        </row>
        <row r="179">
          <cell r="BB179">
            <v>10637346</v>
          </cell>
        </row>
        <row r="180">
          <cell r="BB180">
            <v>3721208</v>
          </cell>
        </row>
        <row r="181">
          <cell r="BB181">
            <v>1749713</v>
          </cell>
        </row>
        <row r="183">
          <cell r="BB183">
            <v>21438001</v>
          </cell>
        </row>
        <row r="184">
          <cell r="BB184">
            <v>142389000</v>
          </cell>
        </row>
        <row r="185">
          <cell r="BB185">
            <v>10836732</v>
          </cell>
        </row>
        <row r="186">
          <cell r="BB186">
            <v>178228</v>
          </cell>
        </row>
        <row r="188">
          <cell r="BB188">
            <v>52352</v>
          </cell>
        </row>
        <row r="189">
          <cell r="BB189">
            <v>177397</v>
          </cell>
        </row>
        <row r="191">
          <cell r="BB191">
            <v>109316</v>
          </cell>
        </row>
        <row r="192">
          <cell r="BB192">
            <v>186029</v>
          </cell>
        </row>
        <row r="193">
          <cell r="BB193">
            <v>30861</v>
          </cell>
        </row>
        <row r="194">
          <cell r="BB194">
            <v>27258387</v>
          </cell>
        </row>
        <row r="195">
          <cell r="BB195">
            <v>12950564</v>
          </cell>
        </row>
        <row r="196">
          <cell r="BB196">
            <v>7291436</v>
          </cell>
        </row>
        <row r="197">
          <cell r="BB197">
            <v>89770</v>
          </cell>
        </row>
        <row r="198">
          <cell r="BB198">
            <v>5751976</v>
          </cell>
        </row>
        <row r="199">
          <cell r="BB199">
            <v>5076700</v>
          </cell>
        </row>
        <row r="200">
          <cell r="BB200">
            <v>5430099</v>
          </cell>
        </row>
        <row r="201">
          <cell r="BB201">
            <v>2048583</v>
          </cell>
        </row>
        <row r="202">
          <cell r="BB202">
            <v>526447</v>
          </cell>
        </row>
        <row r="204">
          <cell r="BB204">
            <v>49991300</v>
          </cell>
        </row>
        <row r="206">
          <cell r="BB206">
            <v>49410000</v>
          </cell>
        </row>
        <row r="207">
          <cell r="BB207">
            <v>46070971</v>
          </cell>
        </row>
        <row r="208">
          <cell r="BB208">
            <v>20653000</v>
          </cell>
        </row>
        <row r="209">
          <cell r="BB209">
            <v>35652002</v>
          </cell>
        </row>
        <row r="210">
          <cell r="BB210">
            <v>524960</v>
          </cell>
        </row>
        <row r="212">
          <cell r="BB212">
            <v>1193148</v>
          </cell>
        </row>
        <row r="213">
          <cell r="BB213">
            <v>9378126</v>
          </cell>
        </row>
        <row r="214">
          <cell r="BB214">
            <v>7824909</v>
          </cell>
        </row>
        <row r="215">
          <cell r="BB215">
            <v>21532647</v>
          </cell>
        </row>
        <row r="217">
          <cell r="BB217">
            <v>7627326</v>
          </cell>
        </row>
        <row r="218">
          <cell r="BB218">
            <v>44973330</v>
          </cell>
        </row>
        <row r="219">
          <cell r="BB219">
            <v>66402316</v>
          </cell>
        </row>
        <row r="220">
          <cell r="BB220">
            <v>1142502</v>
          </cell>
        </row>
        <row r="221">
          <cell r="BB221">
            <v>6306014</v>
          </cell>
        </row>
        <row r="223">
          <cell r="BB223">
            <v>104098</v>
          </cell>
        </row>
        <row r="224">
          <cell r="BB224">
            <v>1328095</v>
          </cell>
        </row>
        <row r="225">
          <cell r="BB225">
            <v>10549100</v>
          </cell>
        </row>
        <row r="226">
          <cell r="BB226">
            <v>72137546</v>
          </cell>
        </row>
        <row r="227">
          <cell r="BB227">
            <v>5041995</v>
          </cell>
        </row>
        <row r="229">
          <cell r="BB229">
            <v>9827</v>
          </cell>
        </row>
        <row r="232">
          <cell r="BB232">
            <v>33987213</v>
          </cell>
        </row>
        <row r="233">
          <cell r="BB233">
            <v>45870700</v>
          </cell>
        </row>
        <row r="234">
          <cell r="BB234">
            <v>8441537</v>
          </cell>
        </row>
        <row r="235">
          <cell r="BB235">
            <v>62271177</v>
          </cell>
        </row>
        <row r="236">
          <cell r="BB236">
            <v>309326225</v>
          </cell>
        </row>
        <row r="237">
          <cell r="BB237">
            <v>3371982</v>
          </cell>
        </row>
        <row r="238">
          <cell r="BB238">
            <v>28562400</v>
          </cell>
        </row>
        <row r="239">
          <cell r="BB239">
            <v>236299</v>
          </cell>
        </row>
        <row r="241">
          <cell r="BB241">
            <v>29043283</v>
          </cell>
        </row>
        <row r="242">
          <cell r="BB242">
            <v>86932500</v>
          </cell>
        </row>
        <row r="245">
          <cell r="BB245">
            <v>22763008</v>
          </cell>
        </row>
        <row r="246">
          <cell r="BB246">
            <v>13216985</v>
          </cell>
        </row>
        <row r="247">
          <cell r="BB247">
            <v>13076978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>
        <row r="3">
          <cell r="BB3">
            <v>10243250245.699793</v>
          </cell>
        </row>
        <row r="4">
          <cell r="BB4">
            <v>10725150216.110325</v>
          </cell>
        </row>
        <row r="5">
          <cell r="BB5">
            <v>116511760871.08984</v>
          </cell>
        </row>
        <row r="8">
          <cell r="BB8">
            <v>50371160616.47271</v>
          </cell>
        </row>
        <row r="11">
          <cell r="BB11">
            <v>1012173532.2035601</v>
          </cell>
        </row>
        <row r="12">
          <cell r="BB12">
            <v>293697869622.22595</v>
          </cell>
        </row>
        <row r="13">
          <cell r="BB13">
            <v>5918216827.4621973</v>
          </cell>
        </row>
        <row r="15">
          <cell r="BB15">
            <v>797442264201.02002</v>
          </cell>
        </row>
        <row r="16">
          <cell r="BB16">
            <v>325550262356.948</v>
          </cell>
        </row>
        <row r="17">
          <cell r="BB17">
            <v>28310397706.794827</v>
          </cell>
        </row>
        <row r="18">
          <cell r="BB18">
            <v>7575468595.4633093</v>
          </cell>
        </row>
        <row r="19">
          <cell r="BB19">
            <v>20928102319.771168</v>
          </cell>
        </row>
        <row r="20">
          <cell r="BB20">
            <v>81471733197.377762</v>
          </cell>
        </row>
        <row r="21">
          <cell r="BB21">
            <v>4033125824.922358</v>
          </cell>
        </row>
        <row r="22">
          <cell r="BB22">
            <v>42955347353.866852</v>
          </cell>
        </row>
        <row r="23">
          <cell r="BB23">
            <v>400383139123.5824</v>
          </cell>
        </row>
        <row r="24">
          <cell r="BB24">
            <v>1277265951.2394526</v>
          </cell>
        </row>
        <row r="25">
          <cell r="BB25">
            <v>5230812507.6709518</v>
          </cell>
        </row>
        <row r="26">
          <cell r="BB26">
            <v>4975071875.076025</v>
          </cell>
        </row>
        <row r="27">
          <cell r="BB27">
            <v>1288216614.4579239</v>
          </cell>
        </row>
        <row r="28">
          <cell r="BB28">
            <v>11954060130.08857</v>
          </cell>
        </row>
        <row r="29">
          <cell r="BB29">
            <v>12803068421.085346</v>
          </cell>
        </row>
        <row r="30">
          <cell r="BB30">
            <v>12116816308.861942</v>
          </cell>
        </row>
        <row r="32">
          <cell r="BB32">
            <v>1096754010432.5254</v>
          </cell>
        </row>
        <row r="35">
          <cell r="BB35">
            <v>9849702194.2507877</v>
          </cell>
        </row>
        <row r="36">
          <cell r="BB36">
            <v>32991740544.129009</v>
          </cell>
        </row>
        <row r="37">
          <cell r="BB37">
            <v>7105465610.4591045</v>
          </cell>
        </row>
        <row r="38">
          <cell r="BB38">
            <v>1391766915.34813</v>
          </cell>
        </row>
        <row r="39">
          <cell r="BB39">
            <v>18173099407.3027</v>
          </cell>
        </row>
        <row r="40">
          <cell r="BB40">
            <v>8693197235.5684757</v>
          </cell>
        </row>
        <row r="41">
          <cell r="BB41">
            <v>19209829592.645119</v>
          </cell>
        </row>
        <row r="42">
          <cell r="BB42">
            <v>1240064039807.2598</v>
          </cell>
        </row>
        <row r="43">
          <cell r="BB43">
            <v>1291490221.8474941</v>
          </cell>
        </row>
        <row r="45">
          <cell r="BB45">
            <v>1895403784.9660907</v>
          </cell>
        </row>
        <row r="46">
          <cell r="BB46">
            <v>8425171572.2620554</v>
          </cell>
        </row>
        <row r="47">
          <cell r="BB47">
            <v>147668421646.38379</v>
          </cell>
        </row>
        <row r="48">
          <cell r="BB48">
            <v>3839284159376.0742</v>
          </cell>
        </row>
        <row r="51">
          <cell r="BB51">
            <v>182893446717.7428</v>
          </cell>
        </row>
        <row r="52">
          <cell r="BB52">
            <v>413107576.03941357</v>
          </cell>
        </row>
        <row r="53">
          <cell r="BB53">
            <v>15665220568.04055</v>
          </cell>
        </row>
        <row r="54">
          <cell r="BB54">
            <v>7852666838.4847937</v>
          </cell>
        </row>
        <row r="56">
          <cell r="BB56">
            <v>25017792422.605213</v>
          </cell>
        </row>
        <row r="57">
          <cell r="BB57">
            <v>45872253522.123985</v>
          </cell>
        </row>
        <row r="58">
          <cell r="BB58">
            <v>55436887630.693001</v>
          </cell>
        </row>
        <row r="59">
          <cell r="BB59">
            <v>19207097486.442326</v>
          </cell>
        </row>
        <row r="60">
          <cell r="BB60">
            <v>148480783612.59024</v>
          </cell>
        </row>
        <row r="61">
          <cell r="BB61">
            <v>256817427641.90231</v>
          </cell>
        </row>
        <row r="62">
          <cell r="BB62">
            <v>905664174.69392717</v>
          </cell>
        </row>
        <row r="63">
          <cell r="BB63">
            <v>452332573.93279916</v>
          </cell>
        </row>
        <row r="64">
          <cell r="BB64">
            <v>47848657632.10955</v>
          </cell>
        </row>
        <row r="65">
          <cell r="BB65">
            <v>48764673104.869774</v>
          </cell>
        </row>
        <row r="66">
          <cell r="BB66">
            <v>121036124473.08067</v>
          </cell>
        </row>
        <row r="67">
          <cell r="BB67">
            <v>18341273339.874924</v>
          </cell>
        </row>
        <row r="68">
          <cell r="BB68">
            <v>8071655046.0093536</v>
          </cell>
        </row>
        <row r="69">
          <cell r="BB69">
            <v>1056636372.397827</v>
          </cell>
        </row>
        <row r="70">
          <cell r="BB70">
            <v>13897254466.99498</v>
          </cell>
        </row>
        <row r="71">
          <cell r="BB71">
            <v>20402844449.621059</v>
          </cell>
        </row>
        <row r="74">
          <cell r="BB74">
            <v>3032066121.2225323</v>
          </cell>
        </row>
        <row r="75">
          <cell r="BB75">
            <v>204154134528.24445</v>
          </cell>
        </row>
        <row r="76">
          <cell r="BB76">
            <v>2204446339914.4404</v>
          </cell>
        </row>
        <row r="80">
          <cell r="BB80">
            <v>9684595588.4366875</v>
          </cell>
        </row>
        <row r="81">
          <cell r="BB81">
            <v>784275580.67721629</v>
          </cell>
        </row>
        <row r="83">
          <cell r="BB83">
            <v>8241335082.6298161</v>
          </cell>
        </row>
        <row r="84">
          <cell r="BB84">
            <v>2954359050887.9268</v>
          </cell>
        </row>
        <row r="85">
          <cell r="BB85">
            <v>14804825656.667994</v>
          </cell>
        </row>
        <row r="87">
          <cell r="BB87">
            <v>240951131470.42734</v>
          </cell>
        </row>
        <row r="89">
          <cell r="BB89">
            <v>664521216.22512019</v>
          </cell>
        </row>
        <row r="92">
          <cell r="BB92">
            <v>32556756308.965832</v>
          </cell>
        </row>
        <row r="94">
          <cell r="BB94">
            <v>3267609254.7415366</v>
          </cell>
        </row>
        <row r="95">
          <cell r="BB95">
            <v>654977405.69626474</v>
          </cell>
        </row>
        <row r="96">
          <cell r="BB96">
            <v>918902044.7624557</v>
          </cell>
        </row>
        <row r="97">
          <cell r="BB97">
            <v>4312557777.9740305</v>
          </cell>
        </row>
        <row r="99">
          <cell r="BB99">
            <v>11546063422.563662</v>
          </cell>
        </row>
        <row r="100">
          <cell r="BB100">
            <v>220058248223.22446</v>
          </cell>
        </row>
        <row r="101">
          <cell r="BB101">
            <v>109264940823.83978</v>
          </cell>
        </row>
        <row r="102">
          <cell r="BB102">
            <v>16388138908.052595</v>
          </cell>
        </row>
        <row r="103">
          <cell r="BB103">
            <v>1243675499465.8105</v>
          </cell>
        </row>
        <row r="104">
          <cell r="BB104">
            <v>377898889669.60541</v>
          </cell>
        </row>
        <row r="105">
          <cell r="BB105">
            <v>242702371179.19858</v>
          </cell>
        </row>
        <row r="106">
          <cell r="BB106">
            <v>67270649065.243828</v>
          </cell>
        </row>
        <row r="107">
          <cell r="BB107">
            <v>203306959563.6236</v>
          </cell>
        </row>
        <row r="109">
          <cell r="BB109">
            <v>169010664818.13025</v>
          </cell>
        </row>
        <row r="110">
          <cell r="BB110">
            <v>1763885790470.2776</v>
          </cell>
        </row>
        <row r="112">
          <cell r="BB112">
            <v>4648468621132.7568</v>
          </cell>
        </row>
        <row r="114">
          <cell r="BB114">
            <v>17034536275.580128</v>
          </cell>
        </row>
        <row r="115">
          <cell r="BB115">
            <v>77245319067.247726</v>
          </cell>
        </row>
        <row r="116">
          <cell r="BB116">
            <v>23525253225.790203</v>
          </cell>
        </row>
        <row r="117">
          <cell r="BB117">
            <v>110681568.59474988</v>
          </cell>
        </row>
        <row r="118">
          <cell r="BB118">
            <v>4776327556.26161</v>
          </cell>
        </row>
        <row r="119">
          <cell r="BB119">
            <v>85606896366.229919</v>
          </cell>
        </row>
        <row r="120">
          <cell r="BB120">
            <v>3055806771.435782</v>
          </cell>
        </row>
        <row r="121">
          <cell r="BB121">
            <v>4021824831.5087829</v>
          </cell>
        </row>
        <row r="122">
          <cell r="BB122">
            <v>15502642580.339478</v>
          </cell>
        </row>
        <row r="123">
          <cell r="BB123">
            <v>30751708803.782261</v>
          </cell>
        </row>
        <row r="124">
          <cell r="BB124">
            <v>1749548111.1919663</v>
          </cell>
        </row>
        <row r="125">
          <cell r="BB125">
            <v>960255604.18450153</v>
          </cell>
        </row>
        <row r="126">
          <cell r="BB126">
            <v>54963979226.010597</v>
          </cell>
        </row>
        <row r="128">
          <cell r="BB128">
            <v>27346902406.20084</v>
          </cell>
        </row>
        <row r="129">
          <cell r="BB129">
            <v>40696164751.529617</v>
          </cell>
        </row>
        <row r="130">
          <cell r="BB130">
            <v>20684154508.54776</v>
          </cell>
        </row>
        <row r="131">
          <cell r="BB131">
            <v>7140636379.2323322</v>
          </cell>
        </row>
        <row r="132">
          <cell r="BB132">
            <v>5759450979.3430977</v>
          </cell>
        </row>
        <row r="133">
          <cell r="BB133">
            <v>3290262502.0248256</v>
          </cell>
        </row>
        <row r="134">
          <cell r="BB134">
            <v>178672208075.05682</v>
          </cell>
        </row>
        <row r="135">
          <cell r="BB135">
            <v>1518834121.3135984</v>
          </cell>
        </row>
        <row r="136">
          <cell r="BB136">
            <v>6971653980.9015436</v>
          </cell>
        </row>
        <row r="137">
          <cell r="BB137">
            <v>6652772997.1789989</v>
          </cell>
        </row>
        <row r="138">
          <cell r="BB138">
            <v>147320121.96961504</v>
          </cell>
        </row>
        <row r="140">
          <cell r="BB140">
            <v>2814034804.5275235</v>
          </cell>
        </row>
        <row r="141">
          <cell r="BB141">
            <v>7826157631.8455935</v>
          </cell>
        </row>
        <row r="143">
          <cell r="BB143">
            <v>953067840505.29358</v>
          </cell>
        </row>
        <row r="144">
          <cell r="BB144">
            <v>246418335.62772667</v>
          </cell>
        </row>
        <row r="145">
          <cell r="BB145">
            <v>3501430331.6016059</v>
          </cell>
        </row>
        <row r="147">
          <cell r="BB147">
            <v>3453733409.7557302</v>
          </cell>
        </row>
        <row r="148">
          <cell r="BB148">
            <v>2803866144.4280138</v>
          </cell>
        </row>
        <row r="150">
          <cell r="BB150">
            <v>75523499823.662308</v>
          </cell>
        </row>
        <row r="151">
          <cell r="BB151">
            <v>9127794918.9110737</v>
          </cell>
        </row>
        <row r="153">
          <cell r="BB153">
            <v>8936748666.272974</v>
          </cell>
        </row>
        <row r="155">
          <cell r="BB155">
            <v>10103288981.142262</v>
          </cell>
        </row>
        <row r="156">
          <cell r="BB156">
            <v>683063473113.4657</v>
          </cell>
        </row>
        <row r="159">
          <cell r="BB159">
            <v>120042479359.5708</v>
          </cell>
        </row>
        <row r="160">
          <cell r="BB160">
            <v>7163269747.9907646</v>
          </cell>
        </row>
        <row r="161">
          <cell r="BB161">
            <v>4381636014.6785507</v>
          </cell>
        </row>
        <row r="162">
          <cell r="BB162">
            <v>159017874554.81158</v>
          </cell>
        </row>
        <row r="167">
          <cell r="BB167">
            <v>315796662786.18549</v>
          </cell>
        </row>
        <row r="168">
          <cell r="BB168">
            <v>41935096066.201286</v>
          </cell>
        </row>
        <row r="169">
          <cell r="BB169">
            <v>129517496849.86209</v>
          </cell>
        </row>
        <row r="170">
          <cell r="BB170">
            <v>180183623.83524305</v>
          </cell>
        </row>
        <row r="171">
          <cell r="BB171">
            <v>4836140076.078743</v>
          </cell>
        </row>
        <row r="172">
          <cell r="BB172">
            <v>22603329668.360188</v>
          </cell>
        </row>
        <row r="173">
          <cell r="BB173">
            <v>6553203635.5810919</v>
          </cell>
        </row>
        <row r="174">
          <cell r="BB174">
            <v>11148152913.231319</v>
          </cell>
        </row>
        <row r="175">
          <cell r="BB175">
            <v>103487662932.25778</v>
          </cell>
        </row>
        <row r="176">
          <cell r="BB176">
            <v>131131009140.35426</v>
          </cell>
        </row>
        <row r="178">
          <cell r="BB178">
            <v>383205737633.98334</v>
          </cell>
        </row>
        <row r="179">
          <cell r="BB179">
            <v>197164604092.98117</v>
          </cell>
        </row>
        <row r="180">
          <cell r="BB180">
            <v>77337254437.921829</v>
          </cell>
        </row>
        <row r="181">
          <cell r="BB181">
            <v>101932972130.43025</v>
          </cell>
        </row>
        <row r="183">
          <cell r="BB183">
            <v>114088972368.88327</v>
          </cell>
        </row>
        <row r="184">
          <cell r="BB184">
            <v>909241662711.50525</v>
          </cell>
        </row>
        <row r="185">
          <cell r="BB185">
            <v>3785756661.0048919</v>
          </cell>
        </row>
        <row r="186">
          <cell r="BB186">
            <v>167926229.92155305</v>
          </cell>
        </row>
        <row r="188">
          <cell r="BB188">
            <v>554642952.86511683</v>
          </cell>
        </row>
        <row r="189">
          <cell r="BB189">
            <v>1083804878.6319301</v>
          </cell>
        </row>
        <row r="191">
          <cell r="BB191">
            <v>589844929.93824661</v>
          </cell>
        </row>
        <row r="192">
          <cell r="BB192">
            <v>426326498.14749146</v>
          </cell>
        </row>
        <row r="194">
          <cell r="BB194">
            <v>435991918415.44006</v>
          </cell>
        </row>
        <row r="195">
          <cell r="BB195">
            <v>10366034228.236326</v>
          </cell>
        </row>
        <row r="196">
          <cell r="BB196">
            <v>27876766882.558659</v>
          </cell>
        </row>
        <row r="197">
          <cell r="BB197">
            <v>1135149255.7550099</v>
          </cell>
        </row>
        <row r="198">
          <cell r="BB198">
            <v>2130751272.7919905</v>
          </cell>
        </row>
        <row r="199">
          <cell r="BB199">
            <v>176457991287.06442</v>
          </cell>
        </row>
        <row r="200">
          <cell r="BB200">
            <v>76899962691.20755</v>
          </cell>
        </row>
        <row r="201">
          <cell r="BB201">
            <v>39034227961.239731</v>
          </cell>
        </row>
        <row r="202">
          <cell r="BB202">
            <v>522614190.24701446</v>
          </cell>
        </row>
        <row r="204">
          <cell r="BB204">
            <v>289811738503.83063</v>
          </cell>
        </row>
        <row r="206">
          <cell r="BB206">
            <v>1098690046553.521</v>
          </cell>
        </row>
        <row r="207">
          <cell r="BB207">
            <v>1179232117935.5505</v>
          </cell>
        </row>
        <row r="208">
          <cell r="BB208">
            <v>33253082140.166439</v>
          </cell>
        </row>
        <row r="209">
          <cell r="BB209">
            <v>35822262376.238686</v>
          </cell>
        </row>
        <row r="210">
          <cell r="BB210">
            <v>2188868338.2963519</v>
          </cell>
        </row>
        <row r="212">
          <cell r="BB212">
            <v>2917342648.1127834</v>
          </cell>
        </row>
        <row r="213">
          <cell r="BB213">
            <v>401624584927.2937</v>
          </cell>
        </row>
        <row r="214">
          <cell r="BB214">
            <v>427575024211.02106</v>
          </cell>
        </row>
        <row r="217">
          <cell r="BB217">
            <v>3181403840.3997879</v>
          </cell>
        </row>
        <row r="218">
          <cell r="BB218">
            <v>19720449298.896339</v>
          </cell>
        </row>
        <row r="219">
          <cell r="BB219">
            <v>210090542914.01364</v>
          </cell>
        </row>
        <row r="220">
          <cell r="BB220">
            <v>732847298.62475431</v>
          </cell>
        </row>
        <row r="221">
          <cell r="BB221">
            <v>2477349486.2692142</v>
          </cell>
        </row>
        <row r="223">
          <cell r="BB223">
            <v>268854242.96830958</v>
          </cell>
        </row>
        <row r="224">
          <cell r="BB224">
            <v>18988955441.46624</v>
          </cell>
        </row>
        <row r="225">
          <cell r="BB225">
            <v>40735443534.70594</v>
          </cell>
        </row>
        <row r="226">
          <cell r="BB226">
            <v>565091528615.37659</v>
          </cell>
        </row>
        <row r="227">
          <cell r="BB227">
            <v>13272686025.408352</v>
          </cell>
        </row>
        <row r="229">
          <cell r="BB229">
            <v>23813390.625238709</v>
          </cell>
        </row>
        <row r="232">
          <cell r="BB232">
            <v>13362034649.013441</v>
          </cell>
        </row>
        <row r="233">
          <cell r="BB233">
            <v>90577255847.674149</v>
          </cell>
        </row>
        <row r="234">
          <cell r="BB234">
            <v>204448097188.77359</v>
          </cell>
        </row>
        <row r="235">
          <cell r="BB235">
            <v>2360033739558.0132</v>
          </cell>
        </row>
        <row r="236">
          <cell r="BB236">
            <v>13595644353592.4</v>
          </cell>
        </row>
        <row r="237">
          <cell r="BB237">
            <v>22899299769.575714</v>
          </cell>
        </row>
        <row r="238">
          <cell r="BB238">
            <v>21491158366.324051</v>
          </cell>
        </row>
        <row r="239">
          <cell r="BB239">
            <v>503575271.44056231</v>
          </cell>
        </row>
        <row r="241">
          <cell r="BB241">
            <v>174552448164.40952</v>
          </cell>
        </row>
        <row r="242">
          <cell r="BB242">
            <v>78282167937.76619</v>
          </cell>
        </row>
        <row r="245">
          <cell r="BB245">
            <v>19989098341.112953</v>
          </cell>
        </row>
        <row r="246">
          <cell r="BB246">
            <v>9799629000.3266487</v>
          </cell>
        </row>
        <row r="247">
          <cell r="BB247">
            <v>5202304268.4389067</v>
          </cell>
        </row>
      </sheetData>
      <sheetData sheetId="7"/>
      <sheetData sheetId="8"/>
      <sheetData sheetId="9">
        <row r="3">
          <cell r="BB3">
            <v>360.70561512625665</v>
          </cell>
        </row>
        <row r="4">
          <cell r="BB4">
            <v>3404.6550318859572</v>
          </cell>
        </row>
        <row r="5">
          <cell r="BB5">
            <v>3143.6291375316246</v>
          </cell>
        </row>
        <row r="8">
          <cell r="BB8">
            <v>2576.6454096087737</v>
          </cell>
        </row>
        <row r="11">
          <cell r="BB11">
            <v>11603.103552595465</v>
          </cell>
        </row>
        <row r="12">
          <cell r="BB12">
            <v>7274.3904532313973</v>
          </cell>
        </row>
        <row r="13">
          <cell r="BB13">
            <v>1997.0389119682286</v>
          </cell>
        </row>
        <row r="15">
          <cell r="BB15">
            <v>36140.105242213795</v>
          </cell>
        </row>
        <row r="16">
          <cell r="BB16">
            <v>38803.235792365253</v>
          </cell>
        </row>
        <row r="17">
          <cell r="BB17">
            <v>3126.7240594662121</v>
          </cell>
        </row>
        <row r="18">
          <cell r="BB18">
            <v>21013.899093651864</v>
          </cell>
        </row>
        <row r="19">
          <cell r="BB19">
            <v>16722.241255001882</v>
          </cell>
        </row>
        <row r="20">
          <cell r="BB20">
            <v>539.09993134762863</v>
          </cell>
        </row>
        <row r="21">
          <cell r="BB21">
            <v>14383.678172735552</v>
          </cell>
        </row>
        <row r="22">
          <cell r="BB22">
            <v>4526.3801215876556</v>
          </cell>
        </row>
        <row r="23">
          <cell r="BB23">
            <v>36747.279047091397</v>
          </cell>
        </row>
        <row r="24">
          <cell r="BB24">
            <v>4138.971633498445</v>
          </cell>
        </row>
        <row r="25">
          <cell r="BB25">
            <v>550.04454433952765</v>
          </cell>
        </row>
        <row r="26">
          <cell r="BB26">
            <v>76393.831384374804</v>
          </cell>
        </row>
        <row r="27">
          <cell r="BB27">
            <v>1796.8287601287193</v>
          </cell>
        </row>
        <row r="28">
          <cell r="BB28">
            <v>1176.9744750324021</v>
          </cell>
        </row>
        <row r="29">
          <cell r="BB29">
            <v>3328.9924023780331</v>
          </cell>
        </row>
        <row r="30">
          <cell r="BB30">
            <v>6152.7263733715708</v>
          </cell>
        </row>
        <row r="32">
          <cell r="BB32">
            <v>5618.3246002281494</v>
          </cell>
        </row>
        <row r="35">
          <cell r="BB35">
            <v>24589.277238754839</v>
          </cell>
        </row>
        <row r="36">
          <cell r="BB36">
            <v>4378.8790878779682</v>
          </cell>
        </row>
        <row r="37">
          <cell r="BB37">
            <v>457.22881322240346</v>
          </cell>
        </row>
        <row r="38">
          <cell r="BB38">
            <v>150.74235337478757</v>
          </cell>
        </row>
        <row r="39">
          <cell r="BB39">
            <v>957.65895361709386</v>
          </cell>
        </row>
        <row r="40">
          <cell r="BB40">
            <v>605.16804679176505</v>
          </cell>
        </row>
        <row r="41">
          <cell r="BB41">
            <v>931.41534703166633</v>
          </cell>
        </row>
        <row r="42">
          <cell r="BB42">
            <v>36337.22567382102</v>
          </cell>
        </row>
        <row r="43">
          <cell r="BB43">
            <v>2648.6619630548216</v>
          </cell>
        </row>
        <row r="45">
          <cell r="BB45">
            <v>435.73292134870741</v>
          </cell>
        </row>
        <row r="46">
          <cell r="BB46">
            <v>718.82339344639706</v>
          </cell>
        </row>
        <row r="47">
          <cell r="BB47">
            <v>8610.0220425441075</v>
          </cell>
        </row>
        <row r="48">
          <cell r="BB48">
            <v>2870.0529334764196</v>
          </cell>
        </row>
        <row r="51">
          <cell r="BB51">
            <v>3937.8672013546661</v>
          </cell>
        </row>
        <row r="52">
          <cell r="BB52">
            <v>604.77099500559018</v>
          </cell>
        </row>
        <row r="53">
          <cell r="BB53">
            <v>251.88821556234575</v>
          </cell>
        </row>
        <row r="54">
          <cell r="BB54">
            <v>1909.827611710635</v>
          </cell>
        </row>
        <row r="56">
          <cell r="BB56">
            <v>5357.4903708933716</v>
          </cell>
        </row>
        <row r="57">
          <cell r="BB57">
            <v>10383.506161918598</v>
          </cell>
        </row>
        <row r="58">
          <cell r="BB58">
            <v>4913.8475131462556</v>
          </cell>
        </row>
        <row r="59">
          <cell r="BB59">
            <v>17402.698674388368</v>
          </cell>
        </row>
        <row r="60">
          <cell r="BB60">
            <v>14114.421997373165</v>
          </cell>
        </row>
        <row r="61">
          <cell r="BB61">
            <v>46292.736560813282</v>
          </cell>
        </row>
        <row r="62">
          <cell r="BB62">
            <v>1085.8813944409201</v>
          </cell>
        </row>
        <row r="63">
          <cell r="BB63">
            <v>6355.9314560512476</v>
          </cell>
        </row>
        <row r="64">
          <cell r="BB64">
            <v>4776.8421015330105</v>
          </cell>
        </row>
        <row r="65">
          <cell r="BB65">
            <v>3250.7458870185928</v>
          </cell>
        </row>
        <row r="66">
          <cell r="BB66">
            <v>1550.2405578416574</v>
          </cell>
        </row>
        <row r="67">
          <cell r="BB67">
            <v>2949.613728722712</v>
          </cell>
        </row>
        <row r="68">
          <cell r="BB68">
            <v>11594.42353057435</v>
          </cell>
        </row>
        <row r="69">
          <cell r="BB69">
            <v>184.04582983990289</v>
          </cell>
        </row>
        <row r="70">
          <cell r="BB70">
            <v>10369.839494653985</v>
          </cell>
        </row>
        <row r="71">
          <cell r="BB71">
            <v>234.25889686975188</v>
          </cell>
        </row>
        <row r="74">
          <cell r="BB74">
            <v>3523.3680912320156</v>
          </cell>
        </row>
        <row r="75">
          <cell r="BB75">
            <v>38064.653322818347</v>
          </cell>
        </row>
        <row r="76">
          <cell r="BB76">
            <v>33898.26965325878</v>
          </cell>
        </row>
        <row r="80">
          <cell r="BB80">
            <v>6223.1452764687092</v>
          </cell>
        </row>
        <row r="81">
          <cell r="BB81">
            <v>466.6529302392043</v>
          </cell>
        </row>
        <row r="83">
          <cell r="BB83">
            <v>1850.8208503929698</v>
          </cell>
        </row>
        <row r="84">
          <cell r="BB84">
            <v>36127.047700224583</v>
          </cell>
        </row>
        <row r="85">
          <cell r="BB85">
            <v>610.18365679635724</v>
          </cell>
        </row>
        <row r="87">
          <cell r="BB87">
            <v>21308.962091753539</v>
          </cell>
        </row>
        <row r="89">
          <cell r="BB89">
            <v>6348.3020742390418</v>
          </cell>
        </row>
        <row r="92">
          <cell r="BB92">
            <v>2270.0961392922113</v>
          </cell>
        </row>
        <row r="94">
          <cell r="BB94">
            <v>300.44127805988973</v>
          </cell>
        </row>
        <row r="95">
          <cell r="BB95">
            <v>412.81198676955898</v>
          </cell>
        </row>
        <row r="96">
          <cell r="BB96">
            <v>1168.8991901583915</v>
          </cell>
        </row>
        <row r="97">
          <cell r="BB97">
            <v>435.77035871367673</v>
          </cell>
        </row>
        <row r="99">
          <cell r="BB99">
            <v>1514.9920435883439</v>
          </cell>
        </row>
        <row r="100">
          <cell r="BB100">
            <v>31328.585208738998</v>
          </cell>
        </row>
        <row r="101">
          <cell r="BB101">
            <v>10926.468951505391</v>
          </cell>
        </row>
        <row r="102">
          <cell r="BB102">
            <v>51528.384416011126</v>
          </cell>
        </row>
        <row r="103">
          <cell r="BB103">
            <v>1031.5611094455749</v>
          </cell>
        </row>
        <row r="104">
          <cell r="BB104">
            <v>1570.1529365014842</v>
          </cell>
        </row>
        <row r="105">
          <cell r="BB105">
            <v>3259.3987232145187</v>
          </cell>
        </row>
        <row r="106">
          <cell r="BB106">
            <v>2172.6575626694016</v>
          </cell>
        </row>
        <row r="107">
          <cell r="BB107">
            <v>45438.261855700264</v>
          </cell>
        </row>
        <row r="109">
          <cell r="BB109">
            <v>22169.403538765182</v>
          </cell>
        </row>
        <row r="110">
          <cell r="BB110">
            <v>29163.146051932734</v>
          </cell>
        </row>
        <row r="112">
          <cell r="BB112">
            <v>36472.749157637452</v>
          </cell>
        </row>
        <row r="114">
          <cell r="BB114">
            <v>2817.4886330764352</v>
          </cell>
        </row>
        <row r="115">
          <cell r="BB115">
            <v>4732.2159481266071</v>
          </cell>
        </row>
        <row r="116">
          <cell r="BB116">
            <v>575.06029636736923</v>
          </cell>
        </row>
        <row r="117">
          <cell r="BB117">
            <v>1132.3733525137338</v>
          </cell>
        </row>
        <row r="118">
          <cell r="BB118">
            <v>2689.8582831712979</v>
          </cell>
        </row>
        <row r="119">
          <cell r="BB119">
            <v>28615.94754819524</v>
          </cell>
        </row>
        <row r="120">
          <cell r="BB120">
            <v>560.91462241153135</v>
          </cell>
        </row>
        <row r="121">
          <cell r="BB121">
            <v>628.83134867195929</v>
          </cell>
        </row>
        <row r="122">
          <cell r="BB122">
            <v>6923.8888741529627</v>
          </cell>
        </row>
        <row r="123">
          <cell r="BB123">
            <v>7083.864798023691</v>
          </cell>
        </row>
        <row r="124">
          <cell r="BB124">
            <v>870.88945319002903</v>
          </cell>
        </row>
        <row r="125">
          <cell r="BB125">
            <v>242.61193287110416</v>
          </cell>
        </row>
        <row r="126">
          <cell r="BB126">
            <v>9099.0746013832031</v>
          </cell>
        </row>
        <row r="128">
          <cell r="BB128">
            <v>8320.1703793334709</v>
          </cell>
        </row>
        <row r="129">
          <cell r="BB129">
            <v>80276.011290059658</v>
          </cell>
        </row>
        <row r="130">
          <cell r="BB130">
            <v>38689.01719809317</v>
          </cell>
        </row>
        <row r="131">
          <cell r="BB131">
            <v>3396.7186907683758</v>
          </cell>
        </row>
        <row r="132">
          <cell r="BB132">
            <v>273.22480306218836</v>
          </cell>
        </row>
        <row r="133">
          <cell r="BB133">
            <v>219.15076343135976</v>
          </cell>
        </row>
        <row r="134">
          <cell r="BB134">
            <v>6318.9012128220729</v>
          </cell>
        </row>
        <row r="135">
          <cell r="BB135">
            <v>4663.3776529920669</v>
          </cell>
        </row>
        <row r="136">
          <cell r="BB136">
            <v>498.47514810755899</v>
          </cell>
        </row>
        <row r="137">
          <cell r="BB137">
            <v>15992.434998447094</v>
          </cell>
        </row>
        <row r="138">
          <cell r="BB138">
            <v>2809.9512086979294</v>
          </cell>
        </row>
        <row r="140">
          <cell r="BB140">
            <v>779.63628630847154</v>
          </cell>
        </row>
        <row r="141">
          <cell r="BB141">
            <v>6109.775155938677</v>
          </cell>
        </row>
        <row r="143">
          <cell r="BB143">
            <v>8084.6290001796442</v>
          </cell>
        </row>
        <row r="144">
          <cell r="BB144">
            <v>2378.1192216459017</v>
          </cell>
        </row>
        <row r="145">
          <cell r="BB145">
            <v>982.97849155955339</v>
          </cell>
        </row>
        <row r="147">
          <cell r="BB147">
            <v>1273.1540641800757</v>
          </cell>
        </row>
        <row r="148">
          <cell r="BB148">
            <v>4521.7958779831151</v>
          </cell>
        </row>
        <row r="150">
          <cell r="BB150">
            <v>2386.7846716762692</v>
          </cell>
        </row>
        <row r="151">
          <cell r="BB151">
            <v>380.84424396822391</v>
          </cell>
        </row>
        <row r="153">
          <cell r="BB153">
            <v>4101.3694407822486</v>
          </cell>
        </row>
        <row r="155">
          <cell r="BB155">
            <v>376.34220962776232</v>
          </cell>
        </row>
        <row r="156">
          <cell r="BB156">
            <v>41110.27840287541</v>
          </cell>
        </row>
        <row r="159">
          <cell r="BB159">
            <v>27483.511003152802</v>
          </cell>
        </row>
        <row r="160">
          <cell r="BB160">
            <v>1230.3353843860234</v>
          </cell>
        </row>
        <row r="161">
          <cell r="BB161">
            <v>275.68302744227515</v>
          </cell>
        </row>
        <row r="162">
          <cell r="BB162">
            <v>995.6802013953959</v>
          </cell>
        </row>
        <row r="167">
          <cell r="BB167">
            <v>64589.974659965468</v>
          </cell>
        </row>
        <row r="168">
          <cell r="BB168">
            <v>14962.028989271066</v>
          </cell>
        </row>
        <row r="169">
          <cell r="BB169">
            <v>748.01048783794772</v>
          </cell>
        </row>
        <row r="170">
          <cell r="BB170">
            <v>8802.3265185756245</v>
          </cell>
        </row>
        <row r="171">
          <cell r="BB171">
            <v>1268.9610711229307</v>
          </cell>
        </row>
        <row r="172">
          <cell r="BB172">
            <v>6145.3352543359524</v>
          </cell>
        </row>
        <row r="173">
          <cell r="BB173">
            <v>955.42443270518891</v>
          </cell>
        </row>
        <row r="174">
          <cell r="BB174">
            <v>1725.7948003065951</v>
          </cell>
        </row>
        <row r="175">
          <cell r="BB175">
            <v>3536.4885396339923</v>
          </cell>
        </row>
        <row r="176">
          <cell r="BB176">
            <v>1403.3063361554944</v>
          </cell>
        </row>
        <row r="178">
          <cell r="BB178">
            <v>10035.850591834826</v>
          </cell>
        </row>
        <row r="179">
          <cell r="BB179">
            <v>18535.131234142536</v>
          </cell>
        </row>
        <row r="180">
          <cell r="BB180">
            <v>20782.83569150712</v>
          </cell>
        </row>
        <row r="181">
          <cell r="BB181">
            <v>58256.966788513462</v>
          </cell>
        </row>
        <row r="183">
          <cell r="BB183">
            <v>5321.8101990424975</v>
          </cell>
        </row>
        <row r="184">
          <cell r="BB184">
            <v>6385.6173068952321</v>
          </cell>
        </row>
        <row r="185">
          <cell r="BB185">
            <v>349.34486347036096</v>
          </cell>
        </row>
        <row r="186">
          <cell r="BB186">
            <v>942.19892453235764</v>
          </cell>
        </row>
        <row r="188">
          <cell r="BB188">
            <v>10594.494056867299</v>
          </cell>
        </row>
        <row r="189">
          <cell r="BB189">
            <v>6109.4882023480113</v>
          </cell>
        </row>
        <row r="191">
          <cell r="BB191">
            <v>5395.7785679886438</v>
          </cell>
        </row>
        <row r="192">
          <cell r="BB192">
            <v>2291.7206357476061</v>
          </cell>
        </row>
        <row r="194">
          <cell r="BB194">
            <v>15994.78055746439</v>
          </cell>
        </row>
        <row r="195">
          <cell r="BB195">
            <v>800.43110309607573</v>
          </cell>
        </row>
        <row r="196">
          <cell r="BB196">
            <v>3823.2204030260514</v>
          </cell>
        </row>
        <row r="197">
          <cell r="BB197">
            <v>12645.084724908209</v>
          </cell>
        </row>
        <row r="198">
          <cell r="BB198">
            <v>370.43813687539563</v>
          </cell>
        </row>
        <row r="199">
          <cell r="BB199">
            <v>34758.404334915285</v>
          </cell>
        </row>
        <row r="200">
          <cell r="BB200">
            <v>14161.797545718329</v>
          </cell>
        </row>
        <row r="201">
          <cell r="BB201">
            <v>19054.257484924816</v>
          </cell>
        </row>
        <row r="202">
          <cell r="BB202">
            <v>992.71947650383504</v>
          </cell>
        </row>
        <row r="204">
          <cell r="BB204">
            <v>5797.2434904439497</v>
          </cell>
        </row>
        <row r="206">
          <cell r="BB206">
            <v>22236.187948867053</v>
          </cell>
        </row>
        <row r="207">
          <cell r="BB207">
            <v>25595.990106992766</v>
          </cell>
        </row>
        <row r="208">
          <cell r="BB208">
            <v>1610.0848370777339</v>
          </cell>
        </row>
        <row r="209">
          <cell r="BB209">
            <v>1004.7756189466916</v>
          </cell>
        </row>
        <row r="210">
          <cell r="BB210">
            <v>4169.5907084279788</v>
          </cell>
        </row>
        <row r="212">
          <cell r="BB212">
            <v>2445.0802818366064</v>
          </cell>
        </row>
        <row r="213">
          <cell r="BB213">
            <v>42825.675932195161</v>
          </cell>
        </row>
        <row r="214">
          <cell r="BB214">
            <v>54642.81108074497</v>
          </cell>
        </row>
        <row r="217">
          <cell r="BB217">
            <v>417.10605268475319</v>
          </cell>
        </row>
        <row r="218">
          <cell r="BB218">
            <v>438.4920862852793</v>
          </cell>
        </row>
        <row r="219">
          <cell r="BB219">
            <v>3163.9038450709104</v>
          </cell>
        </row>
        <row r="220">
          <cell r="BB220">
            <v>641.4407139985351</v>
          </cell>
        </row>
        <row r="221">
          <cell r="BB221">
            <v>392.85505650149429</v>
          </cell>
        </row>
        <row r="223">
          <cell r="BB223">
            <v>2582.7032504784875</v>
          </cell>
        </row>
        <row r="224">
          <cell r="BB224">
            <v>14297.889414135465</v>
          </cell>
        </row>
        <row r="225">
          <cell r="BB225">
            <v>3861.5088997834828</v>
          </cell>
        </row>
        <row r="226">
          <cell r="BB226">
            <v>7833.5285846205052</v>
          </cell>
        </row>
        <row r="227">
          <cell r="BB227">
            <v>2632.4274469546981</v>
          </cell>
        </row>
        <row r="229">
          <cell r="BB229">
            <v>2423.2614862357495</v>
          </cell>
        </row>
        <row r="232">
          <cell r="BB232">
            <v>393.14887775627386</v>
          </cell>
        </row>
        <row r="233">
          <cell r="BB233">
            <v>1974.6211818802449</v>
          </cell>
        </row>
        <row r="234">
          <cell r="BB234">
            <v>24219.297645532275</v>
          </cell>
        </row>
        <row r="235">
          <cell r="BB235">
            <v>37899.295520911917</v>
          </cell>
        </row>
        <row r="236">
          <cell r="BB236">
            <v>43952.446494287382</v>
          </cell>
        </row>
        <row r="237">
          <cell r="BB237">
            <v>6791.0504176996537</v>
          </cell>
        </row>
        <row r="238">
          <cell r="BB238">
            <v>752.42831016735465</v>
          </cell>
        </row>
        <row r="239">
          <cell r="BB239">
            <v>2131.0935359039281</v>
          </cell>
        </row>
        <row r="241">
          <cell r="BB241">
            <v>6010.0797889966334</v>
          </cell>
        </row>
        <row r="242">
          <cell r="BB242">
            <v>900.49369266691042</v>
          </cell>
        </row>
        <row r="245">
          <cell r="BB245">
            <v>878.13958248017809</v>
          </cell>
        </row>
        <row r="246">
          <cell r="BB246">
            <v>741.44209139426641</v>
          </cell>
        </row>
        <row r="247">
          <cell r="BB247">
            <v>397.82159673579832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p1"/>
      <sheetName val="PopLin"/>
      <sheetName val="Pop0.5"/>
      <sheetName val="Pop0.25"/>
      <sheetName val="Pop1.5"/>
      <sheetName val="Pop2"/>
      <sheetName val="YpC1"/>
      <sheetName val="YpC2"/>
      <sheetName val="YpC3"/>
      <sheetName val="du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AZ5">
            <v>36348.437965811201</v>
          </cell>
        </row>
        <row r="10">
          <cell r="AZ10">
            <v>20054.5684527587</v>
          </cell>
        </row>
        <row r="61">
          <cell r="AZ61">
            <v>36552.397664849697</v>
          </cell>
        </row>
        <row r="71">
          <cell r="AZ71">
            <v>31796.8397398335</v>
          </cell>
        </row>
        <row r="87">
          <cell r="AZ87">
            <v>42009.586522931197</v>
          </cell>
        </row>
        <row r="90">
          <cell r="AZ90">
            <v>4329.9743592711902</v>
          </cell>
        </row>
        <row r="105">
          <cell r="AZ105">
            <v>115950.613774247</v>
          </cell>
        </row>
        <row r="122">
          <cell r="AZ122">
            <v>160228.280321789</v>
          </cell>
        </row>
        <row r="156">
          <cell r="AZ156">
            <v>49961.150184159698</v>
          </cell>
        </row>
        <row r="175">
          <cell r="AZ175">
            <v>1646.18348597933</v>
          </cell>
        </row>
      </sheetData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pulation"/>
      <sheetName val="NominalGDP"/>
      <sheetName val="Inflation"/>
      <sheetName val="Chart6"/>
      <sheetName val="Chart7"/>
      <sheetName val="Chart8"/>
      <sheetName val="RealGDP"/>
      <sheetName val="Export"/>
      <sheetName val="Import"/>
      <sheetName val="GDPcap"/>
      <sheetName val="GDPcap (PPP, nom)"/>
      <sheetName val="GDPcap (PPP, real)"/>
      <sheetName val="Energy"/>
      <sheetName val="EnergyIntensity"/>
      <sheetName val="CO2"/>
      <sheetName val="CO2IntEnergy"/>
      <sheetName val="Chart9"/>
      <sheetName val="CO2IntEconomy"/>
      <sheetName val="CO2transfer"/>
      <sheetName val="TaxShare"/>
      <sheetName val="TaxRevenue"/>
      <sheetName val="GDPAgShare"/>
      <sheetName val="CH4"/>
      <sheetName val="CH4AgShare"/>
      <sheetName val="CH4Ag"/>
      <sheetName val="CH4IntAgEcon"/>
      <sheetName val="N2O"/>
      <sheetName val="N2OAgShare"/>
      <sheetName val="N2OAg"/>
      <sheetName val="N2OIntAgEcon"/>
      <sheetName val="Democracy"/>
      <sheetName val="Chart2"/>
      <sheetName val="Chart3"/>
      <sheetName val="Chart4"/>
      <sheetName val="Chart5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>
        <row r="236">
          <cell r="R236">
            <v>4958472075641.3496</v>
          </cell>
        </row>
        <row r="255">
          <cell r="R255">
            <v>18163103155136.863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Richard Tol" id="{5BC10EF5-4427-498A-8AEF-7C3EAFE237C4}" userId="a496289e8b3854f9" providerId="Windows Live"/>
</personList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22" dT="2020-12-14T15:01:13.30" personId="{5BC10EF5-4427-498A-8AEF-7C3EAFE237C4}" id="{EA0449E1-E343-488E-B7C6-C47AB65EB99D}">
    <text>Central African Republic
- Chad
- Congo
- Equatorial Guinea
- Gabon
- Sao Tome and Principe</text>
  </threadedComment>
  <threadedComment ref="J123" dT="2020-12-14T15:30:49.20" personId="{5BC10EF5-4427-498A-8AEF-7C3EAFE237C4}" id="{284EBB7A-ED8C-4EA3-8BBC-35442F70934F}">
    <text>Belize</text>
  </threadedComment>
  <threadedComment ref="J124" dT="2020-12-13T16:51:58.07" personId="{5BC10EF5-4427-498A-8AEF-7C3EAFE237C4}" id="{96D873CA-BE3F-4F92-B6B0-8A49A0DDFDBC}">
    <text>Burundi
- Comoros
- Djibouti
- Eritrea
- Mayotte
- Seychelles
- Somalia
- Sudan</text>
  </threadedComment>
  <threadedComment ref="J125" dT="2020-12-14T15:38:51.15" personId="{5BC10EF5-4427-498A-8AEF-7C3EAFE237C4}" id="{7A15D2E7-1B19-414F-9011-EC2A7E65BD10}">
    <text>- Korea, Democratic People's Republic of
- Macao, Special Administrative Region of China</text>
  </threadedComment>
  <threadedComment ref="J127" dT="2020-12-14T15:19:54.48" personId="{5BC10EF5-4427-498A-8AEF-7C3EAFE237C4}" id="{AA8CA752-07B3-4E40-8DE2-B92CCD1BC06A}">
    <text>- Iceland
- Liechtenstein</text>
  </threadedComment>
  <threadedComment ref="J128" dT="2020-12-14T15:14:29.62" personId="{5BC10EF5-4427-498A-8AEF-7C3EAFE237C4}" id="{877964E8-9529-42DC-97F2-649DC2E102F8}">
    <text>Andorra
- Bosnia and Herzegovina
- Faroe Islands
- Gibraltar
- Guernsey
- Holy See (Vatican City State)
- Isle of Man
- Jersey
- Macedonia, Republic of
- Monaco
- Montenegro
- San Marino
- Serbia</text>
  </threadedComment>
  <threadedComment ref="J129" dT="2020-12-14T08:16:56.64" personId="{5BC10EF5-4427-498A-8AEF-7C3EAFE237C4}" id="{14AA4DD8-2A34-4E2B-BBF9-4F774AF29642}">
    <text>- Tajikistan
- Turkmenistan
- Uzbekistan</text>
  </threadedComment>
  <threadedComment ref="J130" dT="2020-12-14T15:33:41.00" personId="{5BC10EF5-4427-498A-8AEF-7C3EAFE237C4}" id="{0946038E-F91D-4096-B03C-6C494DF72472}">
    <text>- Algeria
- Libya
- Western Sahara</text>
  </threadedComment>
  <threadedComment ref="J131" dT="2020-12-14T15:23:34.16" personId="{5BC10EF5-4427-498A-8AEF-7C3EAFE237C4}" id="{3ECFFFE8-EECD-4A3F-9DAB-C7ACD11DD6F2}">
    <text>- Bermuda
- Greenland
- Saint Pierre and Miquelon</text>
  </threadedComment>
  <threadedComment ref="J132" dT="2020-12-13T16:39:32.37" personId="{5BC10EF5-4427-498A-8AEF-7C3EAFE237C4}" id="{F4182CB7-80A7-4388-8B9B-FC139CB54764}">
    <text>- American Samoa
- Cook Islands
- Fiji
- French Polynesia
- Guam
- Kiribati
- Marshall Islands
- Micronesia, Federated States of
- Nauru
- New Caledonia
- Niue
- Northern Mariana Islands
- Palau
- Papua New Guinea
- Pitcairn
- Samoa
- Solomon Islands
- Tokelau
- Tonga
- Tuvalu
- United States Minor Outlying Islands
- Vanuatu
- Wallis and Futuna Islands</text>
  </threadedComment>
  <threadedComment ref="J133" dT="2020-12-13T16:43:30.96" personId="{5BC10EF5-4427-498A-8AEF-7C3EAFE237C4}" id="{BD6A2077-7445-46AA-AFDF-AF6C98F9E93D}">
    <text>- Lesotho
- Swaziland</text>
  </threadedComment>
  <threadedComment ref="J134" dT="2020-12-14T09:37:14.72" personId="{5BC10EF5-4427-498A-8AEF-7C3EAFE237C4}" id="{E519B7E8-C53E-4B52-B613-A9623CFE77CC}">
    <text>- Falkland Islands (Malvinas)
- French Guiana
- Guyana
- South Georgia and the South Sandwich Islands
- Suriname</text>
  </threadedComment>
  <threadedComment ref="J135" dT="2020-12-14T08:11:56.27" personId="{5BC10EF5-4427-498A-8AEF-7C3EAFE237C4}" id="{A5D01FA2-C6E1-4B1F-B150-D4CC97DE3C30}">
    <text>- Afghanistan
- Bhutan
- Maldives</text>
  </threadedComment>
  <threadedComment ref="J136" dT="2020-12-13T16:56:32.72" personId="{5BC10EF5-4427-498A-8AEF-7C3EAFE237C4}" id="{2C4291A3-09C1-43C2-8A04-DCC8DC5DA1D0}">
    <text>Angola
- Congo, Democratic Republic of the</text>
  </threadedComment>
  <threadedComment ref="J137" dT="2020-12-14T08:09:53.61" personId="{5BC10EF5-4427-498A-8AEF-7C3EAFE237C4}" id="{C1DDF414-7C27-47D5-92D6-F116D5A1EF79}">
    <text>- Myanmar
- Timor-Leste</text>
  </threadedComment>
  <threadedComment ref="J138" dT="2020-12-14T15:27:07.14" personId="{5BC10EF5-4427-498A-8AEF-7C3EAFE237C4}" id="{BE5B4979-B7E1-484E-9666-E59AA26BA146}">
    <text>- Anguilla
- Antigua and Barbuda
- Aruba
- Bahamas
- Barbados
- British Virgin Islands
- Cayman Islands
- Cuba
- Dominica
- Grenada
- Haiti
- Montserrat
- Netherlands Antilles
- Saint Kitts and Nevis
- Saint Lucia
- Saint Vincent and Grenadines
- Turks and Caicos Islands
- Virgin Islands, US</text>
  </threadedComment>
  <threadedComment ref="J140" dT="2020-12-14T15:05:26.53" personId="{5BC10EF5-4427-498A-8AEF-7C3EAFE237C4}" id="{FAC9B98A-25CB-4AAF-93F5-CE995AA5E30D}">
    <text>Cape Verde
- Gambia
- Guinea-Bissau
- Liberia
- Mali
- Mauritania
- Niger
- Saint Helena
- Sierra Leone</text>
  </threadedComment>
  <threadedComment ref="J141" dT="2020-12-14T08:15:00.50" personId="{5BC10EF5-4427-498A-8AEF-7C3EAFE237C4}" id="{C1FF9249-7055-4605-AC92-597A5655374E}">
    <text>- Iraq
- Lebanon
- Palestinian Territory, Occupied
- Syrian Arab Republic (Syria)
- Yemen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121" dT="2020-12-14T15:01:24.38" personId="{5BC10EF5-4427-498A-8AEF-7C3EAFE237C4}" id="{89E582E8-3785-49AA-9E1D-B54C23C66759}">
    <text>Central African Republic
- Chad
- Congo
- Equatorial Guinea
- Gabon
- Sao Tome and Principe</text>
  </threadedComment>
  <threadedComment ref="H122" dT="2020-12-14T15:31:05.40" personId="{5BC10EF5-4427-498A-8AEF-7C3EAFE237C4}" id="{20C0C081-B0B3-46A7-892D-AA6BA55B85B7}">
    <text>Belize</text>
  </threadedComment>
  <threadedComment ref="H123" dT="2020-12-14T15:38:59.68" personId="{5BC10EF5-4427-498A-8AEF-7C3EAFE237C4}" id="{917D79D2-50F7-456E-A310-84FDCB718C7A}">
    <text>- Korea, Democratic People's Republic of
- Macao, Special Administrative Region of China</text>
  </threadedComment>
  <threadedComment ref="H124" dT="2020-12-13T16:52:09.78" personId="{5BC10EF5-4427-498A-8AEF-7C3EAFE237C4}" id="{1E53BA33-E7A6-4011-8D3C-272238CBEDA4}">
    <text>Burundi
- Comoros
- Djibouti
- Eritrea
- Mayotte
- Seychelles
- Somalia
- Sudan</text>
  </threadedComment>
  <threadedComment ref="H126" dT="2020-12-14T15:20:04.78" personId="{5BC10EF5-4427-498A-8AEF-7C3EAFE237C4}" id="{46242320-98C9-44BE-8AB6-F579DC7205D5}">
    <text>- Iceland
- Liechtenstein</text>
  </threadedComment>
  <threadedComment ref="H127" dT="2020-12-14T15:13:40.04" personId="{5BC10EF5-4427-498A-8AEF-7C3EAFE237C4}" id="{B790DE5E-4EF9-4B60-9898-494499077BC5}">
    <text>Andorra
- Bosnia and Herzegovina
- Faroe Islands
- Gibraltar
- Guernsey
- Holy See (Vatican City State)
- Isle of Man
- Jersey
- Macedonia, Republic of
- Monaco
- Montenegro
- San Marino
- Serbia</text>
  </threadedComment>
  <threadedComment ref="H128" dT="2020-12-14T08:17:11.66" personId="{5BC10EF5-4427-498A-8AEF-7C3EAFE237C4}" id="{51DEB8BC-F998-41EA-B11F-DE49420E2797}">
    <text>- Tajikistan
- Turkmenistan
- Uzbekistan</text>
  </threadedComment>
  <threadedComment ref="H129" dT="2020-12-14T15:33:50.74" personId="{5BC10EF5-4427-498A-8AEF-7C3EAFE237C4}" id="{A80CE003-606A-4BEE-B32B-CB0F3EC5FDFA}">
    <text>- Algeria
- Libya
- Western Sahara</text>
  </threadedComment>
  <threadedComment ref="H130" dT="2020-12-14T15:23:45.91" personId="{5BC10EF5-4427-498A-8AEF-7C3EAFE237C4}" id="{7AC7F8FF-86AC-4A79-AB86-E9BC8FB2CAAA}">
    <text>- Bermuda
- Greenland
- Saint Pierre and Miquelon</text>
  </threadedComment>
  <threadedComment ref="H131" dT="2020-12-13T16:39:03.80" personId="{5BC10EF5-4427-498A-8AEF-7C3EAFE237C4}" id="{74587549-8D3D-4D42-88B0-5E0003F02E73}">
    <text>- American Samoa
- Cook Islands
- Fiji
- French Polynesia
- Guam
- Kiribati
- Marshall Islands
- Micronesia, Federated States of
- Nauru
- New Caledonia
- Niue
- Northern Mariana Islands
- Palau
- Papua New Guinea
- Pitcairn
- Samoa
- Solomon Islands
- Tokelau
- Tonga
- Tuvalu
- United States Minor Outlying Islands
- Vanuatu
- Wallis and Futuna Islands</text>
  </threadedComment>
  <threadedComment ref="H132" dT="2020-12-13T16:43:44.17" personId="{5BC10EF5-4427-498A-8AEF-7C3EAFE237C4}" id="{BF22E63F-6B24-4580-A46F-B4DD09F5EA6A}">
    <text>- Lesotho
- Swaziland</text>
  </threadedComment>
  <threadedComment ref="H134" dT="2020-12-14T08:12:05.90" personId="{5BC10EF5-4427-498A-8AEF-7C3EAFE237C4}" id="{10F0AC50-2657-45EF-A326-6DEBEA4B47D4}">
    <text>- Afghanistan
- Bhutan
- Maldives</text>
  </threadedComment>
  <threadedComment ref="H135" dT="2020-12-13T16:56:45.66" personId="{5BC10EF5-4427-498A-8AEF-7C3EAFE237C4}" id="{11611879-813B-4FF3-9D34-ABF92CFB8CDC}">
    <text>Angola
- Congo, Democratic Republic of the</text>
  </threadedComment>
  <threadedComment ref="H136" dT="2020-12-14T08:10:07.55" personId="{5BC10EF5-4427-498A-8AEF-7C3EAFE237C4}" id="{16405E3E-62AC-4335-AE98-B2623F061CB3}">
    <text>- Myanmar
- Timor-Leste</text>
  </threadedComment>
  <threadedComment ref="H138" dT="2020-12-14T15:05:36.34" personId="{5BC10EF5-4427-498A-8AEF-7C3EAFE237C4}" id="{62CF87E2-4C2E-4486-B337-4256975B36B2}">
    <text>Cape Verde
- Gambia
- Guinea-Bissau
- Liberia
- Mali
- Mauritania
- Niger
- Saint Helena
- Sierra Leone</text>
  </threadedComment>
  <threadedComment ref="H140" dT="2020-12-14T15:27:23.00" personId="{5BC10EF5-4427-498A-8AEF-7C3EAFE237C4}" id="{E7BD9C68-FB98-4BC7-9F63-DB24477C24DA}">
    <text>- Anguilla
- Antigua and Barbuda
- Aruba
- Bahamas
- Barbados
- British Virgin Islands
- Cayman Islands
- Cuba
- Dominica
- Grenada
- Haiti
- Montserrat
- Netherlands Antilles
- Saint Kitts and Nevis
- Saint Lucia
- Saint Vincent and Grenadines
- Turks and Caicos Islands
- Virgin Islands, US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8831F4A-ABCA-4283-BB21-80F1E6BFFBCC}">
  <we:reference id="wa104100404" version="2.0.0.0" store="en-GB" storeType="OMEX"/>
  <we:alternateReferences>
    <we:reference id="WA104100404" version="2.0.0.0" store="" storeType="OMEX"/>
  </we:alternateReferences>
  <we:properties>
    <we:property name="ECYhOyILIxNaDzUcPT8RCQ0vMCw1Jz4fUg==" value="&quot;Ug==&quot;"/>
    <we:property name="ECYhOyILIxNaDzUcPT8RCQ0vMCw1JzUUUg==" value="&quot;JREB&quot;"/>
    <we:property name="ECYhOyILIxNaDzUcPT8RLAMxLyglFDUJ" value="&quot;CnJ8IXU=&quot;"/>
    <we:property name="ECYhOyILIxNaDzUcPT8RNQAp" value="&quot;RgpicA==&quot;"/>
    <we:property name="ECYhOyILIxNaDzUcPT8RNwM7CyAp" value="&quot;UA==&quot;"/>
    <we:property name="ECYhOyILIxNaDzVZDi5CEwMhKiw0" value="&quot;RgRieH1cF14H&quot;"/>
    <we:property name="ECYhOyILIxNaDzVZDi5CEwMhKiw0SQ==" value="&quot;&quot;"/>
    <we:property name="ECYhOyILIxNaDzVZFS5INwst" value="&quot;UA==&quot;"/>
    <we:property name="ECYhOyILIxNaDzVZFy1a" value="&quot;BXc=&quot;"/>
    <we:property name="ECYhOyILIxNaDzVZKyBcDAcxGS4mCA==" value="&quot;Um12eXdIYEs=&quot;"/>
    <we:property name="ECYhOyILIxNaDzVZKyBcDAcxGS8iGQ==" value="&quot;Um12eXdIYEs=&quot;"/>
    <we:property name="ECYhOyILIxNaDzVZKyBcDAcxGSA3Cw==" value="&quot;Um1/cA==&quot;"/>
    <we:property name="ECYhOyILIxNaDzVZKyBcDAcxGSA3EQ==" value="&quot;Uw==&quot;"/>
    <we:property name="ECYhOyILIxNaDzVZKyBcDAcxGSA3HA==" value="&quot;UQ==&quot;"/>
    <we:property name="ECYhOyILIxNaDzVZKyBcDAcxGSQ0FA==" value="&quot;Ug==&quot;"/>
    <we:property name="ECYhOyILIxNaDzVZKyBcDAcxGSQ1DA==" value="&quot;Um12fnI=&quot;"/>
    <we:property name="ECYhOyILIxNaDzVZKyBcDAcxGSQiDA==" value="&quot;UA==&quot;"/>
    <we:property name="ECYhOyILIxNaDzVZKyBcDAcxGSQpEQ==" value="&quot;UXM=&quot;"/>
    <we:property name="ECYhOyILIxNaDzVZKyBcDAcxGSU3CA==" value="&quot;Ug==&quot;"/>
    <we:property name="ECYhOyILIxNaDzVZKyBcDAcxGSU3DA==" value="&quot;Ug==&quot;"/>
    <we:property name="ECYhOyILIxNaDzVZKyBcDAcxGSciHw==" value="&quot;Ug==&quot;"/>
    <we:property name="ECYhOyILIxNaDzVZKyBcDAcxGSczCg==" value="&quot;UA==&quot;"/>
    <we:property name="ECYhOyILIxNaDzVZKyBcDAcxGSg1Cw==" value="&quot;Uw==&quot;"/>
    <we:property name="ECYhOyILIxNaDzVZKyBcDAcxGSgkGw==" value="&quot;Um12eXY=&quot;"/>
    <we:property name="ECYhOyILIxNaDzVZKyBcDAcxGSoxHw==" value="&quot;Um12eXdJ&quot;"/>
    <we:property name="ECYhOyILIxNaDzVZKyBcDAcxGSwpHw==" value="&quot;JREB&quot;"/>
    <we:property name="ECYhOyILIxNaDzVZKyBcDAcxGT0oFA==" value="&quot;Um12eXdJ&quot;"/>
    <we:property name="ECYhOyILIxNaDzVZKyBcDAcxGTk1HQ==" value="&quot;Um12eXdIYEs=&quot;"/>
    <we:property name="ECYhOyILIxNaDzVZKyBcDAcxGTo0Ag==" value="&quot;U3N2&quot;"/>
    <we:property name="ECYhOyILIxNaDzVZKyBcDAcxGTokFA==" value="&quot;Uw==&quot;"/>
    <we:property name="ECYhOyILIxNaDzVZKyBcDAcxGTooGw==" value="&quot;Ug==&quot;"/>
    <we:property name="ECYhOyILIxNaDzVZKyBcDAcxGTozGQ==" value="&quot;Ug==&quot;"/>
    <we:property name="ECYhOyILIxNaDzVZKyBcDAcxGTs0HA==" value="&quot;Ug==&quot;"/>
    <we:property name="ECYhOyILIxNaDzVZKyBcDAcxGTsiCw==" value="&quot;Vw==&quot;"/>
    <we:property name="ECYhOyILIxNaDzVZKyBcDAcxGTslDg==" value="&quot;Uw==&quot;"/>
    <we:property name="ECYhOyILIxNaDzVZKyBcDAcxGTsrAA==" value="&quot;Uw==&quot;"/>
    <we:property name="UniqueID" value="&quot;20231121676219801747&quot;"/>
    <we:property name="BTEpPjMQcTVXCw==" value="&quot;RgIHbXM=&quot;"/>
    <we:property name="BTEpPjMQcQlaDTAdKhBVFAU=" value="&quot;JREB&quot;"/>
    <we:property name="BTEpPjMQcTdUGQsRNg==" value="&quot;UA==&quot;"/>
  </we:properties>
  <we:bindings>
    <we:binding id="Var$H$1:$H$2" type="matrix" appref="{9AF3AE52-62D4-4C9B-9998-5C2EDD95CCED}"/>
    <we:binding id="Var$G$1:$G$2" type="matrix" appref="{33022CAD-1AB7-49B8-83FA-929AD171C3BB}"/>
    <we:binding id="Var0" type="matrix" appref="{A5FBC637-D3FC-4E07-BCD4-4CA54A30B1AF}"/>
    <we:binding id="refEdit" type="matrix" appref="{259E5281-CD42-4C42-A1CC-1360996DE696}"/>
    <we:binding id="Worker" type="matrix" appref="{687C0D57-6008-49E2-AB08-56829A559A77}"/>
    <we:binding id="Obj" type="matrix" appref="{F19502E6-48C6-4DAA-92B5-DA1AFC74E980}"/>
  </we:bindings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\" TargetMode="External"/><Relationship Id="rId3" Type="http://schemas.openxmlformats.org/officeDocument/2006/relationships/hyperlink" Target="\" TargetMode="External"/><Relationship Id="rId7" Type="http://schemas.openxmlformats.org/officeDocument/2006/relationships/hyperlink" Target="\" TargetMode="External"/><Relationship Id="rId2" Type="http://schemas.openxmlformats.org/officeDocument/2006/relationships/hyperlink" Target="\" TargetMode="External"/><Relationship Id="rId1" Type="http://schemas.openxmlformats.org/officeDocument/2006/relationships/hyperlink" Target="\" TargetMode="External"/><Relationship Id="rId6" Type="http://schemas.openxmlformats.org/officeDocument/2006/relationships/hyperlink" Target="\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\" TargetMode="External"/><Relationship Id="rId10" Type="http://schemas.openxmlformats.org/officeDocument/2006/relationships/hyperlink" Target="\" TargetMode="External"/><Relationship Id="rId4" Type="http://schemas.openxmlformats.org/officeDocument/2006/relationships/hyperlink" Target="\" TargetMode="External"/><Relationship Id="rId9" Type="http://schemas.openxmlformats.org/officeDocument/2006/relationships/hyperlink" Target="\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\" TargetMode="External"/><Relationship Id="rId3" Type="http://schemas.openxmlformats.org/officeDocument/2006/relationships/hyperlink" Target="\" TargetMode="External"/><Relationship Id="rId7" Type="http://schemas.openxmlformats.org/officeDocument/2006/relationships/hyperlink" Target="\" TargetMode="External"/><Relationship Id="rId2" Type="http://schemas.openxmlformats.org/officeDocument/2006/relationships/hyperlink" Target="\" TargetMode="External"/><Relationship Id="rId1" Type="http://schemas.openxmlformats.org/officeDocument/2006/relationships/hyperlink" Target="\" TargetMode="External"/><Relationship Id="rId6" Type="http://schemas.openxmlformats.org/officeDocument/2006/relationships/hyperlink" Target="\" TargetMode="External"/><Relationship Id="rId5" Type="http://schemas.openxmlformats.org/officeDocument/2006/relationships/hyperlink" Target="\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\" TargetMode="External"/><Relationship Id="rId9" Type="http://schemas.openxmlformats.org/officeDocument/2006/relationships/hyperlink" Target="\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\" TargetMode="External"/><Relationship Id="rId3" Type="http://schemas.openxmlformats.org/officeDocument/2006/relationships/hyperlink" Target="\" TargetMode="External"/><Relationship Id="rId7" Type="http://schemas.openxmlformats.org/officeDocument/2006/relationships/hyperlink" Target="\" TargetMode="External"/><Relationship Id="rId2" Type="http://schemas.openxmlformats.org/officeDocument/2006/relationships/hyperlink" Target="\" TargetMode="External"/><Relationship Id="rId1" Type="http://schemas.openxmlformats.org/officeDocument/2006/relationships/hyperlink" Target="\" TargetMode="External"/><Relationship Id="rId6" Type="http://schemas.openxmlformats.org/officeDocument/2006/relationships/hyperlink" Target="\" TargetMode="External"/><Relationship Id="rId5" Type="http://schemas.openxmlformats.org/officeDocument/2006/relationships/hyperlink" Target="\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\" TargetMode="External"/><Relationship Id="rId9" Type="http://schemas.openxmlformats.org/officeDocument/2006/relationships/hyperlink" Target="\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hyperlink" Target="\" TargetMode="External"/><Relationship Id="rId1" Type="http://schemas.openxmlformats.org/officeDocument/2006/relationships/hyperlink" Target="\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en.wikipedia.org/wiki/North_America" TargetMode="External"/><Relationship Id="rId7" Type="http://schemas.openxmlformats.org/officeDocument/2006/relationships/hyperlink" Target="https://en.wikipedia.org/wiki/Oceania" TargetMode="External"/><Relationship Id="rId2" Type="http://schemas.openxmlformats.org/officeDocument/2006/relationships/hyperlink" Target="https://en.wikipedia.org/wiki/Asia" TargetMode="External"/><Relationship Id="rId1" Type="http://schemas.openxmlformats.org/officeDocument/2006/relationships/hyperlink" Target="https://en.wikipedia.org/wiki/Gross_world_product" TargetMode="External"/><Relationship Id="rId6" Type="http://schemas.openxmlformats.org/officeDocument/2006/relationships/hyperlink" Target="https://en.wikipedia.org/wiki/Africa" TargetMode="External"/><Relationship Id="rId5" Type="http://schemas.openxmlformats.org/officeDocument/2006/relationships/hyperlink" Target="https://en.wikipedia.org/wiki/South_America" TargetMode="External"/><Relationship Id="rId4" Type="http://schemas.openxmlformats.org/officeDocument/2006/relationships/hyperlink" Target="https://en.wikipedia.org/wiki/Europe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>
      <selection activeCell="A11" sqref="A11"/>
    </sheetView>
  </sheetViews>
  <sheetFormatPr defaultRowHeight="14.5" x14ac:dyDescent="0.35"/>
  <cols>
    <col min="1" max="1" width="13.453125" customWidth="1"/>
  </cols>
  <sheetData>
    <row r="1" spans="1:2" x14ac:dyDescent="0.35">
      <c r="A1" t="s">
        <v>549</v>
      </c>
      <c r="B1" t="s">
        <v>550</v>
      </c>
    </row>
    <row r="2" spans="1:2" x14ac:dyDescent="0.35">
      <c r="A2" t="s">
        <v>34</v>
      </c>
      <c r="B2" t="s">
        <v>315</v>
      </c>
    </row>
    <row r="3" spans="1:2" x14ac:dyDescent="0.35">
      <c r="A3" t="s">
        <v>35</v>
      </c>
      <c r="B3" t="s">
        <v>36</v>
      </c>
    </row>
    <row r="4" spans="1:2" x14ac:dyDescent="0.35">
      <c r="A4" t="s">
        <v>38</v>
      </c>
      <c r="B4" t="s">
        <v>314</v>
      </c>
    </row>
    <row r="5" spans="1:2" x14ac:dyDescent="0.35">
      <c r="A5" t="s">
        <v>39</v>
      </c>
      <c r="B5" t="s">
        <v>545</v>
      </c>
    </row>
    <row r="6" spans="1:2" x14ac:dyDescent="0.35">
      <c r="A6" t="s">
        <v>546</v>
      </c>
      <c r="B6" t="s">
        <v>551</v>
      </c>
    </row>
    <row r="7" spans="1:2" x14ac:dyDescent="0.35">
      <c r="A7" t="s">
        <v>548</v>
      </c>
      <c r="B7" t="s">
        <v>37</v>
      </c>
    </row>
    <row r="8" spans="1:2" x14ac:dyDescent="0.35">
      <c r="A8" t="s">
        <v>552</v>
      </c>
      <c r="B8" t="s">
        <v>547</v>
      </c>
    </row>
    <row r="9" spans="1:2" x14ac:dyDescent="0.35">
      <c r="A9" t="s">
        <v>553</v>
      </c>
      <c r="B9" t="s">
        <v>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1"/>
  <sheetViews>
    <sheetView topLeftCell="A51" zoomScaleNormal="100" workbookViewId="0">
      <selection activeCell="C54" sqref="C54"/>
    </sheetView>
  </sheetViews>
  <sheetFormatPr defaultRowHeight="14.5" x14ac:dyDescent="0.35"/>
  <cols>
    <col min="1" max="1" width="33.81640625" customWidth="1"/>
    <col min="2" max="2" width="4.1796875" customWidth="1"/>
    <col min="3" max="4" width="8.54296875" customWidth="1"/>
    <col min="5" max="6" width="6.453125" customWidth="1"/>
    <col min="7" max="8" width="5.453125" customWidth="1"/>
    <col min="9" max="10" width="5.81640625" customWidth="1"/>
    <col min="11" max="12" width="5.453125" customWidth="1"/>
    <col min="13" max="13" width="8.1796875" customWidth="1"/>
    <col min="14" max="14" width="34.1796875" customWidth="1"/>
    <col min="15" max="15" width="20.1796875" customWidth="1"/>
    <col min="16" max="16" width="58.54296875" customWidth="1"/>
  </cols>
  <sheetData>
    <row r="1" spans="1:16" x14ac:dyDescent="0.35">
      <c r="A1" t="s">
        <v>289</v>
      </c>
      <c r="C1" t="s">
        <v>288</v>
      </c>
      <c r="N1" t="s">
        <v>41</v>
      </c>
    </row>
    <row r="2" spans="1:16" x14ac:dyDescent="0.35">
      <c r="A2" s="8">
        <f>COUNT(C3:C71)-COUNTBLANK(A3:A71)</f>
        <v>39</v>
      </c>
      <c r="C2" t="s">
        <v>12</v>
      </c>
      <c r="E2" t="s">
        <v>13</v>
      </c>
      <c r="G2" t="s">
        <v>14</v>
      </c>
      <c r="I2" t="s">
        <v>15</v>
      </c>
      <c r="K2" t="s">
        <v>16</v>
      </c>
      <c r="M2" t="s">
        <v>515</v>
      </c>
      <c r="N2" t="s">
        <v>12</v>
      </c>
      <c r="O2" t="s">
        <v>13</v>
      </c>
      <c r="P2" t="s">
        <v>46</v>
      </c>
    </row>
    <row r="3" spans="1:16" x14ac:dyDescent="0.35">
      <c r="A3" t="s">
        <v>511</v>
      </c>
      <c r="B3" t="s">
        <v>766</v>
      </c>
      <c r="C3" s="1">
        <v>-1</v>
      </c>
      <c r="D3" t="s">
        <v>766</v>
      </c>
      <c r="E3" s="1">
        <f>-dArge!K32*100</f>
        <v>-0.59642907312262095</v>
      </c>
      <c r="F3" t="s">
        <v>766</v>
      </c>
      <c r="H3" t="s">
        <v>766</v>
      </c>
      <c r="J3" t="s">
        <v>766</v>
      </c>
      <c r="L3" s="39" t="s">
        <v>767</v>
      </c>
      <c r="M3" s="1">
        <f>E3*graph!B$48/graph!B$13</f>
        <v>2.9325226176909172</v>
      </c>
      <c r="P3" t="s">
        <v>514</v>
      </c>
    </row>
    <row r="4" spans="1:16" x14ac:dyDescent="0.35">
      <c r="A4" t="s">
        <v>319</v>
      </c>
      <c r="B4" t="s">
        <v>766</v>
      </c>
      <c r="C4">
        <v>2.5</v>
      </c>
      <c r="D4" t="s">
        <v>766</v>
      </c>
      <c r="E4" s="15">
        <v>-3</v>
      </c>
      <c r="F4" t="s">
        <v>766</v>
      </c>
      <c r="H4" t="s">
        <v>766</v>
      </c>
      <c r="I4" s="1">
        <v>-12</v>
      </c>
      <c r="J4" t="s">
        <v>766</v>
      </c>
      <c r="K4" s="1">
        <v>5</v>
      </c>
      <c r="L4" s="39" t="s">
        <v>767</v>
      </c>
      <c r="M4" s="7">
        <f>E4</f>
        <v>-3</v>
      </c>
      <c r="N4" t="s">
        <v>320</v>
      </c>
      <c r="O4" t="s">
        <v>321</v>
      </c>
    </row>
    <row r="5" spans="1:16" x14ac:dyDescent="0.35">
      <c r="A5" t="s">
        <v>42</v>
      </c>
      <c r="B5" t="s">
        <v>766</v>
      </c>
      <c r="C5" s="13">
        <v>3</v>
      </c>
      <c r="D5" t="s">
        <v>766</v>
      </c>
      <c r="E5" s="16">
        <v>-1</v>
      </c>
      <c r="F5" t="s">
        <v>766</v>
      </c>
      <c r="H5" t="s">
        <v>766</v>
      </c>
      <c r="J5" t="s">
        <v>766</v>
      </c>
      <c r="L5" s="39" t="s">
        <v>767</v>
      </c>
      <c r="M5" s="1">
        <f>E5*graph!B$48/graph!B$53</f>
        <v>-0.77341098431592292</v>
      </c>
      <c r="N5" t="s">
        <v>43</v>
      </c>
      <c r="O5" t="s">
        <v>43</v>
      </c>
    </row>
    <row r="6" spans="1:16" x14ac:dyDescent="0.35">
      <c r="A6" t="s">
        <v>1</v>
      </c>
      <c r="B6" t="s">
        <v>766</v>
      </c>
      <c r="C6" s="1">
        <v>3</v>
      </c>
      <c r="D6" t="s">
        <v>766</v>
      </c>
      <c r="E6" s="15">
        <v>-1.33</v>
      </c>
      <c r="F6" t="s">
        <v>766</v>
      </c>
      <c r="G6" s="1"/>
      <c r="H6" t="s">
        <v>766</v>
      </c>
      <c r="I6" s="1"/>
      <c r="J6" t="s">
        <v>766</v>
      </c>
      <c r="K6" s="1"/>
      <c r="L6" s="39" t="s">
        <v>767</v>
      </c>
      <c r="M6" s="1">
        <f>E6*graph!B$48/graph!B$53</f>
        <v>-1.0286366091401775</v>
      </c>
      <c r="N6" t="s">
        <v>53</v>
      </c>
      <c r="O6" t="s">
        <v>52</v>
      </c>
    </row>
    <row r="7" spans="1:16" x14ac:dyDescent="0.35">
      <c r="A7" t="s">
        <v>0</v>
      </c>
      <c r="B7" t="s">
        <v>766</v>
      </c>
      <c r="C7" s="1">
        <v>3</v>
      </c>
      <c r="D7" t="s">
        <v>766</v>
      </c>
      <c r="E7" s="15">
        <v>-3.6</v>
      </c>
      <c r="F7" t="s">
        <v>766</v>
      </c>
      <c r="G7" s="1"/>
      <c r="H7" t="s">
        <v>766</v>
      </c>
      <c r="I7" s="1">
        <v>-21</v>
      </c>
      <c r="J7" t="s">
        <v>766</v>
      </c>
      <c r="K7" s="1">
        <v>0</v>
      </c>
      <c r="L7" s="39" t="s">
        <v>767</v>
      </c>
      <c r="M7" s="1">
        <f>E7*graph!B$48/graph!B$53</f>
        <v>-2.7842795435373229</v>
      </c>
      <c r="N7" s="1" t="s">
        <v>45</v>
      </c>
      <c r="O7" s="1" t="s">
        <v>51</v>
      </c>
      <c r="P7" t="s">
        <v>47</v>
      </c>
    </row>
    <row r="8" spans="1:16" x14ac:dyDescent="0.35">
      <c r="B8" t="s">
        <v>766</v>
      </c>
      <c r="C8" s="1">
        <v>6</v>
      </c>
      <c r="D8" t="s">
        <v>766</v>
      </c>
      <c r="E8" s="15">
        <v>-6.7</v>
      </c>
      <c r="F8" t="s">
        <v>766</v>
      </c>
      <c r="G8" s="1"/>
      <c r="H8" t="s">
        <v>766</v>
      </c>
      <c r="I8" s="1"/>
      <c r="J8" t="s">
        <v>766</v>
      </c>
      <c r="K8" s="1"/>
      <c r="L8" s="39" t="s">
        <v>767</v>
      </c>
      <c r="M8" s="1">
        <f>E8*graph!B$48/graph!B$83</f>
        <v>-1.7602609915457885</v>
      </c>
      <c r="N8" s="1"/>
      <c r="O8" s="1"/>
    </row>
    <row r="9" spans="1:16" x14ac:dyDescent="0.35">
      <c r="A9" t="s">
        <v>2</v>
      </c>
      <c r="B9" t="s">
        <v>766</v>
      </c>
      <c r="C9" s="1">
        <v>2.5</v>
      </c>
      <c r="D9" t="s">
        <v>766</v>
      </c>
      <c r="E9" s="15">
        <v>-1.4</v>
      </c>
      <c r="F9" t="s">
        <v>766</v>
      </c>
      <c r="G9" s="1"/>
      <c r="H9" t="s">
        <v>766</v>
      </c>
      <c r="I9" s="1"/>
      <c r="J9" t="s">
        <v>766</v>
      </c>
      <c r="K9" s="1"/>
      <c r="L9" s="39" t="s">
        <v>767</v>
      </c>
      <c r="M9" s="7">
        <f t="shared" ref="M9:M15" si="0">E9</f>
        <v>-1.4</v>
      </c>
      <c r="N9" s="1" t="s">
        <v>55</v>
      </c>
      <c r="O9" s="1" t="s">
        <v>54</v>
      </c>
    </row>
    <row r="10" spans="1:16" x14ac:dyDescent="0.35">
      <c r="A10" t="s">
        <v>61</v>
      </c>
      <c r="B10" t="s">
        <v>766</v>
      </c>
      <c r="C10" s="1">
        <v>2.5</v>
      </c>
      <c r="D10" t="s">
        <v>766</v>
      </c>
      <c r="E10" s="15">
        <v>-1.5</v>
      </c>
      <c r="F10" t="s">
        <v>766</v>
      </c>
      <c r="G10" s="1"/>
      <c r="H10" t="s">
        <v>766</v>
      </c>
      <c r="I10" s="1"/>
      <c r="J10" t="s">
        <v>766</v>
      </c>
      <c r="K10" s="1"/>
      <c r="L10" s="39" t="s">
        <v>767</v>
      </c>
      <c r="M10" s="7">
        <f t="shared" si="0"/>
        <v>-1.5</v>
      </c>
      <c r="N10" s="1" t="s">
        <v>62</v>
      </c>
      <c r="O10" s="1" t="s">
        <v>62</v>
      </c>
    </row>
    <row r="11" spans="1:16" x14ac:dyDescent="0.35">
      <c r="A11" t="s">
        <v>3</v>
      </c>
      <c r="B11" t="s">
        <v>766</v>
      </c>
      <c r="C11" s="1">
        <v>2.5</v>
      </c>
      <c r="D11" t="s">
        <v>766</v>
      </c>
      <c r="E11" s="15">
        <v>-1.9</v>
      </c>
      <c r="F11" t="s">
        <v>766</v>
      </c>
      <c r="G11" s="1"/>
      <c r="H11" t="s">
        <v>766</v>
      </c>
      <c r="I11" s="1"/>
      <c r="J11" t="s">
        <v>766</v>
      </c>
      <c r="K11" s="1"/>
      <c r="L11" s="39" t="s">
        <v>767</v>
      </c>
      <c r="M11" s="7">
        <f t="shared" si="0"/>
        <v>-1.9</v>
      </c>
      <c r="N11" s="1" t="s">
        <v>57</v>
      </c>
      <c r="O11" s="1" t="s">
        <v>57</v>
      </c>
    </row>
    <row r="12" spans="1:16" x14ac:dyDescent="0.35">
      <c r="A12" t="s">
        <v>4</v>
      </c>
      <c r="B12" t="s">
        <v>766</v>
      </c>
      <c r="C12" s="1">
        <v>2.5</v>
      </c>
      <c r="D12" t="s">
        <v>766</v>
      </c>
      <c r="E12" s="15">
        <f>-NordhausYang!M9</f>
        <v>-1.435622202473182</v>
      </c>
      <c r="F12" t="s">
        <v>766</v>
      </c>
      <c r="G12" s="1"/>
      <c r="H12" t="s">
        <v>766</v>
      </c>
      <c r="I12" s="1"/>
      <c r="J12" t="s">
        <v>766</v>
      </c>
      <c r="K12" s="1"/>
      <c r="L12" s="39" t="s">
        <v>767</v>
      </c>
      <c r="M12" s="7">
        <f t="shared" si="0"/>
        <v>-1.435622202473182</v>
      </c>
      <c r="N12" s="1" t="s">
        <v>69</v>
      </c>
      <c r="O12" s="1" t="s">
        <v>69</v>
      </c>
      <c r="P12" t="s">
        <v>276</v>
      </c>
    </row>
    <row r="13" spans="1:16" x14ac:dyDescent="0.35">
      <c r="A13" t="s">
        <v>5</v>
      </c>
      <c r="B13" t="s">
        <v>766</v>
      </c>
      <c r="C13" s="1">
        <v>2.5</v>
      </c>
      <c r="D13" t="s">
        <v>766</v>
      </c>
      <c r="E13" s="15">
        <f>-PlambeckHope!Y11</f>
        <v>-2.8909238132996098</v>
      </c>
      <c r="F13" t="s">
        <v>766</v>
      </c>
      <c r="G13" s="1"/>
      <c r="H13" t="s">
        <v>766</v>
      </c>
      <c r="I13" s="1">
        <f>-PlambeckHope!Z11</f>
        <v>-13.071417387190749</v>
      </c>
      <c r="J13" t="s">
        <v>766</v>
      </c>
      <c r="K13" s="1">
        <f>-PlambeckHope!X11</f>
        <v>-0.50357654687015618</v>
      </c>
      <c r="L13" s="39" t="s">
        <v>767</v>
      </c>
      <c r="M13" s="7">
        <f t="shared" si="0"/>
        <v>-2.8909238132996098</v>
      </c>
      <c r="N13" s="1" t="s">
        <v>88</v>
      </c>
      <c r="O13" s="1" t="s">
        <v>89</v>
      </c>
      <c r="P13" t="s">
        <v>277</v>
      </c>
    </row>
    <row r="14" spans="1:16" x14ac:dyDescent="0.35">
      <c r="A14" t="s">
        <v>687</v>
      </c>
      <c r="B14" t="s">
        <v>766</v>
      </c>
      <c r="C14" s="1">
        <v>2.4900000000000002</v>
      </c>
      <c r="D14" t="s">
        <v>766</v>
      </c>
      <c r="E14" s="36">
        <f>Mendelsohn!B$4</f>
        <v>0.03</v>
      </c>
      <c r="F14" t="s">
        <v>766</v>
      </c>
      <c r="G14" s="5">
        <f>STDEV(-112,28,210,203,134,45,-69,-33,147,163,-139,27,-29,25)/217/10</f>
        <v>5.2456722354448461E-2</v>
      </c>
      <c r="H14" t="s">
        <v>766</v>
      </c>
      <c r="I14" s="1"/>
      <c r="J14" t="s">
        <v>766</v>
      </c>
      <c r="K14" s="1"/>
      <c r="L14" s="39" t="s">
        <v>767</v>
      </c>
      <c r="M14" s="7">
        <f t="shared" si="0"/>
        <v>0.03</v>
      </c>
      <c r="N14" s="1" t="s">
        <v>113</v>
      </c>
      <c r="O14" s="1" t="s">
        <v>114</v>
      </c>
      <c r="P14" t="s">
        <v>116</v>
      </c>
    </row>
    <row r="15" spans="1:16" x14ac:dyDescent="0.35">
      <c r="B15" t="s">
        <v>766</v>
      </c>
      <c r="C15" s="1">
        <v>2.4900000000000002</v>
      </c>
      <c r="D15" t="s">
        <v>766</v>
      </c>
      <c r="E15" s="36">
        <f>Mendelsohn!C$4</f>
        <v>0.1</v>
      </c>
      <c r="F15" t="s">
        <v>766</v>
      </c>
      <c r="G15" s="5">
        <f>STDEV(150,152,185,184,165,131,97,116,173,175,98,136,119,143)/217/10</f>
        <v>1.3758216049095459E-2</v>
      </c>
      <c r="H15" t="s">
        <v>766</v>
      </c>
      <c r="I15" s="1"/>
      <c r="J15" t="s">
        <v>766</v>
      </c>
      <c r="K15" s="1"/>
      <c r="L15" s="39" t="s">
        <v>767</v>
      </c>
      <c r="M15" s="7">
        <f t="shared" si="0"/>
        <v>0.1</v>
      </c>
      <c r="N15" s="1" t="s">
        <v>113</v>
      </c>
      <c r="O15" s="1" t="s">
        <v>115</v>
      </c>
      <c r="P15" t="s">
        <v>117</v>
      </c>
    </row>
    <row r="16" spans="1:16" x14ac:dyDescent="0.35">
      <c r="B16" t="s">
        <v>766</v>
      </c>
      <c r="C16" s="1">
        <v>4</v>
      </c>
      <c r="D16" t="s">
        <v>766</v>
      </c>
      <c r="E16" s="36">
        <f>Mendelsohn!D$4</f>
        <v>-0.01</v>
      </c>
      <c r="F16" t="s">
        <v>766</v>
      </c>
      <c r="G16" s="1"/>
      <c r="H16" t="s">
        <v>766</v>
      </c>
      <c r="I16" s="1"/>
      <c r="J16" t="s">
        <v>766</v>
      </c>
      <c r="K16" s="1"/>
      <c r="L16" s="39" t="s">
        <v>767</v>
      </c>
      <c r="M16" s="1">
        <f>E16*graph!B$48/graph!B$63</f>
        <v>-5.0459249646834254E-3</v>
      </c>
      <c r="N16" s="1"/>
      <c r="O16" s="1"/>
    </row>
    <row r="17" spans="1:16" x14ac:dyDescent="0.35">
      <c r="B17" t="s">
        <v>766</v>
      </c>
      <c r="C17" s="1">
        <v>4</v>
      </c>
      <c r="D17" t="s">
        <v>766</v>
      </c>
      <c r="E17" s="36">
        <f>Mendelsohn!E$4</f>
        <v>-0.04</v>
      </c>
      <c r="F17" t="s">
        <v>766</v>
      </c>
      <c r="G17" s="1"/>
      <c r="H17" t="s">
        <v>766</v>
      </c>
      <c r="I17" s="1"/>
      <c r="J17" t="s">
        <v>766</v>
      </c>
      <c r="K17" s="1"/>
      <c r="L17" s="39" t="s">
        <v>767</v>
      </c>
      <c r="M17" s="1">
        <f>E17*graph!B$48/graph!B$63</f>
        <v>-2.0183699858733702E-2</v>
      </c>
      <c r="N17" s="1"/>
      <c r="O17" s="1"/>
    </row>
    <row r="18" spans="1:16" x14ac:dyDescent="0.35">
      <c r="B18" t="s">
        <v>766</v>
      </c>
      <c r="C18" s="1">
        <v>5.2</v>
      </c>
      <c r="D18" t="s">
        <v>766</v>
      </c>
      <c r="E18" s="36">
        <f>Mendelsohn!F$4</f>
        <v>-0.01</v>
      </c>
      <c r="F18" t="s">
        <v>766</v>
      </c>
      <c r="G18" s="1"/>
      <c r="H18" t="s">
        <v>766</v>
      </c>
      <c r="I18" s="1"/>
      <c r="J18" t="s">
        <v>766</v>
      </c>
      <c r="K18" s="1"/>
      <c r="L18" s="39" t="s">
        <v>767</v>
      </c>
      <c r="M18" s="1">
        <f>E18*graph!B$48/graph!B$75</f>
        <v>-3.3313857306890367E-3</v>
      </c>
      <c r="N18" s="1"/>
      <c r="O18" s="1"/>
    </row>
    <row r="19" spans="1:16" x14ac:dyDescent="0.35">
      <c r="B19" t="s">
        <v>766</v>
      </c>
      <c r="C19" s="1">
        <v>5.2</v>
      </c>
      <c r="D19" t="s">
        <v>766</v>
      </c>
      <c r="E19" s="36">
        <f>Mendelsohn!G$4</f>
        <v>-0.13</v>
      </c>
      <c r="F19" t="s">
        <v>766</v>
      </c>
      <c r="G19" s="1"/>
      <c r="H19" t="s">
        <v>766</v>
      </c>
      <c r="I19" s="1"/>
      <c r="J19" t="s">
        <v>766</v>
      </c>
      <c r="K19" s="1"/>
      <c r="L19" s="39" t="s">
        <v>767</v>
      </c>
      <c r="M19" s="1">
        <f>E19*graph!B$48/graph!B$75</f>
        <v>-4.3308014498957478E-2</v>
      </c>
      <c r="N19" s="1"/>
      <c r="O19" s="1"/>
    </row>
    <row r="20" spans="1:16" x14ac:dyDescent="0.35">
      <c r="A20" t="s">
        <v>6</v>
      </c>
      <c r="B20" t="s">
        <v>766</v>
      </c>
      <c r="C20" s="1">
        <v>2.5</v>
      </c>
      <c r="D20" t="s">
        <v>766</v>
      </c>
      <c r="E20" s="15">
        <v>-1.5</v>
      </c>
      <c r="F20" t="s">
        <v>766</v>
      </c>
      <c r="G20" s="1"/>
      <c r="H20" t="s">
        <v>766</v>
      </c>
      <c r="I20" s="1"/>
      <c r="J20" t="s">
        <v>766</v>
      </c>
      <c r="K20" s="1"/>
      <c r="L20" s="39" t="s">
        <v>767</v>
      </c>
      <c r="M20" s="7">
        <f>E20</f>
        <v>-1.5</v>
      </c>
      <c r="N20" s="1" t="s">
        <v>48</v>
      </c>
      <c r="O20" s="1" t="s">
        <v>48</v>
      </c>
      <c r="P20" t="s">
        <v>316</v>
      </c>
    </row>
    <row r="21" spans="1:16" x14ac:dyDescent="0.35">
      <c r="A21" t="s">
        <v>7</v>
      </c>
      <c r="B21" t="s">
        <v>766</v>
      </c>
      <c r="C21" s="1">
        <v>1</v>
      </c>
      <c r="D21" t="s">
        <v>766</v>
      </c>
      <c r="E21" s="15">
        <v>2.2999999999999998</v>
      </c>
      <c r="F21" t="s">
        <v>766</v>
      </c>
      <c r="G21" s="1">
        <v>1</v>
      </c>
      <c r="H21" t="s">
        <v>766</v>
      </c>
      <c r="I21" s="1"/>
      <c r="J21" t="s">
        <v>766</v>
      </c>
      <c r="K21" s="1"/>
      <c r="L21" s="39" t="s">
        <v>767</v>
      </c>
      <c r="M21" s="1">
        <f>E21*graph!B$48/graph!B$33</f>
        <v>7.3811814044296282</v>
      </c>
      <c r="N21" s="1" t="s">
        <v>56</v>
      </c>
      <c r="O21" s="1" t="s">
        <v>56</v>
      </c>
      <c r="P21" t="s">
        <v>317</v>
      </c>
    </row>
    <row r="22" spans="1:16" x14ac:dyDescent="0.35">
      <c r="A22" t="s">
        <v>8</v>
      </c>
      <c r="B22" t="s">
        <v>766</v>
      </c>
      <c r="C22" s="1">
        <v>2.5</v>
      </c>
      <c r="D22" t="s">
        <v>766</v>
      </c>
      <c r="E22" s="15">
        <f>-Maddison!J92</f>
        <v>3.3000365094043249E-2</v>
      </c>
      <c r="F22" t="s">
        <v>766</v>
      </c>
      <c r="G22" s="1"/>
      <c r="H22" t="s">
        <v>766</v>
      </c>
      <c r="I22" s="1"/>
      <c r="J22" t="s">
        <v>766</v>
      </c>
      <c r="K22" s="1"/>
      <c r="L22" s="39" t="s">
        <v>767</v>
      </c>
      <c r="M22" s="7">
        <f>E22</f>
        <v>3.3000365094043249E-2</v>
      </c>
      <c r="N22" s="1" t="s">
        <v>239</v>
      </c>
      <c r="O22" s="1" t="s">
        <v>239</v>
      </c>
      <c r="P22" t="s">
        <v>275</v>
      </c>
    </row>
    <row r="23" spans="1:16" x14ac:dyDescent="0.35">
      <c r="A23" t="s">
        <v>9</v>
      </c>
      <c r="B23" t="s">
        <v>766</v>
      </c>
      <c r="C23" s="1">
        <v>0.6</v>
      </c>
      <c r="D23" t="s">
        <v>766</v>
      </c>
      <c r="E23" s="15">
        <f>-RehdanzMaddison!U71*100</f>
        <v>-0.17962065483383896</v>
      </c>
      <c r="F23" t="s">
        <v>766</v>
      </c>
      <c r="G23" s="1"/>
      <c r="H23" t="s">
        <v>766</v>
      </c>
      <c r="I23" s="1"/>
      <c r="J23" t="s">
        <v>766</v>
      </c>
      <c r="K23" s="1"/>
      <c r="L23" s="39" t="s">
        <v>767</v>
      </c>
      <c r="M23" s="1">
        <f>E23*graph!B$48/graph!B$29</f>
        <v>-1.0354850240503519</v>
      </c>
      <c r="N23" s="1"/>
      <c r="O23" s="1"/>
    </row>
    <row r="24" spans="1:16" x14ac:dyDescent="0.35">
      <c r="B24" t="s">
        <v>766</v>
      </c>
      <c r="C24" s="1">
        <v>1</v>
      </c>
      <c r="D24" t="s">
        <v>766</v>
      </c>
      <c r="E24" s="15">
        <f>-RehdanzMaddison!V71*100</f>
        <v>-0.30947656699459297</v>
      </c>
      <c r="F24" t="s">
        <v>766</v>
      </c>
      <c r="G24" s="1"/>
      <c r="H24" t="s">
        <v>766</v>
      </c>
      <c r="I24" s="1"/>
      <c r="J24" t="s">
        <v>766</v>
      </c>
      <c r="K24" s="1"/>
      <c r="L24" s="39" t="s">
        <v>767</v>
      </c>
      <c r="M24" s="1">
        <f>E24*graph!B$48/graph!B$33</f>
        <v>-0.99317507887269996</v>
      </c>
      <c r="N24" s="1" t="s">
        <v>240</v>
      </c>
      <c r="O24" s="1" t="s">
        <v>273</v>
      </c>
      <c r="P24" t="s">
        <v>274</v>
      </c>
    </row>
    <row r="25" spans="1:16" x14ac:dyDescent="0.35">
      <c r="A25" t="s">
        <v>10</v>
      </c>
      <c r="B25" t="s">
        <v>766</v>
      </c>
      <c r="C25" s="1">
        <v>2.5</v>
      </c>
      <c r="D25" t="s">
        <v>766</v>
      </c>
      <c r="E25" s="15">
        <f>-Hope!Y11</f>
        <v>-0.9804776851232514</v>
      </c>
      <c r="F25" t="s">
        <v>766</v>
      </c>
      <c r="G25" s="1"/>
      <c r="H25" t="s">
        <v>766</v>
      </c>
      <c r="I25" s="1">
        <f>-Hope!Z11</f>
        <v>-3.0412246519557202</v>
      </c>
      <c r="J25" t="s">
        <v>766</v>
      </c>
      <c r="K25" s="1">
        <f>-Hope!X11</f>
        <v>4.6418105858271858E-2</v>
      </c>
      <c r="L25" s="39" t="s">
        <v>767</v>
      </c>
      <c r="M25" s="7">
        <f>E25</f>
        <v>-0.9804776851232514</v>
      </c>
      <c r="N25" s="1" t="s">
        <v>278</v>
      </c>
      <c r="O25" s="1" t="s">
        <v>278</v>
      </c>
      <c r="P25" t="s">
        <v>279</v>
      </c>
    </row>
    <row r="26" spans="1:16" x14ac:dyDescent="0.35">
      <c r="A26" t="s">
        <v>11</v>
      </c>
      <c r="B26" t="s">
        <v>766</v>
      </c>
      <c r="C26" s="1">
        <v>3</v>
      </c>
      <c r="D26" t="s">
        <v>766</v>
      </c>
      <c r="E26" s="15">
        <v>-0.93</v>
      </c>
      <c r="F26" t="s">
        <v>766</v>
      </c>
      <c r="G26" s="1">
        <v>0.13</v>
      </c>
      <c r="H26" t="s">
        <v>766</v>
      </c>
      <c r="I26" s="1"/>
      <c r="J26" t="s">
        <v>766</v>
      </c>
      <c r="K26" s="1"/>
      <c r="L26" s="39" t="s">
        <v>767</v>
      </c>
      <c r="M26" s="1">
        <f>E26*graph!B$48/graph!B$53</f>
        <v>-0.71927221541380837</v>
      </c>
      <c r="N26" s="1" t="s">
        <v>49</v>
      </c>
      <c r="O26" s="1" t="s">
        <v>50</v>
      </c>
    </row>
    <row r="27" spans="1:16" x14ac:dyDescent="0.35">
      <c r="B27" t="s">
        <v>766</v>
      </c>
      <c r="C27" s="1">
        <v>3</v>
      </c>
      <c r="D27" t="s">
        <v>766</v>
      </c>
      <c r="E27" s="15">
        <v>-1.05</v>
      </c>
      <c r="F27" t="s">
        <v>766</v>
      </c>
      <c r="G27" s="1">
        <v>0.13</v>
      </c>
      <c r="H27" t="s">
        <v>766</v>
      </c>
      <c r="J27" t="s">
        <v>766</v>
      </c>
      <c r="L27" s="39" t="s">
        <v>767</v>
      </c>
      <c r="M27" s="1">
        <f>E27*graph!B$48/graph!B$53</f>
        <v>-0.81208153353171908</v>
      </c>
      <c r="N27" s="1" t="s">
        <v>49</v>
      </c>
      <c r="O27" s="1" t="s">
        <v>50</v>
      </c>
      <c r="P27" t="s">
        <v>318</v>
      </c>
    </row>
    <row r="28" spans="1:16" x14ac:dyDescent="0.35">
      <c r="A28" t="s">
        <v>17</v>
      </c>
      <c r="B28" t="s">
        <v>766</v>
      </c>
      <c r="C28" s="1">
        <v>3</v>
      </c>
      <c r="D28" t="s">
        <v>766</v>
      </c>
      <c r="E28" s="15">
        <v>-2.5</v>
      </c>
      <c r="F28" t="s">
        <v>766</v>
      </c>
      <c r="H28" t="s">
        <v>766</v>
      </c>
      <c r="J28" t="s">
        <v>766</v>
      </c>
      <c r="L28" s="39" t="s">
        <v>767</v>
      </c>
      <c r="M28" s="1">
        <f>E28*graph!B$48/graph!B$53</f>
        <v>-1.9335274607898072</v>
      </c>
      <c r="N28" s="1" t="s">
        <v>60</v>
      </c>
      <c r="O28" s="1" t="s">
        <v>60</v>
      </c>
      <c r="P28" t="s">
        <v>44</v>
      </c>
    </row>
    <row r="29" spans="1:16" x14ac:dyDescent="0.35">
      <c r="A29" t="s">
        <v>18</v>
      </c>
      <c r="B29" t="s">
        <v>766</v>
      </c>
      <c r="C29" s="1">
        <v>3.2</v>
      </c>
      <c r="D29" t="s">
        <v>766</v>
      </c>
      <c r="E29" s="15">
        <f>MaddisonRehdanz!G85</f>
        <v>-5.1135252093739076</v>
      </c>
      <c r="F29" t="s">
        <v>766</v>
      </c>
      <c r="H29" t="s">
        <v>766</v>
      </c>
      <c r="J29" t="s">
        <v>766</v>
      </c>
      <c r="L29" s="39" t="s">
        <v>767</v>
      </c>
      <c r="M29" s="1">
        <f>E29*graph!B$48/graph!B$55</f>
        <v>-3.6021692302144768</v>
      </c>
      <c r="N29" s="1" t="s">
        <v>270</v>
      </c>
      <c r="O29" s="1" t="s">
        <v>272</v>
      </c>
      <c r="P29" t="s">
        <v>271</v>
      </c>
    </row>
    <row r="30" spans="1:16" x14ac:dyDescent="0.35">
      <c r="A30" t="s">
        <v>19</v>
      </c>
      <c r="B30" t="s">
        <v>766</v>
      </c>
      <c r="C30" s="1">
        <v>1.92</v>
      </c>
      <c r="D30" t="s">
        <v>766</v>
      </c>
      <c r="E30" s="15">
        <v>-0.5</v>
      </c>
      <c r="F30" t="s">
        <v>766</v>
      </c>
      <c r="H30" t="s">
        <v>766</v>
      </c>
      <c r="J30" t="s">
        <v>766</v>
      </c>
      <c r="L30" s="39" t="s">
        <v>767</v>
      </c>
      <c r="M30" s="1">
        <f>E30*graph!B$48/graph!B$42</f>
        <v>-0.72326874195369129</v>
      </c>
      <c r="N30" s="1" t="s">
        <v>58</v>
      </c>
      <c r="O30" s="1" t="s">
        <v>58</v>
      </c>
    </row>
    <row r="31" spans="1:16" x14ac:dyDescent="0.35">
      <c r="A31" t="s">
        <v>20</v>
      </c>
      <c r="B31" t="s">
        <v>766</v>
      </c>
      <c r="C31" s="1">
        <f>2.3+0.61</f>
        <v>2.9099999999999997</v>
      </c>
      <c r="D31" t="s">
        <v>766</v>
      </c>
      <c r="E31" s="15">
        <f>-1.8</f>
        <v>-1.8</v>
      </c>
      <c r="F31" t="s">
        <v>766</v>
      </c>
      <c r="H31" t="s">
        <v>766</v>
      </c>
      <c r="J31" t="s">
        <v>766</v>
      </c>
      <c r="L31" s="39" t="s">
        <v>767</v>
      </c>
      <c r="M31" s="1">
        <f>E31*graph!B$48/graph!B$52</f>
        <v>-1.4613799139492396</v>
      </c>
      <c r="N31" s="1" t="s">
        <v>282</v>
      </c>
      <c r="O31" s="1" t="s">
        <v>280</v>
      </c>
      <c r="P31" t="s">
        <v>284</v>
      </c>
    </row>
    <row r="32" spans="1:16" x14ac:dyDescent="0.35">
      <c r="B32" t="s">
        <v>766</v>
      </c>
      <c r="C32" s="1">
        <f>4.79+0.61</f>
        <v>5.4</v>
      </c>
      <c r="D32" t="s">
        <v>766</v>
      </c>
      <c r="E32" s="15">
        <f>-4.6</f>
        <v>-4.5999999999999996</v>
      </c>
      <c r="F32" t="s">
        <v>766</v>
      </c>
      <c r="H32" t="s">
        <v>766</v>
      </c>
      <c r="J32" t="s">
        <v>766</v>
      </c>
      <c r="L32" s="39" t="s">
        <v>767</v>
      </c>
      <c r="M32" s="1">
        <f>E32*graph!B$48/graph!B$77</f>
        <v>-1.4405050440365976</v>
      </c>
      <c r="N32" s="1" t="s">
        <v>281</v>
      </c>
      <c r="O32" s="1" t="s">
        <v>280</v>
      </c>
      <c r="P32" t="s">
        <v>283</v>
      </c>
    </row>
    <row r="33" spans="1:16" x14ac:dyDescent="0.35">
      <c r="A33" t="s">
        <v>26</v>
      </c>
      <c r="B33" t="s">
        <v>766</v>
      </c>
      <c r="C33" s="1">
        <v>2.9</v>
      </c>
      <c r="D33" t="s">
        <v>766</v>
      </c>
      <c r="E33" s="15">
        <v>-2</v>
      </c>
      <c r="F33" t="s">
        <v>766</v>
      </c>
      <c r="H33" t="s">
        <v>766</v>
      </c>
      <c r="J33" t="s">
        <v>766</v>
      </c>
      <c r="L33" s="39" t="s">
        <v>767</v>
      </c>
      <c r="M33" s="1">
        <f>E33*graph!B$48/graph!B$52</f>
        <v>-1.6237554599435993</v>
      </c>
      <c r="N33" s="1" t="s">
        <v>59</v>
      </c>
      <c r="O33" s="1" t="s">
        <v>59</v>
      </c>
      <c r="P33" t="s">
        <v>44</v>
      </c>
    </row>
    <row r="34" spans="1:16" x14ac:dyDescent="0.35">
      <c r="A34" t="s">
        <v>686</v>
      </c>
      <c r="B34" t="s">
        <v>766</v>
      </c>
      <c r="C34" s="1">
        <v>3</v>
      </c>
      <c r="D34" t="s">
        <v>766</v>
      </c>
      <c r="E34" s="1">
        <f>SartoriRoson!C201</f>
        <v>-0.71756668095998166</v>
      </c>
      <c r="F34" t="s">
        <v>766</v>
      </c>
      <c r="H34" t="s">
        <v>766</v>
      </c>
      <c r="J34" t="s">
        <v>766</v>
      </c>
      <c r="L34" s="39" t="s">
        <v>767</v>
      </c>
      <c r="M34" s="1">
        <f>E34*graph!B$48/graph!B$53</f>
        <v>-0.55497395303356922</v>
      </c>
    </row>
    <row r="35" spans="1:16" x14ac:dyDescent="0.35">
      <c r="A35" t="s">
        <v>688</v>
      </c>
      <c r="B35" t="s">
        <v>766</v>
      </c>
      <c r="C35" s="1">
        <v>1</v>
      </c>
      <c r="D35" t="s">
        <v>766</v>
      </c>
      <c r="E35" s="1">
        <f>Kompas!C201</f>
        <v>-0.4658664448796927</v>
      </c>
      <c r="F35" t="s">
        <v>766</v>
      </c>
      <c r="H35" t="s">
        <v>766</v>
      </c>
      <c r="J35" t="s">
        <v>766</v>
      </c>
      <c r="L35" s="39" t="s">
        <v>767</v>
      </c>
      <c r="M35" s="1">
        <f>E35*graph!B$48/graph!B$33</f>
        <v>-1.4950629303885776</v>
      </c>
    </row>
    <row r="36" spans="1:16" x14ac:dyDescent="0.35">
      <c r="B36" t="s">
        <v>766</v>
      </c>
      <c r="C36" s="1">
        <v>2</v>
      </c>
      <c r="D36" t="s">
        <v>766</v>
      </c>
      <c r="E36" s="1">
        <f>Kompas!D201</f>
        <v>-1.0740738140966928</v>
      </c>
      <c r="F36" t="s">
        <v>766</v>
      </c>
      <c r="H36" t="s">
        <v>766</v>
      </c>
      <c r="J36" t="s">
        <v>766</v>
      </c>
      <c r="L36" s="39" t="s">
        <v>767</v>
      </c>
      <c r="M36" s="1">
        <f>E36*graph!B$48/graph!B$43</f>
        <v>-1.4522557617485055</v>
      </c>
    </row>
    <row r="37" spans="1:16" x14ac:dyDescent="0.35">
      <c r="B37" t="s">
        <v>766</v>
      </c>
      <c r="C37" s="1">
        <v>3</v>
      </c>
      <c r="D37" t="s">
        <v>766</v>
      </c>
      <c r="E37" s="1">
        <f>Kompas!E201</f>
        <v>-1.8369485050307706</v>
      </c>
      <c r="F37" t="s">
        <v>766</v>
      </c>
      <c r="H37" t="s">
        <v>766</v>
      </c>
      <c r="J37" t="s">
        <v>766</v>
      </c>
      <c r="L37" s="39" t="s">
        <v>767</v>
      </c>
      <c r="M37" s="1">
        <f>E37*graph!B$48/graph!B$53</f>
        <v>-1.4207161514135112</v>
      </c>
    </row>
    <row r="38" spans="1:16" x14ac:dyDescent="0.35">
      <c r="B38" t="s">
        <v>766</v>
      </c>
      <c r="C38" s="1">
        <v>4</v>
      </c>
      <c r="D38" t="s">
        <v>766</v>
      </c>
      <c r="E38" s="1">
        <f>Kompas!F201</f>
        <v>-2.7931051587285425</v>
      </c>
      <c r="F38" t="s">
        <v>766</v>
      </c>
      <c r="H38" t="s">
        <v>766</v>
      </c>
      <c r="J38" t="s">
        <v>766</v>
      </c>
      <c r="L38" s="39" t="s">
        <v>767</v>
      </c>
      <c r="M38" s="1">
        <f>E38*graph!B$48/graph!B$63</f>
        <v>-1.4093799049414413</v>
      </c>
    </row>
    <row r="39" spans="1:16" x14ac:dyDescent="0.35">
      <c r="A39" t="s">
        <v>692</v>
      </c>
      <c r="B39" t="s">
        <v>766</v>
      </c>
      <c r="C39" s="1">
        <v>2.5</v>
      </c>
      <c r="D39" t="s">
        <v>766</v>
      </c>
      <c r="E39" s="1">
        <v>-2</v>
      </c>
      <c r="F39" t="s">
        <v>766</v>
      </c>
      <c r="H39" t="s">
        <v>766</v>
      </c>
      <c r="J39" t="s">
        <v>766</v>
      </c>
      <c r="L39" s="39" t="s">
        <v>767</v>
      </c>
      <c r="M39" s="7">
        <f>E39</f>
        <v>-2</v>
      </c>
    </row>
    <row r="40" spans="1:16" x14ac:dyDescent="0.35">
      <c r="A40" t="s">
        <v>707</v>
      </c>
      <c r="B40" t="s">
        <v>766</v>
      </c>
      <c r="C40" s="1">
        <v>2</v>
      </c>
      <c r="D40" t="s">
        <v>766</v>
      </c>
      <c r="E40" s="1">
        <f>-1.0517705037403</f>
        <v>-1.0517705037403</v>
      </c>
      <c r="F40" t="s">
        <v>766</v>
      </c>
      <c r="G40" s="1">
        <v>0.58185612208306359</v>
      </c>
      <c r="H40" t="s">
        <v>766</v>
      </c>
      <c r="J40" t="s">
        <v>766</v>
      </c>
      <c r="L40" s="39" t="s">
        <v>767</v>
      </c>
      <c r="M40" s="1">
        <f>E40*graph!B$48/graph!B$43</f>
        <v>-1.4220994442347257</v>
      </c>
    </row>
    <row r="41" spans="1:16" x14ac:dyDescent="0.35">
      <c r="B41" t="s">
        <v>766</v>
      </c>
      <c r="C41" s="1">
        <v>4</v>
      </c>
      <c r="D41" t="s">
        <v>766</v>
      </c>
      <c r="E41" s="1">
        <v>-4.6911160007283899</v>
      </c>
      <c r="F41" t="s">
        <v>766</v>
      </c>
      <c r="G41" s="1">
        <v>0.70640391035611572</v>
      </c>
      <c r="H41" t="s">
        <v>766</v>
      </c>
      <c r="J41" t="s">
        <v>766</v>
      </c>
      <c r="L41" s="39" t="s">
        <v>767</v>
      </c>
      <c r="M41" s="1">
        <f>E41*graph!B$48/graph!B$63</f>
        <v>-2.3671019340301251</v>
      </c>
    </row>
    <row r="42" spans="1:16" x14ac:dyDescent="0.35">
      <c r="B42" t="s">
        <v>766</v>
      </c>
      <c r="C42" s="1">
        <v>6</v>
      </c>
      <c r="D42" t="s">
        <v>766</v>
      </c>
      <c r="E42" s="1">
        <v>-9.49637530496768</v>
      </c>
      <c r="F42" t="s">
        <v>766</v>
      </c>
      <c r="G42" s="1">
        <v>1.1160602606516015</v>
      </c>
      <c r="H42" t="s">
        <v>766</v>
      </c>
      <c r="J42" t="s">
        <v>766</v>
      </c>
      <c r="L42" s="39" t="s">
        <v>767</v>
      </c>
      <c r="M42" s="1">
        <f>E42*graph!B$48/graph!B$83</f>
        <v>-2.4949401508079627</v>
      </c>
    </row>
    <row r="43" spans="1:16" x14ac:dyDescent="0.35">
      <c r="A43" t="s">
        <v>709</v>
      </c>
      <c r="B43" t="s">
        <v>766</v>
      </c>
      <c r="C43" s="1">
        <v>3</v>
      </c>
      <c r="D43" t="s">
        <v>766</v>
      </c>
      <c r="E43" s="1">
        <v>-9.1999999999999993</v>
      </c>
      <c r="F43" t="s">
        <v>766</v>
      </c>
      <c r="G43">
        <v>10.3</v>
      </c>
      <c r="H43" t="s">
        <v>766</v>
      </c>
      <c r="I43">
        <v>-20</v>
      </c>
      <c r="J43" t="s">
        <v>766</v>
      </c>
      <c r="K43">
        <v>-2</v>
      </c>
      <c r="L43" s="39" t="s">
        <v>767</v>
      </c>
      <c r="M43" s="1">
        <f>E43*graph!B$48/graph!B$53</f>
        <v>-7.1153810557064894</v>
      </c>
    </row>
    <row r="44" spans="1:16" x14ac:dyDescent="0.35">
      <c r="A44" t="s">
        <v>710</v>
      </c>
      <c r="B44" t="s">
        <v>766</v>
      </c>
      <c r="C44" s="1">
        <v>1.2</v>
      </c>
      <c r="D44" t="s">
        <v>766</v>
      </c>
      <c r="E44">
        <v>-2.2000000000000002</v>
      </c>
      <c r="F44" t="s">
        <v>766</v>
      </c>
      <c r="G44">
        <v>2.9</v>
      </c>
      <c r="H44" t="s">
        <v>766</v>
      </c>
      <c r="J44" t="s">
        <v>766</v>
      </c>
      <c r="L44" s="39" t="s">
        <v>767</v>
      </c>
      <c r="M44" s="1">
        <f>E44*graph!B$48/graph!B$35</f>
        <v>-5.6757015263144268</v>
      </c>
    </row>
    <row r="45" spans="1:16" x14ac:dyDescent="0.35">
      <c r="B45" t="s">
        <v>766</v>
      </c>
      <c r="C45" s="1">
        <v>3</v>
      </c>
      <c r="D45" t="s">
        <v>766</v>
      </c>
      <c r="E45">
        <v>-8.5</v>
      </c>
      <c r="F45" t="s">
        <v>766</v>
      </c>
      <c r="G45">
        <v>6.7</v>
      </c>
      <c r="H45" t="s">
        <v>766</v>
      </c>
      <c r="J45" t="s">
        <v>766</v>
      </c>
      <c r="L45" s="39" t="s">
        <v>767</v>
      </c>
      <c r="M45" s="1">
        <f>E45*graph!B$48/graph!B$53</f>
        <v>-6.5739933666853441</v>
      </c>
    </row>
    <row r="46" spans="1:16" x14ac:dyDescent="0.35">
      <c r="B46" t="s">
        <v>766</v>
      </c>
      <c r="C46" s="1">
        <v>5</v>
      </c>
      <c r="D46" t="s">
        <v>766</v>
      </c>
      <c r="E46" s="1">
        <v>-16.100000000000001</v>
      </c>
      <c r="F46" t="s">
        <v>766</v>
      </c>
      <c r="G46">
        <v>13.3</v>
      </c>
      <c r="H46" t="s">
        <v>766</v>
      </c>
      <c r="J46" t="s">
        <v>766</v>
      </c>
      <c r="L46" s="39" t="s">
        <v>767</v>
      </c>
      <c r="M46" s="1">
        <f>E46*graph!B$48/graph!B$73</f>
        <v>-5.7163922622699133</v>
      </c>
    </row>
    <row r="47" spans="1:16" x14ac:dyDescent="0.35">
      <c r="B47" t="s">
        <v>766</v>
      </c>
      <c r="C47" s="1">
        <v>7</v>
      </c>
      <c r="D47" t="s">
        <v>766</v>
      </c>
      <c r="E47" s="1">
        <v>-25</v>
      </c>
      <c r="F47" t="s">
        <v>766</v>
      </c>
      <c r="G47">
        <v>20.7</v>
      </c>
      <c r="H47" t="s">
        <v>766</v>
      </c>
      <c r="J47" t="s">
        <v>766</v>
      </c>
      <c r="L47" s="39" t="s">
        <v>767</v>
      </c>
      <c r="M47" s="1">
        <f>E47*graph!B$48/graph!B$93</f>
        <v>-5.0429501736957842</v>
      </c>
    </row>
    <row r="48" spans="1:16" x14ac:dyDescent="0.35">
      <c r="A48" t="s">
        <v>714</v>
      </c>
      <c r="B48" t="s">
        <v>766</v>
      </c>
      <c r="C48" s="1">
        <v>3.7</v>
      </c>
      <c r="D48" t="s">
        <v>766</v>
      </c>
      <c r="E48" s="1">
        <v>-3.7</v>
      </c>
      <c r="F48" t="s">
        <v>766</v>
      </c>
      <c r="H48" t="s">
        <v>766</v>
      </c>
      <c r="J48" t="s">
        <v>766</v>
      </c>
      <c r="L48" s="39" t="s">
        <v>767</v>
      </c>
      <c r="M48" s="1">
        <f>E48*graph!B$48/graph!B$60</f>
        <v>-2.1019091244336758</v>
      </c>
    </row>
    <row r="49" spans="1:13" x14ac:dyDescent="0.35">
      <c r="A49" t="s">
        <v>715</v>
      </c>
      <c r="B49" t="s">
        <v>766</v>
      </c>
      <c r="C49" s="1">
        <f>Rossi!B4</f>
        <v>4.6487373814138984</v>
      </c>
      <c r="D49" t="s">
        <v>766</v>
      </c>
      <c r="E49" s="1">
        <f>Rossi!I4*100</f>
        <v>5.1295273109904338</v>
      </c>
      <c r="F49" t="s">
        <v>766</v>
      </c>
      <c r="H49" t="s">
        <v>766</v>
      </c>
      <c r="J49" t="s">
        <v>766</v>
      </c>
      <c r="L49" s="39" t="s">
        <v>767</v>
      </c>
      <c r="M49" s="1">
        <f>E49*graph!B$48/graph!B$69</f>
        <v>2.0814052358742905</v>
      </c>
    </row>
    <row r="50" spans="1:13" x14ac:dyDescent="0.35">
      <c r="B50" t="s">
        <v>766</v>
      </c>
      <c r="C50" s="1">
        <f>Rossi!B5</f>
        <v>9.2982230505350998</v>
      </c>
      <c r="D50" t="s">
        <v>766</v>
      </c>
      <c r="E50" s="1">
        <f>Rossi!I5*100</f>
        <v>-4.8593007850505128</v>
      </c>
      <c r="F50" t="s">
        <v>766</v>
      </c>
      <c r="H50" t="s">
        <v>766</v>
      </c>
      <c r="J50" t="s">
        <v>766</v>
      </c>
      <c r="L50" s="39" t="s">
        <v>767</v>
      </c>
      <c r="M50" s="1">
        <f>E50*graph!B$48/graph!B$116</f>
        <v>-0.59095334529418708</v>
      </c>
    </row>
    <row r="51" spans="1:13" x14ac:dyDescent="0.35">
      <c r="B51" t="s">
        <v>766</v>
      </c>
      <c r="C51" s="1">
        <f>Rossi!B6</f>
        <v>13.606208917250999</v>
      </c>
      <c r="D51" t="s">
        <v>766</v>
      </c>
      <c r="E51" s="1">
        <f>Rossi!I6*100</f>
        <v>-24.061208104792932</v>
      </c>
      <c r="F51" t="s">
        <v>766</v>
      </c>
      <c r="H51" t="s">
        <v>766</v>
      </c>
      <c r="J51" t="s">
        <v>766</v>
      </c>
      <c r="L51" s="39" t="s">
        <v>767</v>
      </c>
      <c r="M51" s="1">
        <f>E51*graph!B$48/graph!B$159</f>
        <v>-1.1510359566511486</v>
      </c>
    </row>
    <row r="52" spans="1:13" x14ac:dyDescent="0.35">
      <c r="B52" t="s">
        <v>766</v>
      </c>
      <c r="C52" s="1">
        <f>Rossi!B7</f>
        <v>16.682700289727595</v>
      </c>
      <c r="D52" t="s">
        <v>766</v>
      </c>
      <c r="E52" s="1">
        <f>Rossi!I7*100</f>
        <v>-78.907648460775576</v>
      </c>
      <c r="F52" t="s">
        <v>766</v>
      </c>
      <c r="H52" t="s">
        <v>766</v>
      </c>
      <c r="J52" t="s">
        <v>766</v>
      </c>
      <c r="L52" s="39" t="s">
        <v>767</v>
      </c>
      <c r="M52" s="1">
        <f>E52*graph!B$48/graph!B$190</f>
        <v>-0.6367627620812939</v>
      </c>
    </row>
    <row r="53" spans="1:13" x14ac:dyDescent="0.35">
      <c r="A53" t="s">
        <v>716</v>
      </c>
      <c r="B53" t="s">
        <v>766</v>
      </c>
      <c r="C53">
        <v>7.2</v>
      </c>
      <c r="D53" t="s">
        <v>766</v>
      </c>
      <c r="E53" s="1">
        <v>-5</v>
      </c>
      <c r="F53" t="s">
        <v>766</v>
      </c>
      <c r="H53" t="s">
        <v>766</v>
      </c>
      <c r="J53" t="s">
        <v>766</v>
      </c>
      <c r="L53" s="39" t="s">
        <v>767</v>
      </c>
      <c r="M53" s="1">
        <f>E53*graph!B$48/graph!B$95</f>
        <v>-0.96019996837483579</v>
      </c>
    </row>
    <row r="54" spans="1:13" x14ac:dyDescent="0.35">
      <c r="A54" t="s">
        <v>734</v>
      </c>
      <c r="B54" t="s">
        <v>766</v>
      </c>
      <c r="C54">
        <v>1</v>
      </c>
      <c r="D54" t="s">
        <v>766</v>
      </c>
      <c r="E54">
        <v>-2.2999999999999998</v>
      </c>
      <c r="F54" t="s">
        <v>766</v>
      </c>
      <c r="G54">
        <v>1.32</v>
      </c>
      <c r="H54" t="s">
        <v>766</v>
      </c>
      <c r="J54" t="s">
        <v>766</v>
      </c>
      <c r="L54" s="39" t="s">
        <v>767</v>
      </c>
      <c r="M54" s="1">
        <f>E54*graph!B$48/graph!B$33</f>
        <v>-7.3811814044296282</v>
      </c>
    </row>
    <row r="55" spans="1:13" x14ac:dyDescent="0.35">
      <c r="A55" t="s">
        <v>761</v>
      </c>
      <c r="B55" t="s">
        <v>766</v>
      </c>
      <c r="C55">
        <v>4.3</v>
      </c>
      <c r="D55" t="s">
        <v>766</v>
      </c>
      <c r="E55" s="5">
        <v>5.63</v>
      </c>
      <c r="F55" t="s">
        <v>766</v>
      </c>
      <c r="H55" t="s">
        <v>766</v>
      </c>
      <c r="J55" t="s">
        <v>766</v>
      </c>
      <c r="L55" s="39" t="s">
        <v>767</v>
      </c>
      <c r="M55" s="1">
        <f>E55*graph!B$48/graph!B$66</f>
        <v>2.5401291223940698</v>
      </c>
    </row>
    <row r="56" spans="1:13" x14ac:dyDescent="0.35">
      <c r="B56" t="s">
        <v>766</v>
      </c>
      <c r="C56">
        <v>4.3</v>
      </c>
      <c r="D56" t="s">
        <v>766</v>
      </c>
      <c r="E56" s="5">
        <v>3.61</v>
      </c>
      <c r="F56" t="s">
        <v>766</v>
      </c>
      <c r="H56" t="s">
        <v>766</v>
      </c>
      <c r="J56" t="s">
        <v>766</v>
      </c>
      <c r="L56" s="39" t="s">
        <v>767</v>
      </c>
      <c r="M56" s="1">
        <f>E56*graph!B$48/graph!B$66</f>
        <v>1.6287506450874945</v>
      </c>
    </row>
    <row r="57" spans="1:13" x14ac:dyDescent="0.35">
      <c r="B57" t="s">
        <v>766</v>
      </c>
      <c r="C57">
        <v>4.3</v>
      </c>
      <c r="D57" t="s">
        <v>766</v>
      </c>
      <c r="E57" s="5">
        <v>-1.71</v>
      </c>
      <c r="F57" t="s">
        <v>766</v>
      </c>
      <c r="H57" t="s">
        <v>766</v>
      </c>
      <c r="J57" t="s">
        <v>766</v>
      </c>
      <c r="L57" s="39" t="s">
        <v>767</v>
      </c>
      <c r="M57" s="1">
        <f>E57*graph!B$48/graph!B$66</f>
        <v>-0.77151346346249727</v>
      </c>
    </row>
    <row r="58" spans="1:13" x14ac:dyDescent="0.35">
      <c r="B58" t="s">
        <v>766</v>
      </c>
      <c r="C58">
        <v>4.3</v>
      </c>
      <c r="D58" t="s">
        <v>766</v>
      </c>
      <c r="E58" s="5">
        <v>-1.63</v>
      </c>
      <c r="F58" t="s">
        <v>766</v>
      </c>
      <c r="H58" t="s">
        <v>766</v>
      </c>
      <c r="J58" t="s">
        <v>766</v>
      </c>
      <c r="L58" s="39" t="s">
        <v>767</v>
      </c>
      <c r="M58" s="1">
        <f>E58*graph!B$48/graph!B$66</f>
        <v>-0.73541926634144483</v>
      </c>
    </row>
    <row r="59" spans="1:13" x14ac:dyDescent="0.35">
      <c r="B59" t="s">
        <v>766</v>
      </c>
      <c r="C59">
        <v>4.3</v>
      </c>
      <c r="D59" t="s">
        <v>766</v>
      </c>
      <c r="E59" s="5">
        <v>-2.17</v>
      </c>
      <c r="F59" t="s">
        <v>766</v>
      </c>
      <c r="H59" t="s">
        <v>766</v>
      </c>
      <c r="J59" t="s">
        <v>766</v>
      </c>
      <c r="L59" s="39" t="s">
        <v>767</v>
      </c>
      <c r="M59" s="1">
        <f>E59*graph!B$48/graph!B$66</f>
        <v>-0.97905509690854919</v>
      </c>
    </row>
    <row r="60" spans="1:13" x14ac:dyDescent="0.35">
      <c r="B60" t="s">
        <v>766</v>
      </c>
      <c r="C60">
        <v>4.3</v>
      </c>
      <c r="D60" t="s">
        <v>766</v>
      </c>
      <c r="E60" s="5">
        <v>-0.64</v>
      </c>
      <c r="F60" t="s">
        <v>766</v>
      </c>
      <c r="H60" t="s">
        <v>766</v>
      </c>
      <c r="J60" t="s">
        <v>766</v>
      </c>
      <c r="L60" s="39" t="s">
        <v>767</v>
      </c>
      <c r="M60" s="1">
        <f>E60*graph!B$48/graph!B$66</f>
        <v>-0.28875357696842002</v>
      </c>
    </row>
    <row r="61" spans="1:13" x14ac:dyDescent="0.35">
      <c r="B61" t="s">
        <v>766</v>
      </c>
      <c r="C61">
        <v>4.3</v>
      </c>
      <c r="D61" t="s">
        <v>766</v>
      </c>
      <c r="E61" s="5">
        <v>-1.82</v>
      </c>
      <c r="F61" t="s">
        <v>766</v>
      </c>
      <c r="H61" t="s">
        <v>766</v>
      </c>
      <c r="J61" t="s">
        <v>766</v>
      </c>
      <c r="L61" s="39" t="s">
        <v>767</v>
      </c>
      <c r="M61" s="1">
        <f>E61*graph!B$48/graph!B$66</f>
        <v>-0.82114298450394463</v>
      </c>
    </row>
    <row r="62" spans="1:13" x14ac:dyDescent="0.35">
      <c r="B62" t="s">
        <v>766</v>
      </c>
      <c r="C62">
        <v>4.3</v>
      </c>
      <c r="D62" t="s">
        <v>766</v>
      </c>
      <c r="E62" s="5">
        <v>-1.75</v>
      </c>
      <c r="F62" t="s">
        <v>766</v>
      </c>
      <c r="H62" t="s">
        <v>766</v>
      </c>
      <c r="J62" t="s">
        <v>766</v>
      </c>
      <c r="L62" s="39" t="s">
        <v>767</v>
      </c>
      <c r="M62" s="1">
        <f>E62*graph!B$48/graph!B$66</f>
        <v>-0.7895605620230236</v>
      </c>
    </row>
    <row r="63" spans="1:13" x14ac:dyDescent="0.35">
      <c r="B63" t="s">
        <v>766</v>
      </c>
      <c r="C63">
        <v>4.3</v>
      </c>
      <c r="D63" t="s">
        <v>766</v>
      </c>
      <c r="E63" s="5">
        <v>-2.16</v>
      </c>
      <c r="F63" t="s">
        <v>766</v>
      </c>
      <c r="H63" t="s">
        <v>766</v>
      </c>
      <c r="J63" t="s">
        <v>766</v>
      </c>
      <c r="L63" s="39" t="s">
        <v>767</v>
      </c>
      <c r="M63" s="1">
        <f>E63*graph!B$48/graph!B$66</f>
        <v>-0.97454332226841778</v>
      </c>
    </row>
    <row r="64" spans="1:13" x14ac:dyDescent="0.35">
      <c r="A64" t="s">
        <v>998</v>
      </c>
      <c r="B64" t="s">
        <v>766</v>
      </c>
      <c r="C64">
        <v>2.5</v>
      </c>
      <c r="D64" t="s">
        <v>766</v>
      </c>
      <c r="E64" s="5">
        <v>-5.22</v>
      </c>
      <c r="F64" t="s">
        <v>766</v>
      </c>
      <c r="G64">
        <v>8.44</v>
      </c>
      <c r="H64" t="s">
        <v>766</v>
      </c>
      <c r="J64" t="s">
        <v>766</v>
      </c>
      <c r="L64" s="39" t="s">
        <v>767</v>
      </c>
      <c r="M64" s="7">
        <f>E64</f>
        <v>-5.22</v>
      </c>
    </row>
    <row r="65" spans="1:13" x14ac:dyDescent="0.35">
      <c r="A65" t="s">
        <v>999</v>
      </c>
      <c r="B65" t="s">
        <v>766</v>
      </c>
      <c r="C65">
        <v>1</v>
      </c>
      <c r="D65" t="s">
        <v>766</v>
      </c>
      <c r="E65" s="5">
        <v>-3.8</v>
      </c>
      <c r="F65" t="s">
        <v>766</v>
      </c>
      <c r="H65" t="s">
        <v>766</v>
      </c>
      <c r="I65">
        <v>-2.7</v>
      </c>
      <c r="J65" t="s">
        <v>766</v>
      </c>
      <c r="K65">
        <v>-4.2</v>
      </c>
      <c r="L65" s="39" t="s">
        <v>767</v>
      </c>
      <c r="M65" s="1">
        <f>E65*graph!B$48/graph!B$33</f>
        <v>-12.194995363840254</v>
      </c>
    </row>
    <row r="66" spans="1:13" x14ac:dyDescent="0.35">
      <c r="A66" t="s">
        <v>1004</v>
      </c>
      <c r="B66" t="s">
        <v>766</v>
      </c>
      <c r="C66">
        <v>3.03</v>
      </c>
      <c r="D66" t="s">
        <v>766</v>
      </c>
      <c r="E66" s="5">
        <v>-1.35</v>
      </c>
      <c r="F66" t="s">
        <v>766</v>
      </c>
      <c r="H66" t="s">
        <v>766</v>
      </c>
      <c r="J66" t="s">
        <v>766</v>
      </c>
      <c r="L66" s="39" t="s">
        <v>767</v>
      </c>
      <c r="M66" s="1">
        <f>E66*graph!B$48/graph!B$53</f>
        <v>-1.044104828826496</v>
      </c>
    </row>
    <row r="67" spans="1:13" x14ac:dyDescent="0.35">
      <c r="A67" t="s">
        <v>1005</v>
      </c>
      <c r="B67" t="s">
        <v>766</v>
      </c>
      <c r="C67">
        <v>1</v>
      </c>
      <c r="D67" t="s">
        <v>766</v>
      </c>
      <c r="E67" s="5">
        <v>-1.35</v>
      </c>
      <c r="F67" t="s">
        <v>766</v>
      </c>
      <c r="H67" t="s">
        <v>766</v>
      </c>
      <c r="J67" t="s">
        <v>766</v>
      </c>
      <c r="L67" s="39" t="s">
        <v>767</v>
      </c>
      <c r="M67" s="1">
        <f>E67*graph!B$48/graph!B$33</f>
        <v>-4.3324325634695651</v>
      </c>
    </row>
    <row r="68" spans="1:13" x14ac:dyDescent="0.35">
      <c r="B68" t="s">
        <v>766</v>
      </c>
      <c r="C68">
        <v>1</v>
      </c>
      <c r="D68" t="s">
        <v>766</v>
      </c>
      <c r="E68" s="5">
        <v>-1.61</v>
      </c>
      <c r="F68" t="s">
        <v>766</v>
      </c>
      <c r="H68" t="s">
        <v>766</v>
      </c>
      <c r="J68" t="s">
        <v>766</v>
      </c>
      <c r="L68" s="39" t="s">
        <v>767</v>
      </c>
      <c r="M68" s="1">
        <f>E68*graph!B$48/graph!B$33</f>
        <v>-5.1668269831007407</v>
      </c>
    </row>
    <row r="69" spans="1:13" x14ac:dyDescent="0.35">
      <c r="A69" t="s">
        <v>1006</v>
      </c>
      <c r="B69" t="s">
        <v>766</v>
      </c>
      <c r="C69">
        <v>3</v>
      </c>
      <c r="D69" t="s">
        <v>766</v>
      </c>
      <c r="E69" s="5">
        <v>-0.7</v>
      </c>
      <c r="F69" t="s">
        <v>766</v>
      </c>
      <c r="H69" t="s">
        <v>766</v>
      </c>
      <c r="I69">
        <v>-1.8</v>
      </c>
      <c r="J69" t="s">
        <v>766</v>
      </c>
      <c r="K69">
        <f>-0.3</f>
        <v>-0.3</v>
      </c>
      <c r="L69" s="39" t="s">
        <v>767</v>
      </c>
      <c r="M69" s="1">
        <f>E69*graph!B$48/graph!B$53</f>
        <v>-0.54138768902114598</v>
      </c>
    </row>
    <row r="70" spans="1:13" x14ac:dyDescent="0.35">
      <c r="A70" t="s">
        <v>1007</v>
      </c>
      <c r="B70" t="s">
        <v>766</v>
      </c>
      <c r="C70">
        <v>2</v>
      </c>
      <c r="D70" t="s">
        <v>766</v>
      </c>
      <c r="E70" s="5">
        <v>-0.7</v>
      </c>
      <c r="F70" t="s">
        <v>766</v>
      </c>
      <c r="H70" t="s">
        <v>766</v>
      </c>
      <c r="J70" t="s">
        <v>766</v>
      </c>
      <c r="L70" s="39" t="s">
        <v>767</v>
      </c>
      <c r="M70" s="1">
        <f>E70*graph!B$48/graph!B$43</f>
        <v>-0.94647036347209279</v>
      </c>
    </row>
    <row r="71" spans="1:13" x14ac:dyDescent="0.35">
      <c r="B71" t="s">
        <v>766</v>
      </c>
      <c r="C71">
        <v>4</v>
      </c>
      <c r="D71" t="s">
        <v>766</v>
      </c>
      <c r="E71" s="5">
        <v>-1.8</v>
      </c>
      <c r="F71" t="s">
        <v>766</v>
      </c>
      <c r="H71" t="s">
        <v>766</v>
      </c>
      <c r="J71" t="s">
        <v>766</v>
      </c>
      <c r="L71" s="39" t="s">
        <v>767</v>
      </c>
      <c r="M71" s="1">
        <f>E71*graph!B$48/graph!B$63</f>
        <v>-0.9082664936430167</v>
      </c>
    </row>
  </sheetData>
  <hyperlinks>
    <hyperlink ref="L3" r:id="rId1" xr:uid="{7363D956-2F2D-4F88-A18A-4125533C2C4B}"/>
    <hyperlink ref="L4:L63" r:id="rId2" display="\\" xr:uid="{6DEBDD70-2B06-446F-9F1E-CA2F92744FB7}"/>
    <hyperlink ref="L64" r:id="rId3" xr:uid="{8422BB04-154A-46A9-84F5-8CD6DBF1CBA3}"/>
    <hyperlink ref="L65" r:id="rId4" xr:uid="{DE3F65BE-87D2-477C-B426-B9421AC63061}"/>
    <hyperlink ref="L66" r:id="rId5" xr:uid="{EFF34E1F-5C05-4601-AF14-E59EE89EBF09}"/>
    <hyperlink ref="L67" r:id="rId6" xr:uid="{7B9A26BC-FFB6-4C09-A166-121EB2FBFB1A}"/>
    <hyperlink ref="L68" r:id="rId7" xr:uid="{E6EF9DB8-4228-4231-B691-88FD54C2FF1C}"/>
    <hyperlink ref="L69" r:id="rId8" xr:uid="{B701F383-C39D-4D8A-B2E8-69B0FE1B7B22}"/>
    <hyperlink ref="L70" r:id="rId9" xr:uid="{EAC9C396-A173-4D46-B30B-A17B6411891C}"/>
    <hyperlink ref="L71" r:id="rId10" xr:uid="{800AC323-5E08-4840-A673-7922805AABBB}"/>
  </hyperlinks>
  <pageMargins left="0.7" right="0.7" top="0.75" bottom="0.75" header="0.3" footer="0.3"/>
  <pageSetup paperSize="9" orientation="portrait"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92DA4-674F-4EBC-9420-0623BDADCEA5}">
  <dimension ref="A2:I97"/>
  <sheetViews>
    <sheetView workbookViewId="0">
      <selection activeCell="H2" sqref="H2:H97"/>
    </sheetView>
  </sheetViews>
  <sheetFormatPr defaultRowHeight="14.5" x14ac:dyDescent="0.35"/>
  <cols>
    <col min="1" max="1" width="34" customWidth="1"/>
  </cols>
  <sheetData>
    <row r="2" spans="1:9" x14ac:dyDescent="0.35">
      <c r="A2" t="s">
        <v>1020</v>
      </c>
      <c r="B2" s="8">
        <v>29.483836073020399</v>
      </c>
      <c r="H2" s="8"/>
      <c r="I2" s="1"/>
    </row>
    <row r="3" spans="1:9" x14ac:dyDescent="0.35">
      <c r="A3" t="s">
        <v>1021</v>
      </c>
      <c r="B3" s="8">
        <v>29.129156939946501</v>
      </c>
      <c r="H3" s="8"/>
      <c r="I3" s="1"/>
    </row>
    <row r="4" spans="1:9" x14ac:dyDescent="0.35">
      <c r="A4" t="s">
        <v>1022</v>
      </c>
      <c r="B4" s="8">
        <v>28.307088560901999</v>
      </c>
      <c r="H4" s="8"/>
      <c r="I4" s="1"/>
    </row>
    <row r="5" spans="1:9" x14ac:dyDescent="0.35">
      <c r="A5" t="s">
        <v>593</v>
      </c>
      <c r="B5" s="8">
        <v>26.927480924210698</v>
      </c>
      <c r="H5" s="8"/>
      <c r="I5" s="1"/>
    </row>
    <row r="6" spans="1:9" x14ac:dyDescent="0.35">
      <c r="A6" t="s">
        <v>286</v>
      </c>
      <c r="B6" s="8">
        <v>29.546229918076701</v>
      </c>
      <c r="H6" s="8"/>
      <c r="I6" s="1"/>
    </row>
    <row r="7" spans="1:9" x14ac:dyDescent="0.35">
      <c r="A7" t="s">
        <v>559</v>
      </c>
      <c r="B7" s="8">
        <v>2.94545413208425</v>
      </c>
      <c r="H7" s="8"/>
      <c r="I7" s="1"/>
    </row>
    <row r="8" spans="1:9" x14ac:dyDescent="0.35">
      <c r="A8" t="s">
        <v>724</v>
      </c>
      <c r="B8" s="8">
        <v>21.698842365269599</v>
      </c>
      <c r="H8" s="8"/>
      <c r="I8" s="1"/>
    </row>
    <row r="9" spans="1:9" x14ac:dyDescent="0.35">
      <c r="A9" t="s">
        <v>556</v>
      </c>
      <c r="B9" s="8">
        <v>29.546235865909299</v>
      </c>
      <c r="H9" s="8"/>
      <c r="I9" s="1"/>
    </row>
    <row r="10" spans="1:9" x14ac:dyDescent="0.35">
      <c r="A10" t="str">
        <f>Table1!A3</f>
        <v>d'Arge 1979</v>
      </c>
      <c r="B10" s="8">
        <v>92.17362537887</v>
      </c>
      <c r="C10">
        <f>regressions!D10</f>
        <v>1</v>
      </c>
      <c r="E10" t="s">
        <v>15</v>
      </c>
      <c r="F10" s="8">
        <f>MIN(B10:B78)</f>
        <v>-355.44769356301902</v>
      </c>
      <c r="H10" s="8"/>
      <c r="I10" s="1"/>
    </row>
    <row r="11" spans="1:9" x14ac:dyDescent="0.35">
      <c r="A11" t="str">
        <f>Table1!A4</f>
        <v>Nordhaus 1982</v>
      </c>
      <c r="B11" s="8">
        <v>74.180388221594001</v>
      </c>
      <c r="C11">
        <f>regressions!D11</f>
        <v>1</v>
      </c>
      <c r="E11" t="s">
        <v>16</v>
      </c>
      <c r="F11" s="8">
        <f>MAX(B10:B78)</f>
        <v>587.26140675843897</v>
      </c>
      <c r="H11" s="8"/>
      <c r="I11" s="1"/>
    </row>
    <row r="12" spans="1:9" x14ac:dyDescent="0.35">
      <c r="A12" t="str">
        <f>Table1!A5</f>
        <v>Nordhaus 1991</v>
      </c>
      <c r="B12" s="8">
        <v>17.1713861623758</v>
      </c>
      <c r="C12">
        <f>regressions!D12</f>
        <v>1</v>
      </c>
      <c r="E12" t="s">
        <v>749</v>
      </c>
      <c r="F12" s="8">
        <f>SUMPRODUCT(B10:B78,C10:C78)/SUM(C10:C78)</f>
        <v>58.79427782592667</v>
      </c>
      <c r="H12" s="8"/>
      <c r="I12" s="1"/>
    </row>
    <row r="13" spans="1:9" x14ac:dyDescent="0.35">
      <c r="A13" t="str">
        <f>Table1!A6</f>
        <v>Nordhaus 1994b</v>
      </c>
      <c r="B13" s="8">
        <v>22.837943595847602</v>
      </c>
      <c r="C13">
        <f>regressions!D13</f>
        <v>1</v>
      </c>
      <c r="H13" s="8"/>
      <c r="I13" s="1"/>
    </row>
    <row r="14" spans="1:9" x14ac:dyDescent="0.35">
      <c r="A14" t="str">
        <f>Table1!A7</f>
        <v>Nordhaus 1994a</v>
      </c>
      <c r="B14" s="8">
        <v>61.816990186571701</v>
      </c>
      <c r="C14">
        <f>regressions!D14</f>
        <v>0.5</v>
      </c>
      <c r="H14" s="8"/>
      <c r="I14" s="1"/>
    </row>
    <row r="15" spans="1:9" x14ac:dyDescent="0.35">
      <c r="A15">
        <f>Table1!A8</f>
        <v>0</v>
      </c>
      <c r="B15" s="8">
        <v>28.7620718221347</v>
      </c>
      <c r="C15">
        <f>regressions!D15</f>
        <v>0.5</v>
      </c>
      <c r="H15" s="8"/>
      <c r="I15" s="1"/>
    </row>
    <row r="16" spans="1:9" x14ac:dyDescent="0.35">
      <c r="A16" t="str">
        <f>Table1!A9</f>
        <v>Fankhauser 1995</v>
      </c>
      <c r="B16" s="8">
        <v>34.617514503765499</v>
      </c>
      <c r="C16">
        <f>regressions!D16</f>
        <v>1</v>
      </c>
      <c r="H16" s="8"/>
      <c r="I16" s="1"/>
    </row>
    <row r="17" spans="1:9" x14ac:dyDescent="0.35">
      <c r="A17" t="str">
        <f>Table1!A10</f>
        <v>Berz undated</v>
      </c>
      <c r="B17" s="8">
        <v>37.090194111194798</v>
      </c>
      <c r="C17">
        <f>regressions!D17</f>
        <v>1</v>
      </c>
      <c r="H17" s="8"/>
      <c r="I17" s="1"/>
    </row>
    <row r="18" spans="1:9" x14ac:dyDescent="0.35">
      <c r="A18" t="str">
        <f>Table1!A11</f>
        <v>Tol 1995</v>
      </c>
      <c r="B18" s="8">
        <v>46.980912541813701</v>
      </c>
      <c r="C18">
        <f>regressions!D18</f>
        <v>1</v>
      </c>
      <c r="H18" s="8"/>
      <c r="I18" s="1"/>
    </row>
    <row r="19" spans="1:9" x14ac:dyDescent="0.35">
      <c r="A19" t="str">
        <f>Table1!A12</f>
        <v>Nordhaus and Yang 1996</v>
      </c>
      <c r="B19" s="8">
        <v>35.498337427771297</v>
      </c>
      <c r="C19">
        <f>regressions!D19</f>
        <v>1</v>
      </c>
      <c r="H19" s="8"/>
      <c r="I19" s="1"/>
    </row>
    <row r="20" spans="1:9" x14ac:dyDescent="0.35">
      <c r="A20" t="str">
        <f>Table1!A13</f>
        <v>Plambeck and Hope 1996</v>
      </c>
      <c r="B20" s="8">
        <v>71.483283589609997</v>
      </c>
      <c r="C20">
        <f>regressions!D20</f>
        <v>1</v>
      </c>
      <c r="H20" s="8"/>
      <c r="I20" s="1"/>
    </row>
    <row r="21" spans="1:9" x14ac:dyDescent="0.35">
      <c r="A21" t="str">
        <f>Table1!A14</f>
        <v>Mendelsohn et al. 2000, 2006</v>
      </c>
      <c r="B21" s="1">
        <v>-0.74777411072292999</v>
      </c>
      <c r="C21">
        <f>regressions!D21</f>
        <v>0.16666666666666666</v>
      </c>
      <c r="H21" s="1"/>
      <c r="I21" s="1"/>
    </row>
    <row r="22" spans="1:9" x14ac:dyDescent="0.35">
      <c r="A22">
        <f>Table1!A15</f>
        <v>0</v>
      </c>
      <c r="B22" s="1">
        <v>-2.4925803690627801</v>
      </c>
      <c r="C22">
        <f>regressions!D22</f>
        <v>0.16666666666666666</v>
      </c>
      <c r="H22" s="1"/>
      <c r="I22" s="1"/>
    </row>
    <row r="23" spans="1:9" x14ac:dyDescent="0.35">
      <c r="A23">
        <f>Table1!A16</f>
        <v>0</v>
      </c>
      <c r="B23" s="1">
        <v>9.6589047195860395E-2</v>
      </c>
      <c r="C23">
        <f>regressions!D23</f>
        <v>0.16666666666666666</v>
      </c>
      <c r="H23" s="1"/>
      <c r="I23" s="1"/>
    </row>
    <row r="24" spans="1:9" x14ac:dyDescent="0.35">
      <c r="A24">
        <f>Table1!A17</f>
        <v>0</v>
      </c>
      <c r="B24" s="1">
        <v>0.38635618857931697</v>
      </c>
      <c r="C24">
        <f>regressions!D24</f>
        <v>0.16666666666666666</v>
      </c>
      <c r="H24" s="1"/>
      <c r="I24" s="1"/>
    </row>
    <row r="25" spans="1:9" x14ac:dyDescent="0.35">
      <c r="A25">
        <f>Table1!A18</f>
        <v>0</v>
      </c>
      <c r="B25" s="1">
        <v>5.7153282332510498E-2</v>
      </c>
      <c r="C25">
        <f>regressions!D25</f>
        <v>0.16666666666666666</v>
      </c>
      <c r="H25" s="1"/>
      <c r="I25" s="1"/>
    </row>
    <row r="26" spans="1:9" x14ac:dyDescent="0.35">
      <c r="A26">
        <f>Table1!A19</f>
        <v>0</v>
      </c>
      <c r="B26" s="1">
        <v>0.74299267046178596</v>
      </c>
      <c r="C26">
        <f>regressions!D26</f>
        <v>0.16666666666666666</v>
      </c>
      <c r="H26" s="1"/>
      <c r="I26" s="1"/>
    </row>
    <row r="27" spans="1:9" x14ac:dyDescent="0.35">
      <c r="A27" t="str">
        <f>Table1!A20</f>
        <v>Nordhaus and Boyer 2000</v>
      </c>
      <c r="B27" s="8">
        <v>37.090194111194798</v>
      </c>
      <c r="C27">
        <f>regressions!D27</f>
        <v>1</v>
      </c>
      <c r="H27" s="8"/>
      <c r="I27" s="1"/>
    </row>
    <row r="28" spans="1:9" x14ac:dyDescent="0.35">
      <c r="A28" t="str">
        <f>Table1!A21</f>
        <v>Tol 2002</v>
      </c>
      <c r="B28" s="8">
        <v>-355.44769356301902</v>
      </c>
      <c r="C28">
        <f>regressions!D28</f>
        <v>1</v>
      </c>
      <c r="H28" s="8"/>
      <c r="I28" s="1"/>
    </row>
    <row r="29" spans="1:9" x14ac:dyDescent="0.35">
      <c r="A29" t="str">
        <f>Table1!A22</f>
        <v>Maddison 2003</v>
      </c>
      <c r="B29" s="8">
        <v>-0.81599329563741296</v>
      </c>
      <c r="C29">
        <f>regressions!D29</f>
        <v>1</v>
      </c>
      <c r="H29" s="8"/>
      <c r="I29" s="1"/>
    </row>
    <row r="30" spans="1:9" x14ac:dyDescent="0.35">
      <c r="A30" t="str">
        <f>Table1!A23</f>
        <v>Rehdanz and Maddison 2005</v>
      </c>
      <c r="B30" s="8">
        <v>77.108390743673894</v>
      </c>
      <c r="C30">
        <f>regressions!D30</f>
        <v>0.5</v>
      </c>
      <c r="H30" s="8"/>
      <c r="I30" s="1"/>
    </row>
    <row r="31" spans="1:9" x14ac:dyDescent="0.35">
      <c r="A31">
        <f>Table1!A24</f>
        <v>0</v>
      </c>
      <c r="B31" s="8">
        <v>47.8272747608492</v>
      </c>
      <c r="C31">
        <f>regressions!D31</f>
        <v>0.5</v>
      </c>
      <c r="H31" s="8"/>
      <c r="I31" s="1"/>
    </row>
    <row r="32" spans="1:9" x14ac:dyDescent="0.35">
      <c r="A32" t="str">
        <f>Table1!A25</f>
        <v>Hope 2006</v>
      </c>
      <c r="B32" s="8">
        <v>24.244071773026601</v>
      </c>
      <c r="C32">
        <f>regressions!D32</f>
        <v>1</v>
      </c>
      <c r="H32" s="8"/>
      <c r="I32" s="1"/>
    </row>
    <row r="33" spans="1:9" x14ac:dyDescent="0.35">
      <c r="A33" t="str">
        <f>Table1!A26</f>
        <v>Nordhaus 2006</v>
      </c>
      <c r="B33" s="8">
        <v>15.9693891308677</v>
      </c>
      <c r="C33">
        <f>regressions!D33</f>
        <v>0.5</v>
      </c>
      <c r="H33" s="8"/>
      <c r="I33" s="1"/>
    </row>
    <row r="34" spans="1:9" x14ac:dyDescent="0.35">
      <c r="A34">
        <f>Table1!A27</f>
        <v>0</v>
      </c>
      <c r="B34" s="8">
        <v>18.029955470634501</v>
      </c>
      <c r="C34">
        <f>regressions!D34</f>
        <v>0.5</v>
      </c>
      <c r="H34" s="8"/>
      <c r="I34" s="1"/>
    </row>
    <row r="35" spans="1:9" x14ac:dyDescent="0.35">
      <c r="A35" t="str">
        <f>Table1!A28</f>
        <v>Nordhaus 2008</v>
      </c>
      <c r="B35" s="8">
        <v>42.9284654072774</v>
      </c>
      <c r="C35">
        <f>regressions!D35</f>
        <v>1</v>
      </c>
      <c r="H35" s="8"/>
      <c r="I35" s="1"/>
    </row>
    <row r="36" spans="1:9" x14ac:dyDescent="0.35">
      <c r="A36" t="str">
        <f>Table1!A29</f>
        <v>Maddison and Rehdanz 2011</v>
      </c>
      <c r="B36" s="8">
        <v>77.173519933678406</v>
      </c>
      <c r="C36">
        <f>regressions!D36</f>
        <v>1</v>
      </c>
      <c r="H36" s="8"/>
      <c r="I36" s="1"/>
    </row>
    <row r="37" spans="1:9" x14ac:dyDescent="0.35">
      <c r="A37" t="str">
        <f>Table1!A30</f>
        <v>Bosello et al.  2012</v>
      </c>
      <c r="B37" s="8">
        <v>20.961164749490699</v>
      </c>
      <c r="C37">
        <f>regressions!D37</f>
        <v>1</v>
      </c>
      <c r="H37" s="8"/>
      <c r="I37" s="1"/>
    </row>
    <row r="38" spans="1:9" x14ac:dyDescent="0.35">
      <c r="A38" t="str">
        <f>Table1!A31</f>
        <v>Roson and van der Mensbrugghe 2012</v>
      </c>
      <c r="B38" s="8">
        <v>32.849925701845699</v>
      </c>
      <c r="C38">
        <f>regressions!D38</f>
        <v>0.5</v>
      </c>
      <c r="H38" s="8"/>
      <c r="I38" s="1"/>
    </row>
    <row r="39" spans="1:9" x14ac:dyDescent="0.35">
      <c r="A39">
        <f>Table1!A32</f>
        <v>0</v>
      </c>
      <c r="B39" s="8">
        <v>24.379128502312302</v>
      </c>
      <c r="C39">
        <f>regressions!D39</f>
        <v>0.5</v>
      </c>
      <c r="H39" s="8"/>
      <c r="I39" s="1"/>
    </row>
    <row r="40" spans="1:9" x14ac:dyDescent="0.35">
      <c r="A40" t="str">
        <f>Table1!A33</f>
        <v>Nordhaus 2013</v>
      </c>
      <c r="B40" s="8">
        <v>36.7520750202005</v>
      </c>
      <c r="C40">
        <f>regressions!D40</f>
        <v>1</v>
      </c>
      <c r="H40" s="8"/>
      <c r="I40" s="1"/>
    </row>
    <row r="41" spans="1:9" x14ac:dyDescent="0.35">
      <c r="A41" t="str">
        <f>Table1!A34</f>
        <v>Sartori and Roson 2016</v>
      </c>
      <c r="B41" s="8">
        <v>12.321614576741499</v>
      </c>
      <c r="C41">
        <f>regressions!D41</f>
        <v>1</v>
      </c>
      <c r="H41" s="8"/>
      <c r="I41" s="1"/>
    </row>
    <row r="42" spans="1:9" x14ac:dyDescent="0.35">
      <c r="A42" t="str">
        <f>Table1!A35</f>
        <v>Kompas et al. 2018</v>
      </c>
      <c r="B42" s="8">
        <v>71.996153646221998</v>
      </c>
      <c r="C42">
        <f>regressions!D42</f>
        <v>0.25</v>
      </c>
      <c r="H42" s="8"/>
      <c r="I42" s="1"/>
    </row>
    <row r="43" spans="1:9" x14ac:dyDescent="0.35">
      <c r="A43">
        <f>Table1!A36</f>
        <v>0</v>
      </c>
      <c r="B43" s="8">
        <v>41.497506510926897</v>
      </c>
      <c r="C43">
        <f>regressions!D43</f>
        <v>0.25</v>
      </c>
      <c r="H43" s="8"/>
      <c r="I43" s="1"/>
    </row>
    <row r="44" spans="1:9" x14ac:dyDescent="0.35">
      <c r="A44">
        <f>Table1!A37</f>
        <v>0</v>
      </c>
      <c r="B44" s="8">
        <v>31.542952139789801</v>
      </c>
      <c r="C44">
        <f>regressions!D44</f>
        <v>0.25</v>
      </c>
      <c r="H44" s="8"/>
      <c r="I44" s="1"/>
    </row>
    <row r="45" spans="1:9" x14ac:dyDescent="0.35">
      <c r="A45">
        <f>Table1!A38</f>
        <v>0</v>
      </c>
      <c r="B45" s="8">
        <v>26.978336593896</v>
      </c>
      <c r="C45">
        <f>regressions!D45</f>
        <v>0.25</v>
      </c>
      <c r="H45" s="8"/>
      <c r="I45" s="1"/>
    </row>
    <row r="46" spans="1:9" x14ac:dyDescent="0.35">
      <c r="A46" t="str">
        <f>Table1!A39</f>
        <v>Dellink et al. 2019</v>
      </c>
      <c r="B46" s="8">
        <v>49.453592147236797</v>
      </c>
      <c r="C46">
        <f>regressions!D46</f>
        <v>1</v>
      </c>
      <c r="H46" s="8"/>
      <c r="I46" s="1"/>
    </row>
    <row r="47" spans="1:9" x14ac:dyDescent="0.35">
      <c r="A47" t="str">
        <f>Table1!A40</f>
        <v>Takakura</v>
      </c>
      <c r="B47" s="8">
        <v>40.635804326135499</v>
      </c>
      <c r="C47">
        <f>regressions!D47</f>
        <v>0.33333333333333331</v>
      </c>
      <c r="H47" s="8"/>
      <c r="I47" s="1"/>
    </row>
    <row r="48" spans="1:9" x14ac:dyDescent="0.35">
      <c r="A48">
        <f>Table1!A41</f>
        <v>0</v>
      </c>
      <c r="B48" s="8">
        <v>45.311042466076699</v>
      </c>
      <c r="C48">
        <f>regressions!D48</f>
        <v>0.33333333333333331</v>
      </c>
      <c r="H48" s="8"/>
      <c r="I48" s="1"/>
    </row>
    <row r="49" spans="1:9" x14ac:dyDescent="0.35">
      <c r="A49">
        <f>Table1!A42</f>
        <v>0</v>
      </c>
      <c r="B49" s="8">
        <v>40.766481876184002</v>
      </c>
      <c r="C49">
        <f>regressions!D49</f>
        <v>0.33333333333333331</v>
      </c>
      <c r="H49" s="8"/>
      <c r="I49" s="1"/>
    </row>
    <row r="50" spans="1:9" x14ac:dyDescent="0.35">
      <c r="A50" t="str">
        <f>Table1!A43</f>
        <v>Howard &amp; Sylvan 2020</v>
      </c>
      <c r="B50" s="8">
        <v>157.976752694802</v>
      </c>
      <c r="C50">
        <f>regressions!D50</f>
        <v>1</v>
      </c>
      <c r="H50" s="8"/>
      <c r="I50" s="1"/>
    </row>
    <row r="51" spans="1:9" x14ac:dyDescent="0.35">
      <c r="A51" t="str">
        <f>Table1!A44</f>
        <v>Howard &amp; Sylvan 2021</v>
      </c>
      <c r="B51" s="8">
        <v>236.10655973102499</v>
      </c>
      <c r="C51">
        <f>regressions!D51</f>
        <v>0.25</v>
      </c>
      <c r="H51" s="8"/>
      <c r="I51" s="1"/>
    </row>
    <row r="52" spans="1:9" x14ac:dyDescent="0.35">
      <c r="A52">
        <f>Table1!A45</f>
        <v>0</v>
      </c>
      <c r="B52" s="8">
        <v>145.95678237997501</v>
      </c>
      <c r="C52">
        <f>regressions!D52</f>
        <v>0.25</v>
      </c>
      <c r="H52" s="8"/>
      <c r="I52" s="1"/>
    </row>
    <row r="53" spans="1:9" x14ac:dyDescent="0.35">
      <c r="A53">
        <f>Table1!A46</f>
        <v>0</v>
      </c>
      <c r="B53" s="8">
        <v>99.525354197655702</v>
      </c>
      <c r="C53">
        <f>regressions!D53</f>
        <v>0.25</v>
      </c>
      <c r="H53" s="8"/>
      <c r="I53" s="1"/>
    </row>
    <row r="54" spans="1:9" x14ac:dyDescent="0.35">
      <c r="A54">
        <f>Table1!A47</f>
        <v>0</v>
      </c>
      <c r="B54" s="8">
        <v>78.848201766291297</v>
      </c>
      <c r="C54">
        <f>regressions!D54</f>
        <v>0.25</v>
      </c>
      <c r="H54" s="8"/>
      <c r="I54" s="1"/>
    </row>
    <row r="55" spans="1:9" x14ac:dyDescent="0.35">
      <c r="A55" t="str">
        <f>Table1!A48</f>
        <v>Conte et al. 2021</v>
      </c>
      <c r="B55" s="8">
        <v>41.768236611264498</v>
      </c>
      <c r="C55">
        <f>regressions!D55</f>
        <v>1</v>
      </c>
      <c r="H55" s="8"/>
      <c r="I55" s="1"/>
    </row>
    <row r="56" spans="1:9" x14ac:dyDescent="0.35">
      <c r="A56" t="str">
        <f>Table1!A49</f>
        <v>Desmet and Rossi-Hansberg 2015</v>
      </c>
      <c r="B56" s="8">
        <v>-36.682184085957999</v>
      </c>
      <c r="C56">
        <f>regressions!D56</f>
        <v>1</v>
      </c>
      <c r="H56" s="8"/>
      <c r="I56" s="1"/>
    </row>
    <row r="57" spans="1:9" x14ac:dyDescent="0.35">
      <c r="A57">
        <f>Table1!A50</f>
        <v>0</v>
      </c>
      <c r="B57" s="8">
        <v>8.6860380313392405</v>
      </c>
      <c r="C57">
        <f>regressions!D57</f>
        <v>0</v>
      </c>
      <c r="H57" s="8"/>
      <c r="I57" s="1"/>
    </row>
    <row r="58" spans="1:9" x14ac:dyDescent="0.35">
      <c r="A58">
        <f>Table1!A51</f>
        <v>0</v>
      </c>
      <c r="B58" s="8">
        <v>20.085887384966799</v>
      </c>
      <c r="C58">
        <f>regressions!D58</f>
        <v>0</v>
      </c>
      <c r="H58" s="8"/>
      <c r="I58" s="1"/>
    </row>
    <row r="59" spans="1:9" x14ac:dyDescent="0.35">
      <c r="A59">
        <f>Table1!A52</f>
        <v>0</v>
      </c>
      <c r="B59" s="8">
        <v>43.816155614162902</v>
      </c>
      <c r="C59">
        <f>regressions!D59</f>
        <v>0</v>
      </c>
      <c r="H59" s="8"/>
      <c r="I59" s="1"/>
    </row>
    <row r="60" spans="1:9" x14ac:dyDescent="0.35">
      <c r="A60" t="str">
        <f>Table1!A53</f>
        <v>Cruz and Rossi-Hansberg 2021</v>
      </c>
      <c r="B60" s="8">
        <v>14.905717154867601</v>
      </c>
      <c r="C60">
        <f>regressions!D60</f>
        <v>1</v>
      </c>
      <c r="H60" s="8"/>
      <c r="I60" s="1"/>
    </row>
    <row r="61" spans="1:9" x14ac:dyDescent="0.35">
      <c r="A61" t="str">
        <f>Table1!A54</f>
        <v>Kalkuhl and Wenz 2020</v>
      </c>
      <c r="B61" s="8">
        <v>355.447693562898</v>
      </c>
      <c r="C61">
        <f>regressions!D61</f>
        <v>1</v>
      </c>
      <c r="H61" s="8"/>
      <c r="I61" s="1"/>
    </row>
    <row r="62" spans="1:9" x14ac:dyDescent="0.35">
      <c r="A62" t="str">
        <f>Table1!A55</f>
        <v>Newell, Prest and Sexton</v>
      </c>
      <c r="B62" s="8">
        <v>-47.056470354727303</v>
      </c>
      <c r="C62">
        <f>regressions!D62</f>
        <v>0.1111111111111111</v>
      </c>
      <c r="H62" s="8"/>
      <c r="I62" s="1"/>
    </row>
    <row r="63" spans="1:9" x14ac:dyDescent="0.35">
      <c r="A63">
        <f>Table1!A56</f>
        <v>0</v>
      </c>
      <c r="B63" s="8">
        <v>-30.1729765503366</v>
      </c>
      <c r="C63">
        <f>regressions!D63</f>
        <v>0.1111111111111111</v>
      </c>
      <c r="H63" s="8"/>
      <c r="I63" s="1"/>
    </row>
    <row r="64" spans="1:9" x14ac:dyDescent="0.35">
      <c r="A64">
        <f>Table1!A57</f>
        <v>0</v>
      </c>
      <c r="B64" s="8">
        <v>14.292462576336799</v>
      </c>
      <c r="C64">
        <f>regressions!D64</f>
        <v>0.1111111111111111</v>
      </c>
      <c r="H64" s="8"/>
      <c r="I64" s="1"/>
    </row>
    <row r="65" spans="1:9" x14ac:dyDescent="0.35">
      <c r="A65">
        <f>Table1!A58</f>
        <v>0</v>
      </c>
      <c r="B65" s="8">
        <v>13.6238093563489</v>
      </c>
      <c r="C65">
        <f>regressions!D65</f>
        <v>0.1111111111111111</v>
      </c>
      <c r="H65" s="8"/>
      <c r="I65" s="1"/>
    </row>
    <row r="66" spans="1:9" x14ac:dyDescent="0.35">
      <c r="A66">
        <f>Table1!A59</f>
        <v>0</v>
      </c>
      <c r="B66" s="8">
        <v>18.137218590760099</v>
      </c>
      <c r="C66">
        <f>regressions!D66</f>
        <v>0.1111111111111111</v>
      </c>
      <c r="H66" s="8"/>
      <c r="I66" s="1"/>
    </row>
    <row r="67" spans="1:9" x14ac:dyDescent="0.35">
      <c r="A67">
        <f>Table1!A60</f>
        <v>0</v>
      </c>
      <c r="B67" s="8">
        <v>5.3492257596804</v>
      </c>
      <c r="C67">
        <f>regressions!D67</f>
        <v>0.1111111111111111</v>
      </c>
      <c r="H67" s="8"/>
      <c r="I67" s="1"/>
    </row>
    <row r="68" spans="1:9" x14ac:dyDescent="0.35">
      <c r="A68">
        <f>Table1!A61</f>
        <v>0</v>
      </c>
      <c r="B68" s="8">
        <v>15.2118607536074</v>
      </c>
      <c r="C68">
        <f>regressions!D68</f>
        <v>0.1111111111111111</v>
      </c>
      <c r="H68" s="8"/>
      <c r="I68" s="1"/>
    </row>
    <row r="69" spans="1:9" x14ac:dyDescent="0.35">
      <c r="A69">
        <f>Table1!A62</f>
        <v>0</v>
      </c>
      <c r="B69" s="8">
        <v>14.6267891865203</v>
      </c>
      <c r="C69">
        <f>regressions!D69</f>
        <v>0.1111111111111111</v>
      </c>
      <c r="H69" s="8"/>
      <c r="I69" s="1"/>
    </row>
    <row r="70" spans="1:9" x14ac:dyDescent="0.35">
      <c r="A70">
        <f>Table1!A63</f>
        <v>0</v>
      </c>
      <c r="B70" s="8">
        <v>18.053636938255298</v>
      </c>
      <c r="C70">
        <f>regressions!D70</f>
        <v>0.1111111111111111</v>
      </c>
      <c r="H70" s="8"/>
      <c r="I70" s="1"/>
    </row>
    <row r="71" spans="1:9" x14ac:dyDescent="0.35">
      <c r="A71" t="str">
        <f>Table1!A64</f>
        <v>Schauer 1995</v>
      </c>
      <c r="B71" s="8">
        <v>129.07387550560699</v>
      </c>
      <c r="C71">
        <f>regressions!D71</f>
        <v>1</v>
      </c>
      <c r="H71" s="8"/>
      <c r="I71" s="1"/>
    </row>
    <row r="72" spans="1:9" x14ac:dyDescent="0.35">
      <c r="A72" t="str">
        <f>Table1!A65</f>
        <v>Horowitz 2009</v>
      </c>
      <c r="B72" s="8">
        <v>587.26140675843897</v>
      </c>
      <c r="C72">
        <f>regressions!D72</f>
        <v>1</v>
      </c>
      <c r="H72" s="8"/>
      <c r="I72" s="1"/>
    </row>
    <row r="73" spans="1:9" x14ac:dyDescent="0.35">
      <c r="A73" t="str">
        <f>Table1!A66</f>
        <v>Eboli 2010</v>
      </c>
      <c r="B73" s="8">
        <v>22.724606723859001</v>
      </c>
      <c r="C73">
        <f>regressions!D73</f>
        <v>1</v>
      </c>
      <c r="H73" s="8"/>
      <c r="I73" s="1"/>
    </row>
    <row r="74" spans="1:9" x14ac:dyDescent="0.35">
      <c r="A74" t="str">
        <f>Table1!A67</f>
        <v>Ng and Zhao 2011</v>
      </c>
      <c r="B74" s="8">
        <v>208.63234187326299</v>
      </c>
      <c r="C74">
        <f>regressions!D74</f>
        <v>0.5</v>
      </c>
      <c r="H74" s="8"/>
      <c r="I74" s="1"/>
    </row>
    <row r="75" spans="1:9" x14ac:dyDescent="0.35">
      <c r="A75">
        <f>Table1!A68</f>
        <v>0</v>
      </c>
      <c r="B75" s="8">
        <v>248.81338549376599</v>
      </c>
      <c r="C75">
        <f>regressions!D75</f>
        <v>0.5</v>
      </c>
      <c r="H75" s="8"/>
      <c r="I75" s="1"/>
    </row>
    <row r="76" spans="1:9" x14ac:dyDescent="0.35">
      <c r="A76" t="str">
        <f>Table1!A69</f>
        <v>Hope 2011</v>
      </c>
      <c r="B76" s="8">
        <v>12.0199703132627</v>
      </c>
      <c r="C76">
        <f>regressions!D76</f>
        <v>1</v>
      </c>
      <c r="H76" s="8"/>
      <c r="I76" s="1"/>
    </row>
    <row r="77" spans="1:9" x14ac:dyDescent="0.35">
      <c r="A77" t="str">
        <f>Table1!A70</f>
        <v>McCallum 2013</v>
      </c>
      <c r="B77" s="8">
        <v>27.044933205562899</v>
      </c>
      <c r="C77">
        <f>regressions!D77</f>
        <v>0.5</v>
      </c>
      <c r="H77" s="8"/>
      <c r="I77" s="1"/>
    </row>
    <row r="78" spans="1:9" x14ac:dyDescent="0.35">
      <c r="A78">
        <f>Table1!A71</f>
        <v>0</v>
      </c>
      <c r="B78" s="8">
        <v>17.386028489358001</v>
      </c>
      <c r="C78">
        <f>regressions!D78</f>
        <v>0.5</v>
      </c>
      <c r="H78" s="8"/>
      <c r="I78" s="1"/>
    </row>
    <row r="79" spans="1:9" x14ac:dyDescent="0.35">
      <c r="A79" t="s">
        <v>1026</v>
      </c>
      <c r="B79" s="8">
        <v>56.784956068116998</v>
      </c>
      <c r="H79" s="8"/>
      <c r="I79" s="1"/>
    </row>
    <row r="80" spans="1:9" x14ac:dyDescent="0.35">
      <c r="A80" t="s">
        <v>1025</v>
      </c>
      <c r="B80" s="8">
        <v>86.565671375508501</v>
      </c>
      <c r="H80" s="8"/>
      <c r="I80" s="1"/>
    </row>
    <row r="81" spans="1:9" x14ac:dyDescent="0.35">
      <c r="A81" t="s">
        <v>1024</v>
      </c>
      <c r="B81" s="8">
        <v>1.3426141754854199</v>
      </c>
      <c r="H81" s="8"/>
      <c r="I81" s="1"/>
    </row>
    <row r="82" spans="1:9" x14ac:dyDescent="0.35">
      <c r="A82" t="s">
        <v>1018</v>
      </c>
      <c r="B82" s="8">
        <v>9.9590687060687006</v>
      </c>
      <c r="H82" s="8"/>
      <c r="I82" s="1"/>
    </row>
    <row r="83" spans="1:9" x14ac:dyDescent="0.35">
      <c r="A83" t="s">
        <v>1023</v>
      </c>
      <c r="B83" s="8">
        <v>27.655521385571401</v>
      </c>
      <c r="H83" s="8"/>
      <c r="I83" s="1"/>
    </row>
    <row r="84" spans="1:9" x14ac:dyDescent="0.35">
      <c r="A84" t="s">
        <v>739</v>
      </c>
      <c r="B84" s="8">
        <v>16.397128988868999</v>
      </c>
      <c r="H84" s="8"/>
      <c r="I84" s="1"/>
    </row>
    <row r="85" spans="1:9" x14ac:dyDescent="0.35">
      <c r="A85" t="s">
        <v>740</v>
      </c>
      <c r="B85" s="8">
        <v>59.583403219346202</v>
      </c>
      <c r="H85" s="8"/>
      <c r="I85" s="1"/>
    </row>
    <row r="86" spans="1:9" x14ac:dyDescent="0.35">
      <c r="A86" t="s">
        <v>1027</v>
      </c>
      <c r="B86" s="8">
        <v>6.6801663951510104</v>
      </c>
      <c r="H86" s="8"/>
      <c r="I86" s="1"/>
    </row>
    <row r="87" spans="1:9" x14ac:dyDescent="0.35">
      <c r="A87" t="s">
        <v>1028</v>
      </c>
      <c r="B87" s="8">
        <v>17.923206624839899</v>
      </c>
      <c r="H87" s="8"/>
      <c r="I87" s="1"/>
    </row>
    <row r="88" spans="1:9" x14ac:dyDescent="0.35">
      <c r="A88" t="s">
        <v>1029</v>
      </c>
      <c r="B88" s="8">
        <v>16.690495652767702</v>
      </c>
      <c r="H88" s="8"/>
      <c r="I88" s="1"/>
    </row>
    <row r="89" spans="1:9" x14ac:dyDescent="0.35">
      <c r="A89" t="s">
        <v>629</v>
      </c>
      <c r="B89" s="8">
        <v>-170.74571529902599</v>
      </c>
      <c r="H89" s="8"/>
      <c r="I89" s="1"/>
    </row>
    <row r="90" spans="1:9" x14ac:dyDescent="0.35">
      <c r="A90" t="s">
        <v>630</v>
      </c>
      <c r="B90" s="8">
        <v>31.618178727560402</v>
      </c>
      <c r="H90" s="8"/>
      <c r="I90" s="1"/>
    </row>
    <row r="91" spans="1:9" x14ac:dyDescent="0.35">
      <c r="A91" t="s">
        <v>732</v>
      </c>
      <c r="B91" s="8">
        <v>259.03290004456198</v>
      </c>
      <c r="H91" s="8"/>
      <c r="I91" s="1"/>
    </row>
    <row r="92" spans="1:9" x14ac:dyDescent="0.35">
      <c r="A92" t="s">
        <v>750</v>
      </c>
      <c r="B92" s="8">
        <v>-37.374099888574598</v>
      </c>
      <c r="H92" s="8"/>
      <c r="I92" s="1"/>
    </row>
    <row r="93" spans="1:9" x14ac:dyDescent="0.35">
      <c r="A93" t="s">
        <v>997</v>
      </c>
      <c r="B93" s="8">
        <v>593.06850817135103</v>
      </c>
      <c r="H93" s="8"/>
      <c r="I93" s="1"/>
    </row>
    <row r="94" spans="1:9" x14ac:dyDescent="0.35">
      <c r="A94" t="s">
        <v>628</v>
      </c>
      <c r="B94" s="8">
        <v>462.96998314732599</v>
      </c>
      <c r="H94" s="8"/>
      <c r="I94" s="1"/>
    </row>
    <row r="95" spans="1:9" x14ac:dyDescent="0.35">
      <c r="A95" t="s">
        <v>633</v>
      </c>
      <c r="B95" s="8">
        <v>219.60711938092001</v>
      </c>
      <c r="H95" s="8"/>
      <c r="I95" s="1"/>
    </row>
    <row r="96" spans="1:9" x14ac:dyDescent="0.35">
      <c r="A96" t="s">
        <v>1091</v>
      </c>
      <c r="B96" s="8">
        <v>-330.93662176914597</v>
      </c>
      <c r="H96" s="8"/>
      <c r="I96" s="1"/>
    </row>
    <row r="97" spans="1:9" x14ac:dyDescent="0.35">
      <c r="A97" t="s">
        <v>1029</v>
      </c>
      <c r="B97" s="8">
        <v>216.745727666058</v>
      </c>
      <c r="H97" s="8"/>
      <c r="I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559"/>
  <sheetViews>
    <sheetView workbookViewId="0">
      <pane xSplit="1" ySplit="2" topLeftCell="B8" activePane="bottomRight" state="frozen"/>
      <selection pane="topRight" activeCell="B1" sqref="B1"/>
      <selection pane="bottomLeft" activeCell="A3" sqref="A3"/>
      <selection pane="bottomRight" activeCell="G39" sqref="G39"/>
    </sheetView>
  </sheetViews>
  <sheetFormatPr defaultRowHeight="14.5" x14ac:dyDescent="0.35"/>
  <cols>
    <col min="15" max="15" width="12" bestFit="1" customWidth="1"/>
    <col min="16" max="16" width="11.453125" customWidth="1"/>
  </cols>
  <sheetData>
    <row r="1" spans="1:52" x14ac:dyDescent="0.35">
      <c r="B1" t="s">
        <v>562</v>
      </c>
      <c r="I1" t="s">
        <v>563</v>
      </c>
      <c r="J1" t="s">
        <v>564</v>
      </c>
      <c r="K1" t="s">
        <v>565</v>
      </c>
      <c r="L1" t="s">
        <v>323</v>
      </c>
      <c r="M1" t="s">
        <v>566</v>
      </c>
      <c r="O1" t="s">
        <v>567</v>
      </c>
      <c r="P1" t="s">
        <v>725</v>
      </c>
      <c r="Q1" t="s">
        <v>32</v>
      </c>
    </row>
    <row r="2" spans="1:52" x14ac:dyDescent="0.35">
      <c r="B2" t="s">
        <v>27</v>
      </c>
      <c r="C2" t="s">
        <v>28</v>
      </c>
      <c r="D2" t="s">
        <v>29</v>
      </c>
      <c r="E2" t="s">
        <v>30</v>
      </c>
      <c r="F2" t="s">
        <v>31</v>
      </c>
      <c r="I2">
        <f>regressions!$AD2</f>
        <v>0.13179100261299873</v>
      </c>
      <c r="J2">
        <f>regressions!$AD3</f>
        <v>0.2078310294868955</v>
      </c>
      <c r="K2">
        <f>regressions!$AD4</f>
        <v>0.13914661606363005</v>
      </c>
      <c r="L2">
        <f>regressions!$AD8</f>
        <v>0.11297088131851339</v>
      </c>
      <c r="M2">
        <f>regressions!$AD6</f>
        <v>0.11760769911204765</v>
      </c>
      <c r="N2">
        <f>regressions!$AD7</f>
        <v>0.11609119514932272</v>
      </c>
      <c r="O2">
        <f>regressions!$AD5</f>
        <v>9.9767198691121019E-4</v>
      </c>
      <c r="P2" s="33">
        <f>regressions!$AD9</f>
        <v>0.17356390426968069</v>
      </c>
      <c r="Q2" s="56" t="s">
        <v>1010</v>
      </c>
      <c r="R2" s="56" t="s">
        <v>1010</v>
      </c>
      <c r="S2" s="56" t="s">
        <v>1010</v>
      </c>
      <c r="T2" s="56" t="s">
        <v>1010</v>
      </c>
      <c r="U2" s="56" t="s">
        <v>1010</v>
      </c>
      <c r="V2" s="56" t="s">
        <v>1010</v>
      </c>
      <c r="W2" s="56" t="s">
        <v>1010</v>
      </c>
      <c r="X2" s="56" t="s">
        <v>1010</v>
      </c>
      <c r="Y2" s="52" t="s">
        <v>1012</v>
      </c>
      <c r="Z2" s="52" t="s">
        <v>1012</v>
      </c>
      <c r="AA2" s="52" t="s">
        <v>1012</v>
      </c>
      <c r="AB2" s="57" t="s">
        <v>1013</v>
      </c>
      <c r="AC2" s="57" t="s">
        <v>1013</v>
      </c>
      <c r="AD2" s="57" t="s">
        <v>1013</v>
      </c>
      <c r="AE2" s="54" t="s">
        <v>1011</v>
      </c>
      <c r="AF2" s="54" t="s">
        <v>1011</v>
      </c>
      <c r="AG2" s="54" t="s">
        <v>1011</v>
      </c>
      <c r="AH2" s="54" t="s">
        <v>1011</v>
      </c>
      <c r="AI2" s="54" t="s">
        <v>1011</v>
      </c>
      <c r="AJ2" s="54" t="s">
        <v>1011</v>
      </c>
      <c r="AK2" s="54" t="s">
        <v>1011</v>
      </c>
      <c r="AL2" s="54" t="s">
        <v>1011</v>
      </c>
      <c r="AM2" s="54" t="s">
        <v>1011</v>
      </c>
    </row>
    <row r="3" spans="1:52" x14ac:dyDescent="0.35">
      <c r="A3">
        <v>-2</v>
      </c>
      <c r="B3">
        <f>SUMPRODUCT(I$2:P$2,I3:P3)</f>
        <v>0.45537063802952088</v>
      </c>
      <c r="C3">
        <f>regressions!$AR$1*$A3</f>
        <v>-2.1066656424688217</v>
      </c>
      <c r="D3">
        <f>regressions!$AO$1*$A3</f>
        <v>-2.8619842086171277</v>
      </c>
      <c r="E3">
        <f>B3+2*C3</f>
        <v>-3.7579606469081224</v>
      </c>
      <c r="F3">
        <f>B3-2*D3</f>
        <v>6.1793390552637764</v>
      </c>
      <c r="G3" s="5">
        <f>B3-regressions!AA$7</f>
        <v>-3.265917952435434</v>
      </c>
      <c r="H3" s="5">
        <f>B3+regressions!AA$7</f>
        <v>4.1766592284944757</v>
      </c>
      <c r="I3">
        <f>IF($A3&lt;=regressions!$L$2,$A3*regressions!$L$1,regressions!$L$1*regressions!$L$2+regressions!$L$3*($A3-regressions!$L$2))</f>
        <v>1.5895596722639387</v>
      </c>
      <c r="J3">
        <f>regressions!$J$1*A3+regressions!$J$2*A3^2</f>
        <v>0.5797398043189641</v>
      </c>
      <c r="K3">
        <f>regressions!$V$1*A3</f>
        <v>1.5895596767514677</v>
      </c>
      <c r="L3">
        <f>regressions!$N$1*A3^2</f>
        <v>-0.69697945351411106</v>
      </c>
      <c r="M3">
        <f>regressions!$R$1*A3^2+regressions!$R$2*A3^6</f>
        <v>-0.75843201542945893</v>
      </c>
      <c r="N3">
        <f>regressions!$P$1*A3^2+regressions!$P$2*A3^7</f>
        <v>-0.73454168259038577</v>
      </c>
      <c r="O3">
        <f>regressions!$T$2+regressions!$T$1*EXP(A3)</f>
        <v>6.7570651323087096E-3</v>
      </c>
      <c r="P3" s="20">
        <f>(1-EXP(-2*regressions!X$1*graph!A3))/2/EXP(-regressions!X$1*A3)</f>
        <v>0.90695189895616823</v>
      </c>
    </row>
    <row r="4" spans="1:52" x14ac:dyDescent="0.35">
      <c r="A4">
        <f>0.1+A3</f>
        <v>-1.9</v>
      </c>
      <c r="B4">
        <f t="shared" ref="B4:B67" si="0">SUMPRODUCT(I$2:P$2,I4:P4)</f>
        <v>0.44630793668225499</v>
      </c>
      <c r="C4">
        <f>regressions!$AR$1*$A4</f>
        <v>-2.0013323603453803</v>
      </c>
      <c r="D4">
        <f>regressions!$AO$1*$A4</f>
        <v>-2.7188849981862711</v>
      </c>
      <c r="E4">
        <f>B4+2*C4</f>
        <v>-3.5563567840085057</v>
      </c>
      <c r="F4">
        <f>B4-2*D4</f>
        <v>5.8840779330547974</v>
      </c>
      <c r="G4" s="5">
        <f>B4-regressions!AA$7</f>
        <v>-3.2749806537827002</v>
      </c>
      <c r="H4" s="5">
        <f>B4+regressions!AA$7</f>
        <v>4.16759652714721</v>
      </c>
      <c r="I4">
        <f>IF($A4&lt;=regressions!$L$2,$A4*regressions!$L$1,regressions!$L$1*regressions!$L$2+regressions!$L$3*($A4-regressions!$L$2))</f>
        <v>1.5100816886507418</v>
      </c>
      <c r="J4">
        <f>regressions!J$1*A4+regressions!J$2*A4^2</f>
        <v>0.56628214597268844</v>
      </c>
      <c r="K4">
        <f>regressions!$V$1*A4</f>
        <v>1.5100816929138943</v>
      </c>
      <c r="L4">
        <f>regressions!$N$1*A4^2</f>
        <v>-0.62902395679648526</v>
      </c>
      <c r="M4">
        <f>regressions!$R$1*A4^2+regressions!$R$2*A4^6</f>
        <v>-0.68460282376659298</v>
      </c>
      <c r="N4">
        <f>regressions!$P$1*A4^2+regressions!$P$2*A4^7</f>
        <v>-0.66289811636261342</v>
      </c>
      <c r="O4">
        <f>regressions!T$2+regressions!T$1*EXP(A4)</f>
        <v>6.6458363791943344E-3</v>
      </c>
      <c r="P4" s="20">
        <f>(1-EXP(-2*regressions!X$1*graph!A4))/2/EXP(-regressions!X$1*A4)</f>
        <v>0.85274041574831194</v>
      </c>
      <c r="AT4" s="33"/>
      <c r="AW4" s="33"/>
      <c r="AZ4" s="33"/>
    </row>
    <row r="5" spans="1:52" x14ac:dyDescent="0.35">
      <c r="A5">
        <f>0.1+A4</f>
        <v>-1.7999999999999998</v>
      </c>
      <c r="B5">
        <f t="shared" si="0"/>
        <v>0.43588819763460618</v>
      </c>
      <c r="C5">
        <f>regressions!$AR$1*$A5</f>
        <v>-1.8959990782219394</v>
      </c>
      <c r="D5">
        <f>regressions!$AO$1*$A5</f>
        <v>-2.5757857877554144</v>
      </c>
      <c r="E5">
        <f>B5+2*C5</f>
        <v>-3.3561099588092724</v>
      </c>
      <c r="F5">
        <f>B5-2*D5</f>
        <v>5.5874597731454347</v>
      </c>
      <c r="G5" s="5">
        <f>B5-regressions!AA$7</f>
        <v>-3.2854003928303488</v>
      </c>
      <c r="H5" s="5">
        <f>B5+regressions!AA$7</f>
        <v>4.1571767880995614</v>
      </c>
      <c r="I5">
        <f>IF($A5&lt;=regressions!$L$2,$A5*regressions!$L$1,regressions!$L$1*regressions!$L$2+regressions!$L$3*($A5-regressions!$L$2))</f>
        <v>1.4306037050375446</v>
      </c>
      <c r="J5">
        <f>regressions!J$1*A5+regressions!J$2*A5^2</f>
        <v>0.55118982111381565</v>
      </c>
      <c r="K5">
        <f>regressions!$V$1*A5</f>
        <v>1.4306037090763208</v>
      </c>
      <c r="L5">
        <f>regressions!$N$1*A5^2</f>
        <v>-0.56455335734642986</v>
      </c>
      <c r="M5">
        <f>regressions!$R$1*A5^2+regressions!$R$2*A5^6</f>
        <v>-0.61452616205234867</v>
      </c>
      <c r="N5">
        <f>regressions!$P$1*A5^2+regressions!$P$2*A5^7</f>
        <v>-0.59493692334482973</v>
      </c>
      <c r="O5">
        <f>regressions!T$2+regressions!T$1*EXP(A5)</f>
        <v>6.5229095959985096E-3</v>
      </c>
      <c r="P5" s="20">
        <f>(1-EXP(-2*regressions!X$1*graph!A5))/2/EXP(-regressions!X$1*A5)</f>
        <v>0.79994177140973766</v>
      </c>
      <c r="AT5" s="33"/>
      <c r="AW5" s="33"/>
      <c r="AZ5" s="33"/>
    </row>
    <row r="6" spans="1:52" x14ac:dyDescent="0.35">
      <c r="A6">
        <f>0.1+A5</f>
        <v>-1.6999999999999997</v>
      </c>
      <c r="B6">
        <f t="shared" si="0"/>
        <v>0.42409553357332075</v>
      </c>
      <c r="C6">
        <f>regressions!$AR$1*$A6</f>
        <v>-1.7906657960984982</v>
      </c>
      <c r="D6">
        <f>regressions!$AO$1*$A6</f>
        <v>-2.4326865773245583</v>
      </c>
      <c r="E6">
        <f>B6+2*C6</f>
        <v>-3.1572360586236758</v>
      </c>
      <c r="F6">
        <f>B6-2*D6</f>
        <v>5.2894686882224375</v>
      </c>
      <c r="G6" s="5">
        <f>B6-regressions!AA$7</f>
        <v>-3.2971930568916346</v>
      </c>
      <c r="H6" s="5">
        <f>B6+regressions!AA$7</f>
        <v>4.1453841240382756</v>
      </c>
      <c r="I6">
        <f>IF($A6&lt;=regressions!$L$2,$A6*regressions!$L$1,regressions!$L$1*regressions!$L$2+regressions!$L$3*($A6-regressions!$L$2))</f>
        <v>1.3511257214243477</v>
      </c>
      <c r="J6">
        <f>regressions!J$1*A6+regressions!J$2*A6^2</f>
        <v>0.53446282974234582</v>
      </c>
      <c r="K6">
        <f>regressions!$V$1*A6</f>
        <v>1.3511257252387474</v>
      </c>
      <c r="L6">
        <f>regressions!$N$1*A6^2</f>
        <v>-0.50356765516394508</v>
      </c>
      <c r="M6">
        <f>regressions!$R$1*A6^2+regressions!$R$2*A6^6</f>
        <v>-0.5482104116438038</v>
      </c>
      <c r="N6">
        <f>regressions!$P$1*A6^2+regressions!$P$2*A6^7</f>
        <v>-0.53065566890350846</v>
      </c>
      <c r="O6">
        <f>regressions!T$2+regressions!T$1*EXP(A6)</f>
        <v>6.3870544901578948E-3</v>
      </c>
      <c r="P6" s="20">
        <f>(1-EXP(-2*regressions!X$1*graph!A6))/2/EXP(-regressions!X$1*A6)</f>
        <v>0.7484684879980501</v>
      </c>
      <c r="AT6" s="33"/>
      <c r="AW6" s="33"/>
      <c r="AZ6" s="33"/>
    </row>
    <row r="7" spans="1:52" x14ac:dyDescent="0.35">
      <c r="A7">
        <f>0.1+A6</f>
        <v>-1.5999999999999996</v>
      </c>
      <c r="B7">
        <f t="shared" si="0"/>
        <v>0.4109145331126306</v>
      </c>
      <c r="C7">
        <f>regressions!$AR$1*$A7</f>
        <v>-1.685332513975057</v>
      </c>
      <c r="D7">
        <f>regressions!$AO$1*$A7</f>
        <v>-2.2895873668937017</v>
      </c>
      <c r="E7">
        <f>B7+2*C7</f>
        <v>-2.9597504948374835</v>
      </c>
      <c r="F7">
        <f>B7-2*D7</f>
        <v>4.9900892669000338</v>
      </c>
      <c r="G7" s="5">
        <f>B7-regressions!AA$7</f>
        <v>-3.3103740573523246</v>
      </c>
      <c r="H7" s="5">
        <f>B7+regressions!AA$7</f>
        <v>4.132203123577586</v>
      </c>
      <c r="I7">
        <f>IF($A7&lt;=regressions!$L$2,$A7*regressions!$L$1,regressions!$L$1*regressions!$L$2+regressions!$L$3*($A7-regressions!$L$2))</f>
        <v>1.2716477378111506</v>
      </c>
      <c r="J7">
        <f>regressions!J$1*A7+regressions!J$2*A7^2</f>
        <v>0.51610117185827875</v>
      </c>
      <c r="K7">
        <f>regressions!$V$1*A7</f>
        <v>1.271647741401174</v>
      </c>
      <c r="L7">
        <f>regressions!$N$1*A7^2</f>
        <v>-0.44606685024903087</v>
      </c>
      <c r="M7">
        <f>regressions!$R$1*A7^2+regressions!$R$2*A7^6</f>
        <v>-0.48566266872579805</v>
      </c>
      <c r="N7">
        <f>regressions!$P$1*A7^2+regressions!$P$2*A7^7</f>
        <v>-0.47005240264738762</v>
      </c>
      <c r="O7">
        <f>regressions!T$2+regressions!T$1*EXP(A7)</f>
        <v>6.2369113781107575E-3</v>
      </c>
      <c r="P7" s="20">
        <f>(1-EXP(-2*regressions!X$1*graph!A7))/2/EXP(-regressions!X$1*A7)</f>
        <v>0.6982352834576665</v>
      </c>
      <c r="AT7" s="33"/>
      <c r="AW7" s="33"/>
      <c r="AZ7" s="33"/>
    </row>
    <row r="8" spans="1:52" x14ac:dyDescent="0.35">
      <c r="A8">
        <f>0.1+A7</f>
        <v>-1.4999999999999996</v>
      </c>
      <c r="B8">
        <f t="shared" si="0"/>
        <v>0.39633022878670149</v>
      </c>
      <c r="C8">
        <f>regressions!$AR$1*$A8</f>
        <v>-1.5799992318516158</v>
      </c>
      <c r="D8">
        <f>regressions!$AO$1*$A8</f>
        <v>-2.1464881564628451</v>
      </c>
      <c r="E8">
        <f t="shared" ref="E8:E19" si="1">B8+2*C8</f>
        <v>-2.7636682349165302</v>
      </c>
      <c r="F8">
        <f t="shared" ref="F8:F19" si="2">B8-2*D8</f>
        <v>4.6893065417123916</v>
      </c>
      <c r="G8" s="5">
        <f>B8-regressions!AA$7</f>
        <v>-3.3249583616782536</v>
      </c>
      <c r="H8" s="5">
        <f>B8+regressions!AA$7</f>
        <v>4.117618819251657</v>
      </c>
      <c r="I8">
        <f>IF($A8&lt;=regressions!$L$2,$A8*regressions!$L$1,regressions!$L$1*regressions!$L$2+regressions!$L$3*($A8-regressions!$L$2))</f>
        <v>1.1921697541979537</v>
      </c>
      <c r="J8">
        <f>regressions!J$1*A8+regressions!J$2*A8^2</f>
        <v>0.4961048474616146</v>
      </c>
      <c r="K8">
        <f>regressions!$V$1*A8</f>
        <v>1.1921697575636003</v>
      </c>
      <c r="L8">
        <f>regressions!$N$1*A8^2</f>
        <v>-0.39205094260168721</v>
      </c>
      <c r="M8">
        <f>regressions!$R$1*A8^2+regressions!$R$2*A8^6</f>
        <v>-0.42688888299858485</v>
      </c>
      <c r="N8">
        <f>regressions!$P$1*A8^2+regressions!$P$2*A8^7</f>
        <v>-0.4131255822731314</v>
      </c>
      <c r="O8">
        <f>regressions!T$2+regressions!T$1*EXP(A8)</f>
        <v>6.0709775771268879E-3</v>
      </c>
      <c r="P8" s="20">
        <f>(1-EXP(-2*regressions!X$1*graph!A8))/2/EXP(-regressions!X$1*A8)</f>
        <v>0.64915893032265182</v>
      </c>
      <c r="AT8" s="33"/>
      <c r="AW8" s="33"/>
      <c r="AZ8" s="33"/>
    </row>
    <row r="9" spans="1:52" x14ac:dyDescent="0.35">
      <c r="A9">
        <f t="shared" ref="A9:A51" si="3">0.1+A8</f>
        <v>-1.3999999999999995</v>
      </c>
      <c r="B9">
        <f t="shared" si="0"/>
        <v>0.38032806558334153</v>
      </c>
      <c r="C9">
        <f>regressions!$AR$1*$A9</f>
        <v>-1.4746659497281747</v>
      </c>
      <c r="D9">
        <f>regressions!$AO$1*$A9</f>
        <v>-2.0033889460319885</v>
      </c>
      <c r="E9">
        <f t="shared" si="1"/>
        <v>-2.5690038338730079</v>
      </c>
      <c r="F9">
        <f t="shared" si="2"/>
        <v>4.3871059576473188</v>
      </c>
      <c r="G9" s="5">
        <f>B9-regressions!AA$7</f>
        <v>-3.3409605248816137</v>
      </c>
      <c r="H9" s="5">
        <f>B9+regressions!AA$7</f>
        <v>4.1016166560482965</v>
      </c>
      <c r="I9">
        <f>IF($A9&lt;=regressions!$L$2,$A9*regressions!$L$1,regressions!$L$1*regressions!$L$2+regressions!$L$3*($A9-regressions!$L$2))</f>
        <v>1.1126917705847565</v>
      </c>
      <c r="J9">
        <f>regressions!J$1*A9+regressions!J$2*A9^2</f>
        <v>0.47447385655235336</v>
      </c>
      <c r="K9">
        <f>regressions!$V$1*A9</f>
        <v>1.1126917737260269</v>
      </c>
      <c r="L9">
        <f>regressions!$N$1*A9^2</f>
        <v>-0.34151993222191412</v>
      </c>
      <c r="M9">
        <f>regressions!$R$1*A9^2+regressions!$R$2*A9^6</f>
        <v>-0.37189398844047372</v>
      </c>
      <c r="N9">
        <f>regressions!$P$1*A9^2+regressions!$P$2*A9^7</f>
        <v>-0.35987400585418888</v>
      </c>
      <c r="O9">
        <f>regressions!T$2+regressions!T$1*EXP(A9)</f>
        <v>5.8875923659537626E-3</v>
      </c>
      <c r="P9" s="20">
        <f>(1-EXP(-2*regressions!X$1*graph!A9))/2/EXP(-regressions!X$1*A9)</f>
        <v>0.60115811782364204</v>
      </c>
      <c r="AT9" s="33"/>
      <c r="AW9" s="33"/>
      <c r="AZ9" s="33"/>
    </row>
    <row r="10" spans="1:52" x14ac:dyDescent="0.35">
      <c r="A10">
        <f t="shared" si="3"/>
        <v>-1.2999999999999994</v>
      </c>
      <c r="B10">
        <f t="shared" si="0"/>
        <v>0.36289387003682533</v>
      </c>
      <c r="C10">
        <f>regressions!$AR$1*$A10</f>
        <v>-1.3693326676047335</v>
      </c>
      <c r="D10">
        <f>regressions!$AO$1*$A10</f>
        <v>-1.8602897356011321</v>
      </c>
      <c r="E10">
        <f t="shared" si="1"/>
        <v>-2.3757714651726416</v>
      </c>
      <c r="F10">
        <f t="shared" si="2"/>
        <v>4.0834733412390891</v>
      </c>
      <c r="G10" s="5">
        <f>B10-regressions!AA$7</f>
        <v>-3.3583947204281297</v>
      </c>
      <c r="H10" s="5">
        <f>B10+regressions!AA$7</f>
        <v>4.08418246050178</v>
      </c>
      <c r="I10">
        <f>IF($A10&lt;=regressions!$L$2,$A10*regressions!$L$1,regressions!$L$1*regressions!$L$2+regressions!$L$3*($A10-regressions!$L$2))</f>
        <v>1.0332137869715596</v>
      </c>
      <c r="J10">
        <f>regressions!J$1*A10+regressions!J$2*A10^2</f>
        <v>0.45120819913049492</v>
      </c>
      <c r="K10">
        <f>regressions!$V$1*A10</f>
        <v>1.0332137898884535</v>
      </c>
      <c r="L10">
        <f>regressions!$N$1*A10^2</f>
        <v>-0.29447381910971165</v>
      </c>
      <c r="M10">
        <f>regressions!$R$1*A10^2+regressions!$R$2*A10^6</f>
        <v>-0.32068202614546526</v>
      </c>
      <c r="N10">
        <f>regressions!$P$1*A10^2+regressions!$P$2*A10^7</f>
        <v>-0.31029675207619356</v>
      </c>
      <c r="O10">
        <f>regressions!T$2+regressions!T$1*EXP(A10)</f>
        <v>5.6849203637600642E-3</v>
      </c>
      <c r="P10" s="20">
        <f>(1-EXP(-2*regressions!X$1*graph!A10))/2/EXP(-regressions!X$1*A10)</f>
        <v>0.55415331717039495</v>
      </c>
      <c r="AT10" s="33"/>
      <c r="AW10" s="33"/>
      <c r="AZ10" s="33"/>
    </row>
    <row r="11" spans="1:52" x14ac:dyDescent="0.35">
      <c r="A11">
        <f t="shared" si="3"/>
        <v>-1.1999999999999993</v>
      </c>
      <c r="B11">
        <f t="shared" si="0"/>
        <v>0.34401381989858221</v>
      </c>
      <c r="C11">
        <f>regressions!$AR$1*$A11</f>
        <v>-1.2639993854812923</v>
      </c>
      <c r="D11">
        <f>regressions!$AO$1*$A11</f>
        <v>-1.7171905251702755</v>
      </c>
      <c r="E11">
        <f t="shared" si="1"/>
        <v>-2.1839849510640024</v>
      </c>
      <c r="F11">
        <f t="shared" si="2"/>
        <v>3.7783948702391332</v>
      </c>
      <c r="G11" s="5">
        <f>B11-regressions!AA$7</f>
        <v>-3.3772747705663728</v>
      </c>
      <c r="H11" s="5">
        <f>B11+regressions!AA$7</f>
        <v>4.0653024103635369</v>
      </c>
      <c r="I11">
        <f>IF($A11&lt;=regressions!$L$2,$A11*regressions!$L$1,regressions!$L$1*regressions!$L$2+regressions!$L$3*($A11-regressions!$L$2))</f>
        <v>0.95373580335836261</v>
      </c>
      <c r="J11">
        <f>regressions!J$1*A11+regressions!J$2*A11^2</f>
        <v>0.42630787519603947</v>
      </c>
      <c r="K11">
        <f>regressions!$V$1*A11</f>
        <v>0.95373580605088004</v>
      </c>
      <c r="L11">
        <f>regressions!$N$1*A11^2</f>
        <v>-0.25091260326507969</v>
      </c>
      <c r="M11">
        <f>regressions!$R$1*A11^2+regressions!$R$2*A11^6</f>
        <v>-0.27325625923587604</v>
      </c>
      <c r="N11">
        <f>regressions!$P$1*A11^2+regressions!$P$2*A11^7</f>
        <v>-0.26439312792224329</v>
      </c>
      <c r="O11">
        <f>regressions!T$2+regressions!T$1*EXP(A11)</f>
        <v>5.4609331610274243E-3</v>
      </c>
      <c r="P11" s="20">
        <f>(1-EXP(-2*regressions!X$1*graph!A11))/2/EXP(-regressions!X$1*A11)</f>
        <v>0.5080666497867582</v>
      </c>
      <c r="AT11" s="33"/>
      <c r="AW11" s="33"/>
      <c r="AZ11" s="33"/>
    </row>
    <row r="12" spans="1:52" x14ac:dyDescent="0.35">
      <c r="A12">
        <f t="shared" si="3"/>
        <v>-1.0999999999999992</v>
      </c>
      <c r="B12">
        <f t="shared" si="0"/>
        <v>0.32367441440533617</v>
      </c>
      <c r="C12">
        <f>regressions!$AR$1*$A12</f>
        <v>-1.1586661033578511</v>
      </c>
      <c r="D12">
        <f>regressions!$AO$1*$A12</f>
        <v>-1.5740913147394191</v>
      </c>
      <c r="E12">
        <f t="shared" si="1"/>
        <v>-1.993657792310366</v>
      </c>
      <c r="F12">
        <f t="shared" si="2"/>
        <v>3.4718570438841745</v>
      </c>
      <c r="G12" s="5">
        <f>B12-regressions!AA$7</f>
        <v>-3.3976141760596188</v>
      </c>
      <c r="H12" s="5">
        <f>B12+regressions!AA$7</f>
        <v>4.0449630048702909</v>
      </c>
      <c r="I12">
        <f>IF($A12&lt;=regressions!$L$2,$A12*regressions!$L$1,regressions!$L$1*regressions!$L$2+regressions!$L$3*($A12-regressions!$L$2))</f>
        <v>0.87425781974516559</v>
      </c>
      <c r="J12">
        <f>regressions!J$1*A12+regressions!J$2*A12^2</f>
        <v>0.39977288474898692</v>
      </c>
      <c r="K12">
        <f>regressions!$V$1*A12</f>
        <v>0.87425782221330661</v>
      </c>
      <c r="L12">
        <f>regressions!$N$1*A12^2</f>
        <v>-0.21083628468801827</v>
      </c>
      <c r="M12">
        <f>regressions!$R$1*A12^2+regressions!$R$2*A12^6</f>
        <v>-0.22961927984995609</v>
      </c>
      <c r="N12">
        <f>regressions!$P$1*A12^2+regressions!$P$2*A12^7</f>
        <v>-0.22216262331140249</v>
      </c>
      <c r="O12">
        <f>regressions!T$2+regressions!T$1*EXP(A12)</f>
        <v>5.2133890185461964E-3</v>
      </c>
      <c r="P12" s="20">
        <f>(1-EXP(-2*regressions!X$1*graph!A12))/2/EXP(-regressions!X$1*A12)</f>
        <v>0.46282175827975186</v>
      </c>
      <c r="AT12" s="33"/>
      <c r="AW12" s="33"/>
      <c r="AZ12" s="33"/>
    </row>
    <row r="13" spans="1:52" x14ac:dyDescent="0.35">
      <c r="A13">
        <f t="shared" si="3"/>
        <v>-0.99999999999999922</v>
      </c>
      <c r="B13">
        <f t="shared" si="0"/>
        <v>0.30186244516504546</v>
      </c>
      <c r="C13">
        <f>regressions!$AR$1*$A13</f>
        <v>-1.05333282123441</v>
      </c>
      <c r="D13">
        <f>regressions!$AO$1*$A13</f>
        <v>-1.4309921043085627</v>
      </c>
      <c r="E13">
        <f t="shared" si="1"/>
        <v>-1.8048031973037744</v>
      </c>
      <c r="F13">
        <f t="shared" si="2"/>
        <v>3.163846653782171</v>
      </c>
      <c r="G13" s="5">
        <f>B13-regressions!AA$7</f>
        <v>-3.4194261452999095</v>
      </c>
      <c r="H13" s="5">
        <f>B13+regressions!AA$7</f>
        <v>4.0231510356300006</v>
      </c>
      <c r="I13">
        <f>IF($A13&lt;=regressions!$L$2,$A13*regressions!$L$1,regressions!$L$1*regressions!$L$2+regressions!$L$3*($A13-regressions!$L$2))</f>
        <v>0.79477983613196868</v>
      </c>
      <c r="J13">
        <f>regressions!J$1*A13+regressions!J$2*A13^2</f>
        <v>0.3716032277893373</v>
      </c>
      <c r="K13">
        <f>regressions!$V$1*A13</f>
        <v>0.79477983837573318</v>
      </c>
      <c r="L13">
        <f>regressions!$N$1*A13^2</f>
        <v>-0.17424486337852749</v>
      </c>
      <c r="M13">
        <f>regressions!$R$1*A13^2+regressions!$R$2*A13^6</f>
        <v>-0.18977310820449703</v>
      </c>
      <c r="N13">
        <f>regressions!$P$1*A13^2+regressions!$P$2*A13^7</f>
        <v>-0.18360487219376848</v>
      </c>
      <c r="O13">
        <f>regressions!T$2+regressions!T$1*EXP(A13)</f>
        <v>4.9398104313359689E-3</v>
      </c>
      <c r="P13" s="20">
        <f>(1-EXP(-2*regressions!X$1*graph!A13))/2/EXP(-regressions!X$1*A13)</f>
        <v>0.41834367992897808</v>
      </c>
      <c r="Q13" s="48">
        <f>Table1!$E3</f>
        <v>-0.59642907312262095</v>
      </c>
      <c r="AN13">
        <f t="shared" ref="AN13:AN66" si="4">AVERAGE(Q13:AM13)</f>
        <v>-0.59642907312262095</v>
      </c>
      <c r="AO13" s="1">
        <f>MIN(Q13:AM13)</f>
        <v>-0.59642907312262095</v>
      </c>
      <c r="AP13" s="1">
        <f>MAX(Q13:AM13)</f>
        <v>-0.59642907312262095</v>
      </c>
      <c r="AT13" s="33"/>
      <c r="AW13" s="33"/>
      <c r="AZ13" s="33"/>
    </row>
    <row r="14" spans="1:52" x14ac:dyDescent="0.35">
      <c r="A14">
        <f t="shared" si="3"/>
        <v>-0.89999999999999925</v>
      </c>
      <c r="B14">
        <f t="shared" si="0"/>
        <v>0.27856496768169459</v>
      </c>
      <c r="C14">
        <f>regressions!$AR$1*$A14</f>
        <v>-0.94799953911096901</v>
      </c>
      <c r="D14">
        <f>regressions!$AO$1*$A14</f>
        <v>-1.2878928938777063</v>
      </c>
      <c r="E14">
        <f t="shared" si="1"/>
        <v>-1.6174341105402434</v>
      </c>
      <c r="F14">
        <f t="shared" si="2"/>
        <v>2.8543507554371073</v>
      </c>
      <c r="G14" s="5">
        <f>B14-regressions!AA$7</f>
        <v>-3.4427236227832605</v>
      </c>
      <c r="H14" s="5">
        <f>B14+regressions!AA$7</f>
        <v>3.9998535581466497</v>
      </c>
      <c r="I14">
        <f>IF($A14&lt;=regressions!$L$2,$A14*regressions!$L$1,regressions!$L$1*regressions!$L$2+regressions!$L$3*($A14-regressions!$L$2))</f>
        <v>0.71530185251877176</v>
      </c>
      <c r="J14">
        <f>regressions!J$1*A14+regressions!J$2*A14^2</f>
        <v>0.34179890431709053</v>
      </c>
      <c r="K14">
        <f>regressions!$V$1*A14</f>
        <v>0.71530185453815986</v>
      </c>
      <c r="L14">
        <f>regressions!$N$1*A14^2</f>
        <v>-0.14113833933660724</v>
      </c>
      <c r="M14">
        <f>regressions!$R$1*A14^2+regressions!$R$2*A14^6</f>
        <v>-0.15371928373243146</v>
      </c>
      <c r="N14">
        <f>regressions!$P$1*A14^2+regressions!$P$2*A14^7</f>
        <v>-0.14871961960544164</v>
      </c>
      <c r="O14">
        <f>regressions!T$2+regressions!T$1*EXP(A14)</f>
        <v>4.6374593329430031E-3</v>
      </c>
      <c r="P14" s="20">
        <f>(1-EXP(-2*regressions!X$1*graph!A14))/2/EXP(-regressions!X$1*A14)</f>
        <v>0.37455872248675592</v>
      </c>
      <c r="AT14" s="33"/>
      <c r="AW14" s="33"/>
      <c r="AZ14" s="33"/>
    </row>
    <row r="15" spans="1:52" x14ac:dyDescent="0.35">
      <c r="A15">
        <f t="shared" si="3"/>
        <v>-0.79999999999999927</v>
      </c>
      <c r="B15">
        <f t="shared" si="0"/>
        <v>0.25376927354063561</v>
      </c>
      <c r="C15">
        <f>regressions!$AR$1*$A15</f>
        <v>-0.84266625698752795</v>
      </c>
      <c r="D15">
        <f>regressions!$AO$1*$A15</f>
        <v>-1.14479368344685</v>
      </c>
      <c r="E15">
        <f t="shared" si="1"/>
        <v>-1.4315632404344203</v>
      </c>
      <c r="F15">
        <f t="shared" si="2"/>
        <v>2.5433566404343355</v>
      </c>
      <c r="G15" s="5">
        <f>B15-regressions!AA$7</f>
        <v>-3.4675193169243195</v>
      </c>
      <c r="H15" s="5">
        <f>B15+regressions!AA$7</f>
        <v>3.9750578640055907</v>
      </c>
      <c r="I15">
        <f>IF($A15&lt;=regressions!$L$2,$A15*regressions!$L$1,regressions!$L$1*regressions!$L$2+regressions!$L$3*($A15-regressions!$L$2))</f>
        <v>0.63582386890557485</v>
      </c>
      <c r="J15">
        <f>regressions!J$1*A15+regressions!J$2*A15^2</f>
        <v>0.31035991433224663</v>
      </c>
      <c r="K15">
        <f>regressions!$V$1*A15</f>
        <v>0.63582387070058655</v>
      </c>
      <c r="L15">
        <f>regressions!$N$1*A15^2</f>
        <v>-0.11151671256225756</v>
      </c>
      <c r="M15">
        <f>regressions!$R$1*A15^2+regressions!$R$2*A15^6</f>
        <v>-0.12145894829542409</v>
      </c>
      <c r="N15">
        <f>regressions!$P$1*A15^2+regressions!$P$2*A15^7</f>
        <v>-0.11750669418674257</v>
      </c>
      <c r="O15">
        <f>regressions!T$2+regressions!T$1*EXP(A15)</f>
        <v>4.3033096919508698E-3</v>
      </c>
      <c r="P15" s="20">
        <f>(1-EXP(-2*regressions!X$1*graph!A15))/2/EXP(-regressions!X$1*A15)</f>
        <v>0.33139434208320201</v>
      </c>
      <c r="AT15" s="33"/>
      <c r="AW15" s="33"/>
      <c r="AZ15" s="33"/>
    </row>
    <row r="16" spans="1:52" x14ac:dyDescent="0.35">
      <c r="A16">
        <f t="shared" si="3"/>
        <v>-0.69999999999999929</v>
      </c>
      <c r="B16">
        <f t="shared" si="0"/>
        <v>0.22746286327675244</v>
      </c>
      <c r="C16">
        <f>regressions!$AR$1*$A16</f>
        <v>-0.73733297486408689</v>
      </c>
      <c r="D16">
        <f>regressions!$AO$1*$A16</f>
        <v>-1.0016944730159936</v>
      </c>
      <c r="E16">
        <f t="shared" si="1"/>
        <v>-1.2472030864514214</v>
      </c>
      <c r="F16">
        <f t="shared" si="2"/>
        <v>2.2308518093087395</v>
      </c>
      <c r="G16" s="5">
        <f>B16-regressions!AA$7</f>
        <v>-3.4938257271882027</v>
      </c>
      <c r="H16" s="5">
        <f>B16+regressions!AA$7</f>
        <v>3.9487514537417074</v>
      </c>
      <c r="I16">
        <f>IF($A16&lt;=regressions!$L$2,$A16*regressions!$L$1,regressions!$L$1*regressions!$L$2+regressions!$L$3*($A16-regressions!$L$2))</f>
        <v>0.55634588529237794</v>
      </c>
      <c r="J16">
        <f>regressions!J$1*A16+regressions!J$2*A16^2</f>
        <v>0.27728625783480565</v>
      </c>
      <c r="K16">
        <f>regressions!$V$1*A16</f>
        <v>0.55634588686301312</v>
      </c>
      <c r="L16">
        <f>regressions!$N$1*A16^2</f>
        <v>-8.5379983055478434E-2</v>
      </c>
      <c r="M16">
        <f>regressions!$R$1*A16^2+regressions!$R$2*A16^6</f>
        <v>-9.2992921471454118E-2</v>
      </c>
      <c r="N16">
        <f>regressions!$P$1*A16^2+regressions!$P$2*A16^7</f>
        <v>-8.9965985667016052E-2</v>
      </c>
      <c r="O16">
        <f>regressions!T$2+regressions!T$1*EXP(A16)</f>
        <v>3.9340172264409456E-3</v>
      </c>
      <c r="P16" s="20">
        <f>(1-EXP(-2*regressions!X$1*graph!A16))/2/EXP(-regressions!X$1*A16)</f>
        <v>0.28877902303396957</v>
      </c>
      <c r="AT16" s="33"/>
      <c r="AW16" s="33"/>
      <c r="AZ16" s="33"/>
    </row>
    <row r="17" spans="1:52" x14ac:dyDescent="0.35">
      <c r="A17">
        <f t="shared" si="3"/>
        <v>-0.59999999999999931</v>
      </c>
      <c r="B17">
        <f t="shared" si="0"/>
        <v>0.19963341994823786</v>
      </c>
      <c r="C17">
        <f>regressions!$AR$1*$A17</f>
        <v>-0.63199969274064582</v>
      </c>
      <c r="D17">
        <f>regressions!$AO$1*$A17</f>
        <v>-0.8585952625851373</v>
      </c>
      <c r="E17">
        <f t="shared" si="1"/>
        <v>-1.0643659655330537</v>
      </c>
      <c r="F17">
        <f t="shared" si="2"/>
        <v>1.9168239451185125</v>
      </c>
      <c r="G17" s="5">
        <f>B17-regressions!AA$7</f>
        <v>-3.5216551705167172</v>
      </c>
      <c r="H17" s="5">
        <f>B17+regressions!AA$7</f>
        <v>3.920922010413193</v>
      </c>
      <c r="I17">
        <f>IF($A17&lt;=regressions!$L$2,$A17*regressions!$L$1,regressions!$L$1*regressions!$L$2+regressions!$L$3*($A17-regressions!$L$2))</f>
        <v>0.47686790167918108</v>
      </c>
      <c r="J17">
        <f>regressions!J$1*A17+regressions!J$2*A17^2</f>
        <v>0.24257793482476758</v>
      </c>
      <c r="K17">
        <f>regressions!$V$1*A17</f>
        <v>0.47686790302543974</v>
      </c>
      <c r="L17">
        <f>regressions!$N$1*A17^2</f>
        <v>-6.2728150816269854E-2</v>
      </c>
      <c r="M17">
        <f>regressions!$R$1*A17^2+regressions!$R$2*A17^6</f>
        <v>-6.832176791738874E-2</v>
      </c>
      <c r="N17">
        <f>regressions!$P$1*A17^2+regressions!$P$2*A17^7</f>
        <v>-6.6097426819363661E-2</v>
      </c>
      <c r="O17">
        <f>regressions!T$2+regressions!T$1*EXP(A17)</f>
        <v>3.5258859332949217E-3</v>
      </c>
      <c r="P17" s="20">
        <f>(1-EXP(-2*regressions!X$1*graph!A17))/2/EXP(-regressions!X$1*A17)</f>
        <v>0.24664215935150616</v>
      </c>
      <c r="AT17" s="33"/>
      <c r="AW17" s="33"/>
      <c r="AZ17" s="33"/>
    </row>
    <row r="18" spans="1:52" x14ac:dyDescent="0.35">
      <c r="A18">
        <f t="shared" si="3"/>
        <v>-0.49999999999999933</v>
      </c>
      <c r="B18">
        <f t="shared" si="0"/>
        <v>0.1702687834392369</v>
      </c>
      <c r="C18">
        <f>regressions!$AR$1*$A18</f>
        <v>-0.52666641061720476</v>
      </c>
      <c r="D18">
        <f>regressions!$AO$1*$A18</f>
        <v>-0.71549605215428091</v>
      </c>
      <c r="E18">
        <f t="shared" si="1"/>
        <v>-0.88306403779517262</v>
      </c>
      <c r="F18">
        <f t="shared" si="2"/>
        <v>1.6012608877477987</v>
      </c>
      <c r="G18" s="5">
        <f>B18-regressions!AA$7</f>
        <v>-3.5510198070257184</v>
      </c>
      <c r="H18" s="5">
        <f>B18+regressions!AA$7</f>
        <v>3.8915573739041918</v>
      </c>
      <c r="I18">
        <f>IF($A18&lt;=regressions!$L$2,$A18*regressions!$L$1,regressions!$L$1*regressions!$L$2+regressions!$L$3*($A18-regressions!$L$2))</f>
        <v>0.39738991806598412</v>
      </c>
      <c r="J18">
        <f>regressions!J$1*A18+regressions!J$2*A18^2</f>
        <v>0.20623494530213235</v>
      </c>
      <c r="K18">
        <f>regressions!$V$1*A18</f>
        <v>0.39738991918786637</v>
      </c>
      <c r="L18">
        <f>regressions!$N$1*A18^2</f>
        <v>-4.3561215844631823E-2</v>
      </c>
      <c r="M18">
        <f>regressions!$R$1*A18^2+regressions!$R$2*A18^6</f>
        <v>-4.7445856806548156E-2</v>
      </c>
      <c r="N18">
        <f>regressions!$P$1*A18^2+regressions!$P$2*A18^7</f>
        <v>-4.590097938864654E-2</v>
      </c>
      <c r="O18">
        <f>regressions!T$2+regressions!T$1*EXP(A18)</f>
        <v>3.0748310973533304E-3</v>
      </c>
      <c r="P18" s="20">
        <f>(1-EXP(-2*regressions!X$1*graph!A18))/2/EXP(-regressions!X$1*A18)</f>
        <v>0.20491393776351841</v>
      </c>
      <c r="AT18" s="33"/>
      <c r="AW18" s="33"/>
      <c r="AZ18" s="33"/>
    </row>
    <row r="19" spans="1:52" x14ac:dyDescent="0.35">
      <c r="A19">
        <f t="shared" si="3"/>
        <v>-0.39999999999999936</v>
      </c>
      <c r="B19">
        <f t="shared" si="0"/>
        <v>0.13935692551500328</v>
      </c>
      <c r="C19">
        <f>regressions!$AR$1*$A19</f>
        <v>-0.42133312849376364</v>
      </c>
      <c r="D19">
        <f>regressions!$AO$1*$A19</f>
        <v>-0.57239684172342464</v>
      </c>
      <c r="E19">
        <f t="shared" si="1"/>
        <v>-0.70330933147252406</v>
      </c>
      <c r="F19">
        <f t="shared" si="2"/>
        <v>1.2841506089618526</v>
      </c>
      <c r="G19" s="5">
        <f>B19-regressions!AA$7</f>
        <v>-3.581931664949952</v>
      </c>
      <c r="H19" s="5">
        <f>B19+regressions!AA$7</f>
        <v>3.8606455159799582</v>
      </c>
      <c r="I19">
        <f>IF($A19&lt;=regressions!$L$2,$A19*regressions!$L$1,regressions!$L$1*regressions!$L$2+regressions!$L$3*($A19-regressions!$L$2))</f>
        <v>0.3179119344527872</v>
      </c>
      <c r="J19">
        <f>regressions!J$1*A19+regressions!J$2*A19^2</f>
        <v>0.16825728926690006</v>
      </c>
      <c r="K19">
        <f>regressions!$V$1*A19</f>
        <v>0.31791193535029305</v>
      </c>
      <c r="L19">
        <f>regressions!$N$1*A19^2</f>
        <v>-2.7879178140564349E-2</v>
      </c>
      <c r="M19">
        <f>regressions!$R$1*A19^2+regressions!$R$2*A19^6</f>
        <v>-3.0365413341261832E-2</v>
      </c>
      <c r="N19">
        <f>regressions!$P$1*A19^2+regressions!$P$2*A19^7</f>
        <v>-2.9376623496098854E-2</v>
      </c>
      <c r="O19">
        <f>regressions!T$2+regressions!T$1*EXP(A19)</f>
        <v>2.5763384102133009E-3</v>
      </c>
      <c r="P19" s="20">
        <f>(1-EXP(-2*regressions!X$1*graph!A19))/2/EXP(-regressions!X$1*A19)</f>
        <v>0.16352522204482375</v>
      </c>
      <c r="AT19" s="33"/>
      <c r="AW19" s="33"/>
      <c r="AZ19" s="33"/>
    </row>
    <row r="20" spans="1:52" x14ac:dyDescent="0.35">
      <c r="A20">
        <f t="shared" si="3"/>
        <v>-0.29999999999999938</v>
      </c>
      <c r="B20">
        <f t="shared" si="0"/>
        <v>0.10688592565355659</v>
      </c>
      <c r="C20">
        <f>regressions!$AR$1*$A20</f>
        <v>-0.31599984637032258</v>
      </c>
      <c r="D20">
        <f>regressions!$AO$1*$A20</f>
        <v>-0.42929763129256826</v>
      </c>
      <c r="E20">
        <f t="shared" ref="E20:E49" si="5">B20+2*C20</f>
        <v>-0.52511376708708857</v>
      </c>
      <c r="F20">
        <f t="shared" ref="F20:F49" si="6">B20-2*D20</f>
        <v>0.96548118823869311</v>
      </c>
      <c r="G20" s="5">
        <f>B20-regressions!AA$7</f>
        <v>-3.6144026648113985</v>
      </c>
      <c r="H20" s="5">
        <f>B20+regressions!AA$7</f>
        <v>3.8281745161185117</v>
      </c>
      <c r="I20">
        <f>IF($A20&lt;=regressions!$L$2,$A20*regressions!$L$1,regressions!$L$1*regressions!$L$2+regressions!$L$3*($A20-regressions!$L$2))</f>
        <v>0.23843395083959032</v>
      </c>
      <c r="J20">
        <f>regressions!J$1*A20+regressions!J$2*A20^2</f>
        <v>0.12864496671907064</v>
      </c>
      <c r="K20">
        <f>regressions!$V$1*A20</f>
        <v>0.23843395151271965</v>
      </c>
      <c r="L20">
        <f>regressions!$N$1*A20^2</f>
        <v>-1.5682037704067432E-2</v>
      </c>
      <c r="M20">
        <f>regressions!$R$1*A20^2+regressions!$R$2*A20^6</f>
        <v>-1.7080562340416213E-2</v>
      </c>
      <c r="N20">
        <f>regressions!$P$1*A20^2+regressions!$P$2*A20^7</f>
        <v>-1.6524350023894036E-2</v>
      </c>
      <c r="O20">
        <f>regressions!T$2+regressions!T$1*EXP(A20)</f>
        <v>2.0254187895127583E-3</v>
      </c>
      <c r="P20" s="20">
        <f>(1-EXP(-2*regressions!X$1*graph!A20))/2/EXP(-regressions!X$1*A20)</f>
        <v>0.12240743847094851</v>
      </c>
      <c r="AT20" s="33"/>
      <c r="AW20" s="33"/>
      <c r="AZ20" s="33"/>
    </row>
    <row r="21" spans="1:52" x14ac:dyDescent="0.35">
      <c r="A21">
        <f t="shared" si="3"/>
        <v>-0.19999999999999937</v>
      </c>
      <c r="B21">
        <f t="shared" si="0"/>
        <v>7.284394767810809E-2</v>
      </c>
      <c r="C21">
        <f>regressions!$AR$1*$A21</f>
        <v>-0.21066656424688152</v>
      </c>
      <c r="D21">
        <f>regressions!$AO$1*$A21</f>
        <v>-0.28619842086171188</v>
      </c>
      <c r="E21">
        <f t="shared" si="5"/>
        <v>-0.34848918081565494</v>
      </c>
      <c r="F21">
        <f t="shared" si="6"/>
        <v>0.64524078940153184</v>
      </c>
      <c r="G21" s="5">
        <f>B21-regressions!AA$7</f>
        <v>-3.6484446427868469</v>
      </c>
      <c r="H21" s="5">
        <f>B21+regressions!AA$7</f>
        <v>3.7941325381430633</v>
      </c>
      <c r="I21">
        <f>IF($A21&lt;=regressions!$L$2,$A21*regressions!$L$1,regressions!$L$1*regressions!$L$2+regressions!$L$3*($A21-regressions!$L$2))</f>
        <v>0.15895596722639338</v>
      </c>
      <c r="J21">
        <f>regressions!J$1*A21+regressions!J$2*A21^2</f>
        <v>8.7397977658644113E-2</v>
      </c>
      <c r="K21">
        <f>regressions!$V$1*A21</f>
        <v>0.15895596767514628</v>
      </c>
      <c r="L21">
        <f>regressions!$N$1*A21^2</f>
        <v>-6.9697945351410674E-3</v>
      </c>
      <c r="M21">
        <f>regressions!$R$1*A21^2+regressions!$R$2*A21^6</f>
        <v>-7.5913639019936519E-3</v>
      </c>
      <c r="N21">
        <f>regressions!$P$1*A21^2+regressions!$P$2*A21^7</f>
        <v>-7.3441554830044825E-3</v>
      </c>
      <c r="O21">
        <f>regressions!T$2+regressions!T$1*EXP(A21)</f>
        <v>1.4165584465172512E-3</v>
      </c>
      <c r="P21" s="20">
        <f>(1-EXP(-2*regressions!X$1*graph!A21))/2/EXP(-regressions!X$1*A21)</f>
        <v>8.1492462203689817E-2</v>
      </c>
      <c r="AT21" s="33"/>
      <c r="AW21" s="33"/>
      <c r="AZ21" s="33"/>
    </row>
    <row r="22" spans="1:52" x14ac:dyDescent="0.35">
      <c r="A22">
        <f t="shared" si="3"/>
        <v>-9.9999999999999367E-2</v>
      </c>
      <c r="B22">
        <f t="shared" si="0"/>
        <v>3.7219217214741619E-2</v>
      </c>
      <c r="C22">
        <f>regressions!$AR$1*$A22</f>
        <v>-0.10533328212344042</v>
      </c>
      <c r="D22">
        <f>regressions!$AO$1*$A22</f>
        <v>-0.14309921043085547</v>
      </c>
      <c r="E22">
        <f t="shared" si="5"/>
        <v>-0.17344734703213924</v>
      </c>
      <c r="F22">
        <f t="shared" si="6"/>
        <v>0.32341763807645257</v>
      </c>
      <c r="G22" s="5">
        <f>B22-regressions!AA$7</f>
        <v>-3.6840693732502134</v>
      </c>
      <c r="H22" s="5">
        <f>B22+regressions!AA$7</f>
        <v>3.7585078076796967</v>
      </c>
      <c r="I22">
        <f>IF($A22&lt;=regressions!$L$2,$A22*regressions!$L$1,regressions!$L$1*regressions!$L$2+regressions!$L$3*($A22-regressions!$L$2))</f>
        <v>7.9477983613196426E-2</v>
      </c>
      <c r="J22">
        <f>regressions!J$1*A22+regressions!J$2*A22^2</f>
        <v>4.4516322085620466E-2</v>
      </c>
      <c r="K22">
        <f>regressions!$V$1*A22</f>
        <v>7.9477983837572888E-2</v>
      </c>
      <c r="L22">
        <f>regressions!$N$1*A22^2</f>
        <v>-1.7424486337852556E-3</v>
      </c>
      <c r="M22">
        <f>regressions!$R$1*A22^2+regressions!$R$2*A22^6</f>
        <v>-1.8978411406027481E-3</v>
      </c>
      <c r="N22">
        <f>regressions!$P$1*A22^2+regressions!$P$2*A22^7</f>
        <v>-1.8360388676962633E-3</v>
      </c>
      <c r="O22">
        <f>regressions!T$2+regressions!T$1*EXP(A22)</f>
        <v>7.4366370226905312E-4</v>
      </c>
      <c r="P22" s="20">
        <f>(1-EXP(-2*regressions!X$1*graph!A22))/2/EXP(-regressions!X$1*A22)</f>
        <v>4.07125044204018E-2</v>
      </c>
      <c r="AT22" s="33"/>
      <c r="AW22" s="33"/>
      <c r="AZ22" s="33"/>
    </row>
    <row r="23" spans="1:52" x14ac:dyDescent="0.35">
      <c r="A23">
        <v>0</v>
      </c>
      <c r="B23">
        <f t="shared" si="0"/>
        <v>0</v>
      </c>
      <c r="C23">
        <f>regressions!$AR$1*$A23</f>
        <v>0</v>
      </c>
      <c r="D23">
        <f>regressions!$AO$1*$A23</f>
        <v>0</v>
      </c>
      <c r="E23">
        <f t="shared" si="5"/>
        <v>0</v>
      </c>
      <c r="F23">
        <f t="shared" si="6"/>
        <v>0</v>
      </c>
      <c r="G23" s="5">
        <f>B23-regressions!AA$7</f>
        <v>-3.7212885904649551</v>
      </c>
      <c r="H23" s="5">
        <f>B23+regressions!AA$7</f>
        <v>3.7212885904649551</v>
      </c>
      <c r="I23">
        <f>IF($A23&lt;=regressions!$L$2,$A23*regressions!$L$1,regressions!$L$1*regressions!$L$2+regressions!$L$3*($A23-regressions!$L$2))</f>
        <v>0</v>
      </c>
      <c r="J23">
        <f>regressions!J$1*A23+regressions!J$2*A23^2</f>
        <v>0</v>
      </c>
      <c r="K23">
        <f>regressions!$V$1*A23</f>
        <v>0</v>
      </c>
      <c r="L23">
        <f>regressions!$N$1*A23^2</f>
        <v>0</v>
      </c>
      <c r="M23">
        <f>regressions!$R$1*A23^2+regressions!$R$2*A23^6</f>
        <v>0</v>
      </c>
      <c r="N23">
        <f>regressions!$P$1*A23^2+regressions!$P$2*A23^7</f>
        <v>0</v>
      </c>
      <c r="O23">
        <f>regressions!T$2+regressions!T$1*EXP(A23)</f>
        <v>0</v>
      </c>
      <c r="P23" s="20">
        <f>(1-EXP(-2*regressions!X$1*graph!A23))/2/EXP(-regressions!X$1*A23)</f>
        <v>0</v>
      </c>
      <c r="AT23" s="33"/>
      <c r="AW23" s="33"/>
      <c r="AZ23" s="33"/>
    </row>
    <row r="24" spans="1:52" x14ac:dyDescent="0.35">
      <c r="A24">
        <f t="shared" si="3"/>
        <v>0.1</v>
      </c>
      <c r="B24">
        <f t="shared" si="0"/>
        <v>-3.8825418936873829E-2</v>
      </c>
      <c r="C24">
        <f>regressions!$AR$1*$A24</f>
        <v>0.10533328212344109</v>
      </c>
      <c r="D24">
        <f>regressions!$AO$1*$A24</f>
        <v>0.14309921043085638</v>
      </c>
      <c r="E24">
        <f t="shared" si="5"/>
        <v>0.17184114531000835</v>
      </c>
      <c r="F24">
        <f t="shared" si="6"/>
        <v>-0.32502383979858662</v>
      </c>
      <c r="G24" s="5">
        <f>B24-regressions!AA$7</f>
        <v>-3.7601140094018288</v>
      </c>
      <c r="H24" s="5">
        <f>B24+regressions!AA$7</f>
        <v>3.6824631715280813</v>
      </c>
      <c r="I24">
        <f>IF($A24&lt;=regressions!$L$2,$A24*regressions!$L$1,regressions!$L$1*regressions!$L$2+regressions!$L$3*($A24-regressions!$L$2))</f>
        <v>-7.947798361319694E-2</v>
      </c>
      <c r="J24">
        <f>regressions!J$1*A24+regressions!J$2*A24^2</f>
        <v>-4.6150988598217854E-2</v>
      </c>
      <c r="K24">
        <f>regressions!$V$1*A24</f>
        <v>-7.9477983837573388E-2</v>
      </c>
      <c r="L24">
        <f>regressions!$N$1*A24^2</f>
        <v>-1.7424486337852779E-3</v>
      </c>
      <c r="M24">
        <f>regressions!$R$1*A24^2+regressions!$R$2*A24^6</f>
        <v>-1.8978411406027724E-3</v>
      </c>
      <c r="N24">
        <f>regressions!$P$1*A24^2+regressions!$P$2*A24^7</f>
        <v>-1.8360388674992002E-3</v>
      </c>
      <c r="O24">
        <f>regressions!T$2+regressions!T$1*EXP(A24)</f>
        <v>-8.2187549657623121E-4</v>
      </c>
      <c r="P24" s="20">
        <f>(1-EXP(-2*regressions!X$1*graph!A24))/2/EXP(-regressions!X$1*A24)</f>
        <v>-4.0712504420402085E-2</v>
      </c>
      <c r="AT24" s="33"/>
      <c r="AW24" s="33"/>
      <c r="AZ24" s="33"/>
    </row>
    <row r="25" spans="1:52" x14ac:dyDescent="0.35">
      <c r="A25">
        <f t="shared" si="3"/>
        <v>0.2</v>
      </c>
      <c r="B25">
        <f t="shared" si="0"/>
        <v>-7.9268755192243523E-2</v>
      </c>
      <c r="C25">
        <f>regressions!$AR$1*$A25</f>
        <v>0.21066656424688218</v>
      </c>
      <c r="D25">
        <f>regressions!$AO$1*$A25</f>
        <v>0.28619842086171277</v>
      </c>
      <c r="E25">
        <f t="shared" si="5"/>
        <v>0.34206437330152084</v>
      </c>
      <c r="F25">
        <f t="shared" si="6"/>
        <v>-0.65166559691566905</v>
      </c>
      <c r="G25" s="5">
        <f>B25-regressions!AA$7</f>
        <v>-3.8005573456571984</v>
      </c>
      <c r="H25" s="5">
        <f>B25+regressions!AA$7</f>
        <v>3.6420198352727118</v>
      </c>
      <c r="I25">
        <f>IF($A25&lt;=regressions!$L$2,$A25*regressions!$L$1,regressions!$L$1*regressions!$L$2+regressions!$L$3*($A25-regressions!$L$2))</f>
        <v>-0.15895596722639388</v>
      </c>
      <c r="J25">
        <f>regressions!J$1*A25+regressions!J$2*A25^2</f>
        <v>-9.3936643709032819E-2</v>
      </c>
      <c r="K25">
        <f>regressions!$V$1*A25</f>
        <v>-0.15895596767514678</v>
      </c>
      <c r="L25">
        <f>regressions!$N$1*A25^2</f>
        <v>-6.9697945351411116E-3</v>
      </c>
      <c r="M25">
        <f>regressions!$R$1*A25^2+regressions!$R$2*A25^6</f>
        <v>-7.5913639019937005E-3</v>
      </c>
      <c r="N25">
        <f>regressions!$P$1*A25^2+regressions!$P$2*A25^7</f>
        <v>-7.3441554577774191E-3</v>
      </c>
      <c r="O25">
        <f>regressions!T$2+regressions!T$1*EXP(A25)</f>
        <v>-1.7301883936712611E-3</v>
      </c>
      <c r="P25" s="20">
        <f>(1-EXP(-2*regressions!X$1*graph!A25))/2/EXP(-regressions!X$1*A25)</f>
        <v>-8.1492462203690066E-2</v>
      </c>
      <c r="AT25" s="33"/>
      <c r="AW25" s="33"/>
      <c r="AZ25" s="33"/>
    </row>
    <row r="26" spans="1:52" x14ac:dyDescent="0.35">
      <c r="A26">
        <f t="shared" si="3"/>
        <v>0.30000000000000004</v>
      </c>
      <c r="B26">
        <f t="shared" si="0"/>
        <v>-0.1213417439821623</v>
      </c>
      <c r="C26">
        <f>regressions!$AR$1*$A26</f>
        <v>0.3159998463703233</v>
      </c>
      <c r="D26">
        <f>regressions!$AO$1*$A26</f>
        <v>0.4292976312925692</v>
      </c>
      <c r="E26">
        <f t="shared" si="5"/>
        <v>0.51065794875848436</v>
      </c>
      <c r="F26">
        <f t="shared" si="6"/>
        <v>-0.97993700656730076</v>
      </c>
      <c r="G26" s="5">
        <f>B26-regressions!AA$7</f>
        <v>-3.8426303344471173</v>
      </c>
      <c r="H26" s="5">
        <f>B26+regressions!AA$7</f>
        <v>3.5999468464827928</v>
      </c>
      <c r="I26">
        <f>IF($A26&lt;=regressions!$L$2,$A26*regressions!$L$1,regressions!$L$1*regressions!$L$2+regressions!$L$3*($A26-regressions!$L$2))</f>
        <v>-0.23843395083959085</v>
      </c>
      <c r="J26">
        <f>regressions!J$1*A26+regressions!J$2*A26^2</f>
        <v>-0.14335696533244488</v>
      </c>
      <c r="K26">
        <f>regressions!$V$1*A26</f>
        <v>-0.23843395151272018</v>
      </c>
      <c r="L26">
        <f>regressions!$N$1*A26^2</f>
        <v>-1.5682037704067502E-2</v>
      </c>
      <c r="M26">
        <f>regressions!$R$1*A26^2+regressions!$R$2*A26^6</f>
        <v>-1.7080562340416289E-2</v>
      </c>
      <c r="N26">
        <f>regressions!$P$1*A26^2+regressions!$P$2*A26^7</f>
        <v>-1.6524349592865278E-2</v>
      </c>
      <c r="O26">
        <f>regressions!T$2+regressions!T$1*EXP(A26)</f>
        <v>-2.7340293920537287E-3</v>
      </c>
      <c r="P26" s="20">
        <f>(1-EXP(-2*regressions!X$1*graph!A26))/2/EXP(-regressions!X$1*A26)</f>
        <v>-0.12240743847094879</v>
      </c>
      <c r="AT26" s="33"/>
      <c r="AW26" s="33"/>
      <c r="AZ26" s="33"/>
    </row>
    <row r="27" spans="1:52" x14ac:dyDescent="0.35">
      <c r="A27">
        <f t="shared" si="3"/>
        <v>0.4</v>
      </c>
      <c r="B27">
        <f t="shared" si="0"/>
        <v>-0.16505615818753064</v>
      </c>
      <c r="C27">
        <f>regressions!$AR$1*$A27</f>
        <v>0.42133312849376436</v>
      </c>
      <c r="D27">
        <f>regressions!$AO$1*$A27</f>
        <v>0.57239684172342553</v>
      </c>
      <c r="E27">
        <f t="shared" si="5"/>
        <v>0.67761009879999812</v>
      </c>
      <c r="F27">
        <f t="shared" si="6"/>
        <v>-1.3098498416343818</v>
      </c>
      <c r="G27" s="5">
        <f>B27-regressions!AA$7</f>
        <v>-3.8863447486524856</v>
      </c>
      <c r="H27" s="5">
        <f>B27+regressions!AA$7</f>
        <v>3.5562324322774246</v>
      </c>
      <c r="I27">
        <f>IF($A27&lt;=regressions!$L$2,$A27*regressions!$L$1,regressions!$L$1*regressions!$L$2+regressions!$L$3*($A27-regressions!$L$2))</f>
        <v>-0.31791193445278776</v>
      </c>
      <c r="J27">
        <f>regressions!J$1*A27+regressions!J$2*A27^2</f>
        <v>-0.19441195346845408</v>
      </c>
      <c r="K27">
        <f>regressions!$V$1*A27</f>
        <v>-0.31791193535029355</v>
      </c>
      <c r="L27">
        <f>regressions!$N$1*A27^2</f>
        <v>-2.7879178140564446E-2</v>
      </c>
      <c r="M27">
        <f>regressions!$R$1*A27^2+regressions!$R$2*A27^6</f>
        <v>-3.0365413341261936E-2</v>
      </c>
      <c r="N27">
        <f>regressions!$P$1*A27^2+regressions!$P$2*A27^7</f>
        <v>-2.9376620267028839E-2</v>
      </c>
      <c r="O27">
        <f>regressions!T$2+regressions!T$1*EXP(A27)</f>
        <v>-3.8434452698380538E-3</v>
      </c>
      <c r="P27" s="20">
        <f>(1-EXP(-2*regressions!X$1*graph!A27))/2/EXP(-regressions!X$1*A27)</f>
        <v>-0.163525222044824</v>
      </c>
      <c r="AT27" s="33"/>
      <c r="AW27" s="33"/>
      <c r="AZ27" s="33"/>
    </row>
    <row r="28" spans="1:52" x14ac:dyDescent="0.35">
      <c r="A28">
        <f t="shared" si="3"/>
        <v>0.5</v>
      </c>
      <c r="B28">
        <f t="shared" si="0"/>
        <v>-0.21042382542577223</v>
      </c>
      <c r="C28">
        <f>regressions!$AR$1*$A28</f>
        <v>0.52666641061720543</v>
      </c>
      <c r="D28">
        <f>regressions!$AO$1*$A28</f>
        <v>0.71549605215428191</v>
      </c>
      <c r="E28">
        <f t="shared" si="5"/>
        <v>0.84290899580863865</v>
      </c>
      <c r="F28">
        <f t="shared" si="6"/>
        <v>-1.641415929734336</v>
      </c>
      <c r="G28" s="5">
        <f>B28-regressions!AA$7</f>
        <v>-3.9317124158907273</v>
      </c>
      <c r="H28" s="5">
        <f>B28+regressions!AA$7</f>
        <v>3.5108647650391829</v>
      </c>
      <c r="I28">
        <f>IF($A28&lt;=regressions!$L$2,$A28*regressions!$L$1,regressions!$L$1*regressions!$L$2+regressions!$L$3*($A28-regressions!$L$2))</f>
        <v>-0.39738991806598467</v>
      </c>
      <c r="J28">
        <f>regressions!J$1*A28+regressions!J$2*A28^2</f>
        <v>-0.24710160811706033</v>
      </c>
      <c r="K28">
        <f>regressions!$V$1*A28</f>
        <v>-0.39738991918786692</v>
      </c>
      <c r="L28">
        <f>regressions!$N$1*A28^2</f>
        <v>-4.3561215844631941E-2</v>
      </c>
      <c r="M28">
        <f>regressions!$R$1*A28^2+regressions!$R$2*A28^6</f>
        <v>-4.7445856806548281E-2</v>
      </c>
      <c r="N28">
        <f>regressions!$P$1*A28^2+regressions!$P$2*A28^7</f>
        <v>-4.5900963991240495E-2</v>
      </c>
      <c r="O28">
        <f>regressions!T$2+regressions!T$1*EXP(A28)</f>
        <v>-5.0695394340166573E-3</v>
      </c>
      <c r="P28" s="20">
        <f>(1-EXP(-2*regressions!X$1*graph!A28))/2/EXP(-regressions!X$1*A28)</f>
        <v>-0.20491393776351874</v>
      </c>
      <c r="AT28" s="33"/>
      <c r="AW28" s="33"/>
      <c r="AZ28" s="33"/>
    </row>
    <row r="29" spans="1:52" x14ac:dyDescent="0.35">
      <c r="A29">
        <f t="shared" si="3"/>
        <v>0.6</v>
      </c>
      <c r="B29">
        <f t="shared" si="0"/>
        <v>-0.25745664412467062</v>
      </c>
      <c r="C29">
        <f>regressions!$AR$1*$A29</f>
        <v>0.63199969274064649</v>
      </c>
      <c r="D29">
        <f>regressions!$AO$1*$A29</f>
        <v>0.8585952625851383</v>
      </c>
      <c r="E29">
        <f t="shared" si="5"/>
        <v>1.0065427413566224</v>
      </c>
      <c r="F29">
        <f t="shared" si="6"/>
        <v>-1.9746471692949472</v>
      </c>
      <c r="G29" s="5">
        <f>B29-regressions!AA$7</f>
        <v>-3.9787452345896259</v>
      </c>
      <c r="H29" s="5">
        <f>B29+regressions!AA$7</f>
        <v>3.4638319463402842</v>
      </c>
      <c r="I29">
        <f>IF($A29&lt;=regressions!$L$2,$A29*regressions!$L$1,regressions!$L$1*regressions!$L$2+regressions!$L$3*($A29-regressions!$L$2))</f>
        <v>-0.47686790167918158</v>
      </c>
      <c r="J29">
        <f>regressions!J$1*A29+regressions!J$2*A29^2</f>
        <v>-0.30142592927826367</v>
      </c>
      <c r="K29">
        <f>regressions!$V$1*A29</f>
        <v>-0.4768679030254403</v>
      </c>
      <c r="L29">
        <f>regressions!$N$1*A29^2</f>
        <v>-6.2728150816269992E-2</v>
      </c>
      <c r="M29">
        <f>regressions!$R$1*A29^2+regressions!$R$2*A29^6</f>
        <v>-6.8321767917388893E-2</v>
      </c>
      <c r="N29">
        <f>regressions!$P$1*A29^2+regressions!$P$2*A29^7</f>
        <v>-6.6097371647673681E-2</v>
      </c>
      <c r="O29">
        <f>regressions!T$2+regressions!T$1*EXP(A29)</f>
        <v>-6.4245830470891184E-3</v>
      </c>
      <c r="P29" s="20">
        <f>(1-EXP(-2*regressions!X$1*graph!A29))/2/EXP(-regressions!X$1*A29)</f>
        <v>-0.24664215935150646</v>
      </c>
      <c r="Q29" s="1"/>
      <c r="AE29" s="53">
        <f>Table1!$E23</f>
        <v>-0.17962065483383896</v>
      </c>
      <c r="AN29">
        <f t="shared" si="4"/>
        <v>-0.17962065483383896</v>
      </c>
      <c r="AO29" s="1">
        <f>MIN(Q29:AM29)</f>
        <v>-0.17962065483383896</v>
      </c>
      <c r="AP29" s="1">
        <f>MAX(Q29:AM29)</f>
        <v>-0.17962065483383896</v>
      </c>
      <c r="AT29" s="33"/>
      <c r="AW29" s="33"/>
      <c r="AZ29" s="33"/>
    </row>
    <row r="30" spans="1:52" x14ac:dyDescent="0.35">
      <c r="A30">
        <f t="shared" si="3"/>
        <v>0.7</v>
      </c>
      <c r="B30">
        <f t="shared" si="0"/>
        <v>-0.30616659857427742</v>
      </c>
      <c r="C30">
        <f>regressions!$AR$1*$A30</f>
        <v>0.73733297486408755</v>
      </c>
      <c r="D30">
        <f>regressions!$AO$1*$A30</f>
        <v>1.0016944730159947</v>
      </c>
      <c r="E30">
        <f t="shared" si="5"/>
        <v>1.1684993511538977</v>
      </c>
      <c r="F30">
        <f t="shared" si="6"/>
        <v>-2.3095555446062668</v>
      </c>
      <c r="G30" s="5">
        <f>B30-regressions!AA$7</f>
        <v>-4.0274551890392321</v>
      </c>
      <c r="H30" s="5">
        <f>B30+regressions!AA$7</f>
        <v>3.4151219918906777</v>
      </c>
      <c r="I30">
        <f>IF($A30&lt;=regressions!$L$2,$A30*regressions!$L$1,regressions!$L$1*regressions!$L$2+regressions!$L$3*($A30-regressions!$L$2))</f>
        <v>-0.55634588529237849</v>
      </c>
      <c r="J30">
        <f>regressions!J$1*A30+regressions!J$2*A30^2</f>
        <v>-0.3573849169520642</v>
      </c>
      <c r="K30">
        <f>regressions!$V$1*A30</f>
        <v>-0.55634588686301367</v>
      </c>
      <c r="L30">
        <f>regressions!$N$1*A30^2</f>
        <v>-8.5379983055478587E-2</v>
      </c>
      <c r="M30">
        <f>regressions!$R$1*A30^2+regressions!$R$2*A30^6</f>
        <v>-9.2992921471454298E-2</v>
      </c>
      <c r="N30">
        <f>regressions!$P$1*A30^2+regressions!$P$2*A30^7</f>
        <v>-8.9965823357562591E-2</v>
      </c>
      <c r="O30">
        <f>regressions!T$2+regressions!T$1*EXP(A30)</f>
        <v>-7.9221378409809542E-3</v>
      </c>
      <c r="P30" s="20">
        <f>(1-EXP(-2*regressions!X$1*graph!A30))/2/EXP(-regressions!X$1*A30)</f>
        <v>-0.28877902303396979</v>
      </c>
      <c r="AE30" s="54"/>
      <c r="AT30" s="33"/>
      <c r="AW30" s="33"/>
      <c r="AZ30" s="33"/>
    </row>
    <row r="31" spans="1:52" x14ac:dyDescent="0.35">
      <c r="A31">
        <f t="shared" si="3"/>
        <v>0.79999999999999993</v>
      </c>
      <c r="B31">
        <f t="shared" si="0"/>
        <v>-0.35656577293313169</v>
      </c>
      <c r="C31">
        <f>regressions!$AR$1*$A31</f>
        <v>0.84266625698752862</v>
      </c>
      <c r="D31">
        <f>regressions!$AO$1*$A31</f>
        <v>1.1447936834468511</v>
      </c>
      <c r="E31">
        <f t="shared" si="5"/>
        <v>1.3287667410419255</v>
      </c>
      <c r="F31">
        <f t="shared" si="6"/>
        <v>-2.6461531398268336</v>
      </c>
      <c r="G31" s="5">
        <f>B31-regressions!AA$7</f>
        <v>-4.077854363398087</v>
      </c>
      <c r="H31" s="5">
        <f>B31+regressions!AA$7</f>
        <v>3.3647228175318236</v>
      </c>
      <c r="I31">
        <f>IF($A31&lt;=regressions!$L$2,$A31*regressions!$L$1,regressions!$L$1*regressions!$L$2+regressions!$L$3*($A31-regressions!$L$2))</f>
        <v>-0.63582386890557541</v>
      </c>
      <c r="J31">
        <f>regressions!J$1*A31+regressions!J$2*A31^2</f>
        <v>-0.41497857113846182</v>
      </c>
      <c r="K31">
        <f>regressions!$V$1*A31</f>
        <v>-0.63582387070058699</v>
      </c>
      <c r="L31">
        <f>regressions!$N$1*A31^2</f>
        <v>-0.11151671256225776</v>
      </c>
      <c r="M31">
        <f>regressions!$R$1*A31^2+regressions!$R$2*A31^6</f>
        <v>-0.12145894829542429</v>
      </c>
      <c r="N31">
        <f>regressions!$P$1*A31^2+regressions!$P$2*A31^7</f>
        <v>-0.11750628086576831</v>
      </c>
      <c r="O31">
        <f>regressions!T$2+regressions!T$1*EXP(A31)</f>
        <v>-9.5771918474149773E-3</v>
      </c>
      <c r="P31" s="20">
        <f>(1-EXP(-2*regressions!X$1*graph!A31))/2/EXP(-regressions!X$1*A31)</f>
        <v>-0.33139434208320234</v>
      </c>
      <c r="AE31" s="54"/>
      <c r="AT31" s="33"/>
      <c r="AW31" s="33"/>
      <c r="AZ31" s="33"/>
    </row>
    <row r="32" spans="1:52" x14ac:dyDescent="0.35">
      <c r="A32">
        <f t="shared" si="3"/>
        <v>0.89999999999999991</v>
      </c>
      <c r="B32">
        <f t="shared" si="0"/>
        <v>-0.40866636416542657</v>
      </c>
      <c r="C32">
        <f>regressions!$AR$1*$A32</f>
        <v>0.94799953911096968</v>
      </c>
      <c r="D32">
        <f>regressions!$AO$1*$A32</f>
        <v>1.2878928938777072</v>
      </c>
      <c r="E32">
        <f t="shared" si="5"/>
        <v>1.4873327140565129</v>
      </c>
      <c r="F32">
        <f t="shared" si="6"/>
        <v>-2.9844521519208409</v>
      </c>
      <c r="G32" s="5">
        <f>B32-regressions!AA$7</f>
        <v>-4.1299549546303815</v>
      </c>
      <c r="H32" s="5">
        <f>B32+regressions!AA$7</f>
        <v>3.3126222262995286</v>
      </c>
      <c r="I32">
        <f>IF($A32&lt;=regressions!$L$2,$A32*regressions!$L$1,regressions!$L$1*regressions!$L$2+regressions!$L$3*($A32-regressions!$L$2))</f>
        <v>-0.71530185251877232</v>
      </c>
      <c r="J32">
        <f>regressions!J$1*A32+regressions!J$2*A32^2</f>
        <v>-0.47420689183745646</v>
      </c>
      <c r="K32">
        <f>regressions!$V$1*A32</f>
        <v>-0.71530185453816042</v>
      </c>
      <c r="L32">
        <f>regressions!$N$1*A32^2</f>
        <v>-0.14113833933660747</v>
      </c>
      <c r="M32">
        <f>regressions!$R$1*A32^2+regressions!$R$2*A32^6</f>
        <v>-0.15371928373243168</v>
      </c>
      <c r="N32">
        <f>regressions!$P$1*A32^2+regressions!$P$2*A32^7</f>
        <v>-0.14871867694539245</v>
      </c>
      <c r="O32">
        <f>regressions!T$2+regressions!T$1*EXP(A32)</f>
        <v>-1.1406309403170448E-2</v>
      </c>
      <c r="P32" s="20">
        <f>(1-EXP(-2*regressions!X$1*graph!A32))/2/EXP(-regressions!X$1*A32)</f>
        <v>-0.3745587224867562</v>
      </c>
      <c r="AE32" s="54"/>
      <c r="AT32" s="33"/>
      <c r="AW32" s="33"/>
      <c r="AZ32" s="33"/>
    </row>
    <row r="33" spans="1:52" x14ac:dyDescent="0.35">
      <c r="A33">
        <f t="shared" si="3"/>
        <v>0.99999999999999989</v>
      </c>
      <c r="B33">
        <f t="shared" si="0"/>
        <v>-0.46248069388622692</v>
      </c>
      <c r="C33">
        <f>regressions!$AR$1*$A33</f>
        <v>1.0533328212344106</v>
      </c>
      <c r="D33">
        <f>regressions!$AO$1*$A33</f>
        <v>1.4309921043085636</v>
      </c>
      <c r="E33">
        <f t="shared" si="5"/>
        <v>1.6441849485825943</v>
      </c>
      <c r="F33">
        <f t="shared" si="6"/>
        <v>-3.3244649025033541</v>
      </c>
      <c r="G33" s="5">
        <f>B33-regressions!AA$7</f>
        <v>-4.1837692843511824</v>
      </c>
      <c r="H33" s="5">
        <f>B33+regressions!AA$7</f>
        <v>3.2588078965787282</v>
      </c>
      <c r="I33">
        <f>IF($A33&lt;=regressions!$L$2,$A33*regressions!$L$1,regressions!$L$1*regressions!$L$2+regressions!$L$3*($A33-regressions!$L$2))</f>
        <v>-0.79477983613196923</v>
      </c>
      <c r="J33">
        <f>regressions!J$1*A33+regressions!J$2*A33^2</f>
        <v>-0.53506987904904824</v>
      </c>
      <c r="K33">
        <f>regressions!$V$1*A33</f>
        <v>-0.79477983837573374</v>
      </c>
      <c r="L33">
        <f>regressions!$N$1*A33^2</f>
        <v>-0.17424486337852774</v>
      </c>
      <c r="M33">
        <f>regressions!$R$1*A33^2+regressions!$R$2*A33^6</f>
        <v>-0.18977310820449728</v>
      </c>
      <c r="N33">
        <f>regressions!$P$1*A33^2+regressions!$P$2*A33^7</f>
        <v>-0.18360290132577986</v>
      </c>
      <c r="O33">
        <f>regressions!T$2+regressions!T$1*EXP(A33)</f>
        <v>-1.3427796931533009E-2</v>
      </c>
      <c r="P33" s="20">
        <f>(1-EXP(-2*regressions!X$1*graph!A33))/2/EXP(-regressions!X$1*A33)</f>
        <v>-0.41834367992897831</v>
      </c>
      <c r="Q33" s="55">
        <f>Table1!$E21</f>
        <v>2.2999999999999998</v>
      </c>
      <c r="AB33" s="57">
        <f>Table1!$E35</f>
        <v>-0.4658664448796927</v>
      </c>
      <c r="AC33" s="5"/>
      <c r="AD33" s="5"/>
      <c r="AE33" s="53">
        <f>Table1!$E24</f>
        <v>-0.30947656699459297</v>
      </c>
      <c r="AF33" s="54">
        <f>Table1!$E54</f>
        <v>-2.2999999999999998</v>
      </c>
      <c r="AG33" s="58">
        <f>Table1!$E65</f>
        <v>-3.8</v>
      </c>
      <c r="AH33" s="58">
        <f>Table1!$E67</f>
        <v>-1.35</v>
      </c>
      <c r="AI33" s="58">
        <f>Table1!$E68</f>
        <v>-1.61</v>
      </c>
      <c r="AN33">
        <f t="shared" si="4"/>
        <v>-1.0764775731248981</v>
      </c>
      <c r="AO33" s="1">
        <f>MIN(Q33:AM33)</f>
        <v>-3.8</v>
      </c>
      <c r="AP33" s="1">
        <f>MAX(Q33:AM33)</f>
        <v>2.2999999999999998</v>
      </c>
      <c r="AT33" s="33"/>
      <c r="AW33" s="33"/>
      <c r="AZ33" s="33"/>
    </row>
    <row r="34" spans="1:52" x14ac:dyDescent="0.35">
      <c r="A34">
        <f t="shared" si="3"/>
        <v>1.0999999999999999</v>
      </c>
      <c r="B34">
        <f t="shared" si="0"/>
        <v>-0.51802121909237475</v>
      </c>
      <c r="C34">
        <f>regressions!$AR$1*$A34</f>
        <v>1.1586661033578518</v>
      </c>
      <c r="D34">
        <f>regressions!$AO$1*$A34</f>
        <v>1.57409131473942</v>
      </c>
      <c r="E34">
        <f t="shared" si="5"/>
        <v>1.7993109876233289</v>
      </c>
      <c r="F34">
        <f t="shared" si="6"/>
        <v>-3.6662038485712145</v>
      </c>
      <c r="G34" s="5">
        <f>B34-regressions!AA$7</f>
        <v>-4.2393098095573301</v>
      </c>
      <c r="H34" s="5">
        <f>B34+regressions!AA$7</f>
        <v>3.2032673713725801</v>
      </c>
      <c r="I34">
        <f>IF($A34&lt;=regressions!$L$2,$A34*regressions!$L$1,regressions!$L$1*regressions!$L$2+regressions!$L$3*($A34-regressions!$L$2))</f>
        <v>-0.87425781974516614</v>
      </c>
      <c r="J34">
        <f>regressions!J$1*A34+regressions!J$2*A34^2</f>
        <v>-0.59756753277323726</v>
      </c>
      <c r="K34">
        <f>regressions!$V$1*A34</f>
        <v>-0.87425782221330717</v>
      </c>
      <c r="L34">
        <f>regressions!$N$1*A34^2</f>
        <v>-0.21083628468801854</v>
      </c>
      <c r="M34">
        <f>regressions!$R$1*A34^2+regressions!$R$2*A34^6</f>
        <v>-0.22961927984995639</v>
      </c>
      <c r="N34">
        <f>regressions!$P$1*A34^2+regressions!$P$2*A34^7</f>
        <v>-0.222158782647251</v>
      </c>
      <c r="O34">
        <f>regressions!T$2+regressions!T$1*EXP(A34)</f>
        <v>-1.5661886159131926E-2</v>
      </c>
      <c r="P34" s="20">
        <f>(1-EXP(-2*regressions!X$1*graph!A34))/2/EXP(-regressions!X$1*A34)</f>
        <v>-0.46282175827975203</v>
      </c>
      <c r="AT34" s="33"/>
      <c r="AW34" s="33"/>
      <c r="AZ34" s="33"/>
    </row>
    <row r="35" spans="1:52" x14ac:dyDescent="0.35">
      <c r="A35">
        <f t="shared" si="3"/>
        <v>1.2</v>
      </c>
      <c r="B35">
        <f t="shared" si="0"/>
        <v>-0.57530054175732526</v>
      </c>
      <c r="C35">
        <f>regressions!$AR$1*$A35</f>
        <v>1.263999385481293</v>
      </c>
      <c r="D35">
        <f>regressions!$AO$1*$A35</f>
        <v>1.7171905251702766</v>
      </c>
      <c r="E35">
        <f t="shared" si="5"/>
        <v>1.9526982292052608</v>
      </c>
      <c r="F35">
        <f t="shared" si="6"/>
        <v>-4.0096815920978788</v>
      </c>
      <c r="G35" s="5">
        <f>B35-regressions!AA$7</f>
        <v>-4.2965891322222802</v>
      </c>
      <c r="H35" s="5">
        <f>B35+regressions!AA$7</f>
        <v>3.1459880487076299</v>
      </c>
      <c r="I35">
        <f>IF($A35&lt;=regressions!$L$2,$A35*regressions!$L$1,regressions!$L$1*regressions!$L$2+regressions!$L$3*($A35-regressions!$L$2))</f>
        <v>-0.95373580335836317</v>
      </c>
      <c r="J35">
        <f>regressions!J$1*A35+regressions!J$2*A35^2</f>
        <v>-0.66169985301002332</v>
      </c>
      <c r="K35">
        <f>regressions!$V$1*A35</f>
        <v>-0.9537358060508806</v>
      </c>
      <c r="L35">
        <f>regressions!$N$1*A35^2</f>
        <v>-0.25091260326507997</v>
      </c>
      <c r="M35">
        <f>regressions!$R$1*A35^2+regressions!$R$2*A35^6</f>
        <v>-0.27325625923587632</v>
      </c>
      <c r="N35">
        <f>regressions!$P$1*A35^2+regressions!$P$2*A35^7</f>
        <v>-0.26438606594590641</v>
      </c>
      <c r="O35">
        <f>regressions!T$2+regressions!T$1*EXP(A35)</f>
        <v>-1.8130936601860343E-2</v>
      </c>
      <c r="P35" s="20">
        <f>(1-EXP(-2*regressions!X$1*graph!A35))/2/EXP(-regressions!X$1*A35)</f>
        <v>-0.50806664978675842</v>
      </c>
      <c r="Q35" s="5"/>
      <c r="Y35" s="51">
        <f>Table1!$E44</f>
        <v>-2.2000000000000002</v>
      </c>
      <c r="Z35" s="51"/>
      <c r="AA35" s="51"/>
      <c r="AN35">
        <f t="shared" si="4"/>
        <v>-2.2000000000000002</v>
      </c>
      <c r="AO35" s="1">
        <f>MIN(Q35:AM35)</f>
        <v>-2.2000000000000002</v>
      </c>
      <c r="AP35" s="1">
        <f>MAX(Q35:AM35)</f>
        <v>-2.2000000000000002</v>
      </c>
      <c r="AT35" s="33"/>
      <c r="AW35" s="33"/>
      <c r="AZ35" s="33"/>
    </row>
    <row r="36" spans="1:52" x14ac:dyDescent="0.35">
      <c r="A36">
        <f t="shared" si="3"/>
        <v>1.3</v>
      </c>
      <c r="B36">
        <f t="shared" si="0"/>
        <v>-0.63433141726884523</v>
      </c>
      <c r="C36">
        <f>regressions!$AR$1*$A36</f>
        <v>1.3693326676047342</v>
      </c>
      <c r="D36">
        <f>regressions!$AO$1*$A36</f>
        <v>1.860289735601133</v>
      </c>
      <c r="E36">
        <f t="shared" si="5"/>
        <v>2.1043339179406231</v>
      </c>
      <c r="F36">
        <f t="shared" si="6"/>
        <v>-4.3549108884711112</v>
      </c>
      <c r="G36" s="5">
        <f>B36-regressions!AA$7</f>
        <v>-4.3556200077338003</v>
      </c>
      <c r="H36" s="5">
        <f>B36+regressions!AA$7</f>
        <v>3.0869571731961098</v>
      </c>
      <c r="I36">
        <f>IF($A36&lt;=regressions!$L$2,$A36*regressions!$L$1,regressions!$L$1*regressions!$L$2+regressions!$L$3*($A36-regressions!$L$2))</f>
        <v>-1.0332137869715601</v>
      </c>
      <c r="J36">
        <f>regressions!J$1*A36+regressions!J$2*A36^2</f>
        <v>-0.72746683975940651</v>
      </c>
      <c r="K36">
        <f>regressions!$V$1*A36</f>
        <v>-1.0332137898884541</v>
      </c>
      <c r="L36">
        <f>regressions!$N$1*A36^2</f>
        <v>-0.29447381910971193</v>
      </c>
      <c r="M36">
        <f>regressions!$R$1*A36^2+regressions!$R$2*A36^6</f>
        <v>-0.32068202614546559</v>
      </c>
      <c r="N36">
        <f>regressions!$P$1*A36^2+regressions!$P$2*A36^7</f>
        <v>-0.31028438517184342</v>
      </c>
      <c r="O36">
        <f>regressions!T$2+regressions!T$1*EXP(A36)</f>
        <v>-2.0859659346425592E-2</v>
      </c>
      <c r="P36" s="20">
        <f>(1-EXP(-2*regressions!X$1*graph!A36))/2/EXP(-regressions!X$1*A36)</f>
        <v>-0.55415331717039529</v>
      </c>
      <c r="AT36" s="33"/>
      <c r="AW36" s="33"/>
      <c r="AZ36" s="33"/>
    </row>
    <row r="37" spans="1:52" x14ac:dyDescent="0.35">
      <c r="A37">
        <f t="shared" si="3"/>
        <v>1.4000000000000001</v>
      </c>
      <c r="B37">
        <f t="shared" si="0"/>
        <v>-0.6951267616892558</v>
      </c>
      <c r="C37">
        <f>regressions!$AR$1*$A37</f>
        <v>1.4746659497281753</v>
      </c>
      <c r="D37">
        <f>regressions!$AO$1*$A37</f>
        <v>2.0033889460319894</v>
      </c>
      <c r="E37">
        <f t="shared" si="5"/>
        <v>2.2542051377670949</v>
      </c>
      <c r="F37">
        <f t="shared" si="6"/>
        <v>-4.7019046537532345</v>
      </c>
      <c r="G37" s="5">
        <f>B37-regressions!AA$7</f>
        <v>-4.4164153521542104</v>
      </c>
      <c r="H37" s="5">
        <f>B37+regressions!AA$7</f>
        <v>3.0261618287756993</v>
      </c>
      <c r="I37">
        <f>IF($A37&lt;=regressions!$L$2,$A37*regressions!$L$1,regressions!$L$1*regressions!$L$2+regressions!$L$3*($A37-regressions!$L$2))</f>
        <v>-1.1126917705847572</v>
      </c>
      <c r="J37">
        <f>regressions!J$1*A37+regressions!J$2*A37^2</f>
        <v>-0.79486849302138685</v>
      </c>
      <c r="K37">
        <f>regressions!$V$1*A37</f>
        <v>-1.1126917737260276</v>
      </c>
      <c r="L37">
        <f>regressions!$N$1*A37^2</f>
        <v>-0.34151993222191451</v>
      </c>
      <c r="M37">
        <f>regressions!$R$1*A37^2+regressions!$R$2*A37^6</f>
        <v>-0.37189398844047411</v>
      </c>
      <c r="N37">
        <f>regressions!$P$1*A37^2+regressions!$P$2*A37^7</f>
        <v>-0.35985323024412624</v>
      </c>
      <c r="O37">
        <f>regressions!T$2+regressions!T$1*EXP(A37)</f>
        <v>-2.3875364367210668E-2</v>
      </c>
      <c r="P37" s="20">
        <f>(1-EXP(-2*regressions!X$1*graph!A37))/2/EXP(-regressions!X$1*A37)</f>
        <v>-0.60115811782364248</v>
      </c>
      <c r="AT37" s="33"/>
      <c r="AW37" s="33"/>
      <c r="AZ37" s="33"/>
    </row>
    <row r="38" spans="1:52" x14ac:dyDescent="0.35">
      <c r="A38">
        <f t="shared" si="3"/>
        <v>1.5000000000000002</v>
      </c>
      <c r="B38">
        <f t="shared" si="0"/>
        <v>-0.75769965781874971</v>
      </c>
      <c r="C38">
        <f>regressions!$AR$1*$A38</f>
        <v>1.5799992318516165</v>
      </c>
      <c r="D38">
        <f>regressions!$AO$1*$A38</f>
        <v>2.146488156462846</v>
      </c>
      <c r="E38">
        <f t="shared" si="5"/>
        <v>2.4022988058844832</v>
      </c>
      <c r="F38">
        <f t="shared" si="6"/>
        <v>-5.0506759707444413</v>
      </c>
      <c r="G38" s="5">
        <f>B38-regressions!AA$7</f>
        <v>-4.4789882482837049</v>
      </c>
      <c r="H38" s="5">
        <f>B38+regressions!AA$7</f>
        <v>2.9635889326462053</v>
      </c>
      <c r="I38">
        <f>IF($A38&lt;=regressions!$L$2,$A38*regressions!$L$1,regressions!$L$1*regressions!$L$2+regressions!$L$3*($A38-regressions!$L$2))</f>
        <v>-1.1921697541979541</v>
      </c>
      <c r="J38">
        <f>regressions!J$1*A38+regressions!J$2*A38^2</f>
        <v>-0.86390481279596432</v>
      </c>
      <c r="K38">
        <f>regressions!$V$1*A38</f>
        <v>-1.192169757563601</v>
      </c>
      <c r="L38">
        <f>regressions!$N$1*A38^2</f>
        <v>-0.3920509426016876</v>
      </c>
      <c r="M38">
        <f>regressions!$R$1*A38^2+regressions!$R$2*A38^6</f>
        <v>-0.4268888829985853</v>
      </c>
      <c r="N38">
        <f>regressions!$P$1*A38^2+regressions!$P$2*A38^7</f>
        <v>-0.41309190814585295</v>
      </c>
      <c r="O38">
        <f>regressions!T$2+regressions!T$1*EXP(A38)</f>
        <v>-2.7208233853677044E-2</v>
      </c>
      <c r="P38" s="20">
        <f>(1-EXP(-2*regressions!X$1*graph!A38))/2/EXP(-regressions!X$1*A38)</f>
        <v>-0.64915893032265204</v>
      </c>
      <c r="AT38" s="33"/>
      <c r="AW38" s="33"/>
      <c r="AZ38" s="33"/>
    </row>
    <row r="39" spans="1:52" x14ac:dyDescent="0.35">
      <c r="A39">
        <f t="shared" si="3"/>
        <v>1.6000000000000003</v>
      </c>
      <c r="B39">
        <f t="shared" si="0"/>
        <v>-0.82206336004323388</v>
      </c>
      <c r="C39">
        <f>regressions!$AR$1*$A39</f>
        <v>1.6853325139750577</v>
      </c>
      <c r="D39">
        <f>regressions!$AO$1*$A39</f>
        <v>2.2895873668937026</v>
      </c>
      <c r="E39">
        <f t="shared" si="5"/>
        <v>2.5486016679068815</v>
      </c>
      <c r="F39">
        <f t="shared" si="6"/>
        <v>-5.4012380938306386</v>
      </c>
      <c r="G39" s="5">
        <f>B39-regressions!AA$7</f>
        <v>-4.543351950508189</v>
      </c>
      <c r="H39" s="5">
        <f>B39+regressions!AA$7</f>
        <v>2.8992252304217212</v>
      </c>
      <c r="I39">
        <f>IF($A39&lt;=regressions!$L$2,$A39*regressions!$L$1,regressions!$L$1*regressions!$L$2+regressions!$L$3*($A39-regressions!$L$2))</f>
        <v>-1.2716477378111513</v>
      </c>
      <c r="J39">
        <f>regressions!J$1*A39+regressions!J$2*A39^2</f>
        <v>-0.9345757990831387</v>
      </c>
      <c r="K39">
        <f>regressions!$V$1*A39</f>
        <v>-1.2716477414011744</v>
      </c>
      <c r="L39">
        <f>regressions!$N$1*A39^2</f>
        <v>-0.44606685024903125</v>
      </c>
      <c r="M39">
        <f>regressions!$R$1*A39^2+regressions!$R$2*A39^6</f>
        <v>-0.4856626687257985</v>
      </c>
      <c r="N39">
        <f>regressions!$P$1*A39^2+regressions!$P$2*A39^7</f>
        <v>-0.46999949756265685</v>
      </c>
      <c r="O39">
        <f>regressions!T$2+regressions!T$1*EXP(A39)</f>
        <v>-3.089162428386142E-2</v>
      </c>
      <c r="P39" s="20">
        <f>(1-EXP(-2*regressions!X$1*graph!A39))/2/EXP(-regressions!X$1*A39)</f>
        <v>-0.69823528345766694</v>
      </c>
      <c r="AT39" s="33"/>
      <c r="AW39" s="33"/>
      <c r="AZ39" s="33"/>
    </row>
    <row r="40" spans="1:52" x14ac:dyDescent="0.35">
      <c r="A40">
        <f t="shared" si="3"/>
        <v>1.7000000000000004</v>
      </c>
      <c r="B40">
        <f t="shared" si="0"/>
        <v>-0.88823129794916</v>
      </c>
      <c r="C40">
        <f>regressions!$AR$1*$A40</f>
        <v>1.7906657960984989</v>
      </c>
      <c r="D40">
        <f>regressions!$AO$1*$A40</f>
        <v>2.4326865773245592</v>
      </c>
      <c r="E40">
        <f t="shared" si="5"/>
        <v>2.6931002942478379</v>
      </c>
      <c r="F40">
        <f t="shared" si="6"/>
        <v>-5.7536044525982781</v>
      </c>
      <c r="G40" s="5">
        <f>B40-regressions!AA$7</f>
        <v>-4.6095198884141153</v>
      </c>
      <c r="H40" s="5">
        <f>B40+regressions!AA$7</f>
        <v>2.8330572925157949</v>
      </c>
      <c r="I40">
        <f>IF($A40&lt;=regressions!$L$2,$A40*regressions!$L$1,regressions!$L$1*regressions!$L$2+regressions!$L$3*($A40-regressions!$L$2))</f>
        <v>-1.3511257214243482</v>
      </c>
      <c r="J40">
        <f>regressions!J$1*A40+regressions!J$2*A40^2</f>
        <v>-1.0068814518829106</v>
      </c>
      <c r="K40">
        <f>regressions!$V$1*A40</f>
        <v>-1.3511257252387479</v>
      </c>
      <c r="L40">
        <f>regressions!$N$1*A40^2</f>
        <v>-0.50356765516394553</v>
      </c>
      <c r="M40">
        <f>regressions!$R$1*A40^2+regressions!$R$2*A40^6</f>
        <v>-0.54821041164380424</v>
      </c>
      <c r="N40">
        <f>regressions!$P$1*A40^2+regressions!$P$2*A40^7</f>
        <v>-0.53057479656798723</v>
      </c>
      <c r="O40">
        <f>regressions!T$2+regressions!T$1*EXP(A40)</f>
        <v>-3.4962400267219321E-2</v>
      </c>
      <c r="P40" s="20">
        <f>(1-EXP(-2*regressions!X$1*graph!A40))/2/EXP(-regressions!X$1*A40)</f>
        <v>-0.74846848799805044</v>
      </c>
      <c r="AT40" s="33"/>
      <c r="AW40" s="33"/>
      <c r="AZ40" s="33"/>
    </row>
    <row r="41" spans="1:52" x14ac:dyDescent="0.35">
      <c r="A41">
        <f t="shared" si="3"/>
        <v>1.8000000000000005</v>
      </c>
      <c r="B41">
        <f t="shared" si="0"/>
        <v>-0.95621707868891082</v>
      </c>
      <c r="C41">
        <f>regressions!$AR$1*$A41</f>
        <v>1.89599907822194</v>
      </c>
      <c r="D41">
        <f>regressions!$AO$1*$A41</f>
        <v>2.5757857877554158</v>
      </c>
      <c r="E41">
        <f t="shared" si="5"/>
        <v>2.8357810777549695</v>
      </c>
      <c r="F41">
        <f t="shared" si="6"/>
        <v>-6.1077886541997426</v>
      </c>
      <c r="G41" s="5">
        <f>B41-regressions!AA$7</f>
        <v>-4.6775056691538657</v>
      </c>
      <c r="H41" s="5">
        <f>B41+regressions!AA$7</f>
        <v>2.7650715117760445</v>
      </c>
      <c r="I41">
        <f>IF($A41&lt;=regressions!$L$2,$A41*regressions!$L$1,regressions!$L$1*regressions!$L$2+regressions!$L$3*($A41-regressions!$L$2))</f>
        <v>-1.4306037050375453</v>
      </c>
      <c r="J41">
        <f>regressions!J$1*A41+regressions!J$2*A41^2</f>
        <v>-1.0808217711952792</v>
      </c>
      <c r="K41">
        <f>regressions!$V$1*A41</f>
        <v>-1.4306037090763213</v>
      </c>
      <c r="L41">
        <f>regressions!$N$1*A41^2</f>
        <v>-0.5645533573464302</v>
      </c>
      <c r="M41">
        <f>regressions!$R$1*A41^2+regressions!$R$2*A41^6</f>
        <v>-0.61452616205234911</v>
      </c>
      <c r="N41">
        <f>regressions!$P$1*A41^2+regressions!$P$2*A41^7</f>
        <v>-0.59481626285850797</v>
      </c>
      <c r="O41">
        <f>regressions!T$2+regressions!T$1*EXP(A41)</f>
        <v>-3.9461303498027282E-2</v>
      </c>
      <c r="P41" s="20">
        <f>(1-EXP(-2*regressions!X$1*graph!A41))/2/EXP(-regressions!X$1*A41)</f>
        <v>-0.79994177140973799</v>
      </c>
      <c r="AT41" s="33"/>
      <c r="AW41" s="33"/>
      <c r="AZ41" s="33"/>
    </row>
    <row r="42" spans="1:52" x14ac:dyDescent="0.35">
      <c r="A42">
        <f t="shared" si="3"/>
        <v>1.9000000000000006</v>
      </c>
      <c r="B42">
        <f t="shared" si="0"/>
        <v>-1.0260344880815064</v>
      </c>
      <c r="C42">
        <f>regressions!$AR$1*$A42</f>
        <v>2.0013323603453812</v>
      </c>
      <c r="D42">
        <f>regressions!$AO$1*$A42</f>
        <v>2.7188849981862719</v>
      </c>
      <c r="E42">
        <f t="shared" si="5"/>
        <v>2.976630232609256</v>
      </c>
      <c r="F42">
        <f t="shared" si="6"/>
        <v>-6.4638044844540499</v>
      </c>
      <c r="G42" s="5">
        <f>B42-regressions!AA$7</f>
        <v>-4.7473230785464615</v>
      </c>
      <c r="H42" s="5">
        <f>B42+regressions!AA$7</f>
        <v>2.6952541023834486</v>
      </c>
      <c r="I42">
        <f>IF($A42&lt;=regressions!$L$2,$A42*regressions!$L$1,regressions!$L$1*regressions!$L$2+regressions!$L$3*($A42-regressions!$L$2))</f>
        <v>-1.5100816886507422</v>
      </c>
      <c r="J42">
        <f>regressions!J$1*A42+regressions!J$2*A42^2</f>
        <v>-1.1563967570202451</v>
      </c>
      <c r="K42">
        <f>regressions!$V$1*A42</f>
        <v>-1.5100816929138947</v>
      </c>
      <c r="L42">
        <f>regressions!$N$1*A42^2</f>
        <v>-0.62902395679648559</v>
      </c>
      <c r="M42">
        <f>regressions!$R$1*A42^2+regressions!$R$2*A42^6</f>
        <v>-0.68460282376659343</v>
      </c>
      <c r="N42">
        <f>regressions!$P$1*A42^2+regressions!$P$2*A42^7</f>
        <v>-0.66272194604295753</v>
      </c>
      <c r="O42">
        <f>regressions!T$2+regressions!T$1*EXP(A42)</f>
        <v>-4.4433360511952812E-2</v>
      </c>
      <c r="P42" s="20">
        <f>(1-EXP(-2*regressions!X$1*graph!A42))/2/EXP(-regressions!X$1*A42)</f>
        <v>-0.85274041574831239</v>
      </c>
      <c r="Q42" s="1"/>
      <c r="AB42" s="59">
        <f>Table1!$E30</f>
        <v>-0.5</v>
      </c>
      <c r="AC42" s="60">
        <f>Table1!$E70</f>
        <v>-0.7</v>
      </c>
      <c r="AD42" s="60"/>
      <c r="AE42" s="5"/>
      <c r="AN42">
        <f t="shared" si="4"/>
        <v>-0.6</v>
      </c>
      <c r="AO42" s="1">
        <f>MIN(Q42:AM42)</f>
        <v>-0.7</v>
      </c>
      <c r="AP42" s="1">
        <f>MAX(Q42:AM42)</f>
        <v>-0.5</v>
      </c>
      <c r="AT42" s="33"/>
      <c r="AW42" s="33"/>
      <c r="AZ42" s="33"/>
    </row>
    <row r="43" spans="1:52" x14ac:dyDescent="0.35">
      <c r="A43">
        <f t="shared" si="3"/>
        <v>2.0000000000000004</v>
      </c>
      <c r="B43">
        <f t="shared" si="0"/>
        <v>-1.0976974904347006</v>
      </c>
      <c r="C43">
        <f>regressions!$AR$1*$A43</f>
        <v>2.1066656424688222</v>
      </c>
      <c r="D43">
        <f>regressions!$AO$1*$A43</f>
        <v>2.8619842086171281</v>
      </c>
      <c r="E43">
        <f t="shared" si="5"/>
        <v>3.1156337945029438</v>
      </c>
      <c r="F43">
        <f t="shared" si="6"/>
        <v>-6.8216659076689563</v>
      </c>
      <c r="G43" s="5">
        <f>B43-regressions!AA$7</f>
        <v>-4.8189860808996556</v>
      </c>
      <c r="H43" s="5">
        <f>B43+regressions!AA$7</f>
        <v>2.6235911000302545</v>
      </c>
      <c r="I43">
        <f>IF($A43&lt;=regressions!$L$2,$A43*regressions!$L$1,regressions!$L$1*regressions!$L$2+regressions!$L$3*($A43-regressions!$L$2))</f>
        <v>-1.5895596722639391</v>
      </c>
      <c r="J43">
        <f>regressions!J$1*A43+regressions!J$2*A43^2</f>
        <v>-1.2336064093578081</v>
      </c>
      <c r="K43">
        <f>regressions!$V$1*A43</f>
        <v>-1.5895596767514681</v>
      </c>
      <c r="L43">
        <f>regressions!$N$1*A43^2</f>
        <v>-0.69697945351411139</v>
      </c>
      <c r="M43">
        <f>regressions!$R$1*A43^2+regressions!$R$2*A43^6</f>
        <v>-0.75843201542945926</v>
      </c>
      <c r="N43">
        <f>regressions!$P$1*A43^2+regressions!$P$2*A43^7</f>
        <v>-0.73428941148780913</v>
      </c>
      <c r="O43">
        <f>regressions!T$2+regressions!T$1*EXP(A43)</f>
        <v>-4.9928333326757335E-2</v>
      </c>
      <c r="P43" s="20">
        <f>(1-EXP(-2*regressions!X$1*graph!A43))/2/EXP(-regressions!X$1*A43)</f>
        <v>-0.90695189895616857</v>
      </c>
      <c r="Q43" s="5"/>
      <c r="AB43" s="60">
        <f>Table1!$E36</f>
        <v>-1.0740738140966928</v>
      </c>
      <c r="AC43" s="60">
        <f>Table1!$E40</f>
        <v>-1.0517705037403</v>
      </c>
      <c r="AD43" s="60"/>
      <c r="AE43" s="5"/>
      <c r="AK43" s="1"/>
      <c r="AL43" s="1"/>
      <c r="AN43">
        <f t="shared" si="4"/>
        <v>-1.0629221589184965</v>
      </c>
      <c r="AO43" s="1">
        <f>MIN(Q43:AM43)</f>
        <v>-1.0740738140966928</v>
      </c>
      <c r="AP43" s="1">
        <f>MAX(Q43:AM43)</f>
        <v>-1.0517705037403</v>
      </c>
      <c r="AT43" s="33"/>
      <c r="AW43" s="33"/>
      <c r="AZ43" s="33"/>
    </row>
    <row r="44" spans="1:52" x14ac:dyDescent="0.35">
      <c r="A44">
        <f t="shared" si="3"/>
        <v>2.1000000000000005</v>
      </c>
      <c r="B44">
        <f t="shared" si="0"/>
        <v>-1.1712202270759375</v>
      </c>
      <c r="C44">
        <f>regressions!$AR$1*$A44</f>
        <v>2.2119989245922635</v>
      </c>
      <c r="D44">
        <f>regressions!$AO$1*$A44</f>
        <v>3.0050834190479847</v>
      </c>
      <c r="E44">
        <f t="shared" si="5"/>
        <v>3.2527776221085896</v>
      </c>
      <c r="F44">
        <f t="shared" si="6"/>
        <v>-7.1813870651719069</v>
      </c>
      <c r="G44" s="5">
        <f>B44-regressions!AA$7</f>
        <v>-4.8925088175408931</v>
      </c>
      <c r="H44" s="5">
        <f>B44+regressions!AA$7</f>
        <v>2.5500683633890175</v>
      </c>
      <c r="I44">
        <f>IF($A44&lt;=regressions!$L$2,$A44*regressions!$L$1,regressions!$L$1*regressions!$L$2+regressions!$L$3*($A44-regressions!$L$2))</f>
        <v>-1.669037655877136</v>
      </c>
      <c r="J44">
        <f>regressions!J$1*A44+regressions!J$2*A44^2</f>
        <v>-1.312450728207968</v>
      </c>
      <c r="K44">
        <f>regressions!$V$1*A44</f>
        <v>-1.6690376605890416</v>
      </c>
      <c r="L44">
        <f>regressions!$N$1*A44^2</f>
        <v>-0.76841984749930781</v>
      </c>
      <c r="M44">
        <f>regressions!$R$1*A44^2+regressions!$R$2*A44^6</f>
        <v>-0.8360039238989706</v>
      </c>
      <c r="N44">
        <f>regressions!$P$1*A44^2+regressions!$P$2*A44^7</f>
        <v>-0.80951565522307511</v>
      </c>
      <c r="O44">
        <f>regressions!T$2+regressions!T$1*EXP(A44)</f>
        <v>-5.6001217477295605E-2</v>
      </c>
      <c r="P44" s="20">
        <f>(1-EXP(-2*regressions!X$1*graph!A44))/2/EXP(-regressions!X$1*A44)</f>
        <v>-0.96266603979787246</v>
      </c>
      <c r="AT44" s="33"/>
      <c r="AW44" s="33"/>
      <c r="AZ44" s="33"/>
    </row>
    <row r="45" spans="1:52" x14ac:dyDescent="0.35">
      <c r="A45">
        <f t="shared" si="3"/>
        <v>2.2000000000000006</v>
      </c>
      <c r="B45">
        <f t="shared" si="0"/>
        <v>-1.2466170135811649</v>
      </c>
      <c r="C45">
        <f>regressions!$AR$1*$A45</f>
        <v>2.3173322067157045</v>
      </c>
      <c r="D45">
        <f>regressions!$AO$1*$A45</f>
        <v>3.1481826294788413</v>
      </c>
      <c r="E45">
        <f t="shared" si="5"/>
        <v>3.3880473998502438</v>
      </c>
      <c r="F45">
        <f t="shared" si="6"/>
        <v>-7.5429822725388478</v>
      </c>
      <c r="G45" s="5">
        <f>B45-regressions!AA$7</f>
        <v>-4.9679056040461198</v>
      </c>
      <c r="H45" s="5">
        <f>B45+regressions!AA$7</f>
        <v>2.4746715768837904</v>
      </c>
      <c r="I45">
        <f>IF($A45&lt;=regressions!$L$2,$A45*regressions!$L$1,regressions!$L$1*regressions!$L$2+regressions!$L$3*($A45-regressions!$L$2))</f>
        <v>-1.748515639490333</v>
      </c>
      <c r="J45">
        <f>regressions!J$1*A45+regressions!J$2*A45^2</f>
        <v>-1.3929297135707253</v>
      </c>
      <c r="K45">
        <f>regressions!$V$1*A45</f>
        <v>-1.748515644426615</v>
      </c>
      <c r="L45">
        <f>regressions!$N$1*A45^2</f>
        <v>-0.84334513875207484</v>
      </c>
      <c r="M45">
        <f>regressions!$R$1*A45^2+regressions!$R$2*A45^6</f>
        <v>-0.91730714971058391</v>
      </c>
      <c r="N45">
        <f>regressions!$P$1*A45^2+regressions!$P$2*A45^7</f>
        <v>-0.88839700941159438</v>
      </c>
      <c r="O45">
        <f>regressions!T$2+regressions!T$1*EXP(A45)</f>
        <v>-6.2712792429313019E-2</v>
      </c>
      <c r="P45" s="20">
        <f>(1-EXP(-2*regressions!X$1*graph!A45))/2/EXP(-regressions!X$1*A45)</f>
        <v>-1.019975146673842</v>
      </c>
      <c r="AT45" s="33"/>
      <c r="AW45" s="33"/>
      <c r="AZ45" s="33"/>
    </row>
    <row r="46" spans="1:52" x14ac:dyDescent="0.35">
      <c r="A46">
        <f t="shared" si="3"/>
        <v>2.3000000000000007</v>
      </c>
      <c r="B46">
        <f t="shared" si="0"/>
        <v>-1.3239023356921362</v>
      </c>
      <c r="C46">
        <f>regressions!$AR$1*$A46</f>
        <v>2.4226654888391459</v>
      </c>
      <c r="D46">
        <f>regressions!$AO$1*$A46</f>
        <v>3.2912818399096979</v>
      </c>
      <c r="E46">
        <f t="shared" si="5"/>
        <v>3.5214286419861556</v>
      </c>
      <c r="F46">
        <f t="shared" si="6"/>
        <v>-7.9064660155115316</v>
      </c>
      <c r="G46" s="5">
        <f>B46-regressions!AA$7</f>
        <v>-5.0451909261570913</v>
      </c>
      <c r="H46" s="5">
        <f>B46+regressions!AA$7</f>
        <v>2.3973862547728189</v>
      </c>
      <c r="I46">
        <f>IF($A46&lt;=regressions!$L$2,$A46*regressions!$L$1,regressions!$L$1*regressions!$L$2+regressions!$L$3*($A46-regressions!$L$2))</f>
        <v>-1.8279936231035301</v>
      </c>
      <c r="J46">
        <f>regressions!J$1*A46+regressions!J$2*A46^2</f>
        <v>-1.4750433654460797</v>
      </c>
      <c r="K46">
        <f>regressions!$V$1*A46</f>
        <v>-1.8279936282641884</v>
      </c>
      <c r="L46">
        <f>regressions!$N$1*A46^2</f>
        <v>-0.92175532727241249</v>
      </c>
      <c r="M46">
        <f>regressions!$R$1*A46^2+regressions!$R$2*A46^6</f>
        <v>-1.0023285446145109</v>
      </c>
      <c r="N46">
        <f>regressions!$P$1*A46^2+regressions!$P$2*A46^7</f>
        <v>-0.9709290378851454</v>
      </c>
      <c r="O46">
        <f>regressions!T$2+regressions!T$1*EXP(A46)</f>
        <v>-7.0130229880767614E-2</v>
      </c>
      <c r="P46" s="20">
        <f>(1-EXP(-2*regressions!X$1*graph!A46))/2/EXP(-regressions!X$1*A46)</f>
        <v>-1.0789741705589144</v>
      </c>
      <c r="AT46" s="33"/>
      <c r="AW46" s="33"/>
      <c r="AZ46" s="33"/>
    </row>
    <row r="47" spans="1:52" x14ac:dyDescent="0.35">
      <c r="A47">
        <f t="shared" si="3"/>
        <v>2.4000000000000008</v>
      </c>
      <c r="B47">
        <f t="shared" si="0"/>
        <v>-1.4030908439145915</v>
      </c>
      <c r="C47">
        <f>regressions!$AR$1*$A47</f>
        <v>2.5279987709625868</v>
      </c>
      <c r="D47">
        <f>regressions!$AO$1*$A47</f>
        <v>3.4343810503405545</v>
      </c>
      <c r="E47">
        <f t="shared" si="5"/>
        <v>3.6529066980105824</v>
      </c>
      <c r="F47">
        <f t="shared" si="6"/>
        <v>-8.2718529445957003</v>
      </c>
      <c r="G47" s="5">
        <f>B47-regressions!AA$7</f>
        <v>-5.1243794343795468</v>
      </c>
      <c r="H47" s="5">
        <f>B47+regressions!AA$7</f>
        <v>2.3181977465503634</v>
      </c>
      <c r="I47">
        <f>IF($A47&lt;=regressions!$L$2,$A47*regressions!$L$1,regressions!$L$1*regressions!$L$2+regressions!$L$3*($A47-regressions!$L$2))</f>
        <v>-1.907471606716727</v>
      </c>
      <c r="J47">
        <f>regressions!J$1*A47+regressions!J$2*A47^2</f>
        <v>-1.558791683834031</v>
      </c>
      <c r="K47">
        <f>regressions!$V$1*A47</f>
        <v>-1.9074716121017619</v>
      </c>
      <c r="L47">
        <f>regressions!$N$1*A47^2</f>
        <v>-1.0036504130603208</v>
      </c>
      <c r="M47">
        <f>regressions!$R$1*A47^2+regressions!$R$2*A47^6</f>
        <v>-1.0910530411880324</v>
      </c>
      <c r="N47">
        <f>regressions!$P$1*A47^2+regressions!$P$2*A47^7</f>
        <v>-1.0571064212507264</v>
      </c>
      <c r="O47">
        <f>regressions!T$2+regressions!T$1*EXP(A47)</f>
        <v>-7.8327766038760405E-2</v>
      </c>
      <c r="P47" s="20">
        <f>(1-EXP(-2*regressions!X$1*graph!A47))/2/EXP(-regressions!X$1*A47)</f>
        <v>-1.1397608623191855</v>
      </c>
      <c r="AT47" s="33"/>
      <c r="AW47" s="33"/>
      <c r="AZ47" s="33"/>
    </row>
    <row r="48" spans="1:52" x14ac:dyDescent="0.35">
      <c r="A48">
        <f t="shared" si="3"/>
        <v>2.5000000000000009</v>
      </c>
      <c r="B48">
        <f t="shared" si="0"/>
        <v>-1.4841973467916216</v>
      </c>
      <c r="C48">
        <f>regressions!$AR$1*$A48</f>
        <v>2.6333320530860282</v>
      </c>
      <c r="D48">
        <f>regressions!$AO$1*$A48</f>
        <v>3.5774802607714107</v>
      </c>
      <c r="E48">
        <f t="shared" si="5"/>
        <v>3.7824667593804349</v>
      </c>
      <c r="F48">
        <f t="shared" si="6"/>
        <v>-8.6391578683344434</v>
      </c>
      <c r="G48" s="5">
        <f>B48-regressions!AA$7</f>
        <v>-5.2054859372565767</v>
      </c>
      <c r="H48" s="5">
        <f>B48+regressions!AA$7</f>
        <v>2.2370912436733335</v>
      </c>
      <c r="I48">
        <f>IF($A48&lt;=regressions!$L$2,$A48*regressions!$L$1,regressions!$L$1*regressions!$L$2+regressions!$L$3*($A48-regressions!$L$2))</f>
        <v>-1.9869495903299241</v>
      </c>
      <c r="J48">
        <f>regressions!J$1*A48+regressions!J$2*A48^2</f>
        <v>-1.6441746687345793</v>
      </c>
      <c r="K48">
        <f>regressions!$V$1*A48</f>
        <v>-1.9869495959393353</v>
      </c>
      <c r="L48">
        <f>regressions!$N$1*A48^2</f>
        <v>-1.0890303961157992</v>
      </c>
      <c r="M48">
        <f>regressions!$R$1*A48^2+regressions!$R$2*A48^6</f>
        <v>-1.183463474522803</v>
      </c>
      <c r="N48">
        <f>regressions!$P$1*A48^2+regressions!$P$2*A48^7</f>
        <v>-1.1469228310703423</v>
      </c>
      <c r="O48">
        <f>regressions!T$2+regressions!T$1*EXP(A48)</f>
        <v>-8.7387444600447617E-2</v>
      </c>
      <c r="P48" s="20">
        <f>(1-EXP(-2*regressions!X$1*graph!A48))/2/EXP(-regressions!X$1*A48)</f>
        <v>-1.202435934667772</v>
      </c>
      <c r="Q48" s="62">
        <f>Table1!$E9</f>
        <v>-1.4</v>
      </c>
      <c r="R48" s="62">
        <f>Table1!$E11</f>
        <v>-1.9</v>
      </c>
      <c r="S48" s="62">
        <f>Table1!$E12</f>
        <v>-1.435622202473182</v>
      </c>
      <c r="T48" s="62">
        <f>Table1!$E13</f>
        <v>-2.8909238132996098</v>
      </c>
      <c r="U48" s="62">
        <f>Table1!$E10</f>
        <v>-1.5</v>
      </c>
      <c r="V48" s="62">
        <f>Table1!$E20</f>
        <v>-1.5</v>
      </c>
      <c r="W48" s="62">
        <f>Table1!$E25</f>
        <v>-0.9804776851232514</v>
      </c>
      <c r="X48" s="62">
        <f>Table1!$E4</f>
        <v>-3</v>
      </c>
      <c r="Y48" s="50">
        <f>Table1!$E64</f>
        <v>-5.22</v>
      </c>
      <c r="Z48" s="50"/>
      <c r="AA48" s="50"/>
      <c r="AB48" s="5"/>
      <c r="AC48" s="5"/>
      <c r="AD48" s="49">
        <f>Table1!$E39</f>
        <v>-2</v>
      </c>
      <c r="AE48" s="5"/>
      <c r="AF48" s="58">
        <f>Table1!$E14</f>
        <v>0.03</v>
      </c>
      <c r="AG48" s="58">
        <f>Table1!$E15</f>
        <v>0.1</v>
      </c>
      <c r="AH48" s="5"/>
      <c r="AI48" s="58">
        <f>Table1!$E22</f>
        <v>3.3000365094043249E-2</v>
      </c>
      <c r="AJ48" s="5"/>
      <c r="AK48" s="5"/>
      <c r="AL48" s="5"/>
      <c r="AM48" s="1"/>
      <c r="AN48">
        <f t="shared" si="4"/>
        <v>-1.6664633335232304</v>
      </c>
      <c r="AO48" s="1">
        <f>MIN(Q48:AM48)</f>
        <v>-5.22</v>
      </c>
      <c r="AP48" s="1">
        <f>MAX(Q48:AM48)</f>
        <v>0.1</v>
      </c>
      <c r="AT48" s="33"/>
      <c r="AW48" s="33"/>
      <c r="AZ48" s="33"/>
    </row>
    <row r="49" spans="1:52" x14ac:dyDescent="0.35">
      <c r="A49">
        <f t="shared" si="3"/>
        <v>2.600000000000001</v>
      </c>
      <c r="B49">
        <f t="shared" si="0"/>
        <v>-1.5672368028485377</v>
      </c>
      <c r="C49">
        <f>regressions!$AR$1*$A49</f>
        <v>2.7386653352094692</v>
      </c>
      <c r="D49">
        <f>regressions!$AO$1*$A49</f>
        <v>3.7205794712022673</v>
      </c>
      <c r="E49">
        <f t="shared" si="5"/>
        <v>3.9100938675704007</v>
      </c>
      <c r="F49">
        <f t="shared" si="6"/>
        <v>-9.0083957452530719</v>
      </c>
      <c r="G49" s="5">
        <f>B49-regressions!AA$7</f>
        <v>-5.2885253933134928</v>
      </c>
      <c r="H49" s="5">
        <f>B49+regressions!AA$7</f>
        <v>2.1540517876164174</v>
      </c>
      <c r="I49">
        <f>IF($A49&lt;=regressions!$L$2,$A49*regressions!$L$1,regressions!$L$1*regressions!$L$2+regressions!$L$3*($A49-regressions!$L$2))</f>
        <v>-2.066427573943121</v>
      </c>
      <c r="J49">
        <f>regressions!J$1*A49+regressions!J$2*A49^2</f>
        <v>-1.7311923201477253</v>
      </c>
      <c r="K49">
        <f>regressions!$V$1*A49</f>
        <v>-2.0664275797769087</v>
      </c>
      <c r="L49">
        <f>regressions!$N$1*A49^2</f>
        <v>-1.1778952764388486</v>
      </c>
      <c r="M49">
        <f>regressions!$R$1*A49^2+regressions!$R$2*A49^6</f>
        <v>-1.2795403959871479</v>
      </c>
      <c r="N49">
        <f>regressions!$P$1*A49^2+regressions!$P$2*A49^7</f>
        <v>-1.2403707926176422</v>
      </c>
      <c r="O49">
        <f>regressions!T$2+regressions!T$1*EXP(A49)</f>
        <v>-9.739993787393772E-2</v>
      </c>
      <c r="P49" s="20">
        <f>(1-EXP(-2*regressions!X$1*graph!A49))/2/EXP(-regressions!X$1*A49)</f>
        <v>-1.2671032290278237</v>
      </c>
      <c r="S49" s="64"/>
      <c r="T49" s="64"/>
      <c r="U49" s="64"/>
      <c r="V49" s="64"/>
      <c r="W49" s="64"/>
      <c r="X49" s="64"/>
      <c r="AM49" s="1"/>
      <c r="AT49" s="33"/>
      <c r="AW49" s="33"/>
      <c r="AZ49" s="33"/>
    </row>
    <row r="50" spans="1:52" x14ac:dyDescent="0.35">
      <c r="A50">
        <f t="shared" si="3"/>
        <v>2.7000000000000011</v>
      </c>
      <c r="B50">
        <f t="shared" si="0"/>
        <v>-1.6522243112077784</v>
      </c>
      <c r="C50">
        <f>regressions!$AR$1*$A50</f>
        <v>2.8439986173329106</v>
      </c>
      <c r="D50">
        <f>regressions!$AO$1*$A50</f>
        <v>3.8636786816331239</v>
      </c>
      <c r="E50">
        <f t="shared" ref="E50:E69" si="7">B50+2*C50</f>
        <v>4.0357729234580431</v>
      </c>
      <c r="F50">
        <f t="shared" ref="F50:F69" si="8">B50-2*D50</f>
        <v>-9.3795816744740268</v>
      </c>
      <c r="G50" s="5">
        <f>B50-regressions!AA$7</f>
        <v>-5.3735129016727337</v>
      </c>
      <c r="H50" s="5">
        <f>B50+regressions!AA$7</f>
        <v>2.0690642792571765</v>
      </c>
      <c r="I50">
        <f>IF($A50&lt;=regressions!$L$2,$A50*regressions!$L$1,regressions!$L$1*regressions!$L$2+regressions!$L$3*($A50-regressions!$L$2))</f>
        <v>-2.145905557556318</v>
      </c>
      <c r="J50">
        <f>regressions!J$1*A50+regressions!J$2*A50^2</f>
        <v>-1.8198446380734679</v>
      </c>
      <c r="K50">
        <f>regressions!$V$1*A50</f>
        <v>-2.1459055636144821</v>
      </c>
      <c r="L50">
        <f>regressions!$N$1*A50^2</f>
        <v>-1.2702450540294683</v>
      </c>
      <c r="M50">
        <f>regressions!$R$1*A50^2+regressions!$R$2*A50^6</f>
        <v>-1.3792618790633502</v>
      </c>
      <c r="N50">
        <f>regressions!$P$1*A50^2+regressions!$P$2*A50^7</f>
        <v>-1.3374415357147456</v>
      </c>
      <c r="O50">
        <f>regressions!T$2+regressions!T$1*EXP(A50)</f>
        <v>-0.10846545425722703</v>
      </c>
      <c r="P50" s="20">
        <f>(1-EXP(-2*regressions!X$1*graph!A50))/2/EXP(-regressions!X$1*A50)</f>
        <v>-1.3338698875792545</v>
      </c>
      <c r="S50" s="64"/>
      <c r="T50" s="64"/>
      <c r="U50" s="64"/>
      <c r="V50" s="64"/>
      <c r="W50" s="64"/>
      <c r="X50" s="64"/>
      <c r="AT50" s="33"/>
      <c r="AW50" s="33"/>
      <c r="AZ50" s="33"/>
    </row>
    <row r="51" spans="1:52" x14ac:dyDescent="0.35">
      <c r="A51">
        <f t="shared" si="3"/>
        <v>2.8000000000000012</v>
      </c>
      <c r="B51">
        <f t="shared" si="0"/>
        <v>-1.7391751008747327</v>
      </c>
      <c r="C51">
        <f>regressions!$AR$1*$A51</f>
        <v>2.9493318994563515</v>
      </c>
      <c r="D51">
        <f>regressions!$AO$1*$A51</f>
        <v>4.0067778920639805</v>
      </c>
      <c r="E51">
        <f t="shared" si="7"/>
        <v>4.1594886980379702</v>
      </c>
      <c r="F51">
        <f t="shared" si="8"/>
        <v>-9.752730885002693</v>
      </c>
      <c r="G51" s="5">
        <f>B51-regressions!AA$7</f>
        <v>-5.4604636913396876</v>
      </c>
      <c r="H51" s="5">
        <f>B51+regressions!AA$7</f>
        <v>1.9821134895902224</v>
      </c>
      <c r="I51">
        <f>IF($A51&lt;=regressions!$L$2,$A51*regressions!$L$1,regressions!$L$1*regressions!$L$2+regressions!$L$3*($A51-regressions!$L$2))</f>
        <v>-2.2253835411695149</v>
      </c>
      <c r="J51">
        <f>regressions!J$1*A51+regressions!J$2*A51^2</f>
        <v>-1.9101316225118079</v>
      </c>
      <c r="K51">
        <f>regressions!$V$1*A51</f>
        <v>-2.2253835474520556</v>
      </c>
      <c r="L51">
        <f>regressions!$N$1*A51^2</f>
        <v>-1.3660797288876587</v>
      </c>
      <c r="M51">
        <f>regressions!$R$1*A51^2+regressions!$R$2*A51^6</f>
        <v>-1.4826033172599313</v>
      </c>
      <c r="N51">
        <f>regressions!$P$1*A51^2+regressions!$P$2*A51^7</f>
        <v>-1.4381248331526024</v>
      </c>
      <c r="O51">
        <f>regressions!T$2+regressions!T$1*EXP(A51)</f>
        <v>-0.12069474115752801</v>
      </c>
      <c r="P51" s="20">
        <f>(1-EXP(-2*regressions!X$1*graph!A51))/2/EXP(-regressions!X$1*A51)</f>
        <v>-1.402846530774233</v>
      </c>
      <c r="S51" s="64"/>
      <c r="T51" s="64"/>
      <c r="U51" s="64"/>
      <c r="V51" s="64"/>
      <c r="W51" s="64"/>
      <c r="X51" s="64"/>
      <c r="AT51" s="33"/>
      <c r="AW51" s="33"/>
      <c r="AZ51" s="33"/>
    </row>
    <row r="52" spans="1:52" x14ac:dyDescent="0.35">
      <c r="A52">
        <f t="shared" ref="A52:A203" si="9">0.1+A51</f>
        <v>2.9000000000000012</v>
      </c>
      <c r="B52">
        <f t="shared" si="0"/>
        <v>-1.8281045186978768</v>
      </c>
      <c r="C52">
        <f>regressions!$AR$1*$A52</f>
        <v>3.0546651815797929</v>
      </c>
      <c r="D52">
        <f>regressions!$AO$1*$A52</f>
        <v>4.1498771024948367</v>
      </c>
      <c r="E52">
        <f t="shared" si="7"/>
        <v>4.2812258444617086</v>
      </c>
      <c r="F52">
        <f t="shared" si="8"/>
        <v>-10.127858723687551</v>
      </c>
      <c r="G52" s="5">
        <f>B52-regressions!AA$7</f>
        <v>-5.5493931091628319</v>
      </c>
      <c r="H52" s="5">
        <f>B52+regressions!AA$7</f>
        <v>1.8931840717670783</v>
      </c>
      <c r="I52">
        <f>IF($A52&lt;=regressions!$L$2,$A52*regressions!$L$1,regressions!$L$1*regressions!$L$2+regressions!$L$3*($A52-regressions!$L$2))</f>
        <v>-2.3048615247827122</v>
      </c>
      <c r="J52">
        <f>regressions!J$1*A52+regressions!J$2*A52^2</f>
        <v>-2.002053273462745</v>
      </c>
      <c r="K52">
        <f>regressions!$V$1*A52</f>
        <v>-2.304861531289629</v>
      </c>
      <c r="L52">
        <f>regressions!$N$1*A52^2</f>
        <v>-1.4653993010134199</v>
      </c>
      <c r="M52">
        <f>regressions!$R$1*A52^2+regressions!$R$2*A52^6</f>
        <v>-1.5895372140989192</v>
      </c>
      <c r="N52">
        <f>regressions!$P$1*A52^2+regressions!$P$2*A52^7</f>
        <v>-1.5424088261982234</v>
      </c>
      <c r="O52">
        <f>regressions!T$2+regressions!T$1*EXP(A52)</f>
        <v>-0.13421019338854415</v>
      </c>
      <c r="P52" s="20">
        <f>(1-EXP(-2*regressions!X$1*graph!A52))/2/EXP(-regressions!X$1*A52)</f>
        <v>-1.4741474406155584</v>
      </c>
      <c r="Q52" s="55">
        <f>Table1!$E33</f>
        <v>-2</v>
      </c>
      <c r="S52" s="64"/>
      <c r="T52" s="64"/>
      <c r="U52" s="64"/>
      <c r="V52" s="64"/>
      <c r="W52" s="64"/>
      <c r="X52" s="64"/>
      <c r="AB52" s="59">
        <f>Table1!$E31</f>
        <v>-1.8</v>
      </c>
      <c r="AE52" s="1"/>
      <c r="AN52">
        <f t="shared" si="4"/>
        <v>-1.9</v>
      </c>
      <c r="AO52" s="1">
        <f>MIN(Q52:AM52)</f>
        <v>-2</v>
      </c>
      <c r="AP52" s="1">
        <f>MAX(Q52:AM52)</f>
        <v>-1.8</v>
      </c>
      <c r="AT52" s="33"/>
      <c r="AW52" s="33"/>
      <c r="AZ52" s="33"/>
    </row>
    <row r="53" spans="1:52" x14ac:dyDescent="0.35">
      <c r="A53">
        <f t="shared" si="9"/>
        <v>3.0000000000000013</v>
      </c>
      <c r="B53">
        <f t="shared" si="0"/>
        <v>-1.9190280160093469</v>
      </c>
      <c r="C53">
        <f>regressions!$AR$1*$A53</f>
        <v>3.1599984637032339</v>
      </c>
      <c r="D53">
        <f>regressions!$AO$1*$A53</f>
        <v>4.2929763129256937</v>
      </c>
      <c r="E53">
        <f t="shared" si="7"/>
        <v>4.4009689113971211</v>
      </c>
      <c r="F53">
        <f t="shared" si="8"/>
        <v>-10.504980641860735</v>
      </c>
      <c r="G53" s="5">
        <f>B53-regressions!AA$7</f>
        <v>-5.6403166064743022</v>
      </c>
      <c r="H53" s="5">
        <f>B53+regressions!AA$7</f>
        <v>1.8022605744556082</v>
      </c>
      <c r="I53">
        <f>IF($A53&lt;=regressions!$L$2,$A53*regressions!$L$1,regressions!$L$1*regressions!$L$2+regressions!$L$3*($A53-regressions!$L$2))</f>
        <v>-2.3843395083959091</v>
      </c>
      <c r="J53">
        <f>regressions!J$1*A53+regressions!J$2*A53^2</f>
        <v>-2.0956095909262786</v>
      </c>
      <c r="K53">
        <f>regressions!$V$1*A53</f>
        <v>-2.3843395151272024</v>
      </c>
      <c r="L53">
        <f>regressions!$N$1*A53^2</f>
        <v>-1.5682037704067511</v>
      </c>
      <c r="M53">
        <f>regressions!$R$1*A53^2+regressions!$R$2*A53^6</f>
        <v>-1.7000329651781121</v>
      </c>
      <c r="N53">
        <f>regressions!$P$1*A53^2+regressions!$P$2*A53^7</f>
        <v>-1.6502798366921265</v>
      </c>
      <c r="O53">
        <f>regressions!T$2+regressions!T$1*EXP(A53)</f>
        <v>-0.14914707813890377</v>
      </c>
      <c r="P53" s="20">
        <f>(1-EXP(-2*regressions!X$1*graph!A53))/2/EXP(-regressions!X$1*A53)</f>
        <v>-1.5478907500015644</v>
      </c>
      <c r="Q53" s="55">
        <f>Table1!$E5</f>
        <v>-1</v>
      </c>
      <c r="R53" s="63">
        <f>Table1!$E6</f>
        <v>-1.33</v>
      </c>
      <c r="S53" s="62">
        <f>Table1!$E69</f>
        <v>-0.7</v>
      </c>
      <c r="T53" s="63">
        <f>Table1!$E28</f>
        <v>-2.5</v>
      </c>
      <c r="U53" s="63"/>
      <c r="V53" s="63"/>
      <c r="W53" s="63"/>
      <c r="X53" s="63"/>
      <c r="Y53" s="50">
        <f>Table1!$E7</f>
        <v>-3.6</v>
      </c>
      <c r="Z53" s="52">
        <f>Table1!$E43</f>
        <v>-9.1999999999999993</v>
      </c>
      <c r="AA53" s="52">
        <f>Table1!$E45</f>
        <v>-8.5</v>
      </c>
      <c r="AB53" s="57">
        <f>Table1!$E34</f>
        <v>-0.71756668095998166</v>
      </c>
      <c r="AC53" s="57">
        <f>Table1!$E37</f>
        <v>-1.8369485050307706</v>
      </c>
      <c r="AD53" s="1"/>
      <c r="AE53" s="53">
        <f>Table1!$E26</f>
        <v>-0.93</v>
      </c>
      <c r="AF53" s="53">
        <f>Table1!$E27</f>
        <v>-1.05</v>
      </c>
      <c r="AK53" s="5"/>
      <c r="AL53" s="1"/>
      <c r="AM53" s="1"/>
      <c r="AN53">
        <f t="shared" si="4"/>
        <v>-2.8513195623627956</v>
      </c>
      <c r="AO53" s="1">
        <f>MIN(Q53:AM53)</f>
        <v>-9.1999999999999993</v>
      </c>
      <c r="AP53" s="1">
        <f>MAX(Q53:AM53)</f>
        <v>-0.7</v>
      </c>
      <c r="AT53" s="33"/>
      <c r="AW53" s="33"/>
      <c r="AZ53" s="33"/>
    </row>
    <row r="54" spans="1:52" x14ac:dyDescent="0.35">
      <c r="A54">
        <f t="shared" si="9"/>
        <v>3.1000000000000014</v>
      </c>
      <c r="B54">
        <f t="shared" si="0"/>
        <v>-2.0119611339549599</v>
      </c>
      <c r="C54">
        <f>regressions!$AR$1*$A54</f>
        <v>3.2653317458266753</v>
      </c>
      <c r="D54">
        <f>regressions!$AO$1*$A54</f>
        <v>4.4360755233565499</v>
      </c>
      <c r="E54">
        <f t="shared" si="7"/>
        <v>4.5187023576983911</v>
      </c>
      <c r="F54">
        <f t="shared" si="8"/>
        <v>-10.88411218066806</v>
      </c>
      <c r="G54" s="5">
        <f>B54-regressions!AA$7</f>
        <v>-5.733249724419915</v>
      </c>
      <c r="H54" s="5">
        <f>B54+regressions!AA$7</f>
        <v>1.7093274565099952</v>
      </c>
      <c r="I54">
        <f>IF($A54&lt;=regressions!$L$2,$A54*regressions!$L$1,regressions!$L$1*regressions!$L$2+regressions!$L$3*($A54-regressions!$L$2))</f>
        <v>-2.463817492009106</v>
      </c>
      <c r="J54">
        <f>regressions!J$1*A54+regressions!J$2*A54^2</f>
        <v>-2.19080057490241</v>
      </c>
      <c r="K54">
        <f>regressions!$V$1*A54</f>
        <v>-2.4638174989647759</v>
      </c>
      <c r="L54">
        <f>regressions!$N$1*A54^2</f>
        <v>-1.6744931370676532</v>
      </c>
      <c r="M54">
        <f>regressions!$R$1*A54^2+regressions!$R$2*A54^6</f>
        <v>-1.8140566323083309</v>
      </c>
      <c r="N54">
        <f>regressions!$P$1*A54^2+regressions!$P$2*A54^7</f>
        <v>-1.7617221652393396</v>
      </c>
      <c r="O54">
        <f>regressions!T$2+regressions!T$1*EXP(A54)</f>
        <v>-0.16565488877164888</v>
      </c>
      <c r="P54" s="20">
        <f>(1-EXP(-2*regressions!X$1*graph!A54))/2/EXP(-regressions!X$1*A54)</f>
        <v>-1.6241986384512765</v>
      </c>
      <c r="AK54" s="1"/>
      <c r="AL54" s="1"/>
      <c r="AT54" s="33"/>
      <c r="AW54" s="33"/>
      <c r="AZ54" s="33"/>
    </row>
    <row r="55" spans="1:52" x14ac:dyDescent="0.35">
      <c r="A55">
        <f t="shared" si="9"/>
        <v>3.2000000000000015</v>
      </c>
      <c r="B55">
        <f t="shared" si="0"/>
        <v>-2.1069194875258375</v>
      </c>
      <c r="C55">
        <f>regressions!$AR$1*$A55</f>
        <v>3.3706650279501162</v>
      </c>
      <c r="D55">
        <f>regressions!$AO$1*$A55</f>
        <v>4.579174733787406</v>
      </c>
      <c r="E55">
        <f t="shared" si="7"/>
        <v>4.6344105683743955</v>
      </c>
      <c r="F55">
        <f t="shared" si="8"/>
        <v>-11.26526895510065</v>
      </c>
      <c r="G55" s="5">
        <f>B55-regressions!AA$7</f>
        <v>-5.8282080779907925</v>
      </c>
      <c r="H55" s="5">
        <f>B55+regressions!AA$7</f>
        <v>1.6143691029391176</v>
      </c>
      <c r="I55">
        <f>IF($A55&lt;=regressions!$L$2,$A55*regressions!$L$1,regressions!$L$1*regressions!$L$2+regressions!$L$3*($A55-regressions!$L$2))</f>
        <v>-2.543295475622303</v>
      </c>
      <c r="J55">
        <f>regressions!J$1*A55+regressions!J$2*A55^2</f>
        <v>-2.2876262253911381</v>
      </c>
      <c r="K55">
        <f>regressions!$V$1*A55</f>
        <v>-2.5432954828023497</v>
      </c>
      <c r="L55">
        <f>regressions!$N$1*A55^2</f>
        <v>-1.7842674009961259</v>
      </c>
      <c r="M55">
        <f>regressions!$R$1*A55^2+regressions!$R$2*A55^6</f>
        <v>-1.9315707097256636</v>
      </c>
      <c r="N55">
        <f>regressions!$P$1*A55^2+regressions!$P$2*A55^7</f>
        <v>-1.8767178749972961</v>
      </c>
      <c r="O55">
        <f>regressions!T$2+regressions!T$1*EXP(A55)</f>
        <v>-0.18389884100405871</v>
      </c>
      <c r="P55" s="20">
        <f>(1-EXP(-2*regressions!X$1*graph!A55))/2/EXP(-regressions!X$1*A55)</f>
        <v>-1.7031975345340966</v>
      </c>
      <c r="Q55" s="1"/>
      <c r="AE55" s="53">
        <f>Table1!$E29</f>
        <v>-5.1135252093739076</v>
      </c>
      <c r="AN55">
        <f t="shared" si="4"/>
        <v>-5.1135252093739076</v>
      </c>
      <c r="AO55" s="1">
        <f>MIN(Q55:AM55)</f>
        <v>-5.1135252093739076</v>
      </c>
      <c r="AP55" s="1">
        <f>MAX(Q55:AM55)</f>
        <v>-5.1135252093739076</v>
      </c>
      <c r="AT55" s="33"/>
      <c r="AW55" s="33"/>
      <c r="AZ55" s="33"/>
    </row>
    <row r="56" spans="1:52" x14ac:dyDescent="0.35">
      <c r="A56">
        <f t="shared" si="9"/>
        <v>3.3000000000000016</v>
      </c>
      <c r="B56">
        <f t="shared" si="0"/>
        <v>-2.2039187483071188</v>
      </c>
      <c r="C56">
        <f>regressions!$AR$1*$A56</f>
        <v>3.4759983100735576</v>
      </c>
      <c r="D56">
        <f>regressions!$AO$1*$A56</f>
        <v>4.7222739442182631</v>
      </c>
      <c r="E56">
        <f t="shared" si="7"/>
        <v>4.7480778718399961</v>
      </c>
      <c r="F56">
        <f t="shared" si="8"/>
        <v>-11.648466636743645</v>
      </c>
      <c r="G56" s="5">
        <f>B56-regressions!AA$7</f>
        <v>-5.9252073387720738</v>
      </c>
      <c r="H56" s="5">
        <f>B56+regressions!AA$7</f>
        <v>1.5173698421578363</v>
      </c>
      <c r="I56">
        <f>IF($A56&lt;=regressions!$L$2,$A56*regressions!$L$1,regressions!$L$1*regressions!$L$2+regressions!$L$3*($A56-regressions!$L$2))</f>
        <v>-2.6227734592355003</v>
      </c>
      <c r="J56">
        <f>regressions!J$1*A56+regressions!J$2*A56^2</f>
        <v>-2.386086542392464</v>
      </c>
      <c r="K56">
        <f>regressions!$V$1*A56</f>
        <v>-2.6227734666399232</v>
      </c>
      <c r="L56">
        <f>regressions!$N$1*A56^2</f>
        <v>-1.8975265621921693</v>
      </c>
      <c r="M56">
        <f>regressions!$R$1*A56^2+regressions!$R$2*A56^6</f>
        <v>-2.0525338823787012</v>
      </c>
      <c r="N56">
        <f>regressions!$P$1*A56^2+regressions!$P$2*A56^7</f>
        <v>-1.9952465605639738</v>
      </c>
      <c r="O56">
        <f>regressions!T$2+regressions!T$1*EXP(A56)</f>
        <v>-0.20406152644207937</v>
      </c>
      <c r="P56" s="20">
        <f>(1-EXP(-2*regressions!X$1*graph!A56))/2/EXP(-regressions!X$1*A56)</f>
        <v>-1.7850183253394087</v>
      </c>
      <c r="AK56" s="1"/>
      <c r="AL56" s="1"/>
      <c r="AT56" s="33"/>
      <c r="AW56" s="33"/>
      <c r="AZ56" s="33"/>
    </row>
    <row r="57" spans="1:52" x14ac:dyDescent="0.35">
      <c r="A57">
        <f t="shared" si="9"/>
        <v>3.4000000000000017</v>
      </c>
      <c r="B57">
        <f t="shared" si="0"/>
        <v>-2.3029746259628516</v>
      </c>
      <c r="C57">
        <f>regressions!$AR$1*$A57</f>
        <v>3.5813315921969986</v>
      </c>
      <c r="D57">
        <f>regressions!$AO$1*$A57</f>
        <v>4.8653731546491192</v>
      </c>
      <c r="E57">
        <f t="shared" si="7"/>
        <v>4.8596885584311451</v>
      </c>
      <c r="F57">
        <f t="shared" si="8"/>
        <v>-12.033720935261091</v>
      </c>
      <c r="G57" s="5">
        <f>B57-regressions!AA$7</f>
        <v>-6.0242632164278067</v>
      </c>
      <c r="H57" s="5">
        <f>B57+regressions!AA$7</f>
        <v>1.4183139645021035</v>
      </c>
      <c r="I57">
        <f>IF($A57&lt;=regressions!$L$2,$A57*regressions!$L$1,regressions!$L$1*regressions!$L$2+regressions!$L$3*($A57-regressions!$L$2))</f>
        <v>-2.7022514428486972</v>
      </c>
      <c r="J57">
        <f>regressions!J$1*A57+regressions!J$2*A57^2</f>
        <v>-2.4861815259063862</v>
      </c>
      <c r="K57">
        <f>regressions!$V$1*A57</f>
        <v>-2.7022514504774966</v>
      </c>
      <c r="L57">
        <f>regressions!$N$1*A57^2</f>
        <v>-2.014270620655783</v>
      </c>
      <c r="M57">
        <f>regressions!$R$1*A57^2+regressions!$R$2*A57^6</f>
        <v>-2.1769007762907644</v>
      </c>
      <c r="N57">
        <f>regressions!$P$1*A57^2+regressions!$P$2*A57^7</f>
        <v>-2.1172851014696077</v>
      </c>
      <c r="O57">
        <f>regressions!T$2+regressions!T$1*EXP(A57)</f>
        <v>-0.22634474001848717</v>
      </c>
      <c r="P57" s="20">
        <f>(1-EXP(-2*regressions!X$1*graph!A57))/2/EXP(-regressions!X$1*A57)</f>
        <v>-1.8697965733331512</v>
      </c>
      <c r="AT57" s="33"/>
      <c r="AW57" s="33"/>
      <c r="AZ57" s="33"/>
    </row>
    <row r="58" spans="1:52" x14ac:dyDescent="0.35">
      <c r="A58">
        <f t="shared" si="9"/>
        <v>3.5000000000000018</v>
      </c>
      <c r="B58">
        <f t="shared" si="0"/>
        <v>-2.404102848480016</v>
      </c>
      <c r="C58">
        <f>regressions!$AR$1*$A58</f>
        <v>3.68666487432044</v>
      </c>
      <c r="D58">
        <f>regressions!$AO$1*$A58</f>
        <v>5.0084723650799763</v>
      </c>
      <c r="E58">
        <f t="shared" si="7"/>
        <v>4.969226900160864</v>
      </c>
      <c r="F58">
        <f t="shared" si="8"/>
        <v>-12.421047578639968</v>
      </c>
      <c r="G58" s="5">
        <f>B58-regressions!AA$7</f>
        <v>-6.1253914389449715</v>
      </c>
      <c r="H58" s="5">
        <f>B58+regressions!AA$7</f>
        <v>1.3171857419849391</v>
      </c>
      <c r="I58">
        <f>IF($A58&lt;=regressions!$L$2,$A58*regressions!$L$1,regressions!$L$1*regressions!$L$2+regressions!$L$3*($A58-regressions!$L$2))</f>
        <v>-2.7817294264618941</v>
      </c>
      <c r="J58">
        <f>regressions!J$1*A58+regressions!J$2*A58^2</f>
        <v>-2.5879111759329061</v>
      </c>
      <c r="K58">
        <f>regressions!$V$1*A58</f>
        <v>-2.78172943431507</v>
      </c>
      <c r="L58">
        <f>regressions!$N$1*A58^2</f>
        <v>-2.1344995763869674</v>
      </c>
      <c r="M58">
        <f>regressions!$R$1*A58^2+regressions!$R$2*A58^6</f>
        <v>-2.304621700997123</v>
      </c>
      <c r="N58">
        <f>regressions!$P$1*A58^2+regressions!$P$2*A58^7</f>
        <v>-2.2428073997753284</v>
      </c>
      <c r="O58">
        <f>regressions!T$2+regressions!T$1*EXP(A58)</f>
        <v>-0.25097149962440152</v>
      </c>
      <c r="P58" s="20">
        <f>(1-EXP(-2*regressions!X$1*graph!A58))/2/EXP(-regressions!X$1*A58)</f>
        <v>-1.9576727409606636</v>
      </c>
      <c r="AT58" s="33"/>
      <c r="AW58" s="33"/>
      <c r="AZ58" s="33"/>
    </row>
    <row r="59" spans="1:52" x14ac:dyDescent="0.35">
      <c r="A59">
        <f t="shared" si="9"/>
        <v>3.6000000000000019</v>
      </c>
      <c r="B59">
        <f t="shared" si="0"/>
        <v>-2.5073191411987712</v>
      </c>
      <c r="C59">
        <f>regressions!$AR$1*$A59</f>
        <v>3.7919981564438809</v>
      </c>
      <c r="D59">
        <f>regressions!$AO$1*$A59</f>
        <v>5.1515715755108324</v>
      </c>
      <c r="E59">
        <f t="shared" si="7"/>
        <v>5.0766771716889902</v>
      </c>
      <c r="F59">
        <f t="shared" si="8"/>
        <v>-12.810462292220436</v>
      </c>
      <c r="G59" s="5">
        <f>B59-regressions!AA$7</f>
        <v>-6.2286077316637263</v>
      </c>
      <c r="H59" s="5">
        <f>B59+regressions!AA$7</f>
        <v>1.2139694492661839</v>
      </c>
      <c r="I59">
        <f>IF($A59&lt;=regressions!$L$2,$A59*regressions!$L$1,regressions!$L$1*regressions!$L$2+regressions!$L$3*($A59-regressions!$L$2))</f>
        <v>-2.8612074100750911</v>
      </c>
      <c r="J59">
        <f>regressions!J$1*A59+regressions!J$2*A59^2</f>
        <v>-2.6912754924720228</v>
      </c>
      <c r="K59">
        <f>regressions!$V$1*A59</f>
        <v>-2.8612074181526435</v>
      </c>
      <c r="L59">
        <f>regressions!$N$1*A59^2</f>
        <v>-2.2582134293857221</v>
      </c>
      <c r="M59">
        <f>regressions!$R$1*A59^2+regressions!$R$2*A59^6</f>
        <v>-2.4356423840572048</v>
      </c>
      <c r="N59">
        <f>regressions!$P$1*A59^2+regressions!$P$2*A59^7</f>
        <v>-2.3717841012820582</v>
      </c>
      <c r="O59">
        <f>regressions!T$2+regressions!T$1*EXP(A59)</f>
        <v>-0.27818827814729813</v>
      </c>
      <c r="P59" s="20">
        <f>(1-EXP(-2*regressions!X$1*graph!A59))/2/EXP(-regressions!X$1*A59)</f>
        <v>-2.0487924233679178</v>
      </c>
      <c r="AT59" s="33"/>
      <c r="AW59" s="33"/>
      <c r="AZ59" s="33"/>
    </row>
    <row r="60" spans="1:52" x14ac:dyDescent="0.35">
      <c r="A60">
        <f t="shared" si="9"/>
        <v>3.700000000000002</v>
      </c>
      <c r="B60">
        <f t="shared" si="0"/>
        <v>-2.6126392046604776</v>
      </c>
      <c r="C60">
        <f>regressions!$AR$1*$A60</f>
        <v>3.8973314385673223</v>
      </c>
      <c r="D60">
        <f>regressions!$AO$1*$A60</f>
        <v>5.2946707859416886</v>
      </c>
      <c r="E60">
        <f t="shared" si="7"/>
        <v>5.1820236724741671</v>
      </c>
      <c r="F60">
        <f t="shared" si="8"/>
        <v>-13.201980776543856</v>
      </c>
      <c r="G60" s="5">
        <f>B60-regressions!AA$7</f>
        <v>-6.3339277951254331</v>
      </c>
      <c r="H60" s="5">
        <f>B60+regressions!AA$7</f>
        <v>1.1086493858044775</v>
      </c>
      <c r="I60">
        <f>IF($A60&lt;=regressions!$L$2,$A60*regressions!$L$1,regressions!$L$1*regressions!$L$2+regressions!$L$3*($A60-regressions!$L$2))</f>
        <v>-2.940685393688288</v>
      </c>
      <c r="J60">
        <f>regressions!J$1*A60+regressions!J$2*A60^2</f>
        <v>-2.7962744755237363</v>
      </c>
      <c r="K60">
        <f>regressions!$V$1*A60</f>
        <v>-2.9406854019902169</v>
      </c>
      <c r="L60">
        <f>regressions!$N$1*A60^2</f>
        <v>-2.3854121796520475</v>
      </c>
      <c r="M60">
        <f>regressions!$R$1*A60^2+regressions!$R$2*A60^6</f>
        <v>-2.5699036976417977</v>
      </c>
      <c r="N60">
        <f>regressions!$P$1*A60^2+regressions!$P$2*A60^7</f>
        <v>-2.5041822998530123</v>
      </c>
      <c r="O60">
        <f>regressions!T$2+regressions!T$1*EXP(A60)</f>
        <v>-0.30826747025450935</v>
      </c>
      <c r="P60" s="20">
        <f>(1-EXP(-2*regressions!X$1*graph!A60))/2/EXP(-regressions!X$1*A60)</f>
        <v>-2.1433065896267252</v>
      </c>
      <c r="Q60" s="5"/>
      <c r="AE60" s="58">
        <f>Table1!$E48</f>
        <v>-3.7</v>
      </c>
      <c r="AN60">
        <f t="shared" si="4"/>
        <v>-3.7</v>
      </c>
      <c r="AO60" s="1">
        <f>MIN(Q60:AM60)</f>
        <v>-3.7</v>
      </c>
      <c r="AP60" s="1">
        <f>MAX(Q60:AM60)</f>
        <v>-3.7</v>
      </c>
      <c r="AT60" s="33"/>
      <c r="AW60" s="33"/>
      <c r="AZ60" s="33"/>
    </row>
    <row r="61" spans="1:52" x14ac:dyDescent="0.35">
      <c r="A61">
        <f t="shared" si="9"/>
        <v>3.800000000000002</v>
      </c>
      <c r="B61">
        <f t="shared" si="0"/>
        <v>-2.7200786913098463</v>
      </c>
      <c r="C61">
        <f>regressions!$AR$1*$A61</f>
        <v>4.0026647206907633</v>
      </c>
      <c r="D61">
        <f>regressions!$AO$1*$A61</f>
        <v>5.4377699963725457</v>
      </c>
      <c r="E61">
        <f t="shared" si="7"/>
        <v>5.2852507500716808</v>
      </c>
      <c r="F61">
        <f t="shared" si="8"/>
        <v>-13.595618684054937</v>
      </c>
      <c r="G61" s="5">
        <f>B61-regressions!AA$7</f>
        <v>-6.4413672817748013</v>
      </c>
      <c r="H61" s="5">
        <f>B61+regressions!AA$7</f>
        <v>1.0012098991551088</v>
      </c>
      <c r="I61">
        <f>IF($A61&lt;=regressions!$L$2,$A61*regressions!$L$1,regressions!$L$1*regressions!$L$2+regressions!$L$3*($A61-regressions!$L$2))</f>
        <v>-3.0201633773014853</v>
      </c>
      <c r="J61">
        <f>regressions!J$1*A61+regressions!J$2*A61^2</f>
        <v>-2.9029081250880475</v>
      </c>
      <c r="K61">
        <f>regressions!$V$1*A61</f>
        <v>-3.0201633858277903</v>
      </c>
      <c r="L61">
        <f>regressions!$N$1*A61^2</f>
        <v>-2.5160958271859437</v>
      </c>
      <c r="M61">
        <f>regressions!$R$1*A61^2+regressions!$R$2*A61^6</f>
        <v>-2.7073413771952404</v>
      </c>
      <c r="N61">
        <f>regressions!$P$1*A61^2+regressions!$P$2*A61^7</f>
        <v>-2.6399652243531446</v>
      </c>
      <c r="O61">
        <f>regressions!T$2+regressions!T$1*EXP(A61)</f>
        <v>-0.34151011861060976</v>
      </c>
      <c r="P61" s="20">
        <f>(1-EXP(-2*regressions!X$1*graph!A61))/2/EXP(-regressions!X$1*A61)</f>
        <v>-2.2413718328635786</v>
      </c>
      <c r="AT61" s="33"/>
      <c r="AW61" s="33"/>
      <c r="AZ61" s="33"/>
    </row>
    <row r="62" spans="1:52" x14ac:dyDescent="0.35">
      <c r="A62">
        <f t="shared" si="9"/>
        <v>3.9000000000000021</v>
      </c>
      <c r="B62">
        <f t="shared" si="0"/>
        <v>-2.8296531810926848</v>
      </c>
      <c r="C62">
        <f>regressions!$AR$1*$A62</f>
        <v>4.1079980028142042</v>
      </c>
      <c r="D62">
        <f>regressions!$AO$1*$A62</f>
        <v>5.5808692068034018</v>
      </c>
      <c r="E62">
        <f t="shared" si="7"/>
        <v>5.3863428245357241</v>
      </c>
      <c r="F62">
        <f t="shared" si="8"/>
        <v>-13.991391594699488</v>
      </c>
      <c r="G62" s="5">
        <f>B62-regressions!AA$7</f>
        <v>-6.5509417715576399</v>
      </c>
      <c r="H62" s="5">
        <f>B62+regressions!AA$7</f>
        <v>0.89163540937227026</v>
      </c>
      <c r="I62">
        <f>IF($A62&lt;=regressions!$L$2,$A62*regressions!$L$1,regressions!$L$1*regressions!$L$2+regressions!$L$3*($A62-regressions!$L$2))</f>
        <v>-3.0996413609146822</v>
      </c>
      <c r="J62">
        <f>regressions!J$1*A62+regressions!J$2*A62^2</f>
        <v>-3.011176441164956</v>
      </c>
      <c r="K62">
        <f>regressions!$V$1*A62</f>
        <v>-3.0996413696653637</v>
      </c>
      <c r="L62">
        <f>regressions!$N$1*A62^2</f>
        <v>-2.6502643719874102</v>
      </c>
      <c r="M62">
        <f>regressions!$R$1*A62^2+regressions!$R$2*A62^6</f>
        <v>-2.8478857321726094</v>
      </c>
      <c r="N62">
        <f>regressions!$P$1*A62^2+regressions!$P$2*A62^7</f>
        <v>-2.779091907708878</v>
      </c>
      <c r="O62">
        <f>regressions!T$2+regressions!T$1*EXP(A62)</f>
        <v>-0.37824892681358718</v>
      </c>
      <c r="P62" s="20">
        <f>(1-EXP(-2*regressions!X$1*graph!A62))/2/EXP(-regressions!X$1*A62)</f>
        <v>-2.3431506297065487</v>
      </c>
      <c r="AT62" s="33"/>
      <c r="AW62" s="33"/>
      <c r="AZ62" s="33"/>
    </row>
    <row r="63" spans="1:52" x14ac:dyDescent="0.35">
      <c r="A63">
        <f t="shared" si="9"/>
        <v>4.0000000000000018</v>
      </c>
      <c r="B63">
        <f t="shared" si="0"/>
        <v>-2.9413781559962975</v>
      </c>
      <c r="C63">
        <f>regressions!$AR$1*$A63</f>
        <v>4.2133312849376452</v>
      </c>
      <c r="D63">
        <f>regressions!$AO$1*$A63</f>
        <v>5.723968417234258</v>
      </c>
      <c r="E63">
        <f t="shared" si="7"/>
        <v>5.4852844138789933</v>
      </c>
      <c r="F63">
        <f t="shared" si="8"/>
        <v>-14.389314990464813</v>
      </c>
      <c r="G63" s="5">
        <f>B63-regressions!AA$7</f>
        <v>-6.6626667464612526</v>
      </c>
      <c r="H63" s="5">
        <f>B63+regressions!AA$7</f>
        <v>0.7799104344686576</v>
      </c>
      <c r="I63">
        <f>IF($A63&lt;=regressions!$L$2,$A63*regressions!$L$1,regressions!$L$1*regressions!$L$2+regressions!$L$3*($A63-regressions!$L$2))</f>
        <v>-3.1791193445278787</v>
      </c>
      <c r="J63">
        <f>regressions!J$1*A63+regressions!J$2*A63^2</f>
        <v>-3.1210794237544608</v>
      </c>
      <c r="K63">
        <f>regressions!$V$1*A63</f>
        <v>-3.1791193535029367</v>
      </c>
      <c r="L63">
        <f>regressions!$N$1*A63^2</f>
        <v>-2.7879178140564469</v>
      </c>
      <c r="M63">
        <f>regressions!$R$1*A63^2+regressions!$R$2*A63^6</f>
        <v>-2.9914613488518889</v>
      </c>
      <c r="N63">
        <f>regressions!$P$1*A63^2+regressions!$P$2*A63^7</f>
        <v>-2.9215168375914611</v>
      </c>
      <c r="O63">
        <f>regressions!T$2+regressions!T$1*EXP(A63)</f>
        <v>-0.41885158920427662</v>
      </c>
      <c r="P63" s="20">
        <f>(1-EXP(-2*regressions!X$1*graph!A63))/2/EXP(-regressions!X$1*A63)</f>
        <v>-2.4488116094800962</v>
      </c>
      <c r="Q63" s="5"/>
      <c r="AB63" s="61">
        <f>Table1!$E41</f>
        <v>-4.6911160007283899</v>
      </c>
      <c r="AC63" s="49">
        <f>Table1!$E71</f>
        <v>-1.8</v>
      </c>
      <c r="AD63" s="61">
        <f>Table1!$E38</f>
        <v>-2.7931051587285425</v>
      </c>
      <c r="AE63" s="58">
        <f>Table1!$E17</f>
        <v>-0.04</v>
      </c>
      <c r="AF63" s="58">
        <f>Table1!$E16</f>
        <v>-0.01</v>
      </c>
      <c r="AN63">
        <f t="shared" si="4"/>
        <v>-1.866844231891386</v>
      </c>
      <c r="AO63" s="1">
        <f>MIN(Q63:AM63)</f>
        <v>-4.6911160007283899</v>
      </c>
      <c r="AP63" s="1">
        <f>MAX(Q63:AM63)</f>
        <v>-0.01</v>
      </c>
      <c r="AT63" s="33"/>
      <c r="AW63" s="33"/>
      <c r="AZ63" s="33"/>
    </row>
    <row r="64" spans="1:52" x14ac:dyDescent="0.35">
      <c r="A64">
        <f t="shared" si="9"/>
        <v>4.1000000000000014</v>
      </c>
      <c r="B64">
        <f t="shared" si="0"/>
        <v>-3.0552689735855312</v>
      </c>
      <c r="C64">
        <f>regressions!$AR$1*$A64</f>
        <v>4.3186645670610861</v>
      </c>
      <c r="D64">
        <f>regressions!$AO$1*$A64</f>
        <v>5.8670676276651141</v>
      </c>
      <c r="E64">
        <f t="shared" si="7"/>
        <v>5.5820601605366411</v>
      </c>
      <c r="F64">
        <f t="shared" si="8"/>
        <v>-14.78940422891576</v>
      </c>
      <c r="G64" s="5">
        <f>B64-regressions!AA$7</f>
        <v>-6.7765575640504867</v>
      </c>
      <c r="H64" s="5">
        <f>B64+regressions!AA$7</f>
        <v>0.6660196168794239</v>
      </c>
      <c r="I64">
        <f>IF($A64&lt;=regressions!$L$2,$A64*regressions!$L$1,regressions!$L$1*regressions!$L$2+regressions!$L$3*($A64-regressions!$L$2))</f>
        <v>-3.2585973281410756</v>
      </c>
      <c r="J64">
        <f>regressions!J$1*A64+regressions!J$2*A64^2</f>
        <v>-3.2326170728565624</v>
      </c>
      <c r="K64">
        <f>regressions!$V$1*A64</f>
        <v>-3.2585973373405097</v>
      </c>
      <c r="L64">
        <f>regressions!$N$1*A64^2</f>
        <v>-2.9290561533930539</v>
      </c>
      <c r="M64">
        <f>regressions!$R$1*A64^2+regressions!$R$2*A64^6</f>
        <v>-3.1379867852211447</v>
      </c>
      <c r="N64">
        <f>regressions!$P$1*A64^2+regressions!$P$2*A64^7</f>
        <v>-3.0671895882272966</v>
      </c>
      <c r="O64">
        <f>regressions!T$2+regressions!T$1*EXP(A64)</f>
        <v>-0.46372447087491053</v>
      </c>
      <c r="P64" s="20">
        <f>(1-EXP(-2*regressions!X$1*graph!A64))/2/EXP(-regressions!X$1*A64)</f>
        <v>-2.5585298335938065</v>
      </c>
      <c r="AT64" s="33"/>
      <c r="AW64" s="33"/>
      <c r="AZ64" s="33"/>
    </row>
    <row r="65" spans="1:52" x14ac:dyDescent="0.35">
      <c r="A65">
        <f t="shared" si="9"/>
        <v>4.2000000000000011</v>
      </c>
      <c r="B65">
        <f t="shared" si="0"/>
        <v>-3.1713408395938876</v>
      </c>
      <c r="C65">
        <f>regressions!$AR$1*$A65</f>
        <v>4.4239978491845271</v>
      </c>
      <c r="D65">
        <f>regressions!$AO$1*$A65</f>
        <v>6.0101668380959694</v>
      </c>
      <c r="E65">
        <f t="shared" si="7"/>
        <v>5.6766548587751666</v>
      </c>
      <c r="F65">
        <f t="shared" si="8"/>
        <v>-15.191674515785827</v>
      </c>
      <c r="G65" s="5">
        <f>B65-regressions!AA$7</f>
        <v>-6.8926294300588431</v>
      </c>
      <c r="H65" s="5">
        <f>B65+regressions!AA$7</f>
        <v>0.54994775087106751</v>
      </c>
      <c r="I65">
        <f>IF($A65&lt;=regressions!$L$2,$A65*regressions!$L$1,regressions!$L$1*regressions!$L$2+regressions!$L$3*($A65-regressions!$L$2))</f>
        <v>-3.3380753117542721</v>
      </c>
      <c r="J65">
        <f>regressions!J$1*A65+regressions!J$2*A65^2</f>
        <v>-3.3457893884712613</v>
      </c>
      <c r="K65">
        <f>regressions!$V$1*A65</f>
        <v>-3.3380753211780831</v>
      </c>
      <c r="L65">
        <f>regressions!$N$1*A65^2</f>
        <v>-3.0736793899972312</v>
      </c>
      <c r="M65">
        <f>regressions!$R$1*A65^2+regressions!$R$2*A65^6</f>
        <v>-3.2873742579406753</v>
      </c>
      <c r="N65">
        <f>regressions!$P$1*A65^2+regressions!$P$2*A65^7</f>
        <v>-3.2160544328385732</v>
      </c>
      <c r="O65">
        <f>regressions!T$2+regressions!T$1*EXP(A65)</f>
        <v>-0.51331667470754483</v>
      </c>
      <c r="P65" s="20">
        <f>(1-EXP(-2*regressions!X$1*graph!A65))/2/EXP(-regressions!X$1*A65)</f>
        <v>-2.6724870855879375</v>
      </c>
      <c r="AT65" s="33"/>
      <c r="AW65" s="33"/>
      <c r="AZ65" s="33"/>
    </row>
    <row r="66" spans="1:52" x14ac:dyDescent="0.35">
      <c r="A66">
        <f t="shared" si="9"/>
        <v>4.3000000000000007</v>
      </c>
      <c r="B66">
        <f t="shared" si="0"/>
        <v>-3.2896087796360822</v>
      </c>
      <c r="C66">
        <f>regressions!$AR$1*$A66</f>
        <v>4.5293311313079672</v>
      </c>
      <c r="D66">
        <f>regressions!$AO$1*$A66</f>
        <v>6.1532660485268256</v>
      </c>
      <c r="E66">
        <f t="shared" si="7"/>
        <v>5.7690534829798521</v>
      </c>
      <c r="F66">
        <f t="shared" si="8"/>
        <v>-15.596140876689734</v>
      </c>
      <c r="G66" s="5">
        <f>B66-regressions!AA$7</f>
        <v>-7.0108973701010378</v>
      </c>
      <c r="H66" s="5">
        <f>B66+regressions!AA$7</f>
        <v>0.43167981082887286</v>
      </c>
      <c r="I66">
        <f>IF($A66&lt;=regressions!$L$2,$A66*regressions!$L$1,regressions!$L$1*regressions!$L$2+regressions!$L$3*($A66-regressions!$L$2))</f>
        <v>-3.4175532953674685</v>
      </c>
      <c r="J66">
        <f>regressions!J$1*A66+regressions!J$2*A66^2</f>
        <v>-3.460596370598557</v>
      </c>
      <c r="K66">
        <f>regressions!$V$1*A66</f>
        <v>-3.4175533050156561</v>
      </c>
      <c r="L66">
        <f>regressions!$N$1*A66^2</f>
        <v>-3.2217875238689793</v>
      </c>
      <c r="M66">
        <f>regressions!$R$1*A66^2+regressions!$R$2*A66^6</f>
        <v>-3.4395293213801641</v>
      </c>
      <c r="N66">
        <f>regressions!$P$1*A66^2+regressions!$P$2*A66^7</f>
        <v>-3.3680499362175551</v>
      </c>
      <c r="O66">
        <f>regressions!T$2+regressions!T$1*EXP(A66)</f>
        <v>-0.56812453614665182</v>
      </c>
      <c r="P66" s="20">
        <f>(1-EXP(-2*regressions!X$1*graph!A66))/2/EXP(-regressions!X$1*A66)</f>
        <v>-2.7908721723163463</v>
      </c>
      <c r="Q66" s="5"/>
      <c r="Y66" s="58"/>
      <c r="Z66" s="58"/>
      <c r="AA66" s="58"/>
      <c r="AB66" s="58"/>
      <c r="AC66" s="58"/>
      <c r="AD66" s="58"/>
      <c r="AE66" s="58">
        <f>Table1!$E56</f>
        <v>3.61</v>
      </c>
      <c r="AF66" s="58">
        <f>Table1!$E60</f>
        <v>-0.64</v>
      </c>
      <c r="AG66" s="58">
        <f>Table1!$E61</f>
        <v>-1.82</v>
      </c>
      <c r="AH66" s="58">
        <f>Table1!$E62</f>
        <v>-1.75</v>
      </c>
      <c r="AI66" s="58">
        <f>Table1!$E63</f>
        <v>-2.16</v>
      </c>
      <c r="AJ66" s="58">
        <f>Table1!$E55</f>
        <v>5.63</v>
      </c>
      <c r="AK66" s="58">
        <f>Table1!$E57</f>
        <v>-1.71</v>
      </c>
      <c r="AL66" s="58">
        <f>Table1!$E58</f>
        <v>-1.63</v>
      </c>
      <c r="AM66" s="58">
        <f>Table1!$E59</f>
        <v>-2.17</v>
      </c>
      <c r="AN66">
        <f t="shared" si="4"/>
        <v>-0.29333333333333339</v>
      </c>
      <c r="AO66" s="1">
        <f>MIN(Q66:AM66)</f>
        <v>-2.17</v>
      </c>
      <c r="AP66" s="1">
        <f>MAX(Q66:AM66)</f>
        <v>5.63</v>
      </c>
      <c r="AT66" s="33"/>
      <c r="AW66" s="33"/>
      <c r="AZ66" s="33"/>
    </row>
    <row r="67" spans="1:52" x14ac:dyDescent="0.35">
      <c r="A67">
        <f t="shared" si="9"/>
        <v>4.4000000000000004</v>
      </c>
      <c r="B67">
        <f t="shared" si="0"/>
        <v>-3.4100876101158581</v>
      </c>
      <c r="C67">
        <f>regressions!$AR$1*$A67</f>
        <v>4.6346644134314081</v>
      </c>
      <c r="D67">
        <f>regressions!$AO$1*$A67</f>
        <v>6.2963652589576817</v>
      </c>
      <c r="E67">
        <f t="shared" si="7"/>
        <v>5.8592412167469581</v>
      </c>
      <c r="F67">
        <f t="shared" si="8"/>
        <v>-16.002818128031222</v>
      </c>
      <c r="G67" s="5">
        <f>B67-regressions!AA$7</f>
        <v>-7.1313762005808137</v>
      </c>
      <c r="H67" s="5">
        <f>B67+regressions!AA$7</f>
        <v>0.31120098034909693</v>
      </c>
      <c r="I67">
        <f>IF($A67&lt;=regressions!$L$2,$A67*regressions!$L$1,regressions!$L$1*regressions!$L$2+regressions!$L$3*($A67-regressions!$L$2))</f>
        <v>-3.4970312789806655</v>
      </c>
      <c r="J67">
        <f>regressions!J$1*A67+regressions!J$2*A67^2</f>
        <v>-3.5770380192384508</v>
      </c>
      <c r="K67">
        <f>regressions!$V$1*A67</f>
        <v>-3.4970312888532291</v>
      </c>
      <c r="L67">
        <f>regressions!$N$1*A67^2</f>
        <v>-3.373380555008298</v>
      </c>
      <c r="M67">
        <f>regressions!$R$1*A67^2+regressions!$R$2*A67^6</f>
        <v>-3.5943505387308203</v>
      </c>
      <c r="N67">
        <f>regressions!$P$1*A67^2+regressions!$P$2*A67^7</f>
        <v>-3.5231085269378566</v>
      </c>
      <c r="O67">
        <f>regressions!T$2+regressions!T$1*EXP(A67)</f>
        <v>-0.62869659069107264</v>
      </c>
      <c r="P67" s="20">
        <f>(1-EXP(-2*regressions!X$1*graph!A67))/2/EXP(-regressions!X$1*A67)</f>
        <v>-2.91388123676579</v>
      </c>
      <c r="AT67" s="33"/>
      <c r="AW67" s="33"/>
      <c r="AZ67" s="33"/>
    </row>
    <row r="68" spans="1:52" x14ac:dyDescent="0.35">
      <c r="A68">
        <f t="shared" si="9"/>
        <v>4.5</v>
      </c>
      <c r="B68">
        <f t="shared" ref="B68:B131" si="10">SUMPRODUCT(I$2:P$2,I68:P68)</f>
        <v>-3.5327919084109718</v>
      </c>
      <c r="C68">
        <f>regressions!$AR$1*$A68</f>
        <v>4.7399976955548491</v>
      </c>
      <c r="D68">
        <f>regressions!$AO$1*$A68</f>
        <v>6.439464469388537</v>
      </c>
      <c r="E68">
        <f t="shared" si="7"/>
        <v>5.9472034826987263</v>
      </c>
      <c r="F68">
        <f t="shared" si="8"/>
        <v>-16.411720847188047</v>
      </c>
      <c r="G68" s="5">
        <f>B68-regressions!AA$7</f>
        <v>-7.2540804988759273</v>
      </c>
      <c r="H68" s="5">
        <f>B68+regressions!AA$7</f>
        <v>0.18849668205398329</v>
      </c>
      <c r="I68">
        <f>IF($A68&lt;=regressions!$L$2,$A68*regressions!$L$1,regressions!$L$1*regressions!$L$2+regressions!$L$3*($A68-regressions!$L$2))</f>
        <v>-3.5765092625938619</v>
      </c>
      <c r="J68">
        <f>regressions!J$1*A68+regressions!J$2*A68^2</f>
        <v>-3.6951143343909405</v>
      </c>
      <c r="K68">
        <f>regressions!$V$1*A68</f>
        <v>-3.5765092726908021</v>
      </c>
      <c r="L68">
        <f>regressions!$N$1*A68^2</f>
        <v>-3.5284584834151871</v>
      </c>
      <c r="M68">
        <f>regressions!$R$1*A68^2+regressions!$R$2*A68^6</f>
        <v>-3.7517291451925092</v>
      </c>
      <c r="N68">
        <f>regressions!$P$1*A68^2+regressions!$P$2*A68^7</f>
        <v>-3.681156048706054</v>
      </c>
      <c r="O68">
        <f>regressions!T$2+regressions!T$1*EXP(A68)</f>
        <v>-0.69563906382165841</v>
      </c>
      <c r="P68" s="20">
        <f>(1-EXP(-2*regressions!X$1*graph!A68))/2/EXP(-regressions!X$1*A68)</f>
        <v>-3.0417180830298922</v>
      </c>
      <c r="AT68" s="33"/>
      <c r="AW68" s="33"/>
      <c r="AZ68" s="33"/>
    </row>
    <row r="69" spans="1:52" x14ac:dyDescent="0.35">
      <c r="A69">
        <f t="shared" si="9"/>
        <v>4.5999999999999996</v>
      </c>
      <c r="B69">
        <f t="shared" si="10"/>
        <v>-3.6577359824259497</v>
      </c>
      <c r="C69">
        <f>regressions!$AR$1*$A69</f>
        <v>4.8453309776782891</v>
      </c>
      <c r="D69">
        <f>regressions!$AO$1*$A69</f>
        <v>6.5825636798193932</v>
      </c>
      <c r="E69">
        <f t="shared" si="7"/>
        <v>6.032925972930629</v>
      </c>
      <c r="F69">
        <f t="shared" si="8"/>
        <v>-16.822863342064736</v>
      </c>
      <c r="G69" s="5">
        <f>B69-regressions!AA$7</f>
        <v>-7.3790245728909047</v>
      </c>
      <c r="H69" s="5">
        <f>B69+regressions!AA$7</f>
        <v>6.355260803900542E-2</v>
      </c>
      <c r="I69">
        <f>IF($A69&lt;=regressions!$L$2,$A69*regressions!$L$1,regressions!$L$1*regressions!$L$2+regressions!$L$3*($A69-regressions!$L$2))</f>
        <v>-3.6559872462070588</v>
      </c>
      <c r="J69">
        <f>regressions!J$1*A69+regressions!J$2*A69^2</f>
        <v>-3.8148253160560279</v>
      </c>
      <c r="K69">
        <f>regressions!$V$1*A69</f>
        <v>-3.6559872565283755</v>
      </c>
      <c r="L69">
        <f>regressions!$N$1*A69^2</f>
        <v>-3.6870213090896469</v>
      </c>
      <c r="M69">
        <f>regressions!$R$1*A69^2+regressions!$R$2*A69^6</f>
        <v>-3.911548703235876</v>
      </c>
      <c r="N69">
        <f>regressions!$P$1*A69^2+regressions!$P$2*A69^7</f>
        <v>-3.842111290356971</v>
      </c>
      <c r="O69">
        <f>regressions!T$2+regressions!T$1*EXP(A69)</f>
        <v>-0.76962193830964232</v>
      </c>
      <c r="P69" s="20">
        <f>(1-EXP(-2*regressions!X$1*graph!A69))/2/EXP(-regressions!X$1*A69)</f>
        <v>-3.1745945139762006</v>
      </c>
      <c r="Q69" s="5"/>
      <c r="AE69" s="58">
        <f>Table1!$E49</f>
        <v>5.1295273109904338</v>
      </c>
      <c r="AN69">
        <f t="shared" ref="AN69:AN83" si="11">AVERAGE(Q69:AM69)</f>
        <v>5.1295273109904338</v>
      </c>
      <c r="AO69" s="1">
        <f>MIN(Q69:AM69)</f>
        <v>5.1295273109904338</v>
      </c>
      <c r="AP69" s="1">
        <f>MAX(Q69:AM69)</f>
        <v>5.1295273109904338</v>
      </c>
      <c r="AT69" s="33"/>
      <c r="AW69" s="33"/>
      <c r="AZ69" s="33"/>
    </row>
    <row r="70" spans="1:52" x14ac:dyDescent="0.35">
      <c r="A70">
        <f t="shared" si="9"/>
        <v>4.6999999999999993</v>
      </c>
      <c r="B70">
        <f t="shared" si="10"/>
        <v>-3.7849338396126493</v>
      </c>
      <c r="C70">
        <f>regressions!$AR$1*$A70</f>
        <v>4.9506642598017301</v>
      </c>
      <c r="D70">
        <f>regressions!$AO$1*$A70</f>
        <v>6.7256628902502493</v>
      </c>
      <c r="E70">
        <f t="shared" ref="E70:E83" si="12">B70+2*C70</f>
        <v>6.1163946799908109</v>
      </c>
      <c r="F70">
        <f t="shared" ref="F70:F83" si="13">B70-2*D70</f>
        <v>-17.236259620113149</v>
      </c>
      <c r="G70" s="5">
        <f>B70-regressions!AA$7</f>
        <v>-7.5062224300776048</v>
      </c>
      <c r="H70" s="5">
        <f>B70+regressions!AA$7</f>
        <v>-6.3645249147694205E-2</v>
      </c>
      <c r="I70">
        <f>IF($A70&lt;=regressions!$L$2,$A70*regressions!$L$1,regressions!$L$1*regressions!$L$2+regressions!$L$3*($A70-regressions!$L$2))</f>
        <v>-3.7354652298202553</v>
      </c>
      <c r="J70">
        <f>regressions!J$1*A70+regressions!J$2*A70^2</f>
        <v>-3.9361709642337122</v>
      </c>
      <c r="K70">
        <f>regressions!$V$1*A70</f>
        <v>-3.7354652403659485</v>
      </c>
      <c r="L70">
        <f>regressions!$N$1*A70^2</f>
        <v>-3.8490690320316769</v>
      </c>
      <c r="M70">
        <f>regressions!$R$1*A70^2+regressions!$R$2*A70^6</f>
        <v>-4.0736847499394617</v>
      </c>
      <c r="N70">
        <f>regressions!$P$1*A70^2+regressions!$P$2*A70^7</f>
        <v>-4.0058854939959829</v>
      </c>
      <c r="O70">
        <f>regressions!T$2+regressions!T$1*EXP(A70)</f>
        <v>-0.85138565962940271</v>
      </c>
      <c r="P70" s="20">
        <f>(1-EXP(-2*regressions!X$1*graph!A70))/2/EXP(-regressions!X$1*A70)</f>
        <v>-3.3127306821657809</v>
      </c>
      <c r="AT70" s="33"/>
      <c r="AW70" s="33"/>
      <c r="AZ70" s="33"/>
    </row>
    <row r="71" spans="1:52" x14ac:dyDescent="0.35">
      <c r="A71">
        <f t="shared" si="9"/>
        <v>4.7999999999999989</v>
      </c>
      <c r="B71">
        <f t="shared" si="10"/>
        <v>-3.9143991555688271</v>
      </c>
      <c r="C71">
        <f>regressions!$AR$1*$A71</f>
        <v>5.055997541925171</v>
      </c>
      <c r="D71">
        <f>regressions!$AO$1*$A71</f>
        <v>6.8687621006811046</v>
      </c>
      <c r="E71">
        <f t="shared" si="12"/>
        <v>6.1975959282815154</v>
      </c>
      <c r="F71">
        <f t="shared" si="13"/>
        <v>-17.651923356931036</v>
      </c>
      <c r="G71" s="5">
        <f>B71-regressions!AA$7</f>
        <v>-7.6356877460337822</v>
      </c>
      <c r="H71" s="5">
        <f>B71+regressions!AA$7</f>
        <v>-0.19311056510387203</v>
      </c>
      <c r="I71">
        <f>IF($A71&lt;=regressions!$L$2,$A71*regressions!$L$1,regressions!$L$1*regressions!$L$2+regressions!$L$3*($A71-regressions!$L$2))</f>
        <v>-3.8149432134334518</v>
      </c>
      <c r="J71">
        <f>regressions!J$1*A71+regressions!J$2*A71^2</f>
        <v>-4.0591512789239932</v>
      </c>
      <c r="K71">
        <f>regressions!$V$1*A71</f>
        <v>-3.8149432242035215</v>
      </c>
      <c r="L71">
        <f>regressions!$N$1*A71^2</f>
        <v>-4.0146016522412777</v>
      </c>
      <c r="M71">
        <f>regressions!$R$1*A71^2+regressions!$R$2*A71^6</f>
        <v>-4.2380044364018064</v>
      </c>
      <c r="N71">
        <f>regressions!$P$1*A71^2+regressions!$P$2*A71^7</f>
        <v>-4.1723818407916697</v>
      </c>
      <c r="O71">
        <f>regressions!T$2+regressions!T$1*EXP(A71)</f>
        <v>-0.94174854658564378</v>
      </c>
      <c r="P71" s="20">
        <f>(1-EXP(-2*regressions!X$1*graph!A71))/2/EXP(-regressions!X$1*A71)</f>
        <v>-3.4563554546067725</v>
      </c>
      <c r="AT71" s="33"/>
      <c r="AW71" s="33"/>
      <c r="AZ71" s="33"/>
    </row>
    <row r="72" spans="1:52" x14ac:dyDescent="0.35">
      <c r="A72">
        <f t="shared" si="9"/>
        <v>4.8999999999999986</v>
      </c>
      <c r="B72">
        <f t="shared" si="10"/>
        <v>-4.0461452423359443</v>
      </c>
      <c r="C72">
        <f>regressions!$AR$1*$A72</f>
        <v>5.161330824048612</v>
      </c>
      <c r="D72">
        <f>regressions!$AO$1*$A72</f>
        <v>7.0118613111119608</v>
      </c>
      <c r="E72">
        <f t="shared" si="12"/>
        <v>6.2765164057612797</v>
      </c>
      <c r="F72">
        <f t="shared" si="13"/>
        <v>-18.069867864559868</v>
      </c>
      <c r="G72" s="5">
        <f>B72-regressions!AA$7</f>
        <v>-7.7674338328008989</v>
      </c>
      <c r="H72" s="5">
        <f>B72+regressions!AA$7</f>
        <v>-0.32485665187098922</v>
      </c>
      <c r="I72">
        <f>IF($A72&lt;=regressions!$L$2,$A72*regressions!$L$1,regressions!$L$1*regressions!$L$2+regressions!$L$3*($A72-regressions!$L$2))</f>
        <v>-3.8944211970466487</v>
      </c>
      <c r="J72">
        <f>regressions!J$1*A72+regressions!J$2*A72^2</f>
        <v>-4.1837662601268724</v>
      </c>
      <c r="K72">
        <f>regressions!$V$1*A72</f>
        <v>-3.8944212080410949</v>
      </c>
      <c r="L72">
        <f>regressions!$N$1*A72^2</f>
        <v>-4.1836191697184493</v>
      </c>
      <c r="M72">
        <f>regressions!$R$1*A72^2+regressions!$R$2*A72^6</f>
        <v>-4.404366159228549</v>
      </c>
      <c r="N72">
        <f>regressions!$P$1*A72^2+regressions!$P$2*A72^7</f>
        <v>-4.3414949139221761</v>
      </c>
      <c r="O72">
        <f>regressions!T$2+regressions!T$1*EXP(A72)</f>
        <v>-1.0416149813230386</v>
      </c>
      <c r="P72" s="20">
        <f>(1-EXP(-2*regressions!X$1*graph!A72))/2/EXP(-regressions!X$1*A72)</f>
        <v>-3.6057067919462265</v>
      </c>
      <c r="AT72" s="33"/>
      <c r="AW72" s="33"/>
      <c r="AZ72" s="33"/>
    </row>
    <row r="73" spans="1:52" x14ac:dyDescent="0.35">
      <c r="A73">
        <f t="shared" si="9"/>
        <v>4.9999999999999982</v>
      </c>
      <c r="B73">
        <f t="shared" si="10"/>
        <v>-4.1801850165293688</v>
      </c>
      <c r="C73">
        <f>regressions!$AR$1*$A73</f>
        <v>5.2666641061720521</v>
      </c>
      <c r="D73">
        <f>regressions!$AO$1*$A73</f>
        <v>7.1549605215428169</v>
      </c>
      <c r="E73">
        <f t="shared" si="12"/>
        <v>6.3531431958147353</v>
      </c>
      <c r="F73">
        <f t="shared" si="13"/>
        <v>-18.490106059615002</v>
      </c>
      <c r="G73" s="5">
        <f>B73-regressions!AA$7</f>
        <v>-7.9014736069943243</v>
      </c>
      <c r="H73" s="5">
        <f>B73+regressions!AA$7</f>
        <v>-0.45889642606441372</v>
      </c>
      <c r="I73">
        <f>IF($A73&lt;=regressions!$L$2,$A73*regressions!$L$1,regressions!$L$1*regressions!$L$2+regressions!$L$3*($A73-regressions!$L$2))</f>
        <v>-3.9738991806598452</v>
      </c>
      <c r="J73">
        <f>regressions!J$1*A73+regressions!J$2*A73^2</f>
        <v>-4.3100159078423488</v>
      </c>
      <c r="K73">
        <f>regressions!$V$1*A73</f>
        <v>-3.9738991918786679</v>
      </c>
      <c r="L73">
        <f>regressions!$N$1*A73^2</f>
        <v>-4.3561215844631906</v>
      </c>
      <c r="M73">
        <f>regressions!$R$1*A73^2+regressions!$R$2*A73^6</f>
        <v>-4.5726191840945125</v>
      </c>
      <c r="N73">
        <f>regressions!$P$1*A73^2+regressions!$P$2*A73^7</f>
        <v>-4.5131101381786074</v>
      </c>
      <c r="O73">
        <f>regressions!T$2+regressions!T$1*EXP(A73)</f>
        <v>-1.1519844606867069</v>
      </c>
      <c r="P73" s="20">
        <f>(1-EXP(-2*regressions!X$1*graph!A73))/2/EXP(-regressions!X$1*A73)</f>
        <v>-3.7610321427284754</v>
      </c>
      <c r="Q73" s="5"/>
      <c r="Y73" s="51">
        <f>Table1!$E46</f>
        <v>-16.100000000000001</v>
      </c>
      <c r="Z73" s="51"/>
      <c r="AA73" s="51"/>
      <c r="AN73">
        <f t="shared" si="11"/>
        <v>-16.100000000000001</v>
      </c>
      <c r="AO73" s="1">
        <f>MIN(Q73:AM73)</f>
        <v>-16.100000000000001</v>
      </c>
      <c r="AP73" s="1">
        <f>MAX(Q73:AM73)</f>
        <v>-16.100000000000001</v>
      </c>
      <c r="AT73" s="33"/>
      <c r="AW73" s="33"/>
      <c r="AZ73" s="33"/>
    </row>
    <row r="74" spans="1:52" x14ac:dyDescent="0.35">
      <c r="A74">
        <f t="shared" si="9"/>
        <v>5.0999999999999979</v>
      </c>
      <c r="B74">
        <f t="shared" si="10"/>
        <v>-4.3165309674470711</v>
      </c>
      <c r="C74">
        <f>regressions!$AR$1*$A74</f>
        <v>5.371997388295493</v>
      </c>
      <c r="D74">
        <f>regressions!$AO$1*$A74</f>
        <v>7.2980597319736722</v>
      </c>
      <c r="E74">
        <f t="shared" si="12"/>
        <v>6.4274638091439149</v>
      </c>
      <c r="F74">
        <f t="shared" si="13"/>
        <v>-18.912650431394415</v>
      </c>
      <c r="G74" s="5">
        <f>B74-regressions!AA$7</f>
        <v>-8.0378195579120266</v>
      </c>
      <c r="H74" s="5">
        <f>B74+regressions!AA$7</f>
        <v>-0.59524237698211602</v>
      </c>
      <c r="I74">
        <f>IF($A74&lt;=regressions!$L$2,$A74*regressions!$L$1,regressions!$L$1*regressions!$L$2+regressions!$L$3*($A74-regressions!$L$2))</f>
        <v>-4.0533771642730416</v>
      </c>
      <c r="J74">
        <f>regressions!J$1*A74+regressions!J$2*A74^2</f>
        <v>-4.4379002220704216</v>
      </c>
      <c r="K74">
        <f>regressions!$V$1*A74</f>
        <v>-4.0533771757162409</v>
      </c>
      <c r="L74">
        <f>regressions!$N$1*A74^2</f>
        <v>-4.5321088964755027</v>
      </c>
      <c r="M74">
        <f>regressions!$R$1*A74^2+regressions!$R$2*A74^6</f>
        <v>-4.742603261380788</v>
      </c>
      <c r="N74">
        <f>regressions!$P$1*A74^2+regressions!$P$2*A74^7</f>
        <v>-4.6871031957288034</v>
      </c>
      <c r="O74">
        <f>regressions!T$2+regressions!T$1*EXP(A74)</f>
        <v>-1.2739615995225835</v>
      </c>
      <c r="P74" s="20">
        <f>(1-EXP(-2*regressions!X$1*graph!A74))/2/EXP(-regressions!X$1*A74)</f>
        <v>-3.9225888533732722</v>
      </c>
      <c r="AT74" s="33"/>
      <c r="AW74" s="33"/>
      <c r="AZ74" s="33"/>
    </row>
    <row r="75" spans="1:52" x14ac:dyDescent="0.35">
      <c r="A75">
        <f t="shared" si="9"/>
        <v>5.1999999999999975</v>
      </c>
      <c r="B75">
        <f t="shared" si="10"/>
        <v>-4.4551951253169424</v>
      </c>
      <c r="C75">
        <f>regressions!$AR$1*$A75</f>
        <v>5.477330670418934</v>
      </c>
      <c r="D75">
        <f>regressions!$AO$1*$A75</f>
        <v>7.4411589424045284</v>
      </c>
      <c r="E75">
        <f t="shared" si="12"/>
        <v>6.4994662155209255</v>
      </c>
      <c r="F75">
        <f t="shared" si="13"/>
        <v>-19.337513010125999</v>
      </c>
      <c r="G75" s="5">
        <f>B75-regressions!AA$7</f>
        <v>-8.176483715781897</v>
      </c>
      <c r="H75" s="5">
        <f>B75+regressions!AA$7</f>
        <v>-0.73390653485198731</v>
      </c>
      <c r="I75">
        <f>IF($A75&lt;=regressions!$L$2,$A75*regressions!$L$1,regressions!$L$1*regressions!$L$2+regressions!$L$3*($A75-regressions!$L$2))</f>
        <v>-4.1328551478862385</v>
      </c>
      <c r="J75">
        <f>regressions!J$1*A75+regressions!J$2*A75^2</f>
        <v>-4.5674192028110907</v>
      </c>
      <c r="K75">
        <f>regressions!$V$1*A75</f>
        <v>-4.1328551595538139</v>
      </c>
      <c r="L75">
        <f>regressions!$N$1*A75^2</f>
        <v>-4.7115811057553865</v>
      </c>
      <c r="M75">
        <f>regressions!$R$1*A75^2+regressions!$R$2*A75^6</f>
        <v>-4.9141482338868041</v>
      </c>
      <c r="N75">
        <f>regressions!$P$1*A75^2+regressions!$P$2*A75^7</f>
        <v>-4.863339417544843</v>
      </c>
      <c r="O75">
        <f>regressions!T$2+regressions!T$1*EXP(A75)</f>
        <v>-1.4087671860340698</v>
      </c>
      <c r="P75" s="20">
        <f>(1-EXP(-2*regressions!X$1*graph!A75))/2/EXP(-regressions!X$1*A75)</f>
        <v>-4.0906445945529288</v>
      </c>
      <c r="Q75" s="5"/>
      <c r="AE75" s="58">
        <f>Table1!$E19</f>
        <v>-0.13</v>
      </c>
      <c r="AF75" s="58">
        <f>Table1!$E18</f>
        <v>-0.01</v>
      </c>
      <c r="AN75">
        <f t="shared" si="11"/>
        <v>-7.0000000000000007E-2</v>
      </c>
      <c r="AO75" s="1">
        <f>MIN(Q75:AM75)</f>
        <v>-0.13</v>
      </c>
      <c r="AP75" s="1">
        <f>MAX(Q75:AM75)</f>
        <v>-0.01</v>
      </c>
      <c r="AT75" s="33"/>
      <c r="AW75" s="33"/>
      <c r="AZ75" s="33"/>
    </row>
    <row r="76" spans="1:52" x14ac:dyDescent="0.35">
      <c r="A76">
        <f t="shared" si="9"/>
        <v>5.2999999999999972</v>
      </c>
      <c r="B76">
        <f t="shared" si="10"/>
        <v>-4.5961890298580581</v>
      </c>
      <c r="C76">
        <f>regressions!$AR$1*$A76</f>
        <v>5.5826639525423749</v>
      </c>
      <c r="D76">
        <f>regressions!$AO$1*$A76</f>
        <v>7.5842581528353845</v>
      </c>
      <c r="E76">
        <f t="shared" si="12"/>
        <v>6.5691388752266917</v>
      </c>
      <c r="F76">
        <f t="shared" si="13"/>
        <v>-19.764705335528827</v>
      </c>
      <c r="G76" s="5">
        <f>B76-regressions!AA$7</f>
        <v>-8.3174776203230127</v>
      </c>
      <c r="H76" s="5">
        <f>B76+regressions!AA$7</f>
        <v>-0.87490043939310302</v>
      </c>
      <c r="I76">
        <f>IF($A76&lt;=regressions!$L$2,$A76*regressions!$L$1,regressions!$L$1*regressions!$L$2+regressions!$L$3*($A76-regressions!$L$2))</f>
        <v>-4.2123331314994354</v>
      </c>
      <c r="J76">
        <f>regressions!J$1*A76+regressions!J$2*A76^2</f>
        <v>-4.698572850064358</v>
      </c>
      <c r="K76">
        <f>regressions!$V$1*A76</f>
        <v>-4.2123331433913869</v>
      </c>
      <c r="L76">
        <f>regressions!$N$1*A76^2</f>
        <v>-4.89453821230284</v>
      </c>
      <c r="M76">
        <f>regressions!$R$1*A76^2+regressions!$R$2*A76^6</f>
        <v>-5.0870736366173874</v>
      </c>
      <c r="N76">
        <f>regressions!$P$1*A76^2+regressions!$P$2*A76^7</f>
        <v>-5.0416731499975977</v>
      </c>
      <c r="O76">
        <f>regressions!T$2+regressions!T$1*EXP(A76)</f>
        <v>-1.5577503998406954</v>
      </c>
      <c r="P76" s="20">
        <f>(1-EXP(-2*regressions!X$1*graph!A76))/2/EXP(-regressions!X$1*A76)</f>
        <v>-4.2654778046749158</v>
      </c>
      <c r="AT76" s="33"/>
      <c r="AW76" s="33"/>
      <c r="AZ76" s="33"/>
    </row>
    <row r="77" spans="1:52" x14ac:dyDescent="0.35">
      <c r="A77">
        <f t="shared" si="9"/>
        <v>5.3999999999999968</v>
      </c>
      <c r="B77">
        <f t="shared" si="10"/>
        <v>-4.739523699347771</v>
      </c>
      <c r="C77">
        <f>regressions!$AR$1*$A77</f>
        <v>5.687997234665815</v>
      </c>
      <c r="D77">
        <f>regressions!$AO$1*$A77</f>
        <v>7.7273573632662398</v>
      </c>
      <c r="E77">
        <f t="shared" si="12"/>
        <v>6.636470769983859</v>
      </c>
      <c r="F77">
        <f t="shared" si="13"/>
        <v>-20.194238425880251</v>
      </c>
      <c r="G77" s="5">
        <f>B77-regressions!AA$7</f>
        <v>-8.4608122898127256</v>
      </c>
      <c r="H77" s="5">
        <f>B77+regressions!AA$7</f>
        <v>-1.0182351088828159</v>
      </c>
      <c r="I77">
        <f>IF($A77&lt;=regressions!$L$2,$A77*regressions!$L$1,regressions!$L$1*regressions!$L$2+regressions!$L$3*($A77-regressions!$L$2))</f>
        <v>-4.2918111151126315</v>
      </c>
      <c r="J77">
        <f>regressions!J$1*A77+regressions!J$2*A77^2</f>
        <v>-4.8313611638302216</v>
      </c>
      <c r="K77">
        <f>regressions!$V$1*A77</f>
        <v>-4.2918111272289599</v>
      </c>
      <c r="L77">
        <f>regressions!$N$1*A77^2</f>
        <v>-5.0809802161178634</v>
      </c>
      <c r="M77">
        <f>regressions!$R$1*A77^2+regressions!$R$2*A77^6</f>
        <v>-5.2611882886448198</v>
      </c>
      <c r="N77">
        <f>regressions!$P$1*A77^2+regressions!$P$2*A77^7</f>
        <v>-5.2219470961217089</v>
      </c>
      <c r="O77">
        <f>regressions!T$2+regressions!T$1*EXP(A77)</f>
        <v>-1.722402315021224</v>
      </c>
      <c r="P77" s="20">
        <f>(1-EXP(-2*regressions!X$1*graph!A77))/2/EXP(-regressions!X$1*A77)</f>
        <v>-4.4473781512046626</v>
      </c>
      <c r="Q77" s="1"/>
      <c r="AB77" s="59">
        <f>Table1!$E32</f>
        <v>-4.5999999999999996</v>
      </c>
      <c r="AN77">
        <f t="shared" si="11"/>
        <v>-4.5999999999999996</v>
      </c>
      <c r="AO77" s="1">
        <f>MIN(Q77:AM77)</f>
        <v>-4.5999999999999996</v>
      </c>
      <c r="AP77" s="1">
        <f>MAX(Q77:AM77)</f>
        <v>-4.5999999999999996</v>
      </c>
      <c r="AT77" s="33"/>
      <c r="AW77" s="33"/>
      <c r="AZ77" s="33"/>
    </row>
    <row r="78" spans="1:52" x14ac:dyDescent="0.35">
      <c r="A78">
        <f t="shared" si="9"/>
        <v>5.4999999999999964</v>
      </c>
      <c r="B78">
        <f t="shared" si="10"/>
        <v>-4.8852096004044663</v>
      </c>
      <c r="C78">
        <f>regressions!$AR$1*$A78</f>
        <v>5.7933305167892559</v>
      </c>
      <c r="D78">
        <f>regressions!$AO$1*$A78</f>
        <v>7.8704565736970959</v>
      </c>
      <c r="E78">
        <f t="shared" si="12"/>
        <v>6.7014514331740456</v>
      </c>
      <c r="F78">
        <f t="shared" si="13"/>
        <v>-20.626122747798657</v>
      </c>
      <c r="G78" s="5">
        <f>B78-regressions!AA$7</f>
        <v>-8.6064981908694218</v>
      </c>
      <c r="H78" s="5">
        <f>B78+regressions!AA$7</f>
        <v>-1.1639210099395112</v>
      </c>
      <c r="I78">
        <f>IF($A78&lt;=regressions!$L$2,$A78*regressions!$L$1,regressions!$L$1*regressions!$L$2+regressions!$L$3*($A78-regressions!$L$2))</f>
        <v>-4.3712890987258284</v>
      </c>
      <c r="J78">
        <f>regressions!J$1*A78+regressions!J$2*A78^2</f>
        <v>-4.9657841441086834</v>
      </c>
      <c r="K78">
        <f>regressions!$V$1*A78</f>
        <v>-4.3712891110665337</v>
      </c>
      <c r="L78">
        <f>regressions!$N$1*A78^2</f>
        <v>-5.2709071172004585</v>
      </c>
      <c r="M78">
        <f>regressions!$R$1*A78^2+regressions!$R$2*A78^6</f>
        <v>-5.4362898770458807</v>
      </c>
      <c r="N78">
        <f>regressions!$P$1*A78^2+regressions!$P$2*A78^7</f>
        <v>-5.4039916310542928</v>
      </c>
      <c r="O78">
        <f>regressions!T$2+regressions!T$1*EXP(A78)</f>
        <v>-1.9043708232842025</v>
      </c>
      <c r="P78" s="20">
        <f>(1-EXP(-2*regressions!X$1*graph!A78))/2/EXP(-regressions!X$1*A78)</f>
        <v>-4.6366470105929256</v>
      </c>
      <c r="AK78" s="1"/>
      <c r="AL78" s="1"/>
      <c r="AT78" s="33"/>
      <c r="AW78" s="33"/>
      <c r="AZ78" s="33"/>
    </row>
    <row r="79" spans="1:52" x14ac:dyDescent="0.35">
      <c r="A79">
        <f t="shared" si="9"/>
        <v>5.5999999999999961</v>
      </c>
      <c r="B79">
        <f t="shared" si="10"/>
        <v>-5.033256618715324</v>
      </c>
      <c r="C79">
        <f>regressions!$AR$1*$A79</f>
        <v>5.8986637989126969</v>
      </c>
      <c r="D79">
        <f>regressions!$AO$1*$A79</f>
        <v>8.0135557841279521</v>
      </c>
      <c r="E79">
        <f t="shared" si="12"/>
        <v>6.7640709791100697</v>
      </c>
      <c r="F79">
        <f t="shared" si="13"/>
        <v>-21.060368186971228</v>
      </c>
      <c r="G79" s="5">
        <f>B79-regressions!AA$7</f>
        <v>-8.7545452091802787</v>
      </c>
      <c r="H79" s="5">
        <f>B79+regressions!AA$7</f>
        <v>-1.311968028250369</v>
      </c>
      <c r="I79">
        <f>IF($A79&lt;=regressions!$L$2,$A79*regressions!$L$1,regressions!$L$1*regressions!$L$2+regressions!$L$3*($A79-regressions!$L$2))</f>
        <v>-4.4507670823390253</v>
      </c>
      <c r="J79">
        <f>regressions!J$1*A79+regressions!J$2*A79^2</f>
        <v>-5.1018417908997407</v>
      </c>
      <c r="K79">
        <f>regressions!$V$1*A79</f>
        <v>-4.4507670949041067</v>
      </c>
      <c r="L79">
        <f>regressions!$N$1*A79^2</f>
        <v>-5.4643189155506233</v>
      </c>
      <c r="M79">
        <f>regressions!$R$1*A79^2+regressions!$R$2*A79^6</f>
        <v>-5.6121645329138863</v>
      </c>
      <c r="N79">
        <f>regressions!$P$1*A79^2+regressions!$P$2*A79^7</f>
        <v>-5.5876240911507438</v>
      </c>
      <c r="O79">
        <f>regressions!T$2+regressions!T$1*EXP(A79)</f>
        <v>-2.1054771266220547</v>
      </c>
      <c r="P79" s="20">
        <f>(1-EXP(-2*regressions!X$1*graph!A79))/2/EXP(-regressions!X$1*A79)</f>
        <v>-4.8335979676028407</v>
      </c>
      <c r="AT79" s="33"/>
      <c r="AW79" s="33"/>
      <c r="AZ79" s="33"/>
    </row>
    <row r="80" spans="1:52" x14ac:dyDescent="0.35">
      <c r="A80">
        <f t="shared" si="9"/>
        <v>5.6999999999999957</v>
      </c>
      <c r="B80">
        <f t="shared" si="10"/>
        <v>-5.1836740309597138</v>
      </c>
      <c r="C80">
        <f>regressions!$AR$1*$A80</f>
        <v>6.0039970810361369</v>
      </c>
      <c r="D80">
        <f>regressions!$AO$1*$A80</f>
        <v>8.1566549945588083</v>
      </c>
      <c r="E80">
        <f t="shared" si="12"/>
        <v>6.8243201311125601</v>
      </c>
      <c r="F80">
        <f t="shared" si="13"/>
        <v>-21.496984020077331</v>
      </c>
      <c r="G80" s="5">
        <f>B80-regressions!AA$7</f>
        <v>-8.9049626214246693</v>
      </c>
      <c r="H80" s="5">
        <f>B80+regressions!AA$7</f>
        <v>-1.4623854404947587</v>
      </c>
      <c r="I80">
        <f>IF($A80&lt;=regressions!$L$2,$A80*regressions!$L$1,regressions!$L$1*regressions!$L$2+regressions!$L$3*($A80-regressions!$L$2))</f>
        <v>-4.5302450659522222</v>
      </c>
      <c r="J80">
        <f>regressions!J$1*A80+regressions!J$2*A80^2</f>
        <v>-5.2395341042033969</v>
      </c>
      <c r="K80">
        <f>regressions!$V$1*A80</f>
        <v>-4.5302450787416797</v>
      </c>
      <c r="L80">
        <f>regressions!$N$1*A80^2</f>
        <v>-5.6612156111683589</v>
      </c>
      <c r="M80">
        <f>regressions!$R$1*A80^2+regressions!$R$2*A80^6</f>
        <v>-5.7885863994457161</v>
      </c>
      <c r="N80">
        <f>regressions!$P$1*A80^2+regressions!$P$2*A80^7</f>
        <v>-5.7726480362809616</v>
      </c>
      <c r="O80">
        <f>regressions!T$2+regressions!T$1*EXP(A80)</f>
        <v>-2.3277339645127482</v>
      </c>
      <c r="P80" s="20">
        <f>(1-EXP(-2*regressions!X$1*graph!A80))/2/EXP(-regressions!X$1*A80)</f>
        <v>-5.0385573348639792</v>
      </c>
      <c r="AT80" s="33"/>
      <c r="AW80" s="33"/>
      <c r="AZ80" s="33"/>
    </row>
    <row r="81" spans="1:52" x14ac:dyDescent="0.35">
      <c r="A81">
        <f t="shared" si="9"/>
        <v>5.7999999999999954</v>
      </c>
      <c r="B81">
        <f t="shared" si="10"/>
        <v>-5.3364704782019761</v>
      </c>
      <c r="C81">
        <f>regressions!$AR$1*$A81</f>
        <v>6.1093303631595779</v>
      </c>
      <c r="D81">
        <f>regressions!$AO$1*$A81</f>
        <v>8.2997542049896644</v>
      </c>
      <c r="E81">
        <f t="shared" si="12"/>
        <v>6.8821902481171797</v>
      </c>
      <c r="F81">
        <f t="shared" si="13"/>
        <v>-21.935978888181303</v>
      </c>
      <c r="G81" s="5">
        <f>B81-regressions!AA$7</f>
        <v>-9.0577590686669307</v>
      </c>
      <c r="H81" s="5">
        <f>B81+regressions!AA$7</f>
        <v>-1.615181887737021</v>
      </c>
      <c r="I81">
        <f>IF($A81&lt;=regressions!$L$2,$A81*regressions!$L$1,regressions!$L$1*regressions!$L$2+regressions!$L$3*($A81-regressions!$L$2))</f>
        <v>-4.6097230495654182</v>
      </c>
      <c r="J81">
        <f>regressions!J$1*A81+regressions!J$2*A81^2</f>
        <v>-5.3788610840196487</v>
      </c>
      <c r="K81">
        <f>regressions!$V$1*A81</f>
        <v>-4.6097230625792527</v>
      </c>
      <c r="L81">
        <f>regressions!$N$1*A81^2</f>
        <v>-5.8615972040536644</v>
      </c>
      <c r="M81">
        <f>regressions!$R$1*A81^2+regressions!$R$2*A81^6</f>
        <v>-5.9653171921038304</v>
      </c>
      <c r="N81">
        <f>regressions!$P$1*A81^2+regressions!$P$2*A81^7</f>
        <v>-5.9588524848093485</v>
      </c>
      <c r="O81">
        <f>regressions!T$2+regressions!T$1*EXP(A81)</f>
        <v>-2.5733657580929963</v>
      </c>
      <c r="P81" s="20">
        <f>(1-EXP(-2*regressions!X$1*graph!A81))/2/EXP(-regressions!X$1*A81)</f>
        <v>-5.2518646935142144</v>
      </c>
      <c r="AT81" s="33"/>
      <c r="AW81" s="33"/>
      <c r="AZ81" s="33"/>
    </row>
    <row r="82" spans="1:52" x14ac:dyDescent="0.35">
      <c r="A82">
        <f t="shared" si="9"/>
        <v>5.899999999999995</v>
      </c>
      <c r="B82">
        <f t="shared" si="10"/>
        <v>-5.4916539410525029</v>
      </c>
      <c r="C82">
        <f>regressions!$AR$1*$A82</f>
        <v>6.2146636452830188</v>
      </c>
      <c r="D82">
        <f>regressions!$AO$1*$A82</f>
        <v>8.4428534154205188</v>
      </c>
      <c r="E82">
        <f t="shared" si="12"/>
        <v>6.9376733495135348</v>
      </c>
      <c r="F82">
        <f t="shared" si="13"/>
        <v>-22.377360771893542</v>
      </c>
      <c r="G82" s="5">
        <f>B82-regressions!AA$7</f>
        <v>-9.2129425315174576</v>
      </c>
      <c r="H82" s="5">
        <f>B82+regressions!AA$7</f>
        <v>-1.7703653505875478</v>
      </c>
      <c r="I82">
        <f>IF($A82&lt;=regressions!$L$2,$A82*regressions!$L$1,regressions!$L$1*regressions!$L$2+regressions!$L$3*($A82-regressions!$L$2))</f>
        <v>-4.6892010331786151</v>
      </c>
      <c r="J82">
        <f>regressions!J$1*A82+regressions!J$2*A82^2</f>
        <v>-5.5198227303484986</v>
      </c>
      <c r="K82">
        <f>regressions!$V$1*A82</f>
        <v>-4.6892010464168257</v>
      </c>
      <c r="L82">
        <f>regressions!$N$1*A82^2</f>
        <v>-6.0654636942065405</v>
      </c>
      <c r="M82">
        <f>regressions!$R$1*A82^2+regressions!$R$2*A82^6</f>
        <v>-6.1421057508532853</v>
      </c>
      <c r="N82">
        <f>regressions!$P$1*A82^2+regressions!$P$2*A82^7</f>
        <v>-6.1460111207619219</v>
      </c>
      <c r="O82">
        <f>regressions!T$2+regressions!T$1*EXP(A82)</f>
        <v>-2.8448308729126466</v>
      </c>
      <c r="P82" s="20">
        <f>(1-EXP(-2*regressions!X$1*graph!A82))/2/EXP(-regressions!X$1*A82)</f>
        <v>-5.4738734558251361</v>
      </c>
      <c r="AT82" s="33"/>
      <c r="AW82" s="33"/>
      <c r="AZ82" s="33"/>
    </row>
    <row r="83" spans="1:52" x14ac:dyDescent="0.35">
      <c r="A83">
        <f t="shared" si="9"/>
        <v>5.9999999999999947</v>
      </c>
      <c r="B83">
        <f t="shared" si="10"/>
        <v>-5.6492317169236062</v>
      </c>
      <c r="C83">
        <f>regressions!$AR$1*$A83</f>
        <v>6.3199969274064598</v>
      </c>
      <c r="D83">
        <f>regressions!$AO$1*$A83</f>
        <v>8.585952625851375</v>
      </c>
      <c r="E83">
        <f t="shared" si="12"/>
        <v>6.9907621378893134</v>
      </c>
      <c r="F83">
        <f t="shared" si="13"/>
        <v>-22.821136968626355</v>
      </c>
      <c r="G83" s="5">
        <f>B83-regressions!AA$7</f>
        <v>-9.3705203073885617</v>
      </c>
      <c r="H83" s="5">
        <f>B83+regressions!AA$7</f>
        <v>-1.9279431264586511</v>
      </c>
      <c r="I83">
        <f>IF($A83&lt;=regressions!$L$2,$A83*regressions!$L$1,regressions!$L$1*regressions!$L$2+regressions!$L$3*($A83-regressions!$L$2))</f>
        <v>-4.7686790167918121</v>
      </c>
      <c r="J83">
        <f>regressions!J$1*A83+regressions!J$2*A83^2</f>
        <v>-5.6624190431899457</v>
      </c>
      <c r="K83">
        <f>regressions!$V$1*A83</f>
        <v>-4.7686790302543987</v>
      </c>
      <c r="L83">
        <f>regressions!$N$1*A83^2</f>
        <v>-6.2728150816269883</v>
      </c>
      <c r="M83">
        <f>regressions!$R$1*A83^2+regressions!$R$2*A83^6</f>
        <v>-6.3186875844737314</v>
      </c>
      <c r="N83">
        <f>regressions!$P$1*A83^2+regressions!$P$2*A83^7</f>
        <v>-6.3338814726838706</v>
      </c>
      <c r="O83">
        <f>regressions!T$2+regressions!T$1*EXP(A83)</f>
        <v>-3.1448462230833907</v>
      </c>
      <c r="P83" s="20">
        <f>(1-EXP(-2*regressions!X$1*graph!A83))/2/EXP(-regressions!X$1*A83)</f>
        <v>-5.7049514507431853</v>
      </c>
      <c r="Q83" s="1"/>
      <c r="Y83" s="50">
        <f>Table1!$E8</f>
        <v>-6.7</v>
      </c>
      <c r="Z83" s="50"/>
      <c r="AA83" s="50"/>
      <c r="AB83" s="60">
        <f>Table1!$E42</f>
        <v>-9.49637530496768</v>
      </c>
      <c r="AE83" s="5"/>
      <c r="AN83">
        <f t="shared" si="11"/>
        <v>-8.0981876524838405</v>
      </c>
      <c r="AO83" s="1">
        <f>MIN(Q83:AM83)</f>
        <v>-9.49637530496768</v>
      </c>
      <c r="AP83" s="1">
        <f>MAX(Q83:AM83)</f>
        <v>-6.7</v>
      </c>
      <c r="AT83" s="33"/>
      <c r="AW83" s="33"/>
      <c r="AZ83" s="33"/>
    </row>
    <row r="84" spans="1:52" x14ac:dyDescent="0.35">
      <c r="A84">
        <f t="shared" si="9"/>
        <v>6.0999999999999943</v>
      </c>
      <c r="B84">
        <f t="shared" si="10"/>
        <v>-5.809210399736509</v>
      </c>
      <c r="C84">
        <f>regressions!$AR$1*$A84</f>
        <v>6.4253302095298999</v>
      </c>
      <c r="D84">
        <f>regressions!$AO$1*$A84</f>
        <v>8.7290518362822311</v>
      </c>
      <c r="E84">
        <f t="shared" ref="E84:E88" si="14">B84+2*C84</f>
        <v>7.0414500193232907</v>
      </c>
      <c r="F84">
        <f t="shared" ref="F84:F88" si="15">B84-2*D84</f>
        <v>-23.267314072300969</v>
      </c>
      <c r="G84" s="5">
        <f>B84-regressions!AA$7</f>
        <v>-9.5304989902014636</v>
      </c>
      <c r="H84" s="5">
        <f>B84+regressions!AA$7</f>
        <v>-2.0879218092715539</v>
      </c>
      <c r="I84">
        <f>IF($A84&lt;=regressions!$L$2,$A84*regressions!$L$1,regressions!$L$1*regressions!$L$2+regressions!$L$3*($A84-regressions!$L$2))</f>
        <v>-4.8481570004050081</v>
      </c>
      <c r="J84">
        <f>regressions!J$1*A84+regressions!J$2*A84^2</f>
        <v>-5.8066500225439892</v>
      </c>
      <c r="K84">
        <f>regressions!$V$1*A84</f>
        <v>-4.8481570140919716</v>
      </c>
      <c r="L84">
        <f>regressions!$N$1*A84^2</f>
        <v>-6.4836513663150059</v>
      </c>
      <c r="M84">
        <f>regressions!$R$1*A84^2+regressions!$R$2*A84^6</f>
        <v>-6.4947844069464056</v>
      </c>
      <c r="N84">
        <f>regressions!$P$1*A84^2+regressions!$P$2*A84^7</f>
        <v>-6.5222040636909124</v>
      </c>
      <c r="O84">
        <f>regressions!T$2+regressions!T$1*EXP(A84)</f>
        <v>-3.4764144630683789</v>
      </c>
      <c r="P84" s="20">
        <f>(1-EXP(-2*regressions!X$1*graph!A84))/2/EXP(-regressions!X$1*A84)</f>
        <v>-5.9454815333166593</v>
      </c>
      <c r="AT84" s="33"/>
      <c r="AW84" s="33"/>
      <c r="AZ84" s="33"/>
    </row>
    <row r="85" spans="1:52" x14ac:dyDescent="0.35">
      <c r="A85">
        <f t="shared" si="9"/>
        <v>6.199999999999994</v>
      </c>
      <c r="B85">
        <f t="shared" si="10"/>
        <v>-5.9715958624686101</v>
      </c>
      <c r="C85">
        <f>regressions!$AR$1*$A85</f>
        <v>6.5306634916533408</v>
      </c>
      <c r="D85">
        <f>regressions!$AO$1*$A85</f>
        <v>8.8721510467130873</v>
      </c>
      <c r="E85">
        <f t="shared" si="14"/>
        <v>7.0897311208380716</v>
      </c>
      <c r="F85">
        <f t="shared" si="15"/>
        <v>-23.715897955894786</v>
      </c>
      <c r="G85" s="5">
        <f>B85-regressions!AA$7</f>
        <v>-9.6928844529335656</v>
      </c>
      <c r="H85" s="5">
        <f>B85+regressions!AA$7</f>
        <v>-2.250307272003655</v>
      </c>
      <c r="I85">
        <f>IF($A85&lt;=regressions!$L$2,$A85*regressions!$L$1,regressions!$L$1*regressions!$L$2+regressions!$L$3*($A85-regressions!$L$2))</f>
        <v>-4.927634984018205</v>
      </c>
      <c r="J85">
        <f>regressions!J$1*A85+regressions!J$2*A85^2</f>
        <v>-5.95251566841063</v>
      </c>
      <c r="K85">
        <f>regressions!$V$1*A85</f>
        <v>-4.9276349979295446</v>
      </c>
      <c r="L85">
        <f>regressions!$N$1*A85^2</f>
        <v>-6.6979725482705943</v>
      </c>
      <c r="M85">
        <f>regressions!$R$1*A85^2+regressions!$R$2*A85^6</f>
        <v>-6.6701036659161215</v>
      </c>
      <c r="N85">
        <f>regressions!$P$1*A85^2+regressions!$P$2*A85^7</f>
        <v>-6.7107015322177821</v>
      </c>
      <c r="O85">
        <f>regressions!T$2+regressions!T$1*EXP(A85)</f>
        <v>-3.8428540392573147</v>
      </c>
      <c r="P85" s="20">
        <f>(1-EXP(-2*regressions!X$1*graph!A85))/2/EXP(-regressions!X$1*A85)</f>
        <v>-6.1958622190182817</v>
      </c>
      <c r="AT85" s="33"/>
      <c r="AW85" s="33"/>
      <c r="AZ85" s="33"/>
    </row>
    <row r="86" spans="1:52" x14ac:dyDescent="0.35">
      <c r="A86">
        <f t="shared" si="9"/>
        <v>6.2999999999999936</v>
      </c>
      <c r="B86">
        <f t="shared" si="10"/>
        <v>-6.1363932429658039</v>
      </c>
      <c r="C86">
        <f>regressions!$AR$1*$A86</f>
        <v>6.6359967737767818</v>
      </c>
      <c r="D86">
        <f>regressions!$AO$1*$A86</f>
        <v>9.0152502571439435</v>
      </c>
      <c r="E86">
        <f t="shared" si="14"/>
        <v>7.1356003045877596</v>
      </c>
      <c r="F86">
        <f t="shared" si="15"/>
        <v>-24.166893757253689</v>
      </c>
      <c r="G86" s="5">
        <f>B86-regressions!AA$7</f>
        <v>-9.8576818334307585</v>
      </c>
      <c r="H86" s="5">
        <f>B86+regressions!AA$7</f>
        <v>-2.4151046525008488</v>
      </c>
      <c r="I86">
        <f>IF($A86&lt;=regressions!$L$2,$A86*regressions!$L$1,regressions!$L$1*regressions!$L$2+regressions!$L$3*($A86-regressions!$L$2))</f>
        <v>-5.0071129676314019</v>
      </c>
      <c r="J86">
        <f>regressions!J$1*A86+regressions!J$2*A86^2</f>
        <v>-6.100015980789868</v>
      </c>
      <c r="K86">
        <f>regressions!$V$1*A86</f>
        <v>-5.0071129817671185</v>
      </c>
      <c r="L86">
        <f>regressions!$N$1*A86^2</f>
        <v>-6.9157786274937534</v>
      </c>
      <c r="M86">
        <f>regressions!$R$1*A86^2+regressions!$R$2*A86^6</f>
        <v>-6.8443380632282365</v>
      </c>
      <c r="N86">
        <f>regressions!$P$1*A86^2+regressions!$P$2*A86^7</f>
        <v>-6.8990777229671973</v>
      </c>
      <c r="O86">
        <f>regressions!T$2+regressions!T$1*EXP(A86)</f>
        <v>-4.2478324020932918</v>
      </c>
      <c r="P86" s="20">
        <f>(1-EXP(-2*regressions!X$1*graph!A86))/2/EXP(-regressions!X$1*A86)</f>
        <v>-6.4565083440143027</v>
      </c>
      <c r="AT86" s="33"/>
      <c r="AW86" s="33"/>
      <c r="AZ86" s="33"/>
    </row>
    <row r="87" spans="1:52" x14ac:dyDescent="0.35">
      <c r="A87">
        <f t="shared" si="9"/>
        <v>6.3999999999999932</v>
      </c>
      <c r="B87">
        <f t="shared" si="10"/>
        <v>-6.3036069334837261</v>
      </c>
      <c r="C87">
        <f>regressions!$AR$1*$A87</f>
        <v>6.7413300559002227</v>
      </c>
      <c r="D87">
        <f>regressions!$AO$1*$A87</f>
        <v>9.1583494675747996</v>
      </c>
      <c r="E87">
        <f t="shared" si="14"/>
        <v>7.1790531783167193</v>
      </c>
      <c r="F87">
        <f t="shared" si="15"/>
        <v>-24.620305868633324</v>
      </c>
      <c r="G87" s="5">
        <f>B87-regressions!AA$7</f>
        <v>-10.024895523948681</v>
      </c>
      <c r="H87" s="5">
        <f>B87+regressions!AA$7</f>
        <v>-2.5823183430187711</v>
      </c>
      <c r="I87">
        <f>IF($A87&lt;=regressions!$L$2,$A87*regressions!$L$1,regressions!$L$1*regressions!$L$2+regressions!$L$3*($A87-regressions!$L$2))</f>
        <v>-5.0865909512445988</v>
      </c>
      <c r="J87">
        <f>regressions!J$1*A87+regressions!J$2*A87^2</f>
        <v>-6.2491509596817032</v>
      </c>
      <c r="K87">
        <f>regressions!$V$1*A87</f>
        <v>-5.0865909656046915</v>
      </c>
      <c r="L87">
        <f>regressions!$N$1*A87^2</f>
        <v>-7.1370696039844823</v>
      </c>
      <c r="M87">
        <f>regressions!$R$1*A87^2+regressions!$R$2*A87^6</f>
        <v>-7.0171650675406285</v>
      </c>
      <c r="N87">
        <f>regressions!$P$1*A87^2+regressions!$P$2*A87^7</f>
        <v>-7.0870167475626431</v>
      </c>
      <c r="O87">
        <f>regressions!T$2+regressions!T$1*EXP(A87)</f>
        <v>-4.6954027111495016</v>
      </c>
      <c r="P87" s="20">
        <f>(1-EXP(-2*regressions!X$1*graph!A87))/2/EXP(-regressions!X$1*A87)</f>
        <v>-6.7278517524740886</v>
      </c>
      <c r="AT87" s="33"/>
      <c r="AW87" s="33"/>
      <c r="AZ87" s="33"/>
    </row>
    <row r="88" spans="1:52" x14ac:dyDescent="0.35">
      <c r="A88">
        <f t="shared" si="9"/>
        <v>6.4999999999999929</v>
      </c>
      <c r="B88">
        <f t="shared" si="10"/>
        <v>-6.4732405744643797</v>
      </c>
      <c r="C88">
        <f>regressions!$AR$1*$A88</f>
        <v>6.8466633380236628</v>
      </c>
      <c r="D88">
        <f>regressions!$AO$1*$A88</f>
        <v>9.301448678005654</v>
      </c>
      <c r="E88">
        <f t="shared" si="14"/>
        <v>7.2200861015829458</v>
      </c>
      <c r="F88">
        <f t="shared" si="15"/>
        <v>-25.076137930475689</v>
      </c>
      <c r="G88" s="5">
        <f>B88-regressions!AA$7</f>
        <v>-10.194529164929335</v>
      </c>
      <c r="H88" s="5">
        <f>B88+regressions!AA$7</f>
        <v>-2.7519519839994246</v>
      </c>
      <c r="I88">
        <f>IF($A88&lt;=regressions!$L$2,$A88*regressions!$L$1,regressions!$L$1*regressions!$L$2+regressions!$L$3*($A88-regressions!$L$2))</f>
        <v>-5.1660689348577948</v>
      </c>
      <c r="J88">
        <f>regressions!J$1*A88+regressions!J$2*A88^2</f>
        <v>-6.3999206050861357</v>
      </c>
      <c r="K88">
        <f>regressions!$V$1*A88</f>
        <v>-5.1660689494422645</v>
      </c>
      <c r="L88">
        <f>regressions!$N$1*A88^2</f>
        <v>-7.361845477742782</v>
      </c>
      <c r="M88">
        <f>regressions!$R$1*A88^2+regressions!$R$2*A88^6</f>
        <v>-7.1882464190106488</v>
      </c>
      <c r="N88">
        <f>regressions!$P$1*A88^2+regressions!$P$2*A88^7</f>
        <v>-7.2741820144083063</v>
      </c>
      <c r="O88">
        <f>regressions!T$2+regressions!T$1*EXP(A88)</f>
        <v>-5.1900444005125541</v>
      </c>
      <c r="P88" s="20">
        <f>(1-EXP(-2*regressions!X$1*graph!A88))/2/EXP(-regressions!X$1*A88)</f>
        <v>-7.0103420120589268</v>
      </c>
      <c r="AT88" s="33"/>
      <c r="AW88" s="33"/>
      <c r="AZ88" s="33"/>
    </row>
    <row r="89" spans="1:52" x14ac:dyDescent="0.35">
      <c r="A89">
        <f t="shared" si="9"/>
        <v>6.5999999999999925</v>
      </c>
      <c r="B89">
        <f t="shared" si="10"/>
        <v>-6.6452970531012969</v>
      </c>
      <c r="C89">
        <f>regressions!$AR$1*$A89</f>
        <v>6.9519966201471037</v>
      </c>
      <c r="D89">
        <f>regressions!$AO$1*$A89</f>
        <v>9.4445478884365102</v>
      </c>
      <c r="E89">
        <f t="shared" ref="E89:E152" si="16">B89+2*C89</f>
        <v>7.2586961871929105</v>
      </c>
      <c r="F89">
        <f t="shared" ref="F89:F152" si="17">B89-2*D89</f>
        <v>-25.534392829974315</v>
      </c>
      <c r="G89" s="5">
        <f>B89-regressions!AA$7</f>
        <v>-10.366585643566252</v>
      </c>
      <c r="H89" s="5">
        <f>B89+regressions!AA$7</f>
        <v>-2.9240084626363418</v>
      </c>
      <c r="I89">
        <f>IF($A89&lt;=regressions!$L$2,$A89*regressions!$L$1,regressions!$L$1*regressions!$L$2+regressions!$L$3*($A89-regressions!$L$2))</f>
        <v>-5.2455469184709917</v>
      </c>
      <c r="J89">
        <f>regressions!J$1*A89+regressions!J$2*A89^2</f>
        <v>-6.5523249170031646</v>
      </c>
      <c r="K89">
        <f>regressions!$V$1*A89</f>
        <v>-5.2455469332798375</v>
      </c>
      <c r="L89">
        <f>regressions!$N$1*A89^2</f>
        <v>-7.5901062487686524</v>
      </c>
      <c r="M89">
        <f>regressions!$R$1*A89^2+regressions!$R$2*A89^6</f>
        <v>-7.3572276260570728</v>
      </c>
      <c r="N89">
        <f>regressions!$P$1*A89^2+regressions!$P$2*A89^7</f>
        <v>-7.4602152272595292</v>
      </c>
      <c r="O89">
        <f>regressions!T$2+regressions!T$1*EXP(A89)</f>
        <v>-5.7367080104644081</v>
      </c>
      <c r="P89" s="20">
        <f>(1-EXP(-2*regressions!X$1*graph!A89))/2/EXP(-regressions!X$1*A89)</f>
        <v>-7.3044471587755142</v>
      </c>
      <c r="AT89" s="33"/>
      <c r="AW89" s="33"/>
      <c r="AZ89" s="33"/>
    </row>
    <row r="90" spans="1:52" x14ac:dyDescent="0.35">
      <c r="A90">
        <f t="shared" si="9"/>
        <v>6.6999999999999922</v>
      </c>
      <c r="B90">
        <f t="shared" si="10"/>
        <v>-6.8197785072974426</v>
      </c>
      <c r="C90">
        <f>regressions!$AR$1*$A90</f>
        <v>7.0573299022705447</v>
      </c>
      <c r="D90">
        <f>regressions!$AO$1*$A90</f>
        <v>9.5876470988673663</v>
      </c>
      <c r="E90">
        <f t="shared" si="16"/>
        <v>7.2948812972436468</v>
      </c>
      <c r="F90">
        <f t="shared" si="17"/>
        <v>-25.995072705032175</v>
      </c>
      <c r="G90" s="5">
        <f>B90-regressions!AA$7</f>
        <v>-10.541067097762397</v>
      </c>
      <c r="H90" s="5">
        <f>B90+regressions!AA$7</f>
        <v>-3.0984899168324875</v>
      </c>
      <c r="I90">
        <f>IF($A90&lt;=regressions!$L$2,$A90*regressions!$L$1,regressions!$L$1*regressions!$L$2+regressions!$L$3*($A90-regressions!$L$2))</f>
        <v>-5.3250249020841887</v>
      </c>
      <c r="J90">
        <f>regressions!J$1*A90+regressions!J$2*A90^2</f>
        <v>-6.7063638954327907</v>
      </c>
      <c r="K90">
        <f>regressions!$V$1*A90</f>
        <v>-5.3250249171174104</v>
      </c>
      <c r="L90">
        <f>regressions!$N$1*A90^2</f>
        <v>-7.8218519170620926</v>
      </c>
      <c r="M90">
        <f>regressions!$R$1*A90^2+regressions!$R$2*A90^6</f>
        <v>-7.5237374541970432</v>
      </c>
      <c r="N90">
        <f>regressions!$P$1*A90^2+regressions!$P$2*A90^7</f>
        <v>-7.644735352007074</v>
      </c>
      <c r="O90">
        <f>regressions!T$2+regressions!T$1*EXP(A90)</f>
        <v>-6.3408647341534454</v>
      </c>
      <c r="P90" s="20">
        <f>(1-EXP(-2*regressions!X$1*graph!A90))/2/EXP(-regressions!X$1*A90)</f>
        <v>-7.6106544724281893</v>
      </c>
      <c r="AT90" s="33"/>
      <c r="AW90" s="33"/>
      <c r="AZ90" s="33"/>
    </row>
    <row r="91" spans="1:52" x14ac:dyDescent="0.35">
      <c r="A91">
        <f t="shared" si="9"/>
        <v>6.7999999999999918</v>
      </c>
      <c r="B91">
        <f t="shared" si="10"/>
        <v>-6.9966863356758529</v>
      </c>
      <c r="C91">
        <f>regressions!$AR$1*$A91</f>
        <v>7.1626631843939856</v>
      </c>
      <c r="D91">
        <f>regressions!$AO$1*$A91</f>
        <v>9.7307463092982225</v>
      </c>
      <c r="E91">
        <f t="shared" si="16"/>
        <v>7.3286400331121184</v>
      </c>
      <c r="F91">
        <f t="shared" si="17"/>
        <v>-26.458178954272299</v>
      </c>
      <c r="G91" s="5">
        <f>B91-regressions!AA$7</f>
        <v>-10.717974926140808</v>
      </c>
      <c r="H91" s="5">
        <f>B91+regressions!AA$7</f>
        <v>-3.2753977452108978</v>
      </c>
      <c r="I91">
        <f>IF($A91&lt;=regressions!$L$2,$A91*regressions!$L$1,regressions!$L$1*regressions!$L$2+regressions!$L$3*($A91-regressions!$L$2))</f>
        <v>-5.4045028856973847</v>
      </c>
      <c r="J91">
        <f>regressions!J$1*A91+regressions!J$2*A91^2</f>
        <v>-6.862037540375014</v>
      </c>
      <c r="K91">
        <f>regressions!$V$1*A91</f>
        <v>-5.4045029009549834</v>
      </c>
      <c r="L91">
        <f>regressions!$N$1*A91^2</f>
        <v>-8.0570824826231036</v>
      </c>
      <c r="M91">
        <f>regressions!$R$1*A91^2+regressions!$R$2*A91^6</f>
        <v>-7.6873874069580017</v>
      </c>
      <c r="N91">
        <f>regressions!$P$1*A91^2+regressions!$P$2*A91^7</f>
        <v>-7.8273375511786067</v>
      </c>
      <c r="O91">
        <f>regressions!T$2+regressions!T$1*EXP(A91)</f>
        <v>-7.0085611751344343</v>
      </c>
      <c r="P91" s="20">
        <f>(1-EXP(-2*regressions!X$1*graph!A91))/2/EXP(-regressions!X$1*A91)</f>
        <v>-7.9294712839547117</v>
      </c>
      <c r="AT91" s="33"/>
      <c r="AW91" s="33"/>
      <c r="AZ91" s="33"/>
    </row>
    <row r="92" spans="1:52" x14ac:dyDescent="0.35">
      <c r="A92">
        <f t="shared" si="9"/>
        <v>6.8999999999999915</v>
      </c>
      <c r="B92">
        <f t="shared" si="10"/>
        <v>-7.1760212143643525</v>
      </c>
      <c r="C92">
        <f>regressions!$AR$1*$A92</f>
        <v>7.2679964665174257</v>
      </c>
      <c r="D92">
        <f>regressions!$AO$1*$A92</f>
        <v>9.8738455197290786</v>
      </c>
      <c r="E92">
        <f t="shared" si="16"/>
        <v>7.3599717186704989</v>
      </c>
      <c r="F92">
        <f t="shared" si="17"/>
        <v>-26.923712253822508</v>
      </c>
      <c r="G92" s="5">
        <f>B92-regressions!AA$7</f>
        <v>-10.897309804829307</v>
      </c>
      <c r="H92" s="5">
        <f>B92+regressions!AA$7</f>
        <v>-3.4547326238993974</v>
      </c>
      <c r="I92">
        <f>IF($A92&lt;=regressions!$L$2,$A92*regressions!$L$1,regressions!$L$1*regressions!$L$2+regressions!$L$3*($A92-regressions!$L$2))</f>
        <v>-5.4839808693105816</v>
      </c>
      <c r="J92">
        <f>regressions!J$1*A92+regressions!J$2*A92^2</f>
        <v>-7.0193458518298346</v>
      </c>
      <c r="K92">
        <f>regressions!$V$1*A92</f>
        <v>-5.4839808847925564</v>
      </c>
      <c r="L92">
        <f>regressions!$N$1*A92^2</f>
        <v>-8.295797945451687</v>
      </c>
      <c r="M92">
        <f>regressions!$R$1*A92^2+regressions!$R$2*A92^6</f>
        <v>-7.8477711988646073</v>
      </c>
      <c r="N92">
        <f>regressions!$P$1*A92^2+regressions!$P$2*A92^7</f>
        <v>-8.0075920856606686</v>
      </c>
      <c r="O92">
        <f>regressions!T$2+regressions!T$1*EXP(A92)</f>
        <v>-7.7464798638092356</v>
      </c>
      <c r="P92" s="20">
        <f>(1-EXP(-2*regressions!X$1*graph!A92))/2/EXP(-regressions!X$1*A92)</f>
        <v>-8.261425815983193</v>
      </c>
      <c r="AT92" s="33"/>
      <c r="AW92" s="33"/>
      <c r="AZ92" s="33"/>
    </row>
    <row r="93" spans="1:52" x14ac:dyDescent="0.35">
      <c r="A93">
        <f t="shared" si="9"/>
        <v>6.9999999999999911</v>
      </c>
      <c r="B93">
        <f t="shared" si="10"/>
        <v>-7.3577831213425933</v>
      </c>
      <c r="C93">
        <f>regressions!$AR$1*$A93</f>
        <v>7.3733297486408667</v>
      </c>
      <c r="D93">
        <f>regressions!$AO$1*$A93</f>
        <v>10.016944730159935</v>
      </c>
      <c r="E93">
        <f t="shared" si="16"/>
        <v>7.38887637593914</v>
      </c>
      <c r="F93">
        <f t="shared" si="17"/>
        <v>-27.391672581662462</v>
      </c>
      <c r="G93" s="5">
        <f>B93-regressions!AA$7</f>
        <v>-11.079071711807549</v>
      </c>
      <c r="H93" s="5">
        <f>B93+regressions!AA$7</f>
        <v>-3.6364945308776382</v>
      </c>
      <c r="I93">
        <f>IF($A93&lt;=regressions!$L$2,$A93*regressions!$L$1,regressions!$L$1*regressions!$L$2+regressions!$L$3*($A93-regressions!$L$2))</f>
        <v>-5.5634588529237785</v>
      </c>
      <c r="J93">
        <f>regressions!J$1*A93+regressions!J$2*A93^2</f>
        <v>-7.1782888297972516</v>
      </c>
      <c r="K93">
        <f>regressions!$V$1*A93</f>
        <v>-5.5634588686301303</v>
      </c>
      <c r="L93">
        <f>regressions!$N$1*A93^2</f>
        <v>-8.5379983055478377</v>
      </c>
      <c r="M93">
        <f>regressions!$R$1*A93^2+regressions!$R$2*A93^6</f>
        <v>-8.0044642205006653</v>
      </c>
      <c r="N93">
        <f>regressions!$P$1*A93^2+regressions!$P$2*A93^7</f>
        <v>-8.1850431831445345</v>
      </c>
      <c r="O93">
        <f>regressions!T$2+regressions!T$1*EXP(A93)</f>
        <v>-8.5620061384371446</v>
      </c>
      <c r="P93" s="20">
        <f>(1-EXP(-2*regressions!X$1*graph!A93))/2/EXP(-regressions!X$1*A93)</f>
        <v>-8.6070680580028434</v>
      </c>
      <c r="Q93" s="5"/>
      <c r="Y93" s="51">
        <f>Table1!$E47</f>
        <v>-25</v>
      </c>
      <c r="Z93" s="51"/>
      <c r="AA93" s="51"/>
      <c r="AN93">
        <f t="shared" ref="AN93" si="18">AVERAGE(Q93:AM93)</f>
        <v>-25</v>
      </c>
      <c r="AO93" s="1">
        <f>MIN(Q93:AM93)</f>
        <v>-25</v>
      </c>
      <c r="AP93" s="1">
        <f>MAX(Q93:AM93)</f>
        <v>-25</v>
      </c>
      <c r="AT93" s="33"/>
      <c r="AW93" s="33"/>
      <c r="AZ93" s="33"/>
    </row>
    <row r="94" spans="1:52" x14ac:dyDescent="0.35">
      <c r="A94">
        <f t="shared" si="9"/>
        <v>7.0999999999999908</v>
      </c>
      <c r="B94">
        <f t="shared" si="10"/>
        <v>-7.5419713692132824</v>
      </c>
      <c r="C94">
        <f>regressions!$AR$1*$A94</f>
        <v>7.4786630307643076</v>
      </c>
      <c r="D94">
        <f>regressions!$AO$1*$A94</f>
        <v>10.160043940590789</v>
      </c>
      <c r="E94">
        <f t="shared" si="16"/>
        <v>7.4153546923153328</v>
      </c>
      <c r="F94">
        <f t="shared" si="17"/>
        <v>-27.862059250394861</v>
      </c>
      <c r="G94" s="5">
        <f>B94-regressions!AA$7</f>
        <v>-11.263259959678237</v>
      </c>
      <c r="H94" s="5">
        <f>B94+regressions!AA$7</f>
        <v>-3.8206827787483273</v>
      </c>
      <c r="I94">
        <f>IF($A94&lt;=regressions!$L$2,$A94*regressions!$L$1,regressions!$L$1*regressions!$L$2+regressions!$L$3*($A94-regressions!$L$2))</f>
        <v>-5.6429368365369754</v>
      </c>
      <c r="J94">
        <f>regressions!J$1*A94+regressions!J$2*A94^2</f>
        <v>-7.3388664742772676</v>
      </c>
      <c r="K94">
        <f>regressions!$V$1*A94</f>
        <v>-5.6429368524677033</v>
      </c>
      <c r="L94">
        <f>regressions!$N$1*A94^2</f>
        <v>-8.7836835629115626</v>
      </c>
      <c r="M94">
        <f>regressions!$R$1*A94^2+regressions!$R$2*A94^6</f>
        <v>-8.1570229956460167</v>
      </c>
      <c r="N94">
        <f>regressions!$P$1*A94^2+regressions!$P$2*A94^7</f>
        <v>-8.3592078727992813</v>
      </c>
      <c r="O94">
        <f>regressions!T$2+regressions!T$1*EXP(A94)</f>
        <v>-9.46330206008248</v>
      </c>
      <c r="P94" s="20">
        <f>(1-EXP(-2*regressions!X$1*graph!A94))/2/EXP(-regressions!X$1*A94)</f>
        <v>-8.9669706775985141</v>
      </c>
      <c r="Q94" s="5"/>
      <c r="AT94" s="33"/>
      <c r="AW94" s="33"/>
      <c r="AZ94" s="33"/>
    </row>
    <row r="95" spans="1:52" x14ac:dyDescent="0.35">
      <c r="A95">
        <f t="shared" si="9"/>
        <v>7.1999999999999904</v>
      </c>
      <c r="B95">
        <f t="shared" si="10"/>
        <v>-7.7285846473399982</v>
      </c>
      <c r="C95">
        <f>regressions!$AR$1*$A95</f>
        <v>7.5839963128877477</v>
      </c>
      <c r="D95">
        <f>regressions!$AO$1*$A95</f>
        <v>10.303143151021645</v>
      </c>
      <c r="E95">
        <f t="shared" si="16"/>
        <v>7.4394079784354972</v>
      </c>
      <c r="F95">
        <f t="shared" si="17"/>
        <v>-28.334870949383287</v>
      </c>
      <c r="G95" s="5">
        <f>B95-regressions!AA$7</f>
        <v>-11.449873237804953</v>
      </c>
      <c r="H95" s="5">
        <f>B95+regressions!AA$7</f>
        <v>-4.0072960568750435</v>
      </c>
      <c r="I95">
        <f>IF($A95&lt;=regressions!$L$2,$A95*regressions!$L$1,regressions!$L$1*regressions!$L$2+regressions!$L$3*($A95-regressions!$L$2))</f>
        <v>-5.7224148201501714</v>
      </c>
      <c r="J95">
        <f>regressions!J$1*A95+regressions!J$2*A95^2</f>
        <v>-7.501078785269879</v>
      </c>
      <c r="K95">
        <f>regressions!$V$1*A95</f>
        <v>-5.7224148363052763</v>
      </c>
      <c r="L95">
        <f>regressions!$N$1*A95^2</f>
        <v>-9.0328537175428547</v>
      </c>
      <c r="M95">
        <f>regressions!$R$1*A95^2+regressions!$R$2*A95^6</f>
        <v>-8.3049846304884518</v>
      </c>
      <c r="N95">
        <f>regressions!$P$1*A95^2+regressions!$P$2*A95^7</f>
        <v>-8.5295747856753792</v>
      </c>
      <c r="O95">
        <f>regressions!T$2+regressions!T$1*EXP(A95)</f>
        <v>-10.459388101265096</v>
      </c>
      <c r="P95" s="20">
        <f>(1-EXP(-2*regressions!X$1*graph!A95))/2/EXP(-regressions!X$1*A95)</f>
        <v>-9.3417299692588092</v>
      </c>
      <c r="Q95" s="5"/>
      <c r="AE95" s="58">
        <f>Table1!$E53</f>
        <v>-5</v>
      </c>
      <c r="AN95">
        <f t="shared" ref="AN95" si="19">AVERAGE(Q95:AM95)</f>
        <v>-5</v>
      </c>
      <c r="AO95" s="1">
        <f>MIN(Q95:AM95)</f>
        <v>-5</v>
      </c>
      <c r="AP95" s="1">
        <f>MAX(Q95:AM95)</f>
        <v>-5</v>
      </c>
      <c r="AT95" s="33"/>
      <c r="AW95" s="33"/>
      <c r="AZ95" s="33"/>
    </row>
    <row r="96" spans="1:52" x14ac:dyDescent="0.35">
      <c r="A96">
        <f t="shared" si="9"/>
        <v>7.2999999999999901</v>
      </c>
      <c r="B96">
        <f t="shared" si="10"/>
        <v>-7.9176210743824535</v>
      </c>
      <c r="C96">
        <f>regressions!$AR$1*$A96</f>
        <v>7.6893295950111886</v>
      </c>
      <c r="D96">
        <f>regressions!$AO$1*$A96</f>
        <v>10.446242361452502</v>
      </c>
      <c r="E96">
        <f t="shared" si="16"/>
        <v>7.4610381156399237</v>
      </c>
      <c r="F96">
        <f t="shared" si="17"/>
        <v>-28.810105797287456</v>
      </c>
      <c r="G96" s="5">
        <f>B96-regressions!AA$7</f>
        <v>-11.638909664847409</v>
      </c>
      <c r="H96" s="5">
        <f>B96+regressions!AA$7</f>
        <v>-4.196332483917498</v>
      </c>
      <c r="I96">
        <f>IF($A96&lt;=regressions!$L$2,$A96*regressions!$L$1,regressions!$L$1*regressions!$L$2+regressions!$L$3*($A96-regressions!$L$2))</f>
        <v>-5.8018928037633684</v>
      </c>
      <c r="J96">
        <f>regressions!J$1*A96+regressions!J$2*A96^2</f>
        <v>-7.6649257627750877</v>
      </c>
      <c r="K96">
        <f>regressions!$V$1*A96</f>
        <v>-5.8018928201428492</v>
      </c>
      <c r="L96">
        <f>regressions!$N$1*A96^2</f>
        <v>-9.2855087694417193</v>
      </c>
      <c r="M96">
        <f>regressions!$R$1*A96^2+regressions!$R$2*A96^6</f>
        <v>-8.4478662549105916</v>
      </c>
      <c r="N96">
        <f>regressions!$P$1*A96^2+regressions!$P$2*A96^7</f>
        <v>-8.6956029203421981</v>
      </c>
      <c r="O96">
        <f>regressions!T$2+regressions!T$1*EXP(A96)</f>
        <v>-11.560233425881222</v>
      </c>
      <c r="P96" s="20">
        <f>(1-EXP(-2*regressions!X$1*graph!A96))/2/EXP(-regressions!X$1*A96)</f>
        <v>-9.7319668423297649</v>
      </c>
      <c r="Q96" s="5"/>
      <c r="AT96" s="33"/>
      <c r="AW96" s="33"/>
      <c r="AZ96" s="33"/>
    </row>
    <row r="97" spans="1:52" x14ac:dyDescent="0.35">
      <c r="A97">
        <f t="shared" si="9"/>
        <v>7.3999999999999897</v>
      </c>
      <c r="B97">
        <f t="shared" si="10"/>
        <v>-8.1090782623570981</v>
      </c>
      <c r="C97">
        <f>regressions!$AR$1*$A97</f>
        <v>7.7946628771346296</v>
      </c>
      <c r="D97">
        <f>regressions!$AO$1*$A97</f>
        <v>10.589341571883358</v>
      </c>
      <c r="E97">
        <f t="shared" si="16"/>
        <v>7.4802474919121611</v>
      </c>
      <c r="F97">
        <f t="shared" si="17"/>
        <v>-29.287761406123813</v>
      </c>
      <c r="G97" s="5">
        <f>B97-regressions!AA$7</f>
        <v>-11.830366852822053</v>
      </c>
      <c r="H97" s="5">
        <f>B97+regressions!AA$7</f>
        <v>-4.3877896718921434</v>
      </c>
      <c r="I97">
        <f>IF($A97&lt;=regressions!$L$2,$A97*regressions!$L$1,regressions!$L$1*regressions!$L$2+regressions!$L$3*($A97-regressions!$L$2))</f>
        <v>-5.8813707873765653</v>
      </c>
      <c r="J97">
        <f>regressions!J$1*A97+regressions!J$2*A97^2</f>
        <v>-7.8304074067928937</v>
      </c>
      <c r="K97">
        <f>regressions!$V$1*A97</f>
        <v>-5.8813708039804222</v>
      </c>
      <c r="L97">
        <f>regressions!$N$1*A97^2</f>
        <v>-9.5416487186081547</v>
      </c>
      <c r="M97">
        <f>regressions!$R$1*A97^2+regressions!$R$2*A97^6</f>
        <v>-8.5851644558517641</v>
      </c>
      <c r="N97">
        <f>regressions!$P$1*A97^2+regressions!$P$2*A97^7</f>
        <v>-8.8567203732627195</v>
      </c>
      <c r="O97">
        <f>regressions!T$2+regressions!T$1*EXP(A97)</f>
        <v>-12.776855663946513</v>
      </c>
      <c r="P97" s="20">
        <f>(1-EXP(-2*regressions!X$1*graph!A97))/2/EXP(-regressions!X$1*A97)</f>
        <v>-10.138327849750961</v>
      </c>
      <c r="Q97" s="5"/>
      <c r="AT97" s="33"/>
      <c r="AW97" s="33"/>
      <c r="AZ97" s="33"/>
    </row>
    <row r="98" spans="1:52" x14ac:dyDescent="0.35">
      <c r="A98">
        <f t="shared" si="9"/>
        <v>7.4999999999999893</v>
      </c>
      <c r="B98">
        <f t="shared" si="10"/>
        <v>-8.3029533934574786</v>
      </c>
      <c r="C98">
        <f>regressions!$AR$1*$A98</f>
        <v>7.8999961592580705</v>
      </c>
      <c r="D98">
        <f>regressions!$AO$1*$A98</f>
        <v>10.732440782314214</v>
      </c>
      <c r="E98">
        <f t="shared" si="16"/>
        <v>7.4970389250586624</v>
      </c>
      <c r="F98">
        <f t="shared" si="17"/>
        <v>-29.767834958085906</v>
      </c>
      <c r="G98" s="5">
        <f>B98-regressions!AA$7</f>
        <v>-12.024241983922433</v>
      </c>
      <c r="H98" s="5">
        <f>B98+regressions!AA$7</f>
        <v>-4.581664802992524</v>
      </c>
      <c r="I98">
        <f>IF($A98&lt;=regressions!$L$2,$A98*regressions!$L$1,regressions!$L$1*regressions!$L$2+regressions!$L$3*($A98-regressions!$L$2))</f>
        <v>-5.9608487709897613</v>
      </c>
      <c r="J98">
        <f>regressions!J$1*A98+regressions!J$2*A98^2</f>
        <v>-7.9975237173232969</v>
      </c>
      <c r="K98">
        <f>regressions!$V$1*A98</f>
        <v>-5.9608487878179952</v>
      </c>
      <c r="L98">
        <f>regressions!$N$1*A98^2</f>
        <v>-9.801273565042159</v>
      </c>
      <c r="M98">
        <f>regressions!$R$1*A98^2+regressions!$R$2*A98^6</f>
        <v>-8.7163547027448871</v>
      </c>
      <c r="N98">
        <f>regressions!$P$1*A98^2+regressions!$P$2*A98^7</f>
        <v>-9.0123230334088547</v>
      </c>
      <c r="O98">
        <f>regressions!T$2+regressions!T$1*EXP(A98)</f>
        <v>-14.121431179740375</v>
      </c>
      <c r="P98" s="20">
        <f>(1-EXP(-2*regressions!X$1*graph!A98))/2/EXP(-regressions!X$1*A98)</f>
        <v>-10.561486259278498</v>
      </c>
      <c r="Q98" s="5"/>
      <c r="AT98" s="33"/>
      <c r="AW98" s="33"/>
      <c r="AZ98" s="33"/>
    </row>
    <row r="99" spans="1:52" x14ac:dyDescent="0.35">
      <c r="A99">
        <f t="shared" si="9"/>
        <v>7.599999999999989</v>
      </c>
      <c r="B99">
        <f t="shared" si="10"/>
        <v>-8.4992433109857881</v>
      </c>
      <c r="C99">
        <f>regressions!$AR$1*$A99</f>
        <v>8.0053294413815106</v>
      </c>
      <c r="D99">
        <f>regressions!$AO$1*$A99</f>
        <v>10.87553999274507</v>
      </c>
      <c r="E99">
        <f t="shared" si="16"/>
        <v>7.5114155717772331</v>
      </c>
      <c r="F99">
        <f t="shared" si="17"/>
        <v>-30.250323296475926</v>
      </c>
      <c r="G99" s="5">
        <f>B99-regressions!AA$7</f>
        <v>-12.220531901450743</v>
      </c>
      <c r="H99" s="5">
        <f>B99+regressions!AA$7</f>
        <v>-4.7779547205208335</v>
      </c>
      <c r="I99">
        <f>IF($A99&lt;=regressions!$L$2,$A99*regressions!$L$1,regressions!$L$1*regressions!$L$2+regressions!$L$3*($A99-regressions!$L$2))</f>
        <v>-6.0403267546029582</v>
      </c>
      <c r="J99">
        <f>regressions!J$1*A99+regressions!J$2*A99^2</f>
        <v>-8.1662746943662974</v>
      </c>
      <c r="K99">
        <f>regressions!$V$1*A99</f>
        <v>-6.0403267716555682</v>
      </c>
      <c r="L99">
        <f>regressions!$N$1*A99^2</f>
        <v>-10.064383308743734</v>
      </c>
      <c r="M99">
        <f>regressions!$R$1*A99^2+regressions!$R$2*A99^6</f>
        <v>-8.8408907650283268</v>
      </c>
      <c r="N99">
        <f>regressions!$P$1*A99^2+regressions!$P$2*A99^7</f>
        <v>-9.1617732406206311</v>
      </c>
      <c r="O99">
        <f>regressions!T$2+regressions!T$1*EXP(A99)</f>
        <v>-15.607416936952319</v>
      </c>
      <c r="P99" s="20">
        <f>(1-EXP(-2*regressions!X$1*graph!A99))/2/EXP(-regressions!X$1*A99)</f>
        <v>-11.002143168969653</v>
      </c>
      <c r="Q99" s="5"/>
      <c r="AT99" s="33"/>
      <c r="AW99" s="33"/>
      <c r="AZ99" s="33"/>
    </row>
    <row r="100" spans="1:52" x14ac:dyDescent="0.35">
      <c r="A100">
        <f t="shared" si="9"/>
        <v>7.6999999999999886</v>
      </c>
      <c r="B100">
        <f t="shared" si="10"/>
        <v>-8.6979446258755289</v>
      </c>
      <c r="C100">
        <f>regressions!$AR$1*$A100</f>
        <v>8.1106627235049515</v>
      </c>
      <c r="D100">
        <f>regressions!$AO$1*$A100</f>
        <v>11.018639203175924</v>
      </c>
      <c r="E100">
        <f t="shared" si="16"/>
        <v>7.5233808211343742</v>
      </c>
      <c r="F100">
        <f t="shared" si="17"/>
        <v>-30.735223032227378</v>
      </c>
      <c r="G100" s="5">
        <f>B100-regressions!AA$7</f>
        <v>-12.419233216340483</v>
      </c>
      <c r="H100" s="5">
        <f>B100+regressions!AA$7</f>
        <v>-4.9766560354105742</v>
      </c>
      <c r="I100">
        <f>IF($A100&lt;=regressions!$L$2,$A100*regressions!$L$1,regressions!$L$1*regressions!$L$2+regressions!$L$3*($A100-regressions!$L$2))</f>
        <v>-6.1198047382161551</v>
      </c>
      <c r="J100">
        <f>regressions!J$1*A100+regressions!J$2*A100^2</f>
        <v>-8.3366603379218951</v>
      </c>
      <c r="K100">
        <f>regressions!$V$1*A100</f>
        <v>-6.1198047554931412</v>
      </c>
      <c r="L100">
        <f>regressions!$N$1*A100^2</f>
        <v>-10.33097794971288</v>
      </c>
      <c r="M100">
        <f>regressions!$R$1*A100^2+regressions!$R$2*A100^6</f>
        <v>-8.9582041217327468</v>
      </c>
      <c r="N100">
        <f>regressions!$P$1*A100^2+regressions!$P$2*A100^7</f>
        <v>-9.3043984072126662</v>
      </c>
      <c r="O100">
        <f>regressions!T$2+regressions!T$1*EXP(A100)</f>
        <v>-17.249685180497579</v>
      </c>
      <c r="P100" s="20">
        <f>(1-EXP(-2*regressions!X$1*graph!A100))/2/EXP(-regressions!X$1*A100)</f>
        <v>-11.461028668777399</v>
      </c>
      <c r="Q100" s="5"/>
      <c r="AT100" s="33"/>
      <c r="AW100" s="33"/>
      <c r="AZ100" s="33"/>
    </row>
    <row r="101" spans="1:52" x14ac:dyDescent="0.35">
      <c r="A101">
        <f t="shared" si="9"/>
        <v>7.7999999999999883</v>
      </c>
      <c r="B101">
        <f t="shared" si="10"/>
        <v>-8.899053840426479</v>
      </c>
      <c r="C101">
        <f>regressions!$AR$1*$A101</f>
        <v>8.2159960056283925</v>
      </c>
      <c r="D101">
        <f>regressions!$AO$1*$A101</f>
        <v>11.161738413606781</v>
      </c>
      <c r="E101">
        <f t="shared" si="16"/>
        <v>7.532938170830306</v>
      </c>
      <c r="F101">
        <f t="shared" si="17"/>
        <v>-31.22253066764004</v>
      </c>
      <c r="G101" s="5">
        <f>B101-regressions!AA$7</f>
        <v>-12.620342430891434</v>
      </c>
      <c r="H101" s="5">
        <f>B101+regressions!AA$7</f>
        <v>-5.1777652499615243</v>
      </c>
      <c r="I101">
        <f>IF($A101&lt;=regressions!$L$2,$A101*regressions!$L$1,regressions!$L$1*regressions!$L$2+regressions!$L$3*($A101-regressions!$L$2))</f>
        <v>-6.1992827218293511</v>
      </c>
      <c r="J101">
        <f>regressions!J$1*A101+regressions!J$2*A101^2</f>
        <v>-8.5086806479900883</v>
      </c>
      <c r="K101">
        <f>regressions!$V$1*A101</f>
        <v>-6.1992827393307151</v>
      </c>
      <c r="L101">
        <f>regressions!$N$1*A101^2</f>
        <v>-10.601057487949598</v>
      </c>
      <c r="M101">
        <f>regressions!$R$1*A101^2+regressions!$R$2*A101^6</f>
        <v>-9.0677033631429609</v>
      </c>
      <c r="N101">
        <f>regressions!$P$1*A101^2+regressions!$P$2*A101^7</f>
        <v>-9.4394896023312231</v>
      </c>
      <c r="O101">
        <f>regressions!T$2+regressions!T$1*EXP(A101)</f>
        <v>-19.064672282942968</v>
      </c>
      <c r="P101" s="20">
        <f>(1-EXP(-2*regressions!X$1*graph!A101))/2/EXP(-regressions!X$1*A101)</f>
        <v>-11.938903050179311</v>
      </c>
      <c r="Q101" s="5"/>
      <c r="AT101" s="33"/>
      <c r="AW101" s="33"/>
      <c r="AZ101" s="33"/>
    </row>
    <row r="102" spans="1:52" x14ac:dyDescent="0.35">
      <c r="A102">
        <f t="shared" si="9"/>
        <v>7.8999999999999879</v>
      </c>
      <c r="B102">
        <f t="shared" si="10"/>
        <v>-9.1025674910284096</v>
      </c>
      <c r="C102">
        <f>regressions!$AR$1*$A102</f>
        <v>8.3213292877518334</v>
      </c>
      <c r="D102">
        <f>regressions!$AO$1*$A102</f>
        <v>11.304837624037637</v>
      </c>
      <c r="E102">
        <f t="shared" si="16"/>
        <v>7.5400910844752573</v>
      </c>
      <c r="F102">
        <f t="shared" si="17"/>
        <v>-31.712242739103683</v>
      </c>
      <c r="G102" s="5">
        <f>B102-regressions!AA$7</f>
        <v>-12.823856081493364</v>
      </c>
      <c r="H102" s="5">
        <f>B102+regressions!AA$7</f>
        <v>-5.3812789005634549</v>
      </c>
      <c r="I102">
        <f>IF($A102&lt;=regressions!$L$2,$A102*regressions!$L$1,regressions!$L$1*regressions!$L$2+regressions!$L$3*($A102-regressions!$L$2))</f>
        <v>-6.2787607054425481</v>
      </c>
      <c r="J102">
        <f>regressions!J$1*A102+regressions!J$2*A102^2</f>
        <v>-8.6823356245708805</v>
      </c>
      <c r="K102">
        <f>regressions!$V$1*A102</f>
        <v>-6.278760723168288</v>
      </c>
      <c r="L102">
        <f>regressions!$N$1*A102^2</f>
        <v>-10.874621923453885</v>
      </c>
      <c r="M102">
        <f>regressions!$R$1*A102^2+regressions!$R$2*A102^6</f>
        <v>-9.1687735845347706</v>
      </c>
      <c r="N102">
        <f>regressions!$P$1*A102^2+regressions!$P$2*A102^7</f>
        <v>-9.5663000985652058</v>
      </c>
      <c r="O102">
        <f>regressions!T$2+regressions!T$1*EXP(A102)</f>
        <v>-21.070543245248004</v>
      </c>
      <c r="P102" s="20">
        <f>(1-EXP(-2*regressions!X$1*graph!A102))/2/EXP(-regressions!X$1*A102)</f>
        <v>-12.436558065845029</v>
      </c>
      <c r="Q102" s="5"/>
      <c r="AT102" s="33"/>
      <c r="AW102" s="33"/>
      <c r="AZ102" s="33"/>
    </row>
    <row r="103" spans="1:52" x14ac:dyDescent="0.35">
      <c r="A103">
        <f t="shared" si="9"/>
        <v>7.9999999999999876</v>
      </c>
      <c r="B103">
        <f t="shared" si="10"/>
        <v>-9.3084823118206188</v>
      </c>
      <c r="C103">
        <f>regressions!$AR$1*$A103</f>
        <v>8.4266625698752744</v>
      </c>
      <c r="D103">
        <f>regressions!$AO$1*$A103</f>
        <v>11.447936834468493</v>
      </c>
      <c r="E103">
        <f t="shared" si="16"/>
        <v>7.54484282792993</v>
      </c>
      <c r="F103">
        <f t="shared" si="17"/>
        <v>-32.204355980757605</v>
      </c>
      <c r="G103" s="5">
        <f>B103-regressions!AA$7</f>
        <v>-13.029770902285573</v>
      </c>
      <c r="H103" s="5">
        <f>B103+regressions!AA$7</f>
        <v>-5.5871937213556642</v>
      </c>
      <c r="I103">
        <f>IF($A103&lt;=regressions!$L$2,$A103*regressions!$L$1,regressions!$L$1*regressions!$L$2+regressions!$L$3*($A103-regressions!$L$2))</f>
        <v>-6.358238689055745</v>
      </c>
      <c r="J103">
        <f>regressions!J$1*A103+regressions!J$2*A103^2</f>
        <v>-8.8576252676642682</v>
      </c>
      <c r="K103">
        <f>regressions!$V$1*A103</f>
        <v>-6.358238707005861</v>
      </c>
      <c r="L103">
        <f>regressions!$N$1*A103^2</f>
        <v>-11.151671256225741</v>
      </c>
      <c r="M103">
        <f>regressions!$R$1*A103^2+regressions!$R$2*A103^6</f>
        <v>-9.2607757719867934</v>
      </c>
      <c r="N103">
        <f>regressions!$P$1*A103^2+regressions!$P$2*A103^7</f>
        <v>-9.6840438803144213</v>
      </c>
      <c r="O103">
        <f>regressions!T$2+regressions!T$1*EXP(A103)</f>
        <v>-23.287373498199937</v>
      </c>
      <c r="P103" s="20">
        <f>(1-EXP(-2*regressions!X$1*graph!A103))/2/EXP(-regressions!X$1*A103)</f>
        <v>-12.954818241429299</v>
      </c>
      <c r="Q103" s="5"/>
      <c r="AT103" s="33"/>
      <c r="AW103" s="33"/>
      <c r="AZ103" s="33"/>
    </row>
    <row r="104" spans="1:52" x14ac:dyDescent="0.35">
      <c r="A104">
        <f t="shared" si="9"/>
        <v>8.0999999999999872</v>
      </c>
      <c r="B104">
        <f t="shared" si="10"/>
        <v>-9.5167954214222252</v>
      </c>
      <c r="C104">
        <f>regressions!$AR$1*$A104</f>
        <v>8.5319958519987136</v>
      </c>
      <c r="D104">
        <f>regressions!$AO$1*$A104</f>
        <v>11.591036044899349</v>
      </c>
      <c r="E104">
        <f t="shared" si="16"/>
        <v>7.5471962825752019</v>
      </c>
      <c r="F104">
        <f t="shared" si="17"/>
        <v>-32.698867511220925</v>
      </c>
      <c r="G104" s="5">
        <f>B104-regressions!AA$7</f>
        <v>-13.23808401188718</v>
      </c>
      <c r="H104" s="5">
        <f>B104+regressions!AA$7</f>
        <v>-5.7955068309572706</v>
      </c>
      <c r="I104">
        <f>IF($A104&lt;=regressions!$L$2,$A104*regressions!$L$1,regressions!$L$1*regressions!$L$2+regressions!$L$3*($A104-regressions!$L$2))</f>
        <v>-6.4377166726689419</v>
      </c>
      <c r="J104">
        <f>regressions!J$1*A104+regressions!J$2*A104^2</f>
        <v>-9.0345495772702549</v>
      </c>
      <c r="K104">
        <f>regressions!$V$1*A104</f>
        <v>-6.437716690843434</v>
      </c>
      <c r="L104">
        <f>regressions!$N$1*A104^2</f>
        <v>-11.43220548626517</v>
      </c>
      <c r="M104">
        <f>regressions!$R$1*A104^2+regressions!$R$2*A104^6</f>
        <v>-9.3430461802672706</v>
      </c>
      <c r="N104">
        <f>regressions!$P$1*A104^2+regressions!$P$2*A104^7</f>
        <v>-9.7918941134184898</v>
      </c>
      <c r="O104">
        <f>regressions!T$2+regressions!T$1*EXP(A104)</f>
        <v>-25.737349824072702</v>
      </c>
      <c r="P104" s="20">
        <f>(1-EXP(-2*regressions!X$1*graph!A104))/2/EXP(-regressions!X$1*A104)</f>
        <v>-13.494542241664025</v>
      </c>
      <c r="Q104" s="5"/>
      <c r="AT104" s="33"/>
      <c r="AW104" s="33"/>
      <c r="AZ104" s="33"/>
    </row>
    <row r="105" spans="1:52" x14ac:dyDescent="0.35">
      <c r="A105">
        <f t="shared" si="9"/>
        <v>8.1999999999999869</v>
      </c>
      <c r="B105">
        <f t="shared" si="10"/>
        <v>-9.7275045350745053</v>
      </c>
      <c r="C105">
        <f>regressions!$AR$1*$A105</f>
        <v>8.6373291341221545</v>
      </c>
      <c r="D105">
        <f>regressions!$AO$1*$A105</f>
        <v>11.734135255330205</v>
      </c>
      <c r="E105">
        <f t="shared" si="16"/>
        <v>7.5471537331698038</v>
      </c>
      <c r="F105">
        <f t="shared" si="17"/>
        <v>-33.195775045734919</v>
      </c>
      <c r="G105" s="5">
        <f>B105-regressions!AA$7</f>
        <v>-13.44879312553946</v>
      </c>
      <c r="H105" s="5">
        <f>B105+regressions!AA$7</f>
        <v>-6.0062159446095507</v>
      </c>
      <c r="I105">
        <f>IF($A105&lt;=regressions!$L$2,$A105*regressions!$L$1,regressions!$L$1*regressions!$L$2+regressions!$L$3*($A105-regressions!$L$2))</f>
        <v>-6.5171946562821379</v>
      </c>
      <c r="J105">
        <f>regressions!J$1*A105+regressions!J$2*A105^2</f>
        <v>-9.2131085533888371</v>
      </c>
      <c r="K105">
        <f>regressions!$V$1*A105</f>
        <v>-6.517194674681007</v>
      </c>
      <c r="L105">
        <f>regressions!$N$1*A105^2</f>
        <v>-11.716224613572169</v>
      </c>
      <c r="M105">
        <f>regressions!$R$1*A105^2+regressions!$R$2*A105^6</f>
        <v>-9.4148957027959028</v>
      </c>
      <c r="N105">
        <f>regressions!$P$1*A105^2+regressions!$P$2*A105^7</f>
        <v>-9.8889815755496677</v>
      </c>
      <c r="O105">
        <f>regressions!T$2+regressions!T$1*EXP(A105)</f>
        <v>-28.444992409401099</v>
      </c>
      <c r="P105" s="20">
        <f>(1-EXP(-2*regressions!X$1*graph!A105))/2/EXP(-regressions!X$1*A105)</f>
        <v>-14.056624293012648</v>
      </c>
      <c r="Q105" s="5"/>
      <c r="AT105" s="33"/>
      <c r="AW105" s="33"/>
      <c r="AZ105" s="33"/>
    </row>
    <row r="106" spans="1:52" x14ac:dyDescent="0.35">
      <c r="A106">
        <f t="shared" si="9"/>
        <v>8.2999999999999865</v>
      </c>
      <c r="B106">
        <f t="shared" si="10"/>
        <v>-9.9406082047640645</v>
      </c>
      <c r="C106">
        <f>regressions!$AR$1*$A106</f>
        <v>8.7426624162455955</v>
      </c>
      <c r="D106">
        <f>regressions!$AO$1*$A106</f>
        <v>11.87723446576106</v>
      </c>
      <c r="E106">
        <f t="shared" si="16"/>
        <v>7.5447166277271265</v>
      </c>
      <c r="F106">
        <f t="shared" si="17"/>
        <v>-33.695077136286187</v>
      </c>
      <c r="G106" s="5">
        <f>B106-regressions!AA$7</f>
        <v>-13.661896795229019</v>
      </c>
      <c r="H106" s="5">
        <f>B106+regressions!AA$7</f>
        <v>-6.2193196142991098</v>
      </c>
      <c r="I106">
        <f>IF($A106&lt;=regressions!$L$2,$A106*regressions!$L$1,regressions!$L$1*regressions!$L$2+regressions!$L$3*($A106-regressions!$L$2))</f>
        <v>-6.5966726398953348</v>
      </c>
      <c r="J106">
        <f>regressions!J$1*A106+regressions!J$2*A106^2</f>
        <v>-9.3933021960200165</v>
      </c>
      <c r="K106">
        <f>regressions!$V$1*A106</f>
        <v>-6.59667265851858</v>
      </c>
      <c r="L106">
        <f>regressions!$N$1*A106^2</f>
        <v>-12.003728638146738</v>
      </c>
      <c r="M106">
        <f>regressions!$R$1*A106^2+regressions!$R$2*A106^6</f>
        <v>-9.475609233680629</v>
      </c>
      <c r="N106">
        <f>regressions!$P$1*A106^2+regressions!$P$2*A106^7</f>
        <v>-9.9743930468730255</v>
      </c>
      <c r="O106">
        <f>regressions!T$2+regressions!T$1*EXP(A106)</f>
        <v>-31.437400251249208</v>
      </c>
      <c r="P106" s="20">
        <f>(1-EXP(-2*regressions!X$1*graph!A106))/2/EXP(-regressions!X$1*A106)</f>
        <v>-14.641995665244039</v>
      </c>
      <c r="Q106" s="5"/>
      <c r="AT106" s="33"/>
      <c r="AW106" s="33"/>
      <c r="AZ106" s="33"/>
    </row>
    <row r="107" spans="1:52" x14ac:dyDescent="0.35">
      <c r="A107">
        <f t="shared" si="9"/>
        <v>8.3999999999999861</v>
      </c>
      <c r="B107">
        <f t="shared" si="10"/>
        <v>-10.156106090145478</v>
      </c>
      <c r="C107">
        <f>regressions!$AR$1*$A107</f>
        <v>8.8479956983690364</v>
      </c>
      <c r="D107">
        <f>regressions!$AO$1*$A107</f>
        <v>12.020333676191916</v>
      </c>
      <c r="E107">
        <f t="shared" si="16"/>
        <v>7.5398853065925948</v>
      </c>
      <c r="F107">
        <f t="shared" si="17"/>
        <v>-34.196773442529306</v>
      </c>
      <c r="G107" s="5">
        <f>B107-regressions!AA$7</f>
        <v>-13.877394680610433</v>
      </c>
      <c r="H107" s="5">
        <f>B107+regressions!AA$7</f>
        <v>-6.4348174996805234</v>
      </c>
      <c r="I107">
        <f>IF($A107&lt;=regressions!$L$2,$A107*regressions!$L$1,regressions!$L$1*regressions!$L$2+regressions!$L$3*($A107-regressions!$L$2))</f>
        <v>-6.6761506235085317</v>
      </c>
      <c r="J107">
        <f>regressions!J$1*A107+regressions!J$2*A107^2</f>
        <v>-9.5751305051637932</v>
      </c>
      <c r="K107">
        <f>regressions!$V$1*A107</f>
        <v>-6.676150642356153</v>
      </c>
      <c r="L107">
        <f>regressions!$N$1*A107^2</f>
        <v>-12.294717559988877</v>
      </c>
      <c r="M107">
        <f>regressions!$R$1*A107^2+regressions!$R$2*A107^6</f>
        <v>-9.5244450218294396</v>
      </c>
      <c r="N107">
        <f>regressions!$P$1*A107^2+regressions!$P$2*A107^7</f>
        <v>-10.047169660477223</v>
      </c>
      <c r="O107">
        <f>regressions!T$2+regressions!T$1*EXP(A107)</f>
        <v>-34.744522373081246</v>
      </c>
      <c r="P107" s="20">
        <f>(1-EXP(-2*regressions!X$1*graph!A107))/2/EXP(-regressions!X$1*A107)</f>
        <v>-15.251626214380465</v>
      </c>
      <c r="Q107" s="5"/>
      <c r="AT107" s="33"/>
      <c r="AW107" s="33"/>
      <c r="AZ107" s="33"/>
    </row>
    <row r="108" spans="1:52" x14ac:dyDescent="0.35">
      <c r="A108">
        <f t="shared" si="9"/>
        <v>8.4999999999999858</v>
      </c>
      <c r="B108">
        <f t="shared" si="10"/>
        <v>-10.373999263357661</v>
      </c>
      <c r="C108">
        <f>regressions!$AR$1*$A108</f>
        <v>8.9533289804924774</v>
      </c>
      <c r="D108">
        <f>regressions!$AO$1*$A108</f>
        <v>12.163432886622772</v>
      </c>
      <c r="E108">
        <f t="shared" si="16"/>
        <v>7.5326586976272942</v>
      </c>
      <c r="F108">
        <f t="shared" si="17"/>
        <v>-34.700865036603204</v>
      </c>
      <c r="G108" s="5">
        <f>B108-regressions!AA$7</f>
        <v>-14.095287853822615</v>
      </c>
      <c r="H108" s="5">
        <f>B108+regressions!AA$7</f>
        <v>-6.6527106728927059</v>
      </c>
      <c r="I108">
        <f>IF($A108&lt;=regressions!$L$2,$A108*regressions!$L$1,regressions!$L$1*regressions!$L$2+regressions!$L$3*($A108-regressions!$L$2))</f>
        <v>-6.7556286071217277</v>
      </c>
      <c r="J108">
        <f>regressions!J$1*A108+regressions!J$2*A108^2</f>
        <v>-9.7585934808201671</v>
      </c>
      <c r="K108">
        <f>regressions!$V$1*A108</f>
        <v>-6.7556286261937268</v>
      </c>
      <c r="L108">
        <f>regressions!$N$1*A108^2</f>
        <v>-12.589191379098589</v>
      </c>
      <c r="M108">
        <f>regressions!$R$1*A108^2+regressions!$R$2*A108^6</f>
        <v>-9.5606340171371418</v>
      </c>
      <c r="N108">
        <f>regressions!$P$1*A108^2+regressions!$P$2*A108^7</f>
        <v>-10.106305212079297</v>
      </c>
      <c r="O108">
        <f>regressions!T$2+regressions!T$1*EXP(A108)</f>
        <v>-38.399457564654639</v>
      </c>
      <c r="P108" s="20">
        <f>(1-EXP(-2*regressions!X$1*graph!A108))/2/EXP(-regressions!X$1*A108)</f>
        <v>-15.886525989576183</v>
      </c>
      <c r="Q108" s="5"/>
      <c r="AT108" s="33"/>
      <c r="AW108" s="33"/>
      <c r="AZ108" s="33"/>
    </row>
    <row r="109" spans="1:52" x14ac:dyDescent="0.35">
      <c r="A109">
        <f t="shared" si="9"/>
        <v>8.5999999999999854</v>
      </c>
      <c r="B109">
        <f t="shared" si="10"/>
        <v>-10.594290551131218</v>
      </c>
      <c r="C109">
        <f>regressions!$AR$1*$A109</f>
        <v>9.0586622626159183</v>
      </c>
      <c r="D109">
        <f>regressions!$AO$1*$A109</f>
        <v>12.306532097053628</v>
      </c>
      <c r="E109">
        <f t="shared" si="16"/>
        <v>7.5230339741006187</v>
      </c>
      <c r="F109">
        <f t="shared" si="17"/>
        <v>-35.207354745238476</v>
      </c>
      <c r="G109" s="5">
        <f>B109-regressions!AA$7</f>
        <v>-14.315579141596173</v>
      </c>
      <c r="H109" s="5">
        <f>B109+regressions!AA$7</f>
        <v>-6.8730019606662633</v>
      </c>
      <c r="I109">
        <f>IF($A109&lt;=regressions!$L$2,$A109*regressions!$L$1,regressions!$L$1*regressions!$L$2+regressions!$L$3*($A109-regressions!$L$2))</f>
        <v>-6.8351065907349247</v>
      </c>
      <c r="J109">
        <f>regressions!J$1*A109+regressions!J$2*A109^2</f>
        <v>-9.94369112298914</v>
      </c>
      <c r="K109">
        <f>regressions!$V$1*A109</f>
        <v>-6.8351066100312998</v>
      </c>
      <c r="L109">
        <f>regressions!$N$1*A109^2</f>
        <v>-12.887150095475871</v>
      </c>
      <c r="M109">
        <f>regressions!$R$1*A109^2+regressions!$R$2*A109^6</f>
        <v>-9.5833792087471554</v>
      </c>
      <c r="N109">
        <f>regressions!$P$1*A109^2+regressions!$P$2*A109^7</f>
        <v>-10.150744428506762</v>
      </c>
      <c r="O109">
        <f>regressions!T$2+regressions!T$1*EXP(A109)</f>
        <v>-42.438785645832802</v>
      </c>
      <c r="P109" s="20">
        <f>(1-EXP(-2*regressions!X$1*graph!A109))/2/EXP(-regressions!X$1*A109)</f>
        <v>-16.547746906588824</v>
      </c>
      <c r="Q109" s="5"/>
      <c r="AT109" s="33"/>
      <c r="AW109" s="33"/>
      <c r="AZ109" s="33"/>
    </row>
    <row r="110" spans="1:52" x14ac:dyDescent="0.35">
      <c r="A110">
        <f t="shared" si="9"/>
        <v>8.6999999999999851</v>
      </c>
      <c r="B110">
        <f t="shared" si="10"/>
        <v>-10.816984917918091</v>
      </c>
      <c r="C110">
        <f>regressions!$AR$1*$A110</f>
        <v>9.1639955447393593</v>
      </c>
      <c r="D110">
        <f>regressions!$AO$1*$A110</f>
        <v>12.449631307484484</v>
      </c>
      <c r="E110">
        <f t="shared" si="16"/>
        <v>7.5110061715606271</v>
      </c>
      <c r="F110">
        <f t="shared" si="17"/>
        <v>-35.71624753288706</v>
      </c>
      <c r="G110" s="5">
        <f>B110-regressions!AA$7</f>
        <v>-14.538273508383046</v>
      </c>
      <c r="H110" s="5">
        <f>B110+regressions!AA$7</f>
        <v>-7.0956963274531368</v>
      </c>
      <c r="I110">
        <f>IF($A110&lt;=regressions!$L$2,$A110*regressions!$L$1,regressions!$L$1*regressions!$L$2+regressions!$L$3*($A110-regressions!$L$2))</f>
        <v>-6.9145845743481216</v>
      </c>
      <c r="J110">
        <f>regressions!J$1*A110+regressions!J$2*A110^2</f>
        <v>-10.130423431670708</v>
      </c>
      <c r="K110">
        <f>regressions!$V$1*A110</f>
        <v>-6.9145845938688728</v>
      </c>
      <c r="L110">
        <f>regressions!$N$1*A110^2</f>
        <v>-13.188593709120722</v>
      </c>
      <c r="M110">
        <f>regressions!$R$1*A110^2+regressions!$R$2*A110^6</f>
        <v>-9.5918549553882695</v>
      </c>
      <c r="N110">
        <f>regressions!$P$1*A110^2+regressions!$P$2*A110^7</f>
        <v>-10.179381194460376</v>
      </c>
      <c r="O110">
        <f>regressions!T$2+regressions!T$1*EXP(A110)</f>
        <v>-46.902933569717213</v>
      </c>
      <c r="P110" s="20">
        <f>(1-EXP(-2*regressions!X$1*graph!A110))/2/EXP(-regressions!X$1*A110)</f>
        <v>-17.236384490616306</v>
      </c>
      <c r="Q110" s="5"/>
      <c r="AT110" s="33"/>
      <c r="AW110" s="33"/>
      <c r="AZ110" s="33"/>
    </row>
    <row r="111" spans="1:52" x14ac:dyDescent="0.35">
      <c r="A111">
        <f t="shared" si="9"/>
        <v>8.7999999999999847</v>
      </c>
      <c r="B111">
        <f t="shared" si="10"/>
        <v>-11.04208989414254</v>
      </c>
      <c r="C111">
        <f>regressions!$AR$1*$A111</f>
        <v>9.2693288268628002</v>
      </c>
      <c r="D111">
        <f>regressions!$AO$1*$A111</f>
        <v>12.59273051791534</v>
      </c>
      <c r="E111">
        <f t="shared" si="16"/>
        <v>7.4965677595830602</v>
      </c>
      <c r="F111">
        <f t="shared" si="17"/>
        <v>-36.227550929973219</v>
      </c>
      <c r="G111" s="5">
        <f>B111-regressions!AA$7</f>
        <v>-14.763378484607495</v>
      </c>
      <c r="H111" s="5">
        <f>B111+regressions!AA$7</f>
        <v>-7.3208013036775856</v>
      </c>
      <c r="I111">
        <f>IF($A111&lt;=regressions!$L$2,$A111*regressions!$L$1,regressions!$L$1*regressions!$L$2+regressions!$L$3*($A111-regressions!$L$2))</f>
        <v>-6.9940625579613185</v>
      </c>
      <c r="J111">
        <f>regressions!J$1*A111+regressions!J$2*A111^2</f>
        <v>-10.318790406864872</v>
      </c>
      <c r="K111">
        <f>regressions!$V$1*A111</f>
        <v>-6.9940625777064458</v>
      </c>
      <c r="L111">
        <f>regressions!$N$1*A111^2</f>
        <v>-13.493522220033142</v>
      </c>
      <c r="M111">
        <f>regressions!$R$1*A111^2+regressions!$R$2*A111^6</f>
        <v>-9.5852063077864056</v>
      </c>
      <c r="N111">
        <f>regressions!$P$1*A111^2+regressions!$P$2*A111^7</f>
        <v>-10.191056737060926</v>
      </c>
      <c r="O111">
        <f>regressions!T$2+regressions!T$1*EXP(A111)</f>
        <v>-51.836580029182045</v>
      </c>
      <c r="P111" s="20">
        <f>(1-EXP(-2*regressions!X$1*graph!A111))/2/EXP(-regressions!X$1*A111)</f>
        <v>-17.953579691386818</v>
      </c>
      <c r="Q111" s="5"/>
      <c r="AT111" s="33"/>
      <c r="AW111" s="33"/>
      <c r="AZ111" s="33"/>
    </row>
    <row r="112" spans="1:52" x14ac:dyDescent="0.35">
      <c r="A112">
        <f t="shared" si="9"/>
        <v>8.8999999999999844</v>
      </c>
      <c r="B112">
        <f t="shared" si="10"/>
        <v>-11.26961605407776</v>
      </c>
      <c r="C112">
        <f>regressions!$AR$1*$A112</f>
        <v>9.3746621089862394</v>
      </c>
      <c r="D112">
        <f>regressions!$AO$1*$A112</f>
        <v>12.735829728346197</v>
      </c>
      <c r="E112">
        <f t="shared" si="16"/>
        <v>7.4797081638947187</v>
      </c>
      <c r="F112">
        <f t="shared" si="17"/>
        <v>-36.741275510770151</v>
      </c>
      <c r="G112" s="5">
        <f>B112-regressions!AA$7</f>
        <v>-14.990904644542715</v>
      </c>
      <c r="H112" s="5">
        <f>B112+regressions!AA$7</f>
        <v>-7.5483274636128055</v>
      </c>
      <c r="I112">
        <f>IF($A112&lt;=regressions!$L$2,$A112*regressions!$L$1,regressions!$L$1*regressions!$L$2+regressions!$L$3*($A112-regressions!$L$2))</f>
        <v>-7.0735405415745145</v>
      </c>
      <c r="J112">
        <f>regressions!J$1*A112+regressions!J$2*A112^2</f>
        <v>-10.508792048571635</v>
      </c>
      <c r="K112">
        <f>regressions!$V$1*A112</f>
        <v>-7.0735405615440188</v>
      </c>
      <c r="L112">
        <f>regressions!$N$1*A112^2</f>
        <v>-13.801935628213137</v>
      </c>
      <c r="M112">
        <f>regressions!$R$1*A112^2+regressions!$R$2*A112^6</f>
        <v>-9.5625483231513684</v>
      </c>
      <c r="N112">
        <f>regressions!$P$1*A112^2+regressions!$P$2*A112^7</f>
        <v>-10.184557767683348</v>
      </c>
      <c r="O112">
        <f>regressions!T$2+regressions!T$1*EXP(A112)</f>
        <v>-57.289102616249451</v>
      </c>
      <c r="P112" s="20">
        <f>(1-EXP(-2*regressions!X$1*graph!A112))/2/EXP(-regressions!X$1*A112)</f>
        <v>-18.700520773509144</v>
      </c>
      <c r="Q112" s="5"/>
      <c r="AT112" s="33"/>
      <c r="AW112" s="33"/>
      <c r="AZ112" s="33"/>
    </row>
    <row r="113" spans="1:52" x14ac:dyDescent="0.35">
      <c r="A113">
        <f t="shared" si="9"/>
        <v>8.999999999999984</v>
      </c>
      <c r="B113">
        <f t="shared" si="10"/>
        <v>-11.49957754829903</v>
      </c>
      <c r="C113">
        <f>regressions!$AR$1*$A113</f>
        <v>9.4799953911096804</v>
      </c>
      <c r="D113">
        <f>regressions!$AO$1*$A113</f>
        <v>12.878928938777051</v>
      </c>
      <c r="E113">
        <f t="shared" si="16"/>
        <v>7.4604132339203311</v>
      </c>
      <c r="F113">
        <f t="shared" si="17"/>
        <v>-37.257435425853132</v>
      </c>
      <c r="G113" s="5">
        <f>B113-regressions!AA$7</f>
        <v>-15.220866138763984</v>
      </c>
      <c r="H113" s="5">
        <f>B113+regressions!AA$7</f>
        <v>-7.778288957834075</v>
      </c>
      <c r="I113">
        <f>IF($A113&lt;=regressions!$L$2,$A113*regressions!$L$1,regressions!$L$1*regressions!$L$2+regressions!$L$3*($A113-regressions!$L$2))</f>
        <v>-7.1530185251877114</v>
      </c>
      <c r="J113">
        <f>regressions!J$1*A113+regressions!J$2*A113^2</f>
        <v>-10.700428356790995</v>
      </c>
      <c r="K113">
        <f>regressions!$V$1*A113</f>
        <v>-7.1530185453815918</v>
      </c>
      <c r="L113">
        <f>regressions!$N$1*A113^2</f>
        <v>-14.113833933660699</v>
      </c>
      <c r="M113">
        <f>regressions!$R$1*A113^2+regressions!$R$2*A113^6</f>
        <v>-9.5229653717385823</v>
      </c>
      <c r="N113">
        <f>regressions!$P$1*A113^2+regressions!$P$2*A113^7</f>
        <v>-10.15861458058154</v>
      </c>
      <c r="O113">
        <f>regressions!T$2+regressions!T$1*EXP(A113)</f>
        <v>-63.315072009626952</v>
      </c>
      <c r="P113" s="20">
        <f>(1-EXP(-2*regressions!X$1*graph!A113))/2/EXP(-regressions!X$1*A113)</f>
        <v>-19.478445285215304</v>
      </c>
      <c r="Q113" s="5"/>
      <c r="AT113" s="33"/>
      <c r="AW113" s="33"/>
      <c r="AZ113" s="33"/>
    </row>
    <row r="114" spans="1:52" x14ac:dyDescent="0.35">
      <c r="A114">
        <f t="shared" si="9"/>
        <v>9.0999999999999837</v>
      </c>
      <c r="B114">
        <f t="shared" si="10"/>
        <v>-11.73199269615629</v>
      </c>
      <c r="C114">
        <f>regressions!$AR$1*$A114</f>
        <v>9.5853286732331213</v>
      </c>
      <c r="D114">
        <f>regressions!$AO$1*$A114</f>
        <v>13.022028149207907</v>
      </c>
      <c r="E114">
        <f t="shared" si="16"/>
        <v>7.4386646503099527</v>
      </c>
      <c r="F114">
        <f t="shared" si="17"/>
        <v>-37.776048994572108</v>
      </c>
      <c r="G114" s="5">
        <f>B114-regressions!AA$7</f>
        <v>-15.453281286621245</v>
      </c>
      <c r="H114" s="5">
        <f>B114+regressions!AA$7</f>
        <v>-8.0107041056913353</v>
      </c>
      <c r="I114">
        <f>IF($A114&lt;=regressions!$L$2,$A114*regressions!$L$1,regressions!$L$1*regressions!$L$2+regressions!$L$3*($A114-regressions!$L$2))</f>
        <v>-7.2324965088009083</v>
      </c>
      <c r="J114">
        <f>regressions!J$1*A114+regressions!J$2*A114^2</f>
        <v>-10.893699331522953</v>
      </c>
      <c r="K114">
        <f>regressions!$V$1*A114</f>
        <v>-7.2324965292191647</v>
      </c>
      <c r="L114">
        <f>regressions!$N$1*A114^2</f>
        <v>-14.429217136375833</v>
      </c>
      <c r="M114">
        <f>regressions!$R$1*A114^2+regressions!$R$2*A114^6</f>
        <v>-9.4655104354858395</v>
      </c>
      <c r="N114">
        <f>regressions!$P$1*A114^2+regressions!$P$2*A114^7</f>
        <v>-10.111899107807222</v>
      </c>
      <c r="O114">
        <f>regressions!T$2+regressions!T$1*EXP(A114)</f>
        <v>-69.974798136401716</v>
      </c>
      <c r="P114" s="20">
        <f>(1-EXP(-2*regressions!X$1*graph!A114))/2/EXP(-regressions!X$1*A114)</f>
        <v>-20.288642108757404</v>
      </c>
      <c r="Q114" s="5"/>
      <c r="AT114" s="33"/>
      <c r="AW114" s="33"/>
      <c r="AZ114" s="33"/>
    </row>
    <row r="115" spans="1:52" x14ac:dyDescent="0.35">
      <c r="A115">
        <f t="shared" si="9"/>
        <v>9.1999999999999833</v>
      </c>
      <c r="B115">
        <f t="shared" si="10"/>
        <v>-11.966884644251579</v>
      </c>
      <c r="C115">
        <f>regressions!$AR$1*$A115</f>
        <v>9.6906619553565623</v>
      </c>
      <c r="D115">
        <f>regressions!$AO$1*$A115</f>
        <v>13.165127359638763</v>
      </c>
      <c r="E115">
        <f t="shared" si="16"/>
        <v>7.4144392664615459</v>
      </c>
      <c r="F115">
        <f t="shared" si="17"/>
        <v>-38.297139363529105</v>
      </c>
      <c r="G115" s="5">
        <f>B115-regressions!AA$7</f>
        <v>-15.688173234716533</v>
      </c>
      <c r="H115" s="5">
        <f>B115+regressions!AA$7</f>
        <v>-8.245596053786624</v>
      </c>
      <c r="I115">
        <f>IF($A115&lt;=regressions!$L$2,$A115*regressions!$L$1,regressions!$L$1*regressions!$L$2+regressions!$L$3*($A115-regressions!$L$2))</f>
        <v>-7.3119744924141044</v>
      </c>
      <c r="J115">
        <f>regressions!J$1*A115+regressions!J$2*A115^2</f>
        <v>-11.088604972767506</v>
      </c>
      <c r="K115">
        <f>regressions!$V$1*A115</f>
        <v>-7.3119745130567377</v>
      </c>
      <c r="L115">
        <f>regressions!$N$1*A115^2</f>
        <v>-14.748085236358536</v>
      </c>
      <c r="M115">
        <f>regressions!$R$1*A115^2+regressions!$R$2*A115^6</f>
        <v>-9.3892043987250062</v>
      </c>
      <c r="N115">
        <f>regressions!$P$1*A115^2+regressions!$P$2*A115^7</f>
        <v>-10.043022929926149</v>
      </c>
      <c r="O115">
        <f>regressions!T$2+regressions!T$1*EXP(A115)</f>
        <v>-77.334933774061739</v>
      </c>
      <c r="P115" s="20">
        <f>(1-EXP(-2*regressions!X$1*graph!A115))/2/EXP(-regressions!X$1*A115)</f>
        <v>-21.132453595855761</v>
      </c>
      <c r="Q115" s="5"/>
      <c r="AT115" s="33"/>
      <c r="AW115" s="33"/>
      <c r="AZ115" s="33"/>
    </row>
    <row r="116" spans="1:52" x14ac:dyDescent="0.35">
      <c r="A116">
        <f t="shared" si="9"/>
        <v>9.2999999999999829</v>
      </c>
      <c r="B116">
        <f t="shared" si="10"/>
        <v>-12.204282097504791</v>
      </c>
      <c r="C116">
        <f>regressions!$AR$1*$A116</f>
        <v>9.7959952374800032</v>
      </c>
      <c r="D116">
        <f>regressions!$AO$1*$A116</f>
        <v>13.308226570069619</v>
      </c>
      <c r="E116">
        <f t="shared" si="16"/>
        <v>7.3877083774552155</v>
      </c>
      <c r="F116">
        <f t="shared" si="17"/>
        <v>-38.82073523764403</v>
      </c>
      <c r="G116" s="5">
        <f>B116-regressions!AA$7</f>
        <v>-15.925570687969746</v>
      </c>
      <c r="H116" s="5">
        <f>B116+regressions!AA$7</f>
        <v>-8.4829935070398363</v>
      </c>
      <c r="I116">
        <f>IF($A116&lt;=regressions!$L$2,$A116*regressions!$L$1,regressions!$L$1*regressions!$L$2+regressions!$L$3*($A116-regressions!$L$2))</f>
        <v>-7.3914524760273013</v>
      </c>
      <c r="J116">
        <f>regressions!J$1*A116+regressions!J$2*A116^2</f>
        <v>-11.285145280524656</v>
      </c>
      <c r="K116">
        <f>regressions!$V$1*A116</f>
        <v>-7.3914524968943116</v>
      </c>
      <c r="L116">
        <f>regressions!$N$1*A116^2</f>
        <v>-15.070438233608812</v>
      </c>
      <c r="M116">
        <f>regressions!$R$1*A116^2+regressions!$R$2*A116^6</f>
        <v>-9.2930353309687526</v>
      </c>
      <c r="N116">
        <f>regressions!$P$1*A116^2+regressions!$P$2*A116^7</f>
        <v>-9.9505352420350377</v>
      </c>
      <c r="O116">
        <f>regressions!T$2+regressions!T$1*EXP(A116)</f>
        <v>-85.469141633895759</v>
      </c>
      <c r="P116" s="20">
        <f>(1-EXP(-2*regressions!X$1*graph!A116))/2/EXP(-regressions!X$1*A116)</f>
        <v>-22.011277791736454</v>
      </c>
      <c r="Q116" s="5"/>
      <c r="AE116" s="58">
        <f>Table1!$E50</f>
        <v>-4.8593007850505128</v>
      </c>
      <c r="AN116">
        <f t="shared" ref="AN116" si="20">AVERAGE(Q116:AM116)</f>
        <v>-4.8593007850505128</v>
      </c>
      <c r="AO116" s="1">
        <f>MIN(Q116:AM116)</f>
        <v>-4.8593007850505128</v>
      </c>
      <c r="AP116" s="1">
        <f>MAX(Q116:AM116)</f>
        <v>-4.8593007850505128</v>
      </c>
      <c r="AT116" s="33"/>
      <c r="AW116" s="33"/>
      <c r="AZ116" s="33"/>
    </row>
    <row r="117" spans="1:52" x14ac:dyDescent="0.35">
      <c r="A117">
        <f t="shared" si="9"/>
        <v>9.3999999999999826</v>
      </c>
      <c r="B117">
        <f t="shared" si="10"/>
        <v>-12.444220130050413</v>
      </c>
      <c r="C117">
        <f>regressions!$AR$1*$A117</f>
        <v>9.9013285196034442</v>
      </c>
      <c r="D117">
        <f>regressions!$AO$1*$A117</f>
        <v>13.451325780500476</v>
      </c>
      <c r="E117">
        <f t="shared" si="16"/>
        <v>7.3584369091564756</v>
      </c>
      <c r="F117">
        <f t="shared" si="17"/>
        <v>-39.346871691051362</v>
      </c>
      <c r="G117" s="5">
        <f>B117-regressions!AA$7</f>
        <v>-16.165508720515369</v>
      </c>
      <c r="H117" s="5">
        <f>B117+regressions!AA$7</f>
        <v>-8.7229315395854581</v>
      </c>
      <c r="I117">
        <f>IF($A117&lt;=regressions!$L$2,$A117*regressions!$L$1,regressions!$L$1*regressions!$L$2+regressions!$L$3*($A117-regressions!$L$2))</f>
        <v>-7.4709304596404982</v>
      </c>
      <c r="J117">
        <f>regressions!J$1*A117+regressions!J$2*A117^2</f>
        <v>-11.483320254794403</v>
      </c>
      <c r="K117">
        <f>regressions!$V$1*A117</f>
        <v>-7.4709304807318846</v>
      </c>
      <c r="L117">
        <f>regressions!$N$1*A117^2</f>
        <v>-15.396276128126656</v>
      </c>
      <c r="M117">
        <f>regressions!$R$1*A117^2+regressions!$R$2*A117^6</f>
        <v>-9.1759577617722456</v>
      </c>
      <c r="N117">
        <f>regressions!$P$1*A117^2+regressions!$P$2*A117^7</f>
        <v>-9.8329207745825755</v>
      </c>
      <c r="O117">
        <f>regressions!T$2+regressions!T$1*EXP(A117)</f>
        <v>-94.458831602166683</v>
      </c>
      <c r="P117" s="20">
        <f>(1-EXP(-2*regressions!X$1*graph!A117))/2/EXP(-regressions!X$1*A117)</f>
        <v>-22.926570751443052</v>
      </c>
      <c r="Q117" s="5"/>
      <c r="AT117" s="33"/>
      <c r="AW117" s="33"/>
      <c r="AZ117" s="33"/>
    </row>
    <row r="118" spans="1:52" x14ac:dyDescent="0.35">
      <c r="A118">
        <f t="shared" si="9"/>
        <v>9.4999999999999822</v>
      </c>
      <c r="B118">
        <f t="shared" si="10"/>
        <v>-12.686741083935107</v>
      </c>
      <c r="C118">
        <f>regressions!$AR$1*$A118</f>
        <v>10.006661801726885</v>
      </c>
      <c r="D118">
        <f>regressions!$AO$1*$A118</f>
        <v>13.594424990931332</v>
      </c>
      <c r="E118">
        <f t="shared" si="16"/>
        <v>7.3265825195186629</v>
      </c>
      <c r="F118">
        <f t="shared" si="17"/>
        <v>-39.875591065797771</v>
      </c>
      <c r="G118" s="5">
        <f>B118-regressions!AA$7</f>
        <v>-16.408029674400062</v>
      </c>
      <c r="H118" s="5">
        <f>B118+regressions!AA$7</f>
        <v>-8.9654524934701527</v>
      </c>
      <c r="I118">
        <f>IF($A118&lt;=regressions!$L$2,$A118*regressions!$L$1,regressions!$L$1*regressions!$L$2+regressions!$L$3*($A118-regressions!$L$2))</f>
        <v>-7.5504084432536942</v>
      </c>
      <c r="J118">
        <f>regressions!J$1*A118+regressions!J$2*A118^2</f>
        <v>-11.68312989557675</v>
      </c>
      <c r="K118">
        <f>regressions!$V$1*A118</f>
        <v>-7.5504084645694576</v>
      </c>
      <c r="L118">
        <f>regressions!$N$1*A118^2</f>
        <v>-15.725598919912072</v>
      </c>
      <c r="M118">
        <f>regressions!$R$1*A118^2+regressions!$R$2*A118^6</f>
        <v>-9.0368919476698739</v>
      </c>
      <c r="N118">
        <f>regressions!$P$1*A118^2+regressions!$P$2*A118^7</f>
        <v>-9.6885976684977919</v>
      </c>
      <c r="O118">
        <f>regressions!T$2+regressions!T$1*EXP(A118)</f>
        <v>-104.3939755176161</v>
      </c>
      <c r="P118" s="20">
        <f>(1-EXP(-2*regressions!X$1*graph!A118))/2/EXP(-regressions!X$1*A118)</f>
        <v>-23.879848952260282</v>
      </c>
      <c r="Q118" s="5"/>
      <c r="AT118" s="33"/>
      <c r="AW118" s="33"/>
      <c r="AZ118" s="33"/>
    </row>
    <row r="119" spans="1:52" x14ac:dyDescent="0.35">
      <c r="A119">
        <f t="shared" si="9"/>
        <v>9.5999999999999819</v>
      </c>
      <c r="B119">
        <f t="shared" si="10"/>
        <v>-12.931895564387805</v>
      </c>
      <c r="C119">
        <f>regressions!$AR$1*$A119</f>
        <v>10.111995083850324</v>
      </c>
      <c r="D119">
        <f>regressions!$AO$1*$A119</f>
        <v>13.737524201362186</v>
      </c>
      <c r="E119">
        <f t="shared" si="16"/>
        <v>7.2920946033128438</v>
      </c>
      <c r="F119">
        <f t="shared" si="17"/>
        <v>-40.406943967112177</v>
      </c>
      <c r="G119" s="5">
        <f>B119-regressions!AA$7</f>
        <v>-16.653184154852759</v>
      </c>
      <c r="H119" s="5">
        <f>B119+regressions!AA$7</f>
        <v>-9.2106069739228502</v>
      </c>
      <c r="I119">
        <f>IF($A119&lt;=regressions!$L$2,$A119*regressions!$L$1,regressions!$L$1*regressions!$L$2+regressions!$L$3*($A119-regressions!$L$2))</f>
        <v>-7.6298864268668911</v>
      </c>
      <c r="J119">
        <f>regressions!J$1*A119+regressions!J$2*A119^2</f>
        <v>-11.884574202871692</v>
      </c>
      <c r="K119">
        <f>regressions!$V$1*A119</f>
        <v>-7.6298864484070306</v>
      </c>
      <c r="L119">
        <f>regressions!$N$1*A119^2</f>
        <v>-16.058406608965058</v>
      </c>
      <c r="M119">
        <f>regressions!$R$1*A119^2+regressions!$R$2*A119^6</f>
        <v>-8.874723131186899</v>
      </c>
      <c r="N119">
        <f>regressions!$P$1*A119^2+regressions!$P$2*A119^7</f>
        <v>-9.5159153041291784</v>
      </c>
      <c r="O119">
        <f>regressions!T$2+regressions!T$1*EXP(A119)</f>
        <v>-115.37400763986699</v>
      </c>
      <c r="P119" s="20">
        <f>(1-EXP(-2*regressions!X$1*graph!A119))/2/EXP(-regressions!X$1*A119)</f>
        <v>-24.872691806246596</v>
      </c>
      <c r="Q119" s="5"/>
      <c r="AT119" s="33"/>
      <c r="AW119" s="33"/>
      <c r="AZ119" s="33"/>
    </row>
    <row r="120" spans="1:52" x14ac:dyDescent="0.35">
      <c r="A120">
        <f t="shared" si="9"/>
        <v>9.6999999999999815</v>
      </c>
      <c r="B120">
        <f t="shared" si="10"/>
        <v>-13.179743541318333</v>
      </c>
      <c r="C120">
        <f>regressions!$AR$1*$A120</f>
        <v>10.217328365973765</v>
      </c>
      <c r="D120">
        <f>regressions!$AO$1*$A120</f>
        <v>13.880623411793042</v>
      </c>
      <c r="E120">
        <f t="shared" si="16"/>
        <v>7.2549131906291979</v>
      </c>
      <c r="F120">
        <f t="shared" si="17"/>
        <v>-40.940990364904415</v>
      </c>
      <c r="G120" s="5">
        <f>B120-regressions!AA$7</f>
        <v>-16.901032131783289</v>
      </c>
      <c r="H120" s="5">
        <f>B120+regressions!AA$7</f>
        <v>-9.458454950853378</v>
      </c>
      <c r="I120">
        <f>IF($A120&lt;=regressions!$L$2,$A120*regressions!$L$1,regressions!$L$1*regressions!$L$2+regressions!$L$3*($A120-regressions!$L$2))</f>
        <v>-7.709364410480088</v>
      </c>
      <c r="J120">
        <f>regressions!J$1*A120+regressions!J$2*A120^2</f>
        <v>-12.087653176679233</v>
      </c>
      <c r="K120">
        <f>regressions!$V$1*A120</f>
        <v>-7.7093644322446035</v>
      </c>
      <c r="L120">
        <f>regressions!$N$1*A120^2</f>
        <v>-16.394699195285614</v>
      </c>
      <c r="M120">
        <f>regressions!$R$1*A120^2+regressions!$R$2*A120^6</f>
        <v>-8.6883007919261814</v>
      </c>
      <c r="N120">
        <f>regressions!$P$1*A120^2+regressions!$P$2*A120^7</f>
        <v>-9.3131520834979149</v>
      </c>
      <c r="O120">
        <f>regressions!T$2+regressions!T$1*EXP(A120)</f>
        <v>-127.50881982091512</v>
      </c>
      <c r="P120" s="20">
        <f>(1-EXP(-2*regressions!X$1*graph!A120))/2/EXP(-regressions!X$1*A120)</f>
        <v>-25.906744277038388</v>
      </c>
      <c r="Q120" s="5"/>
      <c r="AT120" s="33"/>
      <c r="AW120" s="33"/>
      <c r="AZ120" s="33"/>
    </row>
    <row r="121" spans="1:52" x14ac:dyDescent="0.35">
      <c r="A121">
        <f t="shared" si="9"/>
        <v>9.7999999999999812</v>
      </c>
      <c r="B121">
        <f t="shared" si="10"/>
        <v>-13.43035556767626</v>
      </c>
      <c r="C121">
        <f>regressions!$AR$1*$A121</f>
        <v>10.322661648097206</v>
      </c>
      <c r="D121">
        <f>regressions!$AO$1*$A121</f>
        <v>14.023722622223898</v>
      </c>
      <c r="E121">
        <f t="shared" si="16"/>
        <v>7.2149677285181522</v>
      </c>
      <c r="F121">
        <f t="shared" si="17"/>
        <v>-41.477800812124059</v>
      </c>
      <c r="G121" s="5">
        <f>B121-regressions!AA$7</f>
        <v>-17.151644158141217</v>
      </c>
      <c r="H121" s="5">
        <f>B121+regressions!AA$7</f>
        <v>-9.7090669772113056</v>
      </c>
      <c r="I121">
        <f>IF($A121&lt;=regressions!$L$2,$A121*regressions!$L$1,regressions!$L$1*regressions!$L$2+regressions!$L$3*($A121-regressions!$L$2))</f>
        <v>-7.7888423940932849</v>
      </c>
      <c r="J121">
        <f>regressions!J$1*A121+regressions!J$2*A121^2</f>
        <v>-12.292366816999369</v>
      </c>
      <c r="K121">
        <f>regressions!$V$1*A121</f>
        <v>-7.7888424160821765</v>
      </c>
      <c r="L121">
        <f>regressions!$N$1*A121^2</f>
        <v>-16.734476678873744</v>
      </c>
      <c r="M121">
        <f>regressions!$R$1*A121^2+regressions!$R$2*A121^6</f>
        <v>-8.476437889729814</v>
      </c>
      <c r="N121">
        <f>regressions!$P$1*A121^2+regressions!$P$2*A121^7</f>
        <v>-9.0785131653684683</v>
      </c>
      <c r="O121">
        <f>regressions!T$2+regressions!T$1*EXP(A121)</f>
        <v>-140.91986133971963</v>
      </c>
      <c r="P121" s="20">
        <f>(1-EXP(-2*regressions!X$1*graph!A121))/2/EXP(-regressions!X$1*A121)</f>
        <v>-26.983719605261577</v>
      </c>
      <c r="Q121" s="5"/>
      <c r="AT121" s="33"/>
      <c r="AW121" s="33"/>
      <c r="AZ121" s="33"/>
    </row>
    <row r="122" spans="1:52" x14ac:dyDescent="0.35">
      <c r="A122">
        <f t="shared" si="9"/>
        <v>9.8999999999999808</v>
      </c>
      <c r="B122">
        <f t="shared" si="10"/>
        <v>-13.683814126377948</v>
      </c>
      <c r="C122">
        <f>regressions!$AR$1*$A122</f>
        <v>10.427994930220647</v>
      </c>
      <c r="D122">
        <f>regressions!$AO$1*$A122</f>
        <v>14.166821832654755</v>
      </c>
      <c r="E122">
        <f t="shared" si="16"/>
        <v>7.1721757340633463</v>
      </c>
      <c r="F122">
        <f t="shared" si="17"/>
        <v>-42.017457791687455</v>
      </c>
      <c r="G122" s="5">
        <f>B122-regressions!AA$7</f>
        <v>-17.405102716842904</v>
      </c>
      <c r="H122" s="5">
        <f>B122+regressions!AA$7</f>
        <v>-9.9625255359129934</v>
      </c>
      <c r="I122">
        <f>IF($A122&lt;=regressions!$L$2,$A122*regressions!$L$1,regressions!$L$1*regressions!$L$2+regressions!$L$3*($A122-regressions!$L$2))</f>
        <v>-7.868320377706481</v>
      </c>
      <c r="J122">
        <f>regressions!J$1*A122+regressions!J$2*A122^2</f>
        <v>-12.498715123832099</v>
      </c>
      <c r="K122">
        <f>regressions!$V$1*A122</f>
        <v>-7.8683203999197495</v>
      </c>
      <c r="L122">
        <f>regressions!$N$1*A122^2</f>
        <v>-17.077739059729439</v>
      </c>
      <c r="M122">
        <f>regressions!$R$1*A122^2+regressions!$R$2*A122^6</f>
        <v>-8.2379100999158137</v>
      </c>
      <c r="N122">
        <f>regressions!$P$1*A122^2+regressions!$P$2*A122^7</f>
        <v>-8.8101281526399955</v>
      </c>
      <c r="O122">
        <f>regressions!T$2+regressions!T$1*EXP(A122)</f>
        <v>-155.74135440740741</v>
      </c>
      <c r="P122" s="20">
        <f>(1-EXP(-2*regressions!X$1*graph!A122))/2/EXP(-regressions!X$1*A122)</f>
        <v>-28.105402147065881</v>
      </c>
      <c r="Q122" s="5"/>
      <c r="AT122" s="33"/>
      <c r="AW122" s="33"/>
      <c r="AZ122" s="33"/>
    </row>
    <row r="123" spans="1:52" x14ac:dyDescent="0.35">
      <c r="A123">
        <f t="shared" si="9"/>
        <v>9.9999999999999805</v>
      </c>
      <c r="B123">
        <f t="shared" si="10"/>
        <v>-13.940215118697253</v>
      </c>
      <c r="C123">
        <f>regressions!$AR$1*$A123</f>
        <v>10.533328212344088</v>
      </c>
      <c r="D123">
        <f>regressions!$AO$1*$A123</f>
        <v>14.309921043085611</v>
      </c>
      <c r="E123">
        <f t="shared" si="16"/>
        <v>7.1264413059909231</v>
      </c>
      <c r="F123">
        <f t="shared" si="17"/>
        <v>-42.560057204868471</v>
      </c>
      <c r="G123" s="5">
        <f>B123-regressions!AA$7</f>
        <v>-17.661503709162208</v>
      </c>
      <c r="H123" s="5">
        <f>B123+regressions!AA$7</f>
        <v>-10.218926528232299</v>
      </c>
      <c r="I123">
        <f>IF($A123&lt;=regressions!$L$2,$A123*regressions!$L$1,regressions!$L$1*regressions!$L$2+regressions!$L$3*($A123-regressions!$L$2))</f>
        <v>-7.9477983613196779</v>
      </c>
      <c r="J123">
        <f>regressions!J$1*A123+regressions!J$2*A123^2</f>
        <v>-12.706698097177432</v>
      </c>
      <c r="K123">
        <f>regressions!$V$1*A123</f>
        <v>-7.9477983837573234</v>
      </c>
      <c r="L123">
        <f>regressions!$N$1*A123^2</f>
        <v>-17.424486337852706</v>
      </c>
      <c r="M123">
        <f>regressions!$R$1*A123^2+regressions!$R$2*A123^6</f>
        <v>-7.9714550405897597</v>
      </c>
      <c r="N123">
        <f>regressions!$P$1*A123^2+regressions!$P$2*A123^7</f>
        <v>-8.5060487315618278</v>
      </c>
      <c r="O123">
        <f>regressions!T$2+regressions!T$1*EXP(A123)</f>
        <v>-172.12163750827577</v>
      </c>
      <c r="P123" s="20">
        <f>(1-EXP(-2*regressions!X$1*graph!A123))/2/EXP(-regressions!X$1*A123)</f>
        <v>-29.273650330484994</v>
      </c>
      <c r="Q123" s="5"/>
      <c r="AT123" s="33"/>
      <c r="AW123" s="33"/>
      <c r="AZ123" s="33"/>
    </row>
    <row r="124" spans="1:52" x14ac:dyDescent="0.35">
      <c r="A124">
        <f t="shared" si="9"/>
        <v>10.09999999999998</v>
      </c>
      <c r="B124">
        <f t="shared" si="10"/>
        <v>-14.19966950832562</v>
      </c>
      <c r="C124">
        <f>regressions!$AR$1*$A124</f>
        <v>10.638661494467529</v>
      </c>
      <c r="D124">
        <f>regressions!$AO$1*$A124</f>
        <v>14.453020253516467</v>
      </c>
      <c r="E124">
        <f t="shared" si="16"/>
        <v>7.0776534806094382</v>
      </c>
      <c r="F124">
        <f t="shared" si="17"/>
        <v>-43.105710015358554</v>
      </c>
      <c r="G124" s="5">
        <f>B124-regressions!AA$7</f>
        <v>-17.920958098790575</v>
      </c>
      <c r="H124" s="5">
        <f>B124+regressions!AA$7</f>
        <v>-10.478380917860665</v>
      </c>
      <c r="I124">
        <f>IF($A124&lt;=regressions!$L$2,$A124*regressions!$L$1,regressions!$L$1*regressions!$L$2+regressions!$L$3*($A124-regressions!$L$2))</f>
        <v>-8.0272763449328739</v>
      </c>
      <c r="J124">
        <f>regressions!J$1*A124+regressions!J$2*A124^2</f>
        <v>-12.916315737035358</v>
      </c>
      <c r="K124">
        <f>regressions!$V$1*A124</f>
        <v>-8.0272763675948955</v>
      </c>
      <c r="L124">
        <f>regressions!$N$1*A124^2</f>
        <v>-17.774718513243545</v>
      </c>
      <c r="M124">
        <f>regressions!$R$1*A124^2+regressions!$R$2*A124^6</f>
        <v>-7.6757714920314442</v>
      </c>
      <c r="N124">
        <f>regressions!$P$1*A124^2+regressions!$P$2*A124^7</f>
        <v>-8.1642462622763894</v>
      </c>
      <c r="O124">
        <f>regressions!T$2+regressions!T$1*EXP(A124)</f>
        <v>-190.22465002120148</v>
      </c>
      <c r="P124" s="20">
        <f>(1-EXP(-2*regressions!X$1*graph!A124))/2/EXP(-regressions!X$1*A124)</f>
        <v>-30.490399734520416</v>
      </c>
      <c r="Q124" s="5"/>
      <c r="AT124" s="33"/>
      <c r="AW124" s="33"/>
      <c r="AZ124" s="33"/>
    </row>
    <row r="125" spans="1:52" x14ac:dyDescent="0.35">
      <c r="A125">
        <f t="shared" si="9"/>
        <v>10.19999999999998</v>
      </c>
      <c r="B125">
        <f t="shared" si="10"/>
        <v>-14.462305136753516</v>
      </c>
      <c r="C125">
        <f>regressions!$AR$1*$A125</f>
        <v>10.74399477659097</v>
      </c>
      <c r="D125">
        <f>regressions!$AO$1*$A125</f>
        <v>14.596119463947321</v>
      </c>
      <c r="E125">
        <f t="shared" si="16"/>
        <v>7.0256844164284242</v>
      </c>
      <c r="F125">
        <f t="shared" si="17"/>
        <v>-43.654544064648157</v>
      </c>
      <c r="G125" s="5">
        <f>B125-regressions!AA$7</f>
        <v>-18.183593727218472</v>
      </c>
      <c r="H125" s="5">
        <f>B125+regressions!AA$7</f>
        <v>-10.741016546288561</v>
      </c>
      <c r="I125">
        <f>IF($A125&lt;=regressions!$L$2,$A125*regressions!$L$1,regressions!$L$1*regressions!$L$2+regressions!$L$3*($A125-regressions!$L$2))</f>
        <v>-8.1067543285460708</v>
      </c>
      <c r="J125">
        <f>regressions!J$1*A125+regressions!J$2*A125^2</f>
        <v>-13.127568043405883</v>
      </c>
      <c r="K125">
        <f>regressions!$V$1*A125</f>
        <v>-8.1067543514324694</v>
      </c>
      <c r="L125">
        <f>regressions!$N$1*A125^2</f>
        <v>-18.128435585901954</v>
      </c>
      <c r="M125">
        <f>regressions!$R$1*A125^2+regressions!$R$2*A125^6</f>
        <v>-7.3495186081565151</v>
      </c>
      <c r="N125">
        <f>regressions!$P$1*A125^2+regressions!$P$2*A125^7</f>
        <v>-7.7826093201929201</v>
      </c>
      <c r="O125">
        <f>regressions!T$2+regressions!T$1*EXP(A125)</f>
        <v>-210.23157298004651</v>
      </c>
      <c r="P125" s="20">
        <f>(1-EXP(-2*regressions!X$1*graph!A125))/2/EXP(-regressions!X$1*A125)</f>
        <v>-31.75766629605107</v>
      </c>
      <c r="Q125" s="5"/>
      <c r="AT125" s="33"/>
      <c r="AW125" s="33"/>
      <c r="AZ125" s="33"/>
    </row>
    <row r="126" spans="1:52" x14ac:dyDescent="0.35">
      <c r="A126">
        <f t="shared" si="9"/>
        <v>10.299999999999979</v>
      </c>
      <c r="B126">
        <f t="shared" si="10"/>
        <v>-14.728268727220531</v>
      </c>
      <c r="C126">
        <f>regressions!$AR$1*$A126</f>
        <v>10.849328058714411</v>
      </c>
      <c r="D126">
        <f>regressions!$AO$1*$A126</f>
        <v>14.739218674378177</v>
      </c>
      <c r="E126">
        <f t="shared" si="16"/>
        <v>6.9703873902082911</v>
      </c>
      <c r="F126">
        <f t="shared" si="17"/>
        <v>-44.206706075976882</v>
      </c>
      <c r="G126" s="5">
        <f>B126-regressions!AA$7</f>
        <v>-18.449557317685485</v>
      </c>
      <c r="H126" s="5">
        <f>B126+regressions!AA$7</f>
        <v>-11.006980136755576</v>
      </c>
      <c r="I126">
        <f>IF($A126&lt;=regressions!$L$2,$A126*regressions!$L$1,regressions!$L$1*regressions!$L$2+regressions!$L$3*($A126-regressions!$L$2))</f>
        <v>-8.1862323121592677</v>
      </c>
      <c r="J126">
        <f>regressions!J$1*A126+regressions!J$2*A126^2</f>
        <v>-13.340455016289006</v>
      </c>
      <c r="K126">
        <f>regressions!$V$1*A126</f>
        <v>-8.1862323352700415</v>
      </c>
      <c r="L126">
        <f>regressions!$N$1*A126^2</f>
        <v>-18.485637555827935</v>
      </c>
      <c r="M126">
        <f>regressions!$R$1*A126^2+regressions!$R$2*A126^6</f>
        <v>-6.9913151200531107</v>
      </c>
      <c r="N126">
        <f>regressions!$P$1*A126^2+regressions!$P$2*A126^7</f>
        <v>-7.3589411876953541</v>
      </c>
      <c r="O126">
        <f>regressions!T$2+regressions!T$1*EXP(A126)</f>
        <v>-232.34264239434202</v>
      </c>
      <c r="P126" s="20">
        <f>(1-EXP(-2*regressions!X$1*graph!A126))/2/EXP(-regressions!X$1*A126)</f>
        <v>-33.077549649881114</v>
      </c>
      <c r="Q126" s="5"/>
      <c r="AT126" s="33"/>
      <c r="AW126" s="33"/>
      <c r="AZ126" s="33"/>
    </row>
    <row r="127" spans="1:52" x14ac:dyDescent="0.35">
      <c r="A127">
        <f t="shared" si="9"/>
        <v>10.399999999999979</v>
      </c>
      <c r="B127">
        <f t="shared" si="10"/>
        <v>-14.997728096243319</v>
      </c>
      <c r="C127">
        <f>regressions!$AR$1*$A127</f>
        <v>10.95466134083785</v>
      </c>
      <c r="D127">
        <f>regressions!$AO$1*$A127</f>
        <v>14.882317884809034</v>
      </c>
      <c r="E127">
        <f t="shared" si="16"/>
        <v>6.9115945854323808</v>
      </c>
      <c r="F127">
        <f t="shared" si="17"/>
        <v>-44.762363865861388</v>
      </c>
      <c r="G127" s="5">
        <f>B127-regressions!AA$7</f>
        <v>-18.719016686708276</v>
      </c>
      <c r="H127" s="5">
        <f>B127+regressions!AA$7</f>
        <v>-11.276439505778365</v>
      </c>
      <c r="I127">
        <f>IF($A127&lt;=regressions!$L$2,$A127*regressions!$L$1,regressions!$L$1*regressions!$L$2+regressions!$L$3*($A127-regressions!$L$2))</f>
        <v>-8.2657102957724646</v>
      </c>
      <c r="J127">
        <f>regressions!J$1*A127+regressions!J$2*A127^2</f>
        <v>-13.554976655684726</v>
      </c>
      <c r="K127">
        <f>regressions!$V$1*A127</f>
        <v>-8.2657103191076153</v>
      </c>
      <c r="L127">
        <f>regressions!$N$1*A127^2</f>
        <v>-18.846324423021489</v>
      </c>
      <c r="M127">
        <f>regressions!$R$1*A127^2+regressions!$R$2*A127^6</f>
        <v>-6.5997385315934594</v>
      </c>
      <c r="N127">
        <f>regressions!$P$1*A127^2+regressions!$P$2*A127^7</f>
        <v>-6.890957295687576</v>
      </c>
      <c r="O127">
        <f>regressions!T$2+regressions!T$1*EXP(A127)</f>
        <v>-256.77915327857329</v>
      </c>
      <c r="P127" s="20">
        <f>(1-EXP(-2*regressions!X$1*graph!A127))/2/EXP(-regressions!X$1*A127)</f>
        <v>-34.452236607460804</v>
      </c>
      <c r="Q127" s="5"/>
      <c r="AT127" s="33"/>
      <c r="AW127" s="33"/>
      <c r="AZ127" s="33"/>
    </row>
    <row r="128" spans="1:52" x14ac:dyDescent="0.35">
      <c r="A128">
        <f t="shared" si="9"/>
        <v>10.499999999999979</v>
      </c>
      <c r="B128">
        <f t="shared" si="10"/>
        <v>-15.270874593674147</v>
      </c>
      <c r="C128">
        <f>regressions!$AR$1*$A128</f>
        <v>11.059994622961291</v>
      </c>
      <c r="D128">
        <f>regressions!$AO$1*$A128</f>
        <v>15.02541709523989</v>
      </c>
      <c r="E128">
        <f t="shared" si="16"/>
        <v>6.849114652248435</v>
      </c>
      <c r="F128">
        <f t="shared" si="17"/>
        <v>-45.321708784153927</v>
      </c>
      <c r="G128" s="5">
        <f>B128-regressions!AA$7</f>
        <v>-18.992163184139102</v>
      </c>
      <c r="H128" s="5">
        <f>B128+regressions!AA$7</f>
        <v>-11.549586003209193</v>
      </c>
      <c r="I128">
        <f>IF($A128&lt;=regressions!$L$2,$A128*regressions!$L$1,regressions!$L$1*regressions!$L$2+regressions!$L$3*($A128-regressions!$L$2))</f>
        <v>-8.3451882793856615</v>
      </c>
      <c r="J128">
        <f>regressions!J$1*A128+regressions!J$2*A128^2</f>
        <v>-13.77113296159304</v>
      </c>
      <c r="K128">
        <f>regressions!$V$1*A128</f>
        <v>-8.3451883029451892</v>
      </c>
      <c r="L128">
        <f>regressions!$N$1*A128^2</f>
        <v>-19.210496187482608</v>
      </c>
      <c r="M128">
        <f>regressions!$R$1*A128^2+regressions!$R$2*A128^6</f>
        <v>-6.1733243071205255</v>
      </c>
      <c r="N128">
        <f>regressions!$P$1*A128^2+regressions!$P$2*A128^7</f>
        <v>-6.3762826144795817</v>
      </c>
      <c r="O128">
        <f>regressions!T$2+regressions!T$1*EXP(A128)</f>
        <v>-283.78567444706482</v>
      </c>
      <c r="P128" s="20">
        <f>(1-EXP(-2*regressions!X$1*graph!A128))/2/EXP(-regressions!X$1*A128)</f>
        <v>-35.884004780043043</v>
      </c>
      <c r="Q128" s="5"/>
      <c r="AT128" s="33"/>
      <c r="AW128" s="33"/>
      <c r="AZ128" s="33"/>
    </row>
    <row r="129" spans="1:52" x14ac:dyDescent="0.35">
      <c r="A129">
        <f t="shared" si="9"/>
        <v>10.599999999999978</v>
      </c>
      <c r="B129">
        <f t="shared" si="10"/>
        <v>-15.547925794389272</v>
      </c>
      <c r="C129">
        <f>regressions!$AR$1*$A129</f>
        <v>11.165327905084732</v>
      </c>
      <c r="D129">
        <f>regressions!$AO$1*$A129</f>
        <v>15.168516305670746</v>
      </c>
      <c r="E129">
        <f t="shared" si="16"/>
        <v>6.7827300157801922</v>
      </c>
      <c r="F129">
        <f t="shared" si="17"/>
        <v>-45.884958405730764</v>
      </c>
      <c r="G129" s="5">
        <f>B129-regressions!AA$7</f>
        <v>-19.269214384854227</v>
      </c>
      <c r="H129" s="5">
        <f>B129+regressions!AA$7</f>
        <v>-11.826637203924317</v>
      </c>
      <c r="I129">
        <f>IF($A129&lt;=regressions!$L$2,$A129*regressions!$L$1,regressions!$L$1*regressions!$L$2+regressions!$L$3*($A129-regressions!$L$2))</f>
        <v>-8.4246662629988585</v>
      </c>
      <c r="J129">
        <f>regressions!J$1*A129+regressions!J$2*A129^2</f>
        <v>-13.988923934013954</v>
      </c>
      <c r="K129">
        <f>regressions!$V$1*A129</f>
        <v>-8.4246662867827613</v>
      </c>
      <c r="L129">
        <f>regressions!$N$1*A129^2</f>
        <v>-19.5781528492113</v>
      </c>
      <c r="M129">
        <f>regressions!$R$1*A129^2+regressions!$R$2*A129^6</f>
        <v>-5.7105650512095636</v>
      </c>
      <c r="N129">
        <f>regressions!$P$1*A129^2+regressions!$P$2*A129^7</f>
        <v>-5.8124489935177355</v>
      </c>
      <c r="O129">
        <f>regressions!T$2+regressions!T$1*EXP(A129)</f>
        <v>-313.63249624087598</v>
      </c>
      <c r="P129" s="20">
        <f>(1-EXP(-2*regressions!X$1*graph!A129))/2/EXP(-regressions!X$1*A129)</f>
        <v>-37.375226352279491</v>
      </c>
      <c r="Q129" s="5"/>
      <c r="AT129" s="33"/>
      <c r="AW129" s="33"/>
      <c r="AZ129" s="33"/>
    </row>
    <row r="130" spans="1:52" x14ac:dyDescent="0.35">
      <c r="A130">
        <f t="shared" si="9"/>
        <v>10.699999999999978</v>
      </c>
      <c r="B130">
        <f t="shared" si="10"/>
        <v>-15.829128467075153</v>
      </c>
      <c r="C130">
        <f>regressions!$AR$1*$A130</f>
        <v>11.270661187208173</v>
      </c>
      <c r="D130">
        <f>regressions!$AO$1*$A130</f>
        <v>15.311615516101602</v>
      </c>
      <c r="E130">
        <f t="shared" si="16"/>
        <v>6.7121939073411934</v>
      </c>
      <c r="F130">
        <f t="shared" si="17"/>
        <v>-46.452359499278359</v>
      </c>
      <c r="G130" s="5">
        <f>B130-regressions!AA$7</f>
        <v>-19.550417057540109</v>
      </c>
      <c r="H130" s="5">
        <f>B130+regressions!AA$7</f>
        <v>-12.107839876610198</v>
      </c>
      <c r="I130">
        <f>IF($A130&lt;=regressions!$L$2,$A130*regressions!$L$1,regressions!$L$1*regressions!$L$2+regressions!$L$3*($A130-regressions!$L$2))</f>
        <v>-8.5041442466120536</v>
      </c>
      <c r="J130">
        <f>regressions!J$1*A130+regressions!J$2*A130^2</f>
        <v>-14.208349572947464</v>
      </c>
      <c r="K130">
        <f>regressions!$V$1*A130</f>
        <v>-8.5041442706203352</v>
      </c>
      <c r="L130">
        <f>regressions!$N$1*A130^2</f>
        <v>-19.94929440820756</v>
      </c>
      <c r="M130">
        <f>regressions!$R$1*A130^2+regressions!$R$2*A130^6</f>
        <v>-5.2099096805047722</v>
      </c>
      <c r="N130">
        <f>regressions!$P$1*A130^2+regressions!$P$2*A130^7</f>
        <v>-5.1968924494625472</v>
      </c>
      <c r="O130">
        <f>regressions!T$2+regressions!T$1*EXP(A130)</f>
        <v>-346.61833568438243</v>
      </c>
      <c r="P130" s="20">
        <f>(1-EXP(-2*regressions!X$1*graph!A130))/2/EXP(-regressions!X$1*A130)</f>
        <v>-38.92837201250741</v>
      </c>
      <c r="Q130" s="5"/>
      <c r="AT130" s="33"/>
      <c r="AW130" s="33"/>
      <c r="AZ130" s="33"/>
    </row>
    <row r="131" spans="1:52" x14ac:dyDescent="0.35">
      <c r="A131">
        <f t="shared" si="9"/>
        <v>10.799999999999978</v>
      </c>
      <c r="B131">
        <f t="shared" si="10"/>
        <v>-16.114761848196231</v>
      </c>
      <c r="C131">
        <f>regressions!$AR$1*$A131</f>
        <v>11.375994469331614</v>
      </c>
      <c r="D131">
        <f>regressions!$AO$1*$A131</f>
        <v>15.454714726532456</v>
      </c>
      <c r="E131">
        <f t="shared" si="16"/>
        <v>6.6372270904669968</v>
      </c>
      <c r="F131">
        <f t="shared" si="17"/>
        <v>-47.024191301261141</v>
      </c>
      <c r="G131" s="5">
        <f>B131-regressions!AA$7</f>
        <v>-19.836050438661186</v>
      </c>
      <c r="H131" s="5">
        <f>B131+regressions!AA$7</f>
        <v>-12.393473257731277</v>
      </c>
      <c r="I131">
        <f>IF($A131&lt;=regressions!$L$2,$A131*regressions!$L$1,regressions!$L$1*regressions!$L$2+regressions!$L$3*($A131-regressions!$L$2))</f>
        <v>-8.5836222302252505</v>
      </c>
      <c r="J131">
        <f>regressions!J$1*A131+regressions!J$2*A131^2</f>
        <v>-14.429409878393571</v>
      </c>
      <c r="K131">
        <f>regressions!$V$1*A131</f>
        <v>-8.5836222544579073</v>
      </c>
      <c r="L131">
        <f>regressions!$N$1*A131^2</f>
        <v>-20.323920864471393</v>
      </c>
      <c r="M131">
        <f>regressions!$R$1*A131^2+regressions!$R$2*A131^6</f>
        <v>-4.669762587630828</v>
      </c>
      <c r="N131">
        <f>regressions!$P$1*A131^2+regressions!$P$2*A131^7</f>
        <v>-4.5269504021172331</v>
      </c>
      <c r="O131">
        <f>regressions!T$2+regressions!T$1*EXP(A131)</f>
        <v>-383.07332614565837</v>
      </c>
      <c r="P131" s="20">
        <f>(1-EXP(-2*regressions!X$1*graph!A131))/2/EXP(-regressions!X$1*A131)</f>
        <v>-40.546015046240143</v>
      </c>
      <c r="Q131" s="5"/>
      <c r="AT131" s="33"/>
      <c r="AW131" s="33"/>
      <c r="AZ131" s="33"/>
    </row>
    <row r="132" spans="1:52" x14ac:dyDescent="0.35">
      <c r="A132">
        <f t="shared" si="9"/>
        <v>10.899999999999977</v>
      </c>
      <c r="B132">
        <f t="shared" ref="B132:B188" si="21">SUMPRODUCT(I$2:P$2,I132:P132)</f>
        <v>-16.405141252115548</v>
      </c>
      <c r="C132">
        <f>regressions!$AR$1*$A132</f>
        <v>11.481327751455055</v>
      </c>
      <c r="D132">
        <f>regressions!$AO$1*$A132</f>
        <v>15.597813936963313</v>
      </c>
      <c r="E132">
        <f t="shared" si="16"/>
        <v>6.5575142507945614</v>
      </c>
      <c r="F132">
        <f t="shared" si="17"/>
        <v>-47.600769126042174</v>
      </c>
      <c r="G132" s="5">
        <f>B132-regressions!AA$7</f>
        <v>-20.126429842580503</v>
      </c>
      <c r="H132" s="5">
        <f>B132+regressions!AA$7</f>
        <v>-12.683852661650594</v>
      </c>
      <c r="I132">
        <f>IF($A132&lt;=regressions!$L$2,$A132*regressions!$L$1,regressions!$L$1*regressions!$L$2+regressions!$L$3*($A132-regressions!$L$2))</f>
        <v>-8.6631002138384474</v>
      </c>
      <c r="J132">
        <f>regressions!J$1*A132+regressions!J$2*A132^2</f>
        <v>-14.652104850352277</v>
      </c>
      <c r="K132">
        <f>regressions!$V$1*A132</f>
        <v>-8.6631002382954811</v>
      </c>
      <c r="L132">
        <f>regressions!$N$1*A132^2</f>
        <v>-20.702032218002799</v>
      </c>
      <c r="M132">
        <f>regressions!$R$1*A132^2+regressions!$R$2*A132^6</f>
        <v>-4.0884827971794913</v>
      </c>
      <c r="N132">
        <f>regressions!$P$1*A132^2+regressions!$P$2*A132^7</f>
        <v>-3.7998588577105537</v>
      </c>
      <c r="O132">
        <f>regressions!T$2+regressions!T$1*EXP(A132)</f>
        <v>-423.36232142218563</v>
      </c>
      <c r="P132" s="20">
        <f>(1-EXP(-2*regressions!X$1*graph!A132))/2/EXP(-regressions!X$1*A132)</f>
        <v>-42.230835599642241</v>
      </c>
      <c r="Q132" s="5"/>
      <c r="AT132" s="33"/>
      <c r="AW132" s="33"/>
      <c r="AZ132" s="33"/>
    </row>
    <row r="133" spans="1:52" x14ac:dyDescent="0.35">
      <c r="A133">
        <f t="shared" si="9"/>
        <v>10.999999999999977</v>
      </c>
      <c r="B133">
        <f t="shared" si="21"/>
        <v>-16.700622051528114</v>
      </c>
      <c r="C133">
        <f>regressions!$AR$1*$A133</f>
        <v>11.586661033578496</v>
      </c>
      <c r="D133">
        <f>regressions!$AO$1*$A133</f>
        <v>15.740913147394169</v>
      </c>
      <c r="E133">
        <f t="shared" si="16"/>
        <v>6.4727000156288774</v>
      </c>
      <c r="F133">
        <f t="shared" si="17"/>
        <v>-48.182448346316448</v>
      </c>
      <c r="G133" s="5">
        <f>B133-regressions!AA$7</f>
        <v>-20.421910641993069</v>
      </c>
      <c r="H133" s="5">
        <f>B133+regressions!AA$7</f>
        <v>-12.97933346106316</v>
      </c>
      <c r="I133">
        <f>IF($A133&lt;=regressions!$L$2,$A133*regressions!$L$1,regressions!$L$1*regressions!$L$2+regressions!$L$3*($A133-regressions!$L$2))</f>
        <v>-8.7425781974516443</v>
      </c>
      <c r="J133">
        <f>regressions!J$1*A133+regressions!J$2*A133^2</f>
        <v>-14.876434488823577</v>
      </c>
      <c r="K133">
        <f>regressions!$V$1*A133</f>
        <v>-8.7425782221330532</v>
      </c>
      <c r="L133">
        <f>regressions!$N$1*A133^2</f>
        <v>-21.08362846880177</v>
      </c>
      <c r="M133">
        <f>regressions!$R$1*A133^2+regressions!$R$2*A133^6</f>
        <v>-3.4643831137711771</v>
      </c>
      <c r="N133">
        <f>regressions!$P$1*A133^2+regressions!$P$2*A133^7</f>
        <v>-3.0127495390370207</v>
      </c>
      <c r="O133">
        <f>regressions!T$2+regressions!T$1*EXP(A133)</f>
        <v>-467.88854732029074</v>
      </c>
      <c r="P133" s="20">
        <f>(1-EXP(-2*regressions!X$1*graph!A133))/2/EXP(-regressions!X$1*A133)</f>
        <v>-43.985625120054202</v>
      </c>
      <c r="Q133" s="5"/>
      <c r="AT133" s="33"/>
      <c r="AW133" s="33"/>
      <c r="AZ133" s="33"/>
    </row>
    <row r="134" spans="1:52" x14ac:dyDescent="0.35">
      <c r="A134">
        <f t="shared" si="9"/>
        <v>11.099999999999977</v>
      </c>
      <c r="B134">
        <f t="shared" si="21"/>
        <v>-17.001604065887243</v>
      </c>
      <c r="C134">
        <f>regressions!$AR$1*$A134</f>
        <v>11.691994315701935</v>
      </c>
      <c r="D134">
        <f>regressions!$AO$1*$A134</f>
        <v>15.884012357825025</v>
      </c>
      <c r="E134">
        <f t="shared" si="16"/>
        <v>6.3823845655166274</v>
      </c>
      <c r="F134">
        <f t="shared" si="17"/>
        <v>-48.769628781537293</v>
      </c>
      <c r="G134" s="5">
        <f>B134-regressions!AA$7</f>
        <v>-20.722892656352197</v>
      </c>
      <c r="H134" s="5">
        <f>B134+regressions!AA$7</f>
        <v>-13.280315475422288</v>
      </c>
      <c r="I134">
        <f>IF($A134&lt;=regressions!$L$2,$A134*regressions!$L$1,regressions!$L$1*regressions!$L$2+regressions!$L$3*($A134-regressions!$L$2))</f>
        <v>-8.8220561810648412</v>
      </c>
      <c r="J134">
        <f>regressions!J$1*A134+regressions!J$2*A134^2</f>
        <v>-15.102398793807476</v>
      </c>
      <c r="K134">
        <f>regressions!$V$1*A134</f>
        <v>-8.8220562059706271</v>
      </c>
      <c r="L134">
        <f>regressions!$N$1*A134^2</f>
        <v>-21.468709616868317</v>
      </c>
      <c r="M134">
        <f>regressions!$R$1*A134^2+regressions!$R$2*A134^6</f>
        <v>-2.7957292621914931</v>
      </c>
      <c r="N134">
        <f>regressions!$P$1*A134^2+regressions!$P$2*A134^7</f>
        <v>-2.162646961958103</v>
      </c>
      <c r="O134">
        <f>regressions!T$2+regressions!T$1*EXP(A134)</f>
        <v>-517.09763727454322</v>
      </c>
      <c r="P134" s="20">
        <f>(1-EXP(-2*regressions!X$1*graph!A134))/2/EXP(-regressions!X$1*A134)</f>
        <v>-45.813290980922829</v>
      </c>
      <c r="Q134" s="5"/>
      <c r="AT134" s="33"/>
      <c r="AW134" s="33"/>
      <c r="AZ134" s="33"/>
    </row>
    <row r="135" spans="1:52" x14ac:dyDescent="0.35">
      <c r="A135">
        <f t="shared" si="9"/>
        <v>11.199999999999976</v>
      </c>
      <c r="B135">
        <f t="shared" si="21"/>
        <v>-17.30853639939226</v>
      </c>
      <c r="C135">
        <f>regressions!$AR$1*$A135</f>
        <v>11.797327597825376</v>
      </c>
      <c r="D135">
        <f>regressions!$AO$1*$A135</f>
        <v>16.027111568255879</v>
      </c>
      <c r="E135">
        <f t="shared" si="16"/>
        <v>6.2861187962584921</v>
      </c>
      <c r="F135">
        <f t="shared" si="17"/>
        <v>-49.362759535904019</v>
      </c>
      <c r="G135" s="5">
        <f>B135-regressions!AA$7</f>
        <v>-21.029824989857214</v>
      </c>
      <c r="H135" s="5">
        <f>B135+regressions!AA$7</f>
        <v>-13.587247808927305</v>
      </c>
      <c r="I135">
        <f>IF($A135&lt;=regressions!$L$2,$A135*regressions!$L$1,regressions!$L$1*regressions!$L$2+regressions!$L$3*($A135-regressions!$L$2))</f>
        <v>-8.9015341646780382</v>
      </c>
      <c r="J135">
        <f>regressions!J$1*A135+regressions!J$2*A135^2</f>
        <v>-15.329997765303972</v>
      </c>
      <c r="K135">
        <f>regressions!$V$1*A135</f>
        <v>-8.901534189808201</v>
      </c>
      <c r="L135">
        <f>regressions!$N$1*A135^2</f>
        <v>-21.857275662202429</v>
      </c>
      <c r="M135">
        <f>regressions!$R$1*A135^2+regressions!$R$2*A135^6</f>
        <v>-2.080739019602813</v>
      </c>
      <c r="N135">
        <f>regressions!$P$1*A135^2+regressions!$P$2*A135^7</f>
        <v>-1.2464654577675383</v>
      </c>
      <c r="O135">
        <f>regressions!T$2+regressions!T$1*EXP(A135)</f>
        <v>-571.48209239695154</v>
      </c>
      <c r="P135" s="20">
        <f>(1-EXP(-2*regressions!X$1*graph!A135))/2/EXP(-regressions!X$1*A135)</f>
        <v>-47.716861298801184</v>
      </c>
      <c r="Q135" s="5"/>
      <c r="AT135" s="33"/>
      <c r="AW135" s="33"/>
      <c r="AZ135" s="33"/>
    </row>
    <row r="136" spans="1:52" x14ac:dyDescent="0.35">
      <c r="A136">
        <f t="shared" si="9"/>
        <v>11.299999999999976</v>
      </c>
      <c r="B136">
        <f t="shared" si="21"/>
        <v>-17.621922774398548</v>
      </c>
      <c r="C136">
        <f>regressions!$AR$1*$A136</f>
        <v>11.902660879948817</v>
      </c>
      <c r="D136">
        <f>regressions!$AO$1*$A136</f>
        <v>16.170210778686737</v>
      </c>
      <c r="E136">
        <f t="shared" si="16"/>
        <v>6.1833989854990854</v>
      </c>
      <c r="F136">
        <f t="shared" si="17"/>
        <v>-49.962344331772023</v>
      </c>
      <c r="G136" s="5">
        <f>B136-regressions!AA$7</f>
        <v>-21.343211364863503</v>
      </c>
      <c r="H136" s="5">
        <f>B136+regressions!AA$7</f>
        <v>-13.900634183933594</v>
      </c>
      <c r="I136">
        <f>IF($A136&lt;=regressions!$L$2,$A136*regressions!$L$1,regressions!$L$1*regressions!$L$2+regressions!$L$3*($A136-regressions!$L$2))</f>
        <v>-8.9810121482912351</v>
      </c>
      <c r="J136">
        <f>regressions!J$1*A136+regressions!J$2*A136^2</f>
        <v>-15.559231403313063</v>
      </c>
      <c r="K136">
        <f>regressions!$V$1*A136</f>
        <v>-8.9810121736457731</v>
      </c>
      <c r="L136">
        <f>regressions!$N$1*A136^2</f>
        <v>-22.249326604804114</v>
      </c>
      <c r="M136">
        <f>regressions!$R$1*A136^2+regressions!$R$2*A136^6</f>
        <v>-1.31758133983082</v>
      </c>
      <c r="N136">
        <f>regressions!$P$1*A136^2+regressions!$P$2*A136^7</f>
        <v>-0.26100614092421281</v>
      </c>
      <c r="O136">
        <f>regressions!T$2+regressions!T$1*EXP(A136)</f>
        <v>-631.58621059362736</v>
      </c>
      <c r="P136" s="20">
        <f>(1-EXP(-2*regressions!X$1*graph!A136))/2/EXP(-regressions!X$1*A136)</f>
        <v>-49.699489950397513</v>
      </c>
      <c r="Q136" s="5"/>
      <c r="AT136" s="33"/>
      <c r="AW136" s="33"/>
      <c r="AZ136" s="33"/>
    </row>
    <row r="137" spans="1:52" x14ac:dyDescent="0.35">
      <c r="A137">
        <f t="shared" si="9"/>
        <v>11.399999999999975</v>
      </c>
      <c r="B137">
        <f t="shared" si="21"/>
        <v>-17.942327410852762</v>
      </c>
      <c r="C137">
        <f>regressions!$AR$1*$A137</f>
        <v>12.007994162072258</v>
      </c>
      <c r="D137">
        <f>regressions!$AO$1*$A137</f>
        <v>16.313309989117592</v>
      </c>
      <c r="E137">
        <f t="shared" si="16"/>
        <v>6.0736609132917536</v>
      </c>
      <c r="F137">
        <f t="shared" si="17"/>
        <v>-50.568947389087946</v>
      </c>
      <c r="G137" s="5">
        <f>B137-regressions!AA$7</f>
        <v>-21.663616001317717</v>
      </c>
      <c r="H137" s="5">
        <f>B137+regressions!AA$7</f>
        <v>-14.221038820387808</v>
      </c>
      <c r="I137">
        <f>IF($A137&lt;=regressions!$L$2,$A137*regressions!$L$1,regressions!$L$1*regressions!$L$2+regressions!$L$3*($A137-regressions!$L$2))</f>
        <v>-9.0604901319044302</v>
      </c>
      <c r="J137">
        <f>regressions!J$1*A137+regressions!J$2*A137^2</f>
        <v>-15.790099707834752</v>
      </c>
      <c r="K137">
        <f>regressions!$V$1*A137</f>
        <v>-9.060490157483347</v>
      </c>
      <c r="L137">
        <f>regressions!$N$1*A137^2</f>
        <v>-22.644862444673372</v>
      </c>
      <c r="M137">
        <f>regressions!$R$1*A137^2+regressions!$R$2*A137^6</f>
        <v>-0.5043754697260141</v>
      </c>
      <c r="N137">
        <f>regressions!$P$1*A137^2+regressions!$P$2*A137^7</f>
        <v>0.79704617834404701</v>
      </c>
      <c r="O137">
        <f>regressions!T$2+regressions!T$1*EXP(A137)</f>
        <v>-698.01153408117489</v>
      </c>
      <c r="P137" s="20">
        <f>(1-EXP(-2*regressions!X$1*graph!A137))/2/EXP(-regressions!X$1*A137)</f>
        <v>-51.764461797987245</v>
      </c>
      <c r="Q137" s="5"/>
      <c r="AT137" s="33"/>
      <c r="AW137" s="33"/>
      <c r="AZ137" s="33"/>
    </row>
    <row r="138" spans="1:52" x14ac:dyDescent="0.35">
      <c r="A138">
        <f t="shared" si="9"/>
        <v>11.499999999999975</v>
      </c>
      <c r="B138">
        <f t="shared" si="21"/>
        <v>-18.270381507591495</v>
      </c>
      <c r="C138">
        <f>regressions!$AR$1*$A138</f>
        <v>12.113327444195699</v>
      </c>
      <c r="D138">
        <f>regressions!$AO$1*$A138</f>
        <v>16.45640919954845</v>
      </c>
      <c r="E138">
        <f t="shared" si="16"/>
        <v>5.9562733807999031</v>
      </c>
      <c r="F138">
        <f t="shared" si="17"/>
        <v>-51.183199906688394</v>
      </c>
      <c r="G138" s="5">
        <f>B138-regressions!AA$7</f>
        <v>-21.991670098056449</v>
      </c>
      <c r="H138" s="5">
        <f>B138+regressions!AA$7</f>
        <v>-14.54909291712654</v>
      </c>
      <c r="I138">
        <f>IF($A138&lt;=regressions!$L$2,$A138*regressions!$L$1,regressions!$L$1*regressions!$L$2+regressions!$L$3*($A138-regressions!$L$2))</f>
        <v>-9.1399681155176271</v>
      </c>
      <c r="J138">
        <f>regressions!J$1*A138+regressions!J$2*A138^2</f>
        <v>-16.022602678869042</v>
      </c>
      <c r="K138">
        <f>regressions!$V$1*A138</f>
        <v>-9.1399681413209191</v>
      </c>
      <c r="L138">
        <f>regressions!$N$1*A138^2</f>
        <v>-23.043883181810198</v>
      </c>
      <c r="M138">
        <f>regressions!$R$1*A138^2+regressions!$R$2*A138^6</f>
        <v>0.36080994239974018</v>
      </c>
      <c r="N138">
        <f>regressions!$P$1*A138^2+regressions!$P$2*A138^7</f>
        <v>1.9311261370625488</v>
      </c>
      <c r="O138">
        <f>regressions!T$2+regressions!T$1*EXP(A138)</f>
        <v>-771.42286982337953</v>
      </c>
      <c r="P138" s="20">
        <f>(1-EXP(-2*regressions!X$1*graph!A138))/2/EXP(-regressions!X$1*A138)</f>
        <v>-53.915198131843866</v>
      </c>
      <c r="Q138" s="5"/>
      <c r="AT138" s="33"/>
      <c r="AW138" s="33"/>
      <c r="AZ138" s="33"/>
    </row>
    <row r="139" spans="1:52" x14ac:dyDescent="0.35">
      <c r="A139">
        <f t="shared" si="9"/>
        <v>11.599999999999975</v>
      </c>
      <c r="B139">
        <f t="shared" si="21"/>
        <v>-18.606790387125336</v>
      </c>
      <c r="C139">
        <f>regressions!$AR$1*$A139</f>
        <v>12.21866072631914</v>
      </c>
      <c r="D139">
        <f>regressions!$AO$1*$A139</f>
        <v>16.599508409979304</v>
      </c>
      <c r="E139">
        <f t="shared" si="16"/>
        <v>5.8305310655129432</v>
      </c>
      <c r="F139">
        <f t="shared" si="17"/>
        <v>-51.805807207083944</v>
      </c>
      <c r="G139" s="5">
        <f>B139-regressions!AA$7</f>
        <v>-22.328078977590291</v>
      </c>
      <c r="H139" s="5">
        <f>B139+regressions!AA$7</f>
        <v>-14.885501796660382</v>
      </c>
      <c r="I139">
        <f>IF($A139&lt;=regressions!$L$2,$A139*regressions!$L$1,regressions!$L$1*regressions!$L$2+regressions!$L$3*($A139-regressions!$L$2))</f>
        <v>-9.219446099130824</v>
      </c>
      <c r="J139">
        <f>regressions!J$1*A139+regressions!J$2*A139^2</f>
        <v>-16.256740316415925</v>
      </c>
      <c r="K139">
        <f>regressions!$V$1*A139</f>
        <v>-9.2194461251584929</v>
      </c>
      <c r="L139">
        <f>regressions!$N$1*A139^2</f>
        <v>-23.446388816214593</v>
      </c>
      <c r="M139">
        <f>regressions!$R$1*A139^2+regressions!$R$2*A139^6</f>
        <v>1.2799577462616831</v>
      </c>
      <c r="N139">
        <f>regressions!$P$1*A139^2+regressions!$P$2*A139^7</f>
        <v>3.1447910186541073</v>
      </c>
      <c r="O139">
        <f>regressions!T$2+regressions!T$1*EXP(A139)</f>
        <v>-852.55494314275131</v>
      </c>
      <c r="P139" s="20">
        <f>(1-EXP(-2*regressions!X$1*graph!A139))/2/EXP(-regressions!X$1*A139)</f>
        <v>-56.15526233870721</v>
      </c>
      <c r="Q139" s="5"/>
      <c r="AT139" s="33"/>
      <c r="AW139" s="33"/>
      <c r="AZ139" s="33"/>
    </row>
    <row r="140" spans="1:52" x14ac:dyDescent="0.35">
      <c r="A140">
        <f t="shared" si="9"/>
        <v>11.699999999999974</v>
      </c>
      <c r="B140">
        <f t="shared" si="21"/>
        <v>-18.952341371917186</v>
      </c>
      <c r="C140">
        <f>regressions!$AR$1*$A140</f>
        <v>12.323994008442581</v>
      </c>
      <c r="D140">
        <f>regressions!$AO$1*$A140</f>
        <v>16.742607620410162</v>
      </c>
      <c r="E140">
        <f t="shared" si="16"/>
        <v>5.6956466449679759</v>
      </c>
      <c r="F140">
        <f t="shared" si="17"/>
        <v>-52.437556612737509</v>
      </c>
      <c r="G140" s="5">
        <f>B140-regressions!AA$7</f>
        <v>-22.67362996238214</v>
      </c>
      <c r="H140" s="5">
        <f>B140+regressions!AA$7</f>
        <v>-15.231052781452231</v>
      </c>
      <c r="I140">
        <f>IF($A140&lt;=regressions!$L$2,$A140*regressions!$L$1,regressions!$L$1*regressions!$L$2+regressions!$L$3*($A140-regressions!$L$2))</f>
        <v>-9.2989240827440209</v>
      </c>
      <c r="J140">
        <f>regressions!J$1*A140+regressions!J$2*A140^2</f>
        <v>-16.492512620475406</v>
      </c>
      <c r="K140">
        <f>regressions!$V$1*A140</f>
        <v>-9.298924108996065</v>
      </c>
      <c r="L140">
        <f>regressions!$N$1*A140^2</f>
        <v>-23.852379347886558</v>
      </c>
      <c r="M140">
        <f>regressions!$R$1*A140^2+regressions!$R$2*A140^6</f>
        <v>2.2551031970157034</v>
      </c>
      <c r="N140">
        <f>regressions!$P$1*A140^2+regressions!$P$2*A140^7</f>
        <v>4.441724008702689</v>
      </c>
      <c r="O140">
        <f>regressions!T$2+regressions!T$1*EXP(A140)</f>
        <v>-942.21975109850234</v>
      </c>
      <c r="P140" s="20">
        <f>(1-EXP(-2*regressions!X$1*graph!A140))/2/EXP(-regressions!X$1*A140)</f>
        <v>-58.488365805680289</v>
      </c>
      <c r="Q140" s="5"/>
      <c r="AT140" s="33"/>
      <c r="AW140" s="33"/>
      <c r="AZ140" s="33"/>
    </row>
    <row r="141" spans="1:52" x14ac:dyDescent="0.35">
      <c r="A141">
        <f t="shared" si="9"/>
        <v>11.799999999999974</v>
      </c>
      <c r="B141">
        <f t="shared" si="21"/>
        <v>-19.307912467218561</v>
      </c>
      <c r="C141">
        <f>regressions!$AR$1*$A141</f>
        <v>12.42932729056602</v>
      </c>
      <c r="D141">
        <f>regressions!$AO$1*$A141</f>
        <v>16.885706830841016</v>
      </c>
      <c r="E141">
        <f t="shared" si="16"/>
        <v>5.5507421139134792</v>
      </c>
      <c r="F141">
        <f t="shared" si="17"/>
        <v>-53.07932612890059</v>
      </c>
      <c r="G141" s="5">
        <f>B141-regressions!AA$7</f>
        <v>-23.029201057683515</v>
      </c>
      <c r="H141" s="5">
        <f>B141+regressions!AA$7</f>
        <v>-15.586623876753606</v>
      </c>
      <c r="I141">
        <f>IF($A141&lt;=regressions!$L$2,$A141*regressions!$L$1,regressions!$L$1*regressions!$L$2+regressions!$L$3*($A141-regressions!$L$2))</f>
        <v>-9.3784020663572178</v>
      </c>
      <c r="J141">
        <f>regressions!J$1*A141+regressions!J$2*A141^2</f>
        <v>-16.729919591047484</v>
      </c>
      <c r="K141">
        <f>regressions!$V$1*A141</f>
        <v>-9.3784020928336389</v>
      </c>
      <c r="L141">
        <f>regressions!$N$1*A141^2</f>
        <v>-24.261854776826098</v>
      </c>
      <c r="M141">
        <f>regressions!$R$1*A141^2+regressions!$R$2*A141^6</f>
        <v>3.2883348705967634</v>
      </c>
      <c r="N141">
        <f>regressions!$P$1*A141^2+regressions!$P$2*A141^7</f>
        <v>5.8257375078326241</v>
      </c>
      <c r="O141">
        <f>regressions!T$2+regressions!T$1*EXP(A141)</f>
        <v>-1041.3146892260363</v>
      </c>
      <c r="P141" s="20">
        <f>(1-EXP(-2*regressions!X$1*graph!A141))/2/EXP(-regressions!X$1*A141)</f>
        <v>-60.918374069335833</v>
      </c>
      <c r="Q141" s="5"/>
      <c r="AT141" s="33"/>
      <c r="AW141" s="33"/>
      <c r="AZ141" s="33"/>
    </row>
    <row r="142" spans="1:52" x14ac:dyDescent="0.35">
      <c r="A142">
        <f t="shared" si="9"/>
        <v>11.899999999999974</v>
      </c>
      <c r="B142">
        <f t="shared" si="21"/>
        <v>-19.674481933320472</v>
      </c>
      <c r="C142">
        <f>regressions!$AR$1*$A142</f>
        <v>12.534660572689461</v>
      </c>
      <c r="D142">
        <f>regressions!$AO$1*$A142</f>
        <v>17.028806041271871</v>
      </c>
      <c r="E142">
        <f t="shared" si="16"/>
        <v>5.3948392120584501</v>
      </c>
      <c r="F142">
        <f t="shared" si="17"/>
        <v>-53.732094015864213</v>
      </c>
      <c r="G142" s="5">
        <f>B142-regressions!AA$7</f>
        <v>-23.395770523785426</v>
      </c>
      <c r="H142" s="5">
        <f>B142+regressions!AA$7</f>
        <v>-15.953193342855517</v>
      </c>
      <c r="I142">
        <f>IF($A142&lt;=regressions!$L$2,$A142*regressions!$L$1,regressions!$L$1*regressions!$L$2+regressions!$L$3*($A142-regressions!$L$2))</f>
        <v>-9.4578800499704148</v>
      </c>
      <c r="J142">
        <f>regressions!J$1*A142+regressions!J$2*A142^2</f>
        <v>-16.968961228132162</v>
      </c>
      <c r="K142">
        <f>regressions!$V$1*A142</f>
        <v>-9.4578800766712128</v>
      </c>
      <c r="L142">
        <f>regressions!$N$1*A142^2</f>
        <v>-24.674815103033211</v>
      </c>
      <c r="M142">
        <f>regressions!$R$1*A142^2+regressions!$R$2*A142^6</f>
        <v>4.381795586982502</v>
      </c>
      <c r="N142">
        <f>regressions!$P$1*A142^2+regressions!$P$2*A142^7</f>
        <v>7.3007765022003959</v>
      </c>
      <c r="O142">
        <f>regressions!T$2+regressions!T$1*EXP(A142)</f>
        <v>-1150.8315329730922</v>
      </c>
      <c r="P142" s="20">
        <f>(1-EXP(-2*regressions!X$1*graph!A142))/2/EXP(-regressions!X$1*A142)</f>
        <v>-63.44931322022174</v>
      </c>
      <c r="Q142" s="5"/>
      <c r="AT142" s="33"/>
      <c r="AW142" s="33"/>
      <c r="AZ142" s="33"/>
    </row>
    <row r="143" spans="1:52" x14ac:dyDescent="0.35">
      <c r="A143">
        <f t="shared" si="9"/>
        <v>11.999999999999973</v>
      </c>
      <c r="B143">
        <f t="shared" si="21"/>
        <v>-20.053138838682735</v>
      </c>
      <c r="C143">
        <f>regressions!$AR$1*$A143</f>
        <v>12.639993854812902</v>
      </c>
      <c r="D143">
        <f>regressions!$AO$1*$A143</f>
        <v>17.171905251702729</v>
      </c>
      <c r="E143">
        <f t="shared" si="16"/>
        <v>5.2268488709430692</v>
      </c>
      <c r="F143">
        <f t="shared" si="17"/>
        <v>-54.396949342088192</v>
      </c>
      <c r="G143" s="5">
        <f>B143-regressions!AA$7</f>
        <v>-23.774427429147689</v>
      </c>
      <c r="H143" s="5">
        <f>B143+regressions!AA$7</f>
        <v>-16.33185024821778</v>
      </c>
      <c r="I143">
        <f>IF($A143&lt;=regressions!$L$2,$A143*regressions!$L$1,regressions!$L$1*regressions!$L$2+regressions!$L$3*($A143-regressions!$L$2))</f>
        <v>-9.5373580335836117</v>
      </c>
      <c r="J143">
        <f>regressions!J$1*A143+regressions!J$2*A143^2</f>
        <v>-17.209637531729435</v>
      </c>
      <c r="K143">
        <f>regressions!$V$1*A143</f>
        <v>-9.5373580605087849</v>
      </c>
      <c r="L143">
        <f>regressions!$N$1*A143^2</f>
        <v>-25.091260326507889</v>
      </c>
      <c r="M143">
        <f>regressions!$R$1*A143^2+regressions!$R$2*A143^6</f>
        <v>5.53768334138163</v>
      </c>
      <c r="N143">
        <f>regressions!$P$1*A143^2+regressions!$P$2*A143^7</f>
        <v>8.8709219920953579</v>
      </c>
      <c r="O143">
        <f>regressions!T$2+regressions!T$1*EXP(A143)</f>
        <v>-1271.8663637217735</v>
      </c>
      <c r="P143" s="20">
        <f>(1-EXP(-2*regressions!X$1*graph!A143))/2/EXP(-regressions!X$1*A143)</f>
        <v>-66.085376573375072</v>
      </c>
      <c r="Q143" s="5"/>
      <c r="AT143" s="33"/>
      <c r="AW143" s="33"/>
      <c r="AZ143" s="33"/>
    </row>
    <row r="144" spans="1:52" x14ac:dyDescent="0.35">
      <c r="A144">
        <f t="shared" si="9"/>
        <v>12.099999999999973</v>
      </c>
      <c r="B144">
        <f t="shared" si="21"/>
        <v>-20.445094694914076</v>
      </c>
      <c r="C144">
        <f>regressions!$AR$1*$A144</f>
        <v>12.745327136936343</v>
      </c>
      <c r="D144">
        <f>regressions!$AO$1*$A144</f>
        <v>17.315004462133583</v>
      </c>
      <c r="E144">
        <f t="shared" si="16"/>
        <v>5.0455595789586098</v>
      </c>
      <c r="F144">
        <f t="shared" si="17"/>
        <v>-55.075103619181242</v>
      </c>
      <c r="G144" s="5">
        <f>B144-regressions!AA$7</f>
        <v>-24.16638328537903</v>
      </c>
      <c r="H144" s="5">
        <f>B144+regressions!AA$7</f>
        <v>-16.723806104449121</v>
      </c>
      <c r="I144">
        <f>IF($A144&lt;=regressions!$L$2,$A144*regressions!$L$1,regressions!$L$1*regressions!$L$2+regressions!$L$3*($A144-regressions!$L$2))</f>
        <v>-9.6168360171968068</v>
      </c>
      <c r="J144">
        <f>regressions!J$1*A144+regressions!J$2*A144^2</f>
        <v>-17.451948501839304</v>
      </c>
      <c r="K144">
        <f>regressions!$V$1*A144</f>
        <v>-9.6168360443463587</v>
      </c>
      <c r="L144">
        <f>regressions!$N$1*A144^2</f>
        <v>-25.511190447250137</v>
      </c>
      <c r="M144">
        <f>regressions!$R$1*A144^2+regressions!$R$2*A144^6</f>
        <v>6.7582522433475845</v>
      </c>
      <c r="N144">
        <f>regressions!$P$1*A144^2+regressions!$P$2*A144^7</f>
        <v>10.540394479146318</v>
      </c>
      <c r="O144">
        <f>regressions!T$2+regressions!T$1*EXP(A144)</f>
        <v>-1405.6305387394241</v>
      </c>
      <c r="P144" s="20">
        <f>(1-EXP(-2*regressions!X$1*graph!A144))/2/EXP(-regressions!X$1*A144)</f>
        <v>-68.830931615898038</v>
      </c>
      <c r="Q144" s="5"/>
      <c r="AT144" s="33"/>
      <c r="AW144" s="33"/>
      <c r="AZ144" s="33"/>
    </row>
    <row r="145" spans="1:52" x14ac:dyDescent="0.35">
      <c r="A145">
        <f t="shared" si="9"/>
        <v>12.199999999999973</v>
      </c>
      <c r="B145">
        <f t="shared" si="21"/>
        <v>-20.851696285078493</v>
      </c>
      <c r="C145">
        <f>regressions!$AR$1*$A145</f>
        <v>12.850660419059784</v>
      </c>
      <c r="D145">
        <f>regressions!$AO$1*$A145</f>
        <v>17.458103672564441</v>
      </c>
      <c r="E145">
        <f t="shared" si="16"/>
        <v>4.8496245530410746</v>
      </c>
      <c r="F145">
        <f t="shared" si="17"/>
        <v>-55.767903630207371</v>
      </c>
      <c r="G145" s="5">
        <f>B145-regressions!AA$7</f>
        <v>-24.572984875543447</v>
      </c>
      <c r="H145" s="5">
        <f>B145+regressions!AA$7</f>
        <v>-17.130407694613538</v>
      </c>
      <c r="I145">
        <f>IF($A145&lt;=regressions!$L$2,$A145*regressions!$L$1,regressions!$L$1*regressions!$L$2+regressions!$L$3*($A145-regressions!$L$2))</f>
        <v>-9.6963140008100037</v>
      </c>
      <c r="J145">
        <f>regressions!J$1*A145+regressions!J$2*A145^2</f>
        <v>-17.695894138461767</v>
      </c>
      <c r="K145">
        <f>regressions!$V$1*A145</f>
        <v>-9.6963140281839308</v>
      </c>
      <c r="L145">
        <f>regressions!$N$1*A145^2</f>
        <v>-25.934605465259953</v>
      </c>
      <c r="M145">
        <f>regressions!$R$1*A145^2+regressions!$R$2*A145^6</f>
        <v>8.045813463816998</v>
      </c>
      <c r="N145">
        <f>regressions!$P$1*A145^2+regressions!$P$2*A145^7</f>
        <v>12.313557512630418</v>
      </c>
      <c r="O145">
        <f>regressions!T$2+regressions!T$1*EXP(A145)</f>
        <v>-1553.4628148493125</v>
      </c>
      <c r="P145" s="20">
        <f>(1-EXP(-2*regressions!X$1*graph!A145))/2/EXP(-regressions!X$1*A145)</f>
        <v>-71.690527243105208</v>
      </c>
      <c r="Q145" s="5"/>
      <c r="AT145" s="33"/>
      <c r="AW145" s="33"/>
      <c r="AZ145" s="33"/>
    </row>
    <row r="146" spans="1:52" x14ac:dyDescent="0.35">
      <c r="A146">
        <f t="shared" si="9"/>
        <v>12.299999999999972</v>
      </c>
      <c r="B146">
        <f t="shared" si="21"/>
        <v>-21.274439808406484</v>
      </c>
      <c r="C146">
        <f>regressions!$AR$1*$A146</f>
        <v>12.955993701183225</v>
      </c>
      <c r="D146">
        <f>regressions!$AO$1*$A146</f>
        <v>17.601202882995295</v>
      </c>
      <c r="E146">
        <f t="shared" si="16"/>
        <v>4.6375475939599653</v>
      </c>
      <c r="F146">
        <f t="shared" si="17"/>
        <v>-56.476845574397075</v>
      </c>
      <c r="G146" s="5">
        <f>B146-regressions!AA$7</f>
        <v>-24.995728398871439</v>
      </c>
      <c r="H146" s="5">
        <f>B146+regressions!AA$7</f>
        <v>-17.553151217941529</v>
      </c>
      <c r="I146">
        <f>IF($A146&lt;=regressions!$L$2,$A146*regressions!$L$1,regressions!$L$1*regressions!$L$2+regressions!$L$3*($A146-regressions!$L$2))</f>
        <v>-9.7757919844232006</v>
      </c>
      <c r="J146">
        <f>regressions!J$1*A146+regressions!J$2*A146^2</f>
        <v>-17.941474441596831</v>
      </c>
      <c r="K146">
        <f>regressions!$V$1*A146</f>
        <v>-9.7757920120215047</v>
      </c>
      <c r="L146">
        <f>regressions!$N$1*A146^2</f>
        <v>-26.361505380537345</v>
      </c>
      <c r="M146">
        <f>regressions!$R$1*A146^2+regressions!$R$2*A146^6</f>
        <v>9.4027361900732345</v>
      </c>
      <c r="N146">
        <f>regressions!$P$1*A146^2+regressions!$P$2*A146^7</f>
        <v>14.194921295381096</v>
      </c>
      <c r="O146">
        <f>regressions!T$2+regressions!T$1*EXP(A146)</f>
        <v>-1716.8427471588905</v>
      </c>
      <c r="P146" s="20">
        <f>(1-EXP(-2*regressions!X$1*graph!A146))/2/EXP(-regressions!X$1*A146)</f>
        <v>-74.668901295232644</v>
      </c>
      <c r="Q146" s="5"/>
      <c r="AT146" s="33"/>
      <c r="AW146" s="33"/>
      <c r="AZ146" s="33"/>
    </row>
    <row r="147" spans="1:52" x14ac:dyDescent="0.35">
      <c r="A147">
        <f t="shared" si="9"/>
        <v>12.399999999999972</v>
      </c>
      <c r="B147">
        <f t="shared" si="21"/>
        <v>-21.714986477307448</v>
      </c>
      <c r="C147">
        <f>regressions!$AR$1*$A147</f>
        <v>13.061326983306666</v>
      </c>
      <c r="D147">
        <f>regressions!$AO$1*$A147</f>
        <v>17.74430209342615</v>
      </c>
      <c r="E147">
        <f t="shared" si="16"/>
        <v>4.4076674893058829</v>
      </c>
      <c r="F147">
        <f t="shared" si="17"/>
        <v>-57.203590664159748</v>
      </c>
      <c r="G147" s="5">
        <f>B147-regressions!AA$7</f>
        <v>-25.436275067772403</v>
      </c>
      <c r="H147" s="5">
        <f>B147+regressions!AA$7</f>
        <v>-17.993697886842494</v>
      </c>
      <c r="I147">
        <f>IF($A147&lt;=regressions!$L$2,$A147*regressions!$L$1,regressions!$L$1*regressions!$L$2+regressions!$L$3*($A147-regressions!$L$2))</f>
        <v>-9.8552699680363975</v>
      </c>
      <c r="J147">
        <f>regressions!J$1*A147+regressions!J$2*A147^2</f>
        <v>-18.188689411244493</v>
      </c>
      <c r="K147">
        <f>regressions!$V$1*A147</f>
        <v>-9.8552699958590768</v>
      </c>
      <c r="L147">
        <f>regressions!$N$1*A147^2</f>
        <v>-26.79189019308231</v>
      </c>
      <c r="M147">
        <f>regressions!$R$1*A147^2+regressions!$R$2*A147^6</f>
        <v>10.831448588634959</v>
      </c>
      <c r="N147">
        <f>regressions!$P$1*A147^2+regressions!$P$2*A147^7</f>
        <v>16.189146349791752</v>
      </c>
      <c r="O147">
        <f>regressions!T$2+regressions!T$1*EXP(A147)</f>
        <v>-1897.4054969446038</v>
      </c>
      <c r="P147" s="20">
        <f>(1-EXP(-2*regressions!X$1*graph!A147))/2/EXP(-regressions!X$1*A147)</f>
        <v>-77.770988407194181</v>
      </c>
      <c r="Q147" s="5"/>
      <c r="AT147" s="33"/>
      <c r="AW147" s="33"/>
      <c r="AZ147" s="33"/>
    </row>
    <row r="148" spans="1:52" x14ac:dyDescent="0.35">
      <c r="A148">
        <f t="shared" si="9"/>
        <v>12.499999999999972</v>
      </c>
      <c r="B148">
        <f t="shared" si="21"/>
        <v>-22.175179716740352</v>
      </c>
      <c r="C148">
        <f>regressions!$AR$1*$A148</f>
        <v>13.166660265430107</v>
      </c>
      <c r="D148">
        <f>regressions!$AO$1*$A148</f>
        <v>17.887401303857008</v>
      </c>
      <c r="E148">
        <f t="shared" si="16"/>
        <v>4.1581408141198608</v>
      </c>
      <c r="F148">
        <f t="shared" si="17"/>
        <v>-57.949982324454368</v>
      </c>
      <c r="G148" s="5">
        <f>B148-regressions!AA$7</f>
        <v>-25.896468307205307</v>
      </c>
      <c r="H148" s="5">
        <f>B148+regressions!AA$7</f>
        <v>-18.453891126275398</v>
      </c>
      <c r="I148">
        <f>IF($A148&lt;=regressions!$L$2,$A148*regressions!$L$1,regressions!$L$1*regressions!$L$2+regressions!$L$3*($A148-regressions!$L$2))</f>
        <v>-9.9347479516495945</v>
      </c>
      <c r="J148">
        <f>regressions!J$1*A148+regressions!J$2*A148^2</f>
        <v>-18.437539047404751</v>
      </c>
      <c r="K148">
        <f>regressions!$V$1*A148</f>
        <v>-9.9347479796966507</v>
      </c>
      <c r="L148">
        <f>regressions!$N$1*A148^2</f>
        <v>-27.22575990289484</v>
      </c>
      <c r="M148">
        <f>regressions!$R$1*A148^2+regressions!$R$2*A148^6</f>
        <v>12.334438776069717</v>
      </c>
      <c r="N148">
        <f>regressions!$P$1*A148^2+regressions!$P$2*A148^7</f>
        <v>18.301047244411716</v>
      </c>
      <c r="O148">
        <f>regressions!T$2+regressions!T$1*EXP(A148)</f>
        <v>-2096.958196895544</v>
      </c>
      <c r="P148" s="20">
        <f>(1-EXP(-2*regressions!X$1*graph!A148))/2/EXP(-regressions!X$1*A148)</f>
        <v>-81.001928184392426</v>
      </c>
      <c r="Q148" s="5"/>
      <c r="AT148" s="33"/>
      <c r="AW148" s="33"/>
      <c r="AZ148" s="33"/>
    </row>
    <row r="149" spans="1:52" x14ac:dyDescent="0.35">
      <c r="A149">
        <f t="shared" si="9"/>
        <v>12.599999999999971</v>
      </c>
      <c r="B149">
        <f t="shared" si="21"/>
        <v>-22.657064131643359</v>
      </c>
      <c r="C149">
        <f>regressions!$AR$1*$A149</f>
        <v>13.271993547553546</v>
      </c>
      <c r="D149">
        <f>regressions!$AO$1*$A149</f>
        <v>18.030500514287862</v>
      </c>
      <c r="E149">
        <f t="shared" si="16"/>
        <v>3.8869229634637321</v>
      </c>
      <c r="F149">
        <f t="shared" si="17"/>
        <v>-58.718065160219084</v>
      </c>
      <c r="G149" s="5">
        <f>B149-regressions!AA$7</f>
        <v>-26.378352722108314</v>
      </c>
      <c r="H149" s="5">
        <f>B149+regressions!AA$7</f>
        <v>-18.935775541178405</v>
      </c>
      <c r="I149">
        <f>IF($A149&lt;=regressions!$L$2,$A149*regressions!$L$1,regressions!$L$1*regressions!$L$2+regressions!$L$3*($A149-regressions!$L$2))</f>
        <v>-10.014225935262791</v>
      </c>
      <c r="J149">
        <f>regressions!J$1*A149+regressions!J$2*A149^2</f>
        <v>-18.688023350077607</v>
      </c>
      <c r="K149">
        <f>regressions!$V$1*A149</f>
        <v>-10.014225963534223</v>
      </c>
      <c r="L149">
        <f>regressions!$N$1*A149^2</f>
        <v>-27.663114509974942</v>
      </c>
      <c r="M149">
        <f>regressions!$R$1*A149^2+regressions!$R$2*A149^6</f>
        <v>13.914255797732459</v>
      </c>
      <c r="N149">
        <f>regressions!$P$1*A149^2+regressions!$P$2*A149^7</f>
        <v>20.535596381631425</v>
      </c>
      <c r="O149">
        <f>regressions!T$2+regressions!T$1*EXP(A149)</f>
        <v>-2317.498037504799</v>
      </c>
      <c r="P149" s="20">
        <f>(1-EXP(-2*regressions!X$1*graph!A149))/2/EXP(-regressions!X$1*A149)</f>
        <v>-84.367073718128182</v>
      </c>
      <c r="Q149" s="5"/>
      <c r="AT149" s="33"/>
      <c r="AW149" s="33"/>
      <c r="AZ149" s="33"/>
    </row>
    <row r="150" spans="1:52" x14ac:dyDescent="0.35">
      <c r="A150">
        <f t="shared" si="9"/>
        <v>12.699999999999971</v>
      </c>
      <c r="B150">
        <f t="shared" si="21"/>
        <v>-23.162906425407165</v>
      </c>
      <c r="C150">
        <f>regressions!$AR$1*$A150</f>
        <v>13.377326829676987</v>
      </c>
      <c r="D150">
        <f>regressions!$AO$1*$A150</f>
        <v>18.17359972471872</v>
      </c>
      <c r="E150">
        <f t="shared" si="16"/>
        <v>3.5917472339468084</v>
      </c>
      <c r="F150">
        <f t="shared" si="17"/>
        <v>-59.510105874844605</v>
      </c>
      <c r="G150" s="5">
        <f>B150-regressions!AA$7</f>
        <v>-26.88419501587212</v>
      </c>
      <c r="H150" s="5">
        <f>B150+regressions!AA$7</f>
        <v>-19.44161783494221</v>
      </c>
      <c r="I150">
        <f>IF($A150&lt;=regressions!$L$2,$A150*regressions!$L$1,regressions!$L$1*regressions!$L$2+regressions!$L$3*($A150-regressions!$L$2))</f>
        <v>-10.093703918875988</v>
      </c>
      <c r="J150">
        <f>regressions!J$1*A150+regressions!J$2*A150^2</f>
        <v>-18.94014231926306</v>
      </c>
      <c r="K150">
        <f>regressions!$V$1*A150</f>
        <v>-10.093703947371797</v>
      </c>
      <c r="L150">
        <f>regressions!$N$1*A150^2</f>
        <v>-28.103954014322614</v>
      </c>
      <c r="M150">
        <f>regressions!$R$1*A150^2+regressions!$R$2*A150^6</f>
        <v>15.573510614429146</v>
      </c>
      <c r="N150">
        <f>regressions!$P$1*A150^2+regressions!$P$2*A150^7</f>
        <v>22.897927846953017</v>
      </c>
      <c r="O150">
        <f>regressions!T$2+regressions!T$1*EXP(A150)</f>
        <v>-2561.2322556231857</v>
      </c>
      <c r="P150" s="20">
        <f>(1-EXP(-2*regressions!X$1*graph!A150))/2/EXP(-regressions!X$1*A150)</f>
        <v>-87.872000454719256</v>
      </c>
      <c r="Q150" s="5"/>
      <c r="AT150" s="33"/>
      <c r="AW150" s="33"/>
      <c r="AZ150" s="33"/>
    </row>
    <row r="151" spans="1:52" x14ac:dyDescent="0.35">
      <c r="A151">
        <f t="shared" si="9"/>
        <v>12.799999999999971</v>
      </c>
      <c r="B151">
        <f t="shared" si="21"/>
        <v>-23.695218471470774</v>
      </c>
      <c r="C151">
        <f>regressions!$AR$1*$A151</f>
        <v>13.482660111800428</v>
      </c>
      <c r="D151">
        <f>regressions!$AO$1*$A151</f>
        <v>18.316698935149574</v>
      </c>
      <c r="E151">
        <f t="shared" si="16"/>
        <v>3.2701017521300813</v>
      </c>
      <c r="F151">
        <f t="shared" si="17"/>
        <v>-60.328616341769923</v>
      </c>
      <c r="G151" s="5">
        <f>B151-regressions!AA$7</f>
        <v>-27.416507061935729</v>
      </c>
      <c r="H151" s="5">
        <f>B151+regressions!AA$7</f>
        <v>-19.973929881005819</v>
      </c>
      <c r="I151">
        <f>IF($A151&lt;=regressions!$L$2,$A151*regressions!$L$1,regressions!$L$1*regressions!$L$2+regressions!$L$3*($A151-regressions!$L$2))</f>
        <v>-10.173181902489183</v>
      </c>
      <c r="J151">
        <f>regressions!J$1*A151+regressions!J$2*A151^2</f>
        <v>-19.193895954961107</v>
      </c>
      <c r="K151">
        <f>regressions!$V$1*A151</f>
        <v>-10.173181931209371</v>
      </c>
      <c r="L151">
        <f>regressions!$N$1*A151^2</f>
        <v>-28.548278415937855</v>
      </c>
      <c r="M151">
        <f>regressions!$R$1*A151^2+regressions!$R$2*A151^6</f>
        <v>17.314877097005375</v>
      </c>
      <c r="N151">
        <f>regressions!$P$1*A151^2+regressions!$P$2*A151^7</f>
        <v>25.393341320343556</v>
      </c>
      <c r="O151">
        <f>regressions!T$2+regressions!T$1*EXP(A151)</f>
        <v>-2830.6002252275334</v>
      </c>
      <c r="P151" s="20">
        <f>(1-EXP(-2*regressions!X$1*graph!A151))/2/EXP(-regressions!X$1*A151)</f>
        <v>-91.522515433020402</v>
      </c>
      <c r="Q151" s="5"/>
      <c r="AT151" s="33"/>
      <c r="AW151" s="33"/>
      <c r="AZ151" s="33"/>
    </row>
    <row r="152" spans="1:52" x14ac:dyDescent="0.35">
      <c r="A152">
        <f t="shared" si="9"/>
        <v>12.89999999999997</v>
      </c>
      <c r="B152">
        <f t="shared" si="21"/>
        <v>-24.399294750712713</v>
      </c>
      <c r="C152">
        <f>regressions!$AR$1*$A152</f>
        <v>13.587993393923869</v>
      </c>
      <c r="D152">
        <f>regressions!$AO$1*$A152</f>
        <v>18.459798145580432</v>
      </c>
      <c r="E152">
        <f t="shared" si="16"/>
        <v>2.7766920371350245</v>
      </c>
      <c r="F152">
        <f t="shared" si="17"/>
        <v>-61.318891041873577</v>
      </c>
      <c r="G152" s="5">
        <f>B152-regressions!AA$7</f>
        <v>-28.120583341177667</v>
      </c>
      <c r="H152" s="5">
        <f>B152+regressions!AA$7</f>
        <v>-20.678006160247758</v>
      </c>
      <c r="I152">
        <f>IF($A152&lt;=regressions!$L$2,$A152*regressions!$L$1,regressions!$L$1*regressions!$L$2+regressions!$L$3*($A152-regressions!$L$2))</f>
        <v>-11.334008283724566</v>
      </c>
      <c r="J152">
        <f>regressions!J$1*A152+regressions!J$2*A152^2</f>
        <v>-19.449284257171755</v>
      </c>
      <c r="K152">
        <f>regressions!$V$1*A152</f>
        <v>-10.252659915046943</v>
      </c>
      <c r="L152">
        <f>regressions!$N$1*A152^2</f>
        <v>-28.996087714820671</v>
      </c>
      <c r="M152">
        <f>regressions!$R$1*A152^2+regressions!$R$2*A152^6</f>
        <v>19.141093028859906</v>
      </c>
      <c r="N152">
        <f>regressions!$P$1*A152^2+regressions!$P$2*A152^7</f>
        <v>28.02730605016696</v>
      </c>
      <c r="O152">
        <f>regressions!T$2+regressions!T$1*EXP(A152)</f>
        <v>-3128.2978714953433</v>
      </c>
      <c r="P152" s="20">
        <f>(1-EXP(-2*regressions!X$1*graph!A152))/2/EXP(-regressions!X$1*A152)</f>
        <v>-95.324666905652421</v>
      </c>
      <c r="Q152" s="5"/>
      <c r="AT152" s="33"/>
      <c r="AW152" s="33"/>
      <c r="AZ152" s="33"/>
    </row>
    <row r="153" spans="1:52" x14ac:dyDescent="0.35">
      <c r="A153">
        <f t="shared" si="9"/>
        <v>12.99999999999997</v>
      </c>
      <c r="B153">
        <f t="shared" si="21"/>
        <v>-25.217667127928465</v>
      </c>
      <c r="C153">
        <f>regressions!$AR$1*$A153</f>
        <v>13.69332667604731</v>
      </c>
      <c r="D153">
        <f>regressions!$AO$1*$A153</f>
        <v>18.602897356011287</v>
      </c>
      <c r="E153">
        <f t="shared" ref="E153:E188" si="22">B153+2*C153</f>
        <v>2.1689862241661544</v>
      </c>
      <c r="F153">
        <f t="shared" ref="F153:F188" si="23">B153-2*D153</f>
        <v>-62.423461839951038</v>
      </c>
      <c r="G153" s="5">
        <f>B153-regressions!AA$7</f>
        <v>-28.938955718393419</v>
      </c>
      <c r="H153" s="5">
        <f>B153+regressions!AA$7</f>
        <v>-21.49637853746351</v>
      </c>
      <c r="I153">
        <f>IF($A153&lt;=regressions!$L$2,$A153*regressions!$L$1,regressions!$L$1*regressions!$L$2+regressions!$L$3*($A153-regressions!$L$2))</f>
        <v>-13.116748700552062</v>
      </c>
      <c r="J153">
        <f>regressions!J$1*A153+regressions!J$2*A153^2</f>
        <v>-19.706307225894996</v>
      </c>
      <c r="K153">
        <f>regressions!$V$1*A153</f>
        <v>-10.332137898884517</v>
      </c>
      <c r="L153">
        <f>regressions!$N$1*A153^2</f>
        <v>-29.447381910971053</v>
      </c>
      <c r="M153">
        <f>regressions!$R$1*A153^2+regressions!$R$2*A153^6</f>
        <v>21.054961116383268</v>
      </c>
      <c r="N153">
        <f>regressions!$P$1*A153^2+regressions!$P$2*A153^7</f>
        <v>30.805464890191825</v>
      </c>
      <c r="O153">
        <f>regressions!T$2+regressions!T$1*EXP(A153)</f>
        <v>-3457.3046525300988</v>
      </c>
      <c r="P153" s="20">
        <f>(1-EXP(-2*regressions!X$1*graph!A153))/2/EXP(-regressions!X$1*A153)</f>
        <v>-99.284754359877851</v>
      </c>
      <c r="Q153" s="5"/>
      <c r="AT153" s="33"/>
      <c r="AW153" s="33"/>
      <c r="AZ153" s="33"/>
    </row>
    <row r="154" spans="1:52" x14ac:dyDescent="0.35">
      <c r="A154">
        <f t="shared" si="9"/>
        <v>13.099999999999969</v>
      </c>
      <c r="B154">
        <f t="shared" si="21"/>
        <v>-26.071783763149075</v>
      </c>
      <c r="C154">
        <f>regressions!$AR$1*$A154</f>
        <v>13.798659958170751</v>
      </c>
      <c r="D154">
        <f>regressions!$AO$1*$A154</f>
        <v>18.745996566442141</v>
      </c>
      <c r="E154">
        <f t="shared" si="22"/>
        <v>1.5255361531924265</v>
      </c>
      <c r="F154">
        <f t="shared" si="23"/>
        <v>-63.56377689603336</v>
      </c>
      <c r="G154" s="5">
        <f>B154-regressions!AA$7</f>
        <v>-29.793072353614029</v>
      </c>
      <c r="H154" s="5">
        <f>B154+regressions!AA$7</f>
        <v>-22.35049517268412</v>
      </c>
      <c r="I154">
        <f>IF($A154&lt;=regressions!$L$2,$A154*regressions!$L$1,regressions!$L$1*regressions!$L$2+regressions!$L$3*($A154-regressions!$L$2))</f>
        <v>-14.899489117379556</v>
      </c>
      <c r="J154">
        <f>regressions!J$1*A154+regressions!J$2*A154^2</f>
        <v>-19.964964861130838</v>
      </c>
      <c r="K154">
        <f>regressions!$V$1*A154</f>
        <v>-10.411615882722089</v>
      </c>
      <c r="L154">
        <f>regressions!$N$1*A154^2</f>
        <v>-29.902161004389008</v>
      </c>
      <c r="M154">
        <f>regressions!$R$1*A154^2+regressions!$R$2*A154^6</f>
        <v>23.059350007321449</v>
      </c>
      <c r="N154">
        <f>regressions!$P$1*A154^2+regressions!$P$2*A154^7</f>
        <v>33.733638400171479</v>
      </c>
      <c r="O154">
        <f>regressions!T$2+regressions!T$1*EXP(A154)</f>
        <v>-3820.9133787793921</v>
      </c>
      <c r="P154" s="20">
        <f>(1-EXP(-2*regressions!X$1*graph!A154))/2/EXP(-regressions!X$1*A154)</f>
        <v>-103.40933895472929</v>
      </c>
      <c r="Q154" s="5"/>
      <c r="AT154" s="33"/>
      <c r="AW154" s="33"/>
      <c r="AZ154" s="33"/>
    </row>
    <row r="155" spans="1:52" x14ac:dyDescent="0.35">
      <c r="A155">
        <f t="shared" si="9"/>
        <v>13.199999999999969</v>
      </c>
      <c r="B155">
        <f t="shared" si="21"/>
        <v>-26.965419306424131</v>
      </c>
      <c r="C155">
        <f>regressions!$AR$1*$A155</f>
        <v>13.903993240294191</v>
      </c>
      <c r="D155">
        <f>regressions!$AO$1*$A155</f>
        <v>18.889095776872999</v>
      </c>
      <c r="E155">
        <f t="shared" si="22"/>
        <v>0.84256717416425175</v>
      </c>
      <c r="F155">
        <f t="shared" si="23"/>
        <v>-64.743610860170122</v>
      </c>
      <c r="G155" s="5">
        <f>B155-regressions!AA$7</f>
        <v>-30.686707896889086</v>
      </c>
      <c r="H155" s="5">
        <f>B155+regressions!AA$7</f>
        <v>-23.244130715959177</v>
      </c>
      <c r="I155">
        <f>IF($A155&lt;=regressions!$L$2,$A155*regressions!$L$1,regressions!$L$1*regressions!$L$2+regressions!$L$3*($A155-regressions!$L$2))</f>
        <v>-16.682229534207053</v>
      </c>
      <c r="J155">
        <f>regressions!J$1*A155+regressions!J$2*A155^2</f>
        <v>-20.225257162879274</v>
      </c>
      <c r="K155">
        <f>regressions!$V$1*A155</f>
        <v>-10.491093866559662</v>
      </c>
      <c r="L155">
        <f>regressions!$N$1*A155^2</f>
        <v>-30.360424995074535</v>
      </c>
      <c r="M155">
        <f>regressions!$R$1*A155^2+regressions!$R$2*A155^6</f>
        <v>25.157195317064463</v>
      </c>
      <c r="N155">
        <f>regressions!$P$1*A155^2+regressions!$P$2*A155^7</f>
        <v>36.817829010493028</v>
      </c>
      <c r="O155">
        <f>regressions!T$2+regressions!T$1*EXP(A155)</f>
        <v>-4222.7631685886408</v>
      </c>
      <c r="P155" s="20">
        <f>(1-EXP(-2*regressions!X$1*graph!A155))/2/EXP(-regressions!X$1*A155)</f>
        <v>-107.70525439167963</v>
      </c>
      <c r="Q155" s="5"/>
      <c r="AT155" s="33"/>
      <c r="AW155" s="33"/>
      <c r="AZ155" s="33"/>
    </row>
    <row r="156" spans="1:52" x14ac:dyDescent="0.35">
      <c r="A156">
        <f t="shared" si="9"/>
        <v>13.299999999999969</v>
      </c>
      <c r="B156">
        <f t="shared" si="21"/>
        <v>-27.902749912785445</v>
      </c>
      <c r="C156">
        <f>regressions!$AR$1*$A156</f>
        <v>14.009326522417631</v>
      </c>
      <c r="D156">
        <f>regressions!$AO$1*$A156</f>
        <v>19.032194987303853</v>
      </c>
      <c r="E156">
        <f t="shared" si="22"/>
        <v>0.11590313204981584</v>
      </c>
      <c r="F156">
        <f t="shared" si="23"/>
        <v>-65.967139887393159</v>
      </c>
      <c r="G156" s="5">
        <f>B156-regressions!AA$7</f>
        <v>-31.6240385032504</v>
      </c>
      <c r="H156" s="5">
        <f>B156+regressions!AA$7</f>
        <v>-24.181461322320491</v>
      </c>
      <c r="I156">
        <f>IF($A156&lt;=regressions!$L$2,$A156*regressions!$L$1,regressions!$L$1*regressions!$L$2+regressions!$L$3*($A156-regressions!$L$2))</f>
        <v>-18.464969951034547</v>
      </c>
      <c r="J156">
        <f>regressions!J$1*A156+regressions!J$2*A156^2</f>
        <v>-20.48718413114031</v>
      </c>
      <c r="K156">
        <f>regressions!$V$1*A156</f>
        <v>-10.570571850397235</v>
      </c>
      <c r="L156">
        <f>regressions!$N$1*A156^2</f>
        <v>-30.822173883027631</v>
      </c>
      <c r="M156">
        <f>regressions!$R$1*A156^2+regressions!$R$2*A156^6</f>
        <v>27.351500662859948</v>
      </c>
      <c r="N156">
        <f>regressions!$P$1*A156^2+regressions!$P$2*A156^7</f>
        <v>40.064225251391868</v>
      </c>
      <c r="O156">
        <f>regressions!T$2+regressions!T$1*EXP(A156)</f>
        <v>-4666.875869720634</v>
      </c>
      <c r="P156" s="20">
        <f>(1-EXP(-2*regressions!X$1*graph!A156))/2/EXP(-regressions!X$1*A156)</f>
        <v>-112.17961823686802</v>
      </c>
      <c r="Q156" s="5"/>
      <c r="AT156" s="33"/>
      <c r="AW156" s="33"/>
      <c r="AZ156" s="33"/>
    </row>
    <row r="157" spans="1:52" x14ac:dyDescent="0.35">
      <c r="A157">
        <f t="shared" si="9"/>
        <v>13.399999999999968</v>
      </c>
      <c r="B157">
        <f t="shared" si="21"/>
        <v>-28.888394826211645</v>
      </c>
      <c r="C157">
        <f>regressions!$AR$1*$A157</f>
        <v>14.114659804541072</v>
      </c>
      <c r="D157">
        <f>regressions!$AO$1*$A157</f>
        <v>19.175294197734711</v>
      </c>
      <c r="E157">
        <f t="shared" si="22"/>
        <v>-0.65907521712950157</v>
      </c>
      <c r="F157">
        <f t="shared" si="23"/>
        <v>-67.238983221681067</v>
      </c>
      <c r="G157" s="5">
        <f>B157-regressions!AA$7</f>
        <v>-32.609683416676603</v>
      </c>
      <c r="H157" s="5">
        <f>B157+regressions!AA$7</f>
        <v>-25.16710623574669</v>
      </c>
      <c r="I157">
        <f>IF($A157&lt;=regressions!$L$2,$A157*regressions!$L$1,regressions!$L$1*regressions!$L$2+regressions!$L$3*($A157-regressions!$L$2))</f>
        <v>-20.247710367862041</v>
      </c>
      <c r="J157">
        <f>regressions!J$1*A157+regressions!J$2*A157^2</f>
        <v>-20.75074576591394</v>
      </c>
      <c r="K157">
        <f>regressions!$V$1*A157</f>
        <v>-10.650049834234808</v>
      </c>
      <c r="L157">
        <f>regressions!$N$1*A157^2</f>
        <v>-31.287407668248296</v>
      </c>
      <c r="M157">
        <f>regressions!$R$1*A157^2+regressions!$R$2*A157^6</f>
        <v>29.645338705951886</v>
      </c>
      <c r="N157">
        <f>regressions!$P$1*A157^2+regressions!$P$2*A157^7</f>
        <v>43.479206047228907</v>
      </c>
      <c r="O157">
        <f>regressions!T$2+regressions!T$1*EXP(A157)</f>
        <v>-5157.6963113597349</v>
      </c>
      <c r="P157" s="20">
        <f>(1-EXP(-2*regressions!X$1*graph!A157))/2/EXP(-regressions!X$1*A157)</f>
        <v>-116.83984371363761</v>
      </c>
      <c r="Q157" s="5"/>
      <c r="AT157" s="33"/>
      <c r="AW157" s="33"/>
      <c r="AZ157" s="33"/>
    </row>
    <row r="158" spans="1:52" x14ac:dyDescent="0.35">
      <c r="A158">
        <f t="shared" si="9"/>
        <v>13.499999999999968</v>
      </c>
      <c r="B158">
        <f t="shared" si="21"/>
        <v>-29.927462263555647</v>
      </c>
      <c r="C158">
        <f>regressions!$AR$1*$A158</f>
        <v>14.219993086664513</v>
      </c>
      <c r="D158">
        <f>regressions!$AO$1*$A158</f>
        <v>19.318393408165566</v>
      </c>
      <c r="E158">
        <f t="shared" si="22"/>
        <v>-1.4874760902266217</v>
      </c>
      <c r="F158">
        <f t="shared" si="23"/>
        <v>-68.564249079886778</v>
      </c>
      <c r="G158" s="5">
        <f>B158-regressions!AA$7</f>
        <v>-33.648750854020605</v>
      </c>
      <c r="H158" s="5">
        <f>B158+regressions!AA$7</f>
        <v>-26.206173673090692</v>
      </c>
      <c r="I158">
        <f>IF($A158&lt;=regressions!$L$2,$A158*regressions!$L$1,regressions!$L$1*regressions!$L$2+regressions!$L$3*($A158-regressions!$L$2))</f>
        <v>-22.030450784689535</v>
      </c>
      <c r="J158">
        <f>regressions!J$1*A158+regressions!J$2*A158^2</f>
        <v>-21.015942067200172</v>
      </c>
      <c r="K158">
        <f>regressions!$V$1*A158</f>
        <v>-10.729527818072382</v>
      </c>
      <c r="L158">
        <f>regressions!$N$1*A158^2</f>
        <v>-31.756126350736537</v>
      </c>
      <c r="M158">
        <f>regressions!$R$1*A158^2+regressions!$R$2*A158^6</f>
        <v>32.041852201644161</v>
      </c>
      <c r="N158">
        <f>regressions!$P$1*A158^2+regressions!$P$2*A158^7</f>
        <v>47.069345076326265</v>
      </c>
      <c r="O158">
        <f>regressions!T$2+regressions!T$1*EXP(A158)</f>
        <v>-5700.1367894563136</v>
      </c>
      <c r="P158" s="20">
        <f>(1-EXP(-2*regressions!X$1*graph!A158))/2/EXP(-regressions!X$1*A158)</f>
        <v>-121.69365198492582</v>
      </c>
      <c r="Q158" s="5"/>
      <c r="AT158" s="33"/>
      <c r="AW158" s="33"/>
      <c r="AZ158" s="33"/>
    </row>
    <row r="159" spans="1:52" x14ac:dyDescent="0.35">
      <c r="A159">
        <f t="shared" si="9"/>
        <v>13.599999999999968</v>
      </c>
      <c r="B159">
        <f t="shared" si="21"/>
        <v>-31.025600046096613</v>
      </c>
      <c r="C159">
        <f>regressions!$AR$1*$A159</f>
        <v>14.325326368787954</v>
      </c>
      <c r="D159">
        <f>regressions!$AO$1*$A159</f>
        <v>19.46149261859642</v>
      </c>
      <c r="E159">
        <f t="shared" si="22"/>
        <v>-2.3749473085207065</v>
      </c>
      <c r="F159">
        <f t="shared" si="23"/>
        <v>-69.948585283289447</v>
      </c>
      <c r="G159" s="5">
        <f>B159-regressions!AA$7</f>
        <v>-34.746888636561572</v>
      </c>
      <c r="H159" s="5">
        <f>B159+regressions!AA$7</f>
        <v>-27.304311455631659</v>
      </c>
      <c r="I159">
        <f>IF($A159&lt;=regressions!$L$2,$A159*regressions!$L$1,regressions!$L$1*regressions!$L$2+regressions!$L$3*($A159-regressions!$L$2))</f>
        <v>-23.813191201517032</v>
      </c>
      <c r="J159">
        <f>regressions!J$1*A159+regressions!J$2*A159^2</f>
        <v>-21.282773034998996</v>
      </c>
      <c r="K159">
        <f>regressions!$V$1*A159</f>
        <v>-10.809005801909954</v>
      </c>
      <c r="L159">
        <f>regressions!$N$1*A159^2</f>
        <v>-32.228329930492343</v>
      </c>
      <c r="M159">
        <f>regressions!$R$1*A159^2+regressions!$R$2*A159^6</f>
        <v>34.544255057289341</v>
      </c>
      <c r="N159">
        <f>regressions!$P$1*A159^2+regressions!$P$2*A159^7</f>
        <v>50.841415196858868</v>
      </c>
      <c r="O159">
        <f>regressions!T$2+regressions!T$1*EXP(A159)</f>
        <v>-6299.626230635703</v>
      </c>
      <c r="P159" s="20">
        <f>(1-EXP(-2*regressions!X$1*graph!A159))/2/EXP(-regressions!X$1*A159)</f>
        <v>-126.74908494585443</v>
      </c>
      <c r="Q159" s="5"/>
      <c r="AE159" s="58">
        <f>Table1!$E51</f>
        <v>-24.061208104792932</v>
      </c>
      <c r="AN159">
        <f t="shared" ref="AN159:AN190" si="24">AVERAGE(Q159:AM159)</f>
        <v>-24.061208104792932</v>
      </c>
      <c r="AO159" s="1">
        <f>MIN(Q159:AM159)</f>
        <v>-24.061208104792932</v>
      </c>
      <c r="AP159" s="1">
        <f>MAX(Q159:AM159)</f>
        <v>-24.061208104792932</v>
      </c>
      <c r="AT159" s="33"/>
      <c r="AW159" s="33"/>
      <c r="AZ159" s="33"/>
    </row>
    <row r="160" spans="1:52" x14ac:dyDescent="0.35">
      <c r="A160">
        <f t="shared" si="9"/>
        <v>13.699999999999967</v>
      </c>
      <c r="B160">
        <f t="shared" si="21"/>
        <v>-32.189051473241335</v>
      </c>
      <c r="C160">
        <f>regressions!$AR$1*$A160</f>
        <v>14.430659650911394</v>
      </c>
      <c r="D160">
        <f>regressions!$AO$1*$A160</f>
        <v>19.604591829027278</v>
      </c>
      <c r="E160">
        <f t="shared" si="22"/>
        <v>-3.3277321714185462</v>
      </c>
      <c r="F160">
        <f t="shared" si="23"/>
        <v>-71.398235131295891</v>
      </c>
      <c r="G160" s="5">
        <f>B160-regressions!AA$7</f>
        <v>-35.910340063706293</v>
      </c>
      <c r="H160" s="5">
        <f>B160+regressions!AA$7</f>
        <v>-28.46776288277638</v>
      </c>
      <c r="I160">
        <f>IF($A160&lt;=regressions!$L$2,$A160*regressions!$L$1,regressions!$L$1*regressions!$L$2+regressions!$L$3*($A160-regressions!$L$2))</f>
        <v>-25.595931618344526</v>
      </c>
      <c r="J160">
        <f>regressions!J$1*A160+regressions!J$2*A160^2</f>
        <v>-21.551238669310422</v>
      </c>
      <c r="K160">
        <f>regressions!$V$1*A160</f>
        <v>-10.888483785747528</v>
      </c>
      <c r="L160">
        <f>regressions!$N$1*A160^2</f>
        <v>-32.704018407515726</v>
      </c>
      <c r="M160">
        <f>regressions!$R$1*A160^2+regressions!$R$2*A160^6</f>
        <v>37.155833398202169</v>
      </c>
      <c r="N160">
        <f>regressions!$P$1*A160^2+regressions!$P$2*A160^7</f>
        <v>54.802392939298286</v>
      </c>
      <c r="O160">
        <f>regressions!T$2+regressions!T$1*EXP(A160)</f>
        <v>-6962.1645267205849</v>
      </c>
      <c r="P160" s="20">
        <f>(1-EXP(-2*regressions!X$1*graph!A160))/2/EXP(-regressions!X$1*A160)</f>
        <v>-132.01451854771716</v>
      </c>
      <c r="Q160" s="5"/>
      <c r="AT160" s="33"/>
      <c r="AW160" s="33"/>
      <c r="AZ160" s="33"/>
    </row>
    <row r="161" spans="1:52" x14ac:dyDescent="0.35">
      <c r="A161">
        <f t="shared" si="9"/>
        <v>13.799999999999967</v>
      </c>
      <c r="B161">
        <f t="shared" si="21"/>
        <v>-33.424716984680529</v>
      </c>
      <c r="C161">
        <f>regressions!$AR$1*$A161</f>
        <v>14.535992933034835</v>
      </c>
      <c r="D161">
        <f>regressions!$AO$1*$A161</f>
        <v>19.747691039458132</v>
      </c>
      <c r="E161">
        <f t="shared" si="22"/>
        <v>-4.3527311186108584</v>
      </c>
      <c r="F161">
        <f t="shared" si="23"/>
        <v>-72.920099063596794</v>
      </c>
      <c r="G161" s="5">
        <f>B161-regressions!AA$7</f>
        <v>-37.146005575145487</v>
      </c>
      <c r="H161" s="5">
        <f>B161+regressions!AA$7</f>
        <v>-29.703428394215575</v>
      </c>
      <c r="I161">
        <f>IF($A161&lt;=regressions!$L$2,$A161*regressions!$L$1,regressions!$L$1*regressions!$L$2+regressions!$L$3*($A161-regressions!$L$2))</f>
        <v>-27.378672035172023</v>
      </c>
      <c r="J161">
        <f>regressions!J$1*A161+regressions!J$2*A161^2</f>
        <v>-21.821338970134441</v>
      </c>
      <c r="K161">
        <f>regressions!$V$1*A161</f>
        <v>-10.9679617695851</v>
      </c>
      <c r="L161">
        <f>regressions!$N$1*A161^2</f>
        <v>-33.18319178180667</v>
      </c>
      <c r="M161">
        <f>regressions!$R$1*A161^2+regressions!$R$2*A161^6</f>
        <v>39.879946641498371</v>
      </c>
      <c r="N161">
        <f>regressions!$P$1*A161^2+regressions!$P$2*A161^7</f>
        <v>58.959463065905325</v>
      </c>
      <c r="O161">
        <f>regressions!T$2+regressions!T$1*EXP(A161)</f>
        <v>-7694.3825836649903</v>
      </c>
      <c r="P161" s="20">
        <f>(1-EXP(-2*regressions!X$1*graph!A161))/2/EXP(-regressions!X$1*A161)</f>
        <v>-137.49867667543685</v>
      </c>
      <c r="Q161" s="5"/>
      <c r="AT161" s="33"/>
      <c r="AW161" s="33"/>
      <c r="AZ161" s="33"/>
    </row>
    <row r="162" spans="1:52" x14ac:dyDescent="0.35">
      <c r="A162">
        <f t="shared" si="9"/>
        <v>13.899999999999967</v>
      </c>
      <c r="B162">
        <f t="shared" si="21"/>
        <v>-34.740222214524579</v>
      </c>
      <c r="C162">
        <f>regressions!$AR$1*$A162</f>
        <v>14.641326215158276</v>
      </c>
      <c r="D162">
        <f>regressions!$AO$1*$A162</f>
        <v>19.89079024988899</v>
      </c>
      <c r="E162">
        <f t="shared" si="22"/>
        <v>-5.457569784208026</v>
      </c>
      <c r="F162">
        <f t="shared" si="23"/>
        <v>-74.521802714302567</v>
      </c>
      <c r="G162" s="5">
        <f>B162-regressions!AA$7</f>
        <v>-38.461510804989537</v>
      </c>
      <c r="H162" s="5">
        <f>B162+regressions!AA$7</f>
        <v>-31.018933624059624</v>
      </c>
      <c r="I162">
        <f>IF($A162&lt;=regressions!$L$2,$A162*regressions!$L$1,regressions!$L$1*regressions!$L$2+regressions!$L$3*($A162-regressions!$L$2))</f>
        <v>-29.161412451999517</v>
      </c>
      <c r="J162">
        <f>regressions!J$1*A162+regressions!J$2*A162^2</f>
        <v>-22.093073937471058</v>
      </c>
      <c r="K162">
        <f>regressions!$V$1*A162</f>
        <v>-11.047439753422674</v>
      </c>
      <c r="L162">
        <f>regressions!$N$1*A162^2</f>
        <v>-33.66585005336519</v>
      </c>
      <c r="M162">
        <f>regressions!$R$1*A162^2+regressions!$R$2*A162^6</f>
        <v>42.720028577858344</v>
      </c>
      <c r="N162">
        <f>regressions!$P$1*A162^2+regressions!$P$2*A162^7</f>
        <v>63.32002319776857</v>
      </c>
      <c r="O162">
        <f>regressions!T$2+regressions!T$1*EXP(A162)</f>
        <v>-8503.6086858898034</v>
      </c>
      <c r="P162" s="20">
        <f>(1-EXP(-2*regressions!X$1*graph!A162))/2/EXP(-regressions!X$1*A162)</f>
        <v>-143.21064560148906</v>
      </c>
      <c r="Q162" s="5"/>
      <c r="AT162" s="33"/>
      <c r="AW162" s="33"/>
      <c r="AZ162" s="33"/>
    </row>
    <row r="163" spans="1:52" x14ac:dyDescent="0.35">
      <c r="A163">
        <f t="shared" si="9"/>
        <v>13.999999999999966</v>
      </c>
      <c r="B163">
        <f t="shared" si="21"/>
        <v>-36.143993104166917</v>
      </c>
      <c r="C163">
        <f>regressions!$AR$1*$A163</f>
        <v>14.746659497281716</v>
      </c>
      <c r="D163">
        <f>regressions!$AO$1*$A163</f>
        <v>20.033889460319845</v>
      </c>
      <c r="E163">
        <f t="shared" si="22"/>
        <v>-6.6506741096034858</v>
      </c>
      <c r="F163">
        <f t="shared" si="23"/>
        <v>-76.211772024806606</v>
      </c>
      <c r="G163" s="5">
        <f>B163-regressions!AA$7</f>
        <v>-39.865281694631875</v>
      </c>
      <c r="H163" s="5">
        <f>B163+regressions!AA$7</f>
        <v>-32.422704513701959</v>
      </c>
      <c r="I163">
        <f>IF($A163&lt;=regressions!$L$2,$A163*regressions!$L$1,regressions!$L$1*regressions!$L$2+regressions!$L$3*($A163-regressions!$L$2))</f>
        <v>-30.944152868827011</v>
      </c>
      <c r="J163">
        <f>regressions!J$1*A163+regressions!J$2*A163^2</f>
        <v>-22.366443571320271</v>
      </c>
      <c r="K163">
        <f>regressions!$V$1*A163</f>
        <v>-11.126917737260246</v>
      </c>
      <c r="L163">
        <f>regressions!$N$1*A163^2</f>
        <v>-34.15199322219128</v>
      </c>
      <c r="M163">
        <f>regressions!$R$1*A163^2+regressions!$R$2*A163^6</f>
        <v>45.679588461215765</v>
      </c>
      <c r="N163">
        <f>regressions!$P$1*A163^2+regressions!$P$2*A163^7</f>
        <v>67.891688509884716</v>
      </c>
      <c r="O163">
        <f>regressions!T$2+regressions!T$1*EXP(A163)</f>
        <v>-9397.9418402163792</v>
      </c>
      <c r="P163" s="20">
        <f>(1-EXP(-2*regressions!X$1*graph!A163))/2/EXP(-regressions!X$1*A163)</f>
        <v>-149.15988904023465</v>
      </c>
      <c r="Q163" s="5"/>
      <c r="AT163" s="33"/>
      <c r="AW163" s="33"/>
      <c r="AZ163" s="33"/>
    </row>
    <row r="164" spans="1:52" x14ac:dyDescent="0.35">
      <c r="A164">
        <f t="shared" si="9"/>
        <v>14.099999999999966</v>
      </c>
      <c r="B164">
        <f t="shared" si="21"/>
        <v>-37.645338810489356</v>
      </c>
      <c r="C164">
        <f>regressions!$AR$1*$A164</f>
        <v>14.851992779405156</v>
      </c>
      <c r="D164">
        <f>regressions!$AO$1*$A164</f>
        <v>20.176988670750703</v>
      </c>
      <c r="E164">
        <f t="shared" si="22"/>
        <v>-7.9413532516790433</v>
      </c>
      <c r="F164">
        <f t="shared" si="23"/>
        <v>-77.999316151990769</v>
      </c>
      <c r="G164" s="5">
        <f>B164-regressions!AA$7</f>
        <v>-41.366627400954314</v>
      </c>
      <c r="H164" s="5">
        <f>B164+regressions!AA$7</f>
        <v>-33.924050220024398</v>
      </c>
      <c r="I164">
        <f>IF($A164&lt;=regressions!$L$2,$A164*regressions!$L$1,regressions!$L$1*regressions!$L$2+regressions!$L$3*($A164-regressions!$L$2))</f>
        <v>-32.726893285654505</v>
      </c>
      <c r="J164">
        <f>regressions!J$1*A164+regressions!J$2*A164^2</f>
        <v>-22.641447871682086</v>
      </c>
      <c r="K164">
        <f>regressions!$V$1*A164</f>
        <v>-11.20639572109782</v>
      </c>
      <c r="L164">
        <f>regressions!$N$1*A164^2</f>
        <v>-34.641621288284938</v>
      </c>
      <c r="M164">
        <f>regressions!$R$1*A164^2+regressions!$R$2*A164^6</f>
        <v>48.762212106371308</v>
      </c>
      <c r="N164">
        <f>regressions!$P$1*A164^2+regressions!$P$2*A164^7</f>
        <v>72.682296494778114</v>
      </c>
      <c r="O164">
        <f>regressions!T$2+regressions!T$1*EXP(A164)</f>
        <v>-10386.332833448969</v>
      </c>
      <c r="P164" s="20">
        <f>(1-EXP(-2*regressions!X$1*graph!A164))/2/EXP(-regressions!X$1*A164)</f>
        <v>-155.35626382760881</v>
      </c>
      <c r="Q164" s="5"/>
      <c r="AT164" s="33"/>
      <c r="AW164" s="33"/>
      <c r="AZ164" s="33"/>
    </row>
    <row r="165" spans="1:52" x14ac:dyDescent="0.35">
      <c r="A165">
        <f t="shared" si="9"/>
        <v>14.199999999999966</v>
      </c>
      <c r="B165">
        <f t="shared" si="21"/>
        <v>-39.254543223222512</v>
      </c>
      <c r="C165">
        <f>regressions!$AR$1*$A165</f>
        <v>14.957326061528597</v>
      </c>
      <c r="D165">
        <f>regressions!$AO$1*$A165</f>
        <v>20.320087881181557</v>
      </c>
      <c r="E165">
        <f t="shared" si="22"/>
        <v>-9.3398911001653175</v>
      </c>
      <c r="F165">
        <f t="shared" si="23"/>
        <v>-79.894718985585627</v>
      </c>
      <c r="G165" s="5">
        <f>B165-regressions!AA$7</f>
        <v>-42.975831813687471</v>
      </c>
      <c r="H165" s="5">
        <f>B165+regressions!AA$7</f>
        <v>-35.533254632757554</v>
      </c>
      <c r="I165">
        <f>IF($A165&lt;=regressions!$L$2,$A165*regressions!$L$1,regressions!$L$1*regressions!$L$2+regressions!$L$3*($A165-regressions!$L$2))</f>
        <v>-34.509633702481999</v>
      </c>
      <c r="J165">
        <f>regressions!J$1*A165+regressions!J$2*A165^2</f>
        <v>-22.918086838556491</v>
      </c>
      <c r="K165">
        <f>regressions!$V$1*A165</f>
        <v>-11.285873704935394</v>
      </c>
      <c r="L165">
        <f>regressions!$N$1*A165^2</f>
        <v>-35.134734251646165</v>
      </c>
      <c r="M165">
        <f>regressions!$R$1*A165^2+regressions!$R$2*A165^6</f>
        <v>51.971562994531396</v>
      </c>
      <c r="N165">
        <f>regressions!$P$1*A165^2+regressions!$P$2*A165^7</f>
        <v>77.699911795155828</v>
      </c>
      <c r="O165">
        <f>regressions!T$2+regressions!T$1*EXP(A165)</f>
        <v>-11478.673814857531</v>
      </c>
      <c r="P165" s="20">
        <f>(1-EXP(-2*regressions!X$1*graph!A165))/2/EXP(-regressions!X$1*A165)</f>
        <v>-161.81003625214007</v>
      </c>
      <c r="Q165" s="5"/>
      <c r="AT165" s="33"/>
      <c r="AW165" s="33"/>
      <c r="AZ165" s="33"/>
    </row>
    <row r="166" spans="1:52" x14ac:dyDescent="0.35">
      <c r="A166">
        <f t="shared" si="9"/>
        <v>14.299999999999965</v>
      </c>
      <c r="B166">
        <f t="shared" si="21"/>
        <v>-40.982965990585178</v>
      </c>
      <c r="C166">
        <f>regressions!$AR$1*$A166</f>
        <v>15.062659343652038</v>
      </c>
      <c r="D166">
        <f>regressions!$AO$1*$A166</f>
        <v>20.463187091612411</v>
      </c>
      <c r="E166">
        <f t="shared" si="22"/>
        <v>-10.857647303281102</v>
      </c>
      <c r="F166">
        <f t="shared" si="23"/>
        <v>-81.909340173809994</v>
      </c>
      <c r="G166" s="5">
        <f>B166-regressions!AA$7</f>
        <v>-44.704254581050137</v>
      </c>
      <c r="H166" s="5">
        <f>B166+regressions!AA$7</f>
        <v>-37.26167740012022</v>
      </c>
      <c r="I166">
        <f>IF($A166&lt;=regressions!$L$2,$A166*regressions!$L$1,regressions!$L$1*regressions!$L$2+regressions!$L$3*($A166-regressions!$L$2))</f>
        <v>-36.2923741193095</v>
      </c>
      <c r="J166">
        <f>regressions!J$1*A166+regressions!J$2*A166^2</f>
        <v>-23.1963604719435</v>
      </c>
      <c r="K166">
        <f>regressions!$V$1*A166</f>
        <v>-11.365351688772966</v>
      </c>
      <c r="L166">
        <f>regressions!$N$1*A166^2</f>
        <v>-35.631332112274968</v>
      </c>
      <c r="M166">
        <f>regressions!$R$1*A166^2+regressions!$R$2*A166^6</f>
        <v>55.311383386771915</v>
      </c>
      <c r="N166">
        <f>regressions!$P$1*A166^2+regressions!$P$2*A166^7</f>
        <v>82.952831106094862</v>
      </c>
      <c r="O166">
        <f>regressions!T$2+regressions!T$1*EXP(A166)</f>
        <v>-12685.897300132487</v>
      </c>
      <c r="P166" s="20">
        <f>(1-EXP(-2*regressions!X$1*graph!A166))/2/EXP(-regressions!X$1*A166)</f>
        <v>-168.53189906436151</v>
      </c>
      <c r="Q166" s="5"/>
      <c r="AT166" s="33"/>
      <c r="AW166" s="33"/>
      <c r="AZ166" s="33"/>
    </row>
    <row r="167" spans="1:52" x14ac:dyDescent="0.35">
      <c r="A167">
        <f t="shared" si="9"/>
        <v>14.399999999999965</v>
      </c>
      <c r="B167">
        <f t="shared" si="21"/>
        <v>-42.843154046593725</v>
      </c>
      <c r="C167">
        <f>regressions!$AR$1*$A167</f>
        <v>15.167992625775479</v>
      </c>
      <c r="D167">
        <f>regressions!$AO$1*$A167</f>
        <v>20.606286302043269</v>
      </c>
      <c r="E167">
        <f t="shared" si="22"/>
        <v>-12.507168795042766</v>
      </c>
      <c r="F167">
        <f t="shared" si="23"/>
        <v>-84.05572665068027</v>
      </c>
      <c r="G167" s="5">
        <f>B167-regressions!AA$7</f>
        <v>-46.564442637058683</v>
      </c>
      <c r="H167" s="5">
        <f>B167+regressions!AA$7</f>
        <v>-39.121865456128766</v>
      </c>
      <c r="I167">
        <f>IF($A167&lt;=regressions!$L$2,$A167*regressions!$L$1,regressions!$L$1*regressions!$L$2+regressions!$L$3*($A167-regressions!$L$2))</f>
        <v>-38.075114536136994</v>
      </c>
      <c r="J167">
        <f>regressions!J$1*A167+regressions!J$2*A167^2</f>
        <v>-23.476268771843102</v>
      </c>
      <c r="K167">
        <f>regressions!$V$1*A167</f>
        <v>-11.44482967261054</v>
      </c>
      <c r="L167">
        <f>regressions!$N$1*A167^2</f>
        <v>-36.131414870171341</v>
      </c>
      <c r="M167">
        <f>regressions!$R$1*A167^2+regressions!$R$2*A167^6</f>
        <v>58.785495445426854</v>
      </c>
      <c r="N167">
        <f>regressions!$P$1*A167^2+regressions!$P$2*A167^7</f>
        <v>88.449588147258225</v>
      </c>
      <c r="O167">
        <f>regressions!T$2+regressions!T$1*EXP(A167)</f>
        <v>-14020.085587676293</v>
      </c>
      <c r="P167" s="20">
        <f>(1-EXP(-2*regressions!X$1*graph!A167))/2/EXP(-regressions!X$1*A167)</f>
        <v>-175.5329891927914</v>
      </c>
      <c r="Q167" s="5"/>
      <c r="AT167" s="33"/>
      <c r="AW167" s="33"/>
      <c r="AZ167" s="33"/>
    </row>
    <row r="168" spans="1:52" x14ac:dyDescent="0.35">
      <c r="A168">
        <f t="shared" si="9"/>
        <v>14.499999999999964</v>
      </c>
      <c r="B168">
        <f t="shared" si="21"/>
        <v>-44.848964737604518</v>
      </c>
      <c r="C168">
        <f>regressions!$AR$1*$A168</f>
        <v>15.27332590789892</v>
      </c>
      <c r="D168">
        <f>regressions!$AO$1*$A168</f>
        <v>20.749385512474124</v>
      </c>
      <c r="E168">
        <f t="shared" si="22"/>
        <v>-14.302312921806678</v>
      </c>
      <c r="F168">
        <f t="shared" si="23"/>
        <v>-86.347735762552759</v>
      </c>
      <c r="G168" s="5">
        <f>B168-regressions!AA$7</f>
        <v>-48.570253328069477</v>
      </c>
      <c r="H168" s="5">
        <f>B168+regressions!AA$7</f>
        <v>-41.12767614713956</v>
      </c>
      <c r="I168">
        <f>IF($A168&lt;=regressions!$L$2,$A168*regressions!$L$1,regressions!$L$1*regressions!$L$2+regressions!$L$3*($A168-regressions!$L$2))</f>
        <v>-39.857854952964487</v>
      </c>
      <c r="J168">
        <f>regressions!J$1*A168+regressions!J$2*A168^2</f>
        <v>-23.757811738255302</v>
      </c>
      <c r="K168">
        <f>regressions!$V$1*A168</f>
        <v>-11.524307656448112</v>
      </c>
      <c r="L168">
        <f>regressions!$N$1*A168^2</f>
        <v>-36.634982525335282</v>
      </c>
      <c r="M168">
        <f>regressions!$R$1*A168^2+regressions!$R$2*A168^6</f>
        <v>62.397802363402214</v>
      </c>
      <c r="N168">
        <f>regressions!$P$1*A168^2+regressions!$P$2*A168^7</f>
        <v>94.198958705636784</v>
      </c>
      <c r="O168">
        <f>regressions!T$2+regressions!T$1*EXP(A168)</f>
        <v>-15494.591682306856</v>
      </c>
      <c r="P168" s="20">
        <f>(1-EXP(-2*regressions!X$1*graph!A168))/2/EXP(-regressions!X$1*A168)</f>
        <v>-182.82490619583987</v>
      </c>
      <c r="Q168" s="5"/>
      <c r="AT168" s="33"/>
      <c r="AW168" s="33"/>
      <c r="AZ168" s="33"/>
    </row>
    <row r="169" spans="1:52" x14ac:dyDescent="0.35">
      <c r="A169">
        <f t="shared" si="9"/>
        <v>14.599999999999964</v>
      </c>
      <c r="B169">
        <f t="shared" si="21"/>
        <v>-47.015701760764884</v>
      </c>
      <c r="C169">
        <f>regressions!$AR$1*$A169</f>
        <v>15.378659190022361</v>
      </c>
      <c r="D169">
        <f>regressions!$AO$1*$A169</f>
        <v>20.892484722904982</v>
      </c>
      <c r="E169">
        <f t="shared" si="22"/>
        <v>-16.258383380720161</v>
      </c>
      <c r="F169">
        <f t="shared" si="23"/>
        <v>-88.800671206574847</v>
      </c>
      <c r="G169" s="5">
        <f>B169-regressions!AA$7</f>
        <v>-50.736990351229842</v>
      </c>
      <c r="H169" s="5">
        <f>B169+regressions!AA$7</f>
        <v>-43.294413170299926</v>
      </c>
      <c r="I169">
        <f>IF($A169&lt;=regressions!$L$2,$A169*regressions!$L$1,regressions!$L$1*regressions!$L$2+regressions!$L$3*($A169-regressions!$L$2))</f>
        <v>-41.640595369791981</v>
      </c>
      <c r="J169">
        <f>regressions!J$1*A169+regressions!J$2*A169^2</f>
        <v>-24.0409893711801</v>
      </c>
      <c r="K169">
        <f>regressions!$V$1*A169</f>
        <v>-11.603785640285686</v>
      </c>
      <c r="L169">
        <f>regressions!$N$1*A169^2</f>
        <v>-37.142035077766792</v>
      </c>
      <c r="M169">
        <f>regressions!$R$1*A169^2+regressions!$R$2*A169^6</f>
        <v>66.152289501414515</v>
      </c>
      <c r="N169">
        <f>regressions!$P$1*A169^2+regressions!$P$2*A169^7</f>
        <v>100.20996574931286</v>
      </c>
      <c r="O169">
        <f>regressions!T$2+regressions!T$1*EXP(A169)</f>
        <v>-17124.172936617852</v>
      </c>
      <c r="P169" s="20">
        <f>(1-EXP(-2*regressions!X$1*graph!A169))/2/EXP(-regressions!X$1*A169)</f>
        <v>-190.41973148020804</v>
      </c>
      <c r="Q169" s="5"/>
      <c r="AT169" s="33"/>
      <c r="AW169" s="33"/>
      <c r="AZ169" s="33"/>
    </row>
    <row r="170" spans="1:52" x14ac:dyDescent="0.35">
      <c r="A170">
        <f t="shared" si="9"/>
        <v>14.699999999999964</v>
      </c>
      <c r="B170">
        <f t="shared" si="21"/>
        <v>-49.360265254256063</v>
      </c>
      <c r="C170">
        <f>regressions!$AR$1*$A170</f>
        <v>15.483992472145802</v>
      </c>
      <c r="D170">
        <f>regressions!$AO$1*$A170</f>
        <v>21.035583933335836</v>
      </c>
      <c r="E170">
        <f t="shared" si="22"/>
        <v>-18.392280309964459</v>
      </c>
      <c r="F170">
        <f t="shared" si="23"/>
        <v>-91.431433120927736</v>
      </c>
      <c r="G170" s="5">
        <f>B170-regressions!AA$7</f>
        <v>-53.081553844721022</v>
      </c>
      <c r="H170" s="5">
        <f>B170+regressions!AA$7</f>
        <v>-45.638976663791105</v>
      </c>
      <c r="I170">
        <f>IF($A170&lt;=regressions!$L$2,$A170*regressions!$L$1,regressions!$L$1*regressions!$L$2+regressions!$L$3*($A170-regressions!$L$2))</f>
        <v>-43.423335786619475</v>
      </c>
      <c r="J170">
        <f>regressions!J$1*A170+regressions!J$2*A170^2</f>
        <v>-24.325801670617491</v>
      </c>
      <c r="K170">
        <f>regressions!$V$1*A170</f>
        <v>-11.683263624123258</v>
      </c>
      <c r="L170">
        <f>regressions!$N$1*A170^2</f>
        <v>-37.652572527465878</v>
      </c>
      <c r="M170">
        <f>regressions!$R$1*A170^2+regressions!$R$2*A170^6</f>
        <v>70.053025533154766</v>
      </c>
      <c r="N170">
        <f>regressions!$P$1*A170^2+regressions!$P$2*A170^7</f>
        <v>106.49188461274323</v>
      </c>
      <c r="O170">
        <f>regressions!T$2+regressions!T$1*EXP(A170)</f>
        <v>-18925.138747523601</v>
      </c>
      <c r="P170" s="20">
        <f>(1-EXP(-2*regressions!X$1*graph!A170))/2/EXP(-regressions!X$1*A170)</f>
        <v>-198.33004831762705</v>
      </c>
      <c r="Q170" s="5"/>
      <c r="AT170" s="33"/>
      <c r="AW170" s="33"/>
      <c r="AZ170" s="33"/>
    </row>
    <row r="171" spans="1:52" x14ac:dyDescent="0.35">
      <c r="A171">
        <f t="shared" si="9"/>
        <v>14.799999999999963</v>
      </c>
      <c r="B171">
        <f t="shared" si="21"/>
        <v>-51.901317519781145</v>
      </c>
      <c r="C171">
        <f>regressions!$AR$1*$A171</f>
        <v>15.589325754269241</v>
      </c>
      <c r="D171">
        <f>regressions!$AO$1*$A171</f>
        <v>21.178683143766694</v>
      </c>
      <c r="E171">
        <f t="shared" si="22"/>
        <v>-20.722666011242662</v>
      </c>
      <c r="F171">
        <f t="shared" si="23"/>
        <v>-94.258683807314526</v>
      </c>
      <c r="G171" s="5">
        <f>B171-regressions!AA$7</f>
        <v>-55.622606110246103</v>
      </c>
      <c r="H171" s="5">
        <f>B171+regressions!AA$7</f>
        <v>-48.180028929316187</v>
      </c>
      <c r="I171">
        <f>IF($A171&lt;=regressions!$L$2,$A171*regressions!$L$1,regressions!$L$1*regressions!$L$2+regressions!$L$3*($A171-regressions!$L$2))</f>
        <v>-45.206076203446969</v>
      </c>
      <c r="J171">
        <f>regressions!J$1*A171+regressions!J$2*A171^2</f>
        <v>-24.612248636567482</v>
      </c>
      <c r="K171">
        <f>regressions!$V$1*A171</f>
        <v>-11.762741607960832</v>
      </c>
      <c r="L171">
        <f>regressions!$N$1*A171^2</f>
        <v>-38.166594874432533</v>
      </c>
      <c r="M171">
        <f>regressions!$R$1*A171^2+regressions!$R$2*A171^6</f>
        <v>74.104163598377085</v>
      </c>
      <c r="N171">
        <f>regressions!$P$1*A171^2+regressions!$P$2*A171^7</f>
        <v>113.05424825405723</v>
      </c>
      <c r="O171">
        <f>regressions!T$2+regressions!T$1*EXP(A171)</f>
        <v>-20915.513786185158</v>
      </c>
      <c r="P171" s="20">
        <f>(1-EXP(-2*regressions!X$1*graph!A171))/2/EXP(-regressions!X$1*A171)</f>
        <v>-206.56896269309479</v>
      </c>
      <c r="Q171" s="5"/>
      <c r="AT171" s="33"/>
      <c r="AW171" s="33"/>
      <c r="AZ171" s="33"/>
    </row>
    <row r="172" spans="1:52" x14ac:dyDescent="0.35">
      <c r="A172">
        <f t="shared" si="9"/>
        <v>14.899999999999963</v>
      </c>
      <c r="B172">
        <f t="shared" si="21"/>
        <v>-54.659466013093294</v>
      </c>
      <c r="C172">
        <f>regressions!$AR$1*$A172</f>
        <v>15.694659036392682</v>
      </c>
      <c r="D172">
        <f>regressions!$AO$1*$A172</f>
        <v>21.321782354197548</v>
      </c>
      <c r="E172">
        <f t="shared" si="22"/>
        <v>-23.270147940307929</v>
      </c>
      <c r="F172">
        <f t="shared" si="23"/>
        <v>-97.303030721488398</v>
      </c>
      <c r="G172" s="5">
        <f>B172-regressions!AA$7</f>
        <v>-58.380754603558252</v>
      </c>
      <c r="H172" s="5">
        <f>B172+regressions!AA$7</f>
        <v>-50.938177422628335</v>
      </c>
      <c r="I172">
        <f>IF($A172&lt;=regressions!$L$2,$A172*regressions!$L$1,regressions!$L$1*regressions!$L$2+regressions!$L$3*($A172-regressions!$L$2))</f>
        <v>-46.988816620274463</v>
      </c>
      <c r="J172">
        <f>regressions!J$1*A172+regressions!J$2*A172^2</f>
        <v>-24.900330269030071</v>
      </c>
      <c r="K172">
        <f>regressions!$V$1*A172</f>
        <v>-11.842219591798404</v>
      </c>
      <c r="L172">
        <f>regressions!$N$1*A172^2</f>
        <v>-38.684102118666758</v>
      </c>
      <c r="M172">
        <f>regressions!$R$1*A172^2+regressions!$R$2*A172^6</f>
        <v>78.30994246391262</v>
      </c>
      <c r="N172">
        <f>regressions!$P$1*A172^2+regressions!$P$2*A172^7</f>
        <v>119.90685258486721</v>
      </c>
      <c r="O172">
        <f>regressions!T$2+regressions!T$1*EXP(A172)</f>
        <v>-23115.218394977604</v>
      </c>
      <c r="P172" s="20">
        <f>(1-EXP(-2*regressions!X$1*graph!A172))/2/EXP(-regressions!X$1*A172)</f>
        <v>-215.15012501915851</v>
      </c>
      <c r="Q172" s="5"/>
      <c r="AT172" s="33"/>
      <c r="AW172" s="33"/>
      <c r="AZ172" s="33"/>
    </row>
    <row r="173" spans="1:52" x14ac:dyDescent="0.35">
      <c r="A173">
        <f t="shared" si="9"/>
        <v>14.999999999999963</v>
      </c>
      <c r="B173">
        <f t="shared" si="21"/>
        <v>-57.657465410020123</v>
      </c>
      <c r="C173">
        <f>regressions!$AR$1*$A173</f>
        <v>15.799992318516123</v>
      </c>
      <c r="D173">
        <f>regressions!$AO$1*$A173</f>
        <v>21.464881564628403</v>
      </c>
      <c r="E173">
        <f t="shared" si="22"/>
        <v>-26.057480772987876</v>
      </c>
      <c r="F173">
        <f t="shared" si="23"/>
        <v>-100.58722853927694</v>
      </c>
      <c r="G173" s="5">
        <f>B173-regressions!AA$7</f>
        <v>-61.378754000485081</v>
      </c>
      <c r="H173" s="5">
        <f>B173+regressions!AA$7</f>
        <v>-53.936176819555165</v>
      </c>
      <c r="I173">
        <f>IF($A173&lt;=regressions!$L$2,$A173*regressions!$L$1,regressions!$L$1*regressions!$L$2+regressions!$L$3*($A173-regressions!$L$2))</f>
        <v>-48.771557037101957</v>
      </c>
      <c r="J173">
        <f>regressions!J$1*A173+regressions!J$2*A173^2</f>
        <v>-25.190046568005258</v>
      </c>
      <c r="K173">
        <f>regressions!$V$1*A173</f>
        <v>-11.921697575635978</v>
      </c>
      <c r="L173">
        <f>regressions!$N$1*A173^2</f>
        <v>-39.205094260168551</v>
      </c>
      <c r="M173">
        <f>regressions!$R$1*A173^2+regressions!$R$2*A173^6</f>
        <v>82.674687692608018</v>
      </c>
      <c r="N173">
        <f>regressions!$P$1*A173^2+regressions!$P$2*A173^7</f>
        <v>127.05976187308764</v>
      </c>
      <c r="O173">
        <f>regressions!T$2+regressions!T$1*EXP(A173)</f>
        <v>-25546.267956971984</v>
      </c>
      <c r="P173" s="20">
        <f>(1-EXP(-2*regressions!X$1*graph!A173))/2/EXP(-regressions!X$1*A173)</f>
        <v>-224.0877527522137</v>
      </c>
      <c r="Q173" s="5"/>
      <c r="AT173" s="33"/>
      <c r="AW173" s="33"/>
      <c r="AZ173" s="33"/>
    </row>
    <row r="174" spans="1:52" x14ac:dyDescent="0.35">
      <c r="A174">
        <f t="shared" si="9"/>
        <v>15.099999999999962</v>
      </c>
      <c r="B174">
        <f t="shared" si="21"/>
        <v>-60.920440745142841</v>
      </c>
      <c r="C174">
        <f>regressions!$AR$1*$A174</f>
        <v>15.905325600639564</v>
      </c>
      <c r="D174">
        <f>regressions!$AO$1*$A174</f>
        <v>21.607980775059261</v>
      </c>
      <c r="E174">
        <f t="shared" si="22"/>
        <v>-29.109789543863712</v>
      </c>
      <c r="F174">
        <f t="shared" si="23"/>
        <v>-104.13640229526136</v>
      </c>
      <c r="G174" s="5">
        <f>B174-regressions!AA$7</f>
        <v>-64.641729335607792</v>
      </c>
      <c r="H174" s="5">
        <f>B174+regressions!AA$7</f>
        <v>-57.199152154677883</v>
      </c>
      <c r="I174">
        <f>IF($A174&lt;=regressions!$L$2,$A174*regressions!$L$1,regressions!$L$1*regressions!$L$2+regressions!$L$3*($A174-regressions!$L$2))</f>
        <v>-50.554297453929458</v>
      </c>
      <c r="J174">
        <f>regressions!J$1*A174+regressions!J$2*A174^2</f>
        <v>-25.481397533493041</v>
      </c>
      <c r="K174">
        <f>regressions!$V$1*A174</f>
        <v>-12.001175559473552</v>
      </c>
      <c r="L174">
        <f>regressions!$N$1*A174^2</f>
        <v>-39.729571298937913</v>
      </c>
      <c r="M174">
        <f>regressions!$R$1*A174^2+regressions!$R$2*A174^6</f>
        <v>87.202812820189592</v>
      </c>
      <c r="N174">
        <f>regressions!$P$1*A174^2+regressions!$P$2*A174^7</f>
        <v>134.5233142192601</v>
      </c>
      <c r="O174">
        <f>regressions!T$2+regressions!T$1*EXP(A174)</f>
        <v>-28232.993233288715</v>
      </c>
      <c r="P174" s="20">
        <f>(1-EXP(-2*regressions!X$1*graph!A174))/2/EXP(-regressions!X$1*A174)</f>
        <v>-233.3966539482966</v>
      </c>
      <c r="Q174" s="5"/>
      <c r="AT174" s="33"/>
      <c r="AW174" s="33"/>
      <c r="AZ174" s="33"/>
    </row>
    <row r="175" spans="1:52" x14ac:dyDescent="0.35">
      <c r="A175">
        <f t="shared" si="9"/>
        <v>15.199999999999962</v>
      </c>
      <c r="B175">
        <f t="shared" si="21"/>
        <v>-64.47613382992175</v>
      </c>
      <c r="C175">
        <f>regressions!$AR$1*$A175</f>
        <v>16.010658882763003</v>
      </c>
      <c r="D175">
        <f>regressions!$AO$1*$A175</f>
        <v>21.751079985490115</v>
      </c>
      <c r="E175">
        <f t="shared" si="22"/>
        <v>-32.454816064395743</v>
      </c>
      <c r="F175">
        <f t="shared" si="23"/>
        <v>-107.97829380090198</v>
      </c>
      <c r="G175" s="5">
        <f>B175-regressions!AA$7</f>
        <v>-68.197422420386701</v>
      </c>
      <c r="H175" s="5">
        <f>B175+regressions!AA$7</f>
        <v>-60.754845239456792</v>
      </c>
      <c r="I175">
        <f>IF($A175&lt;=regressions!$L$2,$A175*regressions!$L$1,regressions!$L$1*regressions!$L$2+regressions!$L$3*($A175-regressions!$L$2))</f>
        <v>-52.337037870756951</v>
      </c>
      <c r="J175">
        <f>regressions!J$1*A175+regressions!J$2*A175^2</f>
        <v>-25.774383165493418</v>
      </c>
      <c r="K175">
        <f>regressions!$V$1*A175</f>
        <v>-12.080653543311124</v>
      </c>
      <c r="L175">
        <f>regressions!$N$1*A175^2</f>
        <v>-40.257533234974858</v>
      </c>
      <c r="M175">
        <f>regressions!$R$1*A175^2+regressions!$R$2*A175^6</f>
        <v>91.898820540051958</v>
      </c>
      <c r="N175">
        <f>regressions!$P$1*A175^2+regressions!$P$2*A175^7</f>
        <v>142.30812710688016</v>
      </c>
      <c r="O175">
        <f>regressions!T$2+regressions!T$1*EXP(A175)</f>
        <v>-31202.28387353272</v>
      </c>
      <c r="P175" s="20">
        <f>(1-EXP(-2*regressions!X$1*graph!A175))/2/EXP(-regressions!X$1*A175)</f>
        <v>-243.09225179739195</v>
      </c>
      <c r="Q175" s="5"/>
      <c r="AT175" s="33"/>
      <c r="AW175" s="33"/>
      <c r="AZ175" s="33"/>
    </row>
    <row r="176" spans="1:52" x14ac:dyDescent="0.35">
      <c r="A176">
        <f t="shared" si="9"/>
        <v>15.299999999999962</v>
      </c>
      <c r="B176">
        <f t="shared" si="21"/>
        <v>-68.355175388727531</v>
      </c>
      <c r="C176">
        <f>regressions!$AR$1*$A176</f>
        <v>16.115992164886446</v>
      </c>
      <c r="D176">
        <f>regressions!$AO$1*$A176</f>
        <v>21.894179195920973</v>
      </c>
      <c r="E176">
        <f t="shared" si="22"/>
        <v>-36.123191058954639</v>
      </c>
      <c r="F176">
        <f t="shared" si="23"/>
        <v>-112.14353378056947</v>
      </c>
      <c r="G176" s="5">
        <f>B176-regressions!AA$7</f>
        <v>-72.076463979192482</v>
      </c>
      <c r="H176" s="5">
        <f>B176+regressions!AA$7</f>
        <v>-64.63388679826258</v>
      </c>
      <c r="I176">
        <f>IF($A176&lt;=regressions!$L$2,$A176*regressions!$L$1,regressions!$L$1*regressions!$L$2+regressions!$L$3*($A176-regressions!$L$2))</f>
        <v>-54.119778287584445</v>
      </c>
      <c r="J176">
        <f>regressions!J$1*A176+regressions!J$2*A176^2</f>
        <v>-26.069003464006396</v>
      </c>
      <c r="K176">
        <f>regressions!$V$1*A176</f>
        <v>-12.160131527148698</v>
      </c>
      <c r="L176">
        <f>regressions!$N$1*A176^2</f>
        <v>-40.788980068279365</v>
      </c>
      <c r="M176">
        <f>regressions!$R$1*A176^2+regressions!$R$2*A176^6</f>
        <v>96.767303895971651</v>
      </c>
      <c r="N176">
        <f>regressions!$P$1*A176^2+regressions!$P$2*A176^7</f>
        <v>150.4251030272228</v>
      </c>
      <c r="O176">
        <f>regressions!T$2+regressions!T$1*EXP(A176)</f>
        <v>-34483.857536444615</v>
      </c>
      <c r="P176" s="20">
        <f>(1-EXP(-2*regressions!X$1*graph!A176))/2/EXP(-regressions!X$1*A176)</f>
        <v>-253.19061017691138</v>
      </c>
      <c r="Q176" s="5"/>
      <c r="AT176" s="33"/>
      <c r="AW176" s="33"/>
      <c r="AZ176" s="33"/>
    </row>
    <row r="177" spans="1:52" x14ac:dyDescent="0.35">
      <c r="A177">
        <f t="shared" si="9"/>
        <v>15.399999999999961</v>
      </c>
      <c r="B177">
        <f t="shared" si="21"/>
        <v>-72.591385607246963</v>
      </c>
      <c r="C177">
        <f>regressions!$AR$1*$A177</f>
        <v>16.221325447009885</v>
      </c>
      <c r="D177">
        <f>regressions!$AO$1*$A177</f>
        <v>22.037278406351827</v>
      </c>
      <c r="E177">
        <f t="shared" si="22"/>
        <v>-40.148734713227192</v>
      </c>
      <c r="F177">
        <f t="shared" si="23"/>
        <v>-116.66594241995062</v>
      </c>
      <c r="G177" s="5">
        <f>B177-regressions!AA$7</f>
        <v>-76.312674197711914</v>
      </c>
      <c r="H177" s="5">
        <f>B177+regressions!AA$7</f>
        <v>-68.870097016782012</v>
      </c>
      <c r="I177">
        <f>IF($A177&lt;=regressions!$L$2,$A177*regressions!$L$1,regressions!$L$1*regressions!$L$2+regressions!$L$3*($A177-regressions!$L$2))</f>
        <v>-55.902518704411939</v>
      </c>
      <c r="J177">
        <f>regressions!J$1*A177+regressions!J$2*A177^2</f>
        <v>-26.365258429031968</v>
      </c>
      <c r="K177">
        <f>regressions!$V$1*A177</f>
        <v>-12.23960951098627</v>
      </c>
      <c r="L177">
        <f>regressions!$N$1*A177^2</f>
        <v>-41.323911798851434</v>
      </c>
      <c r="M177">
        <f>regressions!$R$1*A177^2+regressions!$R$2*A177^6</f>
        <v>101.81294748274624</v>
      </c>
      <c r="N177">
        <f>regressions!$P$1*A177^2+regressions!$P$2*A177^7</f>
        <v>158.88543517916375</v>
      </c>
      <c r="O177">
        <f>regressions!T$2+regressions!T$1*EXP(A177)</f>
        <v>-38110.557314217818</v>
      </c>
      <c r="P177" s="20">
        <f>(1-EXP(-2*regressions!X$1*graph!A177))/2/EXP(-regressions!X$1*A177)</f>
        <v>-263.70846026667317</v>
      </c>
      <c r="Q177" s="5"/>
      <c r="AT177" s="33"/>
      <c r="AW177" s="33"/>
      <c r="AZ177" s="33"/>
    </row>
    <row r="178" spans="1:52" x14ac:dyDescent="0.35">
      <c r="A178">
        <f t="shared" si="9"/>
        <v>15.499999999999961</v>
      </c>
      <c r="B178">
        <f t="shared" si="21"/>
        <v>-77.222106070653027</v>
      </c>
      <c r="C178">
        <f>regressions!$AR$1*$A178</f>
        <v>16.326658729133328</v>
      </c>
      <c r="D178">
        <f>regressions!$AO$1*$A178</f>
        <v>22.180377616782682</v>
      </c>
      <c r="E178">
        <f t="shared" si="22"/>
        <v>-44.568788612386371</v>
      </c>
      <c r="F178">
        <f t="shared" si="23"/>
        <v>-121.5828613042184</v>
      </c>
      <c r="G178" s="5">
        <f>B178-regressions!AA$7</f>
        <v>-80.943394661117978</v>
      </c>
      <c r="H178" s="5">
        <f>B178+regressions!AA$7</f>
        <v>-73.500817480188076</v>
      </c>
      <c r="I178">
        <f>IF($A178&lt;=regressions!$L$2,$A178*regressions!$L$1,regressions!$L$1*regressions!$L$2+regressions!$L$3*($A178-regressions!$L$2))</f>
        <v>-57.685259121239433</v>
      </c>
      <c r="J178">
        <f>regressions!J$1*A178+regressions!J$2*A178^2</f>
        <v>-26.663148060570141</v>
      </c>
      <c r="K178">
        <f>regressions!$V$1*A178</f>
        <v>-12.319087494823844</v>
      </c>
      <c r="L178">
        <f>regressions!$N$1*A178^2</f>
        <v>-41.862328426691086</v>
      </c>
      <c r="M178">
        <f>regressions!$R$1*A178^2+regressions!$R$2*A178^6</f>
        <v>107.04052865475799</v>
      </c>
      <c r="N178">
        <f>regressions!$P$1*A178^2+regressions!$P$2*A178^7</f>
        <v>167.70061324449307</v>
      </c>
      <c r="O178">
        <f>regressions!T$2+regressions!T$1*EXP(A178)</f>
        <v>-42118.680437204173</v>
      </c>
      <c r="P178" s="20">
        <f>(1-EXP(-2*regressions!X$1*graph!A178))/2/EXP(-regressions!X$1*A178)</f>
        <v>-274.66322826948641</v>
      </c>
      <c r="Q178" s="5"/>
      <c r="AT178" s="33"/>
      <c r="AW178" s="33"/>
      <c r="AZ178" s="33"/>
    </row>
    <row r="179" spans="1:52" x14ac:dyDescent="0.35">
      <c r="A179">
        <f t="shared" si="9"/>
        <v>15.599999999999961</v>
      </c>
      <c r="B179">
        <f t="shared" si="21"/>
        <v>-82.28856638158075</v>
      </c>
      <c r="C179">
        <f>regressions!$AR$1*$A179</f>
        <v>16.431992011256767</v>
      </c>
      <c r="D179">
        <f>regressions!$AO$1*$A179</f>
        <v>22.32347682721354</v>
      </c>
      <c r="E179">
        <f t="shared" si="22"/>
        <v>-49.424582359067216</v>
      </c>
      <c r="F179">
        <f t="shared" si="23"/>
        <v>-126.93552003600783</v>
      </c>
      <c r="G179" s="5">
        <f>B179-regressions!AA$7</f>
        <v>-86.009854972045702</v>
      </c>
      <c r="H179" s="5">
        <f>B179+regressions!AA$7</f>
        <v>-78.567277791115799</v>
      </c>
      <c r="I179">
        <f>IF($A179&lt;=regressions!$L$2,$A179*regressions!$L$1,regressions!$L$1*regressions!$L$2+regressions!$L$3*($A179-regressions!$L$2))</f>
        <v>-59.467999538066927</v>
      </c>
      <c r="J179">
        <f>regressions!J$1*A179+regressions!J$2*A179^2</f>
        <v>-26.96267235862091</v>
      </c>
      <c r="K179">
        <f>regressions!$V$1*A179</f>
        <v>-12.398565478661416</v>
      </c>
      <c r="L179">
        <f>regressions!$N$1*A179^2</f>
        <v>-42.4042299517983</v>
      </c>
      <c r="M179">
        <f>regressions!$R$1*A179^2+regressions!$R$2*A179^6</f>
        <v>112.45491874246278</v>
      </c>
      <c r="N179">
        <f>regressions!$P$1*A179^2+regressions!$P$2*A179^7</f>
        <v>176.88242923921675</v>
      </c>
      <c r="O179">
        <f>regressions!T$2+regressions!T$1*EXP(A179)</f>
        <v>-46548.34154879523</v>
      </c>
      <c r="P179" s="20">
        <f>(1-EXP(-2*regressions!X$1*graph!A179))/2/EXP(-regressions!X$1*A179)</f>
        <v>-286.0730642832616</v>
      </c>
      <c r="Q179" s="5"/>
      <c r="AT179" s="33"/>
      <c r="AW179" s="33"/>
      <c r="AZ179" s="33"/>
    </row>
    <row r="180" spans="1:52" x14ac:dyDescent="0.35">
      <c r="A180">
        <f t="shared" si="9"/>
        <v>15.69999999999996</v>
      </c>
      <c r="B180">
        <f t="shared" si="21"/>
        <v>-87.836289093467371</v>
      </c>
      <c r="C180">
        <f>regressions!$AR$1*$A180</f>
        <v>16.53732529338021</v>
      </c>
      <c r="D180">
        <f>regressions!$AO$1*$A180</f>
        <v>22.466576037644394</v>
      </c>
      <c r="E180">
        <f t="shared" si="22"/>
        <v>-54.761638506706952</v>
      </c>
      <c r="F180">
        <f t="shared" si="23"/>
        <v>-132.76944116875615</v>
      </c>
      <c r="G180" s="5">
        <f>B180-regressions!AA$7</f>
        <v>-91.557577683932323</v>
      </c>
      <c r="H180" s="5">
        <f>B180+regressions!AA$7</f>
        <v>-84.11500050300242</v>
      </c>
      <c r="I180">
        <f>IF($A180&lt;=regressions!$L$2,$A180*regressions!$L$1,regressions!$L$1*regressions!$L$2+regressions!$L$3*($A180-regressions!$L$2))</f>
        <v>-61.250739954894421</v>
      </c>
      <c r="J180">
        <f>regressions!J$1*A180+regressions!J$2*A180^2</f>
        <v>-27.263831323184274</v>
      </c>
      <c r="K180">
        <f>regressions!$V$1*A180</f>
        <v>-12.47804346249899</v>
      </c>
      <c r="L180">
        <f>regressions!$N$1*A180^2</f>
        <v>-42.94961637417309</v>
      </c>
      <c r="M180">
        <f>regressions!$R$1*A180^2+regressions!$R$2*A180^6</f>
        <v>118.0610842768038</v>
      </c>
      <c r="N180">
        <f>regressions!$P$1*A180^2+regressions!$P$2*A180^7</f>
        <v>186.44298344134467</v>
      </c>
      <c r="O180">
        <f>regressions!T$2+regressions!T$1*EXP(A180)</f>
        <v>-51443.874186256326</v>
      </c>
      <c r="P180" s="20">
        <f>(1-EXP(-2*regressions!X$1*graph!A180))/2/EXP(-regressions!X$1*A180)</f>
        <v>-297.95687237248904</v>
      </c>
      <c r="Q180" s="5"/>
      <c r="AT180" s="33"/>
      <c r="AW180" s="33"/>
      <c r="AZ180" s="33"/>
    </row>
    <row r="181" spans="1:52" x14ac:dyDescent="0.35">
      <c r="A181">
        <f t="shared" si="9"/>
        <v>15.79999999999996</v>
      </c>
      <c r="B181">
        <f t="shared" si="21"/>
        <v>-93.915536976646507</v>
      </c>
      <c r="C181">
        <f>regressions!$AR$1*$A181</f>
        <v>16.642658575503649</v>
      </c>
      <c r="D181">
        <f>regressions!$AO$1*$A181</f>
        <v>22.609675248075252</v>
      </c>
      <c r="E181">
        <f t="shared" si="22"/>
        <v>-60.630219825639209</v>
      </c>
      <c r="F181">
        <f t="shared" si="23"/>
        <v>-139.134887472797</v>
      </c>
      <c r="G181" s="5">
        <f>B181-regressions!AA$7</f>
        <v>-97.636825567111458</v>
      </c>
      <c r="H181" s="5">
        <f>B181+regressions!AA$7</f>
        <v>-90.194248386181556</v>
      </c>
      <c r="I181">
        <f>IF($A181&lt;=regressions!$L$2,$A181*regressions!$L$1,regressions!$L$1*regressions!$L$2+regressions!$L$3*($A181-regressions!$L$2))</f>
        <v>-63.033480371721922</v>
      </c>
      <c r="J181">
        <f>regressions!J$1*A181+regressions!J$2*A181^2</f>
        <v>-27.566624954260238</v>
      </c>
      <c r="K181">
        <f>regressions!$V$1*A181</f>
        <v>-12.557521446336564</v>
      </c>
      <c r="L181">
        <f>regressions!$N$1*A181^2</f>
        <v>-43.498487693815449</v>
      </c>
      <c r="M181">
        <f>regressions!$R$1*A181^2+regressions!$R$2*A181^6</f>
        <v>123.86408822155045</v>
      </c>
      <c r="N181">
        <f>regressions!$P$1*A181^2+regressions!$P$2*A181^7</f>
        <v>196.39469039565975</v>
      </c>
      <c r="O181">
        <f>regressions!T$2+regressions!T$1*EXP(A181)</f>
        <v>-56854.274485668488</v>
      </c>
      <c r="P181" s="20">
        <f>(1-EXP(-2*regressions!X$1*graph!A181))/2/EXP(-regressions!X$1*A181)</f>
        <v>-310.33434188890226</v>
      </c>
      <c r="Q181" s="5"/>
      <c r="AT181" s="33"/>
      <c r="AW181" s="33"/>
      <c r="AZ181" s="33"/>
    </row>
    <row r="182" spans="1:52" x14ac:dyDescent="0.35">
      <c r="A182">
        <f t="shared" si="9"/>
        <v>15.899999999999959</v>
      </c>
      <c r="B182">
        <f t="shared" si="21"/>
        <v>-100.58180705655695</v>
      </c>
      <c r="C182">
        <f>regressions!$AR$1*$A182</f>
        <v>16.747991857627088</v>
      </c>
      <c r="D182">
        <f>regressions!$AO$1*$A182</f>
        <v>22.752774458506106</v>
      </c>
      <c r="E182">
        <f t="shared" si="22"/>
        <v>-67.085823341302785</v>
      </c>
      <c r="F182">
        <f t="shared" si="23"/>
        <v>-146.08735597356917</v>
      </c>
      <c r="G182" s="5">
        <f>B182-regressions!AA$7</f>
        <v>-104.30309564702191</v>
      </c>
      <c r="H182" s="5">
        <f>B182+regressions!AA$7</f>
        <v>-96.860518466092003</v>
      </c>
      <c r="I182">
        <f>IF($A182&lt;=regressions!$L$2,$A182*regressions!$L$1,regressions!$L$1*regressions!$L$2+regressions!$L$3*($A182-regressions!$L$2))</f>
        <v>-64.816220788549415</v>
      </c>
      <c r="J182">
        <f>regressions!J$1*A182+regressions!J$2*A182^2</f>
        <v>-27.871053251848792</v>
      </c>
      <c r="K182">
        <f>regressions!$V$1*A182</f>
        <v>-12.636999430174136</v>
      </c>
      <c r="L182">
        <f>regressions!$N$1*A182^2</f>
        <v>-44.050843910725384</v>
      </c>
      <c r="M182">
        <f>regressions!$R$1*A182^2+regressions!$R$2*A182^6</f>
        <v>129.86909121356229</v>
      </c>
      <c r="N182">
        <f>regressions!$P$1*A182^2+regressions!$P$2*A182^7</f>
        <v>206.75028499596706</v>
      </c>
      <c r="O182">
        <f>regressions!T$2+regressions!T$1*EXP(A182)</f>
        <v>-62833.691551726588</v>
      </c>
      <c r="P182" s="20">
        <f>(1-EXP(-2*regressions!X$1*graph!A182))/2/EXP(-regressions!X$1*A182)</f>
        <v>-323.22598009322638</v>
      </c>
      <c r="Q182" s="5"/>
      <c r="AT182" s="33"/>
      <c r="AW182" s="33"/>
      <c r="AZ182" s="33"/>
    </row>
    <row r="183" spans="1:52" x14ac:dyDescent="0.35">
      <c r="A183">
        <f t="shared" si="9"/>
        <v>15.999999999999959</v>
      </c>
      <c r="B183">
        <f t="shared" si="21"/>
        <v>-107.89637632974799</v>
      </c>
      <c r="C183">
        <f>regressions!$AR$1*$A183</f>
        <v>16.853325139750531</v>
      </c>
      <c r="D183">
        <f>regressions!$AO$1*$A183</f>
        <v>22.895873668936964</v>
      </c>
      <c r="E183">
        <f t="shared" si="22"/>
        <v>-74.189726050246932</v>
      </c>
      <c r="F183">
        <f t="shared" si="23"/>
        <v>-153.68812366762194</v>
      </c>
      <c r="G183" s="5">
        <f>B183-regressions!AA$7</f>
        <v>-111.61766492021295</v>
      </c>
      <c r="H183" s="5">
        <f>B183+regressions!AA$7</f>
        <v>-104.17508773928304</v>
      </c>
      <c r="I183">
        <f>IF($A183&lt;=regressions!$L$2,$A183*regressions!$L$1,regressions!$L$1*regressions!$L$2+regressions!$L$3*($A183-regressions!$L$2))</f>
        <v>-66.598961205376909</v>
      </c>
      <c r="J183">
        <f>regressions!J$1*A183+regressions!J$2*A183^2</f>
        <v>-28.177116215949951</v>
      </c>
      <c r="K183">
        <f>regressions!$V$1*A183</f>
        <v>-12.71647741401171</v>
      </c>
      <c r="L183">
        <f>regressions!$N$1*A183^2</f>
        <v>-44.60668502490288</v>
      </c>
      <c r="M183">
        <f>regressions!$R$1*A183^2+regressions!$R$2*A183^6</f>
        <v>136.08135281097776</v>
      </c>
      <c r="N183">
        <f>regressions!$P$1*A183^2+regressions!$P$2*A183^7</f>
        <v>217.52282864531674</v>
      </c>
      <c r="O183">
        <f>regressions!T$2+regressions!T$1*EXP(A183)</f>
        <v>-69441.969400179209</v>
      </c>
      <c r="P183" s="20">
        <f>(1-EXP(-2*regressions!X$1*graph!A183))/2/EXP(-regressions!X$1*A183)</f>
        <v>-336.65314613205163</v>
      </c>
      <c r="Q183" s="5"/>
      <c r="AT183" s="33"/>
      <c r="AW183" s="33"/>
      <c r="AZ183" s="33"/>
    </row>
    <row r="184" spans="1:52" x14ac:dyDescent="0.35">
      <c r="A184">
        <f t="shared" si="9"/>
        <v>16.099999999999959</v>
      </c>
      <c r="B184">
        <f t="shared" si="21"/>
        <v>-115.92690457871058</v>
      </c>
      <c r="C184">
        <f>regressions!$AR$1*$A184</f>
        <v>16.95865842187397</v>
      </c>
      <c r="D184">
        <f>regressions!$AO$1*$A184</f>
        <v>23.038972879367819</v>
      </c>
      <c r="E184">
        <f t="shared" si="22"/>
        <v>-82.009587734962636</v>
      </c>
      <c r="F184">
        <f t="shared" si="23"/>
        <v>-162.00485033744621</v>
      </c>
      <c r="G184" s="5">
        <f>B184-regressions!AA$7</f>
        <v>-119.64819316917553</v>
      </c>
      <c r="H184" s="5">
        <f>B184+regressions!AA$7</f>
        <v>-112.20561598824563</v>
      </c>
      <c r="I184">
        <f>IF($A184&lt;=regressions!$L$2,$A184*regressions!$L$1,regressions!$L$1*regressions!$L$2+regressions!$L$3*($A184-regressions!$L$2))</f>
        <v>-68.381701622204403</v>
      </c>
      <c r="J184">
        <f>regressions!J$1*A184+regressions!J$2*A184^2</f>
        <v>-28.484813846563707</v>
      </c>
      <c r="K184">
        <f>regressions!$V$1*A184</f>
        <v>-12.795955397849282</v>
      </c>
      <c r="L184">
        <f>regressions!$N$1*A184^2</f>
        <v>-45.166011036347953</v>
      </c>
      <c r="M184">
        <f>regressions!$R$1*A184^2+regressions!$R$2*A184^6</f>
        <v>142.50623274932832</v>
      </c>
      <c r="N184">
        <f>regressions!$P$1*A184^2+regressions!$P$2*A184^7</f>
        <v>228.72571549470078</v>
      </c>
      <c r="O184">
        <f>regressions!T$2+regressions!T$1*EXP(A184)</f>
        <v>-76745.245896852561</v>
      </c>
      <c r="P184" s="20">
        <f>(1-EXP(-2*regressions!X$1*graph!A184))/2/EXP(-regressions!X$1*A184)</f>
        <v>-350.63808642613401</v>
      </c>
      <c r="Q184" s="5"/>
      <c r="AT184" s="33"/>
      <c r="AW184" s="33"/>
      <c r="AZ184" s="33"/>
    </row>
    <row r="185" spans="1:52" x14ac:dyDescent="0.35">
      <c r="A185">
        <f t="shared" si="9"/>
        <v>16.19999999999996</v>
      </c>
      <c r="B185">
        <f t="shared" si="21"/>
        <v>-124.74810027608032</v>
      </c>
      <c r="C185">
        <f>regressions!$AR$1*$A185</f>
        <v>17.063991703997413</v>
      </c>
      <c r="D185">
        <f>regressions!$AO$1*$A185</f>
        <v>23.182072089798677</v>
      </c>
      <c r="E185">
        <f t="shared" si="22"/>
        <v>-90.620116868085489</v>
      </c>
      <c r="F185">
        <f t="shared" si="23"/>
        <v>-171.11224445567768</v>
      </c>
      <c r="G185" s="5">
        <f>B185-regressions!AA$7</f>
        <v>-128.46938886654527</v>
      </c>
      <c r="H185" s="5">
        <f>B185+regressions!AA$7</f>
        <v>-121.02681168561537</v>
      </c>
      <c r="I185">
        <f>IF($A185&lt;=regressions!$L$2,$A185*regressions!$L$1,regressions!$L$1*regressions!$L$2+regressions!$L$3*($A185-regressions!$L$2))</f>
        <v>-70.16444203903194</v>
      </c>
      <c r="J185">
        <f>regressions!J$1*A185+regressions!J$2*A185^2</f>
        <v>-28.794146143690057</v>
      </c>
      <c r="K185">
        <f>regressions!$V$1*A185</f>
        <v>-12.875433381686857</v>
      </c>
      <c r="L185">
        <f>regressions!$N$1*A185^2</f>
        <v>-45.728821945060595</v>
      </c>
      <c r="M185">
        <f>regressions!$R$1*A185^2+regressions!$R$2*A185^6</f>
        <v>149.14919220557704</v>
      </c>
      <c r="N185">
        <f>regressions!$P$1*A185^2+regressions!$P$2*A185^7</f>
        <v>240.37267876071735</v>
      </c>
      <c r="O185">
        <f>regressions!T$2+regressions!T$1*EXP(A185)</f>
        <v>-84816.614687641486</v>
      </c>
      <c r="P185" s="20">
        <f>(1-EXP(-2*regressions!X$1*graph!A185))/2/EXP(-regressions!X$1*A185)</f>
        <v>-365.20397152874739</v>
      </c>
      <c r="Q185" s="5"/>
      <c r="AT185" s="33"/>
      <c r="AW185" s="33"/>
      <c r="AZ185" s="33"/>
    </row>
    <row r="186" spans="1:52" x14ac:dyDescent="0.35">
      <c r="A186">
        <f t="shared" si="9"/>
        <v>16.299999999999962</v>
      </c>
      <c r="B186">
        <f t="shared" si="21"/>
        <v>-134.4424561981491</v>
      </c>
      <c r="C186">
        <f>regressions!$AR$1*$A186</f>
        <v>17.169324986120856</v>
      </c>
      <c r="D186">
        <f>regressions!$AO$1*$A186</f>
        <v>23.325171300229535</v>
      </c>
      <c r="E186">
        <f t="shared" si="22"/>
        <v>-100.10380622590739</v>
      </c>
      <c r="F186">
        <f t="shared" si="23"/>
        <v>-181.09279879860816</v>
      </c>
      <c r="G186" s="5">
        <f>B186-regressions!AA$7</f>
        <v>-138.16374478861405</v>
      </c>
      <c r="H186" s="5">
        <f>B186+regressions!AA$7</f>
        <v>-130.72116760768415</v>
      </c>
      <c r="I186">
        <f>IF($A186&lt;=regressions!$L$2,$A186*regressions!$L$1,regressions!$L$1*regressions!$L$2+regressions!$L$3*($A186-regressions!$L$2))</f>
        <v>-71.947182455859462</v>
      </c>
      <c r="J186">
        <f>regressions!J$1*A186+regressions!J$2*A186^2</f>
        <v>-29.105113107329011</v>
      </c>
      <c r="K186">
        <f>regressions!$V$1*A186</f>
        <v>-12.954911365524431</v>
      </c>
      <c r="L186">
        <f>regressions!$N$1*A186^2</f>
        <v>-46.29511775104082</v>
      </c>
      <c r="M186">
        <f>regressions!$R$1*A186^2+regressions!$R$2*A186^6</f>
        <v>156.0157950700825</v>
      </c>
      <c r="N186">
        <f>regressions!$P$1*A186^2+regressions!$P$2*A186^7</f>
        <v>252.47779712270037</v>
      </c>
      <c r="O186">
        <f>regressions!T$2+regressions!T$1*EXP(A186)</f>
        <v>-93736.856744284829</v>
      </c>
      <c r="P186" s="20">
        <f>(1-EXP(-2*regressions!X$1*graph!A186))/2/EXP(-regressions!X$1*A186)</f>
        <v>-380.37493451516099</v>
      </c>
      <c r="Q186" s="5"/>
      <c r="AT186" s="33"/>
      <c r="AW186" s="33"/>
      <c r="AZ186" s="33"/>
    </row>
    <row r="187" spans="1:52" x14ac:dyDescent="0.35">
      <c r="A187">
        <f t="shared" si="9"/>
        <v>16.399999999999963</v>
      </c>
      <c r="B187">
        <f t="shared" si="21"/>
        <v>-145.10106206317926</v>
      </c>
      <c r="C187">
        <f>regressions!$AR$1*$A187</f>
        <v>17.274658268244298</v>
      </c>
      <c r="D187">
        <f>regressions!$AO$1*$A187</f>
        <v>23.468270510660393</v>
      </c>
      <c r="E187">
        <f t="shared" si="22"/>
        <v>-110.55174552669067</v>
      </c>
      <c r="F187">
        <f t="shared" si="23"/>
        <v>-192.03760308450003</v>
      </c>
      <c r="G187" s="5">
        <f>B187-regressions!AA$7</f>
        <v>-148.82235065364421</v>
      </c>
      <c r="H187" s="5">
        <f>B187+regressions!AA$7</f>
        <v>-141.37977347271431</v>
      </c>
      <c r="I187">
        <f>IF($A187&lt;=regressions!$L$2,$A187*regressions!$L$1,regressions!$L$1*regressions!$L$2+regressions!$L$3*($A187-regressions!$L$2))</f>
        <v>-73.729922872686984</v>
      </c>
      <c r="J187">
        <f>regressions!J$1*A187+regressions!J$2*A187^2</f>
        <v>-29.417714737480562</v>
      </c>
      <c r="K187">
        <f>regressions!$V$1*A187</f>
        <v>-13.034389349362005</v>
      </c>
      <c r="L187">
        <f>regressions!$N$1*A187^2</f>
        <v>-46.864898454288614</v>
      </c>
      <c r="M187">
        <f>regressions!$R$1*A187^2+regressions!$R$2*A187^6</f>
        <v>163.11170922648785</v>
      </c>
      <c r="N187">
        <f>regressions!$P$1*A187^2+regressions!$P$2*A187^7</f>
        <v>265.05550119981211</v>
      </c>
      <c r="O187">
        <f>regressions!T$2+regressions!T$1*EXP(A187)</f>
        <v>-103595.24884748238</v>
      </c>
      <c r="P187" s="20">
        <f>(1-EXP(-2*regressions!X$1*graph!A187))/2/EXP(-regressions!X$1*A187)</f>
        <v>-396.17611096684402</v>
      </c>
      <c r="Q187" s="5"/>
      <c r="AT187" s="33"/>
      <c r="AW187" s="33"/>
      <c r="AZ187" s="33"/>
    </row>
    <row r="188" spans="1:52" x14ac:dyDescent="0.35">
      <c r="A188">
        <f t="shared" si="9"/>
        <v>16.499999999999964</v>
      </c>
      <c r="B188">
        <f t="shared" si="21"/>
        <v>-156.82450227869236</v>
      </c>
      <c r="C188">
        <f>regressions!$AR$1*$A188</f>
        <v>17.379991550367741</v>
      </c>
      <c r="D188">
        <f>regressions!$AO$1*$A188</f>
        <v>23.611369721091254</v>
      </c>
      <c r="E188">
        <f t="shared" si="22"/>
        <v>-122.06451917795688</v>
      </c>
      <c r="F188">
        <f t="shared" si="23"/>
        <v>-204.04724172087487</v>
      </c>
      <c r="G188" s="5">
        <f>B188-regressions!AA$7</f>
        <v>-160.54579086915732</v>
      </c>
      <c r="H188" s="5">
        <f>B188+regressions!AA$7</f>
        <v>-153.10321368822741</v>
      </c>
      <c r="I188">
        <f>IF($A188&lt;=regressions!$L$2,$A188*regressions!$L$1,regressions!$L$1*regressions!$L$2+regressions!$L$3*($A188-regressions!$L$2))</f>
        <v>-75.512663289514521</v>
      </c>
      <c r="J188">
        <f>regressions!J$1*A188+regressions!J$2*A188^2</f>
        <v>-29.731951034144711</v>
      </c>
      <c r="K188">
        <f>regressions!$V$1*A188</f>
        <v>-13.113867333199581</v>
      </c>
      <c r="L188">
        <f>regressions!$N$1*A188^2</f>
        <v>-47.438164054803977</v>
      </c>
      <c r="M188">
        <f>regressions!$R$1*A188^2+regressions!$R$2*A188^6</f>
        <v>170.44270783953453</v>
      </c>
      <c r="N188">
        <f>regressions!$P$1*A188^2+regressions!$P$2*A188^7</f>
        <v>278.12058010859386</v>
      </c>
      <c r="O188">
        <f>regressions!T$2+regressions!T$1*EXP(A188)</f>
        <v>-114490.45709892293</v>
      </c>
      <c r="P188" s="20">
        <f>(1-EXP(-2*regressions!X$1*graph!A188))/2/EXP(-regressions!X$1*A188)</f>
        <v>-412.63368061664164</v>
      </c>
      <c r="Q188" s="5"/>
      <c r="AT188" s="33"/>
      <c r="AW188" s="33"/>
      <c r="AZ188" s="33"/>
    </row>
    <row r="189" spans="1:52" x14ac:dyDescent="0.35">
      <c r="A189">
        <f t="shared" si="9"/>
        <v>16.599999999999966</v>
      </c>
      <c r="B189">
        <f t="shared" ref="B189:B198" si="25">SUMPRODUCT(I$2:P$2,I189:P189)</f>
        <v>-169.72384773140351</v>
      </c>
      <c r="C189">
        <f>regressions!$AR$1*$A189</f>
        <v>17.485324832491184</v>
      </c>
      <c r="D189">
        <f>regressions!$AO$1*$A189</f>
        <v>23.754468931522112</v>
      </c>
      <c r="E189">
        <f t="shared" ref="E189:E198" si="26">B189+2*C189</f>
        <v>-134.75319806642113</v>
      </c>
      <c r="F189">
        <f t="shared" ref="F189:F198" si="27">B189-2*D189</f>
        <v>-217.23278559444773</v>
      </c>
      <c r="G189" s="5">
        <f>B189-regressions!AA$7</f>
        <v>-173.44513632186846</v>
      </c>
      <c r="H189" s="5">
        <f>B189+regressions!AA$7</f>
        <v>-166.00255914093856</v>
      </c>
      <c r="I189">
        <f>IF($A189&lt;=regressions!$L$2,$A189*regressions!$L$1,regressions!$L$1*regressions!$L$2+regressions!$L$3*($A189-regressions!$L$2))</f>
        <v>-77.295403706342043</v>
      </c>
      <c r="J189">
        <f>regressions!J$1*A189+regressions!J$2*A189^2</f>
        <v>-30.047821997321456</v>
      </c>
      <c r="K189">
        <f>regressions!$V$1*A189</f>
        <v>-13.193345317037155</v>
      </c>
      <c r="L189">
        <f>regressions!$N$1*A189^2</f>
        <v>-48.014914552586916</v>
      </c>
      <c r="M189">
        <f>regressions!$R$1*A189^2+regressions!$R$2*A189^6</f>
        <v>178.01467065080169</v>
      </c>
      <c r="N189">
        <f>regressions!$P$1*A189^2+regressions!$P$2*A189^7</f>
        <v>291.68818810147235</v>
      </c>
      <c r="O189">
        <f>regressions!T$2+regressions!T$1*EXP(A189)</f>
        <v>-126531.52440479287</v>
      </c>
      <c r="P189" s="20">
        <f>(1-EXP(-2*regressions!X$1*graph!A189))/2/EXP(-regressions!X$1*A189)</f>
        <v>-429.7749107239286</v>
      </c>
      <c r="Q189" s="5"/>
      <c r="AT189" s="33"/>
      <c r="AW189" s="33"/>
      <c r="AZ189" s="33"/>
    </row>
    <row r="190" spans="1:52" x14ac:dyDescent="0.35">
      <c r="A190">
        <f t="shared" si="9"/>
        <v>16.699999999999967</v>
      </c>
      <c r="B190">
        <f t="shared" si="25"/>
        <v>-183.92175149227302</v>
      </c>
      <c r="C190">
        <f>regressions!$AR$1*$A190</f>
        <v>17.590658114614627</v>
      </c>
      <c r="D190">
        <f>regressions!$AO$1*$A190</f>
        <v>23.89756814195297</v>
      </c>
      <c r="E190">
        <f t="shared" si="26"/>
        <v>-148.74043526304376</v>
      </c>
      <c r="F190">
        <f t="shared" si="27"/>
        <v>-231.71688777617896</v>
      </c>
      <c r="G190" s="5">
        <f>B190-regressions!AA$7</f>
        <v>-187.64304008273797</v>
      </c>
      <c r="H190" s="5">
        <f>B190+regressions!AA$7</f>
        <v>-180.20046290180807</v>
      </c>
      <c r="I190">
        <f>IF($A190&lt;=regressions!$L$2,$A190*regressions!$L$1,regressions!$L$1*regressions!$L$2+regressions!$L$3*($A190-regressions!$L$2))</f>
        <v>-79.078144123169565</v>
      </c>
      <c r="J190">
        <f>regressions!J$1*A190+regressions!J$2*A190^2</f>
        <v>-30.365327627010799</v>
      </c>
      <c r="K190">
        <f>regressions!$V$1*A190</f>
        <v>-13.272823300874729</v>
      </c>
      <c r="L190">
        <f>regressions!$N$1*A190^2</f>
        <v>-48.595149947637417</v>
      </c>
      <c r="M190">
        <f>regressions!$R$1*A190^2+regressions!$R$2*A190^6</f>
        <v>185.83358528236926</v>
      </c>
      <c r="N190">
        <f>regressions!$P$1*A190^2+regressions!$P$2*A190^7</f>
        <v>305.77385128671739</v>
      </c>
      <c r="O190">
        <f>regressions!T$2+regressions!T$1*EXP(A190)</f>
        <v>-139838.96181383185</v>
      </c>
      <c r="P190" s="20">
        <f>(1-EXP(-2*regressions!X$1*graph!A190))/2/EXP(-regressions!X$1*A190)</f>
        <v>-447.62820125159624</v>
      </c>
      <c r="Q190" s="5"/>
      <c r="AE190" s="58">
        <f>Table1!$E52</f>
        <v>-78.907648460775576</v>
      </c>
      <c r="AN190">
        <f t="shared" si="24"/>
        <v>-78.907648460775576</v>
      </c>
      <c r="AO190" s="1">
        <f>MIN(Q190:AM190)</f>
        <v>-78.907648460775576</v>
      </c>
      <c r="AP190" s="1">
        <f>MAX(Q190:AM190)</f>
        <v>-78.907648460775576</v>
      </c>
      <c r="AT190" s="33"/>
      <c r="AW190" s="33"/>
      <c r="AZ190" s="33"/>
    </row>
    <row r="191" spans="1:52" x14ac:dyDescent="0.35">
      <c r="A191">
        <f t="shared" si="9"/>
        <v>16.799999999999969</v>
      </c>
      <c r="B191">
        <f t="shared" si="25"/>
        <v>-199.55365934666077</v>
      </c>
      <c r="C191">
        <f>regressions!$AR$1*$A191</f>
        <v>17.695991396738069</v>
      </c>
      <c r="D191">
        <f>regressions!$AO$1*$A191</f>
        <v>24.040667352383828</v>
      </c>
      <c r="E191">
        <f t="shared" si="26"/>
        <v>-164.16167655318463</v>
      </c>
      <c r="F191">
        <f t="shared" si="27"/>
        <v>-247.63499405142841</v>
      </c>
      <c r="G191" s="5">
        <f>B191-regressions!AA$7</f>
        <v>-203.27494793712572</v>
      </c>
      <c r="H191" s="5">
        <f>B191+regressions!AA$7</f>
        <v>-195.83237075619581</v>
      </c>
      <c r="I191">
        <f>IF($A191&lt;=regressions!$L$2,$A191*regressions!$L$1,regressions!$L$1*regressions!$L$2+regressions!$L$3*($A191-regressions!$L$2))</f>
        <v>-80.860884539997102</v>
      </c>
      <c r="J191">
        <f>regressions!J$1*A191+regressions!J$2*A191^2</f>
        <v>-30.684467923212733</v>
      </c>
      <c r="K191">
        <f>regressions!$V$1*A191</f>
        <v>-13.352301284712304</v>
      </c>
      <c r="L191">
        <f>regressions!$N$1*A191^2</f>
        <v>-49.178870239955486</v>
      </c>
      <c r="M191">
        <f>regressions!$R$1*A191^2+regressions!$R$2*A191^6</f>
        <v>193.90554854840752</v>
      </c>
      <c r="N191">
        <f>regressions!$P$1*A191^2+regressions!$P$2*A191^7</f>
        <v>320.39347443034933</v>
      </c>
      <c r="O191">
        <f>regressions!T$2+regressions!T$1*EXP(A191)</f>
        <v>-154545.95463241369</v>
      </c>
      <c r="P191" s="20">
        <f>(1-EXP(-2*regressions!X$1*graph!A191))/2/EXP(-regressions!X$1*A191)</f>
        <v>-466.22313191972768</v>
      </c>
      <c r="Q191" s="5"/>
      <c r="AT191" s="33"/>
      <c r="AW191" s="33"/>
      <c r="AZ191" s="33"/>
    </row>
    <row r="192" spans="1:52" x14ac:dyDescent="0.35">
      <c r="A192">
        <f t="shared" si="9"/>
        <v>16.89999999999997</v>
      </c>
      <c r="B192">
        <f t="shared" si="25"/>
        <v>-216.76914720616008</v>
      </c>
      <c r="C192">
        <f>regressions!$AR$1*$A192</f>
        <v>17.801324678861512</v>
      </c>
      <c r="D192">
        <f>regressions!$AO$1*$A192</f>
        <v>24.183766562814686</v>
      </c>
      <c r="E192">
        <f t="shared" si="26"/>
        <v>-181.16649784843707</v>
      </c>
      <c r="F192">
        <f t="shared" si="27"/>
        <v>-265.13668033178948</v>
      </c>
      <c r="G192" s="5">
        <f>B192-regressions!AA$7</f>
        <v>-220.49043579662504</v>
      </c>
      <c r="H192" s="5">
        <f>B192+regressions!AA$7</f>
        <v>-213.04785861569513</v>
      </c>
      <c r="I192">
        <f>IF($A192&lt;=regressions!$L$2,$A192*regressions!$L$1,regressions!$L$1*regressions!$L$2+regressions!$L$3*($A192-regressions!$L$2))</f>
        <v>-82.643624956824624</v>
      </c>
      <c r="J192">
        <f>regressions!J$1*A192+regressions!J$2*A192^2</f>
        <v>-31.005242885927274</v>
      </c>
      <c r="K192">
        <f>regressions!$V$1*A192</f>
        <v>-13.431779268549878</v>
      </c>
      <c r="L192">
        <f>regressions!$N$1*A192^2</f>
        <v>-49.766075429541139</v>
      </c>
      <c r="M192">
        <f>regressions!$R$1*A192^2+regressions!$R$2*A192^6</f>
        <v>202.23676777469112</v>
      </c>
      <c r="N192">
        <f>regressions!$P$1*A192^2+regressions!$P$2*A192^7</f>
        <v>335.56334784049125</v>
      </c>
      <c r="O192">
        <f>regressions!T$2+regressions!T$1*EXP(A192)</f>
        <v>-170799.69538785776</v>
      </c>
      <c r="P192" s="20">
        <f>(1-EXP(-2*regressions!X$1*graph!A192))/2/EXP(-regressions!X$1*A192)</f>
        <v>-485.59051121392378</v>
      </c>
      <c r="Q192" s="5"/>
      <c r="AT192" s="33"/>
      <c r="AW192" s="33"/>
      <c r="AZ192" s="33"/>
    </row>
    <row r="193" spans="1:52" x14ac:dyDescent="0.35">
      <c r="A193">
        <f t="shared" si="9"/>
        <v>16.999999999999972</v>
      </c>
      <c r="B193">
        <f t="shared" si="25"/>
        <v>-235.7333987258333</v>
      </c>
      <c r="C193">
        <f>regressions!$AR$1*$A193</f>
        <v>17.906657960984955</v>
      </c>
      <c r="D193">
        <f>regressions!$AO$1*$A193</f>
        <v>24.326865773245544</v>
      </c>
      <c r="E193">
        <f t="shared" si="26"/>
        <v>-199.92008280386338</v>
      </c>
      <c r="F193">
        <f t="shared" si="27"/>
        <v>-284.38713027232438</v>
      </c>
      <c r="G193" s="5">
        <f>B193-regressions!AA$7</f>
        <v>-239.45468731629825</v>
      </c>
      <c r="H193" s="5">
        <f>B193+regressions!AA$7</f>
        <v>-232.01211013536835</v>
      </c>
      <c r="I193">
        <f>IF($A193&lt;=regressions!$L$2,$A193*regressions!$L$1,regressions!$L$1*regressions!$L$2+regressions!$L$3*($A193-regressions!$L$2))</f>
        <v>-84.426365373652146</v>
      </c>
      <c r="J193">
        <f>regressions!J$1*A193+regressions!J$2*A193^2</f>
        <v>-31.327652515154405</v>
      </c>
      <c r="K193">
        <f>regressions!$V$1*A193</f>
        <v>-13.511257252387454</v>
      </c>
      <c r="L193">
        <f>regressions!$N$1*A193^2</f>
        <v>-50.356765516394354</v>
      </c>
      <c r="M193">
        <f>regressions!$R$1*A193^2+regressions!$R$2*A193^6</f>
        <v>210.83356212603744</v>
      </c>
      <c r="N193">
        <f>regressions!$P$1*A193^2+regressions!$P$2*A193^7</f>
        <v>351.30015433466258</v>
      </c>
      <c r="O193">
        <f>regressions!T$2+regressions!T$1*EXP(A193)</f>
        <v>-188762.8569807155</v>
      </c>
      <c r="P193" s="20">
        <f>(1-EXP(-2*regressions!X$1*graph!A193))/2/EXP(-regressions!X$1*A193)</f>
        <v>-505.76242742947119</v>
      </c>
      <c r="Q193" s="5"/>
      <c r="AT193" s="33"/>
      <c r="AW193" s="33"/>
      <c r="AZ193" s="33"/>
    </row>
    <row r="194" spans="1:52" x14ac:dyDescent="0.35">
      <c r="A194">
        <f t="shared" si="9"/>
        <v>17.099999999999973</v>
      </c>
      <c r="B194">
        <f t="shared" si="25"/>
        <v>-256.62883785094868</v>
      </c>
      <c r="C194">
        <f>regressions!$AR$1*$A194</f>
        <v>18.011991243108397</v>
      </c>
      <c r="D194">
        <f>regressions!$AO$1*$A194</f>
        <v>24.469964983676402</v>
      </c>
      <c r="E194">
        <f t="shared" si="26"/>
        <v>-220.60485536473189</v>
      </c>
      <c r="F194">
        <f t="shared" si="27"/>
        <v>-305.56876781830147</v>
      </c>
      <c r="G194" s="5">
        <f>B194-regressions!AA$7</f>
        <v>-260.35012644141364</v>
      </c>
      <c r="H194" s="5">
        <f>B194+regressions!AA$7</f>
        <v>-252.90754926048373</v>
      </c>
      <c r="I194">
        <f>IF($A194&lt;=regressions!$L$2,$A194*regressions!$L$1,regressions!$L$1*regressions!$L$2+regressions!$L$3*($A194-regressions!$L$2))</f>
        <v>-86.209105790479683</v>
      </c>
      <c r="J194">
        <f>regressions!J$1*A194+regressions!J$2*A194^2</f>
        <v>-31.651696810894137</v>
      </c>
      <c r="K194">
        <f>regressions!$V$1*A194</f>
        <v>-13.590735236225028</v>
      </c>
      <c r="L194">
        <f>regressions!$N$1*A194^2</f>
        <v>-50.950940500515138</v>
      </c>
      <c r="M194">
        <f>regressions!$R$1*A194^2+regressions!$R$2*A194^6</f>
        <v>219.70236394167105</v>
      </c>
      <c r="N194">
        <f>regressions!$P$1*A194^2+regressions!$P$2*A194^7</f>
        <v>367.62097629051289</v>
      </c>
      <c r="O194">
        <f>regressions!T$2+regressions!T$1*EXP(A194)</f>
        <v>-208615.22076983529</v>
      </c>
      <c r="P194" s="20">
        <f>(1-EXP(-2*regressions!X$1*graph!A194))/2/EXP(-regressions!X$1*A194)</f>
        <v>-526.77230183592644</v>
      </c>
      <c r="AT194" s="33"/>
      <c r="AW194" s="33"/>
      <c r="AZ194" s="33"/>
    </row>
    <row r="195" spans="1:52" x14ac:dyDescent="0.35">
      <c r="A195">
        <f t="shared" si="9"/>
        <v>17.199999999999974</v>
      </c>
      <c r="B195">
        <f t="shared" si="25"/>
        <v>-279.65693256494046</v>
      </c>
      <c r="C195">
        <f>regressions!$AR$1*$A195</f>
        <v>18.11732452523184</v>
      </c>
      <c r="D195">
        <f>regressions!$AO$1*$A195</f>
        <v>24.61306419410726</v>
      </c>
      <c r="E195">
        <f t="shared" si="26"/>
        <v>-243.42228351447679</v>
      </c>
      <c r="F195">
        <f t="shared" si="27"/>
        <v>-328.883060953155</v>
      </c>
      <c r="G195" s="5">
        <f>B195-regressions!AA$7</f>
        <v>-283.37822115540541</v>
      </c>
      <c r="H195" s="5">
        <f>B195+regressions!AA$7</f>
        <v>-275.93564397447551</v>
      </c>
      <c r="I195">
        <f>IF($A195&lt;=regressions!$L$2,$A195*regressions!$L$1,regressions!$L$1*regressions!$L$2+regressions!$L$3*($A195-regressions!$L$2))</f>
        <v>-87.991846207307205</v>
      </c>
      <c r="J195">
        <f>regressions!J$1*A195+regressions!J$2*A195^2</f>
        <v>-31.977375773146466</v>
      </c>
      <c r="K195">
        <f>regressions!$V$1*A195</f>
        <v>-13.670213220062601</v>
      </c>
      <c r="L195">
        <f>regressions!$N$1*A195^2</f>
        <v>-51.548600381903498</v>
      </c>
      <c r="M195">
        <f>regressions!$R$1*A195^2+regressions!$R$2*A195^6</f>
        <v>228.84972007851263</v>
      </c>
      <c r="N195">
        <f>regressions!$P$1*A195^2+regressions!$P$2*A195^7</f>
        <v>384.54330278049014</v>
      </c>
      <c r="O195">
        <f>regressions!T$2+regressions!T$1*EXP(A195)</f>
        <v>-230555.47588462863</v>
      </c>
      <c r="P195" s="20">
        <f>(1-EXP(-2*regressions!X$1*graph!A195))/2/EXP(-regressions!X$1*A195)</f>
        <v>-548.65494405020479</v>
      </c>
      <c r="AT195" s="33"/>
      <c r="AW195" s="33"/>
      <c r="AZ195" s="33"/>
    </row>
    <row r="196" spans="1:52" x14ac:dyDescent="0.35">
      <c r="A196">
        <f t="shared" si="9"/>
        <v>17.299999999999976</v>
      </c>
      <c r="B196">
        <f t="shared" si="25"/>
        <v>-305.04018782065373</v>
      </c>
      <c r="C196">
        <f>regressions!$AR$1*$A196</f>
        <v>18.222657807355283</v>
      </c>
      <c r="D196">
        <f>regressions!$AO$1*$A196</f>
        <v>24.756163404538121</v>
      </c>
      <c r="E196">
        <f t="shared" si="26"/>
        <v>-268.59487220594315</v>
      </c>
      <c r="F196">
        <f t="shared" si="27"/>
        <v>-354.55251462972996</v>
      </c>
      <c r="G196" s="5">
        <f>B196-regressions!AA$7</f>
        <v>-308.76147641111868</v>
      </c>
      <c r="H196" s="5">
        <f>B196+regressions!AA$7</f>
        <v>-301.31889923018878</v>
      </c>
      <c r="I196">
        <f>IF($A196&lt;=regressions!$L$2,$A196*regressions!$L$1,regressions!$L$1*regressions!$L$2+regressions!$L$3*($A196-regressions!$L$2))</f>
        <v>-89.774586624134727</v>
      </c>
      <c r="J196">
        <f>regressions!J$1*A196+regressions!J$2*A196^2</f>
        <v>-32.304689401911389</v>
      </c>
      <c r="K196">
        <f>regressions!$V$1*A196</f>
        <v>-13.749691203900177</v>
      </c>
      <c r="L196">
        <f>regressions!$N$1*A196^2</f>
        <v>-52.149745160559426</v>
      </c>
      <c r="M196">
        <f>regressions!$R$1*A196^2+regressions!$R$2*A196^6</f>
        <v>238.28229326239259</v>
      </c>
      <c r="N196">
        <f>regressions!$P$1*A196^2+regressions!$P$2*A196^7</f>
        <v>402.08503679093968</v>
      </c>
      <c r="O196">
        <f>regressions!T$2+regressions!T$1*EXP(A196)</f>
        <v>-254803.2077726587</v>
      </c>
      <c r="P196" s="20">
        <f>(1-EXP(-2*regressions!X$1*graph!A196))/2/EXP(-regressions!X$1*A196)</f>
        <v>-571.44660970991038</v>
      </c>
      <c r="AT196" s="33"/>
      <c r="AW196" s="33"/>
      <c r="AZ196" s="33"/>
    </row>
    <row r="197" spans="1:52" x14ac:dyDescent="0.35">
      <c r="A197">
        <f t="shared" si="9"/>
        <v>17.399999999999977</v>
      </c>
      <c r="B197">
        <f t="shared" si="25"/>
        <v>-333.02434752712338</v>
      </c>
      <c r="C197">
        <f>regressions!$AR$1*$A197</f>
        <v>18.327991089478726</v>
      </c>
      <c r="D197">
        <f>regressions!$AO$1*$A197</f>
        <v>24.899262614968979</v>
      </c>
      <c r="E197">
        <f t="shared" si="26"/>
        <v>-296.36836534816592</v>
      </c>
      <c r="F197">
        <f t="shared" si="27"/>
        <v>-382.82287275706136</v>
      </c>
      <c r="G197" s="5">
        <f>B197-regressions!AA$7</f>
        <v>-336.74563611758833</v>
      </c>
      <c r="H197" s="5">
        <f>B197+regressions!AA$7</f>
        <v>-329.30305893665843</v>
      </c>
      <c r="I197">
        <f>IF($A197&lt;=regressions!$L$2,$A197*regressions!$L$1,regressions!$L$1*regressions!$L$2+regressions!$L$3*($A197-regressions!$L$2))</f>
        <v>-91.557327040962264</v>
      </c>
      <c r="J197">
        <f>regressions!J$1*A197+regressions!J$2*A197^2</f>
        <v>-32.633637697188909</v>
      </c>
      <c r="K197">
        <f>regressions!$V$1*A197</f>
        <v>-13.829169187737751</v>
      </c>
      <c r="L197">
        <f>regressions!$N$1*A197^2</f>
        <v>-52.754374836482924</v>
      </c>
      <c r="M197">
        <f>regressions!$R$1*A197^2+regressions!$R$2*A197^6</f>
        <v>248.0068634471906</v>
      </c>
      <c r="N197">
        <f>regressions!$P$1*A197^2+regressions!$P$2*A197^7</f>
        <v>420.26450252613472</v>
      </c>
      <c r="O197">
        <f>regressions!T$2+regressions!T$1*EXP(A197)</f>
        <v>-281601.09588460514</v>
      </c>
      <c r="P197" s="20">
        <f>(1-EXP(-2*regressions!X$1*graph!A197))/2/EXP(-regressions!X$1*A197)</f>
        <v>-595.185060542462</v>
      </c>
      <c r="AT197" s="33"/>
      <c r="AW197" s="33"/>
      <c r="AZ197" s="33"/>
    </row>
    <row r="198" spans="1:52" x14ac:dyDescent="0.35">
      <c r="A198">
        <f t="shared" si="9"/>
        <v>17.499999999999979</v>
      </c>
      <c r="B198">
        <f t="shared" si="25"/>
        <v>-363.8808275530676</v>
      </c>
      <c r="C198">
        <f>regressions!$AR$1*$A198</f>
        <v>18.433324371602168</v>
      </c>
      <c r="D198">
        <f>regressions!$AO$1*$A198</f>
        <v>25.042361825399837</v>
      </c>
      <c r="E198">
        <f t="shared" si="26"/>
        <v>-327.01417880986327</v>
      </c>
      <c r="F198">
        <f t="shared" si="27"/>
        <v>-413.96555120386728</v>
      </c>
      <c r="G198" s="5">
        <f>B198-regressions!AA$7</f>
        <v>-367.60211614353256</v>
      </c>
      <c r="H198" s="5">
        <f>B198+regressions!AA$7</f>
        <v>-360.15953896260265</v>
      </c>
      <c r="I198">
        <f>IF($A198&lt;=regressions!$L$2,$A198*regressions!$L$1,regressions!$L$1*regressions!$L$2+regressions!$L$3*($A198-regressions!$L$2))</f>
        <v>-93.340067457789786</v>
      </c>
      <c r="J198">
        <f>regressions!J$1*A198+regressions!J$2*A198^2</f>
        <v>-32.964220658979031</v>
      </c>
      <c r="K198">
        <f>regressions!$V$1*A198</f>
        <v>-13.908647171575325</v>
      </c>
      <c r="L198">
        <f>regressions!$N$1*A198^2</f>
        <v>-53.362489409673998</v>
      </c>
      <c r="M198">
        <f>regressions!$R$1*A198^2+regressions!$R$2*A198^6</f>
        <v>258.03032918189905</v>
      </c>
      <c r="N198">
        <f>regressions!$P$1*A198^2+regressions!$P$2*A198^7</f>
        <v>439.10045279772959</v>
      </c>
      <c r="O198">
        <f>regressions!T$2+regressions!T$1*EXP(A198)</f>
        <v>-311217.34249177348</v>
      </c>
      <c r="P198" s="20">
        <f>(1-EXP(-2*regressions!X$1*graph!A198))/2/EXP(-regressions!X$1*A198)</f>
        <v>-619.90962692954884</v>
      </c>
      <c r="AT198" s="33"/>
      <c r="AW198" s="33"/>
      <c r="AZ198" s="33"/>
    </row>
    <row r="199" spans="1:52" x14ac:dyDescent="0.35">
      <c r="A199">
        <f t="shared" si="9"/>
        <v>17.59999999999998</v>
      </c>
      <c r="B199">
        <f t="shared" ref="B199:B203" si="28">SUMPRODUCT(I$2:P$2,I199:P199)</f>
        <v>-397.90940401686152</v>
      </c>
      <c r="C199">
        <f>regressions!$AR$1*$A199</f>
        <v>18.538657653725611</v>
      </c>
      <c r="D199">
        <f>regressions!$AO$1*$A199</f>
        <v>25.185461035830695</v>
      </c>
      <c r="E199">
        <f t="shared" ref="E199:E203" si="29">B199+2*C199</f>
        <v>-360.8320887094103</v>
      </c>
      <c r="F199">
        <f t="shared" ref="F199:F203" si="30">B199-2*D199</f>
        <v>-448.28032608852288</v>
      </c>
      <c r="G199" s="5">
        <f>B199-regressions!AA$7</f>
        <v>-401.63069260732647</v>
      </c>
      <c r="H199" s="5">
        <f>B199+regressions!AA$7</f>
        <v>-394.18811542639656</v>
      </c>
      <c r="I199">
        <f>IF($A199&lt;=regressions!$L$2,$A199*regressions!$L$1,regressions!$L$1*regressions!$L$2+regressions!$L$3*($A199-regressions!$L$2))</f>
        <v>-95.122807874617308</v>
      </c>
      <c r="J199">
        <f>regressions!J$1*A199+regressions!J$2*A199^2</f>
        <v>-33.296438287281745</v>
      </c>
      <c r="K199">
        <f>regressions!$V$1*A199</f>
        <v>-13.9881251554129</v>
      </c>
      <c r="L199">
        <f>regressions!$N$1*A199^2</f>
        <v>-53.974088880132641</v>
      </c>
      <c r="M199">
        <f>regressions!$R$1*A199^2+regressions!$R$2*A199^6</f>
        <v>268.35970898561237</v>
      </c>
      <c r="N199">
        <f>regressions!$P$1*A199^2+regressions!$P$2*A199^7</f>
        <v>458.61207650013603</v>
      </c>
      <c r="O199">
        <f>regressions!T$2+regressions!T$1*EXP(A199)</f>
        <v>-343948.35694457253</v>
      </c>
      <c r="P199" s="20">
        <f>(1-EXP(-2*regressions!X$1*graph!A199))/2/EXP(-regressions!X$1*A199)</f>
        <v>-645.66127307056092</v>
      </c>
      <c r="AT199" s="33"/>
      <c r="AW199" s="33"/>
      <c r="AZ199" s="33"/>
    </row>
    <row r="200" spans="1:52" x14ac:dyDescent="0.35">
      <c r="A200">
        <f t="shared" si="9"/>
        <v>17.699999999999982</v>
      </c>
      <c r="B200">
        <f t="shared" si="28"/>
        <v>-435.44118368408965</v>
      </c>
      <c r="C200">
        <f>regressions!$AR$1*$A200</f>
        <v>18.643990935849054</v>
      </c>
      <c r="D200">
        <f>regressions!$AO$1*$A200</f>
        <v>25.328560246261553</v>
      </c>
      <c r="E200">
        <f t="shared" si="29"/>
        <v>-398.15320181239156</v>
      </c>
      <c r="F200">
        <f t="shared" si="30"/>
        <v>-486.09830417661277</v>
      </c>
      <c r="G200" s="5">
        <f>B200-regressions!AA$7</f>
        <v>-439.1624722745546</v>
      </c>
      <c r="H200" s="5">
        <f>B200+regressions!AA$7</f>
        <v>-431.7198950936247</v>
      </c>
      <c r="I200">
        <f>IF($A200&lt;=regressions!$L$2,$A200*regressions!$L$1,regressions!$L$1*regressions!$L$2+regressions!$L$3*($A200-regressions!$L$2))</f>
        <v>-96.905548291444831</v>
      </c>
      <c r="J200">
        <f>regressions!J$1*A200+regressions!J$2*A200^2</f>
        <v>-33.630290582097061</v>
      </c>
      <c r="K200">
        <f>regressions!$V$1*A200</f>
        <v>-14.067603139250474</v>
      </c>
      <c r="L200">
        <f>regressions!$N$1*A200^2</f>
        <v>-54.589173247858845</v>
      </c>
      <c r="M200">
        <f>regressions!$R$1*A200^2+regressions!$R$2*A200^6</f>
        <v>279.00214273044094</v>
      </c>
      <c r="N200">
        <f>regressions!$P$1*A200^2+regressions!$P$2*A200^7</f>
        <v>478.81900617231804</v>
      </c>
      <c r="O200">
        <f>regressions!T$2+regressions!T$1*EXP(A200)</f>
        <v>-380121.72223691974</v>
      </c>
      <c r="P200" s="20">
        <f>(1-EXP(-2*regressions!X$1*graph!A200))/2/EXP(-regressions!X$1*A200)</f>
        <v>-672.48266485296278</v>
      </c>
      <c r="AT200" s="33"/>
      <c r="AW200" s="33"/>
      <c r="AZ200" s="33"/>
    </row>
    <row r="201" spans="1:52" x14ac:dyDescent="0.35">
      <c r="A201">
        <f t="shared" si="9"/>
        <v>17.799999999999983</v>
      </c>
      <c r="B201">
        <f t="shared" si="28"/>
        <v>-476.84188611339323</v>
      </c>
      <c r="C201">
        <f>regressions!$AR$1*$A201</f>
        <v>18.749324217972497</v>
      </c>
      <c r="D201">
        <f>regressions!$AO$1*$A201</f>
        <v>25.471659456692411</v>
      </c>
      <c r="E201">
        <f t="shared" si="29"/>
        <v>-439.34323767744826</v>
      </c>
      <c r="F201">
        <f t="shared" si="30"/>
        <v>-527.78520502677804</v>
      </c>
      <c r="G201" s="5">
        <f>B201-regressions!AA$7</f>
        <v>-480.56317470385818</v>
      </c>
      <c r="H201" s="5">
        <f>B201+regressions!AA$7</f>
        <v>-473.12059752292828</v>
      </c>
      <c r="I201">
        <f>IF($A201&lt;=regressions!$L$2,$A201*regressions!$L$1,regressions!$L$1*regressions!$L$2+regressions!$L$3*($A201-regressions!$L$2))</f>
        <v>-98.688288708272367</v>
      </c>
      <c r="J201">
        <f>regressions!J$1*A201+regressions!J$2*A201^2</f>
        <v>-33.96577754342497</v>
      </c>
      <c r="K201">
        <f>regressions!$V$1*A201</f>
        <v>-14.147081123088048</v>
      </c>
      <c r="L201">
        <f>regressions!$N$1*A201^2</f>
        <v>-55.207742512852633</v>
      </c>
      <c r="M201">
        <f>regressions!$R$1*A201^2+regressions!$R$2*A201^6</f>
        <v>289.96489303235052</v>
      </c>
      <c r="N201">
        <f>regressions!$P$1*A201^2+regressions!$P$2*A201^7</f>
        <v>499.74132564650222</v>
      </c>
      <c r="O201">
        <f>regressions!T$2+regressions!T$1*EXP(A201)</f>
        <v>-420099.47356694902</v>
      </c>
      <c r="P201" s="20">
        <f>(1-EXP(-2*regressions!X$1*graph!A201))/2/EXP(-regressions!X$1*A201)</f>
        <v>-700.41824054206847</v>
      </c>
      <c r="AT201" s="33"/>
      <c r="AW201" s="33"/>
      <c r="AZ201" s="33"/>
    </row>
    <row r="202" spans="1:52" x14ac:dyDescent="0.35">
      <c r="A202">
        <f t="shared" si="9"/>
        <v>17.899999999999984</v>
      </c>
      <c r="B202">
        <f t="shared" si="28"/>
        <v>-522.51547030742859</v>
      </c>
      <c r="C202">
        <f>regressions!$AR$1*$A202</f>
        <v>18.854657500095939</v>
      </c>
      <c r="D202">
        <f>regressions!$AO$1*$A202</f>
        <v>25.614758667123269</v>
      </c>
      <c r="E202">
        <f t="shared" si="29"/>
        <v>-484.80615530723674</v>
      </c>
      <c r="F202">
        <f t="shared" si="30"/>
        <v>-573.74498764167515</v>
      </c>
      <c r="G202" s="5">
        <f>B202-regressions!AA$7</f>
        <v>-526.23675889789354</v>
      </c>
      <c r="H202" s="5">
        <f>B202+regressions!AA$7</f>
        <v>-518.79418171696364</v>
      </c>
      <c r="I202">
        <f>IF($A202&lt;=regressions!$L$2,$A202*regressions!$L$1,regressions!$L$1*regressions!$L$2+regressions!$L$3*($A202-regressions!$L$2))</f>
        <v>-100.47102912509989</v>
      </c>
      <c r="J202">
        <f>regressions!J$1*A202+regressions!J$2*A202^2</f>
        <v>-34.30289917126548</v>
      </c>
      <c r="K202">
        <f>regressions!$V$1*A202</f>
        <v>-14.226559106925624</v>
      </c>
      <c r="L202">
        <f>regressions!$N$1*A202^2</f>
        <v>-55.82979667511399</v>
      </c>
      <c r="M202">
        <f>regressions!$R$1*A202^2+regressions!$R$2*A202^6</f>
        <v>301.25534664992517</v>
      </c>
      <c r="N202">
        <f>regressions!$P$1*A202^2+regressions!$P$2*A202^7</f>
        <v>521.39957778429891</v>
      </c>
      <c r="O202">
        <f>regressions!T$2+regressions!T$1*EXP(A202)</f>
        <v>-464281.7217069575</v>
      </c>
      <c r="P202" s="20">
        <f>(1-EXP(-2*regressions!X$1*graph!A202))/2/EXP(-regressions!X$1*A202)</f>
        <v>-729.51428440732366</v>
      </c>
      <c r="AT202" s="33"/>
      <c r="AW202" s="33"/>
      <c r="AZ202" s="33"/>
    </row>
    <row r="203" spans="1:52" x14ac:dyDescent="0.35">
      <c r="A203">
        <f t="shared" si="9"/>
        <v>17.999999999999986</v>
      </c>
      <c r="B203">
        <f t="shared" si="28"/>
        <v>-572.90814206953428</v>
      </c>
      <c r="C203">
        <f>regressions!$AR$1*$A203</f>
        <v>18.959990782219382</v>
      </c>
      <c r="D203">
        <f>regressions!$AO$1*$A203</f>
        <v>25.75785787755413</v>
      </c>
      <c r="E203">
        <f t="shared" si="29"/>
        <v>-534.98816050509549</v>
      </c>
      <c r="F203">
        <f t="shared" si="30"/>
        <v>-624.42385782464248</v>
      </c>
      <c r="G203" s="5">
        <f>B203-regressions!AA$7</f>
        <v>-576.62943065999923</v>
      </c>
      <c r="H203" s="5">
        <f>B203+regressions!AA$7</f>
        <v>-569.18685347906933</v>
      </c>
      <c r="I203">
        <f>IF($A203&lt;=regressions!$L$2,$A203*regressions!$L$1,regressions!$L$1*regressions!$L$2+regressions!$L$3*($A203-regressions!$L$2))</f>
        <v>-102.25376954192741</v>
      </c>
      <c r="J203">
        <f>regressions!J$1*A203+regressions!J$2*A203^2</f>
        <v>-34.641655465618584</v>
      </c>
      <c r="K203">
        <f>regressions!$V$1*A203</f>
        <v>-14.306037090763198</v>
      </c>
      <c r="L203">
        <f>regressions!$N$1*A203^2</f>
        <v>-56.455335734642908</v>
      </c>
      <c r="M203">
        <f>regressions!$R$1*A203^2+regressions!$R$2*A203^6</f>
        <v>312.88101589105747</v>
      </c>
      <c r="N203">
        <f>regressions!$P$1*A203^2+regressions!$P$2*A203^7</f>
        <v>543.81477230073369</v>
      </c>
      <c r="O203">
        <f>regressions!T$2+regressions!T$1*EXP(A203)</f>
        <v>-513110.65744649677</v>
      </c>
      <c r="P203" s="20">
        <f>(1-EXP(-2*regressions!X$1*graph!A203))/2/EXP(-regressions!X$1*A203)</f>
        <v>-759.81900340708899</v>
      </c>
      <c r="AT203" s="33"/>
      <c r="AW203" s="33"/>
      <c r="AZ203" s="33"/>
    </row>
    <row r="204" spans="1:52" x14ac:dyDescent="0.35">
      <c r="P204" s="20"/>
      <c r="AT204" s="33"/>
      <c r="AW204" s="33"/>
      <c r="AZ204" s="33"/>
    </row>
    <row r="205" spans="1:52" x14ac:dyDescent="0.35">
      <c r="P205" s="20"/>
      <c r="AT205" s="33"/>
      <c r="AW205" s="33"/>
      <c r="AZ205" s="33"/>
    </row>
    <row r="206" spans="1:52" x14ac:dyDescent="0.35">
      <c r="P206" s="20"/>
      <c r="AT206" s="33"/>
      <c r="AW206" s="33"/>
      <c r="AZ206" s="33"/>
    </row>
    <row r="207" spans="1:52" x14ac:dyDescent="0.35">
      <c r="P207" s="20"/>
      <c r="AT207" s="33"/>
      <c r="AW207" s="33"/>
      <c r="AZ207" s="33"/>
    </row>
    <row r="208" spans="1:52" x14ac:dyDescent="0.35">
      <c r="P208" s="20"/>
      <c r="AT208" s="33"/>
      <c r="AW208" s="33"/>
      <c r="AZ208" s="33"/>
    </row>
    <row r="209" spans="16:52" x14ac:dyDescent="0.35">
      <c r="P209" s="20"/>
      <c r="AT209" s="33"/>
      <c r="AW209" s="33"/>
      <c r="AZ209" s="33"/>
    </row>
    <row r="210" spans="16:52" x14ac:dyDescent="0.35">
      <c r="P210" s="20"/>
      <c r="AT210" s="33"/>
      <c r="AW210" s="33"/>
      <c r="AZ210" s="33"/>
    </row>
    <row r="211" spans="16:52" x14ac:dyDescent="0.35">
      <c r="P211" s="20"/>
      <c r="AT211" s="33"/>
      <c r="AW211" s="33"/>
      <c r="AZ211" s="33"/>
    </row>
    <row r="212" spans="16:52" x14ac:dyDescent="0.35">
      <c r="P212" s="20"/>
      <c r="AT212" s="33"/>
      <c r="AW212" s="33"/>
      <c r="AZ212" s="33"/>
    </row>
    <row r="213" spans="16:52" x14ac:dyDescent="0.35">
      <c r="P213" s="20"/>
      <c r="AT213" s="33"/>
      <c r="AW213" s="33"/>
      <c r="AZ213" s="33"/>
    </row>
    <row r="214" spans="16:52" x14ac:dyDescent="0.35">
      <c r="P214" s="20"/>
      <c r="AT214" s="33"/>
      <c r="AW214" s="33"/>
      <c r="AZ214" s="33"/>
    </row>
    <row r="215" spans="16:52" x14ac:dyDescent="0.35">
      <c r="P215" s="20"/>
      <c r="AT215" s="33"/>
      <c r="AW215" s="33"/>
      <c r="AZ215" s="33"/>
    </row>
    <row r="216" spans="16:52" x14ac:dyDescent="0.35">
      <c r="P216" s="20"/>
      <c r="AT216" s="33"/>
      <c r="AW216" s="33"/>
      <c r="AZ216" s="33"/>
    </row>
    <row r="217" spans="16:52" x14ac:dyDescent="0.35">
      <c r="P217" s="20"/>
      <c r="AT217" s="33"/>
      <c r="AW217" s="33"/>
      <c r="AZ217" s="33"/>
    </row>
    <row r="218" spans="16:52" x14ac:dyDescent="0.35">
      <c r="P218" s="20"/>
      <c r="AT218" s="33"/>
      <c r="AW218" s="33"/>
      <c r="AZ218" s="33"/>
    </row>
    <row r="219" spans="16:52" x14ac:dyDescent="0.35">
      <c r="P219" s="20"/>
      <c r="AT219" s="33"/>
      <c r="AW219" s="33"/>
      <c r="AZ219" s="33"/>
    </row>
    <row r="220" spans="16:52" x14ac:dyDescent="0.35">
      <c r="P220" s="20"/>
      <c r="AT220" s="33"/>
      <c r="AW220" s="33"/>
      <c r="AZ220" s="33"/>
    </row>
    <row r="221" spans="16:52" x14ac:dyDescent="0.35">
      <c r="P221" s="20"/>
      <c r="AT221" s="33"/>
      <c r="AW221" s="33"/>
      <c r="AZ221" s="33"/>
    </row>
    <row r="222" spans="16:52" x14ac:dyDescent="0.35">
      <c r="P222" s="20"/>
      <c r="AT222" s="33"/>
      <c r="AW222" s="33"/>
      <c r="AZ222" s="33"/>
    </row>
    <row r="223" spans="16:52" x14ac:dyDescent="0.35">
      <c r="P223" s="20"/>
      <c r="AT223" s="33"/>
      <c r="AW223" s="33"/>
      <c r="AZ223" s="33"/>
    </row>
    <row r="224" spans="16:52" x14ac:dyDescent="0.35">
      <c r="P224" s="20"/>
      <c r="AT224" s="33"/>
      <c r="AW224" s="33"/>
      <c r="AZ224" s="33"/>
    </row>
    <row r="225" spans="16:52" x14ac:dyDescent="0.35">
      <c r="P225" s="20"/>
      <c r="AT225" s="33"/>
      <c r="AW225" s="33"/>
      <c r="AZ225" s="33"/>
    </row>
    <row r="226" spans="16:52" x14ac:dyDescent="0.35">
      <c r="P226" s="20"/>
      <c r="AT226" s="33"/>
      <c r="AW226" s="33"/>
      <c r="AZ226" s="33"/>
    </row>
    <row r="227" spans="16:52" x14ac:dyDescent="0.35">
      <c r="P227" s="20"/>
      <c r="AT227" s="33"/>
      <c r="AW227" s="33"/>
      <c r="AZ227" s="33"/>
    </row>
    <row r="228" spans="16:52" x14ac:dyDescent="0.35">
      <c r="P228" s="20"/>
      <c r="AT228" s="33"/>
      <c r="AW228" s="33"/>
      <c r="AZ228" s="33"/>
    </row>
    <row r="229" spans="16:52" x14ac:dyDescent="0.35">
      <c r="P229" s="20"/>
      <c r="AT229" s="33"/>
      <c r="AW229" s="33"/>
      <c r="AZ229" s="33"/>
    </row>
    <row r="230" spans="16:52" x14ac:dyDescent="0.35">
      <c r="P230" s="20"/>
      <c r="AT230" s="33"/>
      <c r="AW230" s="33"/>
      <c r="AZ230" s="33"/>
    </row>
    <row r="231" spans="16:52" x14ac:dyDescent="0.35">
      <c r="P231" s="20"/>
      <c r="AT231" s="33"/>
      <c r="AW231" s="33"/>
      <c r="AZ231" s="33"/>
    </row>
    <row r="232" spans="16:52" x14ac:dyDescent="0.35">
      <c r="P232" s="20"/>
      <c r="AT232" s="33"/>
      <c r="AW232" s="33"/>
      <c r="AZ232" s="33"/>
    </row>
    <row r="233" spans="16:52" x14ac:dyDescent="0.35">
      <c r="P233" s="20"/>
      <c r="AT233" s="33"/>
      <c r="AW233" s="33"/>
      <c r="AZ233" s="33"/>
    </row>
    <row r="234" spans="16:52" x14ac:dyDescent="0.35">
      <c r="P234" s="20"/>
      <c r="AT234" s="33"/>
      <c r="AW234" s="33"/>
      <c r="AZ234" s="33"/>
    </row>
    <row r="235" spans="16:52" x14ac:dyDescent="0.35">
      <c r="P235" s="20"/>
      <c r="AT235" s="33"/>
      <c r="AW235" s="33"/>
      <c r="AZ235" s="33"/>
    </row>
    <row r="236" spans="16:52" x14ac:dyDescent="0.35">
      <c r="P236" s="20"/>
      <c r="AT236" s="33"/>
      <c r="AW236" s="33"/>
      <c r="AZ236" s="33"/>
    </row>
    <row r="237" spans="16:52" x14ac:dyDescent="0.35">
      <c r="P237" s="20"/>
      <c r="AT237" s="33"/>
      <c r="AW237" s="33"/>
      <c r="AZ237" s="33"/>
    </row>
    <row r="238" spans="16:52" x14ac:dyDescent="0.35">
      <c r="P238" s="20"/>
      <c r="AT238" s="33"/>
      <c r="AW238" s="33"/>
      <c r="AZ238" s="33"/>
    </row>
    <row r="239" spans="16:52" x14ac:dyDescent="0.35">
      <c r="P239" s="20"/>
      <c r="AT239" s="33"/>
      <c r="AW239" s="33"/>
      <c r="AZ239" s="33"/>
    </row>
    <row r="240" spans="16:52" x14ac:dyDescent="0.35">
      <c r="P240" s="20"/>
      <c r="AT240" s="33"/>
      <c r="AW240" s="33"/>
      <c r="AZ240" s="33"/>
    </row>
    <row r="241" spans="16:52" x14ac:dyDescent="0.35">
      <c r="P241" s="20"/>
      <c r="AT241" s="33"/>
      <c r="AW241" s="33"/>
      <c r="AZ241" s="33"/>
    </row>
    <row r="242" spans="16:52" x14ac:dyDescent="0.35">
      <c r="P242" s="20"/>
      <c r="AT242" s="33"/>
      <c r="AW242" s="33"/>
      <c r="AZ242" s="33"/>
    </row>
    <row r="243" spans="16:52" x14ac:dyDescent="0.35">
      <c r="P243" s="20"/>
      <c r="AT243" s="33"/>
      <c r="AW243" s="33"/>
      <c r="AZ243" s="33"/>
    </row>
    <row r="244" spans="16:52" x14ac:dyDescent="0.35">
      <c r="P244" s="20"/>
      <c r="AT244" s="33"/>
      <c r="AW244" s="33"/>
      <c r="AZ244" s="33"/>
    </row>
    <row r="245" spans="16:52" x14ac:dyDescent="0.35">
      <c r="P245" s="20"/>
      <c r="AT245" s="33"/>
      <c r="AW245" s="33"/>
      <c r="AZ245" s="33"/>
    </row>
    <row r="246" spans="16:52" x14ac:dyDescent="0.35">
      <c r="P246" s="20"/>
      <c r="AT246" s="33"/>
      <c r="AW246" s="33"/>
      <c r="AZ246" s="33"/>
    </row>
    <row r="247" spans="16:52" x14ac:dyDescent="0.35">
      <c r="P247" s="20"/>
      <c r="AT247" s="33"/>
      <c r="AW247" s="33"/>
      <c r="AZ247" s="33"/>
    </row>
    <row r="248" spans="16:52" x14ac:dyDescent="0.35">
      <c r="P248" s="20"/>
      <c r="AT248" s="33"/>
      <c r="AW248" s="33"/>
      <c r="AZ248" s="33"/>
    </row>
    <row r="249" spans="16:52" x14ac:dyDescent="0.35">
      <c r="P249" s="20"/>
      <c r="AT249" s="33"/>
      <c r="AW249" s="33"/>
      <c r="AZ249" s="33"/>
    </row>
    <row r="250" spans="16:52" x14ac:dyDescent="0.35">
      <c r="P250" s="20"/>
      <c r="AT250" s="33"/>
      <c r="AW250" s="33"/>
      <c r="AZ250" s="33"/>
    </row>
    <row r="251" spans="16:52" x14ac:dyDescent="0.35">
      <c r="P251" s="20"/>
      <c r="AT251" s="33"/>
      <c r="AW251" s="33"/>
      <c r="AZ251" s="33"/>
    </row>
    <row r="252" spans="16:52" x14ac:dyDescent="0.35">
      <c r="P252" s="20"/>
      <c r="AT252" s="33"/>
      <c r="AW252" s="33"/>
      <c r="AZ252" s="33"/>
    </row>
    <row r="253" spans="16:52" x14ac:dyDescent="0.35">
      <c r="P253" s="20"/>
      <c r="AT253" s="33"/>
      <c r="AW253" s="33"/>
      <c r="AZ253" s="33"/>
    </row>
    <row r="254" spans="16:52" x14ac:dyDescent="0.35">
      <c r="P254" s="20"/>
      <c r="AT254" s="33"/>
      <c r="AW254" s="33"/>
      <c r="AZ254" s="33"/>
    </row>
    <row r="255" spans="16:52" x14ac:dyDescent="0.35">
      <c r="P255" s="20"/>
      <c r="AT255" s="33"/>
      <c r="AW255" s="33"/>
      <c r="AZ255" s="33"/>
    </row>
    <row r="256" spans="16:52" x14ac:dyDescent="0.35">
      <c r="P256" s="20"/>
      <c r="AT256" s="33"/>
      <c r="AW256" s="33"/>
      <c r="AZ256" s="33"/>
    </row>
    <row r="257" spans="16:52" x14ac:dyDescent="0.35">
      <c r="P257" s="20"/>
      <c r="AT257" s="33"/>
      <c r="AW257" s="33"/>
      <c r="AZ257" s="33"/>
    </row>
    <row r="258" spans="16:52" x14ac:dyDescent="0.35">
      <c r="P258" s="20"/>
      <c r="AT258" s="33"/>
      <c r="AW258" s="33"/>
      <c r="AZ258" s="33"/>
    </row>
    <row r="259" spans="16:52" x14ac:dyDescent="0.35">
      <c r="P259" s="20"/>
      <c r="AT259" s="33"/>
      <c r="AW259" s="33"/>
      <c r="AZ259" s="33"/>
    </row>
    <row r="260" spans="16:52" x14ac:dyDescent="0.35">
      <c r="P260" s="20"/>
      <c r="AT260" s="33"/>
      <c r="AW260" s="33"/>
      <c r="AZ260" s="33"/>
    </row>
    <row r="261" spans="16:52" x14ac:dyDescent="0.35">
      <c r="P261" s="20"/>
      <c r="AT261" s="33"/>
      <c r="AW261" s="33"/>
      <c r="AZ261" s="33"/>
    </row>
    <row r="262" spans="16:52" x14ac:dyDescent="0.35">
      <c r="P262" s="20"/>
      <c r="AT262" s="33"/>
      <c r="AW262" s="33"/>
      <c r="AZ262" s="33"/>
    </row>
    <row r="263" spans="16:52" x14ac:dyDescent="0.35">
      <c r="P263" s="20"/>
      <c r="AT263" s="33"/>
      <c r="AW263" s="33"/>
      <c r="AZ263" s="33"/>
    </row>
    <row r="264" spans="16:52" x14ac:dyDescent="0.35">
      <c r="P264" s="20"/>
      <c r="AT264" s="33"/>
      <c r="AW264" s="33"/>
      <c r="AZ264" s="33"/>
    </row>
    <row r="265" spans="16:52" x14ac:dyDescent="0.35">
      <c r="P265" s="20"/>
      <c r="AT265" s="33"/>
      <c r="AW265" s="33"/>
      <c r="AZ265" s="33"/>
    </row>
    <row r="266" spans="16:52" x14ac:dyDescent="0.35">
      <c r="P266" s="20"/>
      <c r="AT266" s="33"/>
      <c r="AW266" s="33"/>
      <c r="AZ266" s="33"/>
    </row>
    <row r="267" spans="16:52" x14ac:dyDescent="0.35">
      <c r="P267" s="20"/>
      <c r="AT267" s="33"/>
      <c r="AW267" s="33"/>
      <c r="AZ267" s="33"/>
    </row>
    <row r="268" spans="16:52" x14ac:dyDescent="0.35">
      <c r="P268" s="20"/>
      <c r="AT268" s="33"/>
      <c r="AW268" s="33"/>
      <c r="AZ268" s="33"/>
    </row>
    <row r="269" spans="16:52" x14ac:dyDescent="0.35">
      <c r="P269" s="20"/>
      <c r="AT269" s="33"/>
      <c r="AW269" s="33"/>
      <c r="AZ269" s="33"/>
    </row>
    <row r="270" spans="16:52" x14ac:dyDescent="0.35">
      <c r="P270" s="20"/>
      <c r="AT270" s="33"/>
      <c r="AW270" s="33"/>
      <c r="AZ270" s="33"/>
    </row>
    <row r="271" spans="16:52" x14ac:dyDescent="0.35">
      <c r="P271" s="20"/>
      <c r="AT271" s="33"/>
      <c r="AW271" s="33"/>
      <c r="AZ271" s="33"/>
    </row>
    <row r="272" spans="16:52" x14ac:dyDescent="0.35">
      <c r="P272" s="20"/>
      <c r="AT272" s="33"/>
      <c r="AW272" s="33"/>
      <c r="AZ272" s="33"/>
    </row>
    <row r="273" spans="16:52" x14ac:dyDescent="0.35">
      <c r="P273" s="20"/>
      <c r="AT273" s="33"/>
      <c r="AW273" s="33"/>
      <c r="AZ273" s="33"/>
    </row>
    <row r="274" spans="16:52" x14ac:dyDescent="0.35">
      <c r="P274" s="20"/>
      <c r="AT274" s="33"/>
      <c r="AW274" s="33"/>
      <c r="AZ274" s="33"/>
    </row>
    <row r="275" spans="16:52" x14ac:dyDescent="0.35">
      <c r="P275" s="20"/>
      <c r="AT275" s="33"/>
      <c r="AW275" s="33"/>
      <c r="AZ275" s="33"/>
    </row>
    <row r="276" spans="16:52" x14ac:dyDescent="0.35">
      <c r="P276" s="20"/>
      <c r="AT276" s="33"/>
      <c r="AW276" s="33"/>
      <c r="AZ276" s="33"/>
    </row>
    <row r="277" spans="16:52" x14ac:dyDescent="0.35">
      <c r="P277" s="20"/>
      <c r="AT277" s="33"/>
      <c r="AW277" s="33"/>
      <c r="AZ277" s="33"/>
    </row>
    <row r="278" spans="16:52" x14ac:dyDescent="0.35">
      <c r="P278" s="20"/>
      <c r="AT278" s="33"/>
      <c r="AW278" s="33"/>
      <c r="AZ278" s="33"/>
    </row>
    <row r="279" spans="16:52" x14ac:dyDescent="0.35">
      <c r="P279" s="20"/>
      <c r="AT279" s="33"/>
      <c r="AW279" s="33"/>
      <c r="AZ279" s="33"/>
    </row>
    <row r="280" spans="16:52" x14ac:dyDescent="0.35">
      <c r="P280" s="20"/>
      <c r="AT280" s="33"/>
      <c r="AW280" s="33"/>
      <c r="AZ280" s="33"/>
    </row>
    <row r="281" spans="16:52" x14ac:dyDescent="0.35">
      <c r="P281" s="20"/>
      <c r="AT281" s="33"/>
      <c r="AW281" s="33"/>
      <c r="AZ281" s="33"/>
    </row>
    <row r="282" spans="16:52" x14ac:dyDescent="0.35">
      <c r="P282" s="20"/>
      <c r="AT282" s="33"/>
      <c r="AW282" s="33"/>
      <c r="AZ282" s="33"/>
    </row>
    <row r="283" spans="16:52" x14ac:dyDescent="0.35">
      <c r="P283" s="20"/>
      <c r="AT283" s="33"/>
      <c r="AW283" s="33"/>
      <c r="AZ283" s="33"/>
    </row>
    <row r="284" spans="16:52" x14ac:dyDescent="0.35">
      <c r="P284" s="20"/>
      <c r="AT284" s="33"/>
      <c r="AW284" s="33"/>
      <c r="AZ284" s="33"/>
    </row>
    <row r="285" spans="16:52" x14ac:dyDescent="0.35">
      <c r="P285" s="20"/>
      <c r="AT285" s="33"/>
      <c r="AW285" s="33"/>
      <c r="AZ285" s="33"/>
    </row>
    <row r="286" spans="16:52" x14ac:dyDescent="0.35">
      <c r="P286" s="20"/>
      <c r="AT286" s="33"/>
      <c r="AW286" s="33"/>
      <c r="AZ286" s="33"/>
    </row>
    <row r="287" spans="16:52" x14ac:dyDescent="0.35">
      <c r="P287" s="20"/>
      <c r="AT287" s="33"/>
      <c r="AW287" s="33"/>
      <c r="AZ287" s="33"/>
    </row>
    <row r="288" spans="16:52" x14ac:dyDescent="0.35">
      <c r="P288" s="20"/>
      <c r="AT288" s="33"/>
      <c r="AW288" s="33"/>
      <c r="AZ288" s="33"/>
    </row>
    <row r="289" spans="16:52" x14ac:dyDescent="0.35">
      <c r="P289" s="20"/>
      <c r="AT289" s="33"/>
      <c r="AW289" s="33"/>
      <c r="AZ289" s="33"/>
    </row>
    <row r="290" spans="16:52" x14ac:dyDescent="0.35">
      <c r="P290" s="20"/>
      <c r="AT290" s="33"/>
      <c r="AW290" s="33"/>
      <c r="AZ290" s="33"/>
    </row>
    <row r="291" spans="16:52" x14ac:dyDescent="0.35">
      <c r="P291" s="20"/>
      <c r="AT291" s="33"/>
      <c r="AW291" s="33"/>
      <c r="AZ291" s="33"/>
    </row>
    <row r="292" spans="16:52" x14ac:dyDescent="0.35">
      <c r="P292" s="20"/>
      <c r="AT292" s="33"/>
      <c r="AW292" s="33"/>
      <c r="AZ292" s="33"/>
    </row>
    <row r="293" spans="16:52" x14ac:dyDescent="0.35">
      <c r="P293" s="20"/>
      <c r="AT293" s="33"/>
      <c r="AW293" s="33"/>
      <c r="AZ293" s="33"/>
    </row>
    <row r="294" spans="16:52" x14ac:dyDescent="0.35">
      <c r="P294" s="20"/>
      <c r="AT294" s="33"/>
      <c r="AW294" s="33"/>
      <c r="AZ294" s="33"/>
    </row>
    <row r="295" spans="16:52" x14ac:dyDescent="0.35">
      <c r="P295" s="20"/>
      <c r="AT295" s="33"/>
      <c r="AW295" s="33"/>
      <c r="AZ295" s="33"/>
    </row>
    <row r="296" spans="16:52" x14ac:dyDescent="0.35">
      <c r="P296" s="20"/>
      <c r="AT296" s="33"/>
      <c r="AW296" s="33"/>
      <c r="AZ296" s="33"/>
    </row>
    <row r="297" spans="16:52" x14ac:dyDescent="0.35">
      <c r="P297" s="20"/>
      <c r="AT297" s="33"/>
      <c r="AW297" s="33"/>
      <c r="AZ297" s="33"/>
    </row>
    <row r="298" spans="16:52" x14ac:dyDescent="0.35">
      <c r="P298" s="20"/>
      <c r="AT298" s="33"/>
      <c r="AW298" s="33"/>
      <c r="AZ298" s="33"/>
    </row>
    <row r="299" spans="16:52" x14ac:dyDescent="0.35">
      <c r="P299" s="20"/>
      <c r="AT299" s="33"/>
      <c r="AW299" s="33"/>
      <c r="AZ299" s="33"/>
    </row>
    <row r="300" spans="16:52" x14ac:dyDescent="0.35">
      <c r="P300" s="20"/>
      <c r="AT300" s="33"/>
      <c r="AW300" s="33"/>
      <c r="AZ300" s="33"/>
    </row>
    <row r="301" spans="16:52" x14ac:dyDescent="0.35">
      <c r="P301" s="20"/>
      <c r="AT301" s="33"/>
      <c r="AW301" s="33"/>
      <c r="AZ301" s="33"/>
    </row>
    <row r="302" spans="16:52" x14ac:dyDescent="0.35">
      <c r="P302" s="20"/>
      <c r="AT302" s="33"/>
      <c r="AW302" s="33"/>
      <c r="AZ302" s="33"/>
    </row>
    <row r="303" spans="16:52" x14ac:dyDescent="0.35">
      <c r="P303" s="20"/>
      <c r="AT303" s="33"/>
      <c r="AW303" s="33"/>
      <c r="AZ303" s="33"/>
    </row>
    <row r="304" spans="16:52" x14ac:dyDescent="0.35">
      <c r="P304" s="20"/>
      <c r="AT304" s="33"/>
      <c r="AW304" s="33"/>
      <c r="AZ304" s="33"/>
    </row>
    <row r="305" spans="16:52" x14ac:dyDescent="0.35">
      <c r="P305" s="20"/>
      <c r="AT305" s="33"/>
      <c r="AW305" s="33"/>
      <c r="AZ305" s="33"/>
    </row>
    <row r="306" spans="16:52" x14ac:dyDescent="0.35">
      <c r="P306" s="20"/>
      <c r="AT306" s="33"/>
      <c r="AW306" s="33"/>
      <c r="AZ306" s="33"/>
    </row>
    <row r="307" spans="16:52" x14ac:dyDescent="0.35">
      <c r="P307" s="20"/>
      <c r="AT307" s="33"/>
      <c r="AW307" s="33"/>
      <c r="AZ307" s="33"/>
    </row>
    <row r="308" spans="16:52" x14ac:dyDescent="0.35">
      <c r="P308" s="20"/>
      <c r="AT308" s="33"/>
      <c r="AW308" s="33"/>
      <c r="AZ308" s="33"/>
    </row>
    <row r="309" spans="16:52" x14ac:dyDescent="0.35">
      <c r="P309" s="20"/>
      <c r="AT309" s="33"/>
      <c r="AW309" s="33"/>
      <c r="AZ309" s="33"/>
    </row>
    <row r="310" spans="16:52" x14ac:dyDescent="0.35">
      <c r="P310" s="20"/>
      <c r="AT310" s="33"/>
      <c r="AW310" s="33"/>
      <c r="AZ310" s="33"/>
    </row>
    <row r="311" spans="16:52" x14ac:dyDescent="0.35">
      <c r="P311" s="20"/>
      <c r="AT311" s="33"/>
      <c r="AW311" s="33"/>
      <c r="AZ311" s="33"/>
    </row>
    <row r="312" spans="16:52" x14ac:dyDescent="0.35">
      <c r="P312" s="20"/>
      <c r="AT312" s="33"/>
      <c r="AW312" s="33"/>
      <c r="AZ312" s="33"/>
    </row>
    <row r="313" spans="16:52" x14ac:dyDescent="0.35">
      <c r="P313" s="20"/>
      <c r="AT313" s="33"/>
      <c r="AW313" s="33"/>
      <c r="AZ313" s="33"/>
    </row>
    <row r="314" spans="16:52" x14ac:dyDescent="0.35">
      <c r="P314" s="20"/>
      <c r="AT314" s="33"/>
      <c r="AW314" s="33"/>
      <c r="AZ314" s="33"/>
    </row>
    <row r="315" spans="16:52" x14ac:dyDescent="0.35">
      <c r="P315" s="20"/>
      <c r="AT315" s="33"/>
      <c r="AW315" s="33"/>
      <c r="AZ315" s="33"/>
    </row>
    <row r="316" spans="16:52" x14ac:dyDescent="0.35">
      <c r="P316" s="20"/>
      <c r="AT316" s="33"/>
      <c r="AW316" s="33"/>
      <c r="AZ316" s="33"/>
    </row>
    <row r="317" spans="16:52" x14ac:dyDescent="0.35">
      <c r="P317" s="20"/>
      <c r="AT317" s="33"/>
      <c r="AW317" s="33"/>
      <c r="AZ317" s="33"/>
    </row>
    <row r="318" spans="16:52" x14ac:dyDescent="0.35">
      <c r="P318" s="20"/>
      <c r="AT318" s="33"/>
      <c r="AW318" s="33"/>
      <c r="AZ318" s="33"/>
    </row>
    <row r="319" spans="16:52" x14ac:dyDescent="0.35">
      <c r="P319" s="20"/>
      <c r="AT319" s="33"/>
      <c r="AW319" s="33"/>
      <c r="AZ319" s="33"/>
    </row>
    <row r="320" spans="16:52" x14ac:dyDescent="0.35">
      <c r="P320" s="20"/>
      <c r="AT320" s="33"/>
      <c r="AW320" s="33"/>
      <c r="AZ320" s="33"/>
    </row>
    <row r="321" spans="16:52" x14ac:dyDescent="0.35">
      <c r="P321" s="20"/>
      <c r="AT321" s="33"/>
      <c r="AW321" s="33"/>
      <c r="AZ321" s="33"/>
    </row>
    <row r="322" spans="16:52" x14ac:dyDescent="0.35">
      <c r="P322" s="20"/>
      <c r="AT322" s="33"/>
      <c r="AW322" s="33"/>
      <c r="AZ322" s="33"/>
    </row>
    <row r="323" spans="16:52" x14ac:dyDescent="0.35">
      <c r="P323" s="20"/>
      <c r="AT323" s="33"/>
      <c r="AW323" s="33"/>
      <c r="AZ323" s="33"/>
    </row>
    <row r="324" spans="16:52" x14ac:dyDescent="0.35">
      <c r="P324" s="20"/>
      <c r="AT324" s="33"/>
      <c r="AW324" s="33"/>
      <c r="AZ324" s="33"/>
    </row>
    <row r="325" spans="16:52" x14ac:dyDescent="0.35">
      <c r="P325" s="20"/>
      <c r="AT325" s="33"/>
      <c r="AW325" s="33"/>
      <c r="AZ325" s="33"/>
    </row>
    <row r="326" spans="16:52" x14ac:dyDescent="0.35">
      <c r="P326" s="20"/>
      <c r="AT326" s="33"/>
      <c r="AW326" s="33"/>
      <c r="AZ326" s="33"/>
    </row>
    <row r="327" spans="16:52" x14ac:dyDescent="0.35">
      <c r="P327" s="20"/>
      <c r="AT327" s="33"/>
      <c r="AW327" s="33"/>
      <c r="AZ327" s="33"/>
    </row>
    <row r="328" spans="16:52" x14ac:dyDescent="0.35">
      <c r="P328" s="20"/>
      <c r="AT328" s="33"/>
      <c r="AW328" s="33"/>
      <c r="AZ328" s="33"/>
    </row>
    <row r="329" spans="16:52" x14ac:dyDescent="0.35">
      <c r="P329" s="20"/>
      <c r="AT329" s="33"/>
      <c r="AW329" s="33"/>
      <c r="AZ329" s="33"/>
    </row>
    <row r="330" spans="16:52" x14ac:dyDescent="0.35">
      <c r="P330" s="20"/>
      <c r="AT330" s="33"/>
      <c r="AW330" s="33"/>
      <c r="AZ330" s="33"/>
    </row>
    <row r="331" spans="16:52" x14ac:dyDescent="0.35">
      <c r="P331" s="20"/>
      <c r="AT331" s="33"/>
      <c r="AW331" s="33"/>
      <c r="AZ331" s="33"/>
    </row>
    <row r="332" spans="16:52" x14ac:dyDescent="0.35">
      <c r="P332" s="20"/>
      <c r="AT332" s="33"/>
      <c r="AW332" s="33"/>
      <c r="AZ332" s="33"/>
    </row>
    <row r="333" spans="16:52" x14ac:dyDescent="0.35">
      <c r="P333" s="20"/>
      <c r="AT333" s="33"/>
      <c r="AW333" s="33"/>
      <c r="AZ333" s="33"/>
    </row>
    <row r="334" spans="16:52" x14ac:dyDescent="0.35">
      <c r="P334" s="20"/>
      <c r="AT334" s="33"/>
      <c r="AW334" s="33"/>
      <c r="AZ334" s="33"/>
    </row>
    <row r="335" spans="16:52" x14ac:dyDescent="0.35">
      <c r="P335" s="20"/>
      <c r="AT335" s="33"/>
      <c r="AW335" s="33"/>
      <c r="AZ335" s="33"/>
    </row>
    <row r="336" spans="16:52" x14ac:dyDescent="0.35">
      <c r="P336" s="20"/>
      <c r="AT336" s="33"/>
      <c r="AW336" s="33"/>
      <c r="AZ336" s="33"/>
    </row>
    <row r="337" spans="16:52" x14ac:dyDescent="0.35">
      <c r="P337" s="20"/>
      <c r="AT337" s="33"/>
      <c r="AW337" s="33"/>
      <c r="AZ337" s="33"/>
    </row>
    <row r="338" spans="16:52" x14ac:dyDescent="0.35">
      <c r="P338" s="20"/>
      <c r="AT338" s="33"/>
      <c r="AW338" s="33"/>
      <c r="AZ338" s="33"/>
    </row>
    <row r="339" spans="16:52" x14ac:dyDescent="0.35">
      <c r="P339" s="20"/>
      <c r="AT339" s="33"/>
      <c r="AW339" s="33"/>
      <c r="AZ339" s="33"/>
    </row>
    <row r="340" spans="16:52" x14ac:dyDescent="0.35">
      <c r="P340" s="20"/>
      <c r="AT340" s="33"/>
      <c r="AW340" s="33"/>
      <c r="AZ340" s="33"/>
    </row>
    <row r="341" spans="16:52" x14ac:dyDescent="0.35">
      <c r="P341" s="20"/>
      <c r="AT341" s="33"/>
      <c r="AW341" s="33"/>
      <c r="AZ341" s="33"/>
    </row>
    <row r="342" spans="16:52" x14ac:dyDescent="0.35">
      <c r="P342" s="20"/>
      <c r="AT342" s="33"/>
      <c r="AW342" s="33"/>
      <c r="AZ342" s="33"/>
    </row>
    <row r="343" spans="16:52" x14ac:dyDescent="0.35">
      <c r="P343" s="20"/>
      <c r="AT343" s="33"/>
      <c r="AW343" s="33"/>
      <c r="AZ343" s="33"/>
    </row>
    <row r="344" spans="16:52" x14ac:dyDescent="0.35">
      <c r="P344" s="20"/>
      <c r="AT344" s="33"/>
      <c r="AW344" s="33"/>
      <c r="AZ344" s="33"/>
    </row>
    <row r="345" spans="16:52" x14ac:dyDescent="0.35">
      <c r="P345" s="20"/>
      <c r="AT345" s="33"/>
      <c r="AW345" s="33"/>
      <c r="AZ345" s="33"/>
    </row>
    <row r="346" spans="16:52" x14ac:dyDescent="0.35">
      <c r="P346" s="20"/>
      <c r="AT346" s="33"/>
      <c r="AW346" s="33"/>
      <c r="AZ346" s="33"/>
    </row>
    <row r="347" spans="16:52" x14ac:dyDescent="0.35">
      <c r="P347" s="20"/>
      <c r="AT347" s="33"/>
      <c r="AW347" s="33"/>
      <c r="AZ347" s="33"/>
    </row>
    <row r="348" spans="16:52" x14ac:dyDescent="0.35">
      <c r="P348" s="20"/>
      <c r="AT348" s="33"/>
      <c r="AW348" s="33"/>
      <c r="AZ348" s="33"/>
    </row>
    <row r="349" spans="16:52" x14ac:dyDescent="0.35">
      <c r="P349" s="20"/>
      <c r="AT349" s="33"/>
      <c r="AW349" s="33"/>
      <c r="AZ349" s="33"/>
    </row>
    <row r="350" spans="16:52" x14ac:dyDescent="0.35">
      <c r="P350" s="20"/>
      <c r="AT350" s="33"/>
      <c r="AW350" s="33"/>
      <c r="AZ350" s="33"/>
    </row>
    <row r="351" spans="16:52" x14ac:dyDescent="0.35">
      <c r="P351" s="20"/>
      <c r="AT351" s="33"/>
      <c r="AW351" s="33"/>
      <c r="AZ351" s="33"/>
    </row>
    <row r="352" spans="16:52" x14ac:dyDescent="0.35">
      <c r="P352" s="20"/>
      <c r="AT352" s="33"/>
      <c r="AW352" s="33"/>
      <c r="AZ352" s="33"/>
    </row>
    <row r="353" spans="16:52" x14ac:dyDescent="0.35">
      <c r="P353" s="20"/>
      <c r="AT353" s="33"/>
      <c r="AW353" s="33"/>
      <c r="AZ353" s="33"/>
    </row>
    <row r="354" spans="16:52" x14ac:dyDescent="0.35">
      <c r="P354" s="20"/>
      <c r="AT354" s="33"/>
      <c r="AW354" s="33"/>
      <c r="AZ354" s="33"/>
    </row>
    <row r="355" spans="16:52" x14ac:dyDescent="0.35">
      <c r="P355" s="20"/>
      <c r="AT355" s="33"/>
      <c r="AW355" s="33"/>
      <c r="AZ355" s="33"/>
    </row>
    <row r="356" spans="16:52" x14ac:dyDescent="0.35">
      <c r="P356" s="20"/>
      <c r="AT356" s="33"/>
      <c r="AW356" s="33"/>
      <c r="AZ356" s="33"/>
    </row>
    <row r="357" spans="16:52" x14ac:dyDescent="0.35">
      <c r="P357" s="20"/>
      <c r="AT357" s="33"/>
      <c r="AW357" s="33"/>
      <c r="AZ357" s="33"/>
    </row>
    <row r="358" spans="16:52" x14ac:dyDescent="0.35">
      <c r="P358" s="20"/>
      <c r="AT358" s="33"/>
      <c r="AW358" s="33"/>
      <c r="AZ358" s="33"/>
    </row>
    <row r="359" spans="16:52" x14ac:dyDescent="0.35">
      <c r="P359" s="20"/>
      <c r="AT359" s="33"/>
      <c r="AW359" s="33"/>
      <c r="AZ359" s="33"/>
    </row>
    <row r="360" spans="16:52" x14ac:dyDescent="0.35">
      <c r="P360" s="20"/>
      <c r="AT360" s="33"/>
      <c r="AW360" s="33"/>
      <c r="AZ360" s="33"/>
    </row>
    <row r="361" spans="16:52" x14ac:dyDescent="0.35">
      <c r="P361" s="20"/>
      <c r="AT361" s="33"/>
      <c r="AW361" s="33"/>
      <c r="AZ361" s="33"/>
    </row>
    <row r="362" spans="16:52" x14ac:dyDescent="0.35">
      <c r="P362" s="20"/>
      <c r="AT362" s="33"/>
      <c r="AW362" s="33"/>
      <c r="AZ362" s="33"/>
    </row>
    <row r="363" spans="16:52" x14ac:dyDescent="0.35">
      <c r="P363" s="20"/>
      <c r="AT363" s="33"/>
      <c r="AW363" s="33"/>
      <c r="AZ363" s="33"/>
    </row>
    <row r="364" spans="16:52" x14ac:dyDescent="0.35">
      <c r="P364" s="20"/>
      <c r="AT364" s="33"/>
      <c r="AW364" s="33"/>
      <c r="AZ364" s="33"/>
    </row>
    <row r="365" spans="16:52" x14ac:dyDescent="0.35">
      <c r="P365" s="20"/>
      <c r="AT365" s="33"/>
      <c r="AW365" s="33"/>
      <c r="AZ365" s="33"/>
    </row>
    <row r="366" spans="16:52" x14ac:dyDescent="0.35">
      <c r="P366" s="20"/>
      <c r="AT366" s="33"/>
      <c r="AW366" s="33"/>
      <c r="AZ366" s="33"/>
    </row>
    <row r="367" spans="16:52" x14ac:dyDescent="0.35">
      <c r="P367" s="20"/>
      <c r="AT367" s="33"/>
      <c r="AW367" s="33"/>
      <c r="AZ367" s="33"/>
    </row>
    <row r="368" spans="16:52" x14ac:dyDescent="0.35">
      <c r="P368" s="20"/>
      <c r="AT368" s="33"/>
      <c r="AW368" s="33"/>
      <c r="AZ368" s="33"/>
    </row>
    <row r="369" spans="16:52" x14ac:dyDescent="0.35">
      <c r="P369" s="20"/>
      <c r="AT369" s="33"/>
      <c r="AW369" s="33"/>
      <c r="AZ369" s="33"/>
    </row>
    <row r="370" spans="16:52" x14ac:dyDescent="0.35">
      <c r="P370" s="20"/>
      <c r="AT370" s="33"/>
      <c r="AW370" s="33"/>
      <c r="AZ370" s="33"/>
    </row>
    <row r="371" spans="16:52" x14ac:dyDescent="0.35">
      <c r="P371" s="20"/>
      <c r="AT371" s="33"/>
      <c r="AW371" s="33"/>
      <c r="AZ371" s="33"/>
    </row>
    <row r="372" spans="16:52" x14ac:dyDescent="0.35">
      <c r="P372" s="20"/>
      <c r="AT372" s="33"/>
      <c r="AW372" s="33"/>
      <c r="AZ372" s="33"/>
    </row>
    <row r="373" spans="16:52" x14ac:dyDescent="0.35">
      <c r="P373" s="20"/>
      <c r="AT373" s="33"/>
      <c r="AW373" s="33"/>
      <c r="AZ373" s="33"/>
    </row>
    <row r="374" spans="16:52" x14ac:dyDescent="0.35">
      <c r="P374" s="20"/>
      <c r="AT374" s="33"/>
      <c r="AW374" s="33"/>
      <c r="AZ374" s="33"/>
    </row>
    <row r="375" spans="16:52" x14ac:dyDescent="0.35">
      <c r="P375" s="20"/>
      <c r="AT375" s="33"/>
      <c r="AW375" s="33"/>
      <c r="AZ375" s="33"/>
    </row>
    <row r="376" spans="16:52" x14ac:dyDescent="0.35">
      <c r="P376" s="20"/>
      <c r="AT376" s="33"/>
      <c r="AW376" s="33"/>
      <c r="AZ376" s="33"/>
    </row>
    <row r="377" spans="16:52" x14ac:dyDescent="0.35">
      <c r="P377" s="20"/>
      <c r="AT377" s="33"/>
      <c r="AW377" s="33"/>
      <c r="AZ377" s="33"/>
    </row>
    <row r="378" spans="16:52" x14ac:dyDescent="0.35">
      <c r="P378" s="20"/>
      <c r="AT378" s="33"/>
      <c r="AW378" s="33"/>
      <c r="AZ378" s="33"/>
    </row>
    <row r="379" spans="16:52" x14ac:dyDescent="0.35">
      <c r="P379" s="20"/>
      <c r="AT379" s="33"/>
      <c r="AW379" s="33"/>
      <c r="AZ379" s="33"/>
    </row>
    <row r="380" spans="16:52" x14ac:dyDescent="0.35">
      <c r="P380" s="20"/>
      <c r="AT380" s="33"/>
      <c r="AW380" s="33"/>
      <c r="AZ380" s="33"/>
    </row>
    <row r="381" spans="16:52" x14ac:dyDescent="0.35">
      <c r="P381" s="20"/>
      <c r="AT381" s="33"/>
      <c r="AW381" s="33"/>
      <c r="AZ381" s="33"/>
    </row>
    <row r="382" spans="16:52" x14ac:dyDescent="0.35">
      <c r="P382" s="20"/>
      <c r="AT382" s="33"/>
      <c r="AW382" s="33"/>
      <c r="AZ382" s="33"/>
    </row>
    <row r="383" spans="16:52" x14ac:dyDescent="0.35">
      <c r="P383" s="20"/>
      <c r="AT383" s="33"/>
      <c r="AW383" s="33"/>
      <c r="AZ383" s="33"/>
    </row>
    <row r="384" spans="16:52" x14ac:dyDescent="0.35">
      <c r="P384" s="20"/>
      <c r="AT384" s="33"/>
      <c r="AW384" s="33"/>
      <c r="AZ384" s="33"/>
    </row>
    <row r="385" spans="16:52" x14ac:dyDescent="0.35">
      <c r="P385" s="20"/>
      <c r="AT385" s="33"/>
      <c r="AW385" s="33"/>
      <c r="AZ385" s="33"/>
    </row>
    <row r="386" spans="16:52" x14ac:dyDescent="0.35">
      <c r="P386" s="20"/>
      <c r="AT386" s="33"/>
      <c r="AW386" s="33"/>
      <c r="AZ386" s="33"/>
    </row>
    <row r="387" spans="16:52" x14ac:dyDescent="0.35">
      <c r="P387" s="20"/>
      <c r="AT387" s="33"/>
      <c r="AW387" s="33"/>
      <c r="AZ387" s="33"/>
    </row>
    <row r="388" spans="16:52" x14ac:dyDescent="0.35">
      <c r="P388" s="20"/>
      <c r="AT388" s="33"/>
      <c r="AW388" s="33"/>
      <c r="AZ388" s="33"/>
    </row>
    <row r="389" spans="16:52" x14ac:dyDescent="0.35">
      <c r="P389" s="20"/>
      <c r="AT389" s="33"/>
      <c r="AW389" s="33"/>
      <c r="AZ389" s="33"/>
    </row>
    <row r="390" spans="16:52" x14ac:dyDescent="0.35">
      <c r="P390" s="20"/>
      <c r="AT390" s="33"/>
      <c r="AW390" s="33"/>
      <c r="AZ390" s="33"/>
    </row>
    <row r="391" spans="16:52" x14ac:dyDescent="0.35">
      <c r="P391" s="20"/>
      <c r="AT391" s="33"/>
      <c r="AW391" s="33"/>
      <c r="AZ391" s="33"/>
    </row>
    <row r="392" spans="16:52" x14ac:dyDescent="0.35">
      <c r="P392" s="20"/>
      <c r="AT392" s="33"/>
      <c r="AW392" s="33"/>
      <c r="AZ392" s="33"/>
    </row>
    <row r="393" spans="16:52" x14ac:dyDescent="0.35">
      <c r="AT393" s="33"/>
      <c r="AW393" s="33"/>
      <c r="AZ393" s="33"/>
    </row>
    <row r="394" spans="16:52" x14ac:dyDescent="0.35">
      <c r="AT394" s="33"/>
      <c r="AW394" s="33"/>
      <c r="AZ394" s="33"/>
    </row>
    <row r="395" spans="16:52" x14ac:dyDescent="0.35">
      <c r="AT395" s="33"/>
      <c r="AW395" s="33"/>
      <c r="AZ395" s="33"/>
    </row>
    <row r="396" spans="16:52" x14ac:dyDescent="0.35">
      <c r="AT396" s="33"/>
      <c r="AW396" s="33"/>
      <c r="AZ396" s="33"/>
    </row>
    <row r="397" spans="16:52" x14ac:dyDescent="0.35">
      <c r="AT397" s="33"/>
      <c r="AW397" s="33"/>
      <c r="AZ397" s="33"/>
    </row>
    <row r="398" spans="16:52" x14ac:dyDescent="0.35">
      <c r="AT398" s="33"/>
      <c r="AW398" s="33"/>
      <c r="AZ398" s="33"/>
    </row>
    <row r="399" spans="16:52" x14ac:dyDescent="0.35">
      <c r="AT399" s="33"/>
      <c r="AW399" s="33"/>
      <c r="AZ399" s="33"/>
    </row>
    <row r="400" spans="16:52" x14ac:dyDescent="0.35">
      <c r="AT400" s="33"/>
      <c r="AW400" s="33"/>
      <c r="AZ400" s="33"/>
    </row>
    <row r="401" spans="46:52" x14ac:dyDescent="0.35">
      <c r="AT401" s="33"/>
      <c r="AW401" s="33"/>
      <c r="AZ401" s="33"/>
    </row>
    <row r="402" spans="46:52" x14ac:dyDescent="0.35">
      <c r="AT402" s="33"/>
      <c r="AW402" s="33"/>
      <c r="AZ402" s="33"/>
    </row>
    <row r="403" spans="46:52" x14ac:dyDescent="0.35">
      <c r="AT403" s="33"/>
      <c r="AW403" s="33"/>
      <c r="AZ403" s="33"/>
    </row>
    <row r="404" spans="46:52" x14ac:dyDescent="0.35">
      <c r="AT404" s="33"/>
      <c r="AW404" s="33"/>
      <c r="AZ404" s="33"/>
    </row>
    <row r="405" spans="46:52" x14ac:dyDescent="0.35">
      <c r="AT405" s="33"/>
      <c r="AW405" s="33"/>
      <c r="AZ405" s="33"/>
    </row>
    <row r="406" spans="46:52" x14ac:dyDescent="0.35">
      <c r="AT406" s="33"/>
      <c r="AW406" s="33"/>
      <c r="AZ406" s="33"/>
    </row>
    <row r="407" spans="46:52" x14ac:dyDescent="0.35">
      <c r="AT407" s="33"/>
      <c r="AW407" s="33"/>
      <c r="AZ407" s="33"/>
    </row>
    <row r="408" spans="46:52" x14ac:dyDescent="0.35">
      <c r="AT408" s="33"/>
      <c r="AW408" s="33"/>
      <c r="AZ408" s="33"/>
    </row>
    <row r="409" spans="46:52" x14ac:dyDescent="0.35">
      <c r="AT409" s="33"/>
      <c r="AW409" s="33"/>
      <c r="AZ409" s="33"/>
    </row>
    <row r="410" spans="46:52" x14ac:dyDescent="0.35">
      <c r="AT410" s="33"/>
      <c r="AW410" s="33"/>
      <c r="AZ410" s="33"/>
    </row>
    <row r="411" spans="46:52" x14ac:dyDescent="0.35">
      <c r="AT411" s="33"/>
      <c r="AW411" s="33"/>
      <c r="AZ411" s="33"/>
    </row>
    <row r="412" spans="46:52" x14ac:dyDescent="0.35">
      <c r="AT412" s="33"/>
      <c r="AW412" s="33"/>
      <c r="AZ412" s="33"/>
    </row>
    <row r="413" spans="46:52" x14ac:dyDescent="0.35">
      <c r="AT413" s="33"/>
      <c r="AW413" s="33"/>
      <c r="AZ413" s="33"/>
    </row>
    <row r="414" spans="46:52" x14ac:dyDescent="0.35">
      <c r="AT414" s="33"/>
      <c r="AW414" s="33"/>
      <c r="AZ414" s="33"/>
    </row>
    <row r="415" spans="46:52" x14ac:dyDescent="0.35">
      <c r="AT415" s="33"/>
      <c r="AW415" s="33"/>
      <c r="AZ415" s="33"/>
    </row>
    <row r="416" spans="46:52" x14ac:dyDescent="0.35">
      <c r="AT416" s="33"/>
      <c r="AW416" s="33"/>
      <c r="AZ416" s="33"/>
    </row>
    <row r="417" spans="46:52" x14ac:dyDescent="0.35">
      <c r="AT417" s="33"/>
      <c r="AW417" s="33"/>
      <c r="AZ417" s="33"/>
    </row>
    <row r="418" spans="46:52" x14ac:dyDescent="0.35">
      <c r="AT418" s="33"/>
      <c r="AW418" s="33"/>
      <c r="AZ418" s="33"/>
    </row>
    <row r="419" spans="46:52" x14ac:dyDescent="0.35">
      <c r="AT419" s="33"/>
      <c r="AW419" s="33"/>
      <c r="AZ419" s="33"/>
    </row>
    <row r="420" spans="46:52" x14ac:dyDescent="0.35">
      <c r="AT420" s="33"/>
      <c r="AW420" s="33"/>
      <c r="AZ420" s="33"/>
    </row>
    <row r="421" spans="46:52" x14ac:dyDescent="0.35">
      <c r="AT421" s="33"/>
      <c r="AW421" s="33"/>
      <c r="AZ421" s="33"/>
    </row>
    <row r="422" spans="46:52" x14ac:dyDescent="0.35">
      <c r="AT422" s="33"/>
      <c r="AW422" s="33"/>
      <c r="AZ422" s="33"/>
    </row>
    <row r="423" spans="46:52" x14ac:dyDescent="0.35">
      <c r="AT423" s="33"/>
      <c r="AW423" s="33"/>
      <c r="AZ423" s="33"/>
    </row>
    <row r="424" spans="46:52" x14ac:dyDescent="0.35">
      <c r="AT424" s="33"/>
      <c r="AW424" s="33"/>
      <c r="AZ424" s="33"/>
    </row>
    <row r="425" spans="46:52" x14ac:dyDescent="0.35">
      <c r="AT425" s="33"/>
      <c r="AW425" s="33"/>
      <c r="AZ425" s="33"/>
    </row>
    <row r="426" spans="46:52" x14ac:dyDescent="0.35">
      <c r="AT426" s="33"/>
      <c r="AW426" s="33"/>
      <c r="AZ426" s="33"/>
    </row>
    <row r="427" spans="46:52" x14ac:dyDescent="0.35">
      <c r="AT427" s="33"/>
      <c r="AW427" s="33"/>
      <c r="AZ427" s="33"/>
    </row>
    <row r="428" spans="46:52" x14ac:dyDescent="0.35">
      <c r="AT428" s="33"/>
      <c r="AW428" s="33"/>
      <c r="AZ428" s="33"/>
    </row>
    <row r="429" spans="46:52" x14ac:dyDescent="0.35">
      <c r="AT429" s="33"/>
      <c r="AW429" s="33"/>
      <c r="AZ429" s="33"/>
    </row>
    <row r="430" spans="46:52" x14ac:dyDescent="0.35">
      <c r="AT430" s="33"/>
      <c r="AW430" s="33"/>
      <c r="AZ430" s="33"/>
    </row>
    <row r="431" spans="46:52" x14ac:dyDescent="0.35">
      <c r="AT431" s="33"/>
      <c r="AW431" s="33"/>
      <c r="AZ431" s="33"/>
    </row>
    <row r="432" spans="46:52" x14ac:dyDescent="0.35">
      <c r="AT432" s="33"/>
      <c r="AW432" s="33"/>
      <c r="AZ432" s="33"/>
    </row>
    <row r="433" spans="40:52" x14ac:dyDescent="0.35">
      <c r="AT433" s="33"/>
      <c r="AW433" s="33"/>
      <c r="AZ433" s="33"/>
    </row>
    <row r="434" spans="40:52" x14ac:dyDescent="0.35">
      <c r="AT434" s="33"/>
      <c r="AW434" s="33"/>
      <c r="AZ434" s="33"/>
    </row>
    <row r="435" spans="40:52" x14ac:dyDescent="0.35">
      <c r="AT435" s="33"/>
      <c r="AW435" s="33"/>
      <c r="AZ435" s="33"/>
    </row>
    <row r="436" spans="40:52" x14ac:dyDescent="0.35">
      <c r="AT436" s="33"/>
      <c r="AW436" s="33"/>
      <c r="AZ436" s="33"/>
    </row>
    <row r="437" spans="40:52" x14ac:dyDescent="0.35">
      <c r="AN437" s="5">
        <f>AK48</f>
        <v>0</v>
      </c>
      <c r="AT437" s="33"/>
      <c r="AW437" s="33"/>
      <c r="AZ437" s="33"/>
    </row>
    <row r="438" spans="40:52" x14ac:dyDescent="0.35">
      <c r="AT438" s="33"/>
      <c r="AW438" s="33"/>
      <c r="AZ438" s="33"/>
    </row>
    <row r="439" spans="40:52" x14ac:dyDescent="0.35">
      <c r="AT439" s="33"/>
      <c r="AW439" s="33"/>
      <c r="AZ439" s="33"/>
    </row>
    <row r="440" spans="40:52" x14ac:dyDescent="0.35">
      <c r="AT440" s="33"/>
      <c r="AW440" s="33"/>
      <c r="AZ440" s="33"/>
    </row>
    <row r="441" spans="40:52" x14ac:dyDescent="0.35">
      <c r="AT441" s="33"/>
      <c r="AW441" s="33"/>
      <c r="AZ441" s="33"/>
    </row>
    <row r="442" spans="40:52" x14ac:dyDescent="0.35">
      <c r="AT442" s="33"/>
      <c r="AW442" s="33"/>
      <c r="AZ442" s="33"/>
    </row>
    <row r="443" spans="40:52" x14ac:dyDescent="0.35">
      <c r="AT443" s="33"/>
      <c r="AW443" s="33"/>
      <c r="AZ443" s="33"/>
    </row>
    <row r="444" spans="40:52" x14ac:dyDescent="0.35">
      <c r="AT444" s="33"/>
      <c r="AW444" s="33"/>
      <c r="AZ444" s="33"/>
    </row>
    <row r="445" spans="40:52" x14ac:dyDescent="0.35">
      <c r="AT445" s="33"/>
      <c r="AW445" s="33"/>
      <c r="AZ445" s="33"/>
    </row>
    <row r="446" spans="40:52" x14ac:dyDescent="0.35">
      <c r="AT446" s="33"/>
      <c r="AW446" s="33"/>
      <c r="AZ446" s="33"/>
    </row>
    <row r="447" spans="40:52" x14ac:dyDescent="0.35">
      <c r="AT447" s="33"/>
      <c r="AW447" s="33"/>
      <c r="AZ447" s="33"/>
    </row>
    <row r="448" spans="40:52" x14ac:dyDescent="0.35">
      <c r="AT448" s="33"/>
      <c r="AW448" s="33"/>
      <c r="AZ448" s="33"/>
    </row>
    <row r="449" spans="46:52" x14ac:dyDescent="0.35">
      <c r="AT449" s="33"/>
      <c r="AW449" s="33"/>
      <c r="AZ449" s="33"/>
    </row>
    <row r="450" spans="46:52" x14ac:dyDescent="0.35">
      <c r="AT450" s="33"/>
      <c r="AW450" s="33"/>
      <c r="AZ450" s="33"/>
    </row>
    <row r="451" spans="46:52" x14ac:dyDescent="0.35">
      <c r="AT451" s="33"/>
      <c r="AW451" s="33"/>
      <c r="AZ451" s="33"/>
    </row>
    <row r="452" spans="46:52" x14ac:dyDescent="0.35">
      <c r="AT452" s="33"/>
      <c r="AW452" s="33"/>
      <c r="AZ452" s="33"/>
    </row>
    <row r="453" spans="46:52" x14ac:dyDescent="0.35">
      <c r="AT453" s="33"/>
      <c r="AW453" s="33"/>
      <c r="AZ453" s="33"/>
    </row>
    <row r="454" spans="46:52" x14ac:dyDescent="0.35">
      <c r="AT454" s="33"/>
      <c r="AW454" s="33"/>
      <c r="AZ454" s="33"/>
    </row>
    <row r="455" spans="46:52" x14ac:dyDescent="0.35">
      <c r="AT455" s="33"/>
      <c r="AW455" s="33"/>
      <c r="AZ455" s="33"/>
    </row>
    <row r="456" spans="46:52" x14ac:dyDescent="0.35">
      <c r="AT456" s="33"/>
      <c r="AW456" s="33"/>
      <c r="AZ456" s="33"/>
    </row>
    <row r="457" spans="46:52" x14ac:dyDescent="0.35">
      <c r="AT457" s="33"/>
      <c r="AW457" s="33"/>
      <c r="AZ457" s="33"/>
    </row>
    <row r="458" spans="46:52" x14ac:dyDescent="0.35">
      <c r="AT458" s="33"/>
      <c r="AW458" s="33"/>
      <c r="AZ458" s="33"/>
    </row>
    <row r="459" spans="46:52" x14ac:dyDescent="0.35">
      <c r="AT459" s="33"/>
      <c r="AW459" s="33"/>
      <c r="AZ459" s="33"/>
    </row>
    <row r="460" spans="46:52" x14ac:dyDescent="0.35">
      <c r="AT460" s="33"/>
      <c r="AW460" s="33"/>
      <c r="AZ460" s="33"/>
    </row>
    <row r="461" spans="46:52" x14ac:dyDescent="0.35">
      <c r="AT461" s="33"/>
      <c r="AW461" s="33"/>
      <c r="AZ461" s="33"/>
    </row>
    <row r="462" spans="46:52" x14ac:dyDescent="0.35">
      <c r="AT462" s="33"/>
      <c r="AW462" s="33"/>
      <c r="AZ462" s="33"/>
    </row>
    <row r="463" spans="46:52" x14ac:dyDescent="0.35">
      <c r="AT463" s="33"/>
      <c r="AW463" s="33"/>
      <c r="AZ463" s="33"/>
    </row>
    <row r="464" spans="46:52" x14ac:dyDescent="0.35">
      <c r="AT464" s="33"/>
      <c r="AW464" s="33"/>
      <c r="AZ464" s="33"/>
    </row>
    <row r="465" spans="46:52" x14ac:dyDescent="0.35">
      <c r="AT465" s="33"/>
      <c r="AW465" s="33"/>
      <c r="AZ465" s="33"/>
    </row>
    <row r="466" spans="46:52" x14ac:dyDescent="0.35">
      <c r="AT466" s="33"/>
      <c r="AW466" s="33"/>
      <c r="AZ466" s="33"/>
    </row>
    <row r="467" spans="46:52" x14ac:dyDescent="0.35">
      <c r="AT467" s="33"/>
      <c r="AW467" s="33"/>
      <c r="AZ467" s="33"/>
    </row>
    <row r="468" spans="46:52" x14ac:dyDescent="0.35">
      <c r="AT468" s="33"/>
      <c r="AW468" s="33"/>
      <c r="AZ468" s="33"/>
    </row>
    <row r="469" spans="46:52" x14ac:dyDescent="0.35">
      <c r="AT469" s="33"/>
      <c r="AW469" s="33"/>
      <c r="AZ469" s="33"/>
    </row>
    <row r="470" spans="46:52" x14ac:dyDescent="0.35">
      <c r="AT470" s="33"/>
      <c r="AW470" s="33"/>
      <c r="AZ470" s="33"/>
    </row>
    <row r="471" spans="46:52" x14ac:dyDescent="0.35">
      <c r="AT471" s="33"/>
      <c r="AW471" s="33"/>
      <c r="AZ471" s="33"/>
    </row>
    <row r="472" spans="46:52" x14ac:dyDescent="0.35">
      <c r="AT472" s="33"/>
      <c r="AW472" s="33"/>
      <c r="AZ472" s="33"/>
    </row>
    <row r="473" spans="46:52" x14ac:dyDescent="0.35">
      <c r="AT473" s="33"/>
      <c r="AW473" s="33"/>
      <c r="AZ473" s="33"/>
    </row>
    <row r="474" spans="46:52" x14ac:dyDescent="0.35">
      <c r="AT474" s="33"/>
      <c r="AW474" s="33"/>
      <c r="AZ474" s="33"/>
    </row>
    <row r="475" spans="46:52" x14ac:dyDescent="0.35">
      <c r="AT475" s="33"/>
      <c r="AW475" s="33"/>
      <c r="AZ475" s="33"/>
    </row>
    <row r="476" spans="46:52" x14ac:dyDescent="0.35">
      <c r="AT476" s="33"/>
      <c r="AW476" s="33"/>
      <c r="AZ476" s="33"/>
    </row>
    <row r="477" spans="46:52" x14ac:dyDescent="0.35">
      <c r="AT477" s="33"/>
      <c r="AW477" s="33"/>
      <c r="AZ477" s="33"/>
    </row>
    <row r="478" spans="46:52" x14ac:dyDescent="0.35">
      <c r="AT478" s="33"/>
      <c r="AW478" s="33"/>
      <c r="AZ478" s="33"/>
    </row>
    <row r="479" spans="46:52" x14ac:dyDescent="0.35">
      <c r="AT479" s="33"/>
      <c r="AW479" s="33"/>
      <c r="AZ479" s="33"/>
    </row>
    <row r="480" spans="46:52" x14ac:dyDescent="0.35">
      <c r="AT480" s="33"/>
      <c r="AW480" s="33"/>
      <c r="AZ480" s="33"/>
    </row>
    <row r="481" spans="46:52" x14ac:dyDescent="0.35">
      <c r="AT481" s="33"/>
      <c r="AW481" s="33"/>
      <c r="AZ481" s="33"/>
    </row>
    <row r="482" spans="46:52" x14ac:dyDescent="0.35">
      <c r="AT482" s="33"/>
      <c r="AW482" s="33"/>
      <c r="AZ482" s="33"/>
    </row>
    <row r="483" spans="46:52" x14ac:dyDescent="0.35">
      <c r="AT483" s="33"/>
      <c r="AW483" s="33"/>
      <c r="AZ483" s="33"/>
    </row>
    <row r="484" spans="46:52" x14ac:dyDescent="0.35">
      <c r="AT484" s="33"/>
      <c r="AW484" s="33"/>
      <c r="AZ484" s="33"/>
    </row>
    <row r="485" spans="46:52" x14ac:dyDescent="0.35">
      <c r="AT485" s="33"/>
      <c r="AW485" s="33"/>
      <c r="AZ485" s="33"/>
    </row>
    <row r="486" spans="46:52" x14ac:dyDescent="0.35">
      <c r="AT486" s="33"/>
      <c r="AW486" s="33"/>
      <c r="AZ486" s="33"/>
    </row>
    <row r="487" spans="46:52" x14ac:dyDescent="0.35">
      <c r="AT487" s="33"/>
      <c r="AW487" s="33"/>
      <c r="AZ487" s="33"/>
    </row>
    <row r="488" spans="46:52" x14ac:dyDescent="0.35">
      <c r="AT488" s="33"/>
      <c r="AW488" s="33"/>
      <c r="AZ488" s="33"/>
    </row>
    <row r="489" spans="46:52" x14ac:dyDescent="0.35">
      <c r="AT489" s="33"/>
      <c r="AW489" s="33"/>
      <c r="AZ489" s="33"/>
    </row>
    <row r="490" spans="46:52" x14ac:dyDescent="0.35">
      <c r="AT490" s="33"/>
      <c r="AW490" s="33"/>
      <c r="AZ490" s="33"/>
    </row>
    <row r="491" spans="46:52" x14ac:dyDescent="0.35">
      <c r="AT491" s="33"/>
      <c r="AW491" s="33"/>
      <c r="AZ491" s="33"/>
    </row>
    <row r="492" spans="46:52" x14ac:dyDescent="0.35">
      <c r="AT492" s="33"/>
      <c r="AW492" s="33"/>
      <c r="AZ492" s="33"/>
    </row>
    <row r="493" spans="46:52" x14ac:dyDescent="0.35">
      <c r="AT493" s="33"/>
      <c r="AW493" s="33"/>
      <c r="AZ493" s="33"/>
    </row>
    <row r="494" spans="46:52" x14ac:dyDescent="0.35">
      <c r="AT494" s="33"/>
      <c r="AW494" s="33"/>
      <c r="AZ494" s="33"/>
    </row>
    <row r="495" spans="46:52" x14ac:dyDescent="0.35">
      <c r="AT495" s="33"/>
      <c r="AW495" s="33"/>
      <c r="AZ495" s="33"/>
    </row>
    <row r="496" spans="46:52" x14ac:dyDescent="0.35">
      <c r="AT496" s="33"/>
      <c r="AW496" s="33"/>
      <c r="AZ496" s="33"/>
    </row>
    <row r="497" spans="46:52" x14ac:dyDescent="0.35">
      <c r="AT497" s="33"/>
      <c r="AW497" s="33"/>
      <c r="AZ497" s="33"/>
    </row>
    <row r="498" spans="46:52" x14ac:dyDescent="0.35">
      <c r="AT498" s="33"/>
      <c r="AW498" s="33"/>
      <c r="AZ498" s="33"/>
    </row>
    <row r="499" spans="46:52" x14ac:dyDescent="0.35">
      <c r="AT499" s="33"/>
      <c r="AW499" s="33"/>
      <c r="AZ499" s="33"/>
    </row>
    <row r="500" spans="46:52" x14ac:dyDescent="0.35">
      <c r="AT500" s="33"/>
      <c r="AW500" s="33"/>
      <c r="AZ500" s="33"/>
    </row>
    <row r="501" spans="46:52" x14ac:dyDescent="0.35">
      <c r="AT501" s="33"/>
      <c r="AW501" s="33"/>
      <c r="AZ501" s="33"/>
    </row>
    <row r="502" spans="46:52" x14ac:dyDescent="0.35">
      <c r="AT502" s="33"/>
      <c r="AW502" s="33"/>
      <c r="AZ502" s="33"/>
    </row>
    <row r="503" spans="46:52" x14ac:dyDescent="0.35">
      <c r="AT503" s="33"/>
      <c r="AW503" s="33"/>
      <c r="AZ503" s="33"/>
    </row>
    <row r="504" spans="46:52" x14ac:dyDescent="0.35">
      <c r="AT504" s="33"/>
      <c r="AW504" s="33"/>
      <c r="AZ504" s="33"/>
    </row>
    <row r="505" spans="46:52" x14ac:dyDescent="0.35">
      <c r="AT505" s="33"/>
      <c r="AW505" s="33"/>
      <c r="AZ505" s="33"/>
    </row>
    <row r="506" spans="46:52" x14ac:dyDescent="0.35">
      <c r="AT506" s="33"/>
      <c r="AW506" s="33"/>
      <c r="AZ506" s="33"/>
    </row>
    <row r="507" spans="46:52" x14ac:dyDescent="0.35">
      <c r="AT507" s="33"/>
      <c r="AW507" s="33"/>
      <c r="AZ507" s="33"/>
    </row>
    <row r="508" spans="46:52" x14ac:dyDescent="0.35">
      <c r="AT508" s="33"/>
      <c r="AW508" s="33"/>
      <c r="AZ508" s="33"/>
    </row>
    <row r="509" spans="46:52" x14ac:dyDescent="0.35">
      <c r="AT509" s="33"/>
      <c r="AW509" s="33"/>
      <c r="AZ509" s="33"/>
    </row>
    <row r="510" spans="46:52" x14ac:dyDescent="0.35">
      <c r="AT510" s="33"/>
      <c r="AW510" s="33"/>
      <c r="AZ510" s="33"/>
    </row>
    <row r="511" spans="46:52" x14ac:dyDescent="0.35">
      <c r="AT511" s="33"/>
      <c r="AW511" s="33"/>
      <c r="AZ511" s="33"/>
    </row>
    <row r="512" spans="46:52" x14ac:dyDescent="0.35">
      <c r="AT512" s="33"/>
      <c r="AW512" s="33"/>
      <c r="AZ512" s="33"/>
    </row>
    <row r="513" spans="46:52" x14ac:dyDescent="0.35">
      <c r="AT513" s="33"/>
      <c r="AW513" s="33"/>
      <c r="AZ513" s="33"/>
    </row>
    <row r="514" spans="46:52" x14ac:dyDescent="0.35">
      <c r="AT514" s="33"/>
      <c r="AW514" s="33"/>
      <c r="AZ514" s="33"/>
    </row>
    <row r="515" spans="46:52" x14ac:dyDescent="0.35">
      <c r="AT515" s="33"/>
      <c r="AW515" s="33"/>
      <c r="AZ515" s="33"/>
    </row>
    <row r="516" spans="46:52" x14ac:dyDescent="0.35">
      <c r="AT516" s="33"/>
      <c r="AW516" s="33"/>
      <c r="AZ516" s="33"/>
    </row>
    <row r="517" spans="46:52" x14ac:dyDescent="0.35">
      <c r="AT517" s="33"/>
      <c r="AW517" s="33"/>
      <c r="AZ517" s="33"/>
    </row>
    <row r="518" spans="46:52" x14ac:dyDescent="0.35">
      <c r="AT518" s="33"/>
      <c r="AW518" s="33"/>
      <c r="AZ518" s="33"/>
    </row>
    <row r="519" spans="46:52" x14ac:dyDescent="0.35">
      <c r="AT519" s="33"/>
      <c r="AW519" s="33"/>
      <c r="AZ519" s="33"/>
    </row>
    <row r="520" spans="46:52" x14ac:dyDescent="0.35">
      <c r="AT520" s="33"/>
      <c r="AW520" s="33"/>
      <c r="AZ520" s="33"/>
    </row>
    <row r="521" spans="46:52" x14ac:dyDescent="0.35">
      <c r="AT521" s="33"/>
      <c r="AW521" s="33"/>
      <c r="AZ521" s="33"/>
    </row>
    <row r="522" spans="46:52" x14ac:dyDescent="0.35">
      <c r="AT522" s="33"/>
      <c r="AW522" s="33"/>
      <c r="AZ522" s="33"/>
    </row>
    <row r="523" spans="46:52" x14ac:dyDescent="0.35">
      <c r="AT523" s="33"/>
      <c r="AW523" s="33"/>
      <c r="AZ523" s="33"/>
    </row>
    <row r="524" spans="46:52" x14ac:dyDescent="0.35">
      <c r="AT524" s="33"/>
      <c r="AW524" s="33"/>
      <c r="AZ524" s="33"/>
    </row>
    <row r="525" spans="46:52" x14ac:dyDescent="0.35">
      <c r="AT525" s="33"/>
      <c r="AW525" s="33"/>
      <c r="AZ525" s="33"/>
    </row>
    <row r="526" spans="46:52" x14ac:dyDescent="0.35">
      <c r="AT526" s="33"/>
      <c r="AW526" s="33"/>
      <c r="AZ526" s="33"/>
    </row>
    <row r="527" spans="46:52" x14ac:dyDescent="0.35">
      <c r="AT527" s="33"/>
      <c r="AW527" s="33"/>
      <c r="AZ527" s="33"/>
    </row>
    <row r="528" spans="46:52" x14ac:dyDescent="0.35">
      <c r="AT528" s="33"/>
      <c r="AW528" s="33"/>
      <c r="AZ528" s="33"/>
    </row>
    <row r="529" spans="46:52" x14ac:dyDescent="0.35">
      <c r="AT529" s="33"/>
      <c r="AW529" s="33"/>
      <c r="AZ529" s="33"/>
    </row>
    <row r="530" spans="46:52" x14ac:dyDescent="0.35">
      <c r="AT530" s="33"/>
      <c r="AW530" s="33"/>
      <c r="AZ530" s="33"/>
    </row>
    <row r="531" spans="46:52" x14ac:dyDescent="0.35">
      <c r="AT531" s="33"/>
      <c r="AW531" s="33"/>
      <c r="AZ531" s="33"/>
    </row>
    <row r="532" spans="46:52" x14ac:dyDescent="0.35">
      <c r="AT532" s="33"/>
      <c r="AW532" s="33"/>
      <c r="AZ532" s="33"/>
    </row>
    <row r="533" spans="46:52" x14ac:dyDescent="0.35">
      <c r="AT533" s="33"/>
      <c r="AW533" s="33"/>
      <c r="AZ533" s="33"/>
    </row>
    <row r="534" spans="46:52" x14ac:dyDescent="0.35">
      <c r="AT534" s="33"/>
      <c r="AW534" s="33"/>
      <c r="AZ534" s="33"/>
    </row>
    <row r="535" spans="46:52" x14ac:dyDescent="0.35">
      <c r="AT535" s="33"/>
      <c r="AW535" s="33"/>
      <c r="AZ535" s="33"/>
    </row>
    <row r="536" spans="46:52" x14ac:dyDescent="0.35">
      <c r="AT536" s="33"/>
      <c r="AW536" s="33"/>
      <c r="AZ536" s="33"/>
    </row>
    <row r="537" spans="46:52" x14ac:dyDescent="0.35">
      <c r="AT537" s="33"/>
      <c r="AW537" s="33"/>
      <c r="AZ537" s="33"/>
    </row>
    <row r="538" spans="46:52" x14ac:dyDescent="0.35">
      <c r="AT538" s="33"/>
      <c r="AW538" s="33"/>
      <c r="AZ538" s="33"/>
    </row>
    <row r="539" spans="46:52" x14ac:dyDescent="0.35">
      <c r="AT539" s="33"/>
      <c r="AW539" s="33"/>
      <c r="AZ539" s="33"/>
    </row>
    <row r="540" spans="46:52" x14ac:dyDescent="0.35">
      <c r="AT540" s="33"/>
      <c r="AW540" s="33"/>
      <c r="AZ540" s="33"/>
    </row>
    <row r="541" spans="46:52" x14ac:dyDescent="0.35">
      <c r="AT541" s="33"/>
      <c r="AW541" s="33"/>
      <c r="AZ541" s="33"/>
    </row>
    <row r="542" spans="46:52" x14ac:dyDescent="0.35">
      <c r="AT542" s="33"/>
      <c r="AW542" s="33"/>
      <c r="AZ542" s="33"/>
    </row>
    <row r="543" spans="46:52" x14ac:dyDescent="0.35">
      <c r="AT543" s="33"/>
      <c r="AW543" s="33"/>
      <c r="AZ543" s="33"/>
    </row>
    <row r="544" spans="46:52" x14ac:dyDescent="0.35">
      <c r="AT544" s="33"/>
      <c r="AW544" s="33"/>
      <c r="AZ544" s="33"/>
    </row>
    <row r="545" spans="46:52" x14ac:dyDescent="0.35">
      <c r="AT545" s="33"/>
      <c r="AW545" s="33"/>
      <c r="AZ545" s="33"/>
    </row>
    <row r="546" spans="46:52" x14ac:dyDescent="0.35">
      <c r="AT546" s="33"/>
      <c r="AW546" s="33"/>
      <c r="AZ546" s="33"/>
    </row>
    <row r="547" spans="46:52" x14ac:dyDescent="0.35">
      <c r="AT547" s="33"/>
      <c r="AW547" s="33"/>
      <c r="AZ547" s="33"/>
    </row>
    <row r="548" spans="46:52" x14ac:dyDescent="0.35">
      <c r="AT548" s="33"/>
      <c r="AW548" s="33"/>
      <c r="AZ548" s="33"/>
    </row>
    <row r="549" spans="46:52" x14ac:dyDescent="0.35">
      <c r="AT549" s="33"/>
      <c r="AW549" s="33"/>
      <c r="AZ549" s="33"/>
    </row>
    <row r="550" spans="46:52" x14ac:dyDescent="0.35">
      <c r="AT550" s="33"/>
      <c r="AW550" s="33"/>
      <c r="AZ550" s="33"/>
    </row>
    <row r="551" spans="46:52" x14ac:dyDescent="0.35">
      <c r="AT551" s="33"/>
      <c r="AW551" s="33"/>
      <c r="AZ551" s="33"/>
    </row>
    <row r="552" spans="46:52" x14ac:dyDescent="0.35">
      <c r="AT552" s="33"/>
      <c r="AW552" s="33"/>
      <c r="AZ552" s="33"/>
    </row>
    <row r="553" spans="46:52" x14ac:dyDescent="0.35">
      <c r="AT553" s="33"/>
      <c r="AW553" s="33"/>
      <c r="AZ553" s="33"/>
    </row>
    <row r="554" spans="46:52" x14ac:dyDescent="0.35">
      <c r="AT554" s="33"/>
      <c r="AW554" s="33"/>
      <c r="AZ554" s="33"/>
    </row>
    <row r="555" spans="46:52" x14ac:dyDescent="0.35">
      <c r="AT555" s="33"/>
      <c r="AW555" s="33"/>
      <c r="AZ555" s="33"/>
    </row>
    <row r="556" spans="46:52" x14ac:dyDescent="0.35">
      <c r="AT556" s="33"/>
      <c r="AW556" s="33"/>
      <c r="AZ556" s="33"/>
    </row>
    <row r="557" spans="46:52" x14ac:dyDescent="0.35">
      <c r="AT557" s="33"/>
      <c r="AW557" s="33"/>
      <c r="AZ557" s="33"/>
    </row>
    <row r="558" spans="46:52" x14ac:dyDescent="0.35">
      <c r="AT558" s="33"/>
      <c r="AW558" s="33"/>
      <c r="AZ558" s="33"/>
    </row>
    <row r="559" spans="46:52" x14ac:dyDescent="0.35">
      <c r="AT559" s="33"/>
      <c r="AW559" s="33"/>
      <c r="AZ559" s="3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6332-8F9F-444A-8253-226424B5ABDA}">
  <dimension ref="A1:AZ55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" sqref="I2"/>
    </sheetView>
  </sheetViews>
  <sheetFormatPr defaultRowHeight="14.5" x14ac:dyDescent="0.35"/>
  <cols>
    <col min="15" max="15" width="12" bestFit="1" customWidth="1"/>
    <col min="16" max="16" width="11.453125" customWidth="1"/>
  </cols>
  <sheetData>
    <row r="1" spans="1:52" x14ac:dyDescent="0.35">
      <c r="B1" t="s">
        <v>562</v>
      </c>
      <c r="I1" t="s">
        <v>563</v>
      </c>
      <c r="J1" t="s">
        <v>564</v>
      </c>
      <c r="K1" t="s">
        <v>565</v>
      </c>
      <c r="L1" t="s">
        <v>323</v>
      </c>
      <c r="M1" t="s">
        <v>566</v>
      </c>
      <c r="O1" t="s">
        <v>567</v>
      </c>
      <c r="P1" t="s">
        <v>725</v>
      </c>
    </row>
    <row r="2" spans="1:52" x14ac:dyDescent="0.35">
      <c r="B2" t="s">
        <v>27</v>
      </c>
      <c r="C2" t="s">
        <v>28</v>
      </c>
      <c r="D2" t="s">
        <v>29</v>
      </c>
      <c r="E2" t="s">
        <v>30</v>
      </c>
      <c r="F2" t="s">
        <v>31</v>
      </c>
      <c r="I2" s="11">
        <f>regressionsdep!$AB2</f>
        <v>0.1501273394763003</v>
      </c>
      <c r="J2" s="11">
        <f>regressionsdep!$AB3</f>
        <v>0.185820192104721</v>
      </c>
      <c r="K2" s="11">
        <f>regressionsdep!$AB4</f>
        <v>0.16221756689096667</v>
      </c>
      <c r="L2" s="11">
        <f>regressionsdep!$AB8</f>
        <v>0.11358741069769653</v>
      </c>
      <c r="M2" s="11">
        <f>regressionsdep!$AB6</f>
        <v>0.11538536601749935</v>
      </c>
      <c r="N2" s="11">
        <f>regressionsdep!$AB7</f>
        <v>0.11416200663949455</v>
      </c>
      <c r="O2" s="11">
        <f>regressionsdep!$AB5</f>
        <v>7.3137661624203421E-3</v>
      </c>
      <c r="P2" s="33">
        <f>regressionsdep!$AB9</f>
        <v>0.15138635201090125</v>
      </c>
      <c r="Q2" s="56"/>
      <c r="R2" s="56"/>
      <c r="S2" s="56"/>
      <c r="T2" s="56"/>
      <c r="U2" s="56"/>
      <c r="V2" s="56"/>
      <c r="W2" s="56"/>
      <c r="X2" s="56"/>
      <c r="Y2" s="52"/>
      <c r="Z2" s="52"/>
      <c r="AA2" s="52"/>
      <c r="AB2" s="57"/>
      <c r="AC2" s="57"/>
      <c r="AD2" s="57"/>
      <c r="AE2" s="54"/>
      <c r="AF2" s="54"/>
      <c r="AG2" s="54"/>
      <c r="AH2" s="54"/>
      <c r="AI2" s="54"/>
      <c r="AJ2" s="54"/>
      <c r="AK2" s="54"/>
      <c r="AL2" s="54"/>
      <c r="AM2" s="54"/>
    </row>
    <row r="3" spans="1:52" x14ac:dyDescent="0.35">
      <c r="A3">
        <v>-2</v>
      </c>
      <c r="B3">
        <f>SUMPRODUCT(I$2:P$2,I3:P3)</f>
        <v>0.58451043562077853</v>
      </c>
      <c r="C3">
        <f>regressionsdep!$AO$1*$A3</f>
        <v>-2.1066656424688217</v>
      </c>
      <c r="D3">
        <f>regressionsdep!$AM$1*$A3</f>
        <v>-2.8619842086171277</v>
      </c>
      <c r="E3">
        <f>B3+2*C3</f>
        <v>-3.628820849316865</v>
      </c>
      <c r="F3">
        <f>B3-2*D3</f>
        <v>6.3084788528550337</v>
      </c>
      <c r="G3" s="5">
        <f>B3-regressionsdep!Y$7</f>
        <v>-4.2802477122164246</v>
      </c>
      <c r="H3" s="5">
        <f>B3+regressionsdep!Y$7</f>
        <v>5.4492685834579815</v>
      </c>
      <c r="I3">
        <f>IF($A3&lt;=regressionsdep!$J$2,$A3*regressionsdep!$J$1,regressionsdep!$J$1*regressionsdep!$J$2+regressionsdep!$J$3*($A3-regressionsdep!$J$2))</f>
        <v>1.7200284252190639</v>
      </c>
      <c r="J3">
        <f>regressionsdep!$H$1*A3+regressionsdep!$H$2*A3^2</f>
        <v>0.87199301723968659</v>
      </c>
      <c r="K3">
        <f>regressionsdep!$T$1*A3</f>
        <v>1.7200284385551812</v>
      </c>
      <c r="L3">
        <f>regressionsdep!$L$1*A3^2</f>
        <v>-0.69607044179034572</v>
      </c>
      <c r="M3">
        <f>regressionsdep!$P$1*A3^2+regressionsdep!$P$2*A3^6</f>
        <v>-0.77064007563800596</v>
      </c>
      <c r="N3">
        <f>regressionsdep!$N$1*A3^2+regressionsdep!$N$2*A3^7</f>
        <v>-0.73454168259038577</v>
      </c>
      <c r="O3">
        <f>regressionsdep!$R$2+regressionsdep!$R$1*EXP(A3)</f>
        <v>6.5730323597704109E-3</v>
      </c>
      <c r="P3" s="20">
        <f>(1-EXP(-2*regressionsdep!V$1*graphdep!A3))/2/EXP(-regressionsdep!V$1*A3)</f>
        <v>0.90515762748971018</v>
      </c>
    </row>
    <row r="4" spans="1:52" x14ac:dyDescent="0.35">
      <c r="A4">
        <f>0.1+A3</f>
        <v>-1.9</v>
      </c>
      <c r="B4">
        <f t="shared" ref="B4:B67" si="0">SUMPRODUCT(I$2:P$2,I4:P4)</f>
        <v>0.56821056497314948</v>
      </c>
      <c r="C4">
        <f>regressionsdep!$AO$1*$A4</f>
        <v>-2.0013323603453803</v>
      </c>
      <c r="D4">
        <f>regressionsdep!$AM$1*$A4</f>
        <v>-2.7188849981862711</v>
      </c>
      <c r="E4">
        <f>B4+2*C4</f>
        <v>-3.4344541557176109</v>
      </c>
      <c r="F4">
        <f>B4-2*D4</f>
        <v>6.0059805613456918</v>
      </c>
      <c r="G4" s="5">
        <f>B4-regressionsdep!Y$7</f>
        <v>-4.2965475828640534</v>
      </c>
      <c r="H4" s="5">
        <f>B4+regressionsdep!Y$7</f>
        <v>5.4329687128103528</v>
      </c>
      <c r="I4">
        <f>IF($A4&lt;=regressionsdep!$J$2,$A4*regressionsdep!$J$1,regressionsdep!$J$1*regressionsdep!$J$2+regressionsdep!$J$3*($A4-regressionsdep!$J$2))</f>
        <v>1.6340270039581106</v>
      </c>
      <c r="J4">
        <f>regressionsdep!H$1*A4+regressionsdep!H$2*A4^2</f>
        <v>0.84081659247307738</v>
      </c>
      <c r="K4">
        <f>regressionsdep!$T$1*A4</f>
        <v>1.634027016627422</v>
      </c>
      <c r="L4">
        <f>regressionsdep!$L$1*A4^2</f>
        <v>-0.62820357371578694</v>
      </c>
      <c r="M4">
        <f>regressionsdep!$P$1*A4^2+regressionsdep!$P$2*A4^6</f>
        <v>-0.69563140167267545</v>
      </c>
      <c r="N4">
        <f>regressionsdep!$N$1*A4^2+regressionsdep!$N$2*A4^7</f>
        <v>-0.66289811636261342</v>
      </c>
      <c r="O4">
        <f>regressionsdep!R$2+regressionsdep!R$1*EXP(A4)</f>
        <v>6.4648329892978782E-3</v>
      </c>
      <c r="P4" s="20">
        <f>(1-EXP(-2*regressionsdep!V$1*graphdep!A4))/2/EXP(-regressionsdep!V$1*A4)</f>
        <v>0.85108100581642065</v>
      </c>
      <c r="AT4" s="33"/>
      <c r="AW4" s="33"/>
      <c r="AZ4" s="33"/>
    </row>
    <row r="5" spans="1:52" x14ac:dyDescent="0.35">
      <c r="A5">
        <f>0.1+A4</f>
        <v>-1.7999999999999998</v>
      </c>
      <c r="B5">
        <f t="shared" si="0"/>
        <v>0.5506250613522522</v>
      </c>
      <c r="C5">
        <f>regressionsdep!$AO$1*$A5</f>
        <v>-1.8959990782219394</v>
      </c>
      <c r="D5">
        <f>regressionsdep!$AM$1*$A5</f>
        <v>-2.5757857877554144</v>
      </c>
      <c r="E5">
        <f>B5+2*C5</f>
        <v>-3.2413730950916264</v>
      </c>
      <c r="F5">
        <f>B5-2*D5</f>
        <v>5.7021966368630812</v>
      </c>
      <c r="G5" s="5">
        <f>B5-regressionsdep!Y$7</f>
        <v>-4.3141330864849508</v>
      </c>
      <c r="H5" s="5">
        <f>B5+regressionsdep!Y$7</f>
        <v>5.4153832091894554</v>
      </c>
      <c r="I5">
        <f>IF($A5&lt;=regressionsdep!$J$2,$A5*regressionsdep!$J$1,regressionsdep!$J$1*regressionsdep!$J$2+regressionsdep!$J$3*($A5-regressionsdep!$J$2))</f>
        <v>1.5480255826971574</v>
      </c>
      <c r="J5">
        <f>regressionsdep!H$1*A5+regressionsdep!H$2*A5^2</f>
        <v>0.80833245969642875</v>
      </c>
      <c r="K5">
        <f>regressionsdep!$T$1*A5</f>
        <v>1.5480255946996628</v>
      </c>
      <c r="L5">
        <f>regressionsdep!$L$1*A5^2</f>
        <v>-0.56381705785017988</v>
      </c>
      <c r="M5">
        <f>regressionsdep!$P$1*A5^2+regressionsdep!$P$2*A5^6</f>
        <v>-0.62443266743586434</v>
      </c>
      <c r="N5">
        <f>regressionsdep!$N$1*A5^2+regressionsdep!$N$2*A5^7</f>
        <v>-0.59493692334482973</v>
      </c>
      <c r="O5">
        <f>regressionsdep!R$2+regressionsdep!R$1*EXP(A5)</f>
        <v>6.3452541916975413E-3</v>
      </c>
      <c r="P5" s="20">
        <f>(1-EXP(-2*regressionsdep!V$1*graphdep!A5))/2/EXP(-regressionsdep!V$1*A5)</f>
        <v>0.79840987020363274</v>
      </c>
      <c r="AT5" s="33"/>
      <c r="AW5" s="33"/>
      <c r="AZ5" s="33"/>
    </row>
    <row r="6" spans="1:52" x14ac:dyDescent="0.35">
      <c r="A6">
        <f>0.1+A5</f>
        <v>-1.6999999999999997</v>
      </c>
      <c r="B6">
        <f t="shared" si="0"/>
        <v>0.53173997041146082</v>
      </c>
      <c r="C6">
        <f>regressionsdep!$AO$1*$A6</f>
        <v>-1.7906657960984982</v>
      </c>
      <c r="D6">
        <f>regressionsdep!$AM$1*$A6</f>
        <v>-2.4326865773245583</v>
      </c>
      <c r="E6">
        <f>B6+2*C6</f>
        <v>-3.0495916217855354</v>
      </c>
      <c r="F6">
        <f>B6-2*D6</f>
        <v>5.3971131250605771</v>
      </c>
      <c r="G6" s="5">
        <f>B6-regressionsdep!Y$7</f>
        <v>-4.3330181774257426</v>
      </c>
      <c r="H6" s="5">
        <f>B6+regressionsdep!Y$7</f>
        <v>5.3964981182486635</v>
      </c>
      <c r="I6">
        <f>IF($A6&lt;=regressionsdep!$J$2,$A6*regressionsdep!$J$1,regressionsdep!$J$1*regressionsdep!$J$2+regressionsdep!$J$3*($A6-regressionsdep!$J$2))</f>
        <v>1.462024161436204</v>
      </c>
      <c r="J6">
        <f>regressionsdep!H$1*A6+regressionsdep!H$2*A6^2</f>
        <v>0.77454061890974057</v>
      </c>
      <c r="K6">
        <f>regressionsdep!$T$1*A6</f>
        <v>1.4620241727719037</v>
      </c>
      <c r="L6">
        <f>regressionsdep!$L$1*A6^2</f>
        <v>-0.50291089419352464</v>
      </c>
      <c r="M6">
        <f>regressionsdep!$P$1*A6^2+regressionsdep!$P$2*A6^6</f>
        <v>-0.55705302210184526</v>
      </c>
      <c r="N6">
        <f>regressionsdep!$N$1*A6^2+regressionsdep!$N$2*A6^7</f>
        <v>-0.53065566890350846</v>
      </c>
      <c r="O6">
        <f>regressionsdep!R$2+regressionsdep!R$1*EXP(A6)</f>
        <v>6.2130991821711954E-3</v>
      </c>
      <c r="P6" s="20">
        <f>(1-EXP(-2*regressionsdep!V$1*graphdep!A6))/2/EXP(-regressionsdep!V$1*A6)</f>
        <v>0.74705723886419706</v>
      </c>
      <c r="AT6" s="33"/>
      <c r="AW6" s="33"/>
      <c r="AZ6" s="33"/>
    </row>
    <row r="7" spans="1:52" x14ac:dyDescent="0.35">
      <c r="A7">
        <f>0.1+A6</f>
        <v>-1.5999999999999996</v>
      </c>
      <c r="B7">
        <f t="shared" si="0"/>
        <v>0.51154177310432081</v>
      </c>
      <c r="C7">
        <f>regressionsdep!$AO$1*$A7</f>
        <v>-1.685332513975057</v>
      </c>
      <c r="D7">
        <f>regressionsdep!$AM$1*$A7</f>
        <v>-2.2895873668937017</v>
      </c>
      <c r="E7">
        <f>B7+2*C7</f>
        <v>-2.8591232548457932</v>
      </c>
      <c r="F7">
        <f>B7-2*D7</f>
        <v>5.0907165068917237</v>
      </c>
      <c r="G7" s="5">
        <f>B7-regressionsdep!Y$7</f>
        <v>-4.3532163747328827</v>
      </c>
      <c r="H7" s="5">
        <f>B7+regressionsdep!Y$7</f>
        <v>5.3762999209415234</v>
      </c>
      <c r="I7">
        <f>IF($A7&lt;=regressionsdep!$J$2,$A7*regressionsdep!$J$1,regressionsdep!$J$1*regressionsdep!$J$2+regressionsdep!$J$3*($A7-regressionsdep!$J$2))</f>
        <v>1.3760227401752507</v>
      </c>
      <c r="J7">
        <f>regressionsdep!H$1*A7+regressionsdep!H$2*A7^2</f>
        <v>0.73944107011301274</v>
      </c>
      <c r="K7">
        <f>regressionsdep!$T$1*A7</f>
        <v>1.3760227508441447</v>
      </c>
      <c r="L7">
        <f>regressionsdep!$L$1*A7^2</f>
        <v>-0.44548508274582105</v>
      </c>
      <c r="M7">
        <f>regressionsdep!$P$1*A7^2+regressionsdep!$P$2*A7^6</f>
        <v>-0.49350021193785865</v>
      </c>
      <c r="N7">
        <f>regressionsdep!$N$1*A7^2+regressionsdep!$N$2*A7^7</f>
        <v>-0.47005240264738762</v>
      </c>
      <c r="O7">
        <f>regressionsdep!R$2+regressionsdep!R$1*EXP(A7)</f>
        <v>6.0670453089646673E-3</v>
      </c>
      <c r="P7" s="20">
        <f>(1-EXP(-2*regressionsdep!V$1*graphdep!A7))/2/EXP(-regressionsdep!V$1*A7)</f>
        <v>0.69693830740578866</v>
      </c>
      <c r="AT7" s="33"/>
      <c r="AW7" s="33"/>
      <c r="AZ7" s="33"/>
    </row>
    <row r="8" spans="1:52" x14ac:dyDescent="0.35">
      <c r="A8">
        <f>0.1+A7</f>
        <v>-1.4999999999999996</v>
      </c>
      <c r="B8">
        <f t="shared" si="0"/>
        <v>0.4900173556119311</v>
      </c>
      <c r="C8">
        <f>regressionsdep!$AO$1*$A8</f>
        <v>-1.5799992318516158</v>
      </c>
      <c r="D8">
        <f>regressionsdep!$AM$1*$A8</f>
        <v>-2.1464881564628451</v>
      </c>
      <c r="E8">
        <f t="shared" ref="E8:E71" si="1">B8+2*C8</f>
        <v>-2.6699811080913007</v>
      </c>
      <c r="F8">
        <f t="shared" ref="F8:F71" si="2">B8-2*D8</f>
        <v>4.7829936685376211</v>
      </c>
      <c r="G8" s="5">
        <f>B8-regressionsdep!Y$7</f>
        <v>-4.3747407922252721</v>
      </c>
      <c r="H8" s="5">
        <f>B8+regressionsdep!Y$7</f>
        <v>5.354775503449134</v>
      </c>
      <c r="I8">
        <f>IF($A8&lt;=regressionsdep!$J$2,$A8*regressionsdep!$J$1,regressionsdep!$J$1*regressionsdep!$J$2+regressionsdep!$J$3*($A8-regressionsdep!$J$2))</f>
        <v>1.2900213189142975</v>
      </c>
      <c r="J8">
        <f>regressionsdep!H$1*A8+regressionsdep!H$2*A8^2</f>
        <v>0.7030338133062457</v>
      </c>
      <c r="K8">
        <f>regressionsdep!$T$1*A8</f>
        <v>1.2900213289163855</v>
      </c>
      <c r="L8">
        <f>regressionsdep!$L$1*A8^2</f>
        <v>-0.39153962350706922</v>
      </c>
      <c r="M8">
        <f>regressionsdep!$P$1*A8^2+regressionsdep!$P$2*A8^6</f>
        <v>-0.43378073169695941</v>
      </c>
      <c r="N8">
        <f>regressionsdep!$N$1*A8^2+regressionsdep!$N$2*A8^7</f>
        <v>-0.4131255822731314</v>
      </c>
      <c r="O8">
        <f>regressionsdep!R$2+regressionsdep!R$1*EXP(A8)</f>
        <v>5.9056308158245046E-3</v>
      </c>
      <c r="P8" s="20">
        <f>(1-EXP(-2*regressionsdep!V$1*graphdep!A8))/2/EXP(-regressionsdep!V$1*A8)</f>
        <v>0.64797030878384831</v>
      </c>
      <c r="AT8" s="33"/>
      <c r="AW8" s="33"/>
      <c r="AZ8" s="33"/>
    </row>
    <row r="9" spans="1:52" x14ac:dyDescent="0.35">
      <c r="A9">
        <f t="shared" ref="A9:A72" si="3">0.1+A8</f>
        <v>-1.3999999999999995</v>
      </c>
      <c r="B9">
        <f t="shared" si="0"/>
        <v>0.46715397980379508</v>
      </c>
      <c r="C9">
        <f>regressionsdep!$AO$1*$A9</f>
        <v>-1.4746659497281747</v>
      </c>
      <c r="D9">
        <f>regressionsdep!$AM$1*$A9</f>
        <v>-2.0033889460319885</v>
      </c>
      <c r="E9">
        <f t="shared" si="1"/>
        <v>-2.4821779196525542</v>
      </c>
      <c r="F9">
        <f t="shared" si="2"/>
        <v>4.4739318718677721</v>
      </c>
      <c r="G9" s="5">
        <f>B9-regressionsdep!Y$7</f>
        <v>-4.3976041680334079</v>
      </c>
      <c r="H9" s="5">
        <f>B9+regressionsdep!Y$7</f>
        <v>5.3319121276409982</v>
      </c>
      <c r="I9">
        <f>IF($A9&lt;=regressionsdep!$J$2,$A9*regressionsdep!$J$1,regressionsdep!$J$1*regressionsdep!$J$2+regressionsdep!$J$3*($A9-regressionsdep!$J$2))</f>
        <v>1.2040198976533443</v>
      </c>
      <c r="J9">
        <f>regressionsdep!H$1*A9+regressionsdep!H$2*A9^2</f>
        <v>0.66531884848943901</v>
      </c>
      <c r="K9">
        <f>regressionsdep!$T$1*A9</f>
        <v>1.2040199069886264</v>
      </c>
      <c r="L9">
        <f>regressionsdep!$L$1*A9^2</f>
        <v>-0.34107451647726911</v>
      </c>
      <c r="M9">
        <f>regressionsdep!$P$1*A9^2+regressionsdep!$P$2*A9^6</f>
        <v>-0.37789996735984144</v>
      </c>
      <c r="N9">
        <f>regressionsdep!$N$1*A9^2+regressionsdep!$N$2*A9^7</f>
        <v>-0.35987400585418888</v>
      </c>
      <c r="O9">
        <f>regressionsdep!R$2+regressionsdep!R$1*EXP(A9)</f>
        <v>5.7272402122500758E-3</v>
      </c>
      <c r="P9" s="20">
        <f>(1-EXP(-2*regressionsdep!V$1*graphdep!A9))/2/EXP(-regressionsdep!V$1*A9)</f>
        <v>0.60007237661902602</v>
      </c>
      <c r="AT9" s="33"/>
      <c r="AW9" s="33"/>
      <c r="AZ9" s="33"/>
    </row>
    <row r="10" spans="1:52" x14ac:dyDescent="0.35">
      <c r="A10">
        <f t="shared" si="3"/>
        <v>-1.2999999999999994</v>
      </c>
      <c r="B10">
        <f t="shared" si="0"/>
        <v>0.44293925425359393</v>
      </c>
      <c r="C10">
        <f>regressionsdep!$AO$1*$A10</f>
        <v>-1.3693326676047335</v>
      </c>
      <c r="D10">
        <f>regressionsdep!$AM$1*$A10</f>
        <v>-1.8602897356011321</v>
      </c>
      <c r="E10">
        <f t="shared" si="1"/>
        <v>-2.2957260809558733</v>
      </c>
      <c r="F10">
        <f t="shared" si="2"/>
        <v>4.1635187254558579</v>
      </c>
      <c r="G10" s="5">
        <f>B10-regressionsdep!Y$7</f>
        <v>-4.4218188935836089</v>
      </c>
      <c r="H10" s="5">
        <f>B10+regressionsdep!Y$7</f>
        <v>5.3076974020907972</v>
      </c>
      <c r="I10">
        <f>IF($A10&lt;=regressionsdep!$J$2,$A10*regressionsdep!$J$1,regressionsdep!$J$1*regressionsdep!$J$2+regressionsdep!$J$3*($A10-regressionsdep!$J$2))</f>
        <v>1.118018476392391</v>
      </c>
      <c r="J10">
        <f>regressionsdep!H$1*A10+regressionsdep!H$2*A10^2</f>
        <v>0.62629617566259288</v>
      </c>
      <c r="K10">
        <f>regressionsdep!$T$1*A10</f>
        <v>1.1180184850608672</v>
      </c>
      <c r="L10">
        <f>regressionsdep!$L$1*A10^2</f>
        <v>-0.29408976165642081</v>
      </c>
      <c r="M10">
        <f>regressionsdep!$P$1*A10^2+regressionsdep!$P$2*A10^6</f>
        <v>-0.32586233022564348</v>
      </c>
      <c r="N10">
        <f>regressionsdep!$N$1*A10^2+regressionsdep!$N$2*A10^7</f>
        <v>-0.31029675207619356</v>
      </c>
      <c r="O10">
        <f>regressionsdep!R$2+regressionsdep!R$1*EXP(A10)</f>
        <v>5.5300881051216551E-3</v>
      </c>
      <c r="P10" s="20">
        <f>(1-EXP(-2*regressionsdep!V$1*graphdep!A10))/2/EXP(-regressionsdep!V$1*A10)</f>
        <v>0.55316541165340838</v>
      </c>
      <c r="AT10" s="33"/>
      <c r="AW10" s="33"/>
      <c r="AZ10" s="33"/>
    </row>
    <row r="11" spans="1:52" x14ac:dyDescent="0.35">
      <c r="A11">
        <f t="shared" si="3"/>
        <v>-1.1999999999999993</v>
      </c>
      <c r="B11">
        <f t="shared" si="0"/>
        <v>0.41736110583201341</v>
      </c>
      <c r="C11">
        <f>regressionsdep!$AO$1*$A11</f>
        <v>-1.2639993854812923</v>
      </c>
      <c r="D11">
        <f>regressionsdep!$AM$1*$A11</f>
        <v>-1.7171905251702755</v>
      </c>
      <c r="E11">
        <f t="shared" si="1"/>
        <v>-2.1106376651305712</v>
      </c>
      <c r="F11">
        <f t="shared" si="2"/>
        <v>3.8517421561725644</v>
      </c>
      <c r="G11" s="5">
        <f>B11-regressionsdep!Y$7</f>
        <v>-4.44739704200519</v>
      </c>
      <c r="H11" s="5">
        <f>B11+regressionsdep!Y$7</f>
        <v>5.2821192536692161</v>
      </c>
      <c r="I11">
        <f>IF($A11&lt;=regressionsdep!$J$2,$A11*regressionsdep!$J$1,regressionsdep!$J$1*regressionsdep!$J$2+regressionsdep!$J$3*($A11-regressionsdep!$J$2))</f>
        <v>1.0320170551314376</v>
      </c>
      <c r="J11">
        <f>regressionsdep!H$1*A11+regressionsdep!H$2*A11^2</f>
        <v>0.58596579482570721</v>
      </c>
      <c r="K11">
        <f>regressionsdep!$T$1*A11</f>
        <v>1.032017063133108</v>
      </c>
      <c r="L11">
        <f>regressionsdep!$L$1*A11^2</f>
        <v>-0.25058535904452417</v>
      </c>
      <c r="M11">
        <f>regressionsdep!$P$1*A11^2+regressionsdep!$P$2*A11^6</f>
        <v>-0.27767138235173533</v>
      </c>
      <c r="N11">
        <f>regressionsdep!$N$1*A11^2+regressionsdep!$N$2*A11^7</f>
        <v>-0.26439312792224329</v>
      </c>
      <c r="O11">
        <f>regressionsdep!R$2+regressionsdep!R$1*EXP(A11)</f>
        <v>5.31220132988599E-3</v>
      </c>
      <c r="P11" s="20">
        <f>(1-EXP(-2*regressionsdep!V$1*graphdep!A11))/2/EXP(-regressionsdep!V$1*A11)</f>
        <v>0.50717195112499103</v>
      </c>
      <c r="AT11" s="33"/>
      <c r="AW11" s="33"/>
      <c r="AZ11" s="33"/>
    </row>
    <row r="12" spans="1:52" x14ac:dyDescent="0.35">
      <c r="A12">
        <f t="shared" si="3"/>
        <v>-1.0999999999999992</v>
      </c>
      <c r="B12">
        <f t="shared" si="0"/>
        <v>0.39040775189936189</v>
      </c>
      <c r="C12">
        <f>regressionsdep!$AO$1*$A12</f>
        <v>-1.1586661033578511</v>
      </c>
      <c r="D12">
        <f>regressionsdep!$AM$1*$A12</f>
        <v>-1.5740913147394191</v>
      </c>
      <c r="E12">
        <f t="shared" si="1"/>
        <v>-1.9269244548163404</v>
      </c>
      <c r="F12">
        <f t="shared" si="2"/>
        <v>3.5385903813782003</v>
      </c>
      <c r="G12" s="5">
        <f>B12-regressionsdep!Y$7</f>
        <v>-4.474350395937841</v>
      </c>
      <c r="H12" s="5">
        <f>B12+regressionsdep!Y$7</f>
        <v>5.2551658997365651</v>
      </c>
      <c r="I12">
        <f>IF($A12&lt;=regressionsdep!$J$2,$A12*regressionsdep!$J$1,regressionsdep!$J$1*regressionsdep!$J$2+regressionsdep!$J$3*($A12-regressionsdep!$J$2))</f>
        <v>0.94601563387048448</v>
      </c>
      <c r="J12">
        <f>regressionsdep!H$1*A12+regressionsdep!H$2*A12^2</f>
        <v>0.54432770597878211</v>
      </c>
      <c r="K12">
        <f>regressionsdep!$T$1*A12</f>
        <v>0.94601564120534898</v>
      </c>
      <c r="L12">
        <f>regressionsdep!$L$1*A12^2</f>
        <v>-0.21056130864157926</v>
      </c>
      <c r="M12">
        <f>regressionsdep!$P$1*A12^2+regressionsdep!$P$2*A12^6</f>
        <v>-0.23332995334248346</v>
      </c>
      <c r="N12">
        <f>regressionsdep!$N$1*A12^2+regressionsdep!$N$2*A12^7</f>
        <v>-0.22216262331140249</v>
      </c>
      <c r="O12">
        <f>regressionsdep!R$2+regressionsdep!R$1*EXP(A12)</f>
        <v>5.0713992024622474E-3</v>
      </c>
      <c r="P12" s="20">
        <f>(1-EXP(-2*regressionsdep!V$1*graphdep!A12))/2/EXP(-regressionsdep!V$1*A12)</f>
        <v>0.46201604084468417</v>
      </c>
      <c r="AT12" s="33"/>
      <c r="AW12" s="33"/>
      <c r="AZ12" s="33"/>
    </row>
    <row r="13" spans="1:52" x14ac:dyDescent="0.35">
      <c r="A13">
        <f t="shared" si="3"/>
        <v>-0.99999999999999922</v>
      </c>
      <c r="B13">
        <f t="shared" si="0"/>
        <v>0.36206767312124705</v>
      </c>
      <c r="C13">
        <f>regressionsdep!$AO$1*$A13</f>
        <v>-1.05333282123441</v>
      </c>
      <c r="D13">
        <f>regressionsdep!$AM$1*$A13</f>
        <v>-1.4309921043085627</v>
      </c>
      <c r="E13">
        <f t="shared" si="1"/>
        <v>-1.7445979693475728</v>
      </c>
      <c r="F13">
        <f t="shared" si="2"/>
        <v>3.2240518817383723</v>
      </c>
      <c r="G13" s="5">
        <f>B13-regressionsdep!Y$7</f>
        <v>-4.5026904747159557</v>
      </c>
      <c r="H13" s="5">
        <f>B13+regressionsdep!Y$7</f>
        <v>5.2268258209584504</v>
      </c>
      <c r="I13">
        <f>IF($A13&lt;=regressionsdep!$J$2,$A13*regressionsdep!$J$1,regressionsdep!$J$1*regressionsdep!$J$2+regressionsdep!$J$3*($A13-regressionsdep!$J$2))</f>
        <v>0.86001421260953126</v>
      </c>
      <c r="J13">
        <f>regressionsdep!H$1*A13+regressionsdep!H$2*A13^2</f>
        <v>0.50138190912181746</v>
      </c>
      <c r="K13">
        <f>regressionsdep!$T$1*A13</f>
        <v>0.86001421927758992</v>
      </c>
      <c r="L13">
        <f>regressionsdep!$L$1*A13^2</f>
        <v>-0.17401761044758615</v>
      </c>
      <c r="M13">
        <f>regressionsdep!$P$1*A13^2+regressionsdep!$P$2*A13^6</f>
        <v>-0.19284024848699838</v>
      </c>
      <c r="N13">
        <f>regressionsdep!$N$1*A13^2+regressionsdep!$N$2*A13^7</f>
        <v>-0.18360487219376848</v>
      </c>
      <c r="O13">
        <f>regressionsdep!R$2+regressionsdep!R$1*EXP(A13)</f>
        <v>4.8052716942227815E-3</v>
      </c>
      <c r="P13" s="20">
        <f>(1-EXP(-2*regressionsdep!V$1*graphdep!A13))/2/EXP(-regressionsdep!V$1*A13)</f>
        <v>0.41762310976459144</v>
      </c>
      <c r="Q13" s="48"/>
      <c r="AO13" s="1"/>
      <c r="AP13" s="1"/>
      <c r="AT13" s="33"/>
      <c r="AW13" s="33"/>
      <c r="AZ13" s="33"/>
    </row>
    <row r="14" spans="1:52" x14ac:dyDescent="0.35">
      <c r="A14">
        <f t="shared" si="3"/>
        <v>-0.89999999999999925</v>
      </c>
      <c r="B14">
        <f t="shared" si="0"/>
        <v>0.33232958693106074</v>
      </c>
      <c r="C14">
        <f>regressionsdep!$AO$1*$A14</f>
        <v>-0.94799953911096901</v>
      </c>
      <c r="D14">
        <f>regressionsdep!$AM$1*$A14</f>
        <v>-1.2878928938777063</v>
      </c>
      <c r="E14">
        <f t="shared" si="1"/>
        <v>-1.5636694912908773</v>
      </c>
      <c r="F14">
        <f t="shared" si="2"/>
        <v>2.9081153746864734</v>
      </c>
      <c r="G14" s="5">
        <f>B14-regressionsdep!Y$7</f>
        <v>-4.5324285609061423</v>
      </c>
      <c r="H14" s="5">
        <f>B14+regressionsdep!Y$7</f>
        <v>5.1970877347682638</v>
      </c>
      <c r="I14">
        <f>IF($A14&lt;=regressionsdep!$J$2,$A14*regressionsdep!$J$1,regressionsdep!$J$1*regressionsdep!$J$2+regressionsdep!$J$3*($A14-regressionsdep!$J$2))</f>
        <v>0.77401279134857803</v>
      </c>
      <c r="J14">
        <f>regressionsdep!H$1*A14+regressionsdep!H$2*A14^2</f>
        <v>0.45712840425481338</v>
      </c>
      <c r="K14">
        <f>regressionsdep!$T$1*A14</f>
        <v>0.77401279734983086</v>
      </c>
      <c r="L14">
        <f>regressionsdep!$L$1*A14^2</f>
        <v>-0.14095426446254478</v>
      </c>
      <c r="M14">
        <f>regressionsdep!$P$1*A14^2+regressionsdep!$P$2*A14^6</f>
        <v>-0.15620394824586054</v>
      </c>
      <c r="N14">
        <f>regressionsdep!$N$1*A14^2+regressionsdep!$N$2*A14^7</f>
        <v>-0.14871961960544164</v>
      </c>
      <c r="O14">
        <f>regressionsdep!R$2+regressionsdep!R$1*EXP(A14)</f>
        <v>4.511155311616586E-3</v>
      </c>
      <c r="P14" s="20">
        <f>(1-EXP(-2*regressionsdep!V$1*graphdep!A14))/2/EXP(-regressionsdep!V$1*A14)</f>
        <v>0.3739198468304285</v>
      </c>
      <c r="AT14" s="33"/>
      <c r="AW14" s="33"/>
      <c r="AZ14" s="33"/>
    </row>
    <row r="15" spans="1:52" x14ac:dyDescent="0.35">
      <c r="A15">
        <f t="shared" si="3"/>
        <v>-0.79999999999999927</v>
      </c>
      <c r="B15">
        <f t="shared" si="0"/>
        <v>0.3011824216634163</v>
      </c>
      <c r="C15">
        <f>regressionsdep!$AO$1*$A15</f>
        <v>-0.84266625698752795</v>
      </c>
      <c r="D15">
        <f>regressionsdep!$AM$1*$A15</f>
        <v>-1.14479368344685</v>
      </c>
      <c r="E15">
        <f t="shared" si="1"/>
        <v>-1.3841500923116397</v>
      </c>
      <c r="F15">
        <f t="shared" si="2"/>
        <v>2.5907697885571164</v>
      </c>
      <c r="G15" s="5">
        <f>B15-regressionsdep!Y$7</f>
        <v>-4.563575726173787</v>
      </c>
      <c r="H15" s="5">
        <f>B15+regressionsdep!Y$7</f>
        <v>5.1659405695006191</v>
      </c>
      <c r="I15">
        <f>IF($A15&lt;=regressionsdep!$J$2,$A15*regressionsdep!$J$1,regressionsdep!$J$1*regressionsdep!$J$2+regressionsdep!$J$3*($A15-regressionsdep!$J$2))</f>
        <v>0.68801137008762492</v>
      </c>
      <c r="J15">
        <f>regressionsdep!H$1*A15+regressionsdep!H$2*A15^2</f>
        <v>0.41156719137776987</v>
      </c>
      <c r="K15">
        <f>regressionsdep!$T$1*A15</f>
        <v>0.6880113754220718</v>
      </c>
      <c r="L15">
        <f>regressionsdep!$L$1*A15^2</f>
        <v>-0.11137127068645511</v>
      </c>
      <c r="M15">
        <f>regressionsdep!$P$1*A15^2+regressionsdep!$P$2*A15^6</f>
        <v>-0.12342229908682791</v>
      </c>
      <c r="N15">
        <f>regressionsdep!$N$1*A15^2+regressionsdep!$N$2*A15^7</f>
        <v>-0.11750669418674257</v>
      </c>
      <c r="O15">
        <f>regressionsdep!R$2+regressionsdep!R$1*EXP(A15)</f>
        <v>4.1861064390306089E-3</v>
      </c>
      <c r="P15" s="20">
        <f>(1-EXP(-2*regressionsdep!V$1*graphdep!A15))/2/EXP(-regressionsdep!V$1*A15)</f>
        <v>0.33083407991470948</v>
      </c>
      <c r="AT15" s="33"/>
      <c r="AW15" s="33"/>
      <c r="AZ15" s="33"/>
    </row>
    <row r="16" spans="1:52" x14ac:dyDescent="0.35">
      <c r="A16">
        <f t="shared" si="3"/>
        <v>-0.69999999999999929</v>
      </c>
      <c r="B16">
        <f t="shared" si="0"/>
        <v>0.26861529138301915</v>
      </c>
      <c r="C16">
        <f>regressionsdep!$AO$1*$A16</f>
        <v>-0.73733297486408689</v>
      </c>
      <c r="D16">
        <f>regressionsdep!$AM$1*$A16</f>
        <v>-1.0016944730159936</v>
      </c>
      <c r="E16">
        <f t="shared" si="1"/>
        <v>-1.2060506583451547</v>
      </c>
      <c r="F16">
        <f t="shared" si="2"/>
        <v>2.2720042374150062</v>
      </c>
      <c r="G16" s="5">
        <f>B16-regressionsdep!Y$7</f>
        <v>-4.5961428564541835</v>
      </c>
      <c r="H16" s="5">
        <f>B16+regressionsdep!Y$7</f>
        <v>5.1333734392202226</v>
      </c>
      <c r="I16">
        <f>IF($A16&lt;=regressionsdep!$J$2,$A16*regressionsdep!$J$1,regressionsdep!$J$1*regressionsdep!$J$2+regressionsdep!$J$3*($A16-regressionsdep!$J$2))</f>
        <v>0.60200994882667169</v>
      </c>
      <c r="J16">
        <f>regressionsdep!H$1*A16+regressionsdep!H$2*A16^2</f>
        <v>0.36469827049068682</v>
      </c>
      <c r="K16">
        <f>regressionsdep!$T$1*A16</f>
        <v>0.60200995349431274</v>
      </c>
      <c r="L16">
        <f>regressionsdep!$L$1*A16^2</f>
        <v>-8.526862911931718E-2</v>
      </c>
      <c r="M16">
        <f>regressionsdep!$P$1*A16^2+regressionsdep!$P$2*A16^6</f>
        <v>-9.4496195669523206E-2</v>
      </c>
      <c r="N16">
        <f>regressionsdep!$N$1*A16^2+regressionsdep!$N$2*A16^7</f>
        <v>-8.9965985667016052E-2</v>
      </c>
      <c r="O16">
        <f>regressionsdep!R$2+regressionsdep!R$1*EXP(A16)</f>
        <v>3.8268718780953108E-3</v>
      </c>
      <c r="P16" s="20">
        <f>(1-EXP(-2*regressionsdep!V$1*graphdep!A16))/2/EXP(-regressionsdep!V$1*A16)</f>
        <v>0.28829465663077319</v>
      </c>
      <c r="AT16" s="33"/>
      <c r="AW16" s="33"/>
      <c r="AZ16" s="33"/>
    </row>
    <row r="17" spans="1:52" x14ac:dyDescent="0.35">
      <c r="A17">
        <f t="shared" si="3"/>
        <v>-0.59999999999999931</v>
      </c>
      <c r="B17">
        <f t="shared" si="0"/>
        <v>0.23461747143371911</v>
      </c>
      <c r="C17">
        <f>regressionsdep!$AO$1*$A17</f>
        <v>-0.63199969274064582</v>
      </c>
      <c r="D17">
        <f>regressionsdep!$AM$1*$A17</f>
        <v>-0.8585952625851373</v>
      </c>
      <c r="E17">
        <f t="shared" si="1"/>
        <v>-1.0293819140475726</v>
      </c>
      <c r="F17">
        <f t="shared" si="2"/>
        <v>1.9518079966039936</v>
      </c>
      <c r="G17" s="5">
        <f>B17-regressionsdep!Y$7</f>
        <v>-4.6301406764034843</v>
      </c>
      <c r="H17" s="5">
        <f>B17+regressionsdep!Y$7</f>
        <v>5.0993756192709219</v>
      </c>
      <c r="I17">
        <f>IF($A17&lt;=regressionsdep!$J$2,$A17*regressionsdep!$J$1,regressionsdep!$J$1*regressionsdep!$J$2+regressionsdep!$J$3*($A17-regressionsdep!$J$2))</f>
        <v>0.51600852756571858</v>
      </c>
      <c r="J17">
        <f>regressionsdep!H$1*A17+regressionsdep!H$2*A17^2</f>
        <v>0.31652164159356427</v>
      </c>
      <c r="K17">
        <f>regressionsdep!$T$1*A17</f>
        <v>0.5160085315665538</v>
      </c>
      <c r="L17">
        <f>regressionsdep!$L$1*A17^2</f>
        <v>-6.2646339761130973E-2</v>
      </c>
      <c r="M17">
        <f>regressionsdep!$P$1*A17^2+regressionsdep!$P$2*A17^6</f>
        <v>-6.9426254379101451E-2</v>
      </c>
      <c r="N17">
        <f>regressionsdep!$N$1*A17^2+regressionsdep!$N$2*A17^7</f>
        <v>-6.6097426819363661E-2</v>
      </c>
      <c r="O17">
        <f>regressionsdep!R$2+regressionsdep!R$1*EXP(A17)</f>
        <v>3.429856288581945E-3</v>
      </c>
      <c r="P17" s="20">
        <f>(1-EXP(-2*regressionsdep!V$1*graphdep!A17))/2/EXP(-regressionsdep!V$1*A17)</f>
        <v>0.24623132683082066</v>
      </c>
      <c r="AT17" s="33"/>
      <c r="AW17" s="33"/>
      <c r="AZ17" s="33"/>
    </row>
    <row r="18" spans="1:52" x14ac:dyDescent="0.35">
      <c r="A18">
        <f t="shared" si="3"/>
        <v>-0.49999999999999933</v>
      </c>
      <c r="B18">
        <f t="shared" si="0"/>
        <v>0.19917837473268304</v>
      </c>
      <c r="C18">
        <f>regressionsdep!$AO$1*$A18</f>
        <v>-0.52666641061720476</v>
      </c>
      <c r="D18">
        <f>regressionsdep!$AM$1*$A18</f>
        <v>-0.71549605215428091</v>
      </c>
      <c r="E18">
        <f t="shared" si="1"/>
        <v>-0.85415444650172645</v>
      </c>
      <c r="F18">
        <f t="shared" si="2"/>
        <v>1.6301704790412448</v>
      </c>
      <c r="G18" s="5">
        <f>B18-regressionsdep!Y$7</f>
        <v>-4.6655797731045201</v>
      </c>
      <c r="H18" s="5">
        <f>B18+regressionsdep!Y$7</f>
        <v>5.063936522569886</v>
      </c>
      <c r="I18">
        <f>IF($A18&lt;=regressionsdep!$J$2,$A18*regressionsdep!$J$1,regressionsdep!$J$1*regressionsdep!$J$2+regressionsdep!$J$3*($A18-regressionsdep!$J$2))</f>
        <v>0.43000710630476541</v>
      </c>
      <c r="J18">
        <f>regressionsdep!H$1*A18+regressionsdep!H$2*A18^2</f>
        <v>0.26703730468640219</v>
      </c>
      <c r="K18">
        <f>regressionsdep!$T$1*A18</f>
        <v>0.43000710963879474</v>
      </c>
      <c r="L18">
        <f>regressionsdep!$L$1*A18^2</f>
        <v>-4.3504402611896489E-2</v>
      </c>
      <c r="M18">
        <f>regressionsdep!$P$1*A18^2+regressionsdep!$P$2*A18^6</f>
        <v>-4.8212878208897934E-2</v>
      </c>
      <c r="N18">
        <f>regressionsdep!$N$1*A18^2+regressionsdep!$N$2*A18^7</f>
        <v>-4.590097938864654E-2</v>
      </c>
      <c r="O18">
        <f>regressionsdep!R$2+regressionsdep!R$1*EXP(A18)</f>
        <v>2.9910862050291131E-3</v>
      </c>
      <c r="P18" s="20">
        <f>(1-EXP(-2*regressionsdep!V$1*graphdep!A18))/2/EXP(-regressionsdep!V$1*A18)</f>
        <v>0.20457462659392317</v>
      </c>
      <c r="AT18" s="33"/>
      <c r="AW18" s="33"/>
      <c r="AZ18" s="33"/>
    </row>
    <row r="19" spans="1:52" x14ac:dyDescent="0.35">
      <c r="A19">
        <f t="shared" si="3"/>
        <v>-0.39999999999999936</v>
      </c>
      <c r="B19">
        <f t="shared" si="0"/>
        <v>0.1622875288347517</v>
      </c>
      <c r="C19">
        <f>regressionsdep!$AO$1*$A19</f>
        <v>-0.42133312849376364</v>
      </c>
      <c r="D19">
        <f>regressionsdep!$AM$1*$A19</f>
        <v>-0.57239684172342464</v>
      </c>
      <c r="E19">
        <f t="shared" si="1"/>
        <v>-0.68037872815277556</v>
      </c>
      <c r="F19">
        <f t="shared" si="2"/>
        <v>1.3070812122816009</v>
      </c>
      <c r="G19" s="5">
        <f>B19-regressionsdep!Y$7</f>
        <v>-4.702470619002451</v>
      </c>
      <c r="H19" s="5">
        <f>B19+regressionsdep!Y$7</f>
        <v>5.0270456766719551</v>
      </c>
      <c r="I19">
        <f>IF($A19&lt;=regressionsdep!$J$2,$A19*regressionsdep!$J$1,regressionsdep!$J$1*regressionsdep!$J$2+regressionsdep!$J$3*($A19-regressionsdep!$J$2))</f>
        <v>0.34400568504381224</v>
      </c>
      <c r="J19">
        <f>regressionsdep!H$1*A19+regressionsdep!H$2*A19^2</f>
        <v>0.2162452597692007</v>
      </c>
      <c r="K19">
        <f>regressionsdep!$T$1*A19</f>
        <v>0.34400568771103568</v>
      </c>
      <c r="L19">
        <f>regressionsdep!$L$1*A19^2</f>
        <v>-2.7842817671613739E-2</v>
      </c>
      <c r="M19">
        <f>regressionsdep!$P$1*A19^2+regressionsdep!$P$2*A19^6</f>
        <v>-3.0856312992056364E-2</v>
      </c>
      <c r="N19">
        <f>regressionsdep!$N$1*A19^2+regressionsdep!$N$2*A19^7</f>
        <v>-2.9376623496098854E-2</v>
      </c>
      <c r="O19">
        <f>regressionsdep!R$2+regressionsdep!R$1*EXP(A19)</f>
        <v>2.5061702689649018E-3</v>
      </c>
      <c r="P19" s="20">
        <f>(1-EXP(-2*regressionsdep!V$1*graphdep!A19))/2/EXP(-regressionsdep!V$1*A19)</f>
        <v>0.16325576351241394</v>
      </c>
      <c r="AT19" s="33"/>
      <c r="AW19" s="33"/>
      <c r="AZ19" s="33"/>
    </row>
    <row r="20" spans="1:52" x14ac:dyDescent="0.35">
      <c r="A20">
        <f t="shared" si="3"/>
        <v>-0.29999999999999938</v>
      </c>
      <c r="B20">
        <f t="shared" si="0"/>
        <v>0.12393455379209047</v>
      </c>
      <c r="C20">
        <f>regressionsdep!$AO$1*$A20</f>
        <v>-0.31599984637032258</v>
      </c>
      <c r="D20">
        <f>regressionsdep!$AM$1*$A20</f>
        <v>-0.42929763129256826</v>
      </c>
      <c r="E20">
        <f t="shared" si="1"/>
        <v>-0.50806513894855465</v>
      </c>
      <c r="F20">
        <f t="shared" si="2"/>
        <v>0.98252981637722703</v>
      </c>
      <c r="G20" s="5">
        <f>B20-regressionsdep!Y$7</f>
        <v>-4.7408235940451124</v>
      </c>
      <c r="H20" s="5">
        <f>B20+regressionsdep!Y$7</f>
        <v>4.9886927016292937</v>
      </c>
      <c r="I20">
        <f>IF($A20&lt;=regressionsdep!$J$2,$A20*regressionsdep!$J$1,regressionsdep!$J$1*regressionsdep!$J$2+regressionsdep!$J$3*($A20-regressionsdep!$J$2))</f>
        <v>0.25800426378285907</v>
      </c>
      <c r="J20">
        <f>regressionsdep!H$1*A20+regressionsdep!H$2*A20^2</f>
        <v>0.16414550684195967</v>
      </c>
      <c r="K20">
        <f>regressionsdep!$T$1*A20</f>
        <v>0.25800426578327662</v>
      </c>
      <c r="L20">
        <f>regressionsdep!$L$1*A20^2</f>
        <v>-1.5661584940282712E-2</v>
      </c>
      <c r="M20">
        <f>regressionsdep!$P$1*A20^2+regressionsdep!$P$2*A20^6</f>
        <v>-1.7356694982137325E-2</v>
      </c>
      <c r="N20">
        <f>regressionsdep!$N$1*A20^2+regressionsdep!$N$2*A20^7</f>
        <v>-1.6524350023894036E-2</v>
      </c>
      <c r="O20">
        <f>regressionsdep!R$2+regressionsdep!R$1*EXP(A20)</f>
        <v>1.9702552787153067E-3</v>
      </c>
      <c r="P20" s="20">
        <f>(1-EXP(-2*regressionsdep!V$1*graphdep!A20))/2/EXP(-regressionsdep!V$1*A20)</f>
        <v>0.12220650308722662</v>
      </c>
      <c r="AT20" s="33"/>
      <c r="AW20" s="33"/>
      <c r="AZ20" s="33"/>
    </row>
    <row r="21" spans="1:52" x14ac:dyDescent="0.35">
      <c r="A21">
        <f t="shared" si="3"/>
        <v>-0.19999999999999937</v>
      </c>
      <c r="B21">
        <f t="shared" si="0"/>
        <v>8.4109140834214433E-2</v>
      </c>
      <c r="C21">
        <f>regressionsdep!$AO$1*$A21</f>
        <v>-0.21066656424688152</v>
      </c>
      <c r="D21">
        <f>regressionsdep!$AM$1*$A21</f>
        <v>-0.28619842086171188</v>
      </c>
      <c r="E21">
        <f t="shared" si="1"/>
        <v>-0.33722398765954859</v>
      </c>
      <c r="F21">
        <f t="shared" si="2"/>
        <v>0.65650598255763815</v>
      </c>
      <c r="G21" s="5">
        <f>B21-regressionsdep!Y$7</f>
        <v>-4.7806490070029888</v>
      </c>
      <c r="H21" s="5">
        <f>B21+regressionsdep!Y$7</f>
        <v>4.9488672886714173</v>
      </c>
      <c r="I21">
        <f>IF($A21&lt;=regressionsdep!$J$2,$A21*regressionsdep!$J$1,regressionsdep!$J$1*regressionsdep!$J$2+regressionsdep!$J$3*($A21-regressionsdep!$J$2))</f>
        <v>0.17200284252190584</v>
      </c>
      <c r="J21">
        <f>regressionsdep!H$1*A21+regressionsdep!H$2*A21^2</f>
        <v>0.11073804590467916</v>
      </c>
      <c r="K21">
        <f>regressionsdep!$T$1*A21</f>
        <v>0.17200284385551759</v>
      </c>
      <c r="L21">
        <f>regressionsdep!$L$1*A21^2</f>
        <v>-6.960704417903414E-3</v>
      </c>
      <c r="M21">
        <f>regressionsdep!$P$1*A21^2+regressionsdep!$P$2*A21^6</f>
        <v>-7.714089782707028E-3</v>
      </c>
      <c r="N21">
        <f>regressionsdep!$N$1*A21^2+regressionsdep!$N$2*A21^7</f>
        <v>-7.3441554830044825E-3</v>
      </c>
      <c r="O21">
        <f>regressionsdep!R$2+regressionsdep!R$1*EXP(A21)</f>
        <v>1.3779776169306583E-3</v>
      </c>
      <c r="P21" s="20">
        <f>(1-EXP(-2*regressionsdep!V$1*graphdep!A21))/2/EXP(-regressionsdep!V$1*A21)</f>
        <v>8.1359056044570319E-2</v>
      </c>
      <c r="AT21" s="33"/>
      <c r="AW21" s="33"/>
      <c r="AZ21" s="33"/>
    </row>
    <row r="22" spans="1:52" x14ac:dyDescent="0.35">
      <c r="A22">
        <f t="shared" si="3"/>
        <v>-9.9999999999999367E-2</v>
      </c>
      <c r="B22">
        <f t="shared" si="0"/>
        <v>4.2801031893362075E-2</v>
      </c>
      <c r="C22">
        <f>regressionsdep!$AO$1*$A22</f>
        <v>-0.10533328212344042</v>
      </c>
      <c r="D22">
        <f>regressionsdep!$AM$1*$A22</f>
        <v>-0.14309921043085547</v>
      </c>
      <c r="E22">
        <f t="shared" si="1"/>
        <v>-0.16786553235351878</v>
      </c>
      <c r="F22">
        <f t="shared" si="2"/>
        <v>0.32899945275507303</v>
      </c>
      <c r="G22" s="5">
        <f>B22-regressionsdep!Y$7</f>
        <v>-4.8219571159438406</v>
      </c>
      <c r="H22" s="5">
        <f>B22+regressionsdep!Y$7</f>
        <v>4.9075591797305655</v>
      </c>
      <c r="I22">
        <f>IF($A22&lt;=regressionsdep!$J$2,$A22*regressionsdep!$J$1,regressionsdep!$J$1*regressionsdep!$J$2+regressionsdep!$J$3*($A22-regressionsdep!$J$2))</f>
        <v>8.6001421260952643E-2</v>
      </c>
      <c r="J22">
        <f>regressionsdep!H$1*A22+regressionsdep!H$2*A22^2</f>
        <v>5.6022876957359143E-2</v>
      </c>
      <c r="K22">
        <f>regressionsdep!$T$1*A22</f>
        <v>8.6001421927758517E-2</v>
      </c>
      <c r="L22">
        <f>regressionsdep!$L$1*A22^2</f>
        <v>-1.7401761044758422E-3</v>
      </c>
      <c r="M22">
        <f>regressionsdep!$P$1*A22^2+regressionsdep!$P$2*A22^6</f>
        <v>-1.928522625906322E-3</v>
      </c>
      <c r="N22">
        <f>regressionsdep!$N$1*A22^2+regressionsdep!$N$2*A22^7</f>
        <v>-1.8360388676962633E-3</v>
      </c>
      <c r="O22">
        <f>regressionsdep!R$2+regressionsdep!R$1*EXP(A22)</f>
        <v>7.2340956970042003E-4</v>
      </c>
      <c r="P22" s="20">
        <f>(1-EXP(-2*regressionsdep!V$1*graphdep!A22))/2/EXP(-regressionsdep!V$1*A22)</f>
        <v>4.0645966387855788E-2</v>
      </c>
      <c r="AT22" s="33"/>
      <c r="AW22" s="33"/>
      <c r="AZ22" s="33"/>
    </row>
    <row r="23" spans="1:52" x14ac:dyDescent="0.35">
      <c r="A23">
        <v>0</v>
      </c>
      <c r="B23">
        <f t="shared" si="0"/>
        <v>0</v>
      </c>
      <c r="C23">
        <f>regressionsdep!$AO$1*$A23</f>
        <v>0</v>
      </c>
      <c r="D23">
        <f>regressionsdep!$AM$1*$A23</f>
        <v>0</v>
      </c>
      <c r="E23">
        <f t="shared" si="1"/>
        <v>0</v>
      </c>
      <c r="F23">
        <f t="shared" si="2"/>
        <v>0</v>
      </c>
      <c r="G23" s="5">
        <f>B23-regressionsdep!Y$7</f>
        <v>-4.8647581478372031</v>
      </c>
      <c r="H23" s="5">
        <f>B23+regressionsdep!Y$7</f>
        <v>4.8647581478372031</v>
      </c>
      <c r="I23">
        <f>IF($A23&lt;=regressionsdep!$J$2,$A23*regressionsdep!$J$1,regressionsdep!$J$1*regressionsdep!$J$2+regressionsdep!$J$3*($A23-regressionsdep!$J$2))</f>
        <v>0</v>
      </c>
      <c r="J23">
        <f>regressionsdep!H$1*A23+regressionsdep!H$2*A23^2</f>
        <v>0</v>
      </c>
      <c r="K23">
        <f>regressionsdep!$T$1*A23</f>
        <v>0</v>
      </c>
      <c r="L23">
        <f>regressionsdep!$L$1*A23^2</f>
        <v>0</v>
      </c>
      <c r="M23">
        <f>regressionsdep!$P$1*A23^2+regressionsdep!$P$2*A23^6</f>
        <v>0</v>
      </c>
      <c r="N23">
        <f>regressionsdep!$N$1*A23^2+regressionsdep!$N$2*A23^7</f>
        <v>0</v>
      </c>
      <c r="O23">
        <f>regressionsdep!R$2+regressionsdep!R$1*EXP(A23)</f>
        <v>0</v>
      </c>
      <c r="P23" s="20">
        <f>(1-EXP(-2*regressionsdep!V$1*graphdep!A23))/2/EXP(-regressionsdep!V$1*A23)</f>
        <v>0</v>
      </c>
      <c r="AT23" s="33"/>
      <c r="AW23" s="33"/>
      <c r="AZ23" s="33"/>
    </row>
    <row r="24" spans="1:52" x14ac:dyDescent="0.35">
      <c r="A24">
        <f t="shared" si="3"/>
        <v>0.1</v>
      </c>
      <c r="B24">
        <f t="shared" si="0"/>
        <v>-4.4304169427035231E-2</v>
      </c>
      <c r="C24">
        <f>regressionsdep!$AO$1*$A24</f>
        <v>0.10533328212344109</v>
      </c>
      <c r="D24">
        <f>regressionsdep!$AM$1*$A24</f>
        <v>0.14309921043085638</v>
      </c>
      <c r="E24">
        <f t="shared" si="1"/>
        <v>0.16636239481984694</v>
      </c>
      <c r="F24">
        <f t="shared" si="2"/>
        <v>-0.33050259028874801</v>
      </c>
      <c r="G24" s="5">
        <f>B24-regressionsdep!Y$7</f>
        <v>-4.9090623172642385</v>
      </c>
      <c r="H24" s="5">
        <f>B24+regressionsdep!Y$7</f>
        <v>4.8204539784101677</v>
      </c>
      <c r="I24">
        <f>IF($A24&lt;=regressionsdep!$J$2,$A24*regressionsdep!$J$1,regressionsdep!$J$1*regressionsdep!$J$2+regressionsdep!$J$3*($A24-regressionsdep!$J$2))</f>
        <v>-8.6001421260953198E-2</v>
      </c>
      <c r="J24">
        <f>regressionsdep!H$1*A24+regressionsdep!H$2*A24^2</f>
        <v>-5.7330584967398984E-2</v>
      </c>
      <c r="K24">
        <f>regressionsdep!$T$1*A24</f>
        <v>-8.6001421927759059E-2</v>
      </c>
      <c r="L24">
        <f>regressionsdep!$L$1*A24^2</f>
        <v>-1.7401761044758646E-3</v>
      </c>
      <c r="M24">
        <f>regressionsdep!$P$1*A24^2+regressionsdep!$P$2*A24^6</f>
        <v>-1.9285226259063467E-3</v>
      </c>
      <c r="N24">
        <f>regressionsdep!$N$1*A24^2+regressionsdep!$N$2*A24^7</f>
        <v>-1.8360388674992002E-3</v>
      </c>
      <c r="O24">
        <f>regressionsdep!R$2+regressionsdep!R$1*EXP(A24)</f>
        <v>-7.9949121829052915E-4</v>
      </c>
      <c r="P24" s="20">
        <f>(1-EXP(-2*regressionsdep!V$1*graphdep!A24))/2/EXP(-regressionsdep!V$1*A24)</f>
        <v>-4.064596638785601E-2</v>
      </c>
      <c r="AT24" s="33"/>
      <c r="AW24" s="33"/>
      <c r="AZ24" s="33"/>
    </row>
    <row r="25" spans="1:52" x14ac:dyDescent="0.35">
      <c r="A25">
        <f t="shared" si="3"/>
        <v>0.2</v>
      </c>
      <c r="B25">
        <f t="shared" si="0"/>
        <v>-9.0121696371611854E-2</v>
      </c>
      <c r="C25">
        <f>regressionsdep!$AO$1*$A25</f>
        <v>0.21066656424688218</v>
      </c>
      <c r="D25">
        <f>regressionsdep!$AM$1*$A25</f>
        <v>0.28619842086171277</v>
      </c>
      <c r="E25">
        <f t="shared" si="1"/>
        <v>0.33121143212215254</v>
      </c>
      <c r="F25">
        <f t="shared" si="2"/>
        <v>-0.66251853809503736</v>
      </c>
      <c r="G25" s="5">
        <f>B25-regressionsdep!Y$7</f>
        <v>-4.9548798442088149</v>
      </c>
      <c r="H25" s="5">
        <f>B25+regressionsdep!Y$7</f>
        <v>4.7746364514655912</v>
      </c>
      <c r="I25">
        <f>IF($A25&lt;=regressionsdep!$J$2,$A25*regressionsdep!$J$1,regressionsdep!$J$1*regressionsdep!$J$2+regressionsdep!$J$3*($A25-regressionsdep!$J$2))</f>
        <v>-0.1720028425219064</v>
      </c>
      <c r="J25">
        <f>regressionsdep!H$1*A25+regressionsdep!H$2*A25^2</f>
        <v>-0.11596887794483747</v>
      </c>
      <c r="K25">
        <f>regressionsdep!$T$1*A25</f>
        <v>-0.17200284385551812</v>
      </c>
      <c r="L25">
        <f>regressionsdep!$L$1*A25^2</f>
        <v>-6.9607044179034582E-3</v>
      </c>
      <c r="M25">
        <f>regressionsdep!$P$1*A25^2+regressionsdep!$P$2*A25^6</f>
        <v>-7.7140897827070775E-3</v>
      </c>
      <c r="N25">
        <f>regressionsdep!$N$1*A25^2+regressionsdep!$N$2*A25^7</f>
        <v>-7.3441554577774191E-3</v>
      </c>
      <c r="O25">
        <f>regressionsdep!R$2+regressionsdep!R$1*EXP(A25)</f>
        <v>-1.6830656620020895E-3</v>
      </c>
      <c r="P25" s="20">
        <f>(1-EXP(-2*regressionsdep!V$1*graphdep!A25))/2/EXP(-regressionsdep!V$1*A25)</f>
        <v>-8.1359056044570582E-2</v>
      </c>
      <c r="AT25" s="33"/>
      <c r="AW25" s="33"/>
      <c r="AZ25" s="33"/>
    </row>
    <row r="26" spans="1:52" x14ac:dyDescent="0.35">
      <c r="A26">
        <f t="shared" si="3"/>
        <v>0.30000000000000004</v>
      </c>
      <c r="B26">
        <f t="shared" si="0"/>
        <v>-0.13746282306891641</v>
      </c>
      <c r="C26">
        <f>regressionsdep!$AO$1*$A26</f>
        <v>0.3159998463703233</v>
      </c>
      <c r="D26">
        <f>regressionsdep!$AM$1*$A26</f>
        <v>0.4292976312925692</v>
      </c>
      <c r="E26">
        <f t="shared" si="1"/>
        <v>0.49453686967173016</v>
      </c>
      <c r="F26">
        <f t="shared" si="2"/>
        <v>-0.99605808565405485</v>
      </c>
      <c r="G26" s="5">
        <f>B26-regressionsdep!Y$7</f>
        <v>-5.0022209709061194</v>
      </c>
      <c r="H26" s="5">
        <f>B26+regressionsdep!Y$7</f>
        <v>4.7272953247682867</v>
      </c>
      <c r="I26">
        <f>IF($A26&lt;=regressionsdep!$J$2,$A26*regressionsdep!$J$1,regressionsdep!$J$1*regressionsdep!$J$2+regressionsdep!$J$3*($A26-regressionsdep!$J$2))</f>
        <v>-0.25800426378285962</v>
      </c>
      <c r="J26">
        <f>regressionsdep!H$1*A26+regressionsdep!H$2*A26^2</f>
        <v>-0.17591487893231547</v>
      </c>
      <c r="K26">
        <f>regressionsdep!$T$1*A26</f>
        <v>-0.25800426578327723</v>
      </c>
      <c r="L26">
        <f>regressionsdep!$L$1*A26^2</f>
        <v>-1.5661584940282781E-2</v>
      </c>
      <c r="M26">
        <f>regressionsdep!$P$1*A26^2+regressionsdep!$P$2*A26^6</f>
        <v>-1.7356694982137405E-2</v>
      </c>
      <c r="N26">
        <f>regressionsdep!$N$1*A26^2+regressionsdep!$N$2*A26^7</f>
        <v>-1.6524349592865278E-2</v>
      </c>
      <c r="O26">
        <f>regressionsdep!R$2+regressionsdep!R$1*EXP(A26)</f>
        <v>-2.6595664411469735E-3</v>
      </c>
      <c r="P26" s="20">
        <f>(1-EXP(-2*regressionsdep!V$1*graphdep!A26))/2/EXP(-regressionsdep!V$1*A26)</f>
        <v>-0.1222065030872269</v>
      </c>
      <c r="AT26" s="33"/>
      <c r="AW26" s="33"/>
      <c r="AZ26" s="33"/>
    </row>
    <row r="27" spans="1:52" x14ac:dyDescent="0.35">
      <c r="A27">
        <f t="shared" si="3"/>
        <v>0.4</v>
      </c>
      <c r="B27">
        <f t="shared" si="0"/>
        <v>-0.18633782988847658</v>
      </c>
      <c r="C27">
        <f>regressionsdep!$AO$1*$A27</f>
        <v>0.42133312849376436</v>
      </c>
      <c r="D27">
        <f>regressionsdep!$AM$1*$A27</f>
        <v>0.57239684172342553</v>
      </c>
      <c r="E27">
        <f t="shared" si="1"/>
        <v>0.65632842709905215</v>
      </c>
      <c r="F27">
        <f t="shared" si="2"/>
        <v>-1.3311315133353276</v>
      </c>
      <c r="G27" s="5">
        <f>B27-regressionsdep!Y$7</f>
        <v>-5.0510959777256801</v>
      </c>
      <c r="H27" s="5">
        <f>B27+regressionsdep!Y$7</f>
        <v>4.678420317948726</v>
      </c>
      <c r="I27">
        <f>IF($A27&lt;=regressionsdep!$J$2,$A27*regressionsdep!$J$1,regressionsdep!$J$1*regressionsdep!$J$2+regressionsdep!$J$3*($A27-regressionsdep!$J$2))</f>
        <v>-0.34400568504381279</v>
      </c>
      <c r="J27">
        <f>regressionsdep!H$1*A27+regressionsdep!H$2*A27^2</f>
        <v>-0.23716858792983289</v>
      </c>
      <c r="K27">
        <f>regressionsdep!$T$1*A27</f>
        <v>-0.34400568771103623</v>
      </c>
      <c r="L27">
        <f>regressionsdep!$L$1*A27^2</f>
        <v>-2.7842817671613833E-2</v>
      </c>
      <c r="M27">
        <f>regressionsdep!$P$1*A27^2+regressionsdep!$P$2*A27^6</f>
        <v>-3.0856312992056469E-2</v>
      </c>
      <c r="N27">
        <f>regressionsdep!$N$1*A27^2+regressionsdep!$N$2*A27^7</f>
        <v>-2.9376620267028839E-2</v>
      </c>
      <c r="O27">
        <f>regressionsdep!R$2+regressionsdep!R$1*EXP(A27)</f>
        <v>-3.7387667037361121E-3</v>
      </c>
      <c r="P27" s="20">
        <f>(1-EXP(-2*regressionsdep!V$1*graphdep!A27))/2/EXP(-regressionsdep!V$1*A27)</f>
        <v>-0.16325576351241422</v>
      </c>
      <c r="AT27" s="33"/>
      <c r="AW27" s="33"/>
      <c r="AZ27" s="33"/>
    </row>
    <row r="28" spans="1:52" x14ac:dyDescent="0.35">
      <c r="A28">
        <f t="shared" si="3"/>
        <v>0.5</v>
      </c>
      <c r="B28">
        <f t="shared" si="0"/>
        <v>-0.2367570502291319</v>
      </c>
      <c r="C28">
        <f>regressionsdep!$AO$1*$A28</f>
        <v>0.52666641061720543</v>
      </c>
      <c r="D28">
        <f>regressionsdep!$AM$1*$A28</f>
        <v>0.71549605215428191</v>
      </c>
      <c r="E28">
        <f t="shared" si="1"/>
        <v>0.81657577100527901</v>
      </c>
      <c r="F28">
        <f t="shared" si="2"/>
        <v>-1.6677491545376957</v>
      </c>
      <c r="G28" s="5">
        <f>B28-regressionsdep!Y$7</f>
        <v>-5.1015151980663349</v>
      </c>
      <c r="H28" s="5">
        <f>B28+regressionsdep!Y$7</f>
        <v>4.6280010976080712</v>
      </c>
      <c r="I28">
        <f>IF($A28&lt;=regressionsdep!$J$2,$A28*regressionsdep!$J$1,regressionsdep!$J$1*regressionsdep!$J$2+regressionsdep!$J$3*($A28-regressionsdep!$J$2))</f>
        <v>-0.43000710630476596</v>
      </c>
      <c r="J28">
        <f>regressionsdep!H$1*A28+regressionsdep!H$2*A28^2</f>
        <v>-0.29973000493738983</v>
      </c>
      <c r="K28">
        <f>regressionsdep!$T$1*A28</f>
        <v>-0.43000710963879529</v>
      </c>
      <c r="L28">
        <f>regressionsdep!$L$1*A28^2</f>
        <v>-4.3504402611896607E-2</v>
      </c>
      <c r="M28">
        <f>regressionsdep!$P$1*A28^2+regressionsdep!$P$2*A28^6</f>
        <v>-4.8212878208898066E-2</v>
      </c>
      <c r="N28">
        <f>regressionsdep!$N$1*A28^2+regressionsdep!$N$2*A28^7</f>
        <v>-4.5900963991240495E-2</v>
      </c>
      <c r="O28">
        <f>regressionsdep!R$2+regressionsdep!R$1*EXP(A28)</f>
        <v>-4.9314674487292293E-3</v>
      </c>
      <c r="P28" s="20">
        <f>(1-EXP(-2*regressionsdep!V$1*graphdep!A28))/2/EXP(-regressionsdep!V$1*A28)</f>
        <v>-0.2045746265939235</v>
      </c>
      <c r="AT28" s="33"/>
      <c r="AW28" s="33"/>
      <c r="AZ28" s="33"/>
    </row>
    <row r="29" spans="1:52" x14ac:dyDescent="0.35">
      <c r="A29">
        <f t="shared" si="3"/>
        <v>0.6</v>
      </c>
      <c r="B29">
        <f t="shared" si="0"/>
        <v>-0.28873088440426142</v>
      </c>
      <c r="C29">
        <f>regressionsdep!$AO$1*$A29</f>
        <v>0.63199969274064649</v>
      </c>
      <c r="D29">
        <f>regressionsdep!$AM$1*$A29</f>
        <v>0.8585952625851383</v>
      </c>
      <c r="E29">
        <f t="shared" si="1"/>
        <v>0.97526850107703156</v>
      </c>
      <c r="F29">
        <f t="shared" si="2"/>
        <v>-2.0059214095745381</v>
      </c>
      <c r="G29" s="5">
        <f>B29-regressionsdep!Y$7</f>
        <v>-5.1534890322414642</v>
      </c>
      <c r="H29" s="5">
        <f>B29+regressionsdep!Y$7</f>
        <v>4.576027263432942</v>
      </c>
      <c r="I29">
        <f>IF($A29&lt;=regressionsdep!$J$2,$A29*regressionsdep!$J$1,regressionsdep!$J$1*regressionsdep!$J$2+regressionsdep!$J$3*($A29-regressionsdep!$J$2))</f>
        <v>-0.51600852756571913</v>
      </c>
      <c r="J29">
        <f>regressionsdep!H$1*A29+regressionsdep!H$2*A29^2</f>
        <v>-0.36359912995498628</v>
      </c>
      <c r="K29">
        <f>regressionsdep!$T$1*A29</f>
        <v>-0.51600853156655435</v>
      </c>
      <c r="L29">
        <f>regressionsdep!$L$1*A29^2</f>
        <v>-6.2646339761131112E-2</v>
      </c>
      <c r="M29">
        <f>regressionsdep!$P$1*A29^2+regressionsdep!$P$2*A29^6</f>
        <v>-6.9426254379101604E-2</v>
      </c>
      <c r="N29">
        <f>regressionsdep!$N$1*A29^2+regressionsdep!$N$2*A29^7</f>
        <v>-6.6097371647673681E-2</v>
      </c>
      <c r="O29">
        <f>regressionsdep!R$2+regressionsdep!R$1*EXP(A29)</f>
        <v>-6.2496056260627816E-3</v>
      </c>
      <c r="P29" s="20">
        <f>(1-EXP(-2*regressionsdep!V$1*graphdep!A29))/2/EXP(-regressionsdep!V$1*A29)</f>
        <v>-0.24623132683082094</v>
      </c>
      <c r="Q29" s="1"/>
      <c r="AE29" s="53"/>
      <c r="AO29" s="1"/>
      <c r="AP29" s="1"/>
      <c r="AT29" s="33"/>
      <c r="AW29" s="33"/>
      <c r="AZ29" s="33"/>
    </row>
    <row r="30" spans="1:52" x14ac:dyDescent="0.35">
      <c r="A30">
        <f t="shared" si="3"/>
        <v>0.7</v>
      </c>
      <c r="B30">
        <f t="shared" si="0"/>
        <v>-0.34226981249646971</v>
      </c>
      <c r="C30">
        <f>regressionsdep!$AO$1*$A30</f>
        <v>0.73733297486408755</v>
      </c>
      <c r="D30">
        <f>regressionsdep!$AM$1*$A30</f>
        <v>1.0016944730159947</v>
      </c>
      <c r="E30">
        <f t="shared" si="1"/>
        <v>1.1323961372317055</v>
      </c>
      <c r="F30">
        <f t="shared" si="2"/>
        <v>-2.345658758528459</v>
      </c>
      <c r="G30" s="5">
        <f>B30-regressionsdep!Y$7</f>
        <v>-5.2070279603336731</v>
      </c>
      <c r="H30" s="5">
        <f>B30+regressionsdep!Y$7</f>
        <v>4.522488335340733</v>
      </c>
      <c r="I30">
        <f>IF($A30&lt;=regressionsdep!$J$2,$A30*regressionsdep!$J$1,regressionsdep!$J$1*regressionsdep!$J$2+regressionsdep!$J$3*($A30-regressionsdep!$J$2))</f>
        <v>-0.60200994882667236</v>
      </c>
      <c r="J30">
        <f>regressionsdep!H$1*A30+regressionsdep!H$2*A30^2</f>
        <v>-0.42877596298262222</v>
      </c>
      <c r="K30">
        <f>regressionsdep!$T$1*A30</f>
        <v>-0.60200995349431341</v>
      </c>
      <c r="L30">
        <f>regressionsdep!$L$1*A30^2</f>
        <v>-8.5268629119317332E-2</v>
      </c>
      <c r="M30">
        <f>regressionsdep!$P$1*A30^2+regressionsdep!$P$2*A30^6</f>
        <v>-9.4496195669523386E-2</v>
      </c>
      <c r="N30">
        <f>regressionsdep!$N$1*A30^2+regressionsdep!$N$2*A30^7</f>
        <v>-8.9965823357562591E-2</v>
      </c>
      <c r="O30">
        <f>regressionsdep!R$2+regressionsdep!R$1*EXP(A30)</f>
        <v>-7.7063736056570652E-3</v>
      </c>
      <c r="P30" s="20">
        <f>(1-EXP(-2*regressionsdep!V$1*graphdep!A30))/2/EXP(-regressionsdep!V$1*A30)</f>
        <v>-0.28829465663077353</v>
      </c>
      <c r="AE30" s="54"/>
      <c r="AT30" s="33"/>
      <c r="AW30" s="33"/>
      <c r="AZ30" s="33"/>
    </row>
    <row r="31" spans="1:52" x14ac:dyDescent="0.35">
      <c r="A31">
        <f t="shared" si="3"/>
        <v>0.79999999999999993</v>
      </c>
      <c r="B31">
        <f t="shared" si="0"/>
        <v>-0.39738440616194565</v>
      </c>
      <c r="C31">
        <f>regressionsdep!$AO$1*$A31</f>
        <v>0.84266625698752862</v>
      </c>
      <c r="D31">
        <f>regressionsdep!$AM$1*$A31</f>
        <v>1.1447936834468511</v>
      </c>
      <c r="E31">
        <f t="shared" si="1"/>
        <v>1.2879481078131116</v>
      </c>
      <c r="F31">
        <f t="shared" si="2"/>
        <v>-2.6869717730556477</v>
      </c>
      <c r="G31" s="5">
        <f>B31-regressionsdep!Y$7</f>
        <v>-5.2621425539991487</v>
      </c>
      <c r="H31" s="5">
        <f>B31+regressionsdep!Y$7</f>
        <v>4.4673737416752575</v>
      </c>
      <c r="I31">
        <f>IF($A31&lt;=regressionsdep!$J$2,$A31*regressionsdep!$J$1,regressionsdep!$J$1*regressionsdep!$J$2+regressionsdep!$J$3*($A31-regressionsdep!$J$2))</f>
        <v>-0.68801137008762547</v>
      </c>
      <c r="J31">
        <f>regressionsdep!H$1*A31+regressionsdep!H$2*A31^2</f>
        <v>-0.49526050402029759</v>
      </c>
      <c r="K31">
        <f>regressionsdep!$T$1*A31</f>
        <v>-0.68801137542207236</v>
      </c>
      <c r="L31">
        <f>regressionsdep!$L$1*A31^2</f>
        <v>-0.1113712706864553</v>
      </c>
      <c r="M31">
        <f>regressionsdep!$P$1*A31^2+regressionsdep!$P$2*A31^6</f>
        <v>-0.12342229908682811</v>
      </c>
      <c r="N31">
        <f>regressionsdep!$N$1*A31^2+regressionsdep!$N$2*A31^7</f>
        <v>-0.11750628086576831</v>
      </c>
      <c r="O31">
        <f>regressionsdep!R$2+regressionsdep!R$1*EXP(A31)</f>
        <v>-9.3163512110884823E-3</v>
      </c>
      <c r="P31" s="20">
        <f>(1-EXP(-2*regressionsdep!V$1*graphdep!A31))/2/EXP(-regressionsdep!V$1*A31)</f>
        <v>-0.33083407991470976</v>
      </c>
      <c r="AE31" s="54"/>
      <c r="AT31" s="33"/>
      <c r="AW31" s="33"/>
      <c r="AZ31" s="33"/>
    </row>
    <row r="32" spans="1:52" x14ac:dyDescent="0.35">
      <c r="A32">
        <f t="shared" si="3"/>
        <v>0.89999999999999991</v>
      </c>
      <c r="B32">
        <f t="shared" si="0"/>
        <v>-0.45408533936586382</v>
      </c>
      <c r="C32">
        <f>regressionsdep!$AO$1*$A32</f>
        <v>0.94799953911096968</v>
      </c>
      <c r="D32">
        <f>regressionsdep!$AM$1*$A32</f>
        <v>1.2878928938777072</v>
      </c>
      <c r="E32">
        <f t="shared" si="1"/>
        <v>1.4419137388560754</v>
      </c>
      <c r="F32">
        <f t="shared" si="2"/>
        <v>-3.0298711271212784</v>
      </c>
      <c r="G32" s="5">
        <f>B32-regressionsdep!Y$7</f>
        <v>-5.3188434872030665</v>
      </c>
      <c r="H32" s="5">
        <f>B32+regressionsdep!Y$7</f>
        <v>4.4106728084713396</v>
      </c>
      <c r="I32">
        <f>IF($A32&lt;=regressionsdep!$J$2,$A32*regressionsdep!$J$1,regressionsdep!$J$1*regressionsdep!$J$2+regressionsdep!$J$3*($A32-regressionsdep!$J$2))</f>
        <v>-0.7740127913485787</v>
      </c>
      <c r="J32">
        <f>regressionsdep!H$1*A32+regressionsdep!H$2*A32^2</f>
        <v>-0.5630527530680125</v>
      </c>
      <c r="K32">
        <f>regressionsdep!$T$1*A32</f>
        <v>-0.77401279734983142</v>
      </c>
      <c r="L32">
        <f>regressionsdep!$L$1*A32^2</f>
        <v>-0.14095426446254497</v>
      </c>
      <c r="M32">
        <f>regressionsdep!$P$1*A32^2+regressionsdep!$P$2*A32^6</f>
        <v>-0.15620394824586076</v>
      </c>
      <c r="N32">
        <f>regressionsdep!$N$1*A32^2+regressionsdep!$N$2*A32^7</f>
        <v>-0.14871867694539245</v>
      </c>
      <c r="O32">
        <f>regressionsdep!R$2+regressionsdep!R$1*EXP(A32)</f>
        <v>-1.109565163936436E-2</v>
      </c>
      <c r="P32" s="20">
        <f>(1-EXP(-2*regressionsdep!V$1*graphdep!A32))/2/EXP(-regressionsdep!V$1*A32)</f>
        <v>-0.37391984683042873</v>
      </c>
      <c r="AE32" s="54"/>
      <c r="AT32" s="33"/>
      <c r="AW32" s="33"/>
      <c r="AZ32" s="33"/>
    </row>
    <row r="33" spans="1:52" x14ac:dyDescent="0.35">
      <c r="A33">
        <f t="shared" si="3"/>
        <v>0.99999999999999989</v>
      </c>
      <c r="B33">
        <f t="shared" si="0"/>
        <v>-0.51238339803148392</v>
      </c>
      <c r="C33">
        <f>regressionsdep!$AO$1*$A33</f>
        <v>1.0533328212344106</v>
      </c>
      <c r="D33">
        <f>regressionsdep!$AM$1*$A33</f>
        <v>1.4309921043085636</v>
      </c>
      <c r="E33">
        <f t="shared" si="1"/>
        <v>1.5942822444373372</v>
      </c>
      <c r="F33">
        <f t="shared" si="2"/>
        <v>-3.3743676066486112</v>
      </c>
      <c r="G33" s="5">
        <f>B33-regressionsdep!Y$7</f>
        <v>-5.3771415458686871</v>
      </c>
      <c r="H33" s="5">
        <f>B33+regressionsdep!Y$7</f>
        <v>4.352374749805719</v>
      </c>
      <c r="I33">
        <f>IF($A33&lt;=regressionsdep!$J$2,$A33*regressionsdep!$J$1,regressionsdep!$J$1*regressionsdep!$J$2+regressionsdep!$J$3*($A33-regressionsdep!$J$2))</f>
        <v>-0.86001421260953181</v>
      </c>
      <c r="J33">
        <f>regressionsdep!H$1*A33+regressionsdep!H$2*A33^2</f>
        <v>-0.6321527101257669</v>
      </c>
      <c r="K33">
        <f>regressionsdep!$T$1*A33</f>
        <v>-0.86001421927759047</v>
      </c>
      <c r="L33">
        <f>regressionsdep!$L$1*A33^2</f>
        <v>-0.1740176104475864</v>
      </c>
      <c r="M33">
        <f>regressionsdep!$P$1*A33^2+regressionsdep!$P$2*A33^6</f>
        <v>-0.19284024848699863</v>
      </c>
      <c r="N33">
        <f>regressionsdep!$N$1*A33^2+regressionsdep!$N$2*A33^7</f>
        <v>-0.18360290132577986</v>
      </c>
      <c r="O33">
        <f>regressionsdep!R$2+regressionsdep!R$1*EXP(A33)</f>
        <v>-1.3062082727214401E-2</v>
      </c>
      <c r="P33" s="20">
        <f>(1-EXP(-2*regressionsdep!V$1*graphdep!A33))/2/EXP(-regressionsdep!V$1*A33)</f>
        <v>-0.41762310976459172</v>
      </c>
      <c r="Q33" s="55"/>
      <c r="AB33" s="57"/>
      <c r="AC33" s="5"/>
      <c r="AD33" s="5"/>
      <c r="AE33" s="53"/>
      <c r="AF33" s="54"/>
      <c r="AG33" s="58"/>
      <c r="AH33" s="58"/>
      <c r="AI33" s="58"/>
      <c r="AO33" s="1"/>
      <c r="AP33" s="1"/>
      <c r="AT33" s="33"/>
      <c r="AW33" s="33"/>
      <c r="AZ33" s="33"/>
    </row>
    <row r="34" spans="1:52" x14ac:dyDescent="0.35">
      <c r="A34">
        <f t="shared" si="3"/>
        <v>1.0999999999999999</v>
      </c>
      <c r="B34">
        <f t="shared" si="0"/>
        <v>-0.57228948858706108</v>
      </c>
      <c r="C34">
        <f>regressionsdep!$AO$1*$A34</f>
        <v>1.1586661033578518</v>
      </c>
      <c r="D34">
        <f>regressionsdep!$AM$1*$A34</f>
        <v>1.57409131473942</v>
      </c>
      <c r="E34">
        <f t="shared" si="1"/>
        <v>1.7450427181286425</v>
      </c>
      <c r="F34">
        <f t="shared" si="2"/>
        <v>-3.7204721180659011</v>
      </c>
      <c r="G34" s="5">
        <f>B34-regressionsdep!Y$7</f>
        <v>-5.4370476364242641</v>
      </c>
      <c r="H34" s="5">
        <f>B34+regressionsdep!Y$7</f>
        <v>4.292468659250142</v>
      </c>
      <c r="I34">
        <f>IF($A34&lt;=regressionsdep!$J$2,$A34*regressionsdep!$J$1,regressionsdep!$J$1*regressionsdep!$J$2+regressionsdep!$J$3*($A34-regressionsdep!$J$2))</f>
        <v>-0.94601563387048504</v>
      </c>
      <c r="J34">
        <f>regressionsdep!H$1*A34+regressionsdep!H$2*A34^2</f>
        <v>-0.70256037519356074</v>
      </c>
      <c r="K34">
        <f>regressionsdep!$T$1*A34</f>
        <v>-0.94601564120534953</v>
      </c>
      <c r="L34">
        <f>regressionsdep!$L$1*A34^2</f>
        <v>-0.21056130864157954</v>
      </c>
      <c r="M34">
        <f>regressionsdep!$P$1*A34^2+regressionsdep!$P$2*A34^6</f>
        <v>-0.23332995334248377</v>
      </c>
      <c r="N34">
        <f>regressionsdep!$N$1*A34^2+regressionsdep!$N$2*A34^7</f>
        <v>-0.222158782647251</v>
      </c>
      <c r="O34">
        <f>regressionsdep!R$2+regressionsdep!R$1*EXP(A34)</f>
        <v>-1.5235325177906123E-2</v>
      </c>
      <c r="P34" s="20">
        <f>(1-EXP(-2*regressionsdep!V$1*graphdep!A34))/2/EXP(-regressionsdep!V$1*A34)</f>
        <v>-0.46201604084468456</v>
      </c>
      <c r="AT34" s="33"/>
      <c r="AW34" s="33"/>
      <c r="AZ34" s="33"/>
    </row>
    <row r="35" spans="1:52" x14ac:dyDescent="0.35">
      <c r="A35">
        <f t="shared" si="3"/>
        <v>1.2</v>
      </c>
      <c r="B35">
        <f t="shared" si="0"/>
        <v>-0.63381464539628629</v>
      </c>
      <c r="C35">
        <f>regressionsdep!$AO$1*$A35</f>
        <v>1.263999385481293</v>
      </c>
      <c r="D35">
        <f>regressionsdep!$AM$1*$A35</f>
        <v>1.7171905251702766</v>
      </c>
      <c r="E35">
        <f t="shared" si="1"/>
        <v>1.8941841255662997</v>
      </c>
      <c r="F35">
        <f t="shared" si="2"/>
        <v>-4.0681956957368399</v>
      </c>
      <c r="G35" s="5">
        <f>B35-regressionsdep!Y$7</f>
        <v>-5.4985727932334889</v>
      </c>
      <c r="H35" s="5">
        <f>B35+regressionsdep!Y$7</f>
        <v>4.2309435024409172</v>
      </c>
      <c r="I35">
        <f>IF($A35&lt;=regressionsdep!$J$2,$A35*regressionsdep!$J$1,regressionsdep!$J$1*regressionsdep!$J$2+regressionsdep!$J$3*($A35-regressionsdep!$J$2))</f>
        <v>-1.0320170551314383</v>
      </c>
      <c r="J35">
        <f>regressionsdep!H$1*A35+regressionsdep!H$2*A35^2</f>
        <v>-0.77427574827139423</v>
      </c>
      <c r="K35">
        <f>regressionsdep!$T$1*A35</f>
        <v>-1.0320170631331087</v>
      </c>
      <c r="L35">
        <f>regressionsdep!$L$1*A35^2</f>
        <v>-0.25058535904452445</v>
      </c>
      <c r="M35">
        <f>regressionsdep!$P$1*A35^2+regressionsdep!$P$2*A35^6</f>
        <v>-0.27767138235173561</v>
      </c>
      <c r="N35">
        <f>regressionsdep!$N$1*A35^2+regressionsdep!$N$2*A35^7</f>
        <v>-0.26438606594590641</v>
      </c>
      <c r="O35">
        <f>regressionsdep!R$2+regressionsdep!R$1*EXP(A35)</f>
        <v>-1.7637129532338071E-2</v>
      </c>
      <c r="P35" s="20">
        <f>(1-EXP(-2*regressionsdep!V$1*graphdep!A35))/2/EXP(-regressionsdep!V$1*A35)</f>
        <v>-0.50717195112499147</v>
      </c>
      <c r="Q35" s="5"/>
      <c r="Y35" s="51"/>
      <c r="Z35" s="51"/>
      <c r="AA35" s="51"/>
      <c r="AO35" s="1"/>
      <c r="AP35" s="1"/>
      <c r="AT35" s="33"/>
      <c r="AW35" s="33"/>
      <c r="AZ35" s="33"/>
    </row>
    <row r="36" spans="1:52" x14ac:dyDescent="0.35">
      <c r="A36">
        <f t="shared" si="3"/>
        <v>1.3</v>
      </c>
      <c r="B36">
        <f t="shared" si="0"/>
        <v>-0.69697003705977156</v>
      </c>
      <c r="C36">
        <f>regressionsdep!$AO$1*$A36</f>
        <v>1.3693326676047342</v>
      </c>
      <c r="D36">
        <f>regressionsdep!$AM$1*$A36</f>
        <v>1.860289735601133</v>
      </c>
      <c r="E36">
        <f t="shared" si="1"/>
        <v>2.0416952981496967</v>
      </c>
      <c r="F36">
        <f t="shared" si="2"/>
        <v>-4.417549508262038</v>
      </c>
      <c r="G36" s="5">
        <f>B36-regressionsdep!Y$7</f>
        <v>-5.5617281848969746</v>
      </c>
      <c r="H36" s="5">
        <f>B36+regressionsdep!Y$7</f>
        <v>4.1677881107774315</v>
      </c>
      <c r="I36">
        <f>IF($A36&lt;=regressionsdep!$J$2,$A36*regressionsdep!$J$1,regressionsdep!$J$1*regressionsdep!$J$2+regressionsdep!$J$3*($A36-regressionsdep!$J$2))</f>
        <v>-1.1180184763923915</v>
      </c>
      <c r="J36">
        <f>regressionsdep!H$1*A36+regressionsdep!H$2*A36^2</f>
        <v>-0.84729882935926715</v>
      </c>
      <c r="K36">
        <f>regressionsdep!$T$1*A36</f>
        <v>-1.1180184850608679</v>
      </c>
      <c r="L36">
        <f>regressionsdep!$L$1*A36^2</f>
        <v>-0.29408976165642109</v>
      </c>
      <c r="M36">
        <f>regressionsdep!$P$1*A36^2+regressionsdep!$P$2*A36^6</f>
        <v>-0.32586233022564387</v>
      </c>
      <c r="N36">
        <f>regressionsdep!$N$1*A36^2+regressionsdep!$N$2*A36^7</f>
        <v>-0.31028438517184342</v>
      </c>
      <c r="O36">
        <f>regressionsdep!R$2+regressionsdep!R$1*EXP(A36)</f>
        <v>-2.0291533855763717E-2</v>
      </c>
      <c r="P36" s="20">
        <f>(1-EXP(-2*regressionsdep!V$1*graphdep!A36))/2/EXP(-regressionsdep!V$1*A36)</f>
        <v>-0.55316541165340849</v>
      </c>
      <c r="AT36" s="33"/>
      <c r="AW36" s="33"/>
      <c r="AZ36" s="33"/>
    </row>
    <row r="37" spans="1:52" x14ac:dyDescent="0.35">
      <c r="A37">
        <f t="shared" si="3"/>
        <v>1.4000000000000001</v>
      </c>
      <c r="B37">
        <f t="shared" si="0"/>
        <v>-0.76176697157708451</v>
      </c>
      <c r="C37">
        <f>regressionsdep!$AO$1*$A37</f>
        <v>1.4746659497281753</v>
      </c>
      <c r="D37">
        <f>regressionsdep!$AM$1*$A37</f>
        <v>2.0033889460319894</v>
      </c>
      <c r="E37">
        <f t="shared" si="1"/>
        <v>2.1875649278792659</v>
      </c>
      <c r="F37">
        <f t="shared" si="2"/>
        <v>-4.768544863641063</v>
      </c>
      <c r="G37" s="5">
        <f>B37-regressionsdep!Y$7</f>
        <v>-5.6265251194142873</v>
      </c>
      <c r="H37" s="5">
        <f>B37+regressionsdep!Y$7</f>
        <v>4.1029911762601188</v>
      </c>
      <c r="I37">
        <f>IF($A37&lt;=regressionsdep!$J$2,$A37*regressionsdep!$J$1,regressionsdep!$J$1*regressionsdep!$J$2+regressionsdep!$J$3*($A37-regressionsdep!$J$2))</f>
        <v>-1.2040198976533447</v>
      </c>
      <c r="J37">
        <f>regressionsdep!H$1*A37+regressionsdep!H$2*A37^2</f>
        <v>-0.92162961845717972</v>
      </c>
      <c r="K37">
        <f>regressionsdep!$T$1*A37</f>
        <v>-1.204019906988627</v>
      </c>
      <c r="L37">
        <f>regressionsdep!$L$1*A37^2</f>
        <v>-0.3410745164772695</v>
      </c>
      <c r="M37">
        <f>regressionsdep!$P$1*A37^2+regressionsdep!$P$2*A37^6</f>
        <v>-0.37789996735984183</v>
      </c>
      <c r="N37">
        <f>regressionsdep!$N$1*A37^2+regressionsdep!$N$2*A37^7</f>
        <v>-0.35985323024412624</v>
      </c>
      <c r="O37">
        <f>regressionsdep!R$2+regressionsdep!R$1*EXP(A37)</f>
        <v>-2.3225104318828002E-2</v>
      </c>
      <c r="P37" s="20">
        <f>(1-EXP(-2*regressionsdep!V$1*graphdep!A37))/2/EXP(-regressionsdep!V$1*A37)</f>
        <v>-0.60007237661902624</v>
      </c>
      <c r="AT37" s="33"/>
      <c r="AW37" s="33"/>
      <c r="AZ37" s="33"/>
    </row>
    <row r="38" spans="1:52" x14ac:dyDescent="0.35">
      <c r="A38">
        <f t="shared" si="3"/>
        <v>1.5000000000000002</v>
      </c>
      <c r="B38">
        <f t="shared" si="0"/>
        <v>-0.82821690036102691</v>
      </c>
      <c r="C38">
        <f>regressionsdep!$AO$1*$A38</f>
        <v>1.5799992318516165</v>
      </c>
      <c r="D38">
        <f>regressionsdep!$AM$1*$A38</f>
        <v>2.146488156462846</v>
      </c>
      <c r="E38">
        <f t="shared" si="1"/>
        <v>2.3317815633422061</v>
      </c>
      <c r="F38">
        <f t="shared" si="2"/>
        <v>-5.1211932132867188</v>
      </c>
      <c r="G38" s="5">
        <f>B38-regressionsdep!Y$7</f>
        <v>-5.69297504819823</v>
      </c>
      <c r="H38" s="5">
        <f>B38+regressionsdep!Y$7</f>
        <v>4.0365412474761762</v>
      </c>
      <c r="I38">
        <f>IF($A38&lt;=regressionsdep!$J$2,$A38*regressionsdep!$J$1,regressionsdep!$J$1*regressionsdep!$J$2+regressionsdep!$J$3*($A38-regressionsdep!$J$2))</f>
        <v>-1.2900213189142982</v>
      </c>
      <c r="J38">
        <f>regressionsdep!H$1*A38+regressionsdep!H$2*A38^2</f>
        <v>-0.99726811556513151</v>
      </c>
      <c r="K38">
        <f>regressionsdep!$T$1*A38</f>
        <v>-1.290021328916386</v>
      </c>
      <c r="L38">
        <f>regressionsdep!$L$1*A38^2</f>
        <v>-0.39153962350706961</v>
      </c>
      <c r="M38">
        <f>regressionsdep!$P$1*A38^2+regressionsdep!$P$2*A38^6</f>
        <v>-0.43378073169695985</v>
      </c>
      <c r="N38">
        <f>regressionsdep!$N$1*A38^2+regressionsdep!$N$2*A38^7</f>
        <v>-0.41309190814585295</v>
      </c>
      <c r="O38">
        <f>regressionsdep!R$2+regressionsdep!R$1*EXP(A38)</f>
        <v>-2.6467201080732361E-2</v>
      </c>
      <c r="P38" s="20">
        <f>(1-EXP(-2*regressionsdep!V$1*graphdep!A38))/2/EXP(-regressionsdep!V$1*A38)</f>
        <v>-0.64797030878384865</v>
      </c>
      <c r="AT38" s="33"/>
      <c r="AW38" s="33"/>
      <c r="AZ38" s="33"/>
    </row>
    <row r="39" spans="1:52" x14ac:dyDescent="0.35">
      <c r="A39">
        <f t="shared" si="3"/>
        <v>1.6000000000000003</v>
      </c>
      <c r="B39">
        <f t="shared" si="0"/>
        <v>-0.89633142109827979</v>
      </c>
      <c r="C39">
        <f>regressionsdep!$AO$1*$A39</f>
        <v>1.6853325139750577</v>
      </c>
      <c r="D39">
        <f>regressionsdep!$AM$1*$A39</f>
        <v>2.2895873668937026</v>
      </c>
      <c r="E39">
        <f t="shared" si="1"/>
        <v>2.4743336068518356</v>
      </c>
      <c r="F39">
        <f t="shared" si="2"/>
        <v>-5.4755061548856849</v>
      </c>
      <c r="G39" s="5">
        <f>B39-regressionsdep!Y$7</f>
        <v>-5.7610895689354829</v>
      </c>
      <c r="H39" s="5">
        <f>B39+regressionsdep!Y$7</f>
        <v>3.9684267267389233</v>
      </c>
      <c r="I39">
        <f>IF($A39&lt;=regressionsdep!$J$2,$A39*regressionsdep!$J$1,regressionsdep!$J$1*regressionsdep!$J$2+regressionsdep!$J$3*($A39-regressionsdep!$J$2))</f>
        <v>-1.3760227401752514</v>
      </c>
      <c r="J39">
        <f>regressionsdep!H$1*A39+regressionsdep!H$2*A39^2</f>
        <v>-1.0742143206831229</v>
      </c>
      <c r="K39">
        <f>regressionsdep!$T$1*A39</f>
        <v>-1.3760227508441452</v>
      </c>
      <c r="L39">
        <f>regressionsdep!$L$1*A39^2</f>
        <v>-0.44548508274582144</v>
      </c>
      <c r="M39">
        <f>regressionsdep!$P$1*A39^2+regressionsdep!$P$2*A39^6</f>
        <v>-0.49350021193785909</v>
      </c>
      <c r="N39">
        <f>regressionsdep!$N$1*A39^2+regressionsdep!$N$2*A39^7</f>
        <v>-0.46999949756265685</v>
      </c>
      <c r="O39">
        <f>regressionsdep!R$2+regressionsdep!R$1*EXP(A39)</f>
        <v>-3.0050272135576289E-2</v>
      </c>
      <c r="P39" s="20">
        <f>(1-EXP(-2*regressionsdep!V$1*graphdep!A39))/2/EXP(-regressionsdep!V$1*A39)</f>
        <v>-0.69693830740578899</v>
      </c>
      <c r="AT39" s="33"/>
      <c r="AW39" s="33"/>
      <c r="AZ39" s="33"/>
    </row>
    <row r="40" spans="1:52" x14ac:dyDescent="0.35">
      <c r="A40">
        <f t="shared" si="3"/>
        <v>1.7000000000000004</v>
      </c>
      <c r="B40">
        <f t="shared" si="0"/>
        <v>-0.96612227945320517</v>
      </c>
      <c r="C40">
        <f>regressionsdep!$AO$1*$A40</f>
        <v>1.7906657960984989</v>
      </c>
      <c r="D40">
        <f>regressionsdep!$AM$1*$A40</f>
        <v>2.4326865773245592</v>
      </c>
      <c r="E40">
        <f t="shared" si="1"/>
        <v>2.6152093127437928</v>
      </c>
      <c r="F40">
        <f t="shared" si="2"/>
        <v>-5.8314954341023233</v>
      </c>
      <c r="G40" s="5">
        <f>B40-regressionsdep!Y$7</f>
        <v>-5.830880427290408</v>
      </c>
      <c r="H40" s="5">
        <f>B40+regressionsdep!Y$7</f>
        <v>3.8986358683839981</v>
      </c>
      <c r="I40">
        <f>IF($A40&lt;=regressionsdep!$J$2,$A40*regressionsdep!$J$1,regressionsdep!$J$1*regressionsdep!$J$2+regressionsdep!$J$3*($A40-regressionsdep!$J$2))</f>
        <v>-1.4620241614362046</v>
      </c>
      <c r="J40">
        <f>regressionsdep!H$1*A40+regressionsdep!H$2*A40^2</f>
        <v>-1.1524682338111538</v>
      </c>
      <c r="K40">
        <f>regressionsdep!$T$1*A40</f>
        <v>-1.4620241727719043</v>
      </c>
      <c r="L40">
        <f>regressionsdep!$L$1*A40^2</f>
        <v>-0.50291089419352508</v>
      </c>
      <c r="M40">
        <f>regressionsdep!$P$1*A40^2+regressionsdep!$P$2*A40^6</f>
        <v>-0.55705302210184571</v>
      </c>
      <c r="N40">
        <f>regressionsdep!$N$1*A40^2+regressionsdep!$N$2*A40^7</f>
        <v>-0.53057479656798723</v>
      </c>
      <c r="O40">
        <f>regressionsdep!R$2+regressionsdep!R$1*EXP(A40)</f>
        <v>-3.4010178062788429E-2</v>
      </c>
      <c r="P40" s="20">
        <f>(1-EXP(-2*regressionsdep!V$1*graphdep!A40))/2/EXP(-regressionsdep!V$1*A40)</f>
        <v>-0.74705723886419739</v>
      </c>
      <c r="AT40" s="33"/>
      <c r="AW40" s="33"/>
      <c r="AZ40" s="33"/>
    </row>
    <row r="41" spans="1:52" x14ac:dyDescent="0.35">
      <c r="A41">
        <f t="shared" si="3"/>
        <v>1.8000000000000005</v>
      </c>
      <c r="B41">
        <f t="shared" si="0"/>
        <v>-1.0376013696145323</v>
      </c>
      <c r="C41">
        <f>regressionsdep!$AO$1*$A41</f>
        <v>1.89599907822194</v>
      </c>
      <c r="D41">
        <f>regressionsdep!$AM$1*$A41</f>
        <v>2.5757857877554158</v>
      </c>
      <c r="E41">
        <f t="shared" si="1"/>
        <v>2.7543967868293477</v>
      </c>
      <c r="F41">
        <f t="shared" si="2"/>
        <v>-6.1891729451253639</v>
      </c>
      <c r="G41" s="5">
        <f>B41-regressionsdep!Y$7</f>
        <v>-5.9023595174517354</v>
      </c>
      <c r="H41" s="5">
        <f>B41+regressionsdep!Y$7</f>
        <v>3.8271567782226708</v>
      </c>
      <c r="I41">
        <f>IF($A41&lt;=regressionsdep!$J$2,$A41*regressionsdep!$J$1,regressionsdep!$J$1*regressionsdep!$J$2+regressionsdep!$J$3*($A41-regressionsdep!$J$2))</f>
        <v>-1.5480255826971578</v>
      </c>
      <c r="J41">
        <f>regressionsdep!H$1*A41+regressionsdep!H$2*A41^2</f>
        <v>-1.2320298549492243</v>
      </c>
      <c r="K41">
        <f>regressionsdep!$T$1*A41</f>
        <v>-1.5480255946996635</v>
      </c>
      <c r="L41">
        <f>regressionsdep!$L$1*A41^2</f>
        <v>-0.56381705785018033</v>
      </c>
      <c r="M41">
        <f>regressionsdep!$P$1*A41^2+regressionsdep!$P$2*A41^6</f>
        <v>-0.62443266743586479</v>
      </c>
      <c r="N41">
        <f>regressionsdep!$N$1*A41^2+regressionsdep!$N$2*A41^7</f>
        <v>-0.59481626285850797</v>
      </c>
      <c r="O41">
        <f>regressionsdep!R$2+regressionsdep!R$1*EXP(A41)</f>
        <v>-3.8386550931858672E-2</v>
      </c>
      <c r="P41" s="20">
        <f>(1-EXP(-2*regressionsdep!V$1*graphdep!A41))/2/EXP(-regressionsdep!V$1*A41)</f>
        <v>-0.79840987020363297</v>
      </c>
      <c r="AT41" s="33"/>
      <c r="AW41" s="33"/>
      <c r="AZ41" s="33"/>
    </row>
    <row r="42" spans="1:52" x14ac:dyDescent="0.35">
      <c r="A42">
        <f t="shared" si="3"/>
        <v>1.9000000000000006</v>
      </c>
      <c r="B42">
        <f t="shared" si="0"/>
        <v>-1.110780733687887</v>
      </c>
      <c r="C42">
        <f>regressionsdep!$AO$1*$A42</f>
        <v>2.0013323603453812</v>
      </c>
      <c r="D42">
        <f>regressionsdep!$AM$1*$A42</f>
        <v>2.7188849981862719</v>
      </c>
      <c r="E42">
        <f t="shared" si="1"/>
        <v>2.8918839870028754</v>
      </c>
      <c r="F42">
        <f t="shared" si="2"/>
        <v>-6.5485507300604304</v>
      </c>
      <c r="G42" s="5">
        <f>B42-regressionsdep!Y$7</f>
        <v>-5.9755388815250896</v>
      </c>
      <c r="H42" s="5">
        <f>B42+regressionsdep!Y$7</f>
        <v>3.7539774141493161</v>
      </c>
      <c r="I42">
        <f>IF($A42&lt;=regressionsdep!$J$2,$A42*regressionsdep!$J$1,regressionsdep!$J$1*regressionsdep!$J$2+regressionsdep!$J$3*($A42-regressionsdep!$J$2))</f>
        <v>-1.6340270039581111</v>
      </c>
      <c r="J42">
        <f>regressionsdep!H$1*A42+regressionsdep!H$2*A42^2</f>
        <v>-1.3128991840973341</v>
      </c>
      <c r="K42">
        <f>regressionsdep!$T$1*A42</f>
        <v>-1.6340270166274227</v>
      </c>
      <c r="L42">
        <f>regressionsdep!$L$1*A42^2</f>
        <v>-0.62820357371578739</v>
      </c>
      <c r="M42">
        <f>regressionsdep!$P$1*A42^2+regressionsdep!$P$2*A42^6</f>
        <v>-0.69563140167267579</v>
      </c>
      <c r="N42">
        <f>regressionsdep!$N$1*A42^2+regressionsdep!$N$2*A42^7</f>
        <v>-0.66272194604295753</v>
      </c>
      <c r="O42">
        <f>regressionsdep!R$2+regressionsdep!R$1*EXP(A42)</f>
        <v>-4.3223190953410387E-2</v>
      </c>
      <c r="P42" s="20">
        <f>(1-EXP(-2*regressionsdep!V$1*graphdep!A42))/2/EXP(-regressionsdep!V$1*A42)</f>
        <v>-0.8510810058164211</v>
      </c>
      <c r="Q42" s="1"/>
      <c r="AB42" s="59"/>
      <c r="AC42" s="60"/>
      <c r="AD42" s="60"/>
      <c r="AE42" s="5"/>
      <c r="AO42" s="1"/>
      <c r="AP42" s="1"/>
      <c r="AT42" s="33"/>
      <c r="AW42" s="33"/>
      <c r="AZ42" s="33"/>
    </row>
    <row r="43" spans="1:52" x14ac:dyDescent="0.35">
      <c r="A43">
        <f t="shared" si="3"/>
        <v>2.0000000000000004</v>
      </c>
      <c r="B43">
        <f t="shared" si="0"/>
        <v>-1.1856725599406694</v>
      </c>
      <c r="C43">
        <f>regressionsdep!$AO$1*$A43</f>
        <v>2.1066656424688222</v>
      </c>
      <c r="D43">
        <f>regressionsdep!$AM$1*$A43</f>
        <v>2.8619842086171281</v>
      </c>
      <c r="E43">
        <f t="shared" si="1"/>
        <v>3.0276587249969751</v>
      </c>
      <c r="F43">
        <f t="shared" si="2"/>
        <v>-6.9096409771749254</v>
      </c>
      <c r="G43" s="5">
        <f>B43-regressionsdep!Y$7</f>
        <v>-6.0504307077778723</v>
      </c>
      <c r="H43" s="5">
        <f>B43+regressionsdep!Y$7</f>
        <v>3.6790855878965338</v>
      </c>
      <c r="I43">
        <f>IF($A43&lt;=regressionsdep!$J$2,$A43*regressionsdep!$J$1,regressionsdep!$J$1*regressionsdep!$J$2+regressionsdep!$J$3*($A43-regressionsdep!$J$2))</f>
        <v>-1.7200284252190643</v>
      </c>
      <c r="J43">
        <f>regressionsdep!H$1*A43+regressionsdep!H$2*A43^2</f>
        <v>-1.3950762212554835</v>
      </c>
      <c r="K43">
        <f>regressionsdep!$T$1*A43</f>
        <v>-1.7200284385551816</v>
      </c>
      <c r="L43">
        <f>regressionsdep!$L$1*A43^2</f>
        <v>-0.69607044179034605</v>
      </c>
      <c r="M43">
        <f>regressionsdep!$P$1*A43^2+regressionsdep!$P$2*A43^6</f>
        <v>-0.77064007563800629</v>
      </c>
      <c r="N43">
        <f>regressionsdep!$N$1*A43^2+regressionsdep!$N$2*A43^7</f>
        <v>-0.73428941148780913</v>
      </c>
      <c r="O43">
        <f>regressionsdep!R$2+regressionsdep!R$1*EXP(A43)</f>
        <v>-4.8568504846430105E-2</v>
      </c>
      <c r="P43" s="20">
        <f>(1-EXP(-2*regressionsdep!V$1*graphdep!A43))/2/EXP(-regressionsdep!V$1*A43)</f>
        <v>-0.90515762748971051</v>
      </c>
      <c r="Q43" s="5"/>
      <c r="AB43" s="60"/>
      <c r="AC43" s="60"/>
      <c r="AD43" s="60"/>
      <c r="AE43" s="5"/>
      <c r="AK43" s="1"/>
      <c r="AL43" s="1"/>
      <c r="AO43" s="1"/>
      <c r="AP43" s="1"/>
      <c r="AT43" s="33"/>
      <c r="AW43" s="33"/>
      <c r="AZ43" s="33"/>
    </row>
    <row r="44" spans="1:52" x14ac:dyDescent="0.35">
      <c r="A44">
        <f t="shared" si="3"/>
        <v>2.1000000000000005</v>
      </c>
      <c r="B44">
        <f t="shared" si="0"/>
        <v>-1.2622891799096807</v>
      </c>
      <c r="C44">
        <f>regressionsdep!$AO$1*$A44</f>
        <v>2.2119989245922635</v>
      </c>
      <c r="D44">
        <f>regressionsdep!$AM$1*$A44</f>
        <v>3.0050834190479847</v>
      </c>
      <c r="E44">
        <f t="shared" si="1"/>
        <v>3.1617086692748462</v>
      </c>
      <c r="F44">
        <f t="shared" si="2"/>
        <v>-7.2724560180056503</v>
      </c>
      <c r="G44" s="5">
        <f>B44-regressionsdep!Y$7</f>
        <v>-6.127047327746884</v>
      </c>
      <c r="H44" s="5">
        <f>B44+regressionsdep!Y$7</f>
        <v>3.6024689679275221</v>
      </c>
      <c r="I44">
        <f>IF($A44&lt;=regressionsdep!$J$2,$A44*regressionsdep!$J$1,regressionsdep!$J$1*regressionsdep!$J$2+regressionsdep!$J$3*($A44-regressionsdep!$J$2))</f>
        <v>-1.8060298464800175</v>
      </c>
      <c r="J44">
        <f>regressionsdep!H$1*A44+regressionsdep!H$2*A44^2</f>
        <v>-1.4785609664236723</v>
      </c>
      <c r="K44">
        <f>regressionsdep!$T$1*A44</f>
        <v>-1.8060298604829408</v>
      </c>
      <c r="L44">
        <f>regressionsdep!$L$1*A44^2</f>
        <v>-0.76741766207385653</v>
      </c>
      <c r="M44">
        <f>regressionsdep!$P$1*A44^2+regressionsdep!$P$2*A44^6</f>
        <v>-0.84944797720668863</v>
      </c>
      <c r="N44">
        <f>regressionsdep!$N$1*A44^2+regressionsdep!$N$2*A44^7</f>
        <v>-0.80951565522307511</v>
      </c>
      <c r="O44">
        <f>regressionsdep!R$2+regressionsdep!R$1*EXP(A44)</f>
        <v>-5.4475990308981238E-2</v>
      </c>
      <c r="P44" s="20">
        <f>(1-EXP(-2*regressionsdep!V$1*graphdep!A44))/2/EXP(-regressionsdep!V$1*A44)</f>
        <v>-0.96072903804831056</v>
      </c>
      <c r="AT44" s="33"/>
      <c r="AW44" s="33"/>
      <c r="AZ44" s="33"/>
    </row>
    <row r="45" spans="1:52" x14ac:dyDescent="0.35">
      <c r="A45">
        <f t="shared" si="3"/>
        <v>2.2000000000000006</v>
      </c>
      <c r="B45">
        <f t="shared" si="0"/>
        <v>-1.3406430643861713</v>
      </c>
      <c r="C45">
        <f>regressionsdep!$AO$1*$A45</f>
        <v>2.3173322067157045</v>
      </c>
      <c r="D45">
        <f>regressionsdep!$AM$1*$A45</f>
        <v>3.1481826294788413</v>
      </c>
      <c r="E45">
        <f t="shared" si="1"/>
        <v>3.2940213490452379</v>
      </c>
      <c r="F45">
        <f t="shared" si="2"/>
        <v>-7.6370083233438537</v>
      </c>
      <c r="G45" s="5">
        <f>B45-regressionsdep!Y$7</f>
        <v>-6.2054012122233742</v>
      </c>
      <c r="H45" s="5">
        <f>B45+regressionsdep!Y$7</f>
        <v>3.524115083451032</v>
      </c>
      <c r="I45">
        <f>IF($A45&lt;=regressionsdep!$J$2,$A45*regressionsdep!$J$1,regressionsdep!$J$1*regressionsdep!$J$2+regressionsdep!$J$3*($A45-regressionsdep!$J$2))</f>
        <v>-1.8920312677409707</v>
      </c>
      <c r="J45">
        <f>regressionsdep!H$1*A45+regressionsdep!H$2*A45^2</f>
        <v>-1.5633534196019008</v>
      </c>
      <c r="K45">
        <f>regressionsdep!$T$1*A45</f>
        <v>-1.8920312824106997</v>
      </c>
      <c r="L45">
        <f>regressionsdep!$L$1*A45^2</f>
        <v>-0.84224523456631872</v>
      </c>
      <c r="M45">
        <f>regressionsdep!$P$1*A45^2+regressionsdep!$P$2*A45^6</f>
        <v>-0.9320426626077738</v>
      </c>
      <c r="N45">
        <f>regressionsdep!$N$1*A45^2+regressionsdep!$N$2*A45^7</f>
        <v>-0.88839700941159438</v>
      </c>
      <c r="O45">
        <f>regressionsdep!R$2+regressionsdep!R$1*EXP(A45)</f>
        <v>-6.100477144114741E-2</v>
      </c>
      <c r="P45" s="20">
        <f>(1-EXP(-2*regressionsdep!V$1*graphdep!A45))/2/EXP(-regressionsdep!V$1*A45)</f>
        <v>-1.0178870088305179</v>
      </c>
      <c r="AT45" s="33"/>
      <c r="AW45" s="33"/>
      <c r="AZ45" s="33"/>
    </row>
    <row r="46" spans="1:52" x14ac:dyDescent="0.35">
      <c r="A46">
        <f t="shared" si="3"/>
        <v>2.3000000000000007</v>
      </c>
      <c r="B46">
        <f t="shared" si="0"/>
        <v>-1.4207468182976748</v>
      </c>
      <c r="C46">
        <f>regressionsdep!$AO$1*$A46</f>
        <v>2.4226654888391459</v>
      </c>
      <c r="D46">
        <f>regressionsdep!$AM$1*$A46</f>
        <v>3.2912818399096979</v>
      </c>
      <c r="E46">
        <f t="shared" si="1"/>
        <v>3.424584159380617</v>
      </c>
      <c r="F46">
        <f t="shared" si="2"/>
        <v>-8.0033104981170702</v>
      </c>
      <c r="G46" s="5">
        <f>B46-regressionsdep!Y$7</f>
        <v>-6.2855049661348783</v>
      </c>
      <c r="H46" s="5">
        <f>B46+regressionsdep!Y$7</f>
        <v>3.4440113295395283</v>
      </c>
      <c r="I46">
        <f>IF($A46&lt;=regressionsdep!$J$2,$A46*regressionsdep!$J$1,regressionsdep!$J$1*regressionsdep!$J$2+regressionsdep!$J$3*($A46-regressionsdep!$J$2))</f>
        <v>-1.978032689001924</v>
      </c>
      <c r="J46">
        <f>regressionsdep!H$1*A46+regressionsdep!H$2*A46^2</f>
        <v>-1.6494535807901687</v>
      </c>
      <c r="K46">
        <f>regressionsdep!$T$1*A46</f>
        <v>-1.9780327043384589</v>
      </c>
      <c r="L46">
        <f>regressionsdep!$L$1*A46^2</f>
        <v>-0.92055315926773285</v>
      </c>
      <c r="M46">
        <f>regressionsdep!$P$1*A46^2+regressionsdep!$P$2*A46^6</f>
        <v>-1.0184097790786284</v>
      </c>
      <c r="N46">
        <f>regressionsdep!$N$1*A46^2+regressionsdep!$N$2*A46^7</f>
        <v>-0.9709290378851454</v>
      </c>
      <c r="O46">
        <f>regressionsdep!R$2+regressionsdep!R$1*EXP(A46)</f>
        <v>-6.8220190478898463E-2</v>
      </c>
      <c r="P46" s="20">
        <f>(1-EXP(-2*regressionsdep!V$1*graphdep!A46))/2/EXP(-regressionsdep!V$1*A46)</f>
        <v>-1.076725931240478</v>
      </c>
      <c r="AT46" s="33"/>
      <c r="AW46" s="33"/>
      <c r="AZ46" s="33"/>
    </row>
    <row r="47" spans="1:52" x14ac:dyDescent="0.35">
      <c r="A47">
        <f t="shared" si="3"/>
        <v>2.4000000000000008</v>
      </c>
      <c r="B47">
        <f t="shared" si="0"/>
        <v>-1.5026131745111284</v>
      </c>
      <c r="C47">
        <f>regressionsdep!$AO$1*$A47</f>
        <v>2.5279987709625868</v>
      </c>
      <c r="D47">
        <f>regressionsdep!$AM$1*$A47</f>
        <v>3.4343810503405545</v>
      </c>
      <c r="E47">
        <f t="shared" si="1"/>
        <v>3.5533843674140453</v>
      </c>
      <c r="F47">
        <f t="shared" si="2"/>
        <v>-8.3713752751922375</v>
      </c>
      <c r="G47" s="5">
        <f>B47-regressionsdep!Y$7</f>
        <v>-6.3673713223483315</v>
      </c>
      <c r="H47" s="5">
        <f>B47+regressionsdep!Y$7</f>
        <v>3.3621449733260746</v>
      </c>
      <c r="I47">
        <f>IF($A47&lt;=regressionsdep!$J$2,$A47*regressionsdep!$J$1,regressionsdep!$J$1*regressionsdep!$J$2+regressionsdep!$J$3*($A47-regressionsdep!$J$2))</f>
        <v>-2.0640341102628774</v>
      </c>
      <c r="J47">
        <f>regressionsdep!H$1*A47+regressionsdep!H$2*A47^2</f>
        <v>-1.736861449988476</v>
      </c>
      <c r="K47">
        <f>regressionsdep!$T$1*A47</f>
        <v>-2.0640341262662183</v>
      </c>
      <c r="L47">
        <f>regressionsdep!$L$1*A47^2</f>
        <v>-1.0023414361780987</v>
      </c>
      <c r="M47">
        <f>regressionsdep!$P$1*A47^2+regressionsdep!$P$2*A47^6</f>
        <v>-1.1085328788680098</v>
      </c>
      <c r="N47">
        <f>regressionsdep!$N$1*A47^2+regressionsdep!$N$2*A47^7</f>
        <v>-1.0571064212507264</v>
      </c>
      <c r="O47">
        <f>regressionsdep!R$2+regressionsdep!R$1*EXP(A47)</f>
        <v>-7.6194461761150301E-2</v>
      </c>
      <c r="P47" s="20">
        <f>(1-EXP(-2*regressionsdep!V$1*graphdep!A47))/2/EXP(-regressionsdep!V$1*A47)</f>
        <v>-1.137342972627359</v>
      </c>
      <c r="AT47" s="33"/>
      <c r="AW47" s="33"/>
      <c r="AZ47" s="33"/>
    </row>
    <row r="48" spans="1:52" x14ac:dyDescent="0.35">
      <c r="A48">
        <f t="shared" si="3"/>
        <v>2.5000000000000009</v>
      </c>
      <c r="B48">
        <f t="shared" si="0"/>
        <v>-1.5862549865874196</v>
      </c>
      <c r="C48">
        <f>regressionsdep!$AO$1*$A48</f>
        <v>2.6333320530860282</v>
      </c>
      <c r="D48">
        <f>regressionsdep!$AM$1*$A48</f>
        <v>3.5774802607714107</v>
      </c>
      <c r="E48">
        <f t="shared" si="1"/>
        <v>3.6804091195846369</v>
      </c>
      <c r="F48">
        <f t="shared" si="2"/>
        <v>-8.7412155081302405</v>
      </c>
      <c r="G48" s="5">
        <f>B48-regressionsdep!Y$7</f>
        <v>-6.4510131344246222</v>
      </c>
      <c r="H48" s="5">
        <f>B48+regressionsdep!Y$7</f>
        <v>3.2785031612497835</v>
      </c>
      <c r="I48">
        <f>IF($A48&lt;=regressionsdep!$J$2,$A48*regressionsdep!$J$1,regressionsdep!$J$1*regressionsdep!$J$2+regressionsdep!$J$3*($A48-regressionsdep!$J$2))</f>
        <v>-2.1500355315238306</v>
      </c>
      <c r="J48">
        <f>regressionsdep!H$1*A48+regressionsdep!H$2*A48^2</f>
        <v>-1.8255770271968228</v>
      </c>
      <c r="K48">
        <f>regressionsdep!$T$1*A48</f>
        <v>-2.1500355481939772</v>
      </c>
      <c r="L48">
        <f>regressionsdep!$L$1*A48^2</f>
        <v>-1.0876100652974159</v>
      </c>
      <c r="M48">
        <f>regressionsdep!$P$1*A48^2+regressionsdep!$P$2*A48^6</f>
        <v>-1.2023932245881233</v>
      </c>
      <c r="N48">
        <f>regressionsdep!$N$1*A48^2+regressionsdep!$N$2*A48^7</f>
        <v>-1.1469228310703423</v>
      </c>
      <c r="O48">
        <f>regressionsdep!R$2+regressionsdep!R$1*EXP(A48)</f>
        <v>-8.5007394475140843E-2</v>
      </c>
      <c r="P48" s="20">
        <f>(1-EXP(-2*regressionsdep!V$1*graphdep!A48))/2/EXP(-regressionsdep!V$1*A48)</f>
        <v>-1.1998382367487535</v>
      </c>
      <c r="Q48" s="62"/>
      <c r="R48" s="62"/>
      <c r="S48" s="62"/>
      <c r="T48" s="62"/>
      <c r="U48" s="62"/>
      <c r="V48" s="62"/>
      <c r="W48" s="62"/>
      <c r="X48" s="62"/>
      <c r="Y48" s="50"/>
      <c r="Z48" s="50"/>
      <c r="AA48" s="50"/>
      <c r="AB48" s="5"/>
      <c r="AC48" s="5"/>
      <c r="AD48" s="49"/>
      <c r="AE48" s="5"/>
      <c r="AF48" s="58"/>
      <c r="AG48" s="58"/>
      <c r="AH48" s="5"/>
      <c r="AI48" s="58"/>
      <c r="AJ48" s="5"/>
      <c r="AK48" s="5"/>
      <c r="AL48" s="5"/>
      <c r="AM48" s="1"/>
      <c r="AO48" s="1"/>
      <c r="AP48" s="1"/>
      <c r="AT48" s="33"/>
      <c r="AW48" s="33"/>
      <c r="AZ48" s="33"/>
    </row>
    <row r="49" spans="1:52" x14ac:dyDescent="0.35">
      <c r="A49">
        <f t="shared" si="3"/>
        <v>2.600000000000001</v>
      </c>
      <c r="B49">
        <f t="shared" si="0"/>
        <v>-1.6716852205236843</v>
      </c>
      <c r="C49">
        <f>regressionsdep!$AO$1*$A49</f>
        <v>2.7386653352094692</v>
      </c>
      <c r="D49">
        <f>regressionsdep!$AM$1*$A49</f>
        <v>3.7205794712022673</v>
      </c>
      <c r="E49">
        <f t="shared" si="1"/>
        <v>3.8056454498952541</v>
      </c>
      <c r="F49">
        <f t="shared" si="2"/>
        <v>-9.1128441629282193</v>
      </c>
      <c r="G49" s="5">
        <f>B49-regressionsdep!Y$7</f>
        <v>-6.5364433683608869</v>
      </c>
      <c r="H49" s="5">
        <f>B49+regressionsdep!Y$7</f>
        <v>3.1930729273135188</v>
      </c>
      <c r="I49">
        <f>IF($A49&lt;=regressionsdep!$J$2,$A49*regressionsdep!$J$1,regressionsdep!$J$1*regressionsdep!$J$2+regressionsdep!$J$3*($A49-regressionsdep!$J$2))</f>
        <v>-2.2360369527847839</v>
      </c>
      <c r="J49">
        <f>regressionsdep!H$1*A49+regressionsdep!H$2*A49^2</f>
        <v>-1.9156003124152092</v>
      </c>
      <c r="K49">
        <f>regressionsdep!$T$1*A49</f>
        <v>-2.2360369701217362</v>
      </c>
      <c r="L49">
        <f>regressionsdep!$L$1*A49^2</f>
        <v>-1.1763590466256852</v>
      </c>
      <c r="M49">
        <f>regressionsdep!$P$1*A49^2+regressionsdep!$P$2*A49^6</f>
        <v>-1.2999695859156577</v>
      </c>
      <c r="N49">
        <f>regressionsdep!$N$1*A49^2+regressionsdep!$N$2*A49^7</f>
        <v>-1.2403707926176422</v>
      </c>
      <c r="O49">
        <f>regressionsdep!R$2+regressionsdep!R$1*EXP(A49)</f>
        <v>-9.474719141360069E-2</v>
      </c>
      <c r="P49" s="20">
        <f>(1-EXP(-2*regressionsdep!V$1*graphdep!A49))/2/EXP(-regressionsdep!V$1*A49)</f>
        <v>-1.2643149290833056</v>
      </c>
      <c r="S49" s="64"/>
      <c r="T49" s="64"/>
      <c r="U49" s="64"/>
      <c r="V49" s="64"/>
      <c r="W49" s="64"/>
      <c r="X49" s="64"/>
      <c r="AM49" s="1"/>
      <c r="AT49" s="33"/>
      <c r="AW49" s="33"/>
      <c r="AZ49" s="33"/>
    </row>
    <row r="50" spans="1:52" x14ac:dyDescent="0.35">
      <c r="A50">
        <f t="shared" si="3"/>
        <v>2.7000000000000011</v>
      </c>
      <c r="B50">
        <f t="shared" si="0"/>
        <v>-1.7589169455264444</v>
      </c>
      <c r="C50">
        <f>regressionsdep!$AO$1*$A50</f>
        <v>2.8439986173329106</v>
      </c>
      <c r="D50">
        <f>regressionsdep!$AM$1*$A50</f>
        <v>3.8636786816331239</v>
      </c>
      <c r="E50">
        <f t="shared" si="1"/>
        <v>3.9290802891393768</v>
      </c>
      <c r="F50">
        <f t="shared" si="2"/>
        <v>-9.4862743087926926</v>
      </c>
      <c r="G50" s="5">
        <f>B50-regressionsdep!Y$7</f>
        <v>-6.6236750933636479</v>
      </c>
      <c r="H50" s="5">
        <f>B50+regressionsdep!Y$7</f>
        <v>3.1058412023107587</v>
      </c>
      <c r="I50">
        <f>IF($A50&lt;=regressionsdep!$J$2,$A50*regressionsdep!$J$1,regressionsdep!$J$1*regressionsdep!$J$2+regressionsdep!$J$3*($A50-regressionsdep!$J$2))</f>
        <v>-2.3220383740457371</v>
      </c>
      <c r="J50">
        <f>regressionsdep!H$1*A50+regressionsdep!H$2*A50^2</f>
        <v>-2.0069313056436351</v>
      </c>
      <c r="K50">
        <f>regressionsdep!$T$1*A50</f>
        <v>-2.3220383920494956</v>
      </c>
      <c r="L50">
        <f>regressionsdep!$L$1*A50^2</f>
        <v>-1.2685883801629061</v>
      </c>
      <c r="M50">
        <f>regressionsdep!$P$1*A50^2+regressionsdep!$P$2*A50^6</f>
        <v>-1.4012380276418035</v>
      </c>
      <c r="N50">
        <f>regressionsdep!$N$1*A50^2+regressionsdep!$N$2*A50^7</f>
        <v>-1.3374415357147456</v>
      </c>
      <c r="O50">
        <f>regressionsdep!R$2+regressionsdep!R$1*EXP(A50)</f>
        <v>-0.10551133173794872</v>
      </c>
      <c r="P50" s="20">
        <f>(1-EXP(-2*regressionsdep!V$1*graphdep!A50))/2/EXP(-regressionsdep!V$1*A50)</f>
        <v>-1.3308795272655571</v>
      </c>
      <c r="S50" s="64"/>
      <c r="T50" s="64"/>
      <c r="U50" s="64"/>
      <c r="V50" s="64"/>
      <c r="W50" s="64"/>
      <c r="X50" s="64"/>
      <c r="AT50" s="33"/>
      <c r="AW50" s="33"/>
      <c r="AZ50" s="33"/>
    </row>
    <row r="51" spans="1:52" x14ac:dyDescent="0.35">
      <c r="A51">
        <f t="shared" si="3"/>
        <v>2.8000000000000012</v>
      </c>
      <c r="B51">
        <f t="shared" si="0"/>
        <v>-1.8479633238661186</v>
      </c>
      <c r="C51">
        <f>regressionsdep!$AO$1*$A51</f>
        <v>2.9493318994563515</v>
      </c>
      <c r="D51">
        <f>regressionsdep!$AM$1*$A51</f>
        <v>4.0067778920639805</v>
      </c>
      <c r="E51">
        <f t="shared" si="1"/>
        <v>4.0507004750465843</v>
      </c>
      <c r="F51">
        <f t="shared" si="2"/>
        <v>-9.8615191079940789</v>
      </c>
      <c r="G51" s="5">
        <f>B51-regressionsdep!Y$7</f>
        <v>-6.7127214717033219</v>
      </c>
      <c r="H51" s="5">
        <f>B51+regressionsdep!Y$7</f>
        <v>3.0167948239710842</v>
      </c>
      <c r="I51">
        <f>IF($A51&lt;=regressionsdep!$J$2,$A51*regressionsdep!$J$1,regressionsdep!$J$1*regressionsdep!$J$2+regressionsdep!$J$3*($A51-regressionsdep!$J$2))</f>
        <v>-2.4080397953066903</v>
      </c>
      <c r="J51">
        <f>regressionsdep!H$1*A51+regressionsdep!H$2*A51^2</f>
        <v>-2.0995700068821002</v>
      </c>
      <c r="K51">
        <f>regressionsdep!$T$1*A51</f>
        <v>-2.4080398139772545</v>
      </c>
      <c r="L51">
        <f>regressionsdep!$L$1*A51^2</f>
        <v>-1.3642980659090786</v>
      </c>
      <c r="M51">
        <f>regressionsdep!$P$1*A51^2+regressionsdep!$P$2*A51^6</f>
        <v>-1.5061716890712487</v>
      </c>
      <c r="N51">
        <f>regressionsdep!$N$1*A51^2+regressionsdep!$N$2*A51^7</f>
        <v>-1.4381248331526024</v>
      </c>
      <c r="O51">
        <f>regressionsdep!R$2+regressionsdep!R$1*EXP(A51)</f>
        <v>-0.11740754658250355</v>
      </c>
      <c r="P51" s="20">
        <f>(1-EXP(-2*regressionsdep!V$1*graphdep!A51))/2/EXP(-regressionsdep!V$1*A51)</f>
        <v>-1.399641956924478</v>
      </c>
      <c r="S51" s="64"/>
      <c r="T51" s="64"/>
      <c r="U51" s="64"/>
      <c r="V51" s="64"/>
      <c r="W51" s="64"/>
      <c r="X51" s="64"/>
      <c r="AT51" s="33"/>
      <c r="AW51" s="33"/>
      <c r="AZ51" s="33"/>
    </row>
    <row r="52" spans="1:52" x14ac:dyDescent="0.35">
      <c r="A52">
        <f t="shared" si="3"/>
        <v>2.9000000000000012</v>
      </c>
      <c r="B52">
        <f t="shared" si="0"/>
        <v>-1.9388375998715792</v>
      </c>
      <c r="C52">
        <f>regressionsdep!$AO$1*$A52</f>
        <v>3.0546651815797929</v>
      </c>
      <c r="D52">
        <f>regressionsdep!$AM$1*$A52</f>
        <v>4.1498771024948367</v>
      </c>
      <c r="E52">
        <f t="shared" si="1"/>
        <v>4.1704927632880064</v>
      </c>
      <c r="F52">
        <f t="shared" si="2"/>
        <v>-10.238591804861253</v>
      </c>
      <c r="G52" s="5">
        <f>B52-regressionsdep!Y$7</f>
        <v>-6.8035957477087825</v>
      </c>
      <c r="H52" s="5">
        <f>B52+regressionsdep!Y$7</f>
        <v>2.9259205479656236</v>
      </c>
      <c r="I52">
        <f>IF($A52&lt;=regressionsdep!$J$2,$A52*regressionsdep!$J$1,regressionsdep!$J$1*regressionsdep!$J$2+regressionsdep!$J$3*($A52-regressionsdep!$J$2))</f>
        <v>-2.4940412165676435</v>
      </c>
      <c r="J52">
        <f>regressionsdep!H$1*A52+regressionsdep!H$2*A52^2</f>
        <v>-2.1935164161306053</v>
      </c>
      <c r="K52">
        <f>regressionsdep!$T$1*A52</f>
        <v>-2.4940412359050139</v>
      </c>
      <c r="L52">
        <f>regressionsdep!$L$1*A52^2</f>
        <v>-1.4634881038642031</v>
      </c>
      <c r="M52">
        <f>regressionsdep!$P$1*A52^2+regressionsdep!$P$2*A52^6</f>
        <v>-1.6147405547701568</v>
      </c>
      <c r="N52">
        <f>regressionsdep!$N$1*A52^2+regressionsdep!$N$2*A52^7</f>
        <v>-1.5424088261982234</v>
      </c>
      <c r="O52">
        <f>regressionsdep!R$2+regressionsdep!R$1*EXP(A52)</f>
        <v>-0.13055489726388536</v>
      </c>
      <c r="P52" s="20">
        <f>(1-EXP(-2*regressionsdep!V$1*graphdep!A52))/2/EXP(-regressionsdep!V$1*A52)</f>
        <v>-1.4707157732160536</v>
      </c>
      <c r="Q52" s="55"/>
      <c r="S52" s="64"/>
      <c r="T52" s="64"/>
      <c r="U52" s="64"/>
      <c r="V52" s="64"/>
      <c r="W52" s="64"/>
      <c r="X52" s="64"/>
      <c r="AB52" s="59"/>
      <c r="AE52" s="1"/>
      <c r="AO52" s="1"/>
      <c r="AP52" s="1"/>
      <c r="AT52" s="33"/>
      <c r="AW52" s="33"/>
      <c r="AZ52" s="33"/>
    </row>
    <row r="53" spans="1:52" x14ac:dyDescent="0.35">
      <c r="A53">
        <f t="shared" si="3"/>
        <v>3.0000000000000013</v>
      </c>
      <c r="B53">
        <f t="shared" si="0"/>
        <v>-2.0315530881323567</v>
      </c>
      <c r="C53">
        <f>regressionsdep!$AO$1*$A53</f>
        <v>3.1599984637032339</v>
      </c>
      <c r="D53">
        <f>regressionsdep!$AM$1*$A53</f>
        <v>4.2929763129256937</v>
      </c>
      <c r="E53">
        <f t="shared" si="1"/>
        <v>4.2884438392741107</v>
      </c>
      <c r="F53">
        <f t="shared" si="2"/>
        <v>-10.617505713983745</v>
      </c>
      <c r="G53" s="5">
        <f>B53-regressionsdep!Y$7</f>
        <v>-6.8963112359695593</v>
      </c>
      <c r="H53" s="5">
        <f>B53+regressionsdep!Y$7</f>
        <v>2.8332050597048464</v>
      </c>
      <c r="I53">
        <f>IF($A53&lt;=regressionsdep!$J$2,$A53*regressionsdep!$J$1,regressionsdep!$J$1*regressionsdep!$J$2+regressionsdep!$J$3*($A53-regressionsdep!$J$2))</f>
        <v>-2.5800426378285968</v>
      </c>
      <c r="J53">
        <f>regressionsdep!H$1*A53+regressionsdep!H$2*A53^2</f>
        <v>-2.2887705333891493</v>
      </c>
      <c r="K53">
        <f>regressionsdep!$T$1*A53</f>
        <v>-2.5800426578327729</v>
      </c>
      <c r="L53">
        <f>regressionsdep!$L$1*A53^2</f>
        <v>-1.5661584940282791</v>
      </c>
      <c r="M53">
        <f>regressionsdep!$P$1*A53^2+regressionsdep!$P$2*A53^6</f>
        <v>-1.7269112166631246</v>
      </c>
      <c r="N53">
        <f>regressionsdep!$N$1*A53^2+regressionsdep!$N$2*A53^7</f>
        <v>-1.6502798366921265</v>
      </c>
      <c r="O53">
        <f>regressionsdep!R$2+regressionsdep!R$1*EXP(A53)</f>
        <v>-0.14508496688669056</v>
      </c>
      <c r="P53" s="20">
        <f>(1-EXP(-2*regressionsdep!V$1*graphdep!A53))/2/EXP(-regressionsdep!V$1*A53)</f>
        <v>-1.5442183483497232</v>
      </c>
      <c r="Q53" s="55"/>
      <c r="R53" s="63"/>
      <c r="S53" s="62"/>
      <c r="T53" s="63"/>
      <c r="U53" s="63"/>
      <c r="V53" s="63"/>
      <c r="W53" s="63"/>
      <c r="X53" s="63"/>
      <c r="Y53" s="50"/>
      <c r="Z53" s="52"/>
      <c r="AA53" s="52"/>
      <c r="AB53" s="57"/>
      <c r="AC53" s="57"/>
      <c r="AD53" s="1"/>
      <c r="AE53" s="53"/>
      <c r="AF53" s="53"/>
      <c r="AK53" s="5"/>
      <c r="AL53" s="1"/>
      <c r="AM53" s="1"/>
      <c r="AO53" s="1"/>
      <c r="AP53" s="1"/>
      <c r="AT53" s="33"/>
      <c r="AW53" s="33"/>
      <c r="AZ53" s="33"/>
    </row>
    <row r="54" spans="1:52" x14ac:dyDescent="0.35">
      <c r="A54">
        <f t="shared" si="3"/>
        <v>3.1000000000000014</v>
      </c>
      <c r="B54">
        <f t="shared" si="0"/>
        <v>-2.1261231609859044</v>
      </c>
      <c r="C54">
        <f>regressionsdep!$AO$1*$A54</f>
        <v>3.2653317458266753</v>
      </c>
      <c r="D54">
        <f>regressionsdep!$AM$1*$A54</f>
        <v>4.4360755233565499</v>
      </c>
      <c r="E54">
        <f t="shared" si="1"/>
        <v>4.4045403306674462</v>
      </c>
      <c r="F54">
        <f t="shared" si="2"/>
        <v>-10.998274207699005</v>
      </c>
      <c r="G54" s="5">
        <f>B54-regressionsdep!Y$7</f>
        <v>-6.9908813088231074</v>
      </c>
      <c r="H54" s="5">
        <f>B54+regressionsdep!Y$7</f>
        <v>2.7386349868512987</v>
      </c>
      <c r="I54">
        <f>IF($A54&lt;=regressionsdep!$J$2,$A54*regressionsdep!$J$1,regressionsdep!$J$1*regressionsdep!$J$2+regressionsdep!$J$3*($A54-regressionsdep!$J$2))</f>
        <v>-2.66604405908955</v>
      </c>
      <c r="J54">
        <f>regressionsdep!H$1*A54+regressionsdep!H$2*A54^2</f>
        <v>-2.3853323586577337</v>
      </c>
      <c r="K54">
        <f>regressionsdep!$T$1*A54</f>
        <v>-2.6660440797605323</v>
      </c>
      <c r="L54">
        <f>regressionsdep!$L$1*A54^2</f>
        <v>-1.672309236401307</v>
      </c>
      <c r="M54">
        <f>regressionsdep!$P$1*A54^2+regressionsdep!$P$2*A54^6</f>
        <v>-1.8426466274791202</v>
      </c>
      <c r="N54">
        <f>regressionsdep!$N$1*A54^2+regressionsdep!$N$2*A54^7</f>
        <v>-1.7617221652393396</v>
      </c>
      <c r="O54">
        <f>regressionsdep!R$2+regressionsdep!R$1*EXP(A54)</f>
        <v>-0.16114317727142929</v>
      </c>
      <c r="P54" s="20">
        <f>(1-EXP(-2*regressionsdep!V$1*graphdep!A54))/2/EXP(-regressionsdep!V$1*A54)</f>
        <v>-1.6202710654183479</v>
      </c>
      <c r="AK54" s="1"/>
      <c r="AL54" s="1"/>
      <c r="AT54" s="33"/>
      <c r="AW54" s="33"/>
      <c r="AZ54" s="33"/>
    </row>
    <row r="55" spans="1:52" x14ac:dyDescent="0.35">
      <c r="A55">
        <f t="shared" si="3"/>
        <v>3.2000000000000015</v>
      </c>
      <c r="B55">
        <f t="shared" si="0"/>
        <v>-2.2225612353780742</v>
      </c>
      <c r="C55">
        <f>regressionsdep!$AO$1*$A55</f>
        <v>3.3706650279501162</v>
      </c>
      <c r="D55">
        <f>regressionsdep!$AM$1*$A55</f>
        <v>4.579174733787406</v>
      </c>
      <c r="E55">
        <f t="shared" si="1"/>
        <v>4.5187688205221583</v>
      </c>
      <c r="F55">
        <f t="shared" si="2"/>
        <v>-11.380910702952885</v>
      </c>
      <c r="G55" s="5">
        <f>B55-regressionsdep!Y$7</f>
        <v>-7.0873193832152772</v>
      </c>
      <c r="H55" s="5">
        <f>B55+regressionsdep!Y$7</f>
        <v>2.6421969124591289</v>
      </c>
      <c r="I55">
        <f>IF($A55&lt;=regressionsdep!$J$2,$A55*regressionsdep!$J$1,regressionsdep!$J$1*regressionsdep!$J$2+regressionsdep!$J$3*($A55-regressionsdep!$J$2))</f>
        <v>-2.7520454803505037</v>
      </c>
      <c r="J55">
        <f>regressionsdep!H$1*A55+regressionsdep!H$2*A55^2</f>
        <v>-2.483201891936357</v>
      </c>
      <c r="K55">
        <f>regressionsdep!$T$1*A55</f>
        <v>-2.7520455016882912</v>
      </c>
      <c r="L55">
        <f>regressionsdep!$L$1*A55^2</f>
        <v>-1.7819403309832866</v>
      </c>
      <c r="M55">
        <f>regressionsdep!$P$1*A55^2+regressionsdep!$P$2*A55^6</f>
        <v>-1.9619058455464014</v>
      </c>
      <c r="N55">
        <f>regressionsdep!$N$1*A55^2+regressionsdep!$N$2*A55^7</f>
        <v>-1.8767178749972961</v>
      </c>
      <c r="O55">
        <f>regressionsdep!R$2+regressionsdep!R$1*EXP(A55)</f>
        <v>-0.17889024438498288</v>
      </c>
      <c r="P55" s="20">
        <f>(1-EXP(-2*regressionsdep!V$1*graphdep!A55))/2/EXP(-regressionsdep!V$1*A55)</f>
        <v>-1.6989995188518019</v>
      </c>
      <c r="Q55" s="1"/>
      <c r="AE55" s="53"/>
      <c r="AO55" s="1"/>
      <c r="AP55" s="1"/>
      <c r="AT55" s="33"/>
      <c r="AW55" s="33"/>
      <c r="AZ55" s="33"/>
    </row>
    <row r="56" spans="1:52" x14ac:dyDescent="0.35">
      <c r="A56">
        <f t="shared" si="3"/>
        <v>3.3000000000000016</v>
      </c>
      <c r="B56">
        <f t="shared" si="0"/>
        <v>-2.3208807591967577</v>
      </c>
      <c r="C56">
        <f>regressionsdep!$AO$1*$A56</f>
        <v>3.4759983100735576</v>
      </c>
      <c r="D56">
        <f>regressionsdep!$AM$1*$A56</f>
        <v>4.7222739442182631</v>
      </c>
      <c r="E56">
        <f t="shared" si="1"/>
        <v>4.6311158609503575</v>
      </c>
      <c r="F56">
        <f t="shared" si="2"/>
        <v>-11.765428647633284</v>
      </c>
      <c r="G56" s="5">
        <f>B56-regressionsdep!Y$7</f>
        <v>-7.1856389070339608</v>
      </c>
      <c r="H56" s="5">
        <f>B56+regressionsdep!Y$7</f>
        <v>2.5438773886404453</v>
      </c>
      <c r="I56">
        <f>IF($A56&lt;=regressionsdep!$J$2,$A56*regressionsdep!$J$1,regressionsdep!$J$1*regressionsdep!$J$2+regressionsdep!$J$3*($A56-regressionsdep!$J$2))</f>
        <v>-2.8380469016114569</v>
      </c>
      <c r="J56">
        <f>regressionsdep!H$1*A56+regressionsdep!H$2*A56^2</f>
        <v>-2.5823791332250199</v>
      </c>
      <c r="K56">
        <f>regressionsdep!$T$1*A56</f>
        <v>-2.8380469236160502</v>
      </c>
      <c r="L56">
        <f>regressionsdep!$L$1*A56^2</f>
        <v>-1.8950517777742182</v>
      </c>
      <c r="M56">
        <f>regressionsdep!$P$1*A56^2+regressionsdep!$P$2*A56^6</f>
        <v>-2.0846437709364127</v>
      </c>
      <c r="N56">
        <f>regressionsdep!$N$1*A56^2+regressionsdep!$N$2*A56^7</f>
        <v>-1.9952465605639738</v>
      </c>
      <c r="O56">
        <f>regressionsdep!R$2+regressionsdep!R$1*EXP(A56)</f>
        <v>-0.19850378684001904</v>
      </c>
      <c r="P56" s="20">
        <f>(1-EXP(-2*regressionsdep!V$1*graphdep!A56))/2/EXP(-regressionsdep!V$1*A56)</f>
        <v>-1.7805337218252248</v>
      </c>
      <c r="AK56" s="1"/>
      <c r="AL56" s="1"/>
      <c r="AT56" s="33"/>
      <c r="AW56" s="33"/>
      <c r="AZ56" s="33"/>
    </row>
    <row r="57" spans="1:52" x14ac:dyDescent="0.35">
      <c r="A57">
        <f t="shared" si="3"/>
        <v>3.4000000000000017</v>
      </c>
      <c r="B57">
        <f t="shared" si="0"/>
        <v>-2.4210951971915819</v>
      </c>
      <c r="C57">
        <f>regressionsdep!$AO$1*$A57</f>
        <v>3.5813315921969986</v>
      </c>
      <c r="D57">
        <f>regressionsdep!$AM$1*$A57</f>
        <v>4.8653731546491192</v>
      </c>
      <c r="E57">
        <f t="shared" si="1"/>
        <v>4.7415679872024157</v>
      </c>
      <c r="F57">
        <f t="shared" si="2"/>
        <v>-12.15184150648982</v>
      </c>
      <c r="G57" s="5">
        <f>B57-regressionsdep!Y$7</f>
        <v>-7.2858533450287855</v>
      </c>
      <c r="H57" s="5">
        <f>B57+regressionsdep!Y$7</f>
        <v>2.4436629506456211</v>
      </c>
      <c r="I57">
        <f>IF($A57&lt;=regressionsdep!$J$2,$A57*regressionsdep!$J$1,regressionsdep!$J$1*regressionsdep!$J$2+regressionsdep!$J$3*($A57-regressionsdep!$J$2))</f>
        <v>-2.9240483228724101</v>
      </c>
      <c r="J57">
        <f>regressionsdep!H$1*A57+regressionsdep!H$2*A57^2</f>
        <v>-2.6828640825237215</v>
      </c>
      <c r="K57">
        <f>regressionsdep!$T$1*A57</f>
        <v>-2.9240483455438095</v>
      </c>
      <c r="L57">
        <f>regressionsdep!$L$1*A57^2</f>
        <v>-2.0116435767741012</v>
      </c>
      <c r="M57">
        <f>regressionsdep!$P$1*A57^2+regressionsdep!$P$2*A57^6</f>
        <v>-2.2108108729566669</v>
      </c>
      <c r="N57">
        <f>regressionsdep!$N$1*A57^2+regressionsdep!$N$2*A57^7</f>
        <v>-2.1172851014696077</v>
      </c>
      <c r="O57">
        <f>regressionsdep!R$2+regressionsdep!R$1*EXP(A57)</f>
        <v>-0.22018010356176707</v>
      </c>
      <c r="P57" s="20">
        <f>(1-EXP(-2*regressionsdep!V$1*graphdep!A57))/2/EXP(-regressionsdep!V$1*A57)</f>
        <v>-1.8650083209644364</v>
      </c>
      <c r="AT57" s="33"/>
      <c r="AW57" s="33"/>
      <c r="AZ57" s="33"/>
    </row>
    <row r="58" spans="1:52" x14ac:dyDescent="0.35">
      <c r="A58">
        <f t="shared" si="3"/>
        <v>3.5000000000000018</v>
      </c>
      <c r="B58">
        <f t="shared" si="0"/>
        <v>-2.5232180166067577</v>
      </c>
      <c r="C58">
        <f>regressionsdep!$AO$1*$A58</f>
        <v>3.68666487432044</v>
      </c>
      <c r="D58">
        <f>regressionsdep!$AM$1*$A58</f>
        <v>5.0084723650799763</v>
      </c>
      <c r="E58">
        <f t="shared" si="1"/>
        <v>4.8501117320341223</v>
      </c>
      <c r="F58">
        <f t="shared" si="2"/>
        <v>-12.540162746766711</v>
      </c>
      <c r="G58" s="5">
        <f>B58-regressionsdep!Y$7</f>
        <v>-7.3879761644439608</v>
      </c>
      <c r="H58" s="5">
        <f>B58+regressionsdep!Y$7</f>
        <v>2.3415401312304454</v>
      </c>
      <c r="I58">
        <f>IF($A58&lt;=regressionsdep!$J$2,$A58*regressionsdep!$J$1,regressionsdep!$J$1*regressionsdep!$J$2+regressionsdep!$J$3*($A58-regressionsdep!$J$2))</f>
        <v>-3.0100497441333633</v>
      </c>
      <c r="J58">
        <f>regressionsdep!H$1*A58+regressionsdep!H$2*A58^2</f>
        <v>-2.7846567398324638</v>
      </c>
      <c r="K58">
        <f>regressionsdep!$T$1*A58</f>
        <v>-3.0100497674715685</v>
      </c>
      <c r="L58">
        <f>regressionsdep!$L$1*A58^2</f>
        <v>-2.131715727982936</v>
      </c>
      <c r="M58">
        <f>regressionsdep!$P$1*A58^2+regressionsdep!$P$2*A58^6</f>
        <v>-2.3403529089926023</v>
      </c>
      <c r="N58">
        <f>regressionsdep!$N$1*A58^2+regressionsdep!$N$2*A58^7</f>
        <v>-2.2428073997753284</v>
      </c>
      <c r="O58">
        <f>regressionsdep!R$2+regressionsdep!R$1*EXP(A58)</f>
        <v>-0.24413613841363985</v>
      </c>
      <c r="P58" s="20">
        <f>(1-EXP(-2*regressionsdep!V$1*graphdep!A58))/2/EXP(-regressionsdep!V$1*A58)</f>
        <v>-1.9525628187030999</v>
      </c>
      <c r="AT58" s="33"/>
      <c r="AW58" s="33"/>
      <c r="AZ58" s="33"/>
    </row>
    <row r="59" spans="1:52" x14ac:dyDescent="0.35">
      <c r="A59">
        <f t="shared" si="3"/>
        <v>3.6000000000000019</v>
      </c>
      <c r="B59">
        <f t="shared" si="0"/>
        <v>-2.6272626726697839</v>
      </c>
      <c r="C59">
        <f>regressionsdep!$AO$1*$A59</f>
        <v>3.7919981564438809</v>
      </c>
      <c r="D59">
        <f>regressionsdep!$AM$1*$A59</f>
        <v>5.1515715755108324</v>
      </c>
      <c r="E59">
        <f t="shared" si="1"/>
        <v>4.956733640217978</v>
      </c>
      <c r="F59">
        <f t="shared" si="2"/>
        <v>-12.930405823691448</v>
      </c>
      <c r="G59" s="5">
        <f>B59-regressionsdep!Y$7</f>
        <v>-7.4920208205069869</v>
      </c>
      <c r="H59" s="5">
        <f>B59+regressionsdep!Y$7</f>
        <v>2.2374954751674192</v>
      </c>
      <c r="I59">
        <f>IF($A59&lt;=regressionsdep!$J$2,$A59*regressionsdep!$J$1,regressionsdep!$J$1*regressionsdep!$J$2+regressionsdep!$J$3*($A59-regressionsdep!$J$2))</f>
        <v>-3.0960511653943166</v>
      </c>
      <c r="J59">
        <f>regressionsdep!H$1*A59+regressionsdep!H$2*A59^2</f>
        <v>-2.8877571051512447</v>
      </c>
      <c r="K59">
        <f>regressionsdep!$T$1*A59</f>
        <v>-3.0960511893993279</v>
      </c>
      <c r="L59">
        <f>regressionsdep!$L$1*A59^2</f>
        <v>-2.2552682314007226</v>
      </c>
      <c r="M59">
        <f>regressionsdep!$P$1*A59^2+regressionsdep!$P$2*A59^6</f>
        <v>-2.4732106346984217</v>
      </c>
      <c r="N59">
        <f>regressionsdep!$N$1*A59^2+regressionsdep!$N$2*A59^7</f>
        <v>-2.3717841012820582</v>
      </c>
      <c r="O59">
        <f>regressionsdep!R$2+regressionsdep!R$1*EXP(A59)</f>
        <v>-0.2706116514443363</v>
      </c>
      <c r="P59" s="20">
        <f>(1-EXP(-2*regressionsdep!V$1*graphdep!A59))/2/EXP(-regressionsdep!V$1*A59)</f>
        <v>-2.0433418036588273</v>
      </c>
      <c r="AT59" s="33"/>
      <c r="AW59" s="33"/>
      <c r="AZ59" s="33"/>
    </row>
    <row r="60" spans="1:52" x14ac:dyDescent="0.35">
      <c r="A60">
        <f t="shared" si="3"/>
        <v>3.700000000000002</v>
      </c>
      <c r="B60">
        <f t="shared" si="0"/>
        <v>-2.7332425940958323</v>
      </c>
      <c r="C60">
        <f>regressionsdep!$AO$1*$A60</f>
        <v>3.8973314385673223</v>
      </c>
      <c r="D60">
        <f>regressionsdep!$AM$1*$A60</f>
        <v>5.2946707859416886</v>
      </c>
      <c r="E60">
        <f t="shared" si="1"/>
        <v>5.061420283038812</v>
      </c>
      <c r="F60">
        <f t="shared" si="2"/>
        <v>-13.32258416597921</v>
      </c>
      <c r="G60" s="5">
        <f>B60-regressionsdep!Y$7</f>
        <v>-7.5980007419330349</v>
      </c>
      <c r="H60" s="5">
        <f>B60+regressionsdep!Y$7</f>
        <v>2.1315155537413708</v>
      </c>
      <c r="I60">
        <f>IF($A60&lt;=regressionsdep!$J$2,$A60*regressionsdep!$J$1,regressionsdep!$J$1*regressionsdep!$J$2+regressionsdep!$J$3*($A60-regressionsdep!$J$2))</f>
        <v>-3.1820525866552698</v>
      </c>
      <c r="J60">
        <f>regressionsdep!H$1*A60+regressionsdep!H$2*A60^2</f>
        <v>-2.9921651784800658</v>
      </c>
      <c r="K60">
        <f>regressionsdep!$T$1*A60</f>
        <v>-3.1820526113270868</v>
      </c>
      <c r="L60">
        <f>regressionsdep!$L$1*A60^2</f>
        <v>-2.3823010870274608</v>
      </c>
      <c r="M60">
        <f>regressionsdep!$P$1*A60^2+regressionsdep!$P$2*A60^6</f>
        <v>-2.6093195055369143</v>
      </c>
      <c r="N60">
        <f>regressionsdep!$N$1*A60^2+regressionsdep!$N$2*A60^7</f>
        <v>-2.5041822998530123</v>
      </c>
      <c r="O60">
        <f>regressionsdep!R$2+regressionsdep!R$1*EXP(A60)</f>
        <v>-0.29987161848699484</v>
      </c>
      <c r="P60" s="20">
        <f>(1-EXP(-2*regressionsdep!V$1*graphdep!A60))/2/EXP(-regressionsdep!V$1*A60)</f>
        <v>-2.1374951894086691</v>
      </c>
      <c r="Q60" s="5"/>
      <c r="AE60" s="58"/>
      <c r="AO60" s="1"/>
      <c r="AP60" s="1"/>
      <c r="AT60" s="33"/>
      <c r="AW60" s="33"/>
      <c r="AZ60" s="33"/>
    </row>
    <row r="61" spans="1:52" x14ac:dyDescent="0.35">
      <c r="A61">
        <f t="shared" si="3"/>
        <v>3.800000000000002</v>
      </c>
      <c r="B61">
        <f t="shared" si="0"/>
        <v>-2.8411711687864556</v>
      </c>
      <c r="C61">
        <f>regressionsdep!$AO$1*$A61</f>
        <v>4.0026647206907633</v>
      </c>
      <c r="D61">
        <f>regressionsdep!$AM$1*$A61</f>
        <v>5.4377699963725457</v>
      </c>
      <c r="E61">
        <f t="shared" si="1"/>
        <v>5.1641582725950705</v>
      </c>
      <c r="F61">
        <f t="shared" si="2"/>
        <v>-13.716711161531547</v>
      </c>
      <c r="G61" s="5">
        <f>B61-regressionsdep!Y$7</f>
        <v>-7.7059293166236582</v>
      </c>
      <c r="H61" s="5">
        <f>B61+regressionsdep!Y$7</f>
        <v>2.0235869790507475</v>
      </c>
      <c r="I61">
        <f>IF($A61&lt;=regressionsdep!$J$2,$A61*regressionsdep!$J$1,regressionsdep!$J$1*regressionsdep!$J$2+regressionsdep!$J$3*($A61-regressionsdep!$J$2))</f>
        <v>-3.268054007916223</v>
      </c>
      <c r="J61">
        <f>regressionsdep!H$1*A61+regressionsdep!H$2*A61^2</f>
        <v>-3.0978809598189265</v>
      </c>
      <c r="K61">
        <f>regressionsdep!$T$1*A61</f>
        <v>-3.2680540332548458</v>
      </c>
      <c r="L61">
        <f>regressionsdep!$L$1*A61^2</f>
        <v>-2.5128142948631509</v>
      </c>
      <c r="M61">
        <f>regressionsdep!$P$1*A61^2+regressionsdep!$P$2*A61^6</f>
        <v>-2.748609369668253</v>
      </c>
      <c r="N61">
        <f>regressionsdep!$N$1*A61^2+regressionsdep!$N$2*A61^7</f>
        <v>-2.6399652243531446</v>
      </c>
      <c r="O61">
        <f>regressionsdep!R$2+regressionsdep!R$1*EXP(A61)</f>
        <v>-0.33220888312639296</v>
      </c>
      <c r="P61" s="20">
        <f>(1-EXP(-2*regressionsdep!V$1*graphdep!A61))/2/EXP(-regressionsdep!V$1*A61)</f>
        <v>-2.2351784620583142</v>
      </c>
      <c r="AT61" s="33"/>
      <c r="AW61" s="33"/>
      <c r="AZ61" s="33"/>
    </row>
    <row r="62" spans="1:52" x14ac:dyDescent="0.35">
      <c r="A62">
        <f t="shared" si="3"/>
        <v>3.9000000000000021</v>
      </c>
      <c r="B62">
        <f t="shared" si="0"/>
        <v>-2.9510617299219257</v>
      </c>
      <c r="C62">
        <f>regressionsdep!$AO$1*$A62</f>
        <v>4.1079980028142042</v>
      </c>
      <c r="D62">
        <f>regressionsdep!$AM$1*$A62</f>
        <v>5.5808692068034018</v>
      </c>
      <c r="E62">
        <f t="shared" si="1"/>
        <v>5.2649342757064828</v>
      </c>
      <c r="F62">
        <f t="shared" si="2"/>
        <v>-14.11280014352873</v>
      </c>
      <c r="G62" s="5">
        <f>B62-regressionsdep!Y$7</f>
        <v>-7.8158198777591288</v>
      </c>
      <c r="H62" s="5">
        <f>B62+regressionsdep!Y$7</f>
        <v>1.9136964179152773</v>
      </c>
      <c r="I62">
        <f>IF($A62&lt;=regressionsdep!$J$2,$A62*regressionsdep!$J$1,regressionsdep!$J$1*regressionsdep!$J$2+regressionsdep!$J$3*($A62-regressionsdep!$J$2))</f>
        <v>-3.3540554291771763</v>
      </c>
      <c r="J62">
        <f>regressionsdep!H$1*A62+regressionsdep!H$2*A62^2</f>
        <v>-3.2049044491678256</v>
      </c>
      <c r="K62">
        <f>regressionsdep!$T$1*A62</f>
        <v>-3.3540554551826052</v>
      </c>
      <c r="L62">
        <f>regressionsdep!$L$1*A62^2</f>
        <v>-2.6468078549077925</v>
      </c>
      <c r="M62">
        <f>regressionsdep!$P$1*A62^2+regressionsdep!$P$2*A62^6</f>
        <v>-2.8910041521877758</v>
      </c>
      <c r="N62">
        <f>regressionsdep!$N$1*A62^2+regressionsdep!$N$2*A62^7</f>
        <v>-2.779091907708878</v>
      </c>
      <c r="O62">
        <f>regressionsdep!R$2+regressionsdep!R$1*EXP(A62)</f>
        <v>-0.36794708757597183</v>
      </c>
      <c r="P62" s="20">
        <f>(1-EXP(-2*regressionsdep!V$1*graphdep!A62))/2/EXP(-regressionsdep!V$1*A62)</f>
        <v>-2.3365529370138338</v>
      </c>
      <c r="AT62" s="33"/>
      <c r="AW62" s="33"/>
      <c r="AZ62" s="33"/>
    </row>
    <row r="63" spans="1:52" x14ac:dyDescent="0.35">
      <c r="A63">
        <f t="shared" si="3"/>
        <v>4.0000000000000018</v>
      </c>
      <c r="B63">
        <f t="shared" si="0"/>
        <v>-3.0629275426692457</v>
      </c>
      <c r="C63">
        <f>regressionsdep!$AO$1*$A63</f>
        <v>4.2133312849376452</v>
      </c>
      <c r="D63">
        <f>regressionsdep!$AM$1*$A63</f>
        <v>5.723968417234258</v>
      </c>
      <c r="E63">
        <f t="shared" si="1"/>
        <v>5.3637350272060447</v>
      </c>
      <c r="F63">
        <f t="shared" si="2"/>
        <v>-14.510864377137761</v>
      </c>
      <c r="G63" s="5">
        <f>B63-regressionsdep!Y$7</f>
        <v>-7.9276856905064488</v>
      </c>
      <c r="H63" s="5">
        <f>B63+regressionsdep!Y$7</f>
        <v>1.8018306051679573</v>
      </c>
      <c r="I63">
        <f>IF($A63&lt;=regressionsdep!$J$2,$A63*regressionsdep!$J$1,regressionsdep!$J$1*regressionsdep!$J$2+regressionsdep!$J$3*($A63-regressionsdep!$J$2))</f>
        <v>-3.440056850438129</v>
      </c>
      <c r="J63">
        <f>regressionsdep!H$1*A63+regressionsdep!H$2*A63^2</f>
        <v>-3.3132356465267643</v>
      </c>
      <c r="K63">
        <f>regressionsdep!$T$1*A63</f>
        <v>-3.4400568771103637</v>
      </c>
      <c r="L63">
        <f>regressionsdep!$L$1*A63^2</f>
        <v>-2.7842817671613855</v>
      </c>
      <c r="M63">
        <f>regressionsdep!$P$1*A63^2+regressionsdep!$P$2*A63^6</f>
        <v>-3.0364215307127469</v>
      </c>
      <c r="N63">
        <f>regressionsdep!$N$1*A63^2+regressionsdep!$N$2*A63^7</f>
        <v>-2.9215168375914611</v>
      </c>
      <c r="O63">
        <f>regressionsdep!R$2+regressionsdep!R$1*EXP(A63)</f>
        <v>-0.40744391179788786</v>
      </c>
      <c r="P63" s="20">
        <f>(1-EXP(-2*regressionsdep!V$1*graphdep!A63))/2/EXP(-regressionsdep!V$1*A63)</f>
        <v>-2.4417860253800079</v>
      </c>
      <c r="Q63" s="5"/>
      <c r="AB63" s="61"/>
      <c r="AC63" s="49"/>
      <c r="AD63" s="61"/>
      <c r="AE63" s="58"/>
      <c r="AF63" s="58"/>
      <c r="AO63" s="1"/>
      <c r="AP63" s="1"/>
      <c r="AT63" s="33"/>
      <c r="AW63" s="33"/>
      <c r="AZ63" s="33"/>
    </row>
    <row r="64" spans="1:52" x14ac:dyDescent="0.35">
      <c r="A64">
        <f t="shared" si="3"/>
        <v>4.1000000000000014</v>
      </c>
      <c r="B64">
        <f t="shared" si="0"/>
        <v>-3.1767817917528198</v>
      </c>
      <c r="C64">
        <f>regressionsdep!$AO$1*$A64</f>
        <v>4.3186645670610861</v>
      </c>
      <c r="D64">
        <f>regressionsdep!$AM$1*$A64</f>
        <v>5.8670676276651141</v>
      </c>
      <c r="E64">
        <f t="shared" si="1"/>
        <v>5.4605473423693525</v>
      </c>
      <c r="F64">
        <f t="shared" si="2"/>
        <v>-14.910917047083048</v>
      </c>
      <c r="G64" s="5">
        <f>B64-regressionsdep!Y$7</f>
        <v>-8.0415399395900238</v>
      </c>
      <c r="H64" s="5">
        <f>B64+regressionsdep!Y$7</f>
        <v>1.6879763560843832</v>
      </c>
      <c r="I64">
        <f>IF($A64&lt;=regressionsdep!$J$2,$A64*regressionsdep!$J$1,regressionsdep!$J$1*regressionsdep!$J$2+regressionsdep!$J$3*($A64-regressionsdep!$J$2))</f>
        <v>-3.5260582716990823</v>
      </c>
      <c r="J64">
        <f>regressionsdep!H$1*A64+regressionsdep!H$2*A64^2</f>
        <v>-3.4228745518957426</v>
      </c>
      <c r="K64">
        <f>regressionsdep!$T$1*A64</f>
        <v>-3.5260582990381226</v>
      </c>
      <c r="L64">
        <f>regressionsdep!$L$1*A64^2</f>
        <v>-2.9252360316239301</v>
      </c>
      <c r="M64">
        <f>regressionsdep!$P$1*A64^2+regressionsdep!$P$2*A64^6</f>
        <v>-3.1847726023180973</v>
      </c>
      <c r="N64">
        <f>regressionsdep!$N$1*A64^2+regressionsdep!$N$2*A64^7</f>
        <v>-3.0671895882272966</v>
      </c>
      <c r="O64">
        <f>regressionsdep!R$2+regressionsdep!R$1*EXP(A64)</f>
        <v>-0.45109465328429532</v>
      </c>
      <c r="P64" s="20">
        <f>(1-EXP(-2*regressionsdep!V$1*graphdep!A64))/2/EXP(-regressionsdep!V$1*A64)</f>
        <v>-2.5510515104251641</v>
      </c>
      <c r="AT64" s="33"/>
      <c r="AW64" s="33"/>
      <c r="AZ64" s="33"/>
    </row>
    <row r="65" spans="1:52" x14ac:dyDescent="0.35">
      <c r="A65">
        <f t="shared" si="3"/>
        <v>4.2000000000000011</v>
      </c>
      <c r="B65">
        <f t="shared" si="0"/>
        <v>-3.292637570162249</v>
      </c>
      <c r="C65">
        <f>regressionsdep!$AO$1*$A65</f>
        <v>4.4239978491845271</v>
      </c>
      <c r="D65">
        <f>regressionsdep!$AM$1*$A65</f>
        <v>6.0101668380959694</v>
      </c>
      <c r="E65">
        <f t="shared" si="1"/>
        <v>5.5553581282068052</v>
      </c>
      <c r="F65">
        <f t="shared" si="2"/>
        <v>-15.312971246354188</v>
      </c>
      <c r="G65" s="5">
        <f>B65-regressionsdep!Y$7</f>
        <v>-8.157395717999453</v>
      </c>
      <c r="H65" s="5">
        <f>B65+regressionsdep!Y$7</f>
        <v>1.5721205776749541</v>
      </c>
      <c r="I65">
        <f>IF($A65&lt;=regressionsdep!$J$2,$A65*regressionsdep!$J$1,regressionsdep!$J$1*regressionsdep!$J$2+regressionsdep!$J$3*($A65-regressionsdep!$J$2))</f>
        <v>-3.612059692960035</v>
      </c>
      <c r="J65">
        <f>regressionsdep!H$1*A65+regressionsdep!H$2*A65^2</f>
        <v>-3.5338211652747606</v>
      </c>
      <c r="K65">
        <f>regressionsdep!$T$1*A65</f>
        <v>-3.6120597209658816</v>
      </c>
      <c r="L65">
        <f>regressionsdep!$L$1*A65^2</f>
        <v>-3.0696706482954261</v>
      </c>
      <c r="M65">
        <f>regressionsdep!$P$1*A65^2+regressionsdep!$P$2*A65^6</f>
        <v>-3.3359615418211446</v>
      </c>
      <c r="N65">
        <f>regressionsdep!$N$1*A65^2+regressionsdep!$N$2*A65^7</f>
        <v>-3.2160544328385732</v>
      </c>
      <c r="O65">
        <f>regressionsdep!R$2+regressionsdep!R$1*EXP(A65)</f>
        <v>-0.49933618332751095</v>
      </c>
      <c r="P65" s="20">
        <f>(1-EXP(-2*regressionsdep!V$1*graphdep!A65))/2/EXP(-regressionsdep!V$1*A65)</f>
        <v>-2.6645298345690902</v>
      </c>
      <c r="AT65" s="33"/>
      <c r="AW65" s="33"/>
      <c r="AZ65" s="33"/>
    </row>
    <row r="66" spans="1:52" x14ac:dyDescent="0.35">
      <c r="A66">
        <f t="shared" si="3"/>
        <v>4.3000000000000007</v>
      </c>
      <c r="B66">
        <f t="shared" si="0"/>
        <v>-3.4105078693018722</v>
      </c>
      <c r="C66">
        <f>regressionsdep!$AO$1*$A66</f>
        <v>4.5293311313079672</v>
      </c>
      <c r="D66">
        <f>regressionsdep!$AM$1*$A66</f>
        <v>6.1532660485268256</v>
      </c>
      <c r="E66">
        <f t="shared" si="1"/>
        <v>5.6481543933140621</v>
      </c>
      <c r="F66">
        <f t="shared" si="2"/>
        <v>-15.717039966355523</v>
      </c>
      <c r="G66" s="5">
        <f>B66-regressionsdep!Y$7</f>
        <v>-8.2752660171390744</v>
      </c>
      <c r="H66" s="5">
        <f>B66+regressionsdep!Y$7</f>
        <v>1.4542502785353308</v>
      </c>
      <c r="I66">
        <f>IF($A66&lt;=regressionsdep!$J$2,$A66*regressionsdep!$J$1,regressionsdep!$J$1*regressionsdep!$J$2+regressionsdep!$J$3*($A66-regressionsdep!$J$2))</f>
        <v>-3.6980611142209878</v>
      </c>
      <c r="J66">
        <f>regressionsdep!H$1*A66+regressionsdep!H$2*A66^2</f>
        <v>-3.6460754866638174</v>
      </c>
      <c r="K66">
        <f>regressionsdep!$T$1*A66</f>
        <v>-3.6980611428936401</v>
      </c>
      <c r="L66">
        <f>regressionsdep!$L$1*A66^2</f>
        <v>-3.2175856171758741</v>
      </c>
      <c r="M66">
        <f>regressionsdep!$P$1*A66^2+regressionsdep!$P$2*A66^6</f>
        <v>-3.4898852514152954</v>
      </c>
      <c r="N66">
        <f>regressionsdep!$N$1*A66^2+regressionsdep!$N$2*A66^7</f>
        <v>-3.3680499362175551</v>
      </c>
      <c r="O66">
        <f>regressionsdep!R$2+regressionsdep!R$1*EXP(A66)</f>
        <v>-0.55265131937474543</v>
      </c>
      <c r="P66" s="20">
        <f>(1-EXP(-2*regressionsdep!V$1*graphdep!A66))/2/EXP(-regressionsdep!V$1*A66)</f>
        <v>-2.7824083973679548</v>
      </c>
      <c r="Q66" s="5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O66" s="1"/>
      <c r="AP66" s="1"/>
      <c r="AT66" s="33"/>
      <c r="AW66" s="33"/>
      <c r="AZ66" s="33"/>
    </row>
    <row r="67" spans="1:52" x14ac:dyDescent="0.35">
      <c r="A67">
        <f t="shared" si="3"/>
        <v>4.4000000000000004</v>
      </c>
      <c r="B67">
        <f t="shared" si="0"/>
        <v>-3.5304055709199331</v>
      </c>
      <c r="C67">
        <f>regressionsdep!$AO$1*$A67</f>
        <v>4.6346644134314081</v>
      </c>
      <c r="D67">
        <f>regressionsdep!$AM$1*$A67</f>
        <v>6.2963652589576817</v>
      </c>
      <c r="E67">
        <f t="shared" si="1"/>
        <v>5.7389232559428827</v>
      </c>
      <c r="F67">
        <f t="shared" si="2"/>
        <v>-16.123136088835295</v>
      </c>
      <c r="G67" s="5">
        <f>B67-regressionsdep!Y$7</f>
        <v>-8.3951637187571357</v>
      </c>
      <c r="H67" s="5">
        <f>B67+regressionsdep!Y$7</f>
        <v>1.3343525769172699</v>
      </c>
      <c r="I67">
        <f>IF($A67&lt;=regressionsdep!$J$2,$A67*regressionsdep!$J$1,regressionsdep!$J$1*regressionsdep!$J$2+regressionsdep!$J$3*($A67-regressionsdep!$J$2))</f>
        <v>-3.7840625354819406</v>
      </c>
      <c r="J67">
        <f>regressionsdep!H$1*A67+regressionsdep!H$2*A67^2</f>
        <v>-3.7596375160629147</v>
      </c>
      <c r="K67">
        <f>regressionsdep!$T$1*A67</f>
        <v>-3.784062564821399</v>
      </c>
      <c r="L67">
        <f>regressionsdep!$L$1*A67^2</f>
        <v>-3.368980938265274</v>
      </c>
      <c r="M67">
        <f>regressionsdep!$P$1*A67^2+regressionsdep!$P$2*A67^6</f>
        <v>-3.6464330016527278</v>
      </c>
      <c r="N67">
        <f>regressionsdep!$N$1*A67^2+regressionsdep!$N$2*A67^7</f>
        <v>-3.5231085269378566</v>
      </c>
      <c r="O67">
        <f>regressionsdep!R$2+regressionsdep!R$1*EXP(A67)</f>
        <v>-0.61157365722739565</v>
      </c>
      <c r="P67" s="20">
        <f>(1-EXP(-2*regressionsdep!V$1*graphdep!A67))/2/EXP(-regressionsdep!V$1*A67)</f>
        <v>-2.9048818649883295</v>
      </c>
      <c r="AT67" s="33"/>
      <c r="AW67" s="33"/>
      <c r="AZ67" s="33"/>
    </row>
    <row r="68" spans="1:52" x14ac:dyDescent="0.35">
      <c r="A68">
        <f t="shared" si="3"/>
        <v>4.5</v>
      </c>
      <c r="B68">
        <f t="shared" ref="B68:B131" si="4">SUMPRODUCT(I$2:P$2,I68:P68)</f>
        <v>-3.6523434411917104</v>
      </c>
      <c r="C68">
        <f>regressionsdep!$AO$1*$A68</f>
        <v>4.7399976955548491</v>
      </c>
      <c r="D68">
        <f>regressionsdep!$AM$1*$A68</f>
        <v>6.439464469388537</v>
      </c>
      <c r="E68">
        <f t="shared" si="1"/>
        <v>5.8276519499179873</v>
      </c>
      <c r="F68">
        <f t="shared" si="2"/>
        <v>-16.531272379968783</v>
      </c>
      <c r="G68" s="5">
        <f>B68-regressionsdep!Y$7</f>
        <v>-8.517101589028913</v>
      </c>
      <c r="H68" s="5">
        <f>B68+regressionsdep!Y$7</f>
        <v>1.2124147066454927</v>
      </c>
      <c r="I68">
        <f>IF($A68&lt;=regressionsdep!$J$2,$A68*regressionsdep!$J$1,regressionsdep!$J$1*regressionsdep!$J$2+regressionsdep!$J$3*($A68-regressionsdep!$J$2))</f>
        <v>-3.8700639567428938</v>
      </c>
      <c r="J68">
        <f>regressionsdep!H$1*A68+regressionsdep!H$2*A68^2</f>
        <v>-3.8745072534720508</v>
      </c>
      <c r="K68">
        <f>regressionsdep!$T$1*A68</f>
        <v>-3.8700639867491575</v>
      </c>
      <c r="L68">
        <f>regressionsdep!$L$1*A68^2</f>
        <v>-3.5238566115636254</v>
      </c>
      <c r="M68">
        <f>regressionsdep!$P$1*A68^2+regressionsdep!$P$2*A68^6</f>
        <v>-3.8054860637760513</v>
      </c>
      <c r="N68">
        <f>regressionsdep!$N$1*A68^2+regressionsdep!$N$2*A68^7</f>
        <v>-3.681156048706054</v>
      </c>
      <c r="O68">
        <f>regressionsdep!R$2+regressionsdep!R$1*EXP(A68)</f>
        <v>-0.67669291144717258</v>
      </c>
      <c r="P68" s="20">
        <f>(1-EXP(-2*regressionsdep!V$1*graphdep!A68))/2/EXP(-regressionsdep!V$1*A68)</f>
        <v>-3.0321524916813929</v>
      </c>
      <c r="AT68" s="33"/>
      <c r="AW68" s="33"/>
      <c r="AZ68" s="33"/>
    </row>
    <row r="69" spans="1:52" x14ac:dyDescent="0.35">
      <c r="A69">
        <f t="shared" si="3"/>
        <v>4.5999999999999996</v>
      </c>
      <c r="B69">
        <f t="shared" si="4"/>
        <v>-3.7763341273712334</v>
      </c>
      <c r="C69">
        <f>regressionsdep!$AO$1*$A69</f>
        <v>4.8453309776782891</v>
      </c>
      <c r="D69">
        <f>regressionsdep!$AM$1*$A69</f>
        <v>6.5825636798193932</v>
      </c>
      <c r="E69">
        <f t="shared" si="1"/>
        <v>5.9143278279853444</v>
      </c>
      <c r="F69">
        <f t="shared" si="2"/>
        <v>-16.94146148701002</v>
      </c>
      <c r="G69" s="5">
        <f>B69-regressionsdep!Y$7</f>
        <v>-8.641092275208436</v>
      </c>
      <c r="H69" s="5">
        <f>B69+regressionsdep!Y$7</f>
        <v>1.0884240204659696</v>
      </c>
      <c r="I69">
        <f>IF($A69&lt;=regressionsdep!$J$2,$A69*regressionsdep!$J$1,regressionsdep!$J$1*regressionsdep!$J$2+regressionsdep!$J$3*($A69-regressionsdep!$J$2))</f>
        <v>-3.9560653780038466</v>
      </c>
      <c r="J69">
        <f>regressionsdep!H$1*A69+regressionsdep!H$2*A69^2</f>
        <v>-3.9906846988912266</v>
      </c>
      <c r="K69">
        <f>regressionsdep!$T$1*A69</f>
        <v>-3.9560654086769165</v>
      </c>
      <c r="L69">
        <f>regressionsdep!$L$1*A69^2</f>
        <v>-3.6822126370709283</v>
      </c>
      <c r="M69">
        <f>regressionsdep!$P$1*A69^2+regressionsdep!$P$2*A69^6</f>
        <v>-3.9669173333989489</v>
      </c>
      <c r="N69">
        <f>regressionsdep!$N$1*A69^2+regressionsdep!$N$2*A69^7</f>
        <v>-3.842111290356971</v>
      </c>
      <c r="O69">
        <f>regressionsdep!R$2+regressionsdep!R$1*EXP(A69)</f>
        <v>-0.74866081741764501</v>
      </c>
      <c r="P69" s="20">
        <f>(1-EXP(-2*regressionsdep!V$1*graphdep!A69))/2/EXP(-regressionsdep!V$1*A69)</f>
        <v>-3.1644304537881816</v>
      </c>
      <c r="Q69" s="5"/>
      <c r="AE69" s="58"/>
      <c r="AO69" s="1"/>
      <c r="AP69" s="1"/>
      <c r="AT69" s="33"/>
      <c r="AW69" s="33"/>
      <c r="AZ69" s="33"/>
    </row>
    <row r="70" spans="1:52" x14ac:dyDescent="0.35">
      <c r="A70">
        <f t="shared" si="3"/>
        <v>4.6999999999999993</v>
      </c>
      <c r="B70">
        <f t="shared" si="4"/>
        <v>-3.9023901574703759</v>
      </c>
      <c r="C70">
        <f>regressionsdep!$AO$1*$A70</f>
        <v>4.9506642598017301</v>
      </c>
      <c r="D70">
        <f>regressionsdep!$AM$1*$A70</f>
        <v>6.7256628902502493</v>
      </c>
      <c r="E70">
        <f t="shared" si="1"/>
        <v>5.9989383621330843</v>
      </c>
      <c r="F70">
        <f t="shared" si="2"/>
        <v>-17.353715937970875</v>
      </c>
      <c r="G70" s="5">
        <f>B70-regressionsdep!Y$7</f>
        <v>-8.7671483053075789</v>
      </c>
      <c r="H70" s="5">
        <f>B70+regressionsdep!Y$7</f>
        <v>0.96236799036682719</v>
      </c>
      <c r="I70">
        <f>IF($A70&lt;=regressionsdep!$J$2,$A70*regressionsdep!$J$1,regressionsdep!$J$1*regressionsdep!$J$2+regressionsdep!$J$3*($A70-regressionsdep!$J$2))</f>
        <v>-4.0420667992647994</v>
      </c>
      <c r="J70">
        <f>regressionsdep!H$1*A70+regressionsdep!H$2*A70^2</f>
        <v>-4.108169852320442</v>
      </c>
      <c r="K70">
        <f>regressionsdep!$T$1*A70</f>
        <v>-4.042066830604675</v>
      </c>
      <c r="L70">
        <f>regressionsdep!$L$1*A70^2</f>
        <v>-3.8440490147871831</v>
      </c>
      <c r="M70">
        <f>regressionsdep!$P$1*A70^2+regressionsdep!$P$2*A70^6</f>
        <v>-4.1305909455358032</v>
      </c>
      <c r="N70">
        <f>regressionsdep!$N$1*A70^2+regressionsdep!$N$2*A70^7</f>
        <v>-4.0058854939959829</v>
      </c>
      <c r="O70">
        <f>regressionsdep!R$2+regressionsdep!R$1*EXP(A70)</f>
        <v>-0.82819765413101376</v>
      </c>
      <c r="P70" s="20">
        <f>(1-EXP(-2*regressionsdep!V$1*graphdep!A70))/2/EXP(-regressionsdep!V$1*A70)</f>
        <v>-3.3019341968274896</v>
      </c>
      <c r="AT70" s="33"/>
      <c r="AW70" s="33"/>
      <c r="AZ70" s="33"/>
    </row>
    <row r="71" spans="1:52" x14ac:dyDescent="0.35">
      <c r="A71">
        <f t="shared" si="3"/>
        <v>4.7999999999999989</v>
      </c>
      <c r="B71">
        <f t="shared" si="4"/>
        <v>-4.0305239434728781</v>
      </c>
      <c r="C71">
        <f>regressionsdep!$AO$1*$A71</f>
        <v>5.055997541925171</v>
      </c>
      <c r="D71">
        <f>regressionsdep!$AM$1*$A71</f>
        <v>6.8687621006811046</v>
      </c>
      <c r="E71">
        <f t="shared" si="1"/>
        <v>6.0814711403774639</v>
      </c>
      <c r="F71">
        <f t="shared" si="2"/>
        <v>-17.768048144835088</v>
      </c>
      <c r="G71" s="5">
        <f>B71-regressionsdep!Y$7</f>
        <v>-8.8952820913100812</v>
      </c>
      <c r="H71" s="5">
        <f>B71+regressionsdep!Y$7</f>
        <v>0.83423420436432494</v>
      </c>
      <c r="I71">
        <f>IF($A71&lt;=regressionsdep!$J$2,$A71*regressionsdep!$J$1,regressionsdep!$J$1*regressionsdep!$J$2+regressionsdep!$J$3*($A71-regressionsdep!$J$2))</f>
        <v>-4.1280682205257522</v>
      </c>
      <c r="J71">
        <f>regressionsdep!H$1*A71+regressionsdep!H$2*A71^2</f>
        <v>-4.2269627137596961</v>
      </c>
      <c r="K71">
        <f>regressionsdep!$T$1*A71</f>
        <v>-4.1280682525324339</v>
      </c>
      <c r="L71">
        <f>regressionsdep!$L$1*A71^2</f>
        <v>-4.0093657447123894</v>
      </c>
      <c r="M71">
        <f>regressionsdep!$P$1*A71^2+regressionsdep!$P$2*A71^6</f>
        <v>-4.296361880980295</v>
      </c>
      <c r="N71">
        <f>regressionsdep!$N$1*A71^2+regressionsdep!$N$2*A71^7</f>
        <v>-4.1723818407916697</v>
      </c>
      <c r="O71">
        <f>regressionsdep!R$2+regressionsdep!R$1*EXP(A71)</f>
        <v>-0.91609945298236028</v>
      </c>
      <c r="P71" s="20">
        <f>(1-EXP(-2*regressionsdep!V$1*graphdep!A71))/2/EXP(-regressionsdep!V$1*A71)</f>
        <v>-3.4448907962395965</v>
      </c>
      <c r="AT71" s="33"/>
      <c r="AW71" s="33"/>
      <c r="AZ71" s="33"/>
    </row>
    <row r="72" spans="1:52" x14ac:dyDescent="0.35">
      <c r="A72">
        <f t="shared" si="3"/>
        <v>4.8999999999999986</v>
      </c>
      <c r="B72">
        <f t="shared" si="4"/>
        <v>-4.1607477886444526</v>
      </c>
      <c r="C72">
        <f>regressionsdep!$AO$1*$A72</f>
        <v>5.161330824048612</v>
      </c>
      <c r="D72">
        <f>regressionsdep!$AM$1*$A72</f>
        <v>7.0118613111119608</v>
      </c>
      <c r="E72">
        <f t="shared" ref="E72:E135" si="5">B72+2*C72</f>
        <v>6.1619138594527714</v>
      </c>
      <c r="F72">
        <f t="shared" ref="F72:F135" si="6">B72-2*D72</f>
        <v>-18.184470410868375</v>
      </c>
      <c r="G72" s="5">
        <f>B72-regressionsdep!Y$7</f>
        <v>-9.0255059364816557</v>
      </c>
      <c r="H72" s="5">
        <f>B72+regressionsdep!Y$7</f>
        <v>0.70401035919275046</v>
      </c>
      <c r="I72">
        <f>IF($A72&lt;=regressionsdep!$J$2,$A72*regressionsdep!$J$1,regressionsdep!$J$1*regressionsdep!$J$2+regressionsdep!$J$3*($A72-regressionsdep!$J$2))</f>
        <v>-4.214069641786705</v>
      </c>
      <c r="J72">
        <f>regressionsdep!H$1*A72+regressionsdep!H$2*A72^2</f>
        <v>-4.3470632832089908</v>
      </c>
      <c r="K72">
        <f>regressionsdep!$T$1*A72</f>
        <v>-4.2140696744601929</v>
      </c>
      <c r="L72">
        <f>regressionsdep!$L$1*A72^2</f>
        <v>-4.1781628268465481</v>
      </c>
      <c r="M72">
        <f>regressionsdep!$P$1*A72^2+regressionsdep!$P$2*A72^6</f>
        <v>-4.4640755640329886</v>
      </c>
      <c r="N72">
        <f>regressionsdep!$N$1*A72^2+regressionsdep!$N$2*A72^7</f>
        <v>-4.3414949139221761</v>
      </c>
      <c r="O72">
        <f>regressionsdep!R$2+regressionsdep!R$1*EXP(A72)</f>
        <v>-1.0132459647194041</v>
      </c>
      <c r="P72" s="20">
        <f>(1-EXP(-2*regressionsdep!V$1*graphdep!A72))/2/EXP(-regressionsdep!V$1*A72)</f>
        <v>-3.5935363323815506</v>
      </c>
      <c r="AT72" s="33"/>
      <c r="AW72" s="33"/>
      <c r="AZ72" s="33"/>
    </row>
    <row r="73" spans="1:52" x14ac:dyDescent="0.35">
      <c r="A73">
        <f t="shared" ref="A73:A136" si="7">0.1+A72</f>
        <v>4.9999999999999982</v>
      </c>
      <c r="B73">
        <f t="shared" si="4"/>
        <v>-4.2930738995591886</v>
      </c>
      <c r="C73">
        <f>regressionsdep!$AO$1*$A73</f>
        <v>5.2666641061720521</v>
      </c>
      <c r="D73">
        <f>regressionsdep!$AM$1*$A73</f>
        <v>7.1549605215428169</v>
      </c>
      <c r="E73">
        <f t="shared" si="5"/>
        <v>6.2402543127849155</v>
      </c>
      <c r="F73">
        <f t="shared" si="6"/>
        <v>-18.602994942644823</v>
      </c>
      <c r="G73" s="5">
        <f>B73-regressionsdep!Y$7</f>
        <v>-9.1578320473963917</v>
      </c>
      <c r="H73" s="5">
        <f>B73+regressionsdep!Y$7</f>
        <v>0.57168424827801445</v>
      </c>
      <c r="I73">
        <f>IF($A73&lt;=regressionsdep!$J$2,$A73*regressionsdep!$J$1,regressionsdep!$J$1*regressionsdep!$J$2+regressionsdep!$J$3*($A73-regressionsdep!$J$2))</f>
        <v>-4.3000710630476577</v>
      </c>
      <c r="J73">
        <f>regressionsdep!H$1*A73+regressionsdep!H$2*A73^2</f>
        <v>-4.4684715606683243</v>
      </c>
      <c r="K73">
        <f>regressionsdep!$T$1*A73</f>
        <v>-4.3000710963879518</v>
      </c>
      <c r="L73">
        <f>regressionsdep!$L$1*A73^2</f>
        <v>-4.3504402611896573</v>
      </c>
      <c r="M73">
        <f>regressionsdep!$P$1*A73^2+regressionsdep!$P$2*A73^6</f>
        <v>-4.6335674515778917</v>
      </c>
      <c r="N73">
        <f>regressionsdep!$N$1*A73^2+regressionsdep!$N$2*A73^7</f>
        <v>-4.5131101381786074</v>
      </c>
      <c r="O73">
        <f>regressionsdep!R$2+regressionsdep!R$1*EXP(A73)</f>
        <v>-1.120609464283679</v>
      </c>
      <c r="P73" s="20">
        <f>(1-EXP(-2*regressionsdep!V$1*graphdep!A73))/2/EXP(-regressionsdep!V$1*A73)</f>
        <v>-3.748116280393293</v>
      </c>
      <c r="Q73" s="5"/>
      <c r="Y73" s="51"/>
      <c r="Z73" s="51"/>
      <c r="AA73" s="51"/>
      <c r="AO73" s="1"/>
      <c r="AP73" s="1"/>
      <c r="AT73" s="33"/>
      <c r="AW73" s="33"/>
      <c r="AZ73" s="33"/>
    </row>
    <row r="74" spans="1:52" x14ac:dyDescent="0.35">
      <c r="A74">
        <f t="shared" si="7"/>
        <v>5.0999999999999979</v>
      </c>
      <c r="B74">
        <f t="shared" si="4"/>
        <v>-4.4275144035275344</v>
      </c>
      <c r="C74">
        <f>regressionsdep!$AO$1*$A74</f>
        <v>5.371997388295493</v>
      </c>
      <c r="D74">
        <f>regressionsdep!$AM$1*$A74</f>
        <v>7.2980597319736722</v>
      </c>
      <c r="E74">
        <f t="shared" si="5"/>
        <v>6.3164803730634516</v>
      </c>
      <c r="F74">
        <f t="shared" si="6"/>
        <v>-19.023633867474878</v>
      </c>
      <c r="G74" s="5">
        <f>B74-regressionsdep!Y$7</f>
        <v>-9.2922725513647375</v>
      </c>
      <c r="H74" s="5">
        <f>B74+regressionsdep!Y$7</f>
        <v>0.43724374430966861</v>
      </c>
      <c r="I74">
        <f>IF($A74&lt;=regressionsdep!$J$2,$A74*regressionsdep!$J$1,regressionsdep!$J$1*regressionsdep!$J$2+regressionsdep!$J$3*($A74-regressionsdep!$J$2))</f>
        <v>-4.3860724843086114</v>
      </c>
      <c r="J74">
        <f>regressionsdep!H$1*A74+regressionsdep!H$2*A74^2</f>
        <v>-4.5911875461376974</v>
      </c>
      <c r="K74">
        <f>regressionsdep!$T$1*A74</f>
        <v>-4.3860725183157099</v>
      </c>
      <c r="L74">
        <f>regressionsdep!$L$1*A74^2</f>
        <v>-4.526198047741719</v>
      </c>
      <c r="M74">
        <f>regressionsdep!$P$1*A74^2+regressionsdep!$P$2*A74^6</f>
        <v>-4.8046626135080048</v>
      </c>
      <c r="N74">
        <f>regressionsdep!$N$1*A74^2+regressionsdep!$N$2*A74^7</f>
        <v>-4.6871031957288034</v>
      </c>
      <c r="O74">
        <f>regressionsdep!R$2+regressionsdep!R$1*EXP(A74)</f>
        <v>-1.2392644816649432</v>
      </c>
      <c r="P74" s="20">
        <f>(1-EXP(-2*regressionsdep!V$1*graphdep!A74))/2/EXP(-regressionsdep!V$1*A74)</f>
        <v>-3.9088859155784403</v>
      </c>
      <c r="AT74" s="33"/>
      <c r="AW74" s="33"/>
      <c r="AZ74" s="33"/>
    </row>
    <row r="75" spans="1:52" x14ac:dyDescent="0.35">
      <c r="A75">
        <f t="shared" si="7"/>
        <v>5.1999999999999975</v>
      </c>
      <c r="B75">
        <f t="shared" si="4"/>
        <v>-4.564081372182784</v>
      </c>
      <c r="C75">
        <f>regressionsdep!$AO$1*$A75</f>
        <v>5.477330670418934</v>
      </c>
      <c r="D75">
        <f>regressionsdep!$AM$1*$A75</f>
        <v>7.4411589424045284</v>
      </c>
      <c r="E75">
        <f t="shared" si="5"/>
        <v>6.3905799686550839</v>
      </c>
      <c r="F75">
        <f t="shared" si="6"/>
        <v>-19.446399256991839</v>
      </c>
      <c r="G75" s="5">
        <f>B75-regressionsdep!Y$7</f>
        <v>-9.4288395200199879</v>
      </c>
      <c r="H75" s="5">
        <f>B75+regressionsdep!Y$7</f>
        <v>0.30067677565441908</v>
      </c>
      <c r="I75">
        <f>IF($A75&lt;=regressionsdep!$J$2,$A75*regressionsdep!$J$1,regressionsdep!$J$1*regressionsdep!$J$2+regressionsdep!$J$3*($A75-regressionsdep!$J$2))</f>
        <v>-4.4720739055695642</v>
      </c>
      <c r="J75">
        <f>regressionsdep!H$1*A75+regressionsdep!H$2*A75^2</f>
        <v>-4.7152112396171102</v>
      </c>
      <c r="K75">
        <f>regressionsdep!$T$1*A75</f>
        <v>-4.4720739402434688</v>
      </c>
      <c r="L75">
        <f>regressionsdep!$L$1*A75^2</f>
        <v>-4.705436186502733</v>
      </c>
      <c r="M75">
        <f>regressionsdep!$P$1*A75^2+regressionsdep!$P$2*A75^6</f>
        <v>-4.9771753044998421</v>
      </c>
      <c r="N75">
        <f>regressionsdep!$N$1*A75^2+regressionsdep!$N$2*A75^7</f>
        <v>-4.863339417544843</v>
      </c>
      <c r="O75">
        <f>regressionsdep!R$2+regressionsdep!R$1*EXP(A75)</f>
        <v>-1.3703985561584771</v>
      </c>
      <c r="P75" s="20">
        <f>(1-EXP(-2*regressionsdep!V$1*graphdep!A75))/2/EXP(-regressionsdep!V$1*A75)</f>
        <v>-4.0761107349691938</v>
      </c>
      <c r="Q75" s="5"/>
      <c r="AE75" s="58"/>
      <c r="AF75" s="58"/>
      <c r="AO75" s="1"/>
      <c r="AP75" s="1"/>
      <c r="AT75" s="33"/>
      <c r="AW75" s="33"/>
      <c r="AZ75" s="33"/>
    </row>
    <row r="76" spans="1:52" x14ac:dyDescent="0.35">
      <c r="A76">
        <f t="shared" si="7"/>
        <v>5.2999999999999972</v>
      </c>
      <c r="B76">
        <f t="shared" si="4"/>
        <v>-4.7027868520619487</v>
      </c>
      <c r="C76">
        <f>regressionsdep!$AO$1*$A76</f>
        <v>5.5826639525423749</v>
      </c>
      <c r="D76">
        <f>regressionsdep!$AM$1*$A76</f>
        <v>7.5842581528353845</v>
      </c>
      <c r="E76">
        <f t="shared" si="5"/>
        <v>6.4625410530228011</v>
      </c>
      <c r="F76">
        <f t="shared" si="6"/>
        <v>-19.871303157732719</v>
      </c>
      <c r="G76" s="5">
        <f>B76-regressionsdep!Y$7</f>
        <v>-9.5675449998991517</v>
      </c>
      <c r="H76" s="5">
        <f>B76+regressionsdep!Y$7</f>
        <v>0.16197129577525438</v>
      </c>
      <c r="I76">
        <f>IF($A76&lt;=regressionsdep!$J$2,$A76*regressionsdep!$J$1,regressionsdep!$J$1*regressionsdep!$J$2+regressionsdep!$J$3*($A76-regressionsdep!$J$2))</f>
        <v>-4.558075326830517</v>
      </c>
      <c r="J76">
        <f>regressionsdep!H$1*A76+regressionsdep!H$2*A76^2</f>
        <v>-4.8405426411065617</v>
      </c>
      <c r="K76">
        <f>regressionsdep!$T$1*A76</f>
        <v>-4.5580753621712278</v>
      </c>
      <c r="L76">
        <f>regressionsdep!$L$1*A76^2</f>
        <v>-4.8881546774726976</v>
      </c>
      <c r="M76">
        <f>regressionsdep!$P$1*A76^2+regressionsdep!$P$2*A76^6</f>
        <v>-5.1509085271369344</v>
      </c>
      <c r="N76">
        <f>regressionsdep!$N$1*A76^2+regressionsdep!$N$2*A76^7</f>
        <v>-5.0416731499975977</v>
      </c>
      <c r="O76">
        <f>regressionsdep!R$2+regressionsdep!R$1*EXP(A76)</f>
        <v>-1.515324121657496</v>
      </c>
      <c r="P76" s="20">
        <f>(1-EXP(-2*regressionsdep!V$1*graphdep!A76))/2/EXP(-regressionsdep!V$1*A76)</f>
        <v>-4.2500668957715231</v>
      </c>
      <c r="AT76" s="33"/>
      <c r="AW76" s="33"/>
      <c r="AZ76" s="33"/>
    </row>
    <row r="77" spans="1:52" x14ac:dyDescent="0.35">
      <c r="A77">
        <f t="shared" si="7"/>
        <v>5.3999999999999968</v>
      </c>
      <c r="B77">
        <f t="shared" si="4"/>
        <v>-4.8436429031039365</v>
      </c>
      <c r="C77">
        <f>regressionsdep!$AO$1*$A77</f>
        <v>5.687997234665815</v>
      </c>
      <c r="D77">
        <f>regressionsdep!$AM$1*$A77</f>
        <v>7.7273573632662398</v>
      </c>
      <c r="E77">
        <f t="shared" si="5"/>
        <v>6.5323515662276934</v>
      </c>
      <c r="F77">
        <f t="shared" si="6"/>
        <v>-20.298357629636417</v>
      </c>
      <c r="G77" s="5">
        <f>B77-regressionsdep!Y$7</f>
        <v>-9.7084010509411396</v>
      </c>
      <c r="H77" s="5">
        <f>B77+regressionsdep!Y$7</f>
        <v>2.1115244733266536E-2</v>
      </c>
      <c r="I77">
        <f>IF($A77&lt;=regressionsdep!$J$2,$A77*regressionsdep!$J$1,regressionsdep!$J$1*regressionsdep!$J$2+regressionsdep!$J$3*($A77-regressionsdep!$J$2))</f>
        <v>-4.6440767480914698</v>
      </c>
      <c r="J77">
        <f>regressionsdep!H$1*A77+regressionsdep!H$2*A77^2</f>
        <v>-4.9671817506060538</v>
      </c>
      <c r="K77">
        <f>regressionsdep!$T$1*A77</f>
        <v>-4.6440767840989867</v>
      </c>
      <c r="L77">
        <f>regressionsdep!$L$1*A77^2</f>
        <v>-5.0743535206516137</v>
      </c>
      <c r="M77">
        <f>regressionsdep!$P$1*A77^2+regressionsdep!$P$2*A77^6</f>
        <v>-5.3256535863823125</v>
      </c>
      <c r="N77">
        <f>regressionsdep!$N$1*A77^2+regressionsdep!$N$2*A77^7</f>
        <v>-5.2219470961217089</v>
      </c>
      <c r="O77">
        <f>regressionsdep!R$2+regressionsdep!R$1*EXP(A77)</f>
        <v>-1.6754916419326791</v>
      </c>
      <c r="P77" s="20">
        <f>(1-EXP(-2*regressionsdep!V$1*graphdep!A77))/2/EXP(-regressionsdep!V$1*A77)</f>
        <v>-4.4310416714147243</v>
      </c>
      <c r="Q77" s="1"/>
      <c r="AB77" s="59"/>
      <c r="AO77" s="1"/>
      <c r="AP77" s="1"/>
      <c r="AT77" s="33"/>
      <c r="AW77" s="33"/>
      <c r="AZ77" s="33"/>
    </row>
    <row r="78" spans="1:52" x14ac:dyDescent="0.35">
      <c r="A78">
        <f t="shared" si="7"/>
        <v>5.4999999999999964</v>
      </c>
      <c r="B78">
        <f t="shared" si="4"/>
        <v>-4.986661646083804</v>
      </c>
      <c r="C78">
        <f>regressionsdep!$AO$1*$A78</f>
        <v>5.7933305167892559</v>
      </c>
      <c r="D78">
        <f>regressionsdep!$AM$1*$A78</f>
        <v>7.8704565736970959</v>
      </c>
      <c r="E78">
        <f t="shared" si="5"/>
        <v>6.5999993874947078</v>
      </c>
      <c r="F78">
        <f t="shared" si="6"/>
        <v>-20.727574793477995</v>
      </c>
      <c r="G78" s="5">
        <f>B78-regressionsdep!Y$7</f>
        <v>-9.8514197939210071</v>
      </c>
      <c r="H78" s="5">
        <f>B78+regressionsdep!Y$7</f>
        <v>-0.12190349824660096</v>
      </c>
      <c r="I78">
        <f>IF($A78&lt;=regressionsdep!$J$2,$A78*regressionsdep!$J$1,regressionsdep!$J$1*regressionsdep!$J$2+regressionsdep!$J$3*($A78-regressionsdep!$J$2))</f>
        <v>-4.7300781693524225</v>
      </c>
      <c r="J78">
        <f>regressionsdep!H$1*A78+regressionsdep!H$2*A78^2</f>
        <v>-5.0951285681155847</v>
      </c>
      <c r="K78">
        <f>regressionsdep!$T$1*A78</f>
        <v>-4.7300782060267448</v>
      </c>
      <c r="L78">
        <f>regressionsdep!$L$1*A78^2</f>
        <v>-5.2640327160394831</v>
      </c>
      <c r="M78">
        <f>regressionsdep!$P$1*A78^2+regressionsdep!$P$2*A78^6</f>
        <v>-5.501189635399979</v>
      </c>
      <c r="N78">
        <f>regressionsdep!$N$1*A78^2+regressionsdep!$N$2*A78^7</f>
        <v>-5.4039916310542928</v>
      </c>
      <c r="O78">
        <f>regressionsdep!R$2+regressionsdep!R$1*EXP(A78)</f>
        <v>-1.8525041273611031</v>
      </c>
      <c r="P78" s="20">
        <f>(1-EXP(-2*regressionsdep!V$1*graphdep!A78))/2/EXP(-regressionsdep!V$1*A78)</f>
        <v>-4.6193339259584185</v>
      </c>
      <c r="AK78" s="1"/>
      <c r="AL78" s="1"/>
      <c r="AT78" s="33"/>
      <c r="AW78" s="33"/>
      <c r="AZ78" s="33"/>
    </row>
    <row r="79" spans="1:52" x14ac:dyDescent="0.35">
      <c r="A79">
        <f t="shared" si="7"/>
        <v>5.5999999999999961</v>
      </c>
      <c r="B79">
        <f t="shared" si="4"/>
        <v>-5.1318553201076256</v>
      </c>
      <c r="C79">
        <f>regressionsdep!$AO$1*$A79</f>
        <v>5.8986637989126969</v>
      </c>
      <c r="D79">
        <f>regressionsdep!$AM$1*$A79</f>
        <v>8.0135557841279521</v>
      </c>
      <c r="E79">
        <f t="shared" si="5"/>
        <v>6.6654722777177682</v>
      </c>
      <c r="F79">
        <f t="shared" si="6"/>
        <v>-21.15896688836353</v>
      </c>
      <c r="G79" s="5">
        <f>B79-regressionsdep!Y$7</f>
        <v>-9.9966134679448295</v>
      </c>
      <c r="H79" s="5">
        <f>B79+regressionsdep!Y$7</f>
        <v>-0.26709717227042251</v>
      </c>
      <c r="I79">
        <f>IF($A79&lt;=regressionsdep!$J$2,$A79*regressionsdep!$J$1,regressionsdep!$J$1*regressionsdep!$J$2+regressionsdep!$J$3*($A79-regressionsdep!$J$2))</f>
        <v>-4.8160795906133753</v>
      </c>
      <c r="J79">
        <f>regressionsdep!H$1*A79+regressionsdep!H$2*A79^2</f>
        <v>-5.2243830936351543</v>
      </c>
      <c r="K79">
        <f>regressionsdep!$T$1*A79</f>
        <v>-4.8160796279545037</v>
      </c>
      <c r="L79">
        <f>regressionsdep!$L$1*A79^2</f>
        <v>-5.4571922636363031</v>
      </c>
      <c r="M79">
        <f>regressionsdep!$P$1*A79^2+regressionsdep!$P$2*A79^6</f>
        <v>-5.6772832127253423</v>
      </c>
      <c r="N79">
        <f>regressionsdep!$N$1*A79^2+regressionsdep!$N$2*A79^7</f>
        <v>-5.5876240911507438</v>
      </c>
      <c r="O79">
        <f>regressionsdep!R$2+regressionsdep!R$1*EXP(A79)</f>
        <v>-2.0481331783928862</v>
      </c>
      <c r="P79" s="20">
        <f>(1-EXP(-2*regressionsdep!V$1*graphdep!A79))/2/EXP(-regressionsdep!V$1*A79)</f>
        <v>-4.815254607640501</v>
      </c>
      <c r="AT79" s="33"/>
      <c r="AW79" s="33"/>
      <c r="AZ79" s="33"/>
    </row>
    <row r="80" spans="1:52" x14ac:dyDescent="0.35">
      <c r="A80">
        <f t="shared" si="7"/>
        <v>5.6999999999999957</v>
      </c>
      <c r="B80">
        <f t="shared" si="4"/>
        <v>-5.2792363514089962</v>
      </c>
      <c r="C80">
        <f>regressionsdep!$AO$1*$A80</f>
        <v>6.0039970810361369</v>
      </c>
      <c r="D80">
        <f>regressionsdep!$AM$1*$A80</f>
        <v>8.1566549945588083</v>
      </c>
      <c r="E80">
        <f t="shared" si="5"/>
        <v>6.7287578106632777</v>
      </c>
      <c r="F80">
        <f t="shared" si="6"/>
        <v>-21.592546340526614</v>
      </c>
      <c r="G80" s="5">
        <f>B80-regressionsdep!Y$7</f>
        <v>-10.143994499246199</v>
      </c>
      <c r="H80" s="5">
        <f>B80+regressionsdep!Y$7</f>
        <v>-0.4144782035717931</v>
      </c>
      <c r="I80">
        <f>IF($A80&lt;=regressionsdep!$J$2,$A80*regressionsdep!$J$1,regressionsdep!$J$1*regressionsdep!$J$2+regressionsdep!$J$3*($A80-regressionsdep!$J$2))</f>
        <v>-4.9020810118743281</v>
      </c>
      <c r="J80">
        <f>regressionsdep!H$1*A80+regressionsdep!H$2*A80^2</f>
        <v>-5.3549453271647653</v>
      </c>
      <c r="K80">
        <f>regressionsdep!$T$1*A80</f>
        <v>-4.9020810498822627</v>
      </c>
      <c r="L80">
        <f>regressionsdep!$L$1*A80^2</f>
        <v>-5.6538321634420745</v>
      </c>
      <c r="M80">
        <f>regressionsdep!$P$1*A80^2+regressionsdep!$P$2*A80^6</f>
        <v>-5.8536877707846537</v>
      </c>
      <c r="N80">
        <f>regressionsdep!$N$1*A80^2+regressionsdep!$N$2*A80^7</f>
        <v>-5.7726480362809616</v>
      </c>
      <c r="O80">
        <f>regressionsdep!R$2+regressionsdep!R$1*EXP(A80)</f>
        <v>-2.2643367163239505</v>
      </c>
      <c r="P80" s="20">
        <f>(1-EXP(-2*regressionsdep!V$1*graphdep!A80))/2/EXP(-regressionsdep!V$1*A80)</f>
        <v>-5.0191272623810272</v>
      </c>
      <c r="AT80" s="33"/>
      <c r="AW80" s="33"/>
      <c r="AZ80" s="33"/>
    </row>
    <row r="81" spans="1:52" x14ac:dyDescent="0.35">
      <c r="A81">
        <f t="shared" si="7"/>
        <v>5.7999999999999954</v>
      </c>
      <c r="B81">
        <f t="shared" si="4"/>
        <v>-5.4288174348167217</v>
      </c>
      <c r="C81">
        <f>regressionsdep!$AO$1*$A81</f>
        <v>6.1093303631595779</v>
      </c>
      <c r="D81">
        <f>regressionsdep!$AM$1*$A81</f>
        <v>8.2997542049896644</v>
      </c>
      <c r="E81">
        <f t="shared" si="5"/>
        <v>6.789843291502434</v>
      </c>
      <c r="F81">
        <f t="shared" si="6"/>
        <v>-22.028325844796051</v>
      </c>
      <c r="G81" s="5">
        <f>B81-regressionsdep!Y$7</f>
        <v>-10.293575582653926</v>
      </c>
      <c r="H81" s="5">
        <f>B81+regressionsdep!Y$7</f>
        <v>-0.56405928697951868</v>
      </c>
      <c r="I81">
        <f>IF($A81&lt;=regressionsdep!$J$2,$A81*regressionsdep!$J$1,regressionsdep!$J$1*regressionsdep!$J$2+regressionsdep!$J$3*($A81-regressionsdep!$J$2))</f>
        <v>-4.9880824331352809</v>
      </c>
      <c r="J81">
        <f>regressionsdep!H$1*A81+regressionsdep!H$2*A81^2</f>
        <v>-5.4868152687044143</v>
      </c>
      <c r="K81">
        <f>regressionsdep!$T$1*A81</f>
        <v>-4.9880824718100216</v>
      </c>
      <c r="L81">
        <f>regressionsdep!$L$1*A81^2</f>
        <v>-5.8539524154567975</v>
      </c>
      <c r="M81">
        <f>regressionsdep!$P$1*A81^2+regressionsdep!$P$2*A81^6</f>
        <v>-6.0301431957634026</v>
      </c>
      <c r="N81">
        <f>regressionsdep!$N$1*A81^2+regressionsdep!$N$2*A81^7</f>
        <v>-5.9588524848093485</v>
      </c>
      <c r="O81">
        <f>regressionsdep!R$2+regressionsdep!R$1*EXP(A81)</f>
        <v>-2.503278578830427</v>
      </c>
      <c r="P81" s="20">
        <f>(1-EXP(-2*regressionsdep!V$1*graphdep!A81))/2/EXP(-regressionsdep!V$1*A81)</f>
        <v>-5.2312885680900836</v>
      </c>
      <c r="AT81" s="33"/>
      <c r="AW81" s="33"/>
      <c r="AZ81" s="33"/>
    </row>
    <row r="82" spans="1:52" x14ac:dyDescent="0.35">
      <c r="A82">
        <f t="shared" si="7"/>
        <v>5.899999999999995</v>
      </c>
      <c r="B82">
        <f t="shared" si="4"/>
        <v>-5.580611629404971</v>
      </c>
      <c r="C82">
        <f>regressionsdep!$AO$1*$A82</f>
        <v>6.2146636452830188</v>
      </c>
      <c r="D82">
        <f>regressionsdep!$AM$1*$A82</f>
        <v>8.4428534154205188</v>
      </c>
      <c r="E82">
        <f t="shared" si="5"/>
        <v>6.8487156611610667</v>
      </c>
      <c r="F82">
        <f t="shared" si="6"/>
        <v>-22.466318460246008</v>
      </c>
      <c r="G82" s="5">
        <f>B82-regressionsdep!Y$7</f>
        <v>-10.445369777242174</v>
      </c>
      <c r="H82" s="5">
        <f>B82+regressionsdep!Y$7</f>
        <v>-0.71585348156776796</v>
      </c>
      <c r="I82">
        <f>IF($A82&lt;=regressionsdep!$J$2,$A82*regressionsdep!$J$1,regressionsdep!$J$1*regressionsdep!$J$2+regressionsdep!$J$3*($A82-regressionsdep!$J$2))</f>
        <v>-5.0740838543962337</v>
      </c>
      <c r="J82">
        <f>regressionsdep!H$1*A82+regressionsdep!H$2*A82^2</f>
        <v>-5.6199929182541029</v>
      </c>
      <c r="K82">
        <f>regressionsdep!$T$1*A82</f>
        <v>-5.0740838937377806</v>
      </c>
      <c r="L82">
        <f>regressionsdep!$L$1*A82^2</f>
        <v>-6.0575530196804728</v>
      </c>
      <c r="M82">
        <f>regressionsdep!$P$1*A82^2+regressionsdep!$P$2*A82^6</f>
        <v>-6.206375318823711</v>
      </c>
      <c r="N82">
        <f>regressionsdep!$N$1*A82^2+regressionsdep!$N$2*A82^7</f>
        <v>-6.1460111207619219</v>
      </c>
      <c r="O82">
        <f>regressionsdep!R$2+regressionsdep!R$1*EXP(A82)</f>
        <v>-2.767350176383415</v>
      </c>
      <c r="P82" s="20">
        <f>(1-EXP(-2*regressionsdep!V$1*graphdep!A82))/2/EXP(-regressionsdep!V$1*A82)</f>
        <v>-5.4520888906620035</v>
      </c>
      <c r="AT82" s="33"/>
      <c r="AW82" s="33"/>
      <c r="AZ82" s="33"/>
    </row>
    <row r="83" spans="1:52" x14ac:dyDescent="0.35">
      <c r="A83">
        <f t="shared" si="7"/>
        <v>5.9999999999999947</v>
      </c>
      <c r="B83">
        <f t="shared" si="4"/>
        <v>-5.7346324699933406</v>
      </c>
      <c r="C83">
        <f>regressionsdep!$AO$1*$A83</f>
        <v>6.3199969274064598</v>
      </c>
      <c r="D83">
        <f>regressionsdep!$AM$1*$A83</f>
        <v>8.585952625851375</v>
      </c>
      <c r="E83">
        <f t="shared" si="5"/>
        <v>6.905361384819579</v>
      </c>
      <c r="F83">
        <f t="shared" si="6"/>
        <v>-22.90653772169609</v>
      </c>
      <c r="G83" s="5">
        <f>B83-regressionsdep!Y$7</f>
        <v>-10.599390617830544</v>
      </c>
      <c r="H83" s="5">
        <f>B83+regressionsdep!Y$7</f>
        <v>-0.86987432215613758</v>
      </c>
      <c r="I83">
        <f>IF($A83&lt;=regressionsdep!$J$2,$A83*regressionsdep!$J$1,regressionsdep!$J$1*regressionsdep!$J$2+regressionsdep!$J$3*($A83-regressionsdep!$J$2))</f>
        <v>-5.1600852756571873</v>
      </c>
      <c r="J83">
        <f>regressionsdep!H$1*A83+regressionsdep!H$2*A83^2</f>
        <v>-5.7544782758138311</v>
      </c>
      <c r="K83">
        <f>regressionsdep!$T$1*A83</f>
        <v>-5.1600853156655386</v>
      </c>
      <c r="L83">
        <f>regressionsdep!$L$1*A83^2</f>
        <v>-6.2646339761131005</v>
      </c>
      <c r="M83">
        <f>regressionsdep!$P$1*A83^2+regressionsdep!$P$2*A83^6</f>
        <v>-6.3820954186706915</v>
      </c>
      <c r="N83">
        <f>regressionsdep!$N$1*A83^2+regressionsdep!$N$2*A83^7</f>
        <v>-6.3338814726838706</v>
      </c>
      <c r="O83">
        <f>regressionsdep!R$2+regressionsdep!R$1*EXP(A83)</f>
        <v>-3.0591944262887534</v>
      </c>
      <c r="P83" s="20">
        <f>(1-EXP(-2*regressionsdep!V$1*graphdep!A83))/2/EXP(-regressionsdep!V$1*A83)</f>
        <v>-5.6818928625740845</v>
      </c>
      <c r="Q83" s="1"/>
      <c r="Y83" s="50"/>
      <c r="Z83" s="50"/>
      <c r="AA83" s="50"/>
      <c r="AB83" s="60"/>
      <c r="AE83" s="5"/>
      <c r="AO83" s="1"/>
      <c r="AP83" s="1"/>
      <c r="AT83" s="33"/>
      <c r="AW83" s="33"/>
      <c r="AZ83" s="33"/>
    </row>
    <row r="84" spans="1:52" x14ac:dyDescent="0.35">
      <c r="A84">
        <f t="shared" si="7"/>
        <v>6.0999999999999943</v>
      </c>
      <c r="B84">
        <f t="shared" si="4"/>
        <v>-5.8908940963368108</v>
      </c>
      <c r="C84">
        <f>regressionsdep!$AO$1*$A84</f>
        <v>6.4253302095298999</v>
      </c>
      <c r="D84">
        <f>regressionsdep!$AM$1*$A84</f>
        <v>8.7290518362822311</v>
      </c>
      <c r="E84">
        <f t="shared" si="5"/>
        <v>6.9597663227229889</v>
      </c>
      <c r="F84">
        <f t="shared" si="6"/>
        <v>-23.348997768901274</v>
      </c>
      <c r="G84" s="5">
        <f>B84-regressionsdep!Y$7</f>
        <v>-10.755652244174014</v>
      </c>
      <c r="H84" s="5">
        <f>B84+regressionsdep!Y$7</f>
        <v>-1.0261359484996078</v>
      </c>
      <c r="I84">
        <f>IF($A84&lt;=regressionsdep!$J$2,$A84*regressionsdep!$J$1,regressionsdep!$J$1*regressionsdep!$J$2+regressionsdep!$J$3*($A84-regressionsdep!$J$2))</f>
        <v>-5.2460866969181401</v>
      </c>
      <c r="J84">
        <f>regressionsdep!H$1*A84+regressionsdep!H$2*A84^2</f>
        <v>-5.890271341383599</v>
      </c>
      <c r="K84">
        <f>regressionsdep!$T$1*A84</f>
        <v>-5.2460867375932976</v>
      </c>
      <c r="L84">
        <f>regressionsdep!$L$1*A84^2</f>
        <v>-6.4751952847546788</v>
      </c>
      <c r="M84">
        <f>regressionsdep!$P$1*A84^2+regressionsdep!$P$2*A84^6</f>
        <v>-6.556999715467799</v>
      </c>
      <c r="N84">
        <f>regressionsdep!$N$1*A84^2+regressionsdep!$N$2*A84^7</f>
        <v>-6.5222040636909124</v>
      </c>
      <c r="O84">
        <f>regressionsdep!R$2+regressionsdep!R$1*EXP(A84)</f>
        <v>-3.381732203891735</v>
      </c>
      <c r="P84" s="20">
        <f>(1-EXP(-2*regressionsdep!V$1*graphdep!A84))/2/EXP(-regressionsdep!V$1*A84)</f>
        <v>-5.9210799850453144</v>
      </c>
      <c r="AT84" s="33"/>
      <c r="AW84" s="33"/>
      <c r="AZ84" s="33"/>
    </row>
    <row r="85" spans="1:52" x14ac:dyDescent="0.35">
      <c r="A85">
        <f t="shared" si="7"/>
        <v>6.199999999999994</v>
      </c>
      <c r="B85">
        <f t="shared" si="4"/>
        <v>-6.0494114020355481</v>
      </c>
      <c r="C85">
        <f>regressionsdep!$AO$1*$A85</f>
        <v>6.5306634916533408</v>
      </c>
      <c r="D85">
        <f>regressionsdep!$AM$1*$A85</f>
        <v>8.8721510467130873</v>
      </c>
      <c r="E85">
        <f t="shared" si="5"/>
        <v>7.0119155812711336</v>
      </c>
      <c r="F85">
        <f t="shared" si="6"/>
        <v>-23.793713495461724</v>
      </c>
      <c r="G85" s="5">
        <f>B85-regressionsdep!Y$7</f>
        <v>-10.914169549872751</v>
      </c>
      <c r="H85" s="5">
        <f>B85+regressionsdep!Y$7</f>
        <v>-1.184653254198345</v>
      </c>
      <c r="I85">
        <f>IF($A85&lt;=regressionsdep!$J$2,$A85*regressionsdep!$J$1,regressionsdep!$J$1*regressionsdep!$J$2+regressionsdep!$J$3*($A85-regressionsdep!$J$2))</f>
        <v>-5.3320881181790929</v>
      </c>
      <c r="J85">
        <f>regressionsdep!H$1*A85+regressionsdep!H$2*A85^2</f>
        <v>-6.0273721149634074</v>
      </c>
      <c r="K85">
        <f>regressionsdep!$T$1*A85</f>
        <v>-5.3320881595210565</v>
      </c>
      <c r="L85">
        <f>regressionsdep!$L$1*A85^2</f>
        <v>-6.6892369456052094</v>
      </c>
      <c r="M85">
        <f>regressionsdep!$P$1*A85^2+regressionsdep!$P$2*A85^6</f>
        <v>-6.7307688561011574</v>
      </c>
      <c r="N85">
        <f>regressionsdep!$N$1*A85^2+regressionsdep!$N$2*A85^7</f>
        <v>-6.7107015322177821</v>
      </c>
      <c r="O85">
        <f>regressionsdep!R$2+regressionsdep!R$1*EXP(A85)</f>
        <v>-3.7381915756793012</v>
      </c>
      <c r="P85" s="20">
        <f>(1-EXP(-2*regressionsdep!V$1*graphdep!A85))/2/EXP(-regressionsdep!V$1*A85)</f>
        <v>-6.1700452547495619</v>
      </c>
      <c r="AT85" s="33"/>
      <c r="AW85" s="33"/>
      <c r="AZ85" s="33"/>
    </row>
    <row r="86" spans="1:52" x14ac:dyDescent="0.35">
      <c r="A86">
        <f t="shared" si="7"/>
        <v>6.2999999999999936</v>
      </c>
      <c r="B86">
        <f t="shared" si="4"/>
        <v>-6.210200205404397</v>
      </c>
      <c r="C86">
        <f>regressionsdep!$AO$1*$A86</f>
        <v>6.6359967737767818</v>
      </c>
      <c r="D86">
        <f>regressionsdep!$AM$1*$A86</f>
        <v>9.0152502571439435</v>
      </c>
      <c r="E86">
        <f t="shared" si="5"/>
        <v>7.0617933421491665</v>
      </c>
      <c r="F86">
        <f t="shared" si="6"/>
        <v>-24.240700719692285</v>
      </c>
      <c r="G86" s="5">
        <f>B86-regressionsdep!Y$7</f>
        <v>-11.0749583532416</v>
      </c>
      <c r="H86" s="5">
        <f>B86+regressionsdep!Y$7</f>
        <v>-1.3454420575671939</v>
      </c>
      <c r="I86">
        <f>IF($A86&lt;=regressionsdep!$J$2,$A86*regressionsdep!$J$1,regressionsdep!$J$1*regressionsdep!$J$2+regressionsdep!$J$3*($A86-regressionsdep!$J$2))</f>
        <v>-5.4180895394400457</v>
      </c>
      <c r="J86">
        <f>regressionsdep!H$1*A86+regressionsdep!H$2*A86^2</f>
        <v>-6.1657805965532537</v>
      </c>
      <c r="K86">
        <f>regressionsdep!$T$1*A86</f>
        <v>-5.4180895814488155</v>
      </c>
      <c r="L86">
        <f>regressionsdep!$L$1*A86^2</f>
        <v>-6.9067589586646916</v>
      </c>
      <c r="M86">
        <f>regressionsdep!$P$1*A86^2+regressionsdep!$P$2*A86^6</f>
        <v>-6.9030673907928648</v>
      </c>
      <c r="N86">
        <f>regressionsdep!$N$1*A86^2+regressionsdep!$N$2*A86^7</f>
        <v>-6.8990777229671973</v>
      </c>
      <c r="O86">
        <f>regressionsdep!R$2+regressionsdep!R$1*EXP(A86)</f>
        <v>-4.1321401068544343</v>
      </c>
      <c r="P86" s="20">
        <f>(1-EXP(-2*regressionsdep!V$1*graphdep!A86))/2/EXP(-regressionsdep!V$1*A86)</f>
        <v>-6.4291998161181123</v>
      </c>
      <c r="AT86" s="33"/>
      <c r="AW86" s="33"/>
      <c r="AZ86" s="33"/>
    </row>
    <row r="87" spans="1:52" x14ac:dyDescent="0.35">
      <c r="A87">
        <f t="shared" si="7"/>
        <v>6.3999999999999932</v>
      </c>
      <c r="B87">
        <f t="shared" si="4"/>
        <v>-6.3732774447733131</v>
      </c>
      <c r="C87">
        <f>regressionsdep!$AO$1*$A87</f>
        <v>6.7413300559002227</v>
      </c>
      <c r="D87">
        <f>regressionsdep!$AM$1*$A87</f>
        <v>9.1583494675747996</v>
      </c>
      <c r="E87">
        <f t="shared" si="5"/>
        <v>7.1093826670271323</v>
      </c>
      <c r="F87">
        <f t="shared" si="6"/>
        <v>-24.689976379922911</v>
      </c>
      <c r="G87" s="5">
        <f>B87-regressionsdep!Y$7</f>
        <v>-11.238035592610515</v>
      </c>
      <c r="H87" s="5">
        <f>B87+regressionsdep!Y$7</f>
        <v>-1.5085192969361101</v>
      </c>
      <c r="I87">
        <f>IF($A87&lt;=regressionsdep!$J$2,$A87*regressionsdep!$J$1,regressionsdep!$J$1*regressionsdep!$J$2+regressionsdep!$J$3*($A87-regressionsdep!$J$2))</f>
        <v>-5.5040909607009985</v>
      </c>
      <c r="J87">
        <f>regressionsdep!H$1*A87+regressionsdep!H$2*A87^2</f>
        <v>-6.3054967861531406</v>
      </c>
      <c r="K87">
        <f>regressionsdep!$T$1*A87</f>
        <v>-5.5040910033765735</v>
      </c>
      <c r="L87">
        <f>regressionsdep!$L$1*A87^2</f>
        <v>-7.1277613239331252</v>
      </c>
      <c r="M87">
        <f>regressionsdep!$P$1*A87^2+regressionsdep!$P$2*A87^6</f>
        <v>-7.0735432410632786</v>
      </c>
      <c r="N87">
        <f>regressionsdep!$N$1*A87^2+regressionsdep!$N$2*A87^7</f>
        <v>-7.0870167475626431</v>
      </c>
      <c r="O87">
        <f>regressionsdep!R$2+regressionsdep!R$1*EXP(A87)</f>
        <v>-4.5675205667278087</v>
      </c>
      <c r="P87" s="20">
        <f>(1-EXP(-2*regressionsdep!V$1*graphdep!A87))/2/EXP(-regressionsdep!V$1*A87)</f>
        <v>-6.6989716403088604</v>
      </c>
      <c r="AT87" s="33"/>
      <c r="AW87" s="33"/>
      <c r="AZ87" s="33"/>
    </row>
    <row r="88" spans="1:52" x14ac:dyDescent="0.35">
      <c r="A88">
        <f t="shared" si="7"/>
        <v>6.4999999999999929</v>
      </c>
      <c r="B88">
        <f t="shared" si="4"/>
        <v>-6.5386614009453314</v>
      </c>
      <c r="C88">
        <f>regressionsdep!$AO$1*$A88</f>
        <v>6.8466633380236628</v>
      </c>
      <c r="D88">
        <f>regressionsdep!$AM$1*$A88</f>
        <v>9.301448678005654</v>
      </c>
      <c r="E88">
        <f t="shared" si="5"/>
        <v>7.1546652751019941</v>
      </c>
      <c r="F88">
        <f t="shared" si="6"/>
        <v>-25.141558756956641</v>
      </c>
      <c r="G88" s="5">
        <f>B88-regressionsdep!Y$7</f>
        <v>-11.403419548782534</v>
      </c>
      <c r="H88" s="5">
        <f>B88+regressionsdep!Y$7</f>
        <v>-1.6739032531081284</v>
      </c>
      <c r="I88">
        <f>IF($A88&lt;=regressionsdep!$J$2,$A88*regressionsdep!$J$1,regressionsdep!$J$1*regressionsdep!$J$2+regressionsdep!$J$3*($A88-regressionsdep!$J$2))</f>
        <v>-5.5900923819619512</v>
      </c>
      <c r="J88">
        <f>regressionsdep!H$1*A88+regressionsdep!H$2*A88^2</f>
        <v>-6.4465206837630653</v>
      </c>
      <c r="K88">
        <f>regressionsdep!$T$1*A88</f>
        <v>-5.5900924253043325</v>
      </c>
      <c r="L88">
        <f>regressionsdep!$L$1*A88^2</f>
        <v>-7.3522440414105104</v>
      </c>
      <c r="M88">
        <f>regressionsdep!$P$1*A88^2+regressionsdep!$P$2*A88^6</f>
        <v>-7.2418271590422867</v>
      </c>
      <c r="N88">
        <f>regressionsdep!$N$1*A88^2+regressionsdep!$N$2*A88^7</f>
        <v>-7.2741820144083063</v>
      </c>
      <c r="O88">
        <f>regressionsdep!R$2+regressionsdep!R$1*EXP(A88)</f>
        <v>-5.0486903892782635</v>
      </c>
      <c r="P88" s="20">
        <f>(1-EXP(-2*regressionsdep!V$1*graphdep!A88))/2/EXP(-regressionsdep!V$1*A88)</f>
        <v>-6.9798062319633445</v>
      </c>
      <c r="AT88" s="33"/>
      <c r="AW88" s="33"/>
      <c r="AZ88" s="33"/>
    </row>
    <row r="89" spans="1:52" x14ac:dyDescent="0.35">
      <c r="A89">
        <f t="shared" si="7"/>
        <v>6.5999999999999925</v>
      </c>
      <c r="B89">
        <f t="shared" si="4"/>
        <v>-6.7063719498205607</v>
      </c>
      <c r="C89">
        <f>regressionsdep!$AO$1*$A89</f>
        <v>6.9519966201471037</v>
      </c>
      <c r="D89">
        <f>regressionsdep!$AM$1*$A89</f>
        <v>9.4445478884365102</v>
      </c>
      <c r="E89">
        <f t="shared" si="5"/>
        <v>7.1976212904736467</v>
      </c>
      <c r="F89">
        <f t="shared" si="6"/>
        <v>-25.595467726693581</v>
      </c>
      <c r="G89" s="5">
        <f>B89-regressionsdep!Y$7</f>
        <v>-11.571130097657765</v>
      </c>
      <c r="H89" s="5">
        <f>B89+regressionsdep!Y$7</f>
        <v>-1.8416138019833577</v>
      </c>
      <c r="I89">
        <f>IF($A89&lt;=regressionsdep!$J$2,$A89*regressionsdep!$J$1,regressionsdep!$J$1*regressionsdep!$J$2+regressionsdep!$J$3*($A89-regressionsdep!$J$2))</f>
        <v>-5.676093803222904</v>
      </c>
      <c r="J89">
        <f>regressionsdep!H$1*A89+regressionsdep!H$2*A89^2</f>
        <v>-6.5888522893830315</v>
      </c>
      <c r="K89">
        <f>regressionsdep!$T$1*A89</f>
        <v>-5.6760938472320914</v>
      </c>
      <c r="L89">
        <f>regressionsdep!$L$1*A89^2</f>
        <v>-7.5802071110968479</v>
      </c>
      <c r="M89">
        <f>regressionsdep!$P$1*A89^2+regressionsdep!$P$2*A89^6</f>
        <v>-7.4075321781295589</v>
      </c>
      <c r="N89">
        <f>regressionsdep!$N$1*A89^2+regressionsdep!$N$2*A89^7</f>
        <v>-7.4602152272595292</v>
      </c>
      <c r="O89">
        <f>regressionsdep!R$2+regressionsdep!R$1*EXP(A89)</f>
        <v>-5.580465283816646</v>
      </c>
      <c r="P89" s="20">
        <f>(1-EXP(-2*regressionsdep!V$1*graphdep!A89))/2/EXP(-regressionsdep!V$1*A89)</f>
        <v>-7.2721673649188103</v>
      </c>
      <c r="AT89" s="33"/>
      <c r="AW89" s="33"/>
      <c r="AZ89" s="33"/>
    </row>
    <row r="90" spans="1:52" x14ac:dyDescent="0.35">
      <c r="A90">
        <f t="shared" si="7"/>
        <v>6.6999999999999922</v>
      </c>
      <c r="B90">
        <f t="shared" si="4"/>
        <v>-6.8764308485056382</v>
      </c>
      <c r="C90">
        <f>regressionsdep!$AO$1*$A90</f>
        <v>7.0573299022705447</v>
      </c>
      <c r="D90">
        <f>regressionsdep!$AM$1*$A90</f>
        <v>9.5876470988673663</v>
      </c>
      <c r="E90">
        <f t="shared" si="5"/>
        <v>7.2382289560354511</v>
      </c>
      <c r="F90">
        <f t="shared" si="6"/>
        <v>-26.051725046240371</v>
      </c>
      <c r="G90" s="5">
        <f>B90-regressionsdep!Y$7</f>
        <v>-11.741188996342842</v>
      </c>
      <c r="H90" s="5">
        <f>B90+regressionsdep!Y$7</f>
        <v>-2.0116727006684352</v>
      </c>
      <c r="I90">
        <f>IF($A90&lt;=regressionsdep!$J$2,$A90*regressionsdep!$J$1,regressionsdep!$J$1*regressionsdep!$J$2+regressionsdep!$J$3*($A90-regressionsdep!$J$2))</f>
        <v>-5.7620952244838568</v>
      </c>
      <c r="J90">
        <f>regressionsdep!H$1*A90+regressionsdep!H$2*A90^2</f>
        <v>-6.7324916030130364</v>
      </c>
      <c r="K90">
        <f>regressionsdep!$T$1*A90</f>
        <v>-5.7620952691598504</v>
      </c>
      <c r="L90">
        <f>regressionsdep!$L$1*A90^2</f>
        <v>-7.811650532992136</v>
      </c>
      <c r="M90">
        <f>regressionsdep!$P$1*A90^2+regressionsdep!$P$2*A90^6</f>
        <v>-7.5702530550037626</v>
      </c>
      <c r="N90">
        <f>regressionsdep!$N$1*A90^2+regressionsdep!$N$2*A90^7</f>
        <v>-7.644735352007074</v>
      </c>
      <c r="O90">
        <f>regressionsdep!R$2+regressionsdep!R$1*EXP(A90)</f>
        <v>-6.1681674322232105</v>
      </c>
      <c r="P90" s="20">
        <f>(1-EXP(-2*regressionsdep!V$1*graphdep!A90))/2/EXP(-regressionsdep!V$1*A90)</f>
        <v>-7.5765378480902692</v>
      </c>
      <c r="AT90" s="33"/>
      <c r="AW90" s="33"/>
      <c r="AZ90" s="33"/>
    </row>
    <row r="91" spans="1:52" x14ac:dyDescent="0.35">
      <c r="A91">
        <f t="shared" si="7"/>
        <v>6.7999999999999918</v>
      </c>
      <c r="B91">
        <f t="shared" si="4"/>
        <v>-7.0488620585714283</v>
      </c>
      <c r="C91">
        <f>regressionsdep!$AO$1*$A91</f>
        <v>7.1626631843939856</v>
      </c>
      <c r="D91">
        <f>regressionsdep!$AM$1*$A91</f>
        <v>9.7307463092982225</v>
      </c>
      <c r="E91">
        <f t="shared" si="5"/>
        <v>7.2764643102165429</v>
      </c>
      <c r="F91">
        <f t="shared" si="6"/>
        <v>-26.510354677167875</v>
      </c>
      <c r="G91" s="5">
        <f>B91-regressionsdep!Y$7</f>
        <v>-11.913620206408631</v>
      </c>
      <c r="H91" s="5">
        <f>B91+regressionsdep!Y$7</f>
        <v>-2.1841039107342253</v>
      </c>
      <c r="I91">
        <f>IF($A91&lt;=regressionsdep!$J$2,$A91*regressionsdep!$J$1,regressionsdep!$J$1*regressionsdep!$J$2+regressionsdep!$J$3*($A91-regressionsdep!$J$2))</f>
        <v>-5.8480966457448105</v>
      </c>
      <c r="J91">
        <f>regressionsdep!H$1*A91+regressionsdep!H$2*A91^2</f>
        <v>-6.877438624653081</v>
      </c>
      <c r="K91">
        <f>regressionsdep!$T$1*A91</f>
        <v>-5.8480966910876093</v>
      </c>
      <c r="L91">
        <f>regressionsdep!$L$1*A91^2</f>
        <v>-8.0465743070963764</v>
      </c>
      <c r="M91">
        <f>regressionsdep!$P$1*A91^2+regressionsdep!$P$2*A91^6</f>
        <v>-7.729565702980782</v>
      </c>
      <c r="N91">
        <f>regressionsdep!$N$1*A91^2+regressionsdep!$N$2*A91^7</f>
        <v>-7.8273375511786067</v>
      </c>
      <c r="O91">
        <f>regressionsdep!R$2+regressionsdep!R$1*EXP(A91)</f>
        <v>-6.8176787551327234</v>
      </c>
      <c r="P91" s="20">
        <f>(1-EXP(-2*regressionsdep!V$1*graphdep!A91))/2/EXP(-regressionsdep!V$1*A91)</f>
        <v>-7.893420322787299</v>
      </c>
      <c r="AT91" s="33"/>
      <c r="AW91" s="33"/>
      <c r="AZ91" s="33"/>
    </row>
    <row r="92" spans="1:52" x14ac:dyDescent="0.35">
      <c r="A92">
        <f t="shared" si="7"/>
        <v>6.8999999999999915</v>
      </c>
      <c r="B92">
        <f t="shared" si="4"/>
        <v>-7.2236921105005614</v>
      </c>
      <c r="C92">
        <f>regressionsdep!$AO$1*$A92</f>
        <v>7.2679964665174257</v>
      </c>
      <c r="D92">
        <f>regressionsdep!$AM$1*$A92</f>
        <v>9.8738455197290786</v>
      </c>
      <c r="E92">
        <f t="shared" si="5"/>
        <v>7.31230082253429</v>
      </c>
      <c r="F92">
        <f t="shared" si="6"/>
        <v>-26.971383149958719</v>
      </c>
      <c r="G92" s="5">
        <f>B92-regressionsdep!Y$7</f>
        <v>-12.088450258337765</v>
      </c>
      <c r="H92" s="5">
        <f>B92+regressionsdep!Y$7</f>
        <v>-2.3589339626633583</v>
      </c>
      <c r="I92">
        <f>IF($A92&lt;=regressionsdep!$J$2,$A92*regressionsdep!$J$1,regressionsdep!$J$1*regressionsdep!$J$2+regressionsdep!$J$3*($A92-regressionsdep!$J$2))</f>
        <v>-5.9340980670057633</v>
      </c>
      <c r="J92">
        <f>regressionsdep!H$1*A92+regressionsdep!H$2*A92^2</f>
        <v>-7.0236933543031643</v>
      </c>
      <c r="K92">
        <f>regressionsdep!$T$1*A92</f>
        <v>-5.9340981130153674</v>
      </c>
      <c r="L92">
        <f>regressionsdep!$L$1*A92^2</f>
        <v>-8.2849784334095702</v>
      </c>
      <c r="M92">
        <f>regressionsdep!$P$1*A92^2+regressionsdep!$P$2*A92^6</f>
        <v>-7.8850266167209062</v>
      </c>
      <c r="N92">
        <f>regressionsdep!$N$1*A92^2+regressionsdep!$N$2*A92^7</f>
        <v>-8.0075920856606686</v>
      </c>
      <c r="O92">
        <f>regressionsdep!R$2+regressionsdep!R$1*EXP(A92)</f>
        <v>-7.5354997801731578</v>
      </c>
      <c r="P92" s="20">
        <f>(1-EXP(-2*regressionsdep!V$1*graphdep!A92))/2/EXP(-regressionsdep!V$1*A92)</f>
        <v>-8.2233380927823543</v>
      </c>
      <c r="AT92" s="33"/>
      <c r="AW92" s="33"/>
      <c r="AZ92" s="33"/>
    </row>
    <row r="93" spans="1:52" x14ac:dyDescent="0.35">
      <c r="A93">
        <f t="shared" si="7"/>
        <v>6.9999999999999911</v>
      </c>
      <c r="B93">
        <f t="shared" si="4"/>
        <v>-7.4009505137847427</v>
      </c>
      <c r="C93">
        <f>regressionsdep!$AO$1*$A93</f>
        <v>7.3733297486408667</v>
      </c>
      <c r="D93">
        <f>regressionsdep!$AM$1*$A93</f>
        <v>10.016944730159935</v>
      </c>
      <c r="E93">
        <f t="shared" si="5"/>
        <v>7.3457089834969906</v>
      </c>
      <c r="F93">
        <f t="shared" si="6"/>
        <v>-27.434839974104612</v>
      </c>
      <c r="G93" s="5">
        <f>B93-regressionsdep!Y$7</f>
        <v>-12.265708661621947</v>
      </c>
      <c r="H93" s="5">
        <f>B93+regressionsdep!Y$7</f>
        <v>-2.5361923659475396</v>
      </c>
      <c r="I93">
        <f>IF($A93&lt;=regressionsdep!$J$2,$A93*regressionsdep!$J$1,regressionsdep!$J$1*regressionsdep!$J$2+regressionsdep!$J$3*($A93-regressionsdep!$J$2))</f>
        <v>-6.020099488266716</v>
      </c>
      <c r="J93">
        <f>regressionsdep!H$1*A93+regressionsdep!H$2*A93^2</f>
        <v>-7.1712557919632873</v>
      </c>
      <c r="K93">
        <f>regressionsdep!$T$1*A93</f>
        <v>-6.0200995349431263</v>
      </c>
      <c r="L93">
        <f>regressionsdep!$L$1*A93^2</f>
        <v>-8.5268629119317136</v>
      </c>
      <c r="M93">
        <f>regressionsdep!$P$1*A93^2+regressionsdep!$P$2*A93^6</f>
        <v>-8.0361722882849893</v>
      </c>
      <c r="N93">
        <f>regressionsdep!$N$1*A93^2+regressionsdep!$N$2*A93^7</f>
        <v>-8.1850431831445345</v>
      </c>
      <c r="O93">
        <f>regressionsdep!R$2+regressionsdep!R$1*EXP(A93)</f>
        <v>-8.3288147014310994</v>
      </c>
      <c r="P93" s="20">
        <f>(1-EXP(-2*regressionsdep!V$1*graphdep!A93))/2/EXP(-regressionsdep!V$1*A93)</f>
        <v>-8.5668359885012944</v>
      </c>
      <c r="Q93" s="5"/>
      <c r="Y93" s="51"/>
      <c r="Z93" s="51"/>
      <c r="AA93" s="51"/>
      <c r="AO93" s="1"/>
      <c r="AP93" s="1"/>
      <c r="AT93" s="33"/>
      <c r="AW93" s="33"/>
      <c r="AZ93" s="33"/>
    </row>
    <row r="94" spans="1:52" x14ac:dyDescent="0.35">
      <c r="A94">
        <f t="shared" si="7"/>
        <v>7.0999999999999908</v>
      </c>
      <c r="B94">
        <f t="shared" si="4"/>
        <v>-7.5806702175934291</v>
      </c>
      <c r="C94">
        <f>regressionsdep!$AO$1*$A94</f>
        <v>7.4786630307643076</v>
      </c>
      <c r="D94">
        <f>regressionsdep!$AM$1*$A94</f>
        <v>10.160043940590789</v>
      </c>
      <c r="E94">
        <f t="shared" si="5"/>
        <v>7.3766558439351861</v>
      </c>
      <c r="F94">
        <f t="shared" si="6"/>
        <v>-27.900758098775007</v>
      </c>
      <c r="G94" s="5">
        <f>B94-regressionsdep!Y$7</f>
        <v>-12.445428365430633</v>
      </c>
      <c r="H94" s="5">
        <f>B94+regressionsdep!Y$7</f>
        <v>-2.715912069756226</v>
      </c>
      <c r="I94">
        <f>IF($A94&lt;=regressionsdep!$J$2,$A94*regressionsdep!$J$1,regressionsdep!$J$1*regressionsdep!$J$2+regressionsdep!$J$3*($A94-regressionsdep!$J$2))</f>
        <v>-6.1061009095276688</v>
      </c>
      <c r="J94">
        <f>regressionsdep!H$1*A94+regressionsdep!H$2*A94^2</f>
        <v>-7.3201259376334509</v>
      </c>
      <c r="K94">
        <f>regressionsdep!$T$1*A94</f>
        <v>-6.1061009568708853</v>
      </c>
      <c r="L94">
        <f>regressionsdep!$L$1*A94^2</f>
        <v>-8.7722277426628086</v>
      </c>
      <c r="M94">
        <f>regressionsdep!$P$1*A94^2+regressionsdep!$P$2*A94^6</f>
        <v>-8.182518614539612</v>
      </c>
      <c r="N94">
        <f>regressionsdep!$N$1*A94^2+regressionsdep!$N$2*A94^7</f>
        <v>-8.3592078727992813</v>
      </c>
      <c r="O94">
        <f>regressionsdep!R$2+regressionsdep!R$1*EXP(A94)</f>
        <v>-9.2055632812808437</v>
      </c>
      <c r="P94" s="20">
        <f>(1-EXP(-2*regressionsdep!V$1*graphdep!A94))/2/EXP(-regressionsdep!V$1*A94)</f>
        <v>-8.9244812667633209</v>
      </c>
      <c r="Q94" s="5"/>
      <c r="AT94" s="33"/>
      <c r="AW94" s="33"/>
      <c r="AZ94" s="33"/>
    </row>
    <row r="95" spans="1:52" x14ac:dyDescent="0.35">
      <c r="A95">
        <f t="shared" si="7"/>
        <v>7.1999999999999904</v>
      </c>
      <c r="B95">
        <f t="shared" si="4"/>
        <v>-7.7628881274452262</v>
      </c>
      <c r="C95">
        <f>regressionsdep!$AO$1*$A95</f>
        <v>7.5839963128877477</v>
      </c>
      <c r="D95">
        <f>regressionsdep!$AM$1*$A95</f>
        <v>10.303143151021645</v>
      </c>
      <c r="E95">
        <f t="shared" si="5"/>
        <v>7.4051044983302692</v>
      </c>
      <c r="F95">
        <f t="shared" si="6"/>
        <v>-28.369174429488517</v>
      </c>
      <c r="G95" s="5">
        <f>B95-regressionsdep!Y$7</f>
        <v>-12.62764627528243</v>
      </c>
      <c r="H95" s="5">
        <f>B95+regressionsdep!Y$7</f>
        <v>-2.8981299796080231</v>
      </c>
      <c r="I95">
        <f>IF($A95&lt;=regressionsdep!$J$2,$A95*regressionsdep!$J$1,regressionsdep!$J$1*regressionsdep!$J$2+regressionsdep!$J$3*($A95-regressionsdep!$J$2))</f>
        <v>-6.1921023307886216</v>
      </c>
      <c r="J95">
        <f>regressionsdep!H$1*A95+regressionsdep!H$2*A95^2</f>
        <v>-7.4703037913136523</v>
      </c>
      <c r="K95">
        <f>regressionsdep!$T$1*A95</f>
        <v>-6.1921023787986442</v>
      </c>
      <c r="L95">
        <f>regressionsdep!$L$1*A95^2</f>
        <v>-9.0210729256028568</v>
      </c>
      <c r="M95">
        <f>regressionsdep!$P$1*A95^2+regressionsdep!$P$2*A95^6</f>
        <v>-8.3235602959112001</v>
      </c>
      <c r="N95">
        <f>regressionsdep!$N$1*A95^2+regressionsdep!$N$2*A95^7</f>
        <v>-8.5295747856753792</v>
      </c>
      <c r="O95">
        <f>regressionsdep!R$2+regressionsdep!R$1*EXP(A95)</f>
        <v>-10.174520314194909</v>
      </c>
      <c r="P95" s="20">
        <f>(1-EXP(-2*regressionsdep!V$1*graphdep!A95))/2/EXP(-regressionsdep!V$1*A95)</f>
        <v>-9.2968645475561527</v>
      </c>
      <c r="Q95" s="5"/>
      <c r="AE95" s="58"/>
      <c r="AO95" s="1"/>
      <c r="AP95" s="1"/>
      <c r="AT95" s="33"/>
      <c r="AW95" s="33"/>
      <c r="AZ95" s="33"/>
    </row>
    <row r="96" spans="1:52" x14ac:dyDescent="0.35">
      <c r="A96">
        <f t="shared" si="7"/>
        <v>7.2999999999999901</v>
      </c>
      <c r="B96">
        <f t="shared" si="4"/>
        <v>-7.9476456838761393</v>
      </c>
      <c r="C96">
        <f>regressionsdep!$AO$1*$A96</f>
        <v>7.6893295950111886</v>
      </c>
      <c r="D96">
        <f>regressionsdep!$AM$1*$A96</f>
        <v>10.446242361452502</v>
      </c>
      <c r="E96">
        <f t="shared" si="5"/>
        <v>7.4310135061462379</v>
      </c>
      <c r="F96">
        <f t="shared" si="6"/>
        <v>-28.840130406781142</v>
      </c>
      <c r="G96" s="5">
        <f>B96-regressionsdep!Y$7</f>
        <v>-12.812403831713343</v>
      </c>
      <c r="H96" s="5">
        <f>B96+regressionsdep!Y$7</f>
        <v>-3.0828875360389363</v>
      </c>
      <c r="I96">
        <f>IF($A96&lt;=regressionsdep!$J$2,$A96*regressionsdep!$J$1,regressionsdep!$J$1*regressionsdep!$J$2+regressionsdep!$J$3*($A96-regressionsdep!$J$2))</f>
        <v>-6.2781037520495744</v>
      </c>
      <c r="J96">
        <f>regressionsdep!H$1*A96+regressionsdep!H$2*A96^2</f>
        <v>-7.6217893530038943</v>
      </c>
      <c r="K96">
        <f>regressionsdep!$T$1*A96</f>
        <v>-6.2781038007264023</v>
      </c>
      <c r="L96">
        <f>regressionsdep!$L$1*A96^2</f>
        <v>-9.2733984607518565</v>
      </c>
      <c r="M96">
        <f>regressionsdep!$P$1*A96^2+regressionsdep!$P$2*A96^6</f>
        <v>-8.4587702264891416</v>
      </c>
      <c r="N96">
        <f>regressionsdep!$N$1*A96^2+regressionsdep!$N$2*A96^7</f>
        <v>-8.6956029203421981</v>
      </c>
      <c r="O96">
        <f>regressionsdep!R$2+regressionsdep!R$1*EXP(A96)</f>
        <v>-11.245383447836401</v>
      </c>
      <c r="P96" s="20">
        <f>(1-EXP(-2*regressionsdep!V$1*graphdep!A96))/2/EXP(-regressionsdep!V$1*A96)</f>
        <v>-9.6846007893934214</v>
      </c>
      <c r="Q96" s="5"/>
      <c r="AT96" s="33"/>
      <c r="AW96" s="33"/>
      <c r="AZ96" s="33"/>
    </row>
    <row r="97" spans="1:52" x14ac:dyDescent="0.35">
      <c r="A97">
        <f t="shared" si="7"/>
        <v>7.3999999999999897</v>
      </c>
      <c r="B97">
        <f t="shared" si="4"/>
        <v>-8.1349895097202243</v>
      </c>
      <c r="C97">
        <f>regressionsdep!$AO$1*$A97</f>
        <v>7.7946628771346296</v>
      </c>
      <c r="D97">
        <f>regressionsdep!$AM$1*$A97</f>
        <v>10.589341571883358</v>
      </c>
      <c r="E97">
        <f t="shared" si="5"/>
        <v>7.4543362445490349</v>
      </c>
      <c r="F97">
        <f t="shared" si="6"/>
        <v>-29.31367265348694</v>
      </c>
      <c r="G97" s="5">
        <f>B97-regressionsdep!Y$7</f>
        <v>-12.999747657557428</v>
      </c>
      <c r="H97" s="5">
        <f>B97+regressionsdep!Y$7</f>
        <v>-3.2702313618830212</v>
      </c>
      <c r="I97">
        <f>IF($A97&lt;=regressionsdep!$J$2,$A97*regressionsdep!$J$1,regressionsdep!$J$1*regressionsdep!$J$2+regressionsdep!$J$3*($A97-regressionsdep!$J$2))</f>
        <v>-6.3641051733105272</v>
      </c>
      <c r="J97">
        <f>regressionsdep!H$1*A97+regressionsdep!H$2*A97^2</f>
        <v>-7.774582622704175</v>
      </c>
      <c r="K97">
        <f>regressionsdep!$T$1*A97</f>
        <v>-6.3641052226541612</v>
      </c>
      <c r="L97">
        <f>regressionsdep!$L$1*A97^2</f>
        <v>-9.5292043481098059</v>
      </c>
      <c r="M97">
        <f>regressionsdep!$P$1*A97^2+regressionsdep!$P$2*A97^6</f>
        <v>-8.5875988754778714</v>
      </c>
      <c r="N97">
        <f>regressionsdep!$N$1*A97^2+regressionsdep!$N$2*A97^7</f>
        <v>-8.8567203732627195</v>
      </c>
      <c r="O97">
        <f>regressionsdep!R$2+regressionsdep!R$1*EXP(A97)</f>
        <v>-12.428870240376334</v>
      </c>
      <c r="P97" s="20">
        <f>(1-EXP(-2*regressionsdep!V$1*graphdep!A97))/2/EXP(-regressionsdep!V$1*A97)</f>
        <v>-10.08833030486503</v>
      </c>
      <c r="Q97" s="5"/>
      <c r="AT97" s="33"/>
      <c r="AW97" s="33"/>
      <c r="AZ97" s="33"/>
    </row>
    <row r="98" spans="1:52" x14ac:dyDescent="0.35">
      <c r="A98">
        <f t="shared" si="7"/>
        <v>7.4999999999999893</v>
      </c>
      <c r="B98">
        <f t="shared" si="4"/>
        <v>-8.3249721333042555</v>
      </c>
      <c r="C98">
        <f>regressionsdep!$AO$1*$A98</f>
        <v>7.8999961592580705</v>
      </c>
      <c r="D98">
        <f>regressionsdep!$AM$1*$A98</f>
        <v>10.732440782314214</v>
      </c>
      <c r="E98">
        <f t="shared" si="5"/>
        <v>7.4750201852118856</v>
      </c>
      <c r="F98">
        <f t="shared" si="6"/>
        <v>-29.789853697932685</v>
      </c>
      <c r="G98" s="5">
        <f>B98-regressionsdep!Y$7</f>
        <v>-13.189730281141458</v>
      </c>
      <c r="H98" s="5">
        <f>B98+regressionsdep!Y$7</f>
        <v>-3.4602139854670524</v>
      </c>
      <c r="I98">
        <f>IF($A98&lt;=regressionsdep!$J$2,$A98*regressionsdep!$J$1,regressionsdep!$J$1*regressionsdep!$J$2+regressionsdep!$J$3*($A98-regressionsdep!$J$2))</f>
        <v>-6.4501065945714799</v>
      </c>
      <c r="J98">
        <f>regressionsdep!H$1*A98+regressionsdep!H$2*A98^2</f>
        <v>-7.9286836004144963</v>
      </c>
      <c r="K98">
        <f>regressionsdep!$T$1*A98</f>
        <v>-6.4501066445819202</v>
      </c>
      <c r="L98">
        <f>regressionsdep!$L$1*A98^2</f>
        <v>-9.7884905876767103</v>
      </c>
      <c r="M98">
        <f>regressionsdep!$P$1*A98^2+regressionsdep!$P$2*A98^6</f>
        <v>-8.7094736599979488</v>
      </c>
      <c r="N98">
        <f>regressionsdep!$N$1*A98^2+regressionsdep!$N$2*A98^7</f>
        <v>-9.0123230334088547</v>
      </c>
      <c r="O98">
        <f>regressionsdep!R$2+regressionsdep!R$1*EXP(A98)</f>
        <v>-13.736825425418093</v>
      </c>
      <c r="P98" s="20">
        <f>(1-EXP(-2*regressionsdep!V$1*graphdep!A98))/2/EXP(-regressionsdep!V$1*A98)</f>
        <v>-10.508719818057566</v>
      </c>
      <c r="Q98" s="5"/>
      <c r="AT98" s="33"/>
      <c r="AW98" s="33"/>
      <c r="AZ98" s="33"/>
    </row>
    <row r="99" spans="1:52" x14ac:dyDescent="0.35">
      <c r="A99">
        <f t="shared" si="7"/>
        <v>7.599999999999989</v>
      </c>
      <c r="B99">
        <f t="shared" si="4"/>
        <v>-8.5176527956157493</v>
      </c>
      <c r="C99">
        <f>regressionsdep!$AO$1*$A99</f>
        <v>8.0053294413815106</v>
      </c>
      <c r="D99">
        <f>regressionsdep!$AM$1*$A99</f>
        <v>10.87553999274507</v>
      </c>
      <c r="E99">
        <f t="shared" si="5"/>
        <v>7.4930060871472719</v>
      </c>
      <c r="F99">
        <f t="shared" si="6"/>
        <v>-30.268732781105889</v>
      </c>
      <c r="G99" s="5">
        <f>B99-regressionsdep!Y$7</f>
        <v>-13.382410943452953</v>
      </c>
      <c r="H99" s="5">
        <f>B99+regressionsdep!Y$7</f>
        <v>-3.6528946477785462</v>
      </c>
      <c r="I99">
        <f>IF($A99&lt;=regressionsdep!$J$2,$A99*regressionsdep!$J$1,regressionsdep!$J$1*regressionsdep!$J$2+regressionsdep!$J$3*($A99-regressionsdep!$J$2))</f>
        <v>-6.5361080158324327</v>
      </c>
      <c r="J99">
        <f>regressionsdep!H$1*A99+regressionsdep!H$2*A99^2</f>
        <v>-8.0840922861348563</v>
      </c>
      <c r="K99">
        <f>regressionsdep!$T$1*A99</f>
        <v>-6.5361080665096791</v>
      </c>
      <c r="L99">
        <f>regressionsdep!$L$1*A99^2</f>
        <v>-10.051257179452563</v>
      </c>
      <c r="M99">
        <f>regressionsdep!$P$1*A99^2+regressionsdep!$P$2*A99^6</f>
        <v>-8.8237983092360981</v>
      </c>
      <c r="N99">
        <f>regressionsdep!$N$1*A99^2+regressionsdep!$N$2*A99^7</f>
        <v>-9.1617732406206311</v>
      </c>
      <c r="O99">
        <f>regressionsdep!R$2+regressionsdep!R$1*EXP(A99)</f>
        <v>-15.182339458072498</v>
      </c>
      <c r="P99" s="20">
        <f>(1-EXP(-2*regressionsdep!V$1*graphdep!A99))/2/EXP(-regressionsdep!V$1*A99)</f>
        <v>-10.94646356559096</v>
      </c>
      <c r="Q99" s="5"/>
      <c r="AT99" s="33"/>
      <c r="AW99" s="33"/>
      <c r="AZ99" s="33"/>
    </row>
    <row r="100" spans="1:52" x14ac:dyDescent="0.35">
      <c r="A100">
        <f t="shared" si="7"/>
        <v>7.6999999999999886</v>
      </c>
      <c r="B100">
        <f t="shared" si="4"/>
        <v>-8.7130983503402799</v>
      </c>
      <c r="C100">
        <f>regressionsdep!$AO$1*$A100</f>
        <v>8.1106627235049515</v>
      </c>
      <c r="D100">
        <f>regressionsdep!$AM$1*$A100</f>
        <v>11.018639203175924</v>
      </c>
      <c r="E100">
        <f t="shared" si="5"/>
        <v>7.5082270966696232</v>
      </c>
      <c r="F100">
        <f t="shared" si="6"/>
        <v>-30.750376756692127</v>
      </c>
      <c r="G100" s="5">
        <f>B100-regressionsdep!Y$7</f>
        <v>-13.577856498177482</v>
      </c>
      <c r="H100" s="5">
        <f>B100+regressionsdep!Y$7</f>
        <v>-3.8483402025030768</v>
      </c>
      <c r="I100">
        <f>IF($A100&lt;=regressionsdep!$J$2,$A100*regressionsdep!$J$1,regressionsdep!$J$1*regressionsdep!$J$2+regressionsdep!$J$3*($A100-regressionsdep!$J$2))</f>
        <v>-6.6221094370933864</v>
      </c>
      <c r="J100">
        <f>regressionsdep!H$1*A100+regressionsdep!H$2*A100^2</f>
        <v>-8.2408086798652551</v>
      </c>
      <c r="K100">
        <f>regressionsdep!$T$1*A100</f>
        <v>-6.6221094884374381</v>
      </c>
      <c r="L100">
        <f>regressionsdep!$L$1*A100^2</f>
        <v>-10.317504123437368</v>
      </c>
      <c r="M100">
        <f>regressionsdep!$P$1*A100^2+regressionsdep!$P$2*A100^6</f>
        <v>-8.9299522199442443</v>
      </c>
      <c r="N100">
        <f>regressionsdep!$N$1*A100^2+regressionsdep!$N$2*A100^7</f>
        <v>-9.3043984072126662</v>
      </c>
      <c r="O100">
        <f>regressionsdep!R$2+regressionsdep!R$1*EXP(A100)</f>
        <v>-16.779879528632396</v>
      </c>
      <c r="P100" s="20">
        <f>(1-EXP(-2*regressionsdep!V$1*graphdep!A100))/2/EXP(-regressionsdep!V$1*A100)</f>
        <v>-11.402284443089753</v>
      </c>
      <c r="Q100" s="5"/>
      <c r="AT100" s="33"/>
      <c r="AW100" s="33"/>
      <c r="AZ100" s="33"/>
    </row>
    <row r="101" spans="1:52" x14ac:dyDescent="0.35">
      <c r="A101">
        <f t="shared" si="7"/>
        <v>7.7999999999999883</v>
      </c>
      <c r="B101">
        <f t="shared" si="4"/>
        <v>-8.9113842665880689</v>
      </c>
      <c r="C101">
        <f>regressionsdep!$AO$1*$A101</f>
        <v>8.2159960056283925</v>
      </c>
      <c r="D101">
        <f>regressionsdep!$AM$1*$A101</f>
        <v>11.161738413606781</v>
      </c>
      <c r="E101">
        <f t="shared" si="5"/>
        <v>7.5206077446687161</v>
      </c>
      <c r="F101">
        <f t="shared" si="6"/>
        <v>-31.23486109380163</v>
      </c>
      <c r="G101" s="5">
        <f>B101-regressionsdep!Y$7</f>
        <v>-13.776142414425273</v>
      </c>
      <c r="H101" s="5">
        <f>B101+regressionsdep!Y$7</f>
        <v>-4.0466261187508659</v>
      </c>
      <c r="I101">
        <f>IF($A101&lt;=regressionsdep!$J$2,$A101*regressionsdep!$J$1,regressionsdep!$J$1*regressionsdep!$J$2+regressionsdep!$J$3*($A101-regressionsdep!$J$2))</f>
        <v>-6.7081108583543392</v>
      </c>
      <c r="J101">
        <f>regressionsdep!H$1*A101+regressionsdep!H$2*A101^2</f>
        <v>-8.3988327816056945</v>
      </c>
      <c r="K101">
        <f>regressionsdep!$T$1*A101</f>
        <v>-6.7081109103651961</v>
      </c>
      <c r="L101">
        <f>regressionsdep!$L$1*A101^2</f>
        <v>-10.587231419631127</v>
      </c>
      <c r="M101">
        <f>regressionsdep!$P$1*A101^2+regressionsdep!$P$2*A101^6</f>
        <v>-9.0272898032875339</v>
      </c>
      <c r="N101">
        <f>regressionsdep!$N$1*A101^2+regressionsdep!$N$2*A101^7</f>
        <v>-9.4394896023312231</v>
      </c>
      <c r="O101">
        <f>regressionsdep!R$2+regressionsdep!R$1*EXP(A101)</f>
        <v>-18.545434355075713</v>
      </c>
      <c r="P101" s="20">
        <f>(1-EXP(-2*regressionsdep!V$1*graphdep!A101))/2/EXP(-regressionsdep!V$1*A101)</f>
        <v>-11.876935198982162</v>
      </c>
      <c r="Q101" s="5"/>
      <c r="AT101" s="33"/>
      <c r="AW101" s="33"/>
      <c r="AZ101" s="33"/>
    </row>
    <row r="102" spans="1:52" x14ac:dyDescent="0.35">
      <c r="A102">
        <f t="shared" si="7"/>
        <v>7.8999999999999879</v>
      </c>
      <c r="B102">
        <f t="shared" si="4"/>
        <v>-9.112595745150168</v>
      </c>
      <c r="C102">
        <f>regressionsdep!$AO$1*$A102</f>
        <v>8.3213292877518334</v>
      </c>
      <c r="D102">
        <f>regressionsdep!$AM$1*$A102</f>
        <v>11.304837624037637</v>
      </c>
      <c r="E102">
        <f t="shared" si="5"/>
        <v>7.5300628303534989</v>
      </c>
      <c r="F102">
        <f t="shared" si="6"/>
        <v>-31.722270993225443</v>
      </c>
      <c r="G102" s="5">
        <f>B102-regressionsdep!Y$7</f>
        <v>-13.97735389298737</v>
      </c>
      <c r="H102" s="5">
        <f>B102+regressionsdep!Y$7</f>
        <v>-4.247837597312965</v>
      </c>
      <c r="I102">
        <f>IF($A102&lt;=regressionsdep!$J$2,$A102*regressionsdep!$J$1,regressionsdep!$J$1*regressionsdep!$J$2+regressionsdep!$J$3*($A102-regressionsdep!$J$2))</f>
        <v>-6.794112279615292</v>
      </c>
      <c r="J102">
        <f>regressionsdep!H$1*A102+regressionsdep!H$2*A102^2</f>
        <v>-8.5581645913561744</v>
      </c>
      <c r="K102">
        <f>regressionsdep!$T$1*A102</f>
        <v>-6.7941123322929551</v>
      </c>
      <c r="L102">
        <f>regressionsdep!$L$1*A102^2</f>
        <v>-10.860439068033836</v>
      </c>
      <c r="M102">
        <f>regressionsdep!$P$1*A102^2+regressionsdep!$P$2*A102^6</f>
        <v>-9.1151398230413072</v>
      </c>
      <c r="N102">
        <f>regressionsdep!$N$1*A102^2+regressionsdep!$N$2*A102^7</f>
        <v>-9.5663000985652058</v>
      </c>
      <c r="O102">
        <f>regressionsdep!R$2+regressionsdep!R$1*EXP(A102)</f>
        <v>-20.496674203528965</v>
      </c>
      <c r="P102" s="20">
        <f>(1-EXP(-2*regressionsdep!V$1*graphdep!A102))/2/EXP(-regressionsdep!V$1*A102)</f>
        <v>-12.371199677598451</v>
      </c>
      <c r="Q102" s="5"/>
      <c r="AT102" s="33"/>
      <c r="AW102" s="33"/>
      <c r="AZ102" s="33"/>
    </row>
    <row r="103" spans="1:52" x14ac:dyDescent="0.35">
      <c r="A103">
        <f t="shared" si="7"/>
        <v>7.9999999999999876</v>
      </c>
      <c r="B103">
        <f t="shared" si="4"/>
        <v>-9.316828960251625</v>
      </c>
      <c r="C103">
        <f>regressionsdep!$AO$1*$A103</f>
        <v>8.4266625698752744</v>
      </c>
      <c r="D103">
        <f>regressionsdep!$AM$1*$A103</f>
        <v>11.447936834468493</v>
      </c>
      <c r="E103">
        <f t="shared" si="5"/>
        <v>7.5364961794989238</v>
      </c>
      <c r="F103">
        <f t="shared" si="6"/>
        <v>-32.212702629188612</v>
      </c>
      <c r="G103" s="5">
        <f>B103-regressionsdep!Y$7</f>
        <v>-14.181587108088827</v>
      </c>
      <c r="H103" s="5">
        <f>B103+regressionsdep!Y$7</f>
        <v>-4.4520708124144219</v>
      </c>
      <c r="I103">
        <f>IF($A103&lt;=regressionsdep!$J$2,$A103*regressionsdep!$J$1,regressionsdep!$J$1*regressionsdep!$J$2+regressionsdep!$J$3*($A103-regressionsdep!$J$2))</f>
        <v>-6.8801137008762447</v>
      </c>
      <c r="J103">
        <f>regressionsdep!H$1*A103+regressionsdep!H$2*A103^2</f>
        <v>-8.7188041091166912</v>
      </c>
      <c r="K103">
        <f>regressionsdep!$T$1*A103</f>
        <v>-6.880113754220714</v>
      </c>
      <c r="L103">
        <f>regressionsdep!$L$1*A103^2</f>
        <v>-11.137127068645498</v>
      </c>
      <c r="M103">
        <f>regressionsdep!$P$1*A103^2+regressionsdep!$P$2*A103^6</f>
        <v>-9.1928047251370852</v>
      </c>
      <c r="N103">
        <f>regressionsdep!$N$1*A103^2+regressionsdep!$N$2*A103^7</f>
        <v>-9.6840438803144213</v>
      </c>
      <c r="O103">
        <f>regressionsdep!R$2+regressionsdep!R$1*EXP(A103)</f>
        <v>-22.653127738229834</v>
      </c>
      <c r="P103" s="20">
        <f>(1-EXP(-2*regressionsdep!V$1*graphdep!A103))/2/EXP(-regressionsdep!V$1*A103)</f>
        <v>-12.88589411362152</v>
      </c>
      <c r="Q103" s="5"/>
      <c r="AT103" s="33"/>
      <c r="AW103" s="33"/>
      <c r="AZ103" s="33"/>
    </row>
    <row r="104" spans="1:52" x14ac:dyDescent="0.35">
      <c r="A104">
        <f t="shared" si="7"/>
        <v>8.0999999999999872</v>
      </c>
      <c r="B104">
        <f t="shared" si="4"/>
        <v>-9.5241924400137155</v>
      </c>
      <c r="C104">
        <f>regressionsdep!$AO$1*$A104</f>
        <v>8.5319958519987136</v>
      </c>
      <c r="D104">
        <f>regressionsdep!$AM$1*$A104</f>
        <v>11.591036044899349</v>
      </c>
      <c r="E104">
        <f t="shared" si="5"/>
        <v>7.5397992639837117</v>
      </c>
      <c r="F104">
        <f t="shared" si="6"/>
        <v>-32.706264529812415</v>
      </c>
      <c r="G104" s="5">
        <f>B104-regressionsdep!Y$7</f>
        <v>-14.388950587850918</v>
      </c>
      <c r="H104" s="5">
        <f>B104+regressionsdep!Y$7</f>
        <v>-4.6594342921765124</v>
      </c>
      <c r="I104">
        <f>IF($A104&lt;=regressionsdep!$J$2,$A104*regressionsdep!$J$1,regressionsdep!$J$1*regressionsdep!$J$2+regressionsdep!$J$3*($A104-regressionsdep!$J$2))</f>
        <v>-6.9661151221371975</v>
      </c>
      <c r="J104">
        <f>regressionsdep!H$1*A104+regressionsdep!H$2*A104^2</f>
        <v>-8.8807513348872487</v>
      </c>
      <c r="K104">
        <f>regressionsdep!$T$1*A104</f>
        <v>-6.966115176148473</v>
      </c>
      <c r="L104">
        <f>regressionsdep!$L$1*A104^2</f>
        <v>-11.417295421466109</v>
      </c>
      <c r="M104">
        <f>regressionsdep!$P$1*A104^2+regressionsdep!$P$2*A104^6</f>
        <v>-9.2595599585575137</v>
      </c>
      <c r="N104">
        <f>regressionsdep!$N$1*A104^2+regressionsdep!$N$2*A104^7</f>
        <v>-9.7918941134184898</v>
      </c>
      <c r="O104">
        <f>regressionsdep!R$2+regressionsdep!R$1*EXP(A104)</f>
        <v>-25.03637747096267</v>
      </c>
      <c r="P104" s="20">
        <f>(1-EXP(-2*regressionsdep!V$1*graphdep!A104))/2/EXP(-regressionsdep!V$1*A104)</f>
        <v>-13.421868480027257</v>
      </c>
      <c r="Q104" s="5"/>
      <c r="AT104" s="33"/>
      <c r="AW104" s="33"/>
      <c r="AZ104" s="33"/>
    </row>
    <row r="105" spans="1:52" x14ac:dyDescent="0.35">
      <c r="A105">
        <f t="shared" si="7"/>
        <v>8.1999999999999869</v>
      </c>
      <c r="B105">
        <f t="shared" si="4"/>
        <v>-9.7348086002121441</v>
      </c>
      <c r="C105">
        <f>regressionsdep!$AO$1*$A105</f>
        <v>8.6373291341221545</v>
      </c>
      <c r="D105">
        <f>regressionsdep!$AM$1*$A105</f>
        <v>11.734135255330205</v>
      </c>
      <c r="E105">
        <f t="shared" si="5"/>
        <v>7.5398496680321649</v>
      </c>
      <c r="F105">
        <f t="shared" si="6"/>
        <v>-33.203079110872551</v>
      </c>
      <c r="G105" s="5">
        <f>B105-regressionsdep!Y$7</f>
        <v>-14.599566748049348</v>
      </c>
      <c r="H105" s="5">
        <f>B105+regressionsdep!Y$7</f>
        <v>-4.8700504523749411</v>
      </c>
      <c r="I105">
        <f>IF($A105&lt;=regressionsdep!$J$2,$A105*regressionsdep!$J$1,regressionsdep!$J$1*regressionsdep!$J$2+regressionsdep!$J$3*($A105-regressionsdep!$J$2))</f>
        <v>-7.0521165433981503</v>
      </c>
      <c r="J105">
        <f>regressionsdep!H$1*A105+regressionsdep!H$2*A105^2</f>
        <v>-9.0440062686678466</v>
      </c>
      <c r="K105">
        <f>regressionsdep!$T$1*A105</f>
        <v>-7.0521165980762319</v>
      </c>
      <c r="L105">
        <f>regressionsdep!$L$1*A105^2</f>
        <v>-11.700944126495674</v>
      </c>
      <c r="M105">
        <f>regressionsdep!$P$1*A105^2+regressionsdep!$P$2*A105^6</f>
        <v>-9.3146532875803025</v>
      </c>
      <c r="N105">
        <f>regressionsdep!$N$1*A105^2+regressionsdep!$N$2*A105^7</f>
        <v>-9.8889815755496677</v>
      </c>
      <c r="O105">
        <f>regressionsdep!R$2+regressionsdep!R$1*EXP(A105)</f>
        <v>-27.670275766090551</v>
      </c>
      <c r="P105" s="20">
        <f>(1-EXP(-2*regressionsdep!V$1*graphdep!A105))/2/EXP(-regressionsdep!V$1*A105)</f>
        <v>-13.980007891740836</v>
      </c>
      <c r="Q105" s="5"/>
      <c r="AT105" s="33"/>
      <c r="AW105" s="33"/>
      <c r="AZ105" s="33"/>
    </row>
    <row r="106" spans="1:52" x14ac:dyDescent="0.35">
      <c r="A106">
        <f t="shared" si="7"/>
        <v>8.2999999999999865</v>
      </c>
      <c r="B106">
        <f t="shared" si="4"/>
        <v>-9.9488154474367221</v>
      </c>
      <c r="C106">
        <f>regressionsdep!$AO$1*$A106</f>
        <v>8.7426624162455955</v>
      </c>
      <c r="D106">
        <f>regressionsdep!$AM$1*$A106</f>
        <v>11.87723446576106</v>
      </c>
      <c r="E106">
        <f t="shared" si="5"/>
        <v>7.5365093850544689</v>
      </c>
      <c r="F106">
        <f t="shared" si="6"/>
        <v>-33.703284378958841</v>
      </c>
      <c r="G106" s="5">
        <f>B106-regressionsdep!Y$7</f>
        <v>-14.813573595273926</v>
      </c>
      <c r="H106" s="5">
        <f>B106+regressionsdep!Y$7</f>
        <v>-5.084057299599519</v>
      </c>
      <c r="I106">
        <f>IF($A106&lt;=regressionsdep!$J$2,$A106*regressionsdep!$J$1,regressionsdep!$J$1*regressionsdep!$J$2+regressionsdep!$J$3*($A106-regressionsdep!$J$2))</f>
        <v>-7.1381179646591031</v>
      </c>
      <c r="J106">
        <f>regressionsdep!H$1*A106+regressionsdep!H$2*A106^2</f>
        <v>-9.2085689104584816</v>
      </c>
      <c r="K106">
        <f>regressionsdep!$T$1*A106</f>
        <v>-7.13811802000399</v>
      </c>
      <c r="L106">
        <f>regressionsdep!$L$1*A106^2</f>
        <v>-11.988073183734191</v>
      </c>
      <c r="M106">
        <f>regressionsdep!$P$1*A106^2+regressionsdep!$P$2*A106^6</f>
        <v>-9.3573040953711288</v>
      </c>
      <c r="N106">
        <f>regressionsdep!$N$1*A106^2+regressionsdep!$N$2*A106^7</f>
        <v>-9.9743930468730255</v>
      </c>
      <c r="O106">
        <f>regressionsdep!R$2+regressionsdep!R$1*EXP(A106)</f>
        <v>-30.581183563034919</v>
      </c>
      <c r="P106" s="20">
        <f>(1-EXP(-2*regressionsdep!V$1*graphdep!A106))/2/EXP(-regressionsdep!V$1*A106)</f>
        <v>-14.56123406732679</v>
      </c>
      <c r="Q106" s="5"/>
      <c r="AT106" s="33"/>
      <c r="AW106" s="33"/>
      <c r="AZ106" s="33"/>
    </row>
    <row r="107" spans="1:52" x14ac:dyDescent="0.35">
      <c r="A107">
        <f t="shared" si="7"/>
        <v>8.3999999999999861</v>
      </c>
      <c r="B107">
        <f t="shared" si="4"/>
        <v>-10.166368469435383</v>
      </c>
      <c r="C107">
        <f>regressionsdep!$AO$1*$A107</f>
        <v>8.8479956983690364</v>
      </c>
      <c r="D107">
        <f>regressionsdep!$AM$1*$A107</f>
        <v>12.020333676191916</v>
      </c>
      <c r="E107">
        <f t="shared" si="5"/>
        <v>7.5296229273026896</v>
      </c>
      <c r="F107">
        <f t="shared" si="6"/>
        <v>-34.207035821819218</v>
      </c>
      <c r="G107" s="5">
        <f>B107-regressionsdep!Y$7</f>
        <v>-15.031126617272587</v>
      </c>
      <c r="H107" s="5">
        <f>B107+regressionsdep!Y$7</f>
        <v>-5.3016103215981802</v>
      </c>
      <c r="I107">
        <f>IF($A107&lt;=regressionsdep!$J$2,$A107*regressionsdep!$J$1,regressionsdep!$J$1*regressionsdep!$J$2+regressionsdep!$J$3*($A107-regressionsdep!$J$2))</f>
        <v>-7.2241193859200559</v>
      </c>
      <c r="J107">
        <f>regressionsdep!H$1*A107+regressionsdep!H$2*A107^2</f>
        <v>-9.3744392602591589</v>
      </c>
      <c r="K107">
        <f>regressionsdep!$T$1*A107</f>
        <v>-7.2241194419317489</v>
      </c>
      <c r="L107">
        <f>regressionsdep!$L$1*A107^2</f>
        <v>-12.278682593181657</v>
      </c>
      <c r="M107">
        <f>regressionsdep!$P$1*A107^2+regressionsdep!$P$2*A107^6</f>
        <v>-9.3867026789255341</v>
      </c>
      <c r="N107">
        <f>regressionsdep!$N$1*A107^2+regressionsdep!$N$2*A107^7</f>
        <v>-10.047169660477223</v>
      </c>
      <c r="O107">
        <f>regressionsdep!R$2+regressionsdep!R$1*EXP(A107)</f>
        <v>-33.798234205417479</v>
      </c>
      <c r="P107" s="20">
        <f>(1-EXP(-2*regressionsdep!V$1*graphdep!A107))/2/EXP(-regressionsdep!V$1*A107)</f>
        <v>-15.166506851126835</v>
      </c>
      <c r="Q107" s="5"/>
      <c r="AT107" s="33"/>
      <c r="AW107" s="33"/>
      <c r="AZ107" s="33"/>
    </row>
    <row r="108" spans="1:52" x14ac:dyDescent="0.35">
      <c r="A108">
        <f t="shared" si="7"/>
        <v>8.4999999999999858</v>
      </c>
      <c r="B108">
        <f t="shared" si="4"/>
        <v>-10.387642732278342</v>
      </c>
      <c r="C108">
        <f>regressionsdep!$AO$1*$A108</f>
        <v>8.9533289804924774</v>
      </c>
      <c r="D108">
        <f>regressionsdep!$AM$1*$A108</f>
        <v>12.163432886622772</v>
      </c>
      <c r="E108">
        <f t="shared" si="5"/>
        <v>7.5190152287066123</v>
      </c>
      <c r="F108">
        <f t="shared" si="6"/>
        <v>-34.714508505523888</v>
      </c>
      <c r="G108" s="5">
        <f>B108-regressionsdep!Y$7</f>
        <v>-15.252400880115545</v>
      </c>
      <c r="H108" s="5">
        <f>B108+regressionsdep!Y$7</f>
        <v>-5.5228845844411394</v>
      </c>
      <c r="I108">
        <f>IF($A108&lt;=regressionsdep!$J$2,$A108*regressionsdep!$J$1,regressionsdep!$J$1*regressionsdep!$J$2+regressionsdep!$J$3*($A108-regressionsdep!$J$2))</f>
        <v>-7.3101208071810095</v>
      </c>
      <c r="J108">
        <f>regressionsdep!H$1*A108+regressionsdep!H$2*A108^2</f>
        <v>-9.5416173180698749</v>
      </c>
      <c r="K108">
        <f>regressionsdep!$T$1*A108</f>
        <v>-7.3101208638595079</v>
      </c>
      <c r="L108">
        <f>regressionsdep!$L$1*A108^2</f>
        <v>-12.572772354838078</v>
      </c>
      <c r="M108">
        <f>regressionsdep!$P$1*A108^2+regressionsdep!$P$2*A108^6</f>
        <v>-9.4020095353598094</v>
      </c>
      <c r="N108">
        <f>regressionsdep!$N$1*A108^2+regressionsdep!$N$2*A108^7</f>
        <v>-10.106305212079297</v>
      </c>
      <c r="O108">
        <f>regressionsdep!R$2+regressionsdep!R$1*EXP(A108)</f>
        <v>-37.35362501735527</v>
      </c>
      <c r="P108" s="20">
        <f>(1-EXP(-2*regressionsdep!V$1*graphdep!A108))/2/EXP(-regressionsdep!V$1*A108)</f>
        <v>-15.796825798359132</v>
      </c>
      <c r="Q108" s="5"/>
      <c r="AT108" s="33"/>
      <c r="AW108" s="33"/>
      <c r="AZ108" s="33"/>
    </row>
    <row r="109" spans="1:52" x14ac:dyDescent="0.35">
      <c r="A109">
        <f t="shared" si="7"/>
        <v>8.5999999999999854</v>
      </c>
      <c r="B109">
        <f t="shared" si="4"/>
        <v>-10.612835206024922</v>
      </c>
      <c r="C109">
        <f>regressionsdep!$AO$1*$A109</f>
        <v>9.0586622626159183</v>
      </c>
      <c r="D109">
        <f>regressionsdep!$AM$1*$A109</f>
        <v>12.306532097053628</v>
      </c>
      <c r="E109">
        <f t="shared" si="5"/>
        <v>7.5044893192069146</v>
      </c>
      <c r="F109">
        <f t="shared" si="6"/>
        <v>-35.225899400132178</v>
      </c>
      <c r="G109" s="5">
        <f>B109-regressionsdep!Y$7</f>
        <v>-15.477593353862126</v>
      </c>
      <c r="H109" s="5">
        <f>B109+regressionsdep!Y$7</f>
        <v>-5.748077058187719</v>
      </c>
      <c r="I109">
        <f>IF($A109&lt;=regressionsdep!$J$2,$A109*regressionsdep!$J$1,regressionsdep!$J$1*regressionsdep!$J$2+regressionsdep!$J$3*($A109-regressionsdep!$J$2))</f>
        <v>-7.3961222284419623</v>
      </c>
      <c r="J109">
        <f>regressionsdep!H$1*A109+regressionsdep!H$2*A109^2</f>
        <v>-9.7101030838906297</v>
      </c>
      <c r="K109">
        <f>regressionsdep!$T$1*A109</f>
        <v>-7.3961222857872668</v>
      </c>
      <c r="L109">
        <f>regressionsdep!$L$1*A109^2</f>
        <v>-12.870342468703448</v>
      </c>
      <c r="M109">
        <f>regressionsdep!$P$1*A109^2+regressionsdep!$P$2*A109^6</f>
        <v>-9.4023546395508255</v>
      </c>
      <c r="N109">
        <f>regressionsdep!$N$1*A109^2+regressionsdep!$N$2*A109^7</f>
        <v>-10.150744428506762</v>
      </c>
      <c r="O109">
        <f>regressionsdep!R$2+regressionsdep!R$1*EXP(A109)</f>
        <v>-41.28293954510228</v>
      </c>
      <c r="P109" s="20">
        <f>(1-EXP(-2*regressionsdep!V$1*graphdep!A109))/2/EXP(-regressionsdep!V$1*A109)</f>
        <v>-16.453231825796511</v>
      </c>
      <c r="Q109" s="5"/>
      <c r="AT109" s="33"/>
      <c r="AW109" s="33"/>
      <c r="AZ109" s="33"/>
    </row>
    <row r="110" spans="1:52" x14ac:dyDescent="0.35">
      <c r="A110">
        <f t="shared" si="7"/>
        <v>8.6999999999999851</v>
      </c>
      <c r="B110">
        <f t="shared" si="4"/>
        <v>-10.842167342836674</v>
      </c>
      <c r="C110">
        <f>regressionsdep!$AO$1*$A110</f>
        <v>9.1639955447393593</v>
      </c>
      <c r="D110">
        <f>regressionsdep!$AM$1*$A110</f>
        <v>12.449631307484484</v>
      </c>
      <c r="E110">
        <f t="shared" si="5"/>
        <v>7.4858237466420441</v>
      </c>
      <c r="F110">
        <f t="shared" si="6"/>
        <v>-35.741429957805643</v>
      </c>
      <c r="G110" s="5">
        <f>B110-regressionsdep!Y$7</f>
        <v>-15.706925490673878</v>
      </c>
      <c r="H110" s="5">
        <f>B110+regressionsdep!Y$7</f>
        <v>-5.9774091949994714</v>
      </c>
      <c r="I110">
        <f>IF($A110&lt;=regressionsdep!$J$2,$A110*regressionsdep!$J$1,regressionsdep!$J$1*regressionsdep!$J$2+regressionsdep!$J$3*($A110-regressionsdep!$J$2))</f>
        <v>-7.4821236497029151</v>
      </c>
      <c r="J110">
        <f>regressionsdep!H$1*A110+regressionsdep!H$2*A110^2</f>
        <v>-9.8798965577214233</v>
      </c>
      <c r="K110">
        <f>regressionsdep!$T$1*A110</f>
        <v>-7.4821237077150249</v>
      </c>
      <c r="L110">
        <f>regressionsdep!$L$1*A110^2</f>
        <v>-13.171392934777773</v>
      </c>
      <c r="M110">
        <f>regressionsdep!$P$1*A110^2+regressionsdep!$P$2*A110^6</f>
        <v>-9.3868367131248771</v>
      </c>
      <c r="N110">
        <f>regressionsdep!$N$1*A110^2+regressionsdep!$N$2*A110^7</f>
        <v>-10.179381194460376</v>
      </c>
      <c r="O110">
        <f>regressionsdep!R$2+regressionsdep!R$1*EXP(A110)</f>
        <v>-45.625503689140423</v>
      </c>
      <c r="P110" s="20">
        <f>(1-EXP(-2*regressionsdep!V$1*graphdep!A110))/2/EXP(-regressionsdep!V$1*A110)</f>
        <v>-17.136808930749805</v>
      </c>
      <c r="Q110" s="5"/>
      <c r="AT110" s="33"/>
      <c r="AW110" s="33"/>
      <c r="AZ110" s="33"/>
    </row>
    <row r="111" spans="1:52" x14ac:dyDescent="0.35">
      <c r="A111">
        <f t="shared" si="7"/>
        <v>8.7999999999999847</v>
      </c>
      <c r="B111">
        <f t="shared" si="4"/>
        <v>-11.07588793397826</v>
      </c>
      <c r="C111">
        <f>regressionsdep!$AO$1*$A111</f>
        <v>9.2693288268628002</v>
      </c>
      <c r="D111">
        <f>regressionsdep!$AM$1*$A111</f>
        <v>12.59273051791534</v>
      </c>
      <c r="E111">
        <f t="shared" si="5"/>
        <v>7.4627697197473406</v>
      </c>
      <c r="F111">
        <f t="shared" si="6"/>
        <v>-36.261348969808942</v>
      </c>
      <c r="G111" s="5">
        <f>B111-regressionsdep!Y$7</f>
        <v>-15.940646081815462</v>
      </c>
      <c r="H111" s="5">
        <f>B111+regressionsdep!Y$7</f>
        <v>-6.2111297861410568</v>
      </c>
      <c r="I111">
        <f>IF($A111&lt;=regressionsdep!$J$2,$A111*regressionsdep!$J$1,regressionsdep!$J$1*regressionsdep!$J$2+regressionsdep!$J$3*($A111-regressionsdep!$J$2))</f>
        <v>-7.5681250709638679</v>
      </c>
      <c r="J111">
        <f>regressionsdep!H$1*A111+regressionsdep!H$2*A111^2</f>
        <v>-10.050997739562257</v>
      </c>
      <c r="K111">
        <f>regressionsdep!$T$1*A111</f>
        <v>-7.5681251296427838</v>
      </c>
      <c r="L111">
        <f>regressionsdep!$L$1*A111^2</f>
        <v>-13.475923753061046</v>
      </c>
      <c r="M111">
        <f>regressionsdep!$P$1*A111^2+regressionsdep!$P$2*A111^6</f>
        <v>-9.3545224847955097</v>
      </c>
      <c r="N111">
        <f>regressionsdep!$N$1*A111^2+regressionsdep!$N$2*A111^7</f>
        <v>-10.191056737060926</v>
      </c>
      <c r="O111">
        <f>regressionsdep!R$2+regressionsdep!R$1*EXP(A111)</f>
        <v>-50.424779291009443</v>
      </c>
      <c r="P111" s="20">
        <f>(1-EXP(-2*regressionsdep!V$1*graphdep!A111))/2/EXP(-regressionsdep!V$1*A111)</f>
        <v>-17.848685981194826</v>
      </c>
      <c r="Q111" s="5"/>
      <c r="AT111" s="33"/>
      <c r="AW111" s="33"/>
      <c r="AZ111" s="33"/>
    </row>
    <row r="112" spans="1:52" x14ac:dyDescent="0.35">
      <c r="A112">
        <f t="shared" si="7"/>
        <v>8.8999999999999844</v>
      </c>
      <c r="B112">
        <f t="shared" si="4"/>
        <v>-11.314276274906884</v>
      </c>
      <c r="C112">
        <f>regressionsdep!$AO$1*$A112</f>
        <v>9.3746621089862394</v>
      </c>
      <c r="D112">
        <f>regressionsdep!$AM$1*$A112</f>
        <v>12.735829728346197</v>
      </c>
      <c r="E112">
        <f t="shared" si="5"/>
        <v>7.4350479430655945</v>
      </c>
      <c r="F112">
        <f t="shared" si="6"/>
        <v>-36.785935731599281</v>
      </c>
      <c r="G112" s="5">
        <f>B112-regressionsdep!Y$7</f>
        <v>-16.179034422744088</v>
      </c>
      <c r="H112" s="5">
        <f>B112+regressionsdep!Y$7</f>
        <v>-6.4495181270696813</v>
      </c>
      <c r="I112">
        <f>IF($A112&lt;=regressionsdep!$J$2,$A112*regressionsdep!$J$1,regressionsdep!$J$1*regressionsdep!$J$2+regressionsdep!$J$3*($A112-regressionsdep!$J$2))</f>
        <v>-7.6541264922248207</v>
      </c>
      <c r="J112">
        <f>regressionsdep!H$1*A112+regressionsdep!H$2*A112^2</f>
        <v>-10.22340662941313</v>
      </c>
      <c r="K112">
        <f>regressionsdep!$T$1*A112</f>
        <v>-7.6541265515705428</v>
      </c>
      <c r="L112">
        <f>regressionsdep!$L$1*A112^2</f>
        <v>-13.783934923553273</v>
      </c>
      <c r="M112">
        <f>regressionsdep!$P$1*A112^2+regressionsdep!$P$2*A112^6</f>
        <v>-9.3044459420502967</v>
      </c>
      <c r="N112">
        <f>regressionsdep!$N$1*A112^2+regressionsdep!$N$2*A112^7</f>
        <v>-10.184557767683348</v>
      </c>
      <c r="O112">
        <f>regressionsdep!R$2+regressionsdep!R$1*EXP(A112)</f>
        <v>-55.72879911402508</v>
      </c>
      <c r="P112" s="20">
        <f>(1-EXP(-2*regressionsdep!V$1*graphdep!A112))/2/EXP(-regressionsdep!V$1*A112)</f>
        <v>-18.590038579999387</v>
      </c>
      <c r="Q112" s="5"/>
      <c r="AT112" s="33"/>
      <c r="AW112" s="33"/>
      <c r="AZ112" s="33"/>
    </row>
    <row r="113" spans="1:52" x14ac:dyDescent="0.35">
      <c r="A113">
        <f t="shared" si="7"/>
        <v>8.999999999999984</v>
      </c>
      <c r="B113">
        <f t="shared" si="4"/>
        <v>-11.557645670699682</v>
      </c>
      <c r="C113">
        <f>regressionsdep!$AO$1*$A113</f>
        <v>9.4799953911096804</v>
      </c>
      <c r="D113">
        <f>regressionsdep!$AM$1*$A113</f>
        <v>12.878928938777051</v>
      </c>
      <c r="E113">
        <f t="shared" si="5"/>
        <v>7.4023451115196792</v>
      </c>
      <c r="F113">
        <f t="shared" si="6"/>
        <v>-37.315503548253787</v>
      </c>
      <c r="G113" s="5">
        <f>B113-regressionsdep!Y$7</f>
        <v>-16.422403818536885</v>
      </c>
      <c r="H113" s="5">
        <f>B113+regressionsdep!Y$7</f>
        <v>-6.6928875228624785</v>
      </c>
      <c r="I113">
        <f>IF($A113&lt;=regressionsdep!$J$2,$A113*regressionsdep!$J$1,regressionsdep!$J$1*regressionsdep!$J$2+regressionsdep!$J$3*($A113-regressionsdep!$J$2))</f>
        <v>-7.7401279134857734</v>
      </c>
      <c r="J113">
        <f>regressionsdep!H$1*A113+regressionsdep!H$2*A113^2</f>
        <v>-10.397123227274044</v>
      </c>
      <c r="K113">
        <f>regressionsdep!$T$1*A113</f>
        <v>-7.7401279734983017</v>
      </c>
      <c r="L113">
        <f>regressionsdep!$L$1*A113^2</f>
        <v>-14.095426446254452</v>
      </c>
      <c r="M113">
        <f>regressionsdep!$P$1*A113^2+regressionsdep!$P$2*A113^6</f>
        <v>-9.2356075741866128</v>
      </c>
      <c r="N113">
        <f>regressionsdep!$N$1*A113^2+regressionsdep!$N$2*A113^7</f>
        <v>-10.15861458058154</v>
      </c>
      <c r="O113">
        <f>regressionsdep!R$2+regressionsdep!R$1*EXP(A113)</f>
        <v>-61.590647571318705</v>
      </c>
      <c r="P113" s="20">
        <f>(1-EXP(-2*regressionsdep!V$1*graphdep!A113))/2/EXP(-regressionsdep!V$1*A113)</f>
        <v>-19.362091006328956</v>
      </c>
      <c r="Q113" s="5"/>
      <c r="AT113" s="33"/>
      <c r="AW113" s="33"/>
      <c r="AZ113" s="33"/>
    </row>
    <row r="114" spans="1:52" x14ac:dyDescent="0.35">
      <c r="A114">
        <f t="shared" si="7"/>
        <v>9.0999999999999837</v>
      </c>
      <c r="B114">
        <f t="shared" si="4"/>
        <v>-11.806347317436332</v>
      </c>
      <c r="C114">
        <f>regressionsdep!$AO$1*$A114</f>
        <v>9.5853286732331213</v>
      </c>
      <c r="D114">
        <f>regressionsdep!$AM$1*$A114</f>
        <v>13.022028149207907</v>
      </c>
      <c r="E114">
        <f t="shared" si="5"/>
        <v>7.3643100290299106</v>
      </c>
      <c r="F114">
        <f t="shared" si="6"/>
        <v>-37.850403615852144</v>
      </c>
      <c r="G114" s="5">
        <f>B114-regressionsdep!Y$7</f>
        <v>-16.671105465273534</v>
      </c>
      <c r="H114" s="5">
        <f>B114+regressionsdep!Y$7</f>
        <v>-6.941589169599129</v>
      </c>
      <c r="I114">
        <f>IF($A114&lt;=regressionsdep!$J$2,$A114*regressionsdep!$J$1,regressionsdep!$J$1*regressionsdep!$J$2+regressionsdep!$J$3*($A114-regressionsdep!$J$2))</f>
        <v>-7.8261293347467262</v>
      </c>
      <c r="J114">
        <f>regressionsdep!H$1*A114+regressionsdep!H$2*A114^2</f>
        <v>-10.572147533144996</v>
      </c>
      <c r="K114">
        <f>regressionsdep!$T$1*A114</f>
        <v>-7.8261293954260607</v>
      </c>
      <c r="L114">
        <f>regressionsdep!$L$1*A114^2</f>
        <v>-14.41039832116458</v>
      </c>
      <c r="M114">
        <f>regressionsdep!$P$1*A114^2+regressionsdep!$P$2*A114^6</f>
        <v>-9.1469736066964096</v>
      </c>
      <c r="N114">
        <f>regressionsdep!$N$1*A114^2+regressionsdep!$N$2*A114^7</f>
        <v>-10.111899107807222</v>
      </c>
      <c r="O114">
        <f>regressionsdep!R$2+regressionsdep!R$1*EXP(A114)</f>
        <v>-68.06899201248622</v>
      </c>
      <c r="P114" s="20">
        <f>(1-EXP(-2*regressionsdep!V$1*graphdep!A114))/2/EXP(-regressionsdep!V$1*A114)</f>
        <v>-20.166118237436901</v>
      </c>
      <c r="Q114" s="5"/>
      <c r="AT114" s="33"/>
      <c r="AW114" s="33"/>
      <c r="AZ114" s="33"/>
    </row>
    <row r="115" spans="1:52" x14ac:dyDescent="0.35">
      <c r="A115">
        <f t="shared" si="7"/>
        <v>9.1999999999999833</v>
      </c>
      <c r="B115">
        <f t="shared" si="4"/>
        <v>-12.060774598875087</v>
      </c>
      <c r="C115">
        <f>regressionsdep!$AO$1*$A115</f>
        <v>9.6906619553565623</v>
      </c>
      <c r="D115">
        <f>regressionsdep!$AM$1*$A115</f>
        <v>13.165127359638763</v>
      </c>
      <c r="E115">
        <f t="shared" si="5"/>
        <v>7.3205493118380378</v>
      </c>
      <c r="F115">
        <f t="shared" si="6"/>
        <v>-38.391029318152611</v>
      </c>
      <c r="G115" s="5">
        <f>B115-regressionsdep!Y$7</f>
        <v>-16.925532746712289</v>
      </c>
      <c r="H115" s="5">
        <f>B115+regressionsdep!Y$7</f>
        <v>-7.1960164510378837</v>
      </c>
      <c r="I115">
        <f>IF($A115&lt;=regressionsdep!$J$2,$A115*regressionsdep!$J$1,regressionsdep!$J$1*regressionsdep!$J$2+regressionsdep!$J$3*($A115-regressionsdep!$J$2))</f>
        <v>-7.912130756007679</v>
      </c>
      <c r="J115">
        <f>regressionsdep!H$1*A115+regressionsdep!H$2*A115^2</f>
        <v>-10.748479547025987</v>
      </c>
      <c r="K115">
        <f>regressionsdep!$T$1*A115</f>
        <v>-7.9121308173538187</v>
      </c>
      <c r="L115">
        <f>regressionsdep!$L$1*A115^2</f>
        <v>-14.728850548283662</v>
      </c>
      <c r="M115">
        <f>regressionsdep!$P$1*A115^2+regressionsdep!$P$2*A115^6</f>
        <v>-9.0374752269999234</v>
      </c>
      <c r="N115">
        <f>regressionsdep!$N$1*A115^2+regressionsdep!$N$2*A115^7</f>
        <v>-10.043022929926149</v>
      </c>
      <c r="O115">
        <f>regressionsdep!R$2+regressionsdep!R$1*EXP(A115)</f>
        <v>-75.228669886141589</v>
      </c>
      <c r="P115" s="20">
        <f>(1-EXP(-2*regressionsdep!V$1*graphdep!A115))/2/EXP(-regressionsdep!V$1*A115)</f>
        <v>-21.003448054178214</v>
      </c>
      <c r="Q115" s="5"/>
      <c r="AT115" s="33"/>
      <c r="AW115" s="33"/>
      <c r="AZ115" s="33"/>
    </row>
    <row r="116" spans="1:52" x14ac:dyDescent="0.35">
      <c r="A116">
        <f t="shared" si="7"/>
        <v>9.2999999999999829</v>
      </c>
      <c r="B116">
        <f t="shared" si="4"/>
        <v>-12.321367841871403</v>
      </c>
      <c r="C116">
        <f>regressionsdep!$AO$1*$A116</f>
        <v>9.7959952374800032</v>
      </c>
      <c r="D116">
        <f>regressionsdep!$AM$1*$A116</f>
        <v>13.308226570069619</v>
      </c>
      <c r="E116">
        <f t="shared" si="5"/>
        <v>7.2706226330886032</v>
      </c>
      <c r="F116">
        <f t="shared" si="6"/>
        <v>-38.937820982010642</v>
      </c>
      <c r="G116" s="5">
        <f>B116-regressionsdep!Y$7</f>
        <v>-17.186125989708607</v>
      </c>
      <c r="H116" s="5">
        <f>B116+regressionsdep!Y$7</f>
        <v>-7.4566096940342002</v>
      </c>
      <c r="I116">
        <f>IF($A116&lt;=regressionsdep!$J$2,$A116*regressionsdep!$J$1,regressionsdep!$J$1*regressionsdep!$J$2+regressionsdep!$J$3*($A116-regressionsdep!$J$2))</f>
        <v>-7.9981321772686318</v>
      </c>
      <c r="J116">
        <f>regressionsdep!H$1*A116+regressionsdep!H$2*A116^2</f>
        <v>-10.92611926891702</v>
      </c>
      <c r="K116">
        <f>regressionsdep!$T$1*A116</f>
        <v>-7.9981322392815777</v>
      </c>
      <c r="L116">
        <f>regressionsdep!$L$1*A116^2</f>
        <v>-15.050783127611695</v>
      </c>
      <c r="M116">
        <f>regressionsdep!$P$1*A116^2+regressionsdep!$P$2*A116^6</f>
        <v>-8.9060078015284105</v>
      </c>
      <c r="N116">
        <f>regressionsdep!$N$1*A116^2+regressionsdep!$N$2*A116^7</f>
        <v>-9.9505352420350377</v>
      </c>
      <c r="O116">
        <f>regressionsdep!R$2+regressionsdep!R$1*EXP(A116)</f>
        <v>-83.141337654895167</v>
      </c>
      <c r="P116" s="20">
        <f>(1-EXP(-2*regressionsdep!V$1*graphdep!A116))/2/EXP(-regressionsdep!V$1*A116)</f>
        <v>-21.875463233723863</v>
      </c>
      <c r="Q116" s="5"/>
      <c r="AE116" s="58"/>
      <c r="AO116" s="1"/>
      <c r="AP116" s="1"/>
      <c r="AT116" s="33"/>
      <c r="AW116" s="33"/>
      <c r="AZ116" s="33"/>
    </row>
    <row r="117" spans="1:52" x14ac:dyDescent="0.35">
      <c r="A117">
        <f t="shared" si="7"/>
        <v>9.3999999999999826</v>
      </c>
      <c r="B117">
        <f t="shared" si="4"/>
        <v>-12.588619578530393</v>
      </c>
      <c r="C117">
        <f>regressionsdep!$AO$1*$A117</f>
        <v>9.9013285196034442</v>
      </c>
      <c r="D117">
        <f>regressionsdep!$AM$1*$A117</f>
        <v>13.451325780500476</v>
      </c>
      <c r="E117">
        <f t="shared" si="5"/>
        <v>7.2140374606764954</v>
      </c>
      <c r="F117">
        <f t="shared" si="6"/>
        <v>-39.491271139531342</v>
      </c>
      <c r="G117" s="5">
        <f>B117-regressionsdep!Y$7</f>
        <v>-17.453377726367595</v>
      </c>
      <c r="H117" s="5">
        <f>B117+regressionsdep!Y$7</f>
        <v>-7.7238614306931899</v>
      </c>
      <c r="I117">
        <f>IF($A117&lt;=regressionsdep!$J$2,$A117*regressionsdep!$J$1,regressionsdep!$J$1*regressionsdep!$J$2+regressionsdep!$J$3*($A117-regressionsdep!$J$2))</f>
        <v>-8.0841335985295846</v>
      </c>
      <c r="J117">
        <f>regressionsdep!H$1*A117+regressionsdep!H$2*A117^2</f>
        <v>-11.105066698818089</v>
      </c>
      <c r="K117">
        <f>regressionsdep!$T$1*A117</f>
        <v>-8.0841336612093357</v>
      </c>
      <c r="L117">
        <f>regressionsdep!$L$1*A117^2</f>
        <v>-15.376196059148679</v>
      </c>
      <c r="M117">
        <f>regressionsdep!$P$1*A117^2+regressionsdep!$P$2*A117^6</f>
        <v>-8.7514300841558352</v>
      </c>
      <c r="N117">
        <f>regressionsdep!$N$1*A117^2+regressionsdep!$N$2*A117^7</f>
        <v>-9.8329207745825755</v>
      </c>
      <c r="O117">
        <f>regressionsdep!R$2+regressionsdep!R$1*EXP(A117)</f>
        <v>-91.886187957316167</v>
      </c>
      <c r="P117" s="20">
        <f>(1-EXP(-2*regressionsdep!V$1*graphdep!A117))/2/EXP(-regressionsdep!V$1*A117)</f>
        <v>-22.783603833096628</v>
      </c>
      <c r="Q117" s="5"/>
      <c r="AT117" s="33"/>
      <c r="AW117" s="33"/>
      <c r="AZ117" s="33"/>
    </row>
    <row r="118" spans="1:52" x14ac:dyDescent="0.35">
      <c r="A118">
        <f t="shared" si="7"/>
        <v>9.4999999999999822</v>
      </c>
      <c r="B118">
        <f t="shared" si="4"/>
        <v>-12.863080368102446</v>
      </c>
      <c r="C118">
        <f>regressionsdep!$AO$1*$A118</f>
        <v>10.006661801726885</v>
      </c>
      <c r="D118">
        <f>regressionsdep!$AM$1*$A118</f>
        <v>13.594424990931332</v>
      </c>
      <c r="E118">
        <f t="shared" si="5"/>
        <v>7.1502432353513239</v>
      </c>
      <c r="F118">
        <f t="shared" si="6"/>
        <v>-40.051930349965112</v>
      </c>
      <c r="G118" s="5">
        <f>B118-regressionsdep!Y$7</f>
        <v>-17.727838515939649</v>
      </c>
      <c r="H118" s="5">
        <f>B118+regressionsdep!Y$7</f>
        <v>-7.9983222202652433</v>
      </c>
      <c r="I118">
        <f>IF($A118&lt;=regressionsdep!$J$2,$A118*regressionsdep!$J$1,regressionsdep!$J$1*regressionsdep!$J$2+regressionsdep!$J$3*($A118-regressionsdep!$J$2))</f>
        <v>-8.1701350197905374</v>
      </c>
      <c r="J118">
        <f>regressionsdep!H$1*A118+regressionsdep!H$2*A118^2</f>
        <v>-11.285321836729199</v>
      </c>
      <c r="K118">
        <f>regressionsdep!$T$1*A118</f>
        <v>-8.1701350831370956</v>
      </c>
      <c r="L118">
        <f>regressionsdep!$L$1*A118^2</f>
        <v>-15.705089342894617</v>
      </c>
      <c r="M118">
        <f>regressionsdep!$P$1*A118^2+regressionsdep!$P$2*A118^6</f>
        <v>-8.5725634159795501</v>
      </c>
      <c r="N118">
        <f>regressionsdep!$N$1*A118^2+regressionsdep!$N$2*A118^7</f>
        <v>-9.6885976684977919</v>
      </c>
      <c r="O118">
        <f>regressionsdep!R$2+regressionsdep!R$1*EXP(A118)</f>
        <v>-101.55074219447688</v>
      </c>
      <c r="P118" s="20">
        <f>(1-EXP(-2*regressionsdep!V$1*graphdep!A118))/2/EXP(-regressionsdep!V$1*A118)</f>
        <v>-23.729369567299756</v>
      </c>
      <c r="Q118" s="5"/>
      <c r="AT118" s="33"/>
      <c r="AW118" s="33"/>
      <c r="AZ118" s="33"/>
    </row>
    <row r="119" spans="1:52" x14ac:dyDescent="0.35">
      <c r="A119">
        <f t="shared" si="7"/>
        <v>9.5999999999999819</v>
      </c>
      <c r="B119">
        <f t="shared" si="4"/>
        <v>-13.145365237176215</v>
      </c>
      <c r="C119">
        <f>regressionsdep!$AO$1*$A119</f>
        <v>10.111995083850324</v>
      </c>
      <c r="D119">
        <f>regressionsdep!$AM$1*$A119</f>
        <v>13.737524201362186</v>
      </c>
      <c r="E119">
        <f t="shared" si="5"/>
        <v>7.078624930524434</v>
      </c>
      <c r="F119">
        <f t="shared" si="6"/>
        <v>-40.62041363990059</v>
      </c>
      <c r="G119" s="5">
        <f>B119-regressionsdep!Y$7</f>
        <v>-18.010123385013419</v>
      </c>
      <c r="H119" s="5">
        <f>B119+regressionsdep!Y$7</f>
        <v>-8.2806070893390107</v>
      </c>
      <c r="I119">
        <f>IF($A119&lt;=regressionsdep!$J$2,$A119*regressionsdep!$J$1,regressionsdep!$J$1*regressionsdep!$J$2+regressionsdep!$J$3*($A119-regressionsdep!$J$2))</f>
        <v>-8.2561364410514901</v>
      </c>
      <c r="J119">
        <f>regressionsdep!H$1*A119+regressionsdep!H$2*A119^2</f>
        <v>-11.466884682650349</v>
      </c>
      <c r="K119">
        <f>regressionsdep!$T$1*A119</f>
        <v>-8.2561365050648536</v>
      </c>
      <c r="L119">
        <f>regressionsdep!$L$1*A119^2</f>
        <v>-16.037462978849504</v>
      </c>
      <c r="M119">
        <f>regressionsdep!$P$1*A119^2+regressionsdep!$P$2*A119^6</f>
        <v>-8.3681909164499366</v>
      </c>
      <c r="N119">
        <f>regressionsdep!$N$1*A119^2+regressionsdep!$N$2*A119^7</f>
        <v>-9.5159153041291784</v>
      </c>
      <c r="O119">
        <f>regressionsdep!R$2+regressionsdep!R$1*EXP(A119)</f>
        <v>-112.23172647355167</v>
      </c>
      <c r="P119" s="20">
        <f>(1-EXP(-2*regressionsdep!V$1*graphdep!A119))/2/EXP(-regressionsdep!V$1*A119)</f>
        <v>-24.71432228596548</v>
      </c>
      <c r="Q119" s="5"/>
      <c r="AT119" s="33"/>
      <c r="AW119" s="33"/>
      <c r="AZ119" s="33"/>
    </row>
    <row r="120" spans="1:52" x14ac:dyDescent="0.35">
      <c r="A120">
        <f t="shared" si="7"/>
        <v>9.6999999999999815</v>
      </c>
      <c r="B120">
        <f t="shared" si="4"/>
        <v>-13.436160802849253</v>
      </c>
      <c r="C120">
        <f>regressionsdep!$AO$1*$A120</f>
        <v>10.217328365973765</v>
      </c>
      <c r="D120">
        <f>regressionsdep!$AM$1*$A120</f>
        <v>13.880623411793042</v>
      </c>
      <c r="E120">
        <f t="shared" si="5"/>
        <v>6.9984959290982776</v>
      </c>
      <c r="F120">
        <f t="shared" si="6"/>
        <v>-41.197407626435336</v>
      </c>
      <c r="G120" s="5">
        <f>B120-regressionsdep!Y$7</f>
        <v>-18.300918950686455</v>
      </c>
      <c r="H120" s="5">
        <f>B120+regressionsdep!Y$7</f>
        <v>-8.5714026550120508</v>
      </c>
      <c r="I120">
        <f>IF($A120&lt;=regressionsdep!$J$2,$A120*regressionsdep!$J$1,regressionsdep!$J$1*regressionsdep!$J$2+regressionsdep!$J$3*($A120-regressionsdep!$J$2))</f>
        <v>-8.3421378623124429</v>
      </c>
      <c r="J120">
        <f>regressionsdep!H$1*A120+regressionsdep!H$2*A120^2</f>
        <v>-11.649755236581541</v>
      </c>
      <c r="K120">
        <f>regressionsdep!$T$1*A120</f>
        <v>-8.3421379269926135</v>
      </c>
      <c r="L120">
        <f>regressionsdep!$L$1*A120^2</f>
        <v>-16.373316967013345</v>
      </c>
      <c r="M120">
        <f>regressionsdep!$P$1*A120^2+regressionsdep!$P$2*A120^6</f>
        <v>-8.1370566658490642</v>
      </c>
      <c r="N120">
        <f>regressionsdep!$N$1*A120^2+regressionsdep!$N$2*A120^7</f>
        <v>-9.3131520834979149</v>
      </c>
      <c r="O120">
        <f>regressionsdep!R$2+regressionsdep!R$1*EXP(A120)</f>
        <v>-124.03603967520831</v>
      </c>
      <c r="P120" s="20">
        <f>(1-EXP(-2*regressionsdep!V$1*graphdep!A120))/2/EXP(-regressionsdep!V$1*A120)</f>
        <v>-25.740088552613432</v>
      </c>
      <c r="Q120" s="5"/>
      <c r="AT120" s="33"/>
      <c r="AW120" s="33"/>
      <c r="AZ120" s="33"/>
    </row>
    <row r="121" spans="1:52" x14ac:dyDescent="0.35">
      <c r="A121">
        <f t="shared" si="7"/>
        <v>9.7999999999999812</v>
      </c>
      <c r="B121">
        <f t="shared" si="4"/>
        <v>-13.736233150325628</v>
      </c>
      <c r="C121">
        <f>regressionsdep!$AO$1*$A121</f>
        <v>10.322661648097206</v>
      </c>
      <c r="D121">
        <f>regressionsdep!$AM$1*$A121</f>
        <v>14.023722622223898</v>
      </c>
      <c r="E121">
        <f t="shared" si="5"/>
        <v>6.9090901458687846</v>
      </c>
      <c r="F121">
        <f t="shared" si="6"/>
        <v>-41.783678394773425</v>
      </c>
      <c r="G121" s="5">
        <f>B121-regressionsdep!Y$7</f>
        <v>-18.600991298162832</v>
      </c>
      <c r="H121" s="5">
        <f>B121+regressionsdep!Y$7</f>
        <v>-8.8714750024884239</v>
      </c>
      <c r="I121">
        <f>IF($A121&lt;=regressionsdep!$J$2,$A121*regressionsdep!$J$1,regressionsdep!$J$1*regressionsdep!$J$2+regressionsdep!$J$3*($A121-regressionsdep!$J$2))</f>
        <v>-8.4281392835733975</v>
      </c>
      <c r="J121">
        <f>regressionsdep!H$1*A121+regressionsdep!H$2*A121^2</f>
        <v>-11.833933498522768</v>
      </c>
      <c r="K121">
        <f>regressionsdep!$T$1*A121</f>
        <v>-8.4281393489203715</v>
      </c>
      <c r="L121">
        <f>regressionsdep!$L$1*A121^2</f>
        <v>-16.712651307386139</v>
      </c>
      <c r="M121">
        <f>regressionsdep!$P$1*A121^2+regressionsdep!$P$2*A121^6</f>
        <v>-7.8778648791182988</v>
      </c>
      <c r="N121">
        <f>regressionsdep!$N$1*A121^2+regressionsdep!$N$2*A121^7</f>
        <v>-9.0785131653684683</v>
      </c>
      <c r="O121">
        <f>regressionsdep!R$2+regressionsdep!R$1*EXP(A121)</f>
        <v>-137.08182333353568</v>
      </c>
      <c r="P121" s="20">
        <f>(1-EXP(-2*regressionsdep!V$1*graphdep!A121))/2/EXP(-regressionsdep!V$1*A121)</f>
        <v>-26.808362330778547</v>
      </c>
      <c r="Q121" s="5"/>
      <c r="AT121" s="33"/>
      <c r="AW121" s="33"/>
      <c r="AZ121" s="33"/>
    </row>
    <row r="122" spans="1:52" x14ac:dyDescent="0.35">
      <c r="A122">
        <f t="shared" si="7"/>
        <v>9.8999999999999808</v>
      </c>
      <c r="B122">
        <f t="shared" si="4"/>
        <v>-14.046436543869095</v>
      </c>
      <c r="C122">
        <f>regressionsdep!$AO$1*$A122</f>
        <v>10.427994930220647</v>
      </c>
      <c r="D122">
        <f>regressionsdep!$AM$1*$A122</f>
        <v>14.166821832654755</v>
      </c>
      <c r="E122">
        <f t="shared" si="5"/>
        <v>6.8095533165721989</v>
      </c>
      <c r="F122">
        <f t="shared" si="6"/>
        <v>-42.380080209178601</v>
      </c>
      <c r="G122" s="5">
        <f>B122-regressionsdep!Y$7</f>
        <v>-18.911194691706299</v>
      </c>
      <c r="H122" s="5">
        <f>B122+regressionsdep!Y$7</f>
        <v>-9.1816783960318915</v>
      </c>
      <c r="I122">
        <f>IF($A122&lt;=regressionsdep!$J$2,$A122*regressionsdep!$J$1,regressionsdep!$J$1*regressionsdep!$J$2+regressionsdep!$J$3*($A122-regressionsdep!$J$2))</f>
        <v>-8.5141407048343503</v>
      </c>
      <c r="J122">
        <f>regressionsdep!H$1*A122+regressionsdep!H$2*A122^2</f>
        <v>-12.019419468474037</v>
      </c>
      <c r="K122">
        <f>regressionsdep!$T$1*A122</f>
        <v>-8.5141407708481296</v>
      </c>
      <c r="L122">
        <f>regressionsdep!$L$1*A122^2</f>
        <v>-17.055465999967879</v>
      </c>
      <c r="M122">
        <f>regressionsdep!$P$1*A122^2+regressionsdep!$P$2*A122^6</f>
        <v>-7.5892790710348912</v>
      </c>
      <c r="N122">
        <f>regressionsdep!$N$1*A122^2+regressionsdep!$N$2*A122^7</f>
        <v>-8.8101281526399955</v>
      </c>
      <c r="O122">
        <f>regressionsdep!R$2+regressionsdep!R$1*EXP(A122)</f>
        <v>-151.49964403622562</v>
      </c>
      <c r="P122" s="20">
        <f>(1-EXP(-2*regressionsdep!V$1*graphdep!A122))/2/EXP(-regressionsdep!V$1*A122)</f>
        <v>-27.920907781444001</v>
      </c>
      <c r="Q122" s="5"/>
      <c r="AT122" s="33"/>
      <c r="AW122" s="33"/>
      <c r="AZ122" s="33"/>
    </row>
    <row r="123" spans="1:52" x14ac:dyDescent="0.35">
      <c r="A123">
        <f t="shared" si="7"/>
        <v>9.9999999999999805</v>
      </c>
      <c r="B123">
        <f t="shared" si="4"/>
        <v>-14.367723058304612</v>
      </c>
      <c r="C123">
        <f>regressionsdep!$AO$1*$A123</f>
        <v>10.533328212344088</v>
      </c>
      <c r="D123">
        <f>regressionsdep!$AM$1*$A123</f>
        <v>14.309921043085611</v>
      </c>
      <c r="E123">
        <f t="shared" si="5"/>
        <v>6.6989333663835637</v>
      </c>
      <c r="F123">
        <f t="shared" si="6"/>
        <v>-42.987565144475838</v>
      </c>
      <c r="G123" s="5">
        <f>B123-regressionsdep!Y$7</f>
        <v>-19.232481206141816</v>
      </c>
      <c r="H123" s="5">
        <f>B123+regressionsdep!Y$7</f>
        <v>-9.5029649104674085</v>
      </c>
      <c r="I123">
        <f>IF($A123&lt;=regressionsdep!$J$2,$A123*regressionsdep!$J$1,regressionsdep!$J$1*regressionsdep!$J$2+regressionsdep!$J$3*($A123-regressionsdep!$J$2))</f>
        <v>-8.600142126095303</v>
      </c>
      <c r="J123">
        <f>regressionsdep!H$1*A123+regressionsdep!H$2*A123^2</f>
        <v>-12.206213146435346</v>
      </c>
      <c r="K123">
        <f>regressionsdep!$T$1*A123</f>
        <v>-8.6001421927758894</v>
      </c>
      <c r="L123">
        <f>regressionsdep!$L$1*A123^2</f>
        <v>-17.401761044758572</v>
      </c>
      <c r="M123">
        <f>regressionsdep!$P$1*A123^2+regressionsdep!$P$2*A123^6</f>
        <v>-7.2699212127375645</v>
      </c>
      <c r="N123">
        <f>regressionsdep!$N$1*A123^2+regressionsdep!$N$2*A123^7</f>
        <v>-8.5060487315618278</v>
      </c>
      <c r="O123">
        <f>regressionsdep!R$2+regressionsdep!R$1*EXP(A123)</f>
        <v>-167.4338001788675</v>
      </c>
      <c r="P123" s="20">
        <f>(1-EXP(-2*regressionsdep!V$1*graphdep!A123))/2/EXP(-regressionsdep!V$1*A123)</f>
        <v>-29.079562176399371</v>
      </c>
      <c r="Q123" s="5"/>
      <c r="AT123" s="33"/>
      <c r="AW123" s="33"/>
      <c r="AZ123" s="33"/>
    </row>
    <row r="124" spans="1:52" x14ac:dyDescent="0.35">
      <c r="A124">
        <f t="shared" si="7"/>
        <v>10.09999999999998</v>
      </c>
      <c r="B124">
        <f t="shared" si="4"/>
        <v>-14.701153227392329</v>
      </c>
      <c r="C124">
        <f>regressionsdep!$AO$1*$A124</f>
        <v>10.638661494467529</v>
      </c>
      <c r="D124">
        <f>regressionsdep!$AM$1*$A124</f>
        <v>14.453020253516467</v>
      </c>
      <c r="E124">
        <f t="shared" si="5"/>
        <v>6.5761697615427295</v>
      </c>
      <c r="F124">
        <f t="shared" si="6"/>
        <v>-43.607193734425266</v>
      </c>
      <c r="G124" s="5">
        <f>B124-regressionsdep!Y$7</f>
        <v>-19.565911375229533</v>
      </c>
      <c r="H124" s="5">
        <f>B124+regressionsdep!Y$7</f>
        <v>-9.8363950795551247</v>
      </c>
      <c r="I124">
        <f>IF($A124&lt;=regressionsdep!$J$2,$A124*regressionsdep!$J$1,regressionsdep!$J$1*regressionsdep!$J$2+regressionsdep!$J$3*($A124-regressionsdep!$J$2))</f>
        <v>-8.6861435473562558</v>
      </c>
      <c r="J124">
        <f>regressionsdep!H$1*A124+regressionsdep!H$2*A124^2</f>
        <v>-12.394314532406693</v>
      </c>
      <c r="K124">
        <f>regressionsdep!$T$1*A124</f>
        <v>-8.6861436147036475</v>
      </c>
      <c r="L124">
        <f>regressionsdep!$L$1*A124^2</f>
        <v>-17.751536441758219</v>
      </c>
      <c r="M124">
        <f>regressionsdep!$P$1*A124^2+regressionsdep!$P$2*A124^6</f>
        <v>-6.9183708796010599</v>
      </c>
      <c r="N124">
        <f>regressionsdep!$N$1*A124^2+regressionsdep!$N$2*A124^7</f>
        <v>-8.1642462622763894</v>
      </c>
      <c r="O124">
        <f>regressionsdep!R$2+regressionsdep!R$1*EXP(A124)</f>
        <v>-185.04376615179177</v>
      </c>
      <c r="P124" s="20">
        <f>(1-EXP(-2*regressionsdep!V$1*graphdep!A124))/2/EXP(-regressionsdep!V$1*A124)</f>
        <v>-30.28623893233457</v>
      </c>
      <c r="Q124" s="5"/>
      <c r="AT124" s="33"/>
      <c r="AW124" s="33"/>
      <c r="AZ124" s="33"/>
    </row>
    <row r="125" spans="1:52" x14ac:dyDescent="0.35">
      <c r="A125">
        <f t="shared" si="7"/>
        <v>10.19999999999998</v>
      </c>
      <c r="B125">
        <f t="shared" si="4"/>
        <v>-15.047907815488593</v>
      </c>
      <c r="C125">
        <f>regressionsdep!$AO$1*$A125</f>
        <v>10.74399477659097</v>
      </c>
      <c r="D125">
        <f>regressionsdep!$AM$1*$A125</f>
        <v>14.596119463947321</v>
      </c>
      <c r="E125">
        <f t="shared" si="5"/>
        <v>6.4400817376933475</v>
      </c>
      <c r="F125">
        <f t="shared" si="6"/>
        <v>-44.240146743383235</v>
      </c>
      <c r="G125" s="5">
        <f>B125-regressionsdep!Y$7</f>
        <v>-19.912665963325797</v>
      </c>
      <c r="H125" s="5">
        <f>B125+regressionsdep!Y$7</f>
        <v>-10.183149667651389</v>
      </c>
      <c r="I125">
        <f>IF($A125&lt;=regressionsdep!$J$2,$A125*regressionsdep!$J$1,regressionsdep!$J$1*regressionsdep!$J$2+regressionsdep!$J$3*($A125-regressionsdep!$J$2))</f>
        <v>-8.7721449686172086</v>
      </c>
      <c r="J125">
        <f>regressionsdep!H$1*A125+regressionsdep!H$2*A125^2</f>
        <v>-12.583723626388078</v>
      </c>
      <c r="K125">
        <f>regressionsdep!$T$1*A125</f>
        <v>-8.7721450366314073</v>
      </c>
      <c r="L125">
        <f>regressionsdep!$L$1*A125^2</f>
        <v>-18.104792190966819</v>
      </c>
      <c r="M125">
        <f>regressionsdep!$P$1*A125^2+regressionsdep!$P$2*A125^6</f>
        <v>-6.5331643904596977</v>
      </c>
      <c r="N125">
        <f>regressionsdep!$N$1*A125^2+regressionsdep!$N$2*A125^7</f>
        <v>-7.7826093201929201</v>
      </c>
      <c r="O125">
        <f>regressionsdep!R$2+regressionsdep!R$1*EXP(A125)</f>
        <v>-204.50578841336937</v>
      </c>
      <c r="P125" s="20">
        <f>(1-EXP(-2*regressionsdep!V$1*graphdep!A125))/2/EXP(-regressionsdep!V$1*A125)</f>
        <v>-31.542930770680851</v>
      </c>
      <c r="Q125" s="5"/>
      <c r="AT125" s="33"/>
      <c r="AW125" s="33"/>
      <c r="AZ125" s="33"/>
    </row>
    <row r="126" spans="1:52" x14ac:dyDescent="0.35">
      <c r="A126">
        <f t="shared" si="7"/>
        <v>10.299999999999979</v>
      </c>
      <c r="B126">
        <f t="shared" si="4"/>
        <v>-15.409300830057417</v>
      </c>
      <c r="C126">
        <f>regressionsdep!$AO$1*$A126</f>
        <v>10.849328058714411</v>
      </c>
      <c r="D126">
        <f>regressionsdep!$AM$1*$A126</f>
        <v>14.739218674378177</v>
      </c>
      <c r="E126">
        <f t="shared" si="5"/>
        <v>6.2893552873714054</v>
      </c>
      <c r="F126">
        <f t="shared" si="6"/>
        <v>-44.88773817881377</v>
      </c>
      <c r="G126" s="5">
        <f>B126-regressionsdep!Y$7</f>
        <v>-20.274058977894619</v>
      </c>
      <c r="H126" s="5">
        <f>B126+regressionsdep!Y$7</f>
        <v>-10.544542682220214</v>
      </c>
      <c r="I126">
        <f>IF($A126&lt;=regressionsdep!$J$2,$A126*regressionsdep!$J$1,regressionsdep!$J$1*regressionsdep!$J$2+regressionsdep!$J$3*($A126-regressionsdep!$J$2))</f>
        <v>-8.8581463898781614</v>
      </c>
      <c r="J126">
        <f>regressionsdep!H$1*A126+regressionsdep!H$2*A126^2</f>
        <v>-12.774440428379505</v>
      </c>
      <c r="K126">
        <f>regressionsdep!$T$1*A126</f>
        <v>-8.8581464585591654</v>
      </c>
      <c r="L126">
        <f>regressionsdep!$L$1*A126^2</f>
        <v>-18.461528292384372</v>
      </c>
      <c r="M126">
        <f>regressionsdep!$P$1*A126^2+regressionsdep!$P$2*A126^6</f>
        <v>-6.1127939381798608</v>
      </c>
      <c r="N126">
        <f>regressionsdep!$N$1*A126^2+regressionsdep!$N$2*A126^7</f>
        <v>-7.3589411876953541</v>
      </c>
      <c r="O126">
        <f>regressionsdep!R$2+regressionsdep!R$1*EXP(A126)</f>
        <v>-226.01464942380576</v>
      </c>
      <c r="P126" s="20">
        <f>(1-EXP(-2*regressionsdep!V$1*graphdep!A126))/2/EXP(-regressionsdep!V$1*A126)</f>
        <v>-32.851713008416354</v>
      </c>
      <c r="Q126" s="5"/>
      <c r="AT126" s="33"/>
      <c r="AW126" s="33"/>
      <c r="AZ126" s="33"/>
    </row>
    <row r="127" spans="1:52" x14ac:dyDescent="0.35">
      <c r="A127">
        <f t="shared" si="7"/>
        <v>10.399999999999979</v>
      </c>
      <c r="B127">
        <f t="shared" si="4"/>
        <v>-15.786793904916019</v>
      </c>
      <c r="C127">
        <f>regressionsdep!$AO$1*$A127</f>
        <v>10.95466134083785</v>
      </c>
      <c r="D127">
        <f>regressionsdep!$AM$1*$A127</f>
        <v>14.882317884809034</v>
      </c>
      <c r="E127">
        <f t="shared" si="5"/>
        <v>6.1225287767596814</v>
      </c>
      <c r="F127">
        <f t="shared" si="6"/>
        <v>-45.551429674534084</v>
      </c>
      <c r="G127" s="5">
        <f>B127-regressionsdep!Y$7</f>
        <v>-20.651552052753221</v>
      </c>
      <c r="H127" s="5">
        <f>B127+regressionsdep!Y$7</f>
        <v>-10.922035757078817</v>
      </c>
      <c r="I127">
        <f>IF($A127&lt;=regressionsdep!$J$2,$A127*regressionsdep!$J$1,regressionsdep!$J$1*regressionsdep!$J$2+regressionsdep!$J$3*($A127-regressionsdep!$J$2))</f>
        <v>-8.9441478111391142</v>
      </c>
      <c r="J127">
        <f>regressionsdep!H$1*A127+regressionsdep!H$2*A127^2</f>
        <v>-12.96646493838097</v>
      </c>
      <c r="K127">
        <f>regressionsdep!$T$1*A127</f>
        <v>-8.9441478804869234</v>
      </c>
      <c r="L127">
        <f>regressionsdep!$L$1*A127^2</f>
        <v>-18.821744746010875</v>
      </c>
      <c r="M127">
        <f>regressionsdep!$P$1*A127^2+regressionsdep!$P$2*A127^6</f>
        <v>-5.6557067115815318</v>
      </c>
      <c r="N127">
        <f>regressionsdep!$N$1*A127^2+regressionsdep!$N$2*A127^7</f>
        <v>-6.890957295687576</v>
      </c>
      <c r="O127">
        <f>regressionsdep!R$2+regressionsdep!R$1*EXP(A127)</f>
        <v>-249.78561709347125</v>
      </c>
      <c r="P127" s="20">
        <f>(1-EXP(-2*regressionsdep!V$1*graphdep!A127))/2/EXP(-regressionsdep!V$1*A127)</f>
        <v>-34.21474698527112</v>
      </c>
      <c r="Q127" s="5"/>
      <c r="AT127" s="33"/>
      <c r="AW127" s="33"/>
      <c r="AZ127" s="33"/>
    </row>
    <row r="128" spans="1:52" x14ac:dyDescent="0.35">
      <c r="A128">
        <f t="shared" si="7"/>
        <v>10.499999999999979</v>
      </c>
      <c r="B128">
        <f t="shared" si="4"/>
        <v>-16.182012197711568</v>
      </c>
      <c r="C128">
        <f>regressionsdep!$AO$1*$A128</f>
        <v>11.059994622961291</v>
      </c>
      <c r="D128">
        <f>regressionsdep!$AM$1*$A128</f>
        <v>15.02541709523989</v>
      </c>
      <c r="E128">
        <f t="shared" si="5"/>
        <v>5.9379770482110139</v>
      </c>
      <c r="F128">
        <f t="shared" si="6"/>
        <v>-46.232846388191348</v>
      </c>
      <c r="G128" s="5">
        <f>B128-regressionsdep!Y$7</f>
        <v>-21.046770345548772</v>
      </c>
      <c r="H128" s="5">
        <f>B128+regressionsdep!Y$7</f>
        <v>-11.317254049874364</v>
      </c>
      <c r="I128">
        <f>IF($A128&lt;=regressionsdep!$J$2,$A128*regressionsdep!$J$1,regressionsdep!$J$1*regressionsdep!$J$2+regressionsdep!$J$3*($A128-regressionsdep!$J$2))</f>
        <v>-9.0301492324000669</v>
      </c>
      <c r="J128">
        <f>regressionsdep!H$1*A128+regressionsdep!H$2*A128^2</f>
        <v>-13.159797156392475</v>
      </c>
      <c r="K128">
        <f>regressionsdep!$T$1*A128</f>
        <v>-9.0301493024146833</v>
      </c>
      <c r="L128">
        <f>regressionsdep!$L$1*A128^2</f>
        <v>-19.185441551846324</v>
      </c>
      <c r="M128">
        <f>regressionsdep!$P$1*A128^2+regressionsdep!$P$2*A128^6</f>
        <v>-5.1603040087087457</v>
      </c>
      <c r="N128">
        <f>regressionsdep!$N$1*A128^2+regressionsdep!$N$2*A128^7</f>
        <v>-6.3762826144795817</v>
      </c>
      <c r="O128">
        <f>regressionsdep!R$2+regressionsdep!R$1*EXP(A128)</f>
        <v>-276.05659925650201</v>
      </c>
      <c r="P128" s="20">
        <f>(1-EXP(-2*regressionsdep!V$1*graphdep!A128))/2/EXP(-regressionsdep!V$1*A128)</f>
        <v>-35.634283632991256</v>
      </c>
      <c r="Q128" s="5"/>
      <c r="AT128" s="33"/>
      <c r="AW128" s="33"/>
      <c r="AZ128" s="33"/>
    </row>
    <row r="129" spans="1:52" x14ac:dyDescent="0.35">
      <c r="A129">
        <f t="shared" si="7"/>
        <v>10.599999999999978</v>
      </c>
      <c r="B129">
        <f t="shared" si="4"/>
        <v>-16.596761960169118</v>
      </c>
      <c r="C129">
        <f>regressionsdep!$AO$1*$A129</f>
        <v>11.165327905084732</v>
      </c>
      <c r="D129">
        <f>regressionsdep!$AM$1*$A129</f>
        <v>15.168516305670746</v>
      </c>
      <c r="E129">
        <f t="shared" si="5"/>
        <v>5.7338938500003458</v>
      </c>
      <c r="F129">
        <f t="shared" si="6"/>
        <v>-46.93379457151061</v>
      </c>
      <c r="G129" s="5">
        <f>B129-regressionsdep!Y$7</f>
        <v>-21.461520108006322</v>
      </c>
      <c r="H129" s="5">
        <f>B129+regressionsdep!Y$7</f>
        <v>-11.732003812331914</v>
      </c>
      <c r="I129">
        <f>IF($A129&lt;=regressionsdep!$J$2,$A129*regressionsdep!$J$1,regressionsdep!$J$1*regressionsdep!$J$2+regressionsdep!$J$3*($A129-regressionsdep!$J$2))</f>
        <v>-9.1161506536610197</v>
      </c>
      <c r="J129">
        <f>regressionsdep!H$1*A129+regressionsdep!H$2*A129^2</f>
        <v>-13.354437082414019</v>
      </c>
      <c r="K129">
        <f>regressionsdep!$T$1*A129</f>
        <v>-9.1161507243424413</v>
      </c>
      <c r="L129">
        <f>regressionsdep!$L$1*A129^2</f>
        <v>-19.552618709890734</v>
      </c>
      <c r="M129">
        <f>regressionsdep!$P$1*A129^2+regressionsdep!$P$2*A129^6</f>
        <v>-4.6249403414490509</v>
      </c>
      <c r="N129">
        <f>regressionsdep!$N$1*A129^2+regressionsdep!$N$2*A129^7</f>
        <v>-5.8124489935177355</v>
      </c>
      <c r="O129">
        <f>regressionsdep!R$2+regressionsdep!R$1*EXP(A129)</f>
        <v>-305.09052473236767</v>
      </c>
      <c r="P129" s="20">
        <f>(1-EXP(-2*regressionsdep!V$1*graphdep!A129))/2/EXP(-regressionsdep!V$1*A129)</f>
        <v>-37.112667192556238</v>
      </c>
      <c r="Q129" s="5"/>
      <c r="AT129" s="33"/>
      <c r="AW129" s="33"/>
      <c r="AZ129" s="33"/>
    </row>
    <row r="130" spans="1:52" x14ac:dyDescent="0.35">
      <c r="A130">
        <f t="shared" si="7"/>
        <v>10.699999999999978</v>
      </c>
      <c r="B130">
        <f t="shared" si="4"/>
        <v>-17.033049956273956</v>
      </c>
      <c r="C130">
        <f>regressionsdep!$AO$1*$A130</f>
        <v>11.270661187208173</v>
      </c>
      <c r="D130">
        <f>regressionsdep!$AM$1*$A130</f>
        <v>15.311615516101602</v>
      </c>
      <c r="E130">
        <f t="shared" si="5"/>
        <v>5.5082724181423899</v>
      </c>
      <c r="F130">
        <f t="shared" si="6"/>
        <v>-47.656280988477164</v>
      </c>
      <c r="G130" s="5">
        <f>B130-regressionsdep!Y$7</f>
        <v>-21.89780810411116</v>
      </c>
      <c r="H130" s="5">
        <f>B130+regressionsdep!Y$7</f>
        <v>-12.168291808436752</v>
      </c>
      <c r="I130">
        <f>IF($A130&lt;=regressionsdep!$J$2,$A130*regressionsdep!$J$1,regressionsdep!$J$1*regressionsdep!$J$2+regressionsdep!$J$3*($A130-regressionsdep!$J$2))</f>
        <v>-9.2021520749219725</v>
      </c>
      <c r="J130">
        <f>regressionsdep!H$1*A130+regressionsdep!H$2*A130^2</f>
        <v>-13.550384716445604</v>
      </c>
      <c r="K130">
        <f>regressionsdep!$T$1*A130</f>
        <v>-9.2021521462702012</v>
      </c>
      <c r="L130">
        <f>regressionsdep!$L$1*A130^2</f>
        <v>-19.923276220144089</v>
      </c>
      <c r="M130">
        <f>regressionsdep!$P$1*A130^2+regressionsdep!$P$2*A130^6</f>
        <v>-4.0479225315019569</v>
      </c>
      <c r="N130">
        <f>regressionsdep!$N$1*A130^2+regressionsdep!$N$2*A130^7</f>
        <v>-5.1968924494625472</v>
      </c>
      <c r="O130">
        <f>regressionsdep!R$2+regressionsdep!R$1*EXP(A130)</f>
        <v>-337.17797480587001</v>
      </c>
      <c r="P130" s="20">
        <f>(1-EXP(-2*regressionsdep!V$1*graphdep!A130))/2/EXP(-regressionsdep!V$1*A130)</f>
        <v>-38.652339085488642</v>
      </c>
      <c r="Q130" s="5"/>
      <c r="AT130" s="33"/>
      <c r="AW130" s="33"/>
      <c r="AZ130" s="33"/>
    </row>
    <row r="131" spans="1:52" x14ac:dyDescent="0.35">
      <c r="A131">
        <f t="shared" si="7"/>
        <v>10.799999999999978</v>
      </c>
      <c r="B131">
        <f t="shared" si="4"/>
        <v>-17.493104921920054</v>
      </c>
      <c r="C131">
        <f>regressionsdep!$AO$1*$A131</f>
        <v>11.375994469331614</v>
      </c>
      <c r="D131">
        <f>regressionsdep!$AM$1*$A131</f>
        <v>15.454714726532456</v>
      </c>
      <c r="E131">
        <f t="shared" si="5"/>
        <v>5.2588840167431741</v>
      </c>
      <c r="F131">
        <f t="shared" si="6"/>
        <v>-48.402534374984967</v>
      </c>
      <c r="G131" s="5">
        <f>B131-regressionsdep!Y$7</f>
        <v>-22.357863069757258</v>
      </c>
      <c r="H131" s="5">
        <f>B131+regressionsdep!Y$7</f>
        <v>-12.62834677408285</v>
      </c>
      <c r="I131">
        <f>IF($A131&lt;=regressionsdep!$J$2,$A131*regressionsdep!$J$1,regressionsdep!$J$1*regressionsdep!$J$2+regressionsdep!$J$3*($A131-regressionsdep!$J$2))</f>
        <v>-9.2881534961829253</v>
      </c>
      <c r="J131">
        <f>regressionsdep!H$1*A131+regressionsdep!H$2*A131^2</f>
        <v>-13.747640058487228</v>
      </c>
      <c r="K131">
        <f>regressionsdep!$T$1*A131</f>
        <v>-9.2881535681979592</v>
      </c>
      <c r="L131">
        <f>regressionsdep!$L$1*A131^2</f>
        <v>-20.297414082606398</v>
      </c>
      <c r="M131">
        <f>regressionsdep!$P$1*A131^2+regressionsdep!$P$2*A131^6</f>
        <v>-3.4275087976963476</v>
      </c>
      <c r="N131">
        <f>regressionsdep!$N$1*A131^2+regressionsdep!$N$2*A131^7</f>
        <v>-4.5269504021172331</v>
      </c>
      <c r="O131">
        <f>regressionsdep!R$2+regressionsdep!R$1*EXP(A131)</f>
        <v>-372.6400914623091</v>
      </c>
      <c r="P131" s="20">
        <f>(1-EXP(-2*regressionsdep!V$1*graphdep!A131))/2/EXP(-regressionsdep!V$1*A131)</f>
        <v>-40.255841945648804</v>
      </c>
      <c r="Q131" s="5"/>
      <c r="AT131" s="33"/>
      <c r="AW131" s="33"/>
      <c r="AZ131" s="33"/>
    </row>
    <row r="132" spans="1:52" x14ac:dyDescent="0.35">
      <c r="A132">
        <f t="shared" si="7"/>
        <v>10.899999999999977</v>
      </c>
      <c r="B132">
        <f t="shared" ref="B132:B195" si="8">SUMPRODUCT(I$2:P$2,I132:P132)</f>
        <v>-17.979401279854873</v>
      </c>
      <c r="C132">
        <f>regressionsdep!$AO$1*$A132</f>
        <v>11.481327751455055</v>
      </c>
      <c r="D132">
        <f>regressionsdep!$AM$1*$A132</f>
        <v>15.597813936963313</v>
      </c>
      <c r="E132">
        <f t="shared" si="5"/>
        <v>4.983254223055237</v>
      </c>
      <c r="F132">
        <f t="shared" si="6"/>
        <v>-49.175029153781495</v>
      </c>
      <c r="G132" s="5">
        <f>B132-regressionsdep!Y$7</f>
        <v>-22.844159427692077</v>
      </c>
      <c r="H132" s="5">
        <f>B132+regressionsdep!Y$7</f>
        <v>-13.114643132017669</v>
      </c>
      <c r="I132">
        <f>IF($A132&lt;=regressionsdep!$J$2,$A132*regressionsdep!$J$1,regressionsdep!$J$1*regressionsdep!$J$2+regressionsdep!$J$3*($A132-regressionsdep!$J$2))</f>
        <v>-9.3741549174438781</v>
      </c>
      <c r="J132">
        <f>regressionsdep!H$1*A132+regressionsdep!H$2*A132^2</f>
        <v>-13.94620310853889</v>
      </c>
      <c r="K132">
        <f>regressionsdep!$T$1*A132</f>
        <v>-9.3741549901257173</v>
      </c>
      <c r="L132">
        <f>regressionsdep!$L$1*A132^2</f>
        <v>-20.675032297277657</v>
      </c>
      <c r="M132">
        <f>regressionsdep!$P$1*A132^2+regressionsdep!$P$2*A132^6</f>
        <v>-2.761907834656899</v>
      </c>
      <c r="N132">
        <f>regressionsdep!$N$1*A132^2+regressionsdep!$N$2*A132^7</f>
        <v>-3.7998588577105537</v>
      </c>
      <c r="O132">
        <f>regressionsdep!R$2+regressionsdep!R$1*EXP(A132)</f>
        <v>-411.83179148441155</v>
      </c>
      <c r="P132" s="20">
        <f>(1-EXP(-2*regressionsdep!V$1*graphdep!A132))/2/EXP(-regressionsdep!V$1*A132)</f>
        <v>-41.925823818172873</v>
      </c>
      <c r="Q132" s="5"/>
      <c r="AT132" s="33"/>
      <c r="AW132" s="33"/>
      <c r="AZ132" s="33"/>
    </row>
    <row r="133" spans="1:52" x14ac:dyDescent="0.35">
      <c r="A133">
        <f t="shared" si="7"/>
        <v>10.999999999999977</v>
      </c>
      <c r="B133">
        <f t="shared" si="8"/>
        <v>-18.494685346180926</v>
      </c>
      <c r="C133">
        <f>regressionsdep!$AO$1*$A133</f>
        <v>11.586661033578496</v>
      </c>
      <c r="D133">
        <f>regressionsdep!$AM$1*$A133</f>
        <v>15.740913147394169</v>
      </c>
      <c r="E133">
        <f t="shared" si="5"/>
        <v>4.6786367209760655</v>
      </c>
      <c r="F133">
        <f t="shared" si="6"/>
        <v>-49.976511640969264</v>
      </c>
      <c r="G133" s="5">
        <f>B133-regressionsdep!Y$7</f>
        <v>-23.35944349401813</v>
      </c>
      <c r="H133" s="5">
        <f>B133+regressionsdep!Y$7</f>
        <v>-13.629927198343722</v>
      </c>
      <c r="I133">
        <f>IF($A133&lt;=regressionsdep!$J$2,$A133*regressionsdep!$J$1,regressionsdep!$J$1*regressionsdep!$J$2+regressionsdep!$J$3*($A133-regressionsdep!$J$2))</f>
        <v>-9.4601563387048309</v>
      </c>
      <c r="J133">
        <f>regressionsdep!H$1*A133+regressionsdep!H$2*A133^2</f>
        <v>-14.146073866600593</v>
      </c>
      <c r="K133">
        <f>regressionsdep!$T$1*A133</f>
        <v>-9.4601564120534771</v>
      </c>
      <c r="L133">
        <f>regressionsdep!$L$1*A133^2</f>
        <v>-21.056130864157868</v>
      </c>
      <c r="M133">
        <f>regressionsdep!$P$1*A133^2+regressionsdep!$P$2*A133^6</f>
        <v>-2.0492778828194176</v>
      </c>
      <c r="N133">
        <f>regressionsdep!$N$1*A133^2+regressionsdep!$N$2*A133^7</f>
        <v>-3.0127495390370207</v>
      </c>
      <c r="O133">
        <f>regressionsdep!R$2+regressionsdep!R$1*EXP(A133)</f>
        <v>-455.14531857878393</v>
      </c>
      <c r="P133" s="20">
        <f>(1-EXP(-2*regressionsdep!V$1*graphdep!A133))/2/EXP(-regressionsdep!V$1*A133)</f>
        <v>-43.665042532488506</v>
      </c>
      <c r="Q133" s="5"/>
      <c r="AT133" s="33"/>
      <c r="AW133" s="33"/>
      <c r="AZ133" s="33"/>
    </row>
    <row r="134" spans="1:52" x14ac:dyDescent="0.35">
      <c r="A134">
        <f t="shared" si="7"/>
        <v>11.099999999999977</v>
      </c>
      <c r="B134">
        <f t="shared" si="8"/>
        <v>-19.042004289461509</v>
      </c>
      <c r="C134">
        <f>regressionsdep!$AO$1*$A134</f>
        <v>11.691994315701935</v>
      </c>
      <c r="D134">
        <f>regressionsdep!$AM$1*$A134</f>
        <v>15.884012357825025</v>
      </c>
      <c r="E134">
        <f t="shared" si="5"/>
        <v>4.3419843419423607</v>
      </c>
      <c r="F134">
        <f t="shared" si="6"/>
        <v>-50.810029005111559</v>
      </c>
      <c r="G134" s="5">
        <f>B134-regressionsdep!Y$7</f>
        <v>-23.906762437298713</v>
      </c>
      <c r="H134" s="5">
        <f>B134+regressionsdep!Y$7</f>
        <v>-14.177246141624305</v>
      </c>
      <c r="I134">
        <f>IF($A134&lt;=regressionsdep!$J$2,$A134*regressionsdep!$J$1,regressionsdep!$J$1*regressionsdep!$J$2+regressionsdep!$J$3*($A134-regressionsdep!$J$2))</f>
        <v>-9.5461577599657836</v>
      </c>
      <c r="J134">
        <f>regressionsdep!H$1*A134+regressionsdep!H$2*A134^2</f>
        <v>-14.347252332672335</v>
      </c>
      <c r="K134">
        <f>regressionsdep!$T$1*A134</f>
        <v>-9.5461578339812352</v>
      </c>
      <c r="L134">
        <f>regressionsdep!$L$1*A134^2</f>
        <v>-21.440709783247033</v>
      </c>
      <c r="M134">
        <f>regressionsdep!$P$1*A134^2+regressionsdep!$P$2*A134^6</f>
        <v>-1.2877257897952497</v>
      </c>
      <c r="N134">
        <f>regressionsdep!$N$1*A134^2+regressionsdep!$N$2*A134^7</f>
        <v>-2.162646961958103</v>
      </c>
      <c r="O134">
        <f>regressionsdep!R$2+regressionsdep!R$1*EXP(A134)</f>
        <v>-503.01416908276587</v>
      </c>
      <c r="P134" s="20">
        <f>(1-EXP(-2*regressionsdep!V$1*graphdep!A134))/2/EXP(-regressionsdep!V$1*A134)</f>
        <v>-45.47637025662948</v>
      </c>
      <c r="Q134" s="5"/>
      <c r="AT134" s="33"/>
      <c r="AW134" s="33"/>
      <c r="AZ134" s="33"/>
    </row>
    <row r="135" spans="1:52" x14ac:dyDescent="0.35">
      <c r="A135">
        <f t="shared" si="7"/>
        <v>11.199999999999976</v>
      </c>
      <c r="B135">
        <f t="shared" si="8"/>
        <v>-19.62473813086887</v>
      </c>
      <c r="C135">
        <f>regressionsdep!$AO$1*$A135</f>
        <v>11.797327597825376</v>
      </c>
      <c r="D135">
        <f>regressionsdep!$AM$1*$A135</f>
        <v>16.027111568255879</v>
      </c>
      <c r="E135">
        <f t="shared" si="5"/>
        <v>3.9699170647818818</v>
      </c>
      <c r="F135">
        <f t="shared" si="6"/>
        <v>-51.678961267380629</v>
      </c>
      <c r="G135" s="5">
        <f>B135-regressionsdep!Y$7</f>
        <v>-24.489496278706074</v>
      </c>
      <c r="H135" s="5">
        <f>B135+regressionsdep!Y$7</f>
        <v>-14.759979983031666</v>
      </c>
      <c r="I135">
        <f>IF($A135&lt;=regressionsdep!$J$2,$A135*regressionsdep!$J$1,regressionsdep!$J$1*regressionsdep!$J$2+regressionsdep!$J$3*($A135-regressionsdep!$J$2))</f>
        <v>-9.6321591812267364</v>
      </c>
      <c r="J135">
        <f>regressionsdep!H$1*A135+regressionsdep!H$2*A135^2</f>
        <v>-14.549738506754117</v>
      </c>
      <c r="K135">
        <f>regressionsdep!$T$1*A135</f>
        <v>-9.6321592559089932</v>
      </c>
      <c r="L135">
        <f>regressionsdep!$L$1*A135^2</f>
        <v>-21.828769054545148</v>
      </c>
      <c r="M135">
        <f>regressionsdep!$P$1*A135^2+regressionsdep!$P$2*A135^6</f>
        <v>-0.47530606308459156</v>
      </c>
      <c r="N135">
        <f>regressionsdep!$N$1*A135^2+regressionsdep!$N$2*A135^7</f>
        <v>-1.2464654577675383</v>
      </c>
      <c r="O135">
        <f>regressionsdep!R$2+regressionsdep!R$1*EXP(A135)</f>
        <v>-555.91743054147753</v>
      </c>
      <c r="P135" s="20">
        <f>(1-EXP(-2*regressionsdep!V$1*graphdep!A135))/2/EXP(-regressionsdep!V$1*A135)</f>
        <v>-47.362798240370992</v>
      </c>
      <c r="Q135" s="5"/>
      <c r="AT135" s="33"/>
      <c r="AW135" s="33"/>
      <c r="AZ135" s="33"/>
    </row>
    <row r="136" spans="1:52" x14ac:dyDescent="0.35">
      <c r="A136">
        <f t="shared" si="7"/>
        <v>11.299999999999976</v>
      </c>
      <c r="B136">
        <f t="shared" si="8"/>
        <v>-20.246635104081737</v>
      </c>
      <c r="C136">
        <f>regressionsdep!$AO$1*$A136</f>
        <v>11.902660879948817</v>
      </c>
      <c r="D136">
        <f>regressionsdep!$AM$1*$A136</f>
        <v>16.170210778686737</v>
      </c>
      <c r="E136">
        <f t="shared" ref="E136:E199" si="9">B136+2*C136</f>
        <v>3.5586866558158974</v>
      </c>
      <c r="F136">
        <f t="shared" ref="F136:F199" si="10">B136-2*D136</f>
        <v>-52.587056661455208</v>
      </c>
      <c r="G136" s="5">
        <f>B136-regressionsdep!Y$7</f>
        <v>-25.11139325191894</v>
      </c>
      <c r="H136" s="5">
        <f>B136+regressionsdep!Y$7</f>
        <v>-15.381876956244533</v>
      </c>
      <c r="I136">
        <f>IF($A136&lt;=regressionsdep!$J$2,$A136*regressionsdep!$J$1,regressionsdep!$J$1*regressionsdep!$J$2+regressionsdep!$J$3*($A136-regressionsdep!$J$2))</f>
        <v>-9.7181606024876892</v>
      </c>
      <c r="J136">
        <f>regressionsdep!H$1*A136+regressionsdep!H$2*A136^2</f>
        <v>-14.753532388845938</v>
      </c>
      <c r="K136">
        <f>regressionsdep!$T$1*A136</f>
        <v>-9.7181606778367531</v>
      </c>
      <c r="L136">
        <f>regressionsdep!$L$1*A136^2</f>
        <v>-22.220308678052216</v>
      </c>
      <c r="M136">
        <f>regressionsdep!$P$1*A136^2+regressionsdep!$P$2*A136^6</f>
        <v>0.38998008586117905</v>
      </c>
      <c r="N136">
        <f>regressionsdep!$N$1*A136^2+regressionsdep!$N$2*A136^7</f>
        <v>-0.26100614092421281</v>
      </c>
      <c r="O136">
        <f>regressionsdep!R$2+regressionsdep!R$1*EXP(A136)</f>
        <v>-614.3845765769978</v>
      </c>
      <c r="P136" s="20">
        <f>(1-EXP(-2*regressionsdep!V$1*graphdep!A136))/2/EXP(-regressionsdep!V$1*A136)</f>
        <v>-49.32744175501761</v>
      </c>
      <c r="Q136" s="5"/>
      <c r="AT136" s="33"/>
      <c r="AW136" s="33"/>
      <c r="AZ136" s="33"/>
    </row>
    <row r="137" spans="1:52" x14ac:dyDescent="0.35">
      <c r="A137">
        <f t="shared" ref="A137:A200" si="11">0.1+A136</f>
        <v>11.399999999999975</v>
      </c>
      <c r="B137">
        <f t="shared" si="8"/>
        <v>-20.911850727088343</v>
      </c>
      <c r="C137">
        <f>regressionsdep!$AO$1*$A137</f>
        <v>12.007994162072258</v>
      </c>
      <c r="D137">
        <f>regressionsdep!$AM$1*$A137</f>
        <v>16.313309989117592</v>
      </c>
      <c r="E137">
        <f t="shared" si="9"/>
        <v>3.1041375970561731</v>
      </c>
      <c r="F137">
        <f t="shared" si="10"/>
        <v>-53.538470705323526</v>
      </c>
      <c r="G137" s="5">
        <f>B137-regressionsdep!Y$7</f>
        <v>-25.776608874925547</v>
      </c>
      <c r="H137" s="5">
        <f>B137+regressionsdep!Y$7</f>
        <v>-16.047092579251139</v>
      </c>
      <c r="I137">
        <f>IF($A137&lt;=regressionsdep!$J$2,$A137*regressionsdep!$J$1,regressionsdep!$J$1*regressionsdep!$J$2+regressionsdep!$J$3*($A137-regressionsdep!$J$2))</f>
        <v>-9.804162023748642</v>
      </c>
      <c r="J137">
        <f>regressionsdep!H$1*A137+regressionsdep!H$2*A137^2</f>
        <v>-14.958633978947798</v>
      </c>
      <c r="K137">
        <f>regressionsdep!$T$1*A137</f>
        <v>-9.8041620997645111</v>
      </c>
      <c r="L137">
        <f>regressionsdep!$L$1*A137^2</f>
        <v>-22.615328653768234</v>
      </c>
      <c r="M137">
        <f>regressionsdep!$P$1*A137^2+regressionsdep!$P$2*A137^6</f>
        <v>1.3101857062282072</v>
      </c>
      <c r="N137">
        <f>regressionsdep!$N$1*A137^2+regressionsdep!$N$2*A137^7</f>
        <v>0.79704617834404701</v>
      </c>
      <c r="O137">
        <f>regressionsdep!R$2+regressionsdep!R$1*EXP(A137)</f>
        <v>-679.00076603833679</v>
      </c>
      <c r="P137" s="20">
        <f>(1-EXP(-2*regressionsdep!V$1*graphdep!A137))/2/EXP(-regressionsdep!V$1*A137)</f>
        <v>-51.373545238002215</v>
      </c>
      <c r="Q137" s="5"/>
      <c r="AT137" s="33"/>
      <c r="AW137" s="33"/>
      <c r="AZ137" s="33"/>
    </row>
    <row r="138" spans="1:52" x14ac:dyDescent="0.35">
      <c r="A138">
        <f t="shared" si="11"/>
        <v>11.499999999999975</v>
      </c>
      <c r="B138">
        <f t="shared" si="8"/>
        <v>-21.624990975014988</v>
      </c>
      <c r="C138">
        <f>regressionsdep!$AO$1*$A138</f>
        <v>12.113327444195699</v>
      </c>
      <c r="D138">
        <f>regressionsdep!$AM$1*$A138</f>
        <v>16.45640919954845</v>
      </c>
      <c r="E138">
        <f t="shared" si="9"/>
        <v>2.6016639133764095</v>
      </c>
      <c r="F138">
        <f t="shared" si="10"/>
        <v>-54.537809374111887</v>
      </c>
      <c r="G138" s="5">
        <f>B138-regressionsdep!Y$7</f>
        <v>-26.489749122852192</v>
      </c>
      <c r="H138" s="5">
        <f>B138+regressionsdep!Y$7</f>
        <v>-16.760232827177784</v>
      </c>
      <c r="I138">
        <f>IF($A138&lt;=regressionsdep!$J$2,$A138*regressionsdep!$J$1,regressionsdep!$J$1*regressionsdep!$J$2+regressionsdep!$J$3*($A138-regressionsdep!$J$2))</f>
        <v>-9.8901634450095965</v>
      </c>
      <c r="J138">
        <f>regressionsdep!H$1*A138+regressionsdep!H$2*A138^2</f>
        <v>-15.165043277059699</v>
      </c>
      <c r="K138">
        <f>regressionsdep!$T$1*A138</f>
        <v>-9.890163521692271</v>
      </c>
      <c r="L138">
        <f>regressionsdep!$L$1*A138^2</f>
        <v>-23.013828981693205</v>
      </c>
      <c r="M138">
        <f>regressionsdep!$P$1*A138^2+regressionsdep!$P$2*A138^6</f>
        <v>2.2874190810798858</v>
      </c>
      <c r="N138">
        <f>regressionsdep!$N$1*A138^2+regressionsdep!$N$2*A138^7</f>
        <v>1.9311261370625488</v>
      </c>
      <c r="O138">
        <f>regressionsdep!R$2+regressionsdep!R$1*EXP(A138)</f>
        <v>-750.41269946787475</v>
      </c>
      <c r="P138" s="20">
        <f>(1-EXP(-2*regressionsdep!V$1*graphdep!A138))/2/EXP(-regressionsdep!V$1*A138)</f>
        <v>-53.504487650791553</v>
      </c>
      <c r="Q138" s="5"/>
      <c r="AT138" s="33"/>
      <c r="AW138" s="33"/>
      <c r="AZ138" s="33"/>
    </row>
    <row r="139" spans="1:52" x14ac:dyDescent="0.35">
      <c r="A139">
        <f t="shared" si="11"/>
        <v>11.599999999999975</v>
      </c>
      <c r="B139">
        <f t="shared" si="8"/>
        <v>-22.391159983948086</v>
      </c>
      <c r="C139">
        <f>regressionsdep!$AO$1*$A139</f>
        <v>12.21866072631914</v>
      </c>
      <c r="D139">
        <f>regressionsdep!$AM$1*$A139</f>
        <v>16.599508409979304</v>
      </c>
      <c r="E139">
        <f t="shared" si="9"/>
        <v>2.0461614686901939</v>
      </c>
      <c r="F139">
        <f t="shared" si="10"/>
        <v>-55.590176803906694</v>
      </c>
      <c r="G139" s="5">
        <f>B139-regressionsdep!Y$7</f>
        <v>-27.25591813178529</v>
      </c>
      <c r="H139" s="5">
        <f>B139+regressionsdep!Y$7</f>
        <v>-17.526401836110882</v>
      </c>
      <c r="I139">
        <f>IF($A139&lt;=regressionsdep!$J$2,$A139*regressionsdep!$J$1,regressionsdep!$J$1*regressionsdep!$J$2+regressionsdep!$J$3*($A139-regressionsdep!$J$2))</f>
        <v>-9.9761648662705493</v>
      </c>
      <c r="J139">
        <f>regressionsdep!H$1*A139+regressionsdep!H$2*A139^2</f>
        <v>-15.372760283181638</v>
      </c>
      <c r="K139">
        <f>regressionsdep!$T$1*A139</f>
        <v>-9.976164943620029</v>
      </c>
      <c r="L139">
        <f>regressionsdep!$L$1*A139^2</f>
        <v>-23.415809661827126</v>
      </c>
      <c r="M139">
        <f>regressionsdep!$P$1*A139^2+regressionsdep!$P$2*A139^6</f>
        <v>3.3238447092475489</v>
      </c>
      <c r="N139">
        <f>regressionsdep!$N$1*A139^2+regressionsdep!$N$2*A139^7</f>
        <v>3.1447910186541073</v>
      </c>
      <c r="O139">
        <f>regressionsdep!R$2+regressionsdep!R$1*EXP(A139)</f>
        <v>-829.33509149775409</v>
      </c>
      <c r="P139" s="20">
        <f>(1-EXP(-2*regressionsdep!V$1*graphdep!A139))/2/EXP(-regressionsdep!V$1*A139)</f>
        <v>-55.723788058946177</v>
      </c>
      <c r="Q139" s="5"/>
      <c r="AT139" s="33"/>
      <c r="AW139" s="33"/>
      <c r="AZ139" s="33"/>
    </row>
    <row r="140" spans="1:52" x14ac:dyDescent="0.35">
      <c r="A140">
        <f t="shared" si="11"/>
        <v>11.699999999999974</v>
      </c>
      <c r="B140">
        <f t="shared" si="8"/>
        <v>-23.216012760858774</v>
      </c>
      <c r="C140">
        <f>regressionsdep!$AO$1*$A140</f>
        <v>12.323994008442581</v>
      </c>
      <c r="D140">
        <f>regressionsdep!$AM$1*$A140</f>
        <v>16.742607620410162</v>
      </c>
      <c r="E140">
        <f t="shared" si="9"/>
        <v>1.4319752560263872</v>
      </c>
      <c r="F140">
        <f t="shared" si="10"/>
        <v>-56.701228001679098</v>
      </c>
      <c r="G140" s="5">
        <f>B140-regressionsdep!Y$7</f>
        <v>-28.080770908695978</v>
      </c>
      <c r="H140" s="5">
        <f>B140+regressionsdep!Y$7</f>
        <v>-18.35125461302157</v>
      </c>
      <c r="I140">
        <f>IF($A140&lt;=regressionsdep!$J$2,$A140*regressionsdep!$J$1,regressionsdep!$J$1*regressionsdep!$J$2+regressionsdep!$J$3*($A140-regressionsdep!$J$2))</f>
        <v>-10.062166287531502</v>
      </c>
      <c r="J140">
        <f>regressionsdep!H$1*A140+regressionsdep!H$2*A140^2</f>
        <v>-15.581784997313616</v>
      </c>
      <c r="K140">
        <f>regressionsdep!$T$1*A140</f>
        <v>-10.062166365547787</v>
      </c>
      <c r="L140">
        <f>regressionsdep!$L$1*A140^2</f>
        <v>-23.82127069417</v>
      </c>
      <c r="M140">
        <f>regressionsdep!$P$1*A140^2+regressionsdep!$P$2*A140^6</f>
        <v>4.4216842958723142</v>
      </c>
      <c r="N140">
        <f>regressionsdep!$N$1*A140^2+regressionsdep!$N$2*A140^7</f>
        <v>4.441724008702689</v>
      </c>
      <c r="O140">
        <f>regressionsdep!R$2+regressionsdep!R$1*EXP(A140)</f>
        <v>-916.55782395414212</v>
      </c>
      <c r="P140" s="20">
        <f>(1-EXP(-2*regressionsdep!V$1*graphdep!A140))/2/EXP(-regressionsdep!V$1*A140)</f>
        <v>-58.03511144355069</v>
      </c>
      <c r="Q140" s="5"/>
      <c r="AT140" s="33"/>
      <c r="AW140" s="33"/>
      <c r="AZ140" s="33"/>
    </row>
    <row r="141" spans="1:52" x14ac:dyDescent="0.35">
      <c r="A141">
        <f t="shared" si="11"/>
        <v>11.799999999999974</v>
      </c>
      <c r="B141">
        <f t="shared" si="8"/>
        <v>-24.105813424623499</v>
      </c>
      <c r="C141">
        <f>regressionsdep!$AO$1*$A141</f>
        <v>12.42932729056602</v>
      </c>
      <c r="D141">
        <f>regressionsdep!$AM$1*$A141</f>
        <v>16.885706830841016</v>
      </c>
      <c r="E141">
        <f t="shared" si="9"/>
        <v>0.75284115650854133</v>
      </c>
      <c r="F141">
        <f t="shared" si="10"/>
        <v>-57.877227086305531</v>
      </c>
      <c r="G141" s="5">
        <f>B141-regressionsdep!Y$7</f>
        <v>-28.970571572460702</v>
      </c>
      <c r="H141" s="5">
        <f>B141+regressionsdep!Y$7</f>
        <v>-19.241055276786295</v>
      </c>
      <c r="I141">
        <f>IF($A141&lt;=regressionsdep!$J$2,$A141*regressionsdep!$J$1,regressionsdep!$J$1*regressionsdep!$J$2+regressionsdep!$J$3*($A141-regressionsdep!$J$2))</f>
        <v>-10.148167708792455</v>
      </c>
      <c r="J141">
        <f>regressionsdep!H$1*A141+regressionsdep!H$2*A141^2</f>
        <v>-15.792117419455636</v>
      </c>
      <c r="K141">
        <f>regressionsdep!$T$1*A141</f>
        <v>-10.148167787475547</v>
      </c>
      <c r="L141">
        <f>regressionsdep!$L$1*A141^2</f>
        <v>-24.230212078721827</v>
      </c>
      <c r="M141">
        <f>regressionsdep!$P$1*A141^2+regressionsdep!$P$2*A141^6</f>
        <v>5.5832177515977648</v>
      </c>
      <c r="N141">
        <f>regressionsdep!$N$1*A141^2+regressionsdep!$N$2*A141^7</f>
        <v>5.8257375078326241</v>
      </c>
      <c r="O141">
        <f>regressionsdep!R$2+regressionsdep!R$1*EXP(A141)</f>
        <v>-1012.9538512600351</v>
      </c>
      <c r="P141" s="20">
        <f>(1-EXP(-2*regressionsdep!V$1*graphdep!A141))/2/EXP(-regressionsdep!V$1*A141)</f>
        <v>-60.442274753610128</v>
      </c>
      <c r="Q141" s="5"/>
      <c r="AT141" s="33"/>
      <c r="AW141" s="33"/>
      <c r="AZ141" s="33"/>
    </row>
    <row r="142" spans="1:52" x14ac:dyDescent="0.35">
      <c r="A142">
        <f t="shared" si="11"/>
        <v>11.899999999999974</v>
      </c>
      <c r="B142">
        <f t="shared" si="8"/>
        <v>-25.067499558261737</v>
      </c>
      <c r="C142">
        <f>regressionsdep!$AO$1*$A142</f>
        <v>12.534660572689461</v>
      </c>
      <c r="D142">
        <f>regressionsdep!$AM$1*$A142</f>
        <v>17.028806041271871</v>
      </c>
      <c r="E142">
        <f t="shared" si="9"/>
        <v>1.8215871171847198E-3</v>
      </c>
      <c r="F142">
        <f t="shared" si="10"/>
        <v>-59.125111640805478</v>
      </c>
      <c r="G142" s="5">
        <f>B142-regressionsdep!Y$7</f>
        <v>-29.932257706098941</v>
      </c>
      <c r="H142" s="5">
        <f>B142+regressionsdep!Y$7</f>
        <v>-20.202741410424533</v>
      </c>
      <c r="I142">
        <f>IF($A142&lt;=regressionsdep!$J$2,$A142*regressionsdep!$J$1,regressionsdep!$J$1*regressionsdep!$J$2+regressionsdep!$J$3*($A142-regressionsdep!$J$2))</f>
        <v>-10.234169130053408</v>
      </c>
      <c r="J142">
        <f>regressionsdep!H$1*A142+regressionsdep!H$2*A142^2</f>
        <v>-16.003757549607691</v>
      </c>
      <c r="K142">
        <f>regressionsdep!$T$1*A142</f>
        <v>-10.234169209403305</v>
      </c>
      <c r="L142">
        <f>regressionsdep!$L$1*A142^2</f>
        <v>-24.642633815482608</v>
      </c>
      <c r="M142">
        <f>regressionsdep!$P$1*A142^2+regressionsdep!$P$2*A142^6</f>
        <v>6.8107842004138419</v>
      </c>
      <c r="N142">
        <f>regressionsdep!$N$1*A142^2+regressionsdep!$N$2*A142^7</f>
        <v>7.3007765022003959</v>
      </c>
      <c r="O142">
        <f>regressionsdep!R$2+regressionsdep!R$1*EXP(A142)</f>
        <v>-1119.4879372565335</v>
      </c>
      <c r="P142" s="20">
        <f>(1-EXP(-2*regressionsdep!V$1*graphdep!A142))/2/EXP(-regressionsdep!V$1*A142)</f>
        <v>-62.949253209408504</v>
      </c>
      <c r="Q142" s="5"/>
      <c r="AT142" s="33"/>
      <c r="AW142" s="33"/>
      <c r="AZ142" s="33"/>
    </row>
    <row r="143" spans="1:52" x14ac:dyDescent="0.35">
      <c r="A143">
        <f t="shared" si="11"/>
        <v>11.999999999999973</v>
      </c>
      <c r="B143">
        <f t="shared" si="8"/>
        <v>-26.108753313433354</v>
      </c>
      <c r="C143">
        <f>regressionsdep!$AO$1*$A143</f>
        <v>12.639993854812902</v>
      </c>
      <c r="D143">
        <f>regressionsdep!$AM$1*$A143</f>
        <v>17.171905251702729</v>
      </c>
      <c r="E143">
        <f t="shared" si="9"/>
        <v>-0.82876560380755038</v>
      </c>
      <c r="F143">
        <f t="shared" si="10"/>
        <v>-60.452563816838811</v>
      </c>
      <c r="G143" s="5">
        <f>B143-regressionsdep!Y$7</f>
        <v>-30.973511461270558</v>
      </c>
      <c r="H143" s="5">
        <f>B143+regressionsdep!Y$7</f>
        <v>-21.24399516559615</v>
      </c>
      <c r="I143">
        <f>IF($A143&lt;=regressionsdep!$J$2,$A143*regressionsdep!$J$1,regressionsdep!$J$1*regressionsdep!$J$2+regressionsdep!$J$3*($A143-regressionsdep!$J$2))</f>
        <v>-10.32017055131436</v>
      </c>
      <c r="J143">
        <f>regressionsdep!H$1*A143+regressionsdep!H$2*A143^2</f>
        <v>-16.216705387769792</v>
      </c>
      <c r="K143">
        <f>regressionsdep!$T$1*A143</f>
        <v>-10.320170631331065</v>
      </c>
      <c r="L143">
        <f>regressionsdep!$L$1*A143^2</f>
        <v>-25.058535904452338</v>
      </c>
      <c r="M143">
        <f>regressionsdep!$P$1*A143^2+regressionsdep!$P$2*A143^6</f>
        <v>8.106782996151555</v>
      </c>
      <c r="N143">
        <f>regressionsdep!$N$1*A143^2+regressionsdep!$N$2*A143^7</f>
        <v>8.8709219920953579</v>
      </c>
      <c r="O143">
        <f>regressionsdep!R$2+regressionsdep!R$1*EXP(A143)</f>
        <v>-1237.2263108836341</v>
      </c>
      <c r="P143" s="20">
        <f>(1-EXP(-2*regressionsdep!V$1*graphdep!A143))/2/EXP(-regressionsdep!V$1*A143)</f>
        <v>-65.560186867238414</v>
      </c>
      <c r="Q143" s="5"/>
      <c r="AT143" s="33"/>
      <c r="AW143" s="33"/>
      <c r="AZ143" s="33"/>
    </row>
    <row r="144" spans="1:52" x14ac:dyDescent="0.35">
      <c r="A144">
        <f t="shared" si="11"/>
        <v>12.099999999999973</v>
      </c>
      <c r="B144">
        <f t="shared" si="8"/>
        <v>-27.238079975562592</v>
      </c>
      <c r="C144">
        <f>regressionsdep!$AO$1*$A144</f>
        <v>12.745327136936343</v>
      </c>
      <c r="D144">
        <f>regressionsdep!$AM$1*$A144</f>
        <v>17.315004462133583</v>
      </c>
      <c r="E144">
        <f t="shared" si="9"/>
        <v>-1.747425701689906</v>
      </c>
      <c r="F144">
        <f t="shared" si="10"/>
        <v>-61.868088899829758</v>
      </c>
      <c r="G144" s="5">
        <f>B144-regressionsdep!Y$7</f>
        <v>-32.102838123399792</v>
      </c>
      <c r="H144" s="5">
        <f>B144+regressionsdep!Y$7</f>
        <v>-22.373321827725388</v>
      </c>
      <c r="I144">
        <f>IF($A144&lt;=regressionsdep!$J$2,$A144*regressionsdep!$J$1,regressionsdep!$J$1*regressionsdep!$J$2+regressionsdep!$J$3*($A144-regressionsdep!$J$2))</f>
        <v>-10.406171972575313</v>
      </c>
      <c r="J144">
        <f>regressionsdep!H$1*A144+regressionsdep!H$2*A144^2</f>
        <v>-16.430960933941925</v>
      </c>
      <c r="K144">
        <f>regressionsdep!$T$1*A144</f>
        <v>-10.406172053258823</v>
      </c>
      <c r="L144">
        <f>regressionsdep!$L$1*A144^2</f>
        <v>-25.477918345631014</v>
      </c>
      <c r="M144">
        <f>regressionsdep!$P$1*A144^2+regressionsdep!$P$2*A144^6</f>
        <v>9.4736747476289089</v>
      </c>
      <c r="N144">
        <f>regressionsdep!$N$1*A144^2+regressionsdep!$N$2*A144^7</f>
        <v>10.540394479146318</v>
      </c>
      <c r="O144">
        <f>regressionsdep!R$2+regressionsdep!R$1*EXP(A144)</f>
        <v>-1367.3473373578304</v>
      </c>
      <c r="P144" s="20">
        <f>(1-EXP(-2*regressionsdep!V$1*graphdep!A144))/2/EXP(-regressionsdep!V$1*A144)</f>
        <v>-68.279387456342761</v>
      </c>
      <c r="Q144" s="5"/>
      <c r="AT144" s="33"/>
      <c r="AW144" s="33"/>
      <c r="AZ144" s="33"/>
    </row>
    <row r="145" spans="1:52" x14ac:dyDescent="0.35">
      <c r="A145">
        <f t="shared" si="11"/>
        <v>12.199999999999973</v>
      </c>
      <c r="B145">
        <f t="shared" si="8"/>
        <v>-28.464894772357045</v>
      </c>
      <c r="C145">
        <f>regressionsdep!$AO$1*$A145</f>
        <v>12.850660419059784</v>
      </c>
      <c r="D145">
        <f>regressionsdep!$AM$1*$A145</f>
        <v>17.458103672564441</v>
      </c>
      <c r="E145">
        <f t="shared" si="9"/>
        <v>-2.7635739342374777</v>
      </c>
      <c r="F145">
        <f t="shared" si="10"/>
        <v>-63.381102117485923</v>
      </c>
      <c r="G145" s="5">
        <f>B145-regressionsdep!Y$7</f>
        <v>-33.329652920194249</v>
      </c>
      <c r="H145" s="5">
        <f>B145+regressionsdep!Y$7</f>
        <v>-23.600136624519841</v>
      </c>
      <c r="I145">
        <f>IF($A145&lt;=regressionsdep!$J$2,$A145*regressionsdep!$J$1,regressionsdep!$J$1*regressionsdep!$J$2+regressionsdep!$J$3*($A145-regressionsdep!$J$2))</f>
        <v>-10.492173393836266</v>
      </c>
      <c r="J145">
        <f>regressionsdep!H$1*A145+regressionsdep!H$2*A145^2</f>
        <v>-16.646524188124101</v>
      </c>
      <c r="K145">
        <f>regressionsdep!$T$1*A145</f>
        <v>-10.492173475186581</v>
      </c>
      <c r="L145">
        <f>regressionsdep!$L$1*A145^2</f>
        <v>-25.900781139018648</v>
      </c>
      <c r="M145">
        <f>regressionsdep!$P$1*A145^2+regressionsdep!$P$2*A145^6</f>
        <v>10.913982352447743</v>
      </c>
      <c r="N145">
        <f>regressionsdep!$N$1*A145^2+regressionsdep!$N$2*A145^7</f>
        <v>12.313557512630418</v>
      </c>
      <c r="O145">
        <f>regressionsdep!R$2+regressionsdep!R$1*EXP(A145)</f>
        <v>-1511.1533116472635</v>
      </c>
      <c r="P145" s="20">
        <f>(1-EXP(-2*regressionsdep!V$1*graphdep!A145))/2/EXP(-regressionsdep!V$1*A145)</f>
        <v>-71.111345499360013</v>
      </c>
      <c r="Q145" s="5"/>
      <c r="AT145" s="33"/>
      <c r="AW145" s="33"/>
      <c r="AZ145" s="33"/>
    </row>
    <row r="146" spans="1:52" x14ac:dyDescent="0.35">
      <c r="A146">
        <f t="shared" si="11"/>
        <v>12.299999999999972</v>
      </c>
      <c r="B146">
        <f t="shared" si="8"/>
        <v>-29.799618790710909</v>
      </c>
      <c r="C146">
        <f>regressionsdep!$AO$1*$A146</f>
        <v>12.955993701183225</v>
      </c>
      <c r="D146">
        <f>regressionsdep!$AM$1*$A146</f>
        <v>17.601202882995295</v>
      </c>
      <c r="E146">
        <f t="shared" si="9"/>
        <v>-3.8876313883444595</v>
      </c>
      <c r="F146">
        <f t="shared" si="10"/>
        <v>-65.0020245567015</v>
      </c>
      <c r="G146" s="5">
        <f>B146-regressionsdep!Y$7</f>
        <v>-34.664376938548109</v>
      </c>
      <c r="H146" s="5">
        <f>B146+regressionsdep!Y$7</f>
        <v>-24.934860642873705</v>
      </c>
      <c r="I146">
        <f>IF($A146&lt;=regressionsdep!$J$2,$A146*regressionsdep!$J$1,regressionsdep!$J$1*regressionsdep!$J$2+regressionsdep!$J$3*($A146-regressionsdep!$J$2))</f>
        <v>-10.578174815097219</v>
      </c>
      <c r="J146">
        <f>regressionsdep!H$1*A146+regressionsdep!H$2*A146^2</f>
        <v>-16.863395150316318</v>
      </c>
      <c r="K146">
        <f>regressionsdep!$T$1*A146</f>
        <v>-10.578174897114341</v>
      </c>
      <c r="L146">
        <f>regressionsdep!$L$1*A146^2</f>
        <v>-26.32712428461523</v>
      </c>
      <c r="M146">
        <f>regressionsdep!$P$1*A146^2+regressionsdep!$P$2*A146^6</f>
        <v>12.430292039441575</v>
      </c>
      <c r="N146">
        <f>regressionsdep!$N$1*A146^2+regressionsdep!$N$2*A146^7</f>
        <v>14.194921295381096</v>
      </c>
      <c r="O146">
        <f>regressionsdep!R$2+regressionsdep!R$1*EXP(A146)</f>
        <v>-1670.0834922774791</v>
      </c>
      <c r="P146" s="20">
        <f>(1-EXP(-2*regressionsdep!V$1*graphdep!A146))/2/EXP(-regressionsdep!V$1*A146)</f>
        <v>-74.060737728030318</v>
      </c>
      <c r="Q146" s="5"/>
      <c r="AT146" s="33"/>
      <c r="AW146" s="33"/>
      <c r="AZ146" s="33"/>
    </row>
    <row r="147" spans="1:52" x14ac:dyDescent="0.35">
      <c r="A147">
        <f t="shared" si="11"/>
        <v>12.399999999999972</v>
      </c>
      <c r="B147">
        <f t="shared" si="8"/>
        <v>-31.253784957846868</v>
      </c>
      <c r="C147">
        <f>regressionsdep!$AO$1*$A147</f>
        <v>13.061326983306666</v>
      </c>
      <c r="D147">
        <f>regressionsdep!$AM$1*$A147</f>
        <v>17.74430209342615</v>
      </c>
      <c r="E147">
        <f t="shared" si="9"/>
        <v>-5.1311309912335368</v>
      </c>
      <c r="F147">
        <f t="shared" si="10"/>
        <v>-66.74238914469916</v>
      </c>
      <c r="G147" s="5">
        <f>B147-regressionsdep!Y$7</f>
        <v>-36.118543105684068</v>
      </c>
      <c r="H147" s="5">
        <f>B147+regressionsdep!Y$7</f>
        <v>-26.389026810009664</v>
      </c>
      <c r="I147">
        <f>IF($A147&lt;=regressionsdep!$J$2,$A147*regressionsdep!$J$1,regressionsdep!$J$1*regressionsdep!$J$2+regressionsdep!$J$3*($A147-regressionsdep!$J$2))</f>
        <v>-10.664176236358172</v>
      </c>
      <c r="J147">
        <f>regressionsdep!H$1*A147+regressionsdep!H$2*A147^2</f>
        <v>-17.081573820518575</v>
      </c>
      <c r="K147">
        <f>regressionsdep!$T$1*A147</f>
        <v>-10.664176319042099</v>
      </c>
      <c r="L147">
        <f>regressionsdep!$L$1*A147^2</f>
        <v>-26.75694778242077</v>
      </c>
      <c r="M147">
        <f>regressionsdep!$P$1*A147^2+regressionsdep!$P$2*A147^6</f>
        <v>14.025254419774505</v>
      </c>
      <c r="N147">
        <f>regressionsdep!$N$1*A147^2+regressionsdep!$N$2*A147^7</f>
        <v>16.189146349791752</v>
      </c>
      <c r="O147">
        <f>regressionsdep!R$2+regressionsdep!R$1*EXP(A147)</f>
        <v>-1845.7285059145029</v>
      </c>
      <c r="P147" s="20">
        <f>(1-EXP(-2*regressionsdep!V$1*graphdep!A147))/2/EXP(-regressionsdep!V$1*A147)</f>
        <v>-77.132434806410373</v>
      </c>
      <c r="Q147" s="5"/>
      <c r="AT147" s="33"/>
      <c r="AW147" s="33"/>
      <c r="AZ147" s="33"/>
    </row>
    <row r="148" spans="1:52" x14ac:dyDescent="0.35">
      <c r="A148">
        <f t="shared" si="11"/>
        <v>12.499999999999972</v>
      </c>
      <c r="B148">
        <f t="shared" si="8"/>
        <v>-32.840155142966168</v>
      </c>
      <c r="C148">
        <f>regressionsdep!$AO$1*$A148</f>
        <v>13.166660265430107</v>
      </c>
      <c r="D148">
        <f>regressionsdep!$AM$1*$A148</f>
        <v>17.887401303857008</v>
      </c>
      <c r="E148">
        <f t="shared" si="9"/>
        <v>-6.5068346121059548</v>
      </c>
      <c r="F148">
        <f t="shared" si="10"/>
        <v>-68.61495775068019</v>
      </c>
      <c r="G148" s="5">
        <f>B148-regressionsdep!Y$7</f>
        <v>-37.704913290803368</v>
      </c>
      <c r="H148" s="5">
        <f>B148+regressionsdep!Y$7</f>
        <v>-27.975396995128964</v>
      </c>
      <c r="I148">
        <f>IF($A148&lt;=regressionsdep!$J$2,$A148*regressionsdep!$J$1,regressionsdep!$J$1*regressionsdep!$J$2+regressionsdep!$J$3*($A148-regressionsdep!$J$2))</f>
        <v>-10.750177657619124</v>
      </c>
      <c r="J148">
        <f>regressionsdep!H$1*A148+regressionsdep!H$2*A148^2</f>
        <v>-17.30106019873087</v>
      </c>
      <c r="K148">
        <f>regressionsdep!$T$1*A148</f>
        <v>-10.750177740969859</v>
      </c>
      <c r="L148">
        <f>regressionsdep!$L$1*A148^2</f>
        <v>-27.190251632435256</v>
      </c>
      <c r="M148">
        <f>regressionsdep!$P$1*A148^2+regressionsdep!$P$2*A148^6</f>
        <v>15.701585546691149</v>
      </c>
      <c r="N148">
        <f>regressionsdep!$N$1*A148^2+regressionsdep!$N$2*A148^7</f>
        <v>18.301047244411716</v>
      </c>
      <c r="O148">
        <f>regressionsdep!R$2+regressionsdep!R$1*EXP(A148)</f>
        <v>-2039.8462668911425</v>
      </c>
      <c r="P148" s="20">
        <f>(1-EXP(-2*regressionsdep!V$1*graphdep!A148))/2/EXP(-regressionsdep!V$1*A148)</f>
        <v>-80.331509374350333</v>
      </c>
      <c r="Q148" s="5"/>
      <c r="AT148" s="33"/>
      <c r="AW148" s="33"/>
      <c r="AZ148" s="33"/>
    </row>
    <row r="149" spans="1:52" x14ac:dyDescent="0.35">
      <c r="A149">
        <f t="shared" si="11"/>
        <v>12.599999999999971</v>
      </c>
      <c r="B149">
        <f t="shared" si="8"/>
        <v>-34.572849546648683</v>
      </c>
      <c r="C149">
        <f>regressionsdep!$AO$1*$A149</f>
        <v>13.271993547553546</v>
      </c>
      <c r="D149">
        <f>regressionsdep!$AM$1*$A149</f>
        <v>18.030500514287862</v>
      </c>
      <c r="E149">
        <f t="shared" si="9"/>
        <v>-8.0288624515415918</v>
      </c>
      <c r="F149">
        <f t="shared" si="10"/>
        <v>-70.633850575224415</v>
      </c>
      <c r="G149" s="5">
        <f>B149-regressionsdep!Y$7</f>
        <v>-39.437607694485884</v>
      </c>
      <c r="H149" s="5">
        <f>B149+regressionsdep!Y$7</f>
        <v>-29.708091398811479</v>
      </c>
      <c r="I149">
        <f>IF($A149&lt;=regressionsdep!$J$2,$A149*regressionsdep!$J$1,regressionsdep!$J$1*regressionsdep!$J$2+regressionsdep!$J$3*($A149-regressionsdep!$J$2))</f>
        <v>-10.836179078880077</v>
      </c>
      <c r="J149">
        <f>regressionsdep!H$1*A149+regressionsdep!H$2*A149^2</f>
        <v>-17.521854284953204</v>
      </c>
      <c r="K149">
        <f>regressionsdep!$T$1*A149</f>
        <v>-10.836179162897617</v>
      </c>
      <c r="L149">
        <f>regressionsdep!$L$1*A149^2</f>
        <v>-27.627035834658695</v>
      </c>
      <c r="M149">
        <f>regressionsdep!$P$1*A149^2+regressionsdep!$P$2*A149^6</f>
        <v>17.462067983917581</v>
      </c>
      <c r="N149">
        <f>regressionsdep!$N$1*A149^2+regressionsdep!$N$2*A149^7</f>
        <v>20.535596381631425</v>
      </c>
      <c r="O149">
        <f>regressionsdep!R$2+regressionsdep!R$1*EXP(A149)</f>
        <v>-2254.3795710044838</v>
      </c>
      <c r="P149" s="20">
        <f>(1-EXP(-2*regressionsdep!V$1*graphdep!A149))/2/EXP(-regressionsdep!V$1*A149)</f>
        <v>-83.663244424515867</v>
      </c>
      <c r="Q149" s="5"/>
      <c r="AT149" s="33"/>
      <c r="AW149" s="33"/>
      <c r="AZ149" s="33"/>
    </row>
    <row r="150" spans="1:52" x14ac:dyDescent="0.35">
      <c r="A150">
        <f t="shared" si="11"/>
        <v>12.699999999999971</v>
      </c>
      <c r="B150">
        <f t="shared" si="8"/>
        <v>-36.467489667882532</v>
      </c>
      <c r="C150">
        <f>regressionsdep!$AO$1*$A150</f>
        <v>13.377326829676987</v>
      </c>
      <c r="D150">
        <f>regressionsdep!$AM$1*$A150</f>
        <v>18.17359972471872</v>
      </c>
      <c r="E150">
        <f t="shared" si="9"/>
        <v>-9.7128360085285586</v>
      </c>
      <c r="F150">
        <f t="shared" si="10"/>
        <v>-72.814689117319972</v>
      </c>
      <c r="G150" s="5">
        <f>B150-regressionsdep!Y$7</f>
        <v>-41.332247815719732</v>
      </c>
      <c r="H150" s="5">
        <f>B150+regressionsdep!Y$7</f>
        <v>-31.602731520045328</v>
      </c>
      <c r="I150">
        <f>IF($A150&lt;=regressionsdep!$J$2,$A150*regressionsdep!$J$1,regressionsdep!$J$1*regressionsdep!$J$2+regressionsdep!$J$3*($A150-regressionsdep!$J$2))</f>
        <v>-10.92218050014103</v>
      </c>
      <c r="J150">
        <f>regressionsdep!H$1*A150+regressionsdep!H$2*A150^2</f>
        <v>-17.743956079185576</v>
      </c>
      <c r="K150">
        <f>regressionsdep!$T$1*A150</f>
        <v>-10.922180584825375</v>
      </c>
      <c r="L150">
        <f>regressionsdep!$L$1*A150^2</f>
        <v>-28.067300389091084</v>
      </c>
      <c r="M150">
        <f>regressionsdep!$P$1*A150^2+regressionsdep!$P$2*A150^6</f>
        <v>19.309551882713233</v>
      </c>
      <c r="N150">
        <f>regressionsdep!$N$1*A150^2+regressionsdep!$N$2*A150^7</f>
        <v>22.897927846953017</v>
      </c>
      <c r="O150">
        <f>regressionsdep!R$2+regressionsdep!R$1*EXP(A150)</f>
        <v>-2491.4755396692276</v>
      </c>
      <c r="P150" s="20">
        <f>(1-EXP(-2*regressionsdep!V$1*graphdep!A150))/2/EXP(-regressionsdep!V$1*A150)</f>
        <v>-87.133142026790253</v>
      </c>
      <c r="Q150" s="5"/>
      <c r="AT150" s="33"/>
      <c r="AW150" s="33"/>
      <c r="AZ150" s="33"/>
    </row>
    <row r="151" spans="1:52" x14ac:dyDescent="0.35">
      <c r="A151">
        <f t="shared" si="11"/>
        <v>12.799999999999971</v>
      </c>
      <c r="B151">
        <f t="shared" si="8"/>
        <v>-38.541356274132809</v>
      </c>
      <c r="C151">
        <f>regressionsdep!$AO$1*$A151</f>
        <v>13.482660111800428</v>
      </c>
      <c r="D151">
        <f>regressionsdep!$AM$1*$A151</f>
        <v>18.316698935149574</v>
      </c>
      <c r="E151">
        <f t="shared" si="9"/>
        <v>-11.576036050531954</v>
      </c>
      <c r="F151">
        <f t="shared" si="10"/>
        <v>-75.174754144431958</v>
      </c>
      <c r="G151" s="5">
        <f>B151-regressionsdep!Y$7</f>
        <v>-43.40611442197001</v>
      </c>
      <c r="H151" s="5">
        <f>B151+regressionsdep!Y$7</f>
        <v>-33.676598126295609</v>
      </c>
      <c r="I151">
        <f>IF($A151&lt;=regressionsdep!$J$2,$A151*regressionsdep!$J$1,regressionsdep!$J$1*regressionsdep!$J$2+regressionsdep!$J$3*($A151-regressionsdep!$J$2))</f>
        <v>-11.008181921401983</v>
      </c>
      <c r="J151">
        <f>regressionsdep!H$1*A151+regressionsdep!H$2*A151^2</f>
        <v>-17.967365581427991</v>
      </c>
      <c r="K151">
        <f>regressionsdep!$T$1*A151</f>
        <v>-11.008182006753135</v>
      </c>
      <c r="L151">
        <f>regressionsdep!$L$1*A151^2</f>
        <v>-28.511045295732426</v>
      </c>
      <c r="M151">
        <f>regressionsdep!$P$1*A151^2+regressionsdep!$P$2*A151^6</f>
        <v>21.246956067573979</v>
      </c>
      <c r="N151">
        <f>regressionsdep!$N$1*A151^2+regressionsdep!$N$2*A151^7</f>
        <v>25.393341320343556</v>
      </c>
      <c r="O151">
        <f>regressionsdep!R$2+regressionsdep!R$1*EXP(A151)</f>
        <v>-2753.5071090304768</v>
      </c>
      <c r="P151" s="20">
        <f>(1-EXP(-2*regressionsdep!V$1*graphdep!A151))/2/EXP(-regressionsdep!V$1*A151)</f>
        <v>-90.746932414462776</v>
      </c>
      <c r="Q151" s="5"/>
      <c r="AT151" s="33"/>
      <c r="AW151" s="33"/>
      <c r="AZ151" s="33"/>
    </row>
    <row r="152" spans="1:52" x14ac:dyDescent="0.35">
      <c r="A152">
        <f t="shared" si="11"/>
        <v>12.89999999999997</v>
      </c>
      <c r="B152">
        <f t="shared" si="8"/>
        <v>-40.975282151058693</v>
      </c>
      <c r="C152">
        <f>regressionsdep!$AO$1*$A152</f>
        <v>13.587993393923869</v>
      </c>
      <c r="D152">
        <f>regressionsdep!$AM$1*$A152</f>
        <v>18.459798145580432</v>
      </c>
      <c r="E152">
        <f t="shared" si="9"/>
        <v>-13.799295363210955</v>
      </c>
      <c r="F152">
        <f t="shared" si="10"/>
        <v>-77.89487844221955</v>
      </c>
      <c r="G152" s="5">
        <f>B152-regressionsdep!Y$7</f>
        <v>-45.840040298895893</v>
      </c>
      <c r="H152" s="5">
        <f>B152+regressionsdep!Y$7</f>
        <v>-36.110524003221492</v>
      </c>
      <c r="I152">
        <f>IF($A152&lt;=regressionsdep!$J$2,$A152*regressionsdep!$J$1,regressionsdep!$J$1*regressionsdep!$J$2+regressionsdep!$J$3*($A152-regressionsdep!$J$2))</f>
        <v>-12.171390212409069</v>
      </c>
      <c r="J152">
        <f>regressionsdep!H$1*A152+regressionsdep!H$2*A152^2</f>
        <v>-18.192082791680441</v>
      </c>
      <c r="K152">
        <f>regressionsdep!$T$1*A152</f>
        <v>-11.094183428680893</v>
      </c>
      <c r="L152">
        <f>regressionsdep!$L$1*A152^2</f>
        <v>-28.958270554582725</v>
      </c>
      <c r="M152">
        <f>regressionsdep!$P$1*A152^2+regressionsdep!$P$2*A152^6</f>
        <v>23.277269130585999</v>
      </c>
      <c r="N152">
        <f>regressionsdep!$N$1*A152^2+regressionsdep!$N$2*A152^7</f>
        <v>28.02730605016696</v>
      </c>
      <c r="O152">
        <f>regressionsdep!R$2+regressionsdep!R$1*EXP(A152)</f>
        <v>-3043.0967791062517</v>
      </c>
      <c r="P152" s="20">
        <f>(1-EXP(-2*regressionsdep!V$1*graphdep!A152))/2/EXP(-regressionsdep!V$1*A152)</f>
        <v>-94.510583447209186</v>
      </c>
      <c r="Q152" s="5"/>
      <c r="AT152" s="33"/>
      <c r="AW152" s="33"/>
      <c r="AZ152" s="33"/>
    </row>
    <row r="153" spans="1:52" x14ac:dyDescent="0.35">
      <c r="A153">
        <f t="shared" si="11"/>
        <v>12.99999999999997</v>
      </c>
      <c r="B153">
        <f t="shared" si="8"/>
        <v>-43.721699075259146</v>
      </c>
      <c r="C153">
        <f>regressionsdep!$AO$1*$A153</f>
        <v>13.69332667604731</v>
      </c>
      <c r="D153">
        <f>regressionsdep!$AM$1*$A153</f>
        <v>18.602897356011287</v>
      </c>
      <c r="E153">
        <f t="shared" si="9"/>
        <v>-16.335045723164527</v>
      </c>
      <c r="F153">
        <f t="shared" si="10"/>
        <v>-80.927493787281719</v>
      </c>
      <c r="G153" s="5">
        <f>B153-regressionsdep!Y$7</f>
        <v>-48.586457223096346</v>
      </c>
      <c r="H153" s="5">
        <f>B153+regressionsdep!Y$7</f>
        <v>-38.856940927421945</v>
      </c>
      <c r="I153">
        <f>IF($A153&lt;=regressionsdep!$J$2,$A153*regressionsdep!$J$1,regressionsdep!$J$1*regressionsdep!$J$2+regressionsdep!$J$3*($A153-regressionsdep!$J$2))</f>
        <v>-13.954130629236564</v>
      </c>
      <c r="J153">
        <f>regressionsdep!H$1*A153+regressionsdep!H$2*A153^2</f>
        <v>-18.418107709942934</v>
      </c>
      <c r="K153">
        <f>regressionsdep!$T$1*A153</f>
        <v>-11.180184850608653</v>
      </c>
      <c r="L153">
        <f>regressionsdep!$L$1*A153^2</f>
        <v>-29.408976165641967</v>
      </c>
      <c r="M153">
        <f>regressionsdep!$P$1*A153^2+regressionsdep!$P$2*A153^6</f>
        <v>25.403550534430849</v>
      </c>
      <c r="N153">
        <f>regressionsdep!$N$1*A153^2+regressionsdep!$N$2*A153^7</f>
        <v>30.805464890191825</v>
      </c>
      <c r="O153">
        <f>regressionsdep!R$2+regressionsdep!R$1*EXP(A153)</f>
        <v>-3363.1428606491199</v>
      </c>
      <c r="P153" s="20">
        <f>(1-EXP(-2*regressionsdep!V$1*graphdep!A153))/2/EXP(-regressionsdep!V$1*A153)</f>
        <v>-98.430310466491648</v>
      </c>
      <c r="Q153" s="5"/>
      <c r="AT153" s="33"/>
      <c r="AW153" s="33"/>
      <c r="AZ153" s="33"/>
    </row>
    <row r="154" spans="1:52" x14ac:dyDescent="0.35">
      <c r="A154">
        <f t="shared" si="11"/>
        <v>13.099999999999969</v>
      </c>
      <c r="B154">
        <f t="shared" si="8"/>
        <v>-46.710979399047076</v>
      </c>
      <c r="C154">
        <f>regressionsdep!$AO$1*$A154</f>
        <v>13.798659958170751</v>
      </c>
      <c r="D154">
        <f>regressionsdep!$AM$1*$A154</f>
        <v>18.745996566442141</v>
      </c>
      <c r="E154">
        <f t="shared" si="9"/>
        <v>-19.113659482705575</v>
      </c>
      <c r="F154">
        <f t="shared" si="10"/>
        <v>-84.202972531931351</v>
      </c>
      <c r="G154" s="5">
        <f>B154-regressionsdep!Y$7</f>
        <v>-51.575737546884277</v>
      </c>
      <c r="H154" s="5">
        <f>B154+regressionsdep!Y$7</f>
        <v>-41.846221251209876</v>
      </c>
      <c r="I154">
        <f>IF($A154&lt;=regressionsdep!$J$2,$A154*regressionsdep!$J$1,regressionsdep!$J$1*regressionsdep!$J$2+regressionsdep!$J$3*($A154-regressionsdep!$J$2))</f>
        <v>-15.73687104606406</v>
      </c>
      <c r="J154">
        <f>regressionsdep!H$1*A154+regressionsdep!H$2*A154^2</f>
        <v>-18.645440336215465</v>
      </c>
      <c r="K154">
        <f>regressionsdep!$T$1*A154</f>
        <v>-11.266186272536411</v>
      </c>
      <c r="L154">
        <f>regressionsdep!$L$1*A154^2</f>
        <v>-29.863162128910165</v>
      </c>
      <c r="M154">
        <f>regressionsdep!$P$1*A154^2+regressionsdep!$P$2*A154^6</f>
        <v>27.62893172404155</v>
      </c>
      <c r="N154">
        <f>regressionsdep!$N$1*A154^2+regressionsdep!$N$2*A154^7</f>
        <v>33.733638400171479</v>
      </c>
      <c r="O154">
        <f>regressionsdep!R$2+regressionsdep!R$1*EXP(A154)</f>
        <v>-3716.8484824143643</v>
      </c>
      <c r="P154" s="20">
        <f>(1-EXP(-2*regressionsdep!V$1*graphdep!A154))/2/EXP(-regressionsdep!V$1*A154)</f>
        <v>-102.51258655965323</v>
      </c>
      <c r="Q154" s="5"/>
      <c r="AT154" s="33"/>
      <c r="AW154" s="33"/>
      <c r="AZ154" s="33"/>
    </row>
    <row r="155" spans="1:52" x14ac:dyDescent="0.35">
      <c r="A155">
        <f t="shared" si="11"/>
        <v>13.199999999999969</v>
      </c>
      <c r="B155">
        <f t="shared" si="8"/>
        <v>-49.968979456542712</v>
      </c>
      <c r="C155">
        <f>regressionsdep!$AO$1*$A155</f>
        <v>13.903993240294191</v>
      </c>
      <c r="D155">
        <f>regressionsdep!$AM$1*$A155</f>
        <v>18.889095776872999</v>
      </c>
      <c r="E155">
        <f t="shared" si="9"/>
        <v>-22.160992975954329</v>
      </c>
      <c r="F155">
        <f t="shared" si="10"/>
        <v>-87.74717101028871</v>
      </c>
      <c r="G155" s="5">
        <f>B155-regressionsdep!Y$7</f>
        <v>-54.833737604379913</v>
      </c>
      <c r="H155" s="5">
        <f>B155+regressionsdep!Y$7</f>
        <v>-45.104221308705512</v>
      </c>
      <c r="I155">
        <f>IF($A155&lt;=regressionsdep!$J$2,$A155*regressionsdep!$J$1,regressionsdep!$J$1*regressionsdep!$J$2+regressionsdep!$J$3*($A155-regressionsdep!$J$2))</f>
        <v>-17.519611462891554</v>
      </c>
      <c r="J155">
        <f>regressionsdep!H$1*A155+regressionsdep!H$2*A155^2</f>
        <v>-18.874080670498039</v>
      </c>
      <c r="K155">
        <f>regressionsdep!$T$1*A155</f>
        <v>-11.352187694464169</v>
      </c>
      <c r="L155">
        <f>regressionsdep!$L$1*A155^2</f>
        <v>-30.320828444387317</v>
      </c>
      <c r="M155">
        <f>regressionsdep!$P$1*A155^2+regressionsdep!$P$2*A155^6</f>
        <v>29.956617246909587</v>
      </c>
      <c r="N155">
        <f>regressionsdep!$N$1*A155^2+regressionsdep!$N$2*A155^7</f>
        <v>36.817829010493028</v>
      </c>
      <c r="O155">
        <f>regressionsdep!R$2+regressionsdep!R$1*EXP(A155)</f>
        <v>-4107.7536491491774</v>
      </c>
      <c r="P155" s="20">
        <f>(1-EXP(-2*regressionsdep!V$1*graphdep!A155))/2/EXP(-regressionsdep!V$1*A155)</f>
        <v>-106.7641532496567</v>
      </c>
      <c r="Q155" s="5"/>
      <c r="AT155" s="33"/>
      <c r="AW155" s="33"/>
      <c r="AZ155" s="33"/>
    </row>
    <row r="156" spans="1:52" x14ac:dyDescent="0.35">
      <c r="A156">
        <f t="shared" si="11"/>
        <v>13.299999999999969</v>
      </c>
      <c r="B156">
        <f t="shared" si="8"/>
        <v>-53.524291049710882</v>
      </c>
      <c r="C156">
        <f>regressionsdep!$AO$1*$A156</f>
        <v>14.009326522417631</v>
      </c>
      <c r="D156">
        <f>regressionsdep!$AM$1*$A156</f>
        <v>19.032194987303853</v>
      </c>
      <c r="E156">
        <f t="shared" si="9"/>
        <v>-25.505638004875621</v>
      </c>
      <c r="F156">
        <f t="shared" si="10"/>
        <v>-91.588681024318589</v>
      </c>
      <c r="G156" s="5">
        <f>B156-regressionsdep!Y$7</f>
        <v>-58.389049197548083</v>
      </c>
      <c r="H156" s="5">
        <f>B156+regressionsdep!Y$7</f>
        <v>-48.659532901873682</v>
      </c>
      <c r="I156">
        <f>IF($A156&lt;=regressionsdep!$J$2,$A156*regressionsdep!$J$1,regressionsdep!$J$1*regressionsdep!$J$2+regressionsdep!$J$3*($A156-regressionsdep!$J$2))</f>
        <v>-19.302351879719048</v>
      </c>
      <c r="J156">
        <f>regressionsdep!H$1*A156+regressionsdep!H$2*A156^2</f>
        <v>-19.104028712790647</v>
      </c>
      <c r="K156">
        <f>regressionsdep!$T$1*A156</f>
        <v>-11.438189116391928</v>
      </c>
      <c r="L156">
        <f>regressionsdep!$L$1*A156^2</f>
        <v>-30.781975112073418</v>
      </c>
      <c r="M156">
        <f>regressionsdep!$P$1*A156^2+regressionsdep!$P$2*A156^6</f>
        <v>32.389885882042925</v>
      </c>
      <c r="N156">
        <f>regressionsdep!$N$1*A156^2+regressionsdep!$N$2*A156^7</f>
        <v>40.064225251391868</v>
      </c>
      <c r="O156">
        <f>regressionsdep!R$2+regressionsdep!R$1*EXP(A156)</f>
        <v>-4539.770671150005</v>
      </c>
      <c r="P156" s="20">
        <f>(1-EXP(-2*regressionsdep!V$1*graphdep!A156))/2/EXP(-regressionsdep!V$1*A156)</f>
        <v>-111.19203162812242</v>
      </c>
      <c r="Q156" s="5"/>
      <c r="AT156" s="33"/>
      <c r="AW156" s="33"/>
      <c r="AZ156" s="33"/>
    </row>
    <row r="157" spans="1:52" x14ac:dyDescent="0.35">
      <c r="A157">
        <f t="shared" si="11"/>
        <v>13.399999999999968</v>
      </c>
      <c r="B157">
        <f t="shared" si="8"/>
        <v>-57.408528957890439</v>
      </c>
      <c r="C157">
        <f>regressionsdep!$AO$1*$A157</f>
        <v>14.114659804541072</v>
      </c>
      <c r="D157">
        <f>regressionsdep!$AM$1*$A157</f>
        <v>19.175294197734711</v>
      </c>
      <c r="E157">
        <f t="shared" si="9"/>
        <v>-29.179209348808296</v>
      </c>
      <c r="F157">
        <f t="shared" si="10"/>
        <v>-95.759117353359869</v>
      </c>
      <c r="G157" s="5">
        <f>B157-regressionsdep!Y$7</f>
        <v>-62.27328710572764</v>
      </c>
      <c r="H157" s="5">
        <f>B157+regressionsdep!Y$7</f>
        <v>-52.543770810053239</v>
      </c>
      <c r="I157">
        <f>IF($A157&lt;=regressionsdep!$J$2,$A157*regressionsdep!$J$1,regressionsdep!$J$1*regressionsdep!$J$2+regressionsdep!$J$3*($A157-regressionsdep!$J$2))</f>
        <v>-21.085092296546541</v>
      </c>
      <c r="J157">
        <f>regressionsdep!H$1*A157+regressionsdep!H$2*A157^2</f>
        <v>-19.335284463093299</v>
      </c>
      <c r="K157">
        <f>regressionsdep!$T$1*A157</f>
        <v>-11.524190538319687</v>
      </c>
      <c r="L157">
        <f>regressionsdep!$L$1*A157^2</f>
        <v>-31.246602131968473</v>
      </c>
      <c r="M157">
        <f>regressionsdep!$P$1*A157^2+regressionsdep!$P$2*A157^6</f>
        <v>34.932091777575245</v>
      </c>
      <c r="N157">
        <f>regressionsdep!$N$1*A157^2+regressionsdep!$N$2*A157^7</f>
        <v>43.479206047228907</v>
      </c>
      <c r="O157">
        <f>regressionsdep!R$2+regressionsdep!R$1*EXP(A157)</f>
        <v>-5017.2233199789671</v>
      </c>
      <c r="P157" s="20">
        <f>(1-EXP(-2*regressionsdep!V$1*graphdep!A157))/2/EXP(-regressionsdep!V$1*A157)</f>
        <v>-115.80353395004843</v>
      </c>
      <c r="Q157" s="5"/>
      <c r="AT157" s="33"/>
      <c r="AW157" s="33"/>
      <c r="AZ157" s="33"/>
    </row>
    <row r="158" spans="1:52" x14ac:dyDescent="0.35">
      <c r="A158">
        <f t="shared" si="11"/>
        <v>13.499999999999968</v>
      </c>
      <c r="B158">
        <f t="shared" si="8"/>
        <v>-61.656648630033544</v>
      </c>
      <c r="C158">
        <f>regressionsdep!$AO$1*$A158</f>
        <v>14.219993086664513</v>
      </c>
      <c r="D158">
        <f>regressionsdep!$AM$1*$A158</f>
        <v>19.318393408165566</v>
      </c>
      <c r="E158">
        <f t="shared" si="9"/>
        <v>-33.216662456704519</v>
      </c>
      <c r="F158">
        <f t="shared" si="10"/>
        <v>-100.29343544636467</v>
      </c>
      <c r="G158" s="5">
        <f>B158-regressionsdep!Y$7</f>
        <v>-66.521406777870752</v>
      </c>
      <c r="H158" s="5">
        <f>B158+regressionsdep!Y$7</f>
        <v>-56.791890482196344</v>
      </c>
      <c r="I158">
        <f>IF($A158&lt;=regressionsdep!$J$2,$A158*regressionsdep!$J$1,regressionsdep!$J$1*regressionsdep!$J$2+regressionsdep!$J$3*($A158-regressionsdep!$J$2))</f>
        <v>-22.867832713374039</v>
      </c>
      <c r="J158">
        <f>regressionsdep!H$1*A158+regressionsdep!H$2*A158^2</f>
        <v>-19.567847921405988</v>
      </c>
      <c r="K158">
        <f>regressionsdep!$T$1*A158</f>
        <v>-11.610191960247445</v>
      </c>
      <c r="L158">
        <f>regressionsdep!$L$1*A158^2</f>
        <v>-31.714709504072477</v>
      </c>
      <c r="M158">
        <f>regressionsdep!$P$1*A158^2+regressionsdep!$P$2*A158^6</f>
        <v>37.586665597025906</v>
      </c>
      <c r="N158">
        <f>regressionsdep!$N$1*A158^2+regressionsdep!$N$2*A158^7</f>
        <v>47.069345076326265</v>
      </c>
      <c r="O158">
        <f>regressionsdep!R$2+regressionsdep!R$1*EXP(A158)</f>
        <v>-5544.8901022229193</v>
      </c>
      <c r="P158" s="20">
        <f>(1-EXP(-2*regressionsdep!V$1*graphdep!A158))/2/EXP(-regressionsdep!V$1*A158)</f>
        <v>-120.60627570936202</v>
      </c>
      <c r="Q158" s="5"/>
      <c r="AT158" s="33"/>
      <c r="AW158" s="33"/>
      <c r="AZ158" s="33"/>
    </row>
    <row r="159" spans="1:52" x14ac:dyDescent="0.35">
      <c r="A159">
        <f t="shared" si="11"/>
        <v>13.599999999999968</v>
      </c>
      <c r="B159">
        <f t="shared" si="8"/>
        <v>-66.307297230196539</v>
      </c>
      <c r="C159">
        <f>regressionsdep!$AO$1*$A159</f>
        <v>14.325326368787954</v>
      </c>
      <c r="D159">
        <f>regressionsdep!$AM$1*$A159</f>
        <v>19.46149261859642</v>
      </c>
      <c r="E159">
        <f t="shared" si="9"/>
        <v>-37.656644492620629</v>
      </c>
      <c r="F159">
        <f t="shared" si="10"/>
        <v>-105.23028246738937</v>
      </c>
      <c r="G159" s="5">
        <f>B159-regressionsdep!Y$7</f>
        <v>-71.172055378033747</v>
      </c>
      <c r="H159" s="5">
        <f>B159+regressionsdep!Y$7</f>
        <v>-61.442539082359339</v>
      </c>
      <c r="I159">
        <f>IF($A159&lt;=regressionsdep!$J$2,$A159*regressionsdep!$J$1,regressionsdep!$J$1*regressionsdep!$J$2+regressionsdep!$J$3*($A159-regressionsdep!$J$2))</f>
        <v>-24.650573130201536</v>
      </c>
      <c r="J159">
        <f>regressionsdep!H$1*A159+regressionsdep!H$2*A159^2</f>
        <v>-19.801719087728717</v>
      </c>
      <c r="K159">
        <f>regressionsdep!$T$1*A159</f>
        <v>-11.696193382175204</v>
      </c>
      <c r="L159">
        <f>regressionsdep!$L$1*A159^2</f>
        <v>-32.186297228385435</v>
      </c>
      <c r="M159">
        <f>regressionsdep!$P$1*A159^2+regressionsdep!$P$2*A159^6</f>
        <v>40.357115674211222</v>
      </c>
      <c r="N159">
        <f>regressionsdep!$N$1*A159^2+regressionsdep!$N$2*A159^7</f>
        <v>50.841415196858868</v>
      </c>
      <c r="O159">
        <f>regressionsdep!R$2+regressionsdep!R$1*EXP(A159)</f>
        <v>-6128.052084393491</v>
      </c>
      <c r="P159" s="20">
        <f>(1-EXP(-2*regressionsdep!V$1*graphdep!A159))/2/EXP(-regressionsdep!V$1*A159)</f>
        <v>-125.60818821524397</v>
      </c>
      <c r="Q159" s="5"/>
      <c r="AE159" s="58"/>
      <c r="AO159" s="1"/>
      <c r="AP159" s="1"/>
      <c r="AT159" s="33"/>
      <c r="AW159" s="33"/>
      <c r="AZ159" s="33"/>
    </row>
    <row r="160" spans="1:52" x14ac:dyDescent="0.35">
      <c r="A160">
        <f t="shared" si="11"/>
        <v>13.699999999999967</v>
      </c>
      <c r="B160">
        <f t="shared" si="8"/>
        <v>-71.403201540087082</v>
      </c>
      <c r="C160">
        <f>regressionsdep!$AO$1*$A160</f>
        <v>14.430659650911394</v>
      </c>
      <c r="D160">
        <f>regressionsdep!$AM$1*$A160</f>
        <v>19.604591829027278</v>
      </c>
      <c r="E160">
        <f t="shared" si="9"/>
        <v>-42.541882238264293</v>
      </c>
      <c r="F160">
        <f t="shared" si="10"/>
        <v>-110.61238519814164</v>
      </c>
      <c r="G160" s="5">
        <f>B160-regressionsdep!Y$7</f>
        <v>-76.267959687924289</v>
      </c>
      <c r="H160" s="5">
        <f>B160+regressionsdep!Y$7</f>
        <v>-66.538443392249874</v>
      </c>
      <c r="I160">
        <f>IF($A160&lt;=regressionsdep!$J$2,$A160*regressionsdep!$J$1,regressionsdep!$J$1*regressionsdep!$J$2+regressionsdep!$J$3*($A160-regressionsdep!$J$2))</f>
        <v>-26.43331354702903</v>
      </c>
      <c r="J160">
        <f>regressionsdep!H$1*A160+regressionsdep!H$2*A160^2</f>
        <v>-20.036897962061488</v>
      </c>
      <c r="K160">
        <f>regressionsdep!$T$1*A160</f>
        <v>-11.782194804102962</v>
      </c>
      <c r="L160">
        <f>regressionsdep!$L$1*A160^2</f>
        <v>-32.661365304907342</v>
      </c>
      <c r="M160">
        <f>regressionsdep!$P$1*A160^2+regressionsdep!$P$2*A160^6</f>
        <v>43.247029176806478</v>
      </c>
      <c r="N160">
        <f>regressionsdep!$N$1*A160^2+regressionsdep!$N$2*A160^7</f>
        <v>54.802392939298286</v>
      </c>
      <c r="O160">
        <f>regressionsdep!R$2+regressionsdep!R$1*EXP(A160)</f>
        <v>-6772.5457476157571</v>
      </c>
      <c r="P160" s="20">
        <f>(1-EXP(-2*regressionsdep!V$1*graphdep!A160))/2/EXP(-regressionsdep!V$1*A160)</f>
        <v>-130.81753168999347</v>
      </c>
      <c r="Q160" s="5"/>
      <c r="AT160" s="33"/>
      <c r="AW160" s="33"/>
      <c r="AZ160" s="33"/>
    </row>
    <row r="161" spans="1:52" x14ac:dyDescent="0.35">
      <c r="A161">
        <f t="shared" si="11"/>
        <v>13.799999999999967</v>
      </c>
      <c r="B161">
        <f t="shared" si="8"/>
        <v>-76.991596590776311</v>
      </c>
      <c r="C161">
        <f>regressionsdep!$AO$1*$A161</f>
        <v>14.535992933034835</v>
      </c>
      <c r="D161">
        <f>regressionsdep!$AM$1*$A161</f>
        <v>19.747691039458132</v>
      </c>
      <c r="E161">
        <f t="shared" si="9"/>
        <v>-47.919610724706644</v>
      </c>
      <c r="F161">
        <f t="shared" si="10"/>
        <v>-116.48697866969258</v>
      </c>
      <c r="G161" s="5">
        <f>B161-regressionsdep!Y$7</f>
        <v>-81.856354738613518</v>
      </c>
      <c r="H161" s="5">
        <f>B161+regressionsdep!Y$7</f>
        <v>-72.126838442939103</v>
      </c>
      <c r="I161">
        <f>IF($A161&lt;=regressionsdep!$J$2,$A161*regressionsdep!$J$1,regressionsdep!$J$1*regressionsdep!$J$2+regressionsdep!$J$3*($A161-regressionsdep!$J$2))</f>
        <v>-28.216053963856524</v>
      </c>
      <c r="J161">
        <f>regressionsdep!H$1*A161+regressionsdep!H$2*A161^2</f>
        <v>-20.273384544404294</v>
      </c>
      <c r="K161">
        <f>regressionsdep!$T$1*A161</f>
        <v>-11.868196226030722</v>
      </c>
      <c r="L161">
        <f>regressionsdep!$L$1*A161^2</f>
        <v>-33.139913733638203</v>
      </c>
      <c r="M161">
        <f>regressionsdep!$P$1*A161^2+regressionsdep!$P$2*A161^6</f>
        <v>46.260073278559183</v>
      </c>
      <c r="N161">
        <f>regressionsdep!$N$1*A161^2+regressionsdep!$N$2*A161^7</f>
        <v>58.959463065905325</v>
      </c>
      <c r="O161">
        <f>regressionsdep!R$2+regressionsdep!R$1*EXP(A161)</f>
        <v>-7484.8214010930451</v>
      </c>
      <c r="P161" s="20">
        <f>(1-EXP(-2*regressionsdep!V$1*graphdep!A161))/2/EXP(-regressionsdep!V$1*A161)</f>
        <v>-136.24290891006561</v>
      </c>
      <c r="Q161" s="5"/>
      <c r="AT161" s="33"/>
      <c r="AW161" s="33"/>
      <c r="AZ161" s="33"/>
    </row>
    <row r="162" spans="1:52" x14ac:dyDescent="0.35">
      <c r="A162">
        <f t="shared" si="11"/>
        <v>13.899999999999967</v>
      </c>
      <c r="B162">
        <f t="shared" si="8"/>
        <v>-83.124699302714816</v>
      </c>
      <c r="C162">
        <f>regressionsdep!$AO$1*$A162</f>
        <v>14.641326215158276</v>
      </c>
      <c r="D162">
        <f>regressionsdep!$AM$1*$A162</f>
        <v>19.89079024988899</v>
      </c>
      <c r="E162">
        <f t="shared" si="9"/>
        <v>-53.842046872398264</v>
      </c>
      <c r="F162">
        <f t="shared" si="10"/>
        <v>-122.9062798024928</v>
      </c>
      <c r="G162" s="5">
        <f>B162-regressionsdep!Y$7</f>
        <v>-87.989457450552024</v>
      </c>
      <c r="H162" s="5">
        <f>B162+regressionsdep!Y$7</f>
        <v>-78.259941154877609</v>
      </c>
      <c r="I162">
        <f>IF($A162&lt;=regressionsdep!$J$2,$A162*regressionsdep!$J$1,regressionsdep!$J$1*regressionsdep!$J$2+regressionsdep!$J$3*($A162-regressionsdep!$J$2))</f>
        <v>-29.998794380684018</v>
      </c>
      <c r="J162">
        <f>regressionsdep!H$1*A162+regressionsdep!H$2*A162^2</f>
        <v>-20.511178834757139</v>
      </c>
      <c r="K162">
        <f>regressionsdep!$T$1*A162</f>
        <v>-11.95419764795848</v>
      </c>
      <c r="L162">
        <f>regressionsdep!$L$1*A162^2</f>
        <v>-33.621942514578009</v>
      </c>
      <c r="M162">
        <f>regressionsdep!$P$1*A162^2+regressionsdep!$P$2*A162^6</f>
        <v>49.39999634015328</v>
      </c>
      <c r="N162">
        <f>regressionsdep!$N$1*A162^2+regressionsdep!$N$2*A162^7</f>
        <v>63.32002319776857</v>
      </c>
      <c r="O162">
        <f>regressionsdep!R$2+regressionsdep!R$1*EXP(A162)</f>
        <v>-8272.0077389694725</v>
      </c>
      <c r="P162" s="20">
        <f>(1-EXP(-2*regressionsdep!V$1*graphdep!A162))/2/EXP(-regressionsdep!V$1*A162)</f>
        <v>-141.89327941280604</v>
      </c>
      <c r="Q162" s="5"/>
      <c r="AT162" s="33"/>
      <c r="AW162" s="33"/>
      <c r="AZ162" s="33"/>
    </row>
    <row r="163" spans="1:52" x14ac:dyDescent="0.35">
      <c r="A163">
        <f t="shared" si="11"/>
        <v>13.999999999999966</v>
      </c>
      <c r="B163">
        <f t="shared" si="8"/>
        <v>-89.860231863021866</v>
      </c>
      <c r="C163">
        <f>regressionsdep!$AO$1*$A163</f>
        <v>14.746659497281716</v>
      </c>
      <c r="D163">
        <f>regressionsdep!$AM$1*$A163</f>
        <v>20.033889460319845</v>
      </c>
      <c r="E163">
        <f t="shared" si="9"/>
        <v>-60.366912868458435</v>
      </c>
      <c r="F163">
        <f t="shared" si="10"/>
        <v>-129.92801078366156</v>
      </c>
      <c r="G163" s="5">
        <f>B163-regressionsdep!Y$7</f>
        <v>-94.724990010859074</v>
      </c>
      <c r="H163" s="5">
        <f>B163+regressionsdep!Y$7</f>
        <v>-84.995473715184659</v>
      </c>
      <c r="I163">
        <f>IF($A163&lt;=regressionsdep!$J$2,$A163*regressionsdep!$J$1,regressionsdep!$J$1*regressionsdep!$J$2+regressionsdep!$J$3*($A163-regressionsdep!$J$2))</f>
        <v>-31.781534797511515</v>
      </c>
      <c r="J163">
        <f>regressionsdep!H$1*A163+regressionsdep!H$2*A163^2</f>
        <v>-20.75028083312003</v>
      </c>
      <c r="K163">
        <f>regressionsdep!$T$1*A163</f>
        <v>-12.040199069886238</v>
      </c>
      <c r="L163">
        <f>regressionsdep!$L$1*A163^2</f>
        <v>-34.107451647726776</v>
      </c>
      <c r="M163">
        <f>regressionsdep!$P$1*A163^2+regressionsdep!$P$2*A163^6</f>
        <v>52.670629098724262</v>
      </c>
      <c r="N163">
        <f>regressionsdep!$N$1*A163^2+regressionsdep!$N$2*A163^7</f>
        <v>67.891688509884716</v>
      </c>
      <c r="O163">
        <f>regressionsdep!R$2+regressionsdep!R$1*EXP(A163)</f>
        <v>-9141.9831866969689</v>
      </c>
      <c r="P163" s="20">
        <f>(1-EXP(-2*regressionsdep!V$1*graphdep!A163))/2/EXP(-regressionsdep!V$1*A163)</f>
        <v>-147.77797429234562</v>
      </c>
      <c r="Q163" s="5"/>
      <c r="AT163" s="33"/>
      <c r="AW163" s="33"/>
      <c r="AZ163" s="33"/>
    </row>
    <row r="164" spans="1:52" x14ac:dyDescent="0.35">
      <c r="A164">
        <f t="shared" si="11"/>
        <v>14.099999999999966</v>
      </c>
      <c r="B164">
        <f t="shared" si="8"/>
        <v>-97.262000066145788</v>
      </c>
      <c r="C164">
        <f>regressionsdep!$AO$1*$A164</f>
        <v>14.851992779405156</v>
      </c>
      <c r="D164">
        <f>regressionsdep!$AM$1*$A164</f>
        <v>20.176988670750703</v>
      </c>
      <c r="E164">
        <f t="shared" si="9"/>
        <v>-67.558014507335471</v>
      </c>
      <c r="F164">
        <f t="shared" si="10"/>
        <v>-137.61597740764719</v>
      </c>
      <c r="G164" s="5">
        <f>B164-regressionsdep!Y$7</f>
        <v>-102.126758213983</v>
      </c>
      <c r="H164" s="5">
        <f>B164+regressionsdep!Y$7</f>
        <v>-92.39724191830858</v>
      </c>
      <c r="I164">
        <f>IF($A164&lt;=regressionsdep!$J$2,$A164*regressionsdep!$J$1,regressionsdep!$J$1*regressionsdep!$J$2+regressionsdep!$J$3*($A164-regressionsdep!$J$2))</f>
        <v>-33.564275214339006</v>
      </c>
      <c r="J164">
        <f>regressionsdep!H$1*A164+regressionsdep!H$2*A164^2</f>
        <v>-20.990690539492952</v>
      </c>
      <c r="K164">
        <f>regressionsdep!$T$1*A164</f>
        <v>-12.126200491813998</v>
      </c>
      <c r="L164">
        <f>regressionsdep!$L$1*A164^2</f>
        <v>-34.59644113308449</v>
      </c>
      <c r="M164">
        <f>regressionsdep!$P$1*A164^2+regressionsdep!$P$2*A164^6</f>
        <v>56.075885866025509</v>
      </c>
      <c r="N164">
        <f>regressionsdep!$N$1*A164^2+regressionsdep!$N$2*A164^7</f>
        <v>72.682296494778114</v>
      </c>
      <c r="O164">
        <f>regressionsdep!R$2+regressionsdep!R$1*EXP(A164)</f>
        <v>-10103.454750965238</v>
      </c>
      <c r="P164" s="20">
        <f>(1-EXP(-2*regressionsdep!V$1*graphdep!A164))/2/EXP(-regressionsdep!V$1*A164)</f>
        <v>-153.90671160908883</v>
      </c>
      <c r="Q164" s="5"/>
      <c r="AT164" s="33"/>
      <c r="AW164" s="33"/>
      <c r="AZ164" s="33"/>
    </row>
    <row r="165" spans="1:52" x14ac:dyDescent="0.35">
      <c r="A165">
        <f t="shared" si="11"/>
        <v>14.199999999999966</v>
      </c>
      <c r="B165">
        <f t="shared" si="8"/>
        <v>-105.40053239339881</v>
      </c>
      <c r="C165">
        <f>regressionsdep!$AO$1*$A165</f>
        <v>14.957326061528597</v>
      </c>
      <c r="D165">
        <f>regressionsdep!$AM$1*$A165</f>
        <v>20.320087881181557</v>
      </c>
      <c r="E165">
        <f t="shared" si="9"/>
        <v>-75.48588027034161</v>
      </c>
      <c r="F165">
        <f t="shared" si="10"/>
        <v>-146.04070815576193</v>
      </c>
      <c r="G165" s="5">
        <f>B165-regressionsdep!Y$7</f>
        <v>-110.26529054123601</v>
      </c>
      <c r="H165" s="5">
        <f>B165+regressionsdep!Y$7</f>
        <v>-100.5357742455616</v>
      </c>
      <c r="I165">
        <f>IF($A165&lt;=regressionsdep!$J$2,$A165*regressionsdep!$J$1,regressionsdep!$J$1*regressionsdep!$J$2+regressionsdep!$J$3*($A165-regressionsdep!$J$2))</f>
        <v>-35.347015631166499</v>
      </c>
      <c r="J165">
        <f>regressionsdep!H$1*A165+regressionsdep!H$2*A165^2</f>
        <v>-21.232407953875921</v>
      </c>
      <c r="K165">
        <f>regressionsdep!$T$1*A165</f>
        <v>-12.212201913741756</v>
      </c>
      <c r="L165">
        <f>regressionsdep!$L$1*A165^2</f>
        <v>-35.088910970651156</v>
      </c>
      <c r="M165">
        <f>regressionsdep!$P$1*A165^2+regressionsdep!$P$2*A165^6</f>
        <v>59.619765735245473</v>
      </c>
      <c r="N165">
        <f>regressionsdep!$N$1*A165^2+regressionsdep!$N$2*A165^7</f>
        <v>77.699911795155828</v>
      </c>
      <c r="O165">
        <f>regressionsdep!R$2+regressionsdep!R$1*EXP(A165)</f>
        <v>-11166.045162351229</v>
      </c>
      <c r="P165" s="20">
        <f>(1-EXP(-2*regressionsdep!V$1*graphdep!A165))/2/EXP(-regressionsdep!V$1*A165)</f>
        <v>-160.28961243824247</v>
      </c>
      <c r="Q165" s="5"/>
      <c r="AT165" s="33"/>
      <c r="AW165" s="33"/>
      <c r="AZ165" s="33"/>
    </row>
    <row r="166" spans="1:52" x14ac:dyDescent="0.35">
      <c r="A166">
        <f t="shared" si="11"/>
        <v>14.299999999999965</v>
      </c>
      <c r="B166">
        <f t="shared" si="8"/>
        <v>-114.35378621404389</v>
      </c>
      <c r="C166">
        <f>regressionsdep!$AO$1*$A166</f>
        <v>15.062659343652038</v>
      </c>
      <c r="D166">
        <f>regressionsdep!$AM$1*$A166</f>
        <v>20.463187091612411</v>
      </c>
      <c r="E166">
        <f t="shared" si="9"/>
        <v>-84.22846752673982</v>
      </c>
      <c r="F166">
        <f t="shared" si="10"/>
        <v>-155.28016039726873</v>
      </c>
      <c r="G166" s="5">
        <f>B166-regressionsdep!Y$7</f>
        <v>-119.2185443618811</v>
      </c>
      <c r="H166" s="5">
        <f>B166+regressionsdep!Y$7</f>
        <v>-109.48902806620669</v>
      </c>
      <c r="I166">
        <f>IF($A166&lt;=regressionsdep!$J$2,$A166*regressionsdep!$J$1,regressionsdep!$J$1*regressionsdep!$J$2+regressionsdep!$J$3*($A166-regressionsdep!$J$2))</f>
        <v>-37.129756047994</v>
      </c>
      <c r="J166">
        <f>regressionsdep!H$1*A166+regressionsdep!H$2*A166^2</f>
        <v>-21.475433076268928</v>
      </c>
      <c r="K166">
        <f>regressionsdep!$T$1*A166</f>
        <v>-12.298203335669516</v>
      </c>
      <c r="L166">
        <f>regressionsdep!$L$1*A166^2</f>
        <v>-35.584861160426776</v>
      </c>
      <c r="M166">
        <f>regressionsdep!$P$1*A166^2+regressionsdep!$P$2*A166^6</f>
        <v>63.306353796475975</v>
      </c>
      <c r="N166">
        <f>regressionsdep!$N$1*A166^2+regressionsdep!$N$2*A166^7</f>
        <v>82.952831106094862</v>
      </c>
      <c r="O166">
        <f>regressionsdep!R$2+regressionsdep!R$1*EXP(A166)</f>
        <v>-12340.389182841065</v>
      </c>
      <c r="P166" s="20">
        <f>(1-EXP(-2*regressionsdep!V$1*graphdep!A166))/2/EXP(-regressionsdep!V$1*A166)</f>
        <v>-166.93721758388946</v>
      </c>
      <c r="Q166" s="5"/>
      <c r="AT166" s="33"/>
      <c r="AW166" s="33"/>
      <c r="AZ166" s="33"/>
    </row>
    <row r="167" spans="1:52" x14ac:dyDescent="0.35">
      <c r="A167">
        <f t="shared" si="11"/>
        <v>14.399999999999965</v>
      </c>
      <c r="B167">
        <f t="shared" si="8"/>
        <v>-124.2079281616341</v>
      </c>
      <c r="C167">
        <f>regressionsdep!$AO$1*$A167</f>
        <v>15.167992625775479</v>
      </c>
      <c r="D167">
        <f>regressionsdep!$AM$1*$A167</f>
        <v>20.606286302043269</v>
      </c>
      <c r="E167">
        <f t="shared" si="9"/>
        <v>-93.871942910083135</v>
      </c>
      <c r="F167">
        <f t="shared" si="10"/>
        <v>-165.42050076572065</v>
      </c>
      <c r="G167" s="5">
        <f>B167-regressionsdep!Y$7</f>
        <v>-129.07268630947129</v>
      </c>
      <c r="H167" s="5">
        <f>B167+regressionsdep!Y$7</f>
        <v>-119.34317001379689</v>
      </c>
      <c r="I167">
        <f>IF($A167&lt;=regressionsdep!$J$2,$A167*regressionsdep!$J$1,regressionsdep!$J$1*regressionsdep!$J$2+regressionsdep!$J$3*($A167-regressionsdep!$J$2))</f>
        <v>-38.912496464821494</v>
      </c>
      <c r="J167">
        <f>regressionsdep!H$1*A167+regressionsdep!H$2*A167^2</f>
        <v>-21.719765906671974</v>
      </c>
      <c r="K167">
        <f>regressionsdep!$T$1*A167</f>
        <v>-12.384204757597274</v>
      </c>
      <c r="L167">
        <f>regressionsdep!$L$1*A167^2</f>
        <v>-36.084291702411349</v>
      </c>
      <c r="M167">
        <f>regressionsdep!$P$1*A167^2+regressionsdep!$P$2*A167^6</f>
        <v>67.139822360831459</v>
      </c>
      <c r="N167">
        <f>regressionsdep!$N$1*A167^2+regressionsdep!$N$2*A167^7</f>
        <v>88.449588147258225</v>
      </c>
      <c r="O167">
        <f>regressionsdep!R$2+regressionsdep!R$1*EXP(A167)</f>
        <v>-13638.240042102465</v>
      </c>
      <c r="P167" s="20">
        <f>(1-EXP(-2*regressionsdep!V$1*graphdep!A167))/2/EXP(-regressionsdep!V$1*A167)</f>
        <v>-173.86050498620713</v>
      </c>
      <c r="Q167" s="5"/>
      <c r="AT167" s="33"/>
      <c r="AW167" s="33"/>
      <c r="AZ167" s="33"/>
    </row>
    <row r="168" spans="1:52" x14ac:dyDescent="0.35">
      <c r="A168">
        <f t="shared" si="11"/>
        <v>14.499999999999964</v>
      </c>
      <c r="B168">
        <f t="shared" si="8"/>
        <v>-135.05819648088905</v>
      </c>
      <c r="C168">
        <f>regressionsdep!$AO$1*$A168</f>
        <v>15.27332590789892</v>
      </c>
      <c r="D168">
        <f>regressionsdep!$AM$1*$A168</f>
        <v>20.749385512474124</v>
      </c>
      <c r="E168">
        <f t="shared" si="9"/>
        <v>-104.51154466509121</v>
      </c>
      <c r="F168">
        <f t="shared" si="10"/>
        <v>-176.55696750583729</v>
      </c>
      <c r="G168" s="5">
        <f>B168-regressionsdep!Y$7</f>
        <v>-139.92295462872625</v>
      </c>
      <c r="H168" s="5">
        <f>B168+regressionsdep!Y$7</f>
        <v>-130.19343833305186</v>
      </c>
      <c r="I168">
        <f>IF($A168&lt;=regressionsdep!$J$2,$A168*regressionsdep!$J$1,regressionsdep!$J$1*regressionsdep!$J$2+regressionsdep!$J$3*($A168-regressionsdep!$J$2))</f>
        <v>-40.695236881648988</v>
      </c>
      <c r="J168">
        <f>regressionsdep!H$1*A168+regressionsdep!H$2*A168^2</f>
        <v>-21.965406445085055</v>
      </c>
      <c r="K168">
        <f>regressionsdep!$T$1*A168</f>
        <v>-12.470206179525032</v>
      </c>
      <c r="L168">
        <f>regressionsdep!$L$1*A168^2</f>
        <v>-36.587202596604868</v>
      </c>
      <c r="M168">
        <f>regressionsdep!$P$1*A168^2+regressionsdep!$P$2*A168^6</f>
        <v>71.124432193219391</v>
      </c>
      <c r="N168">
        <f>regressionsdep!$N$1*A168^2+regressionsdep!$N$2*A168^7</f>
        <v>94.198958705636784</v>
      </c>
      <c r="O168">
        <f>regressionsdep!R$2+regressionsdep!R$1*EXP(A168)</f>
        <v>-15072.587067757655</v>
      </c>
      <c r="P168" s="20">
        <f>(1-EXP(-2*regressionsdep!V$1*graphdep!A168))/2/EXP(-regressionsdep!V$1*A168)</f>
        <v>-181.07090785057821</v>
      </c>
      <c r="Q168" s="5"/>
      <c r="AT168" s="33"/>
      <c r="AW168" s="33"/>
      <c r="AZ168" s="33"/>
    </row>
    <row r="169" spans="1:52" x14ac:dyDescent="0.35">
      <c r="A169">
        <f t="shared" si="11"/>
        <v>14.599999999999964</v>
      </c>
      <c r="B169">
        <f t="shared" si="8"/>
        <v>-147.00985395995895</v>
      </c>
      <c r="C169">
        <f>regressionsdep!$AO$1*$A169</f>
        <v>15.378659190022361</v>
      </c>
      <c r="D169">
        <f>regressionsdep!$AM$1*$A169</f>
        <v>20.892484722904982</v>
      </c>
      <c r="E169">
        <f t="shared" si="9"/>
        <v>-116.25253557991422</v>
      </c>
      <c r="F169">
        <f t="shared" si="10"/>
        <v>-188.79482340576891</v>
      </c>
      <c r="G169" s="5">
        <f>B169-regressionsdep!Y$7</f>
        <v>-151.87461210779614</v>
      </c>
      <c r="H169" s="5">
        <f>B169+regressionsdep!Y$7</f>
        <v>-142.14509581212175</v>
      </c>
      <c r="I169">
        <f>IF($A169&lt;=regressionsdep!$J$2,$A169*regressionsdep!$J$1,regressionsdep!$J$1*regressionsdep!$J$2+regressionsdep!$J$3*($A169-regressionsdep!$J$2))</f>
        <v>-42.477977298476482</v>
      </c>
      <c r="J169">
        <f>regressionsdep!H$1*A169+regressionsdep!H$2*A169^2</f>
        <v>-22.212354691508182</v>
      </c>
      <c r="K169">
        <f>regressionsdep!$T$1*A169</f>
        <v>-12.556207601452792</v>
      </c>
      <c r="L169">
        <f>regressionsdep!$L$1*A169^2</f>
        <v>-37.093593843007341</v>
      </c>
      <c r="M169">
        <f>regressionsdep!$P$1*A169^2+regressionsdep!$P$2*A169^6</f>
        <v>75.264533753761469</v>
      </c>
      <c r="N169">
        <f>regressionsdep!$N$1*A169^2+regressionsdep!$N$2*A169^7</f>
        <v>100.20996574931286</v>
      </c>
      <c r="O169">
        <f>regressionsdep!R$2+regressionsdep!R$1*EXP(A169)</f>
        <v>-16657.785686940071</v>
      </c>
      <c r="P169" s="20">
        <f>(1-EXP(-2*regressionsdep!V$1*graphdep!A169))/2/EXP(-regressionsdep!V$1*A169)</f>
        <v>-188.58033352853252</v>
      </c>
      <c r="Q169" s="5"/>
      <c r="AT169" s="33"/>
      <c r="AW169" s="33"/>
      <c r="AZ169" s="33"/>
    </row>
    <row r="170" spans="1:52" x14ac:dyDescent="0.35">
      <c r="A170">
        <f t="shared" si="11"/>
        <v>14.699999999999964</v>
      </c>
      <c r="B170">
        <f t="shared" si="8"/>
        <v>-160.17924096867554</v>
      </c>
      <c r="C170">
        <f>regressionsdep!$AO$1*$A170</f>
        <v>15.483992472145802</v>
      </c>
      <c r="D170">
        <f>regressionsdep!$AM$1*$A170</f>
        <v>21.035583933335836</v>
      </c>
      <c r="E170">
        <f t="shared" si="9"/>
        <v>-129.21125602438394</v>
      </c>
      <c r="F170">
        <f t="shared" si="10"/>
        <v>-202.25040883534723</v>
      </c>
      <c r="G170" s="5">
        <f>B170-regressionsdep!Y$7</f>
        <v>-165.04399911651274</v>
      </c>
      <c r="H170" s="5">
        <f>B170+regressionsdep!Y$7</f>
        <v>-155.31448282083835</v>
      </c>
      <c r="I170">
        <f>IF($A170&lt;=regressionsdep!$J$2,$A170*regressionsdep!$J$1,regressionsdep!$J$1*regressionsdep!$J$2+regressionsdep!$J$3*($A170-regressionsdep!$J$2))</f>
        <v>-44.260717715303983</v>
      </c>
      <c r="J170">
        <f>regressionsdep!H$1*A170+regressionsdep!H$2*A170^2</f>
        <v>-22.460610645941344</v>
      </c>
      <c r="K170">
        <f>regressionsdep!$T$1*A170</f>
        <v>-12.64220902338055</v>
      </c>
      <c r="L170">
        <f>regressionsdep!$L$1*A170^2</f>
        <v>-37.603465441618766</v>
      </c>
      <c r="M170">
        <f>regressionsdep!$P$1*A170^2+regressionsdep!$P$2*A170^6</f>
        <v>79.564568447866051</v>
      </c>
      <c r="N170">
        <f>regressionsdep!$N$1*A170^2+regressionsdep!$N$2*A170^7</f>
        <v>106.49188461274323</v>
      </c>
      <c r="O170">
        <f>regressionsdep!R$2+regressionsdep!R$1*EXP(A170)</f>
        <v>-18409.701100234157</v>
      </c>
      <c r="P170" s="20">
        <f>(1-EXP(-2*regressionsdep!V$1*graphdep!A170))/2/EXP(-regressionsdep!V$1*A170)</f>
        <v>-196.40118318169905</v>
      </c>
      <c r="Q170" s="5"/>
      <c r="AT170" s="33"/>
      <c r="AW170" s="33"/>
      <c r="AZ170" s="33"/>
    </row>
    <row r="171" spans="1:52" x14ac:dyDescent="0.35">
      <c r="A171">
        <f t="shared" si="11"/>
        <v>14.799999999999963</v>
      </c>
      <c r="B171">
        <f t="shared" si="8"/>
        <v>-174.69493912438449</v>
      </c>
      <c r="C171">
        <f>regressionsdep!$AO$1*$A171</f>
        <v>15.589325754269241</v>
      </c>
      <c r="D171">
        <f>regressionsdep!$AM$1*$A171</f>
        <v>21.178683143766694</v>
      </c>
      <c r="E171">
        <f t="shared" si="9"/>
        <v>-143.51628761584601</v>
      </c>
      <c r="F171">
        <f t="shared" si="10"/>
        <v>-217.05230541191787</v>
      </c>
      <c r="G171" s="5">
        <f>B171-regressionsdep!Y$7</f>
        <v>-179.55969727222168</v>
      </c>
      <c r="H171" s="5">
        <f>B171+regressionsdep!Y$7</f>
        <v>-169.8301809765473</v>
      </c>
      <c r="I171">
        <f>IF($A171&lt;=regressionsdep!$J$2,$A171*regressionsdep!$J$1,regressionsdep!$J$1*regressionsdep!$J$2+regressionsdep!$J$3*($A171-regressionsdep!$J$2))</f>
        <v>-46.043458132131477</v>
      </c>
      <c r="J171">
        <f>regressionsdep!H$1*A171+regressionsdep!H$2*A171^2</f>
        <v>-22.710174308384545</v>
      </c>
      <c r="K171">
        <f>regressionsdep!$T$1*A171</f>
        <v>-12.72821044530831</v>
      </c>
      <c r="L171">
        <f>regressionsdep!$L$1*A171^2</f>
        <v>-38.116817392439145</v>
      </c>
      <c r="M171">
        <f>regressionsdep!$P$1*A171^2+regressionsdep!$P$2*A171^6</f>
        <v>84.029069884951525</v>
      </c>
      <c r="N171">
        <f>regressionsdep!$N$1*A171^2+regressionsdep!$N$2*A171^7</f>
        <v>113.05424825405723</v>
      </c>
      <c r="O171">
        <f>regressionsdep!R$2+regressionsdep!R$1*EXP(A171)</f>
        <v>-20345.86706593525</v>
      </c>
      <c r="P171" s="20">
        <f>(1-EXP(-2*regressionsdep!V$1*graphdep!A171))/2/EXP(-regressionsdep!V$1*A171)</f>
        <v>-204.5463722612437</v>
      </c>
      <c r="Q171" s="5"/>
      <c r="AT171" s="33"/>
      <c r="AW171" s="33"/>
      <c r="AZ171" s="33"/>
    </row>
    <row r="172" spans="1:52" x14ac:dyDescent="0.35">
      <c r="A172">
        <f t="shared" si="11"/>
        <v>14.899999999999963</v>
      </c>
      <c r="B172">
        <f t="shared" si="8"/>
        <v>-190.69905721321376</v>
      </c>
      <c r="C172">
        <f>regressionsdep!$AO$1*$A172</f>
        <v>15.694659036392682</v>
      </c>
      <c r="D172">
        <f>regressionsdep!$AM$1*$A172</f>
        <v>21.321782354197548</v>
      </c>
      <c r="E172">
        <f t="shared" si="9"/>
        <v>-159.30973914042841</v>
      </c>
      <c r="F172">
        <f t="shared" si="10"/>
        <v>-233.34262192160887</v>
      </c>
      <c r="G172" s="5">
        <f>B172-regressionsdep!Y$7</f>
        <v>-195.56381536105096</v>
      </c>
      <c r="H172" s="5">
        <f>B172+regressionsdep!Y$7</f>
        <v>-185.83429906537657</v>
      </c>
      <c r="I172">
        <f>IF($A172&lt;=regressionsdep!$J$2,$A172*regressionsdep!$J$1,regressionsdep!$J$1*regressionsdep!$J$2+regressionsdep!$J$3*($A172-regressionsdep!$J$2))</f>
        <v>-47.82619854895897</v>
      </c>
      <c r="J172">
        <f>regressionsdep!H$1*A172+regressionsdep!H$2*A172^2</f>
        <v>-22.961045678837788</v>
      </c>
      <c r="K172">
        <f>regressionsdep!$T$1*A172</f>
        <v>-12.814211867236068</v>
      </c>
      <c r="L172">
        <f>regressionsdep!$L$1*A172^2</f>
        <v>-38.63364969546847</v>
      </c>
      <c r="M172">
        <f>regressionsdep!$P$1*A172^2+regressionsdep!$P$2*A172^6</f>
        <v>88.662665145820711</v>
      </c>
      <c r="N172">
        <f>regressionsdep!$N$1*A172^2+regressionsdep!$N$2*A172^7</f>
        <v>119.90685258486721</v>
      </c>
      <c r="O172">
        <f>regressionsdep!R$2+regressionsdep!R$1*EXP(A172)</f>
        <v>-22485.661383795956</v>
      </c>
      <c r="P172" s="20">
        <f>(1-EXP(-2*regressionsdep!V$1*graphdep!A172))/2/EXP(-regressionsdep!V$1*A172)</f>
        <v>-213.02935183661029</v>
      </c>
      <c r="Q172" s="5"/>
      <c r="AT172" s="33"/>
      <c r="AW172" s="33"/>
      <c r="AZ172" s="33"/>
    </row>
    <row r="173" spans="1:52" x14ac:dyDescent="0.35">
      <c r="A173">
        <f t="shared" si="11"/>
        <v>14.999999999999963</v>
      </c>
      <c r="B173">
        <f t="shared" si="8"/>
        <v>-208.34865221722166</v>
      </c>
      <c r="C173">
        <f>regressionsdep!$AO$1*$A173</f>
        <v>15.799992318516123</v>
      </c>
      <c r="D173">
        <f>regressionsdep!$AM$1*$A173</f>
        <v>21.464881564628403</v>
      </c>
      <c r="E173">
        <f t="shared" si="9"/>
        <v>-176.74866758018942</v>
      </c>
      <c r="F173">
        <f t="shared" si="10"/>
        <v>-251.27841534647845</v>
      </c>
      <c r="G173" s="5">
        <f>B173-regressionsdep!Y$7</f>
        <v>-213.21341036505885</v>
      </c>
      <c r="H173" s="5">
        <f>B173+regressionsdep!Y$7</f>
        <v>-203.48389406938446</v>
      </c>
      <c r="I173">
        <f>IF($A173&lt;=regressionsdep!$J$2,$A173*regressionsdep!$J$1,regressionsdep!$J$1*regressionsdep!$J$2+regressionsdep!$J$3*($A173-regressionsdep!$J$2))</f>
        <v>-49.608938965786464</v>
      </c>
      <c r="J173">
        <f>regressionsdep!H$1*A173+regressionsdep!H$2*A173^2</f>
        <v>-23.21322475730107</v>
      </c>
      <c r="K173">
        <f>regressionsdep!$T$1*A173</f>
        <v>-12.900213289163826</v>
      </c>
      <c r="L173">
        <f>regressionsdep!$L$1*A173^2</f>
        <v>-39.153962350706756</v>
      </c>
      <c r="M173">
        <f>regressionsdep!$P$1*A173^2+regressionsdep!$P$2*A173^6</f>
        <v>93.470076058686089</v>
      </c>
      <c r="N173">
        <f>regressionsdep!$N$1*A173^2+regressionsdep!$N$2*A173^7</f>
        <v>127.05976187308764</v>
      </c>
      <c r="O173">
        <f>regressionsdep!R$2+regressionsdep!R$1*EXP(A173)</f>
        <v>-24850.499834559123</v>
      </c>
      <c r="P173" s="20">
        <f>(1-EXP(-2*regressionsdep!V$1*graphdep!A173))/2/EXP(-regressionsdep!V$1*A173)</f>
        <v>-221.86413080878845</v>
      </c>
      <c r="Q173" s="5"/>
      <c r="AT173" s="33"/>
      <c r="AW173" s="33"/>
      <c r="AZ173" s="33"/>
    </row>
    <row r="174" spans="1:52" x14ac:dyDescent="0.35">
      <c r="A174">
        <f t="shared" si="11"/>
        <v>15.099999999999962</v>
      </c>
      <c r="B174">
        <f t="shared" si="8"/>
        <v>-227.81729964903101</v>
      </c>
      <c r="C174">
        <f>regressionsdep!$AO$1*$A174</f>
        <v>15.905325600639564</v>
      </c>
      <c r="D174">
        <f>regressionsdep!$AM$1*$A174</f>
        <v>21.607980775059261</v>
      </c>
      <c r="E174">
        <f t="shared" si="9"/>
        <v>-196.0066484477519</v>
      </c>
      <c r="F174">
        <f t="shared" si="10"/>
        <v>-271.03326119914954</v>
      </c>
      <c r="G174" s="5">
        <f>B174-regressionsdep!Y$7</f>
        <v>-232.68205779686821</v>
      </c>
      <c r="H174" s="5">
        <f>B174+regressionsdep!Y$7</f>
        <v>-222.95254150119382</v>
      </c>
      <c r="I174">
        <f>IF($A174&lt;=regressionsdep!$J$2,$A174*regressionsdep!$J$1,regressionsdep!$J$1*regressionsdep!$J$2+regressionsdep!$J$3*($A174-regressionsdep!$J$2))</f>
        <v>-51.391679382613958</v>
      </c>
      <c r="J174">
        <f>regressionsdep!H$1*A174+regressionsdep!H$2*A174^2</f>
        <v>-23.466711543774387</v>
      </c>
      <c r="K174">
        <f>regressionsdep!$T$1*A174</f>
        <v>-12.986214711091586</v>
      </c>
      <c r="L174">
        <f>regressionsdep!$L$1*A174^2</f>
        <v>-39.677755358153981</v>
      </c>
      <c r="M174">
        <f>regressionsdep!$P$1*A174^2+regressionsdep!$P$2*A174^6</f>
        <v>98.456120483846561</v>
      </c>
      <c r="N174">
        <f>regressionsdep!$N$1*A174^2+regressionsdep!$N$2*A174^7</f>
        <v>134.5233142192601</v>
      </c>
      <c r="O174">
        <f>regressionsdep!R$2+regressionsdep!R$1*EXP(A174)</f>
        <v>-27464.050516289644</v>
      </c>
      <c r="P174" s="20">
        <f>(1-EXP(-2*regressionsdep!V$1*graphdep!A174))/2/EXP(-regressionsdep!V$1*A174)</f>
        <v>-231.06529904479237</v>
      </c>
      <c r="Q174" s="5"/>
      <c r="AT174" s="33"/>
      <c r="AW174" s="33"/>
      <c r="AZ174" s="33"/>
    </row>
    <row r="175" spans="1:52" x14ac:dyDescent="0.35">
      <c r="A175">
        <f t="shared" si="11"/>
        <v>15.199999999999962</v>
      </c>
      <c r="B175">
        <f t="shared" si="8"/>
        <v>-249.29682888880086</v>
      </c>
      <c r="C175">
        <f>regressionsdep!$AO$1*$A175</f>
        <v>16.010658882763003</v>
      </c>
      <c r="D175">
        <f>regressionsdep!$AM$1*$A175</f>
        <v>21.751079985490115</v>
      </c>
      <c r="E175">
        <f t="shared" si="9"/>
        <v>-217.27551112327484</v>
      </c>
      <c r="F175">
        <f t="shared" si="10"/>
        <v>-292.7989888597811</v>
      </c>
      <c r="G175" s="5">
        <f>B175-regressionsdep!Y$7</f>
        <v>-254.16158703663805</v>
      </c>
      <c r="H175" s="5">
        <f>B175+regressionsdep!Y$7</f>
        <v>-244.43207074096367</v>
      </c>
      <c r="I175">
        <f>IF($A175&lt;=regressionsdep!$J$2,$A175*regressionsdep!$J$1,regressionsdep!$J$1*regressionsdep!$J$2+regressionsdep!$J$3*($A175-regressionsdep!$J$2))</f>
        <v>-53.174419799441452</v>
      </c>
      <c r="J175">
        <f>regressionsdep!H$1*A175+regressionsdep!H$2*A175^2</f>
        <v>-23.721506038257751</v>
      </c>
      <c r="K175">
        <f>regressionsdep!$T$1*A175</f>
        <v>-13.072216133019344</v>
      </c>
      <c r="L175">
        <f>regressionsdep!$L$1*A175^2</f>
        <v>-40.205028717810173</v>
      </c>
      <c r="M175">
        <f>regressionsdep!$P$1*A175^2+regressionsdep!$P$2*A175^6</f>
        <v>103.6257136070146</v>
      </c>
      <c r="N175">
        <f>regressionsdep!$N$1*A175^2+regressionsdep!$N$2*A175^7</f>
        <v>142.30812710688016</v>
      </c>
      <c r="O175">
        <f>regressionsdep!R$2+regressionsdep!R$1*EXP(A175)</f>
        <v>-30352.470722654998</v>
      </c>
      <c r="P175" s="20">
        <f>(1-EXP(-2*regressionsdep!V$1*graphdep!A175))/2/EXP(-regressionsdep!V$1*A175)</f>
        <v>-240.64805147155303</v>
      </c>
      <c r="Q175" s="5"/>
      <c r="AT175" s="33"/>
      <c r="AW175" s="33"/>
      <c r="AZ175" s="33"/>
    </row>
    <row r="176" spans="1:52" x14ac:dyDescent="0.35">
      <c r="A176">
        <f t="shared" si="11"/>
        <v>15.299999999999962</v>
      </c>
      <c r="B176">
        <f t="shared" si="8"/>
        <v>-272.99924086866923</v>
      </c>
      <c r="C176">
        <f>regressionsdep!$AO$1*$A176</f>
        <v>16.115992164886446</v>
      </c>
      <c r="D176">
        <f>regressionsdep!$AM$1*$A176</f>
        <v>21.894179195920973</v>
      </c>
      <c r="E176">
        <f t="shared" si="9"/>
        <v>-240.76725653889633</v>
      </c>
      <c r="F176">
        <f t="shared" si="10"/>
        <v>-316.78759926051117</v>
      </c>
      <c r="G176" s="5">
        <f>B176-regressionsdep!Y$7</f>
        <v>-277.86399901650645</v>
      </c>
      <c r="H176" s="5">
        <f>B176+regressionsdep!Y$7</f>
        <v>-268.13448272083201</v>
      </c>
      <c r="I176">
        <f>IF($A176&lt;=regressionsdep!$J$2,$A176*regressionsdep!$J$1,regressionsdep!$J$1*regressionsdep!$J$2+regressionsdep!$J$3*($A176-regressionsdep!$J$2))</f>
        <v>-54.957160216268946</v>
      </c>
      <c r="J176">
        <f>regressionsdep!H$1*A176+regressionsdep!H$2*A176^2</f>
        <v>-23.977608240751152</v>
      </c>
      <c r="K176">
        <f>regressionsdep!$T$1*A176</f>
        <v>-13.158217554947102</v>
      </c>
      <c r="L176">
        <f>regressionsdep!$L$1*A176^2</f>
        <v>-40.735782429675304</v>
      </c>
      <c r="M176">
        <f>regressionsdep!$P$1*A176^2+regressionsdep!$P$2*A176^6</f>
        <v>108.98386924129491</v>
      </c>
      <c r="N176">
        <f>regressionsdep!$N$1*A176^2+regressionsdep!$N$2*A176^7</f>
        <v>150.4251030272228</v>
      </c>
      <c r="O176">
        <f>regressionsdep!R$2+regressionsdep!R$1*EXP(A176)</f>
        <v>-33544.668733912047</v>
      </c>
      <c r="P176" s="20">
        <f>(1-EXP(-2*regressionsdep!V$1*graphdep!A176))/2/EXP(-regressionsdep!V$1*A176)</f>
        <v>-250.62821316901599</v>
      </c>
      <c r="Q176" s="5"/>
      <c r="AT176" s="33"/>
      <c r="AW176" s="33"/>
      <c r="AZ176" s="33"/>
    </row>
    <row r="177" spans="1:52" x14ac:dyDescent="0.35">
      <c r="A177">
        <f t="shared" si="11"/>
        <v>15.399999999999961</v>
      </c>
      <c r="B177">
        <f t="shared" si="8"/>
        <v>-299.15882727362452</v>
      </c>
      <c r="C177">
        <f>regressionsdep!$AO$1*$A177</f>
        <v>16.221325447009885</v>
      </c>
      <c r="D177">
        <f>regressionsdep!$AM$1*$A177</f>
        <v>22.037278406351827</v>
      </c>
      <c r="E177">
        <f t="shared" si="9"/>
        <v>-266.71617637960475</v>
      </c>
      <c r="F177">
        <f t="shared" si="10"/>
        <v>-343.23338408632816</v>
      </c>
      <c r="G177" s="5">
        <f>B177-regressionsdep!Y$7</f>
        <v>-304.02358542146175</v>
      </c>
      <c r="H177" s="5">
        <f>B177+regressionsdep!Y$7</f>
        <v>-294.2940691257873</v>
      </c>
      <c r="I177">
        <f>IF($A177&lt;=regressionsdep!$J$2,$A177*regressionsdep!$J$1,regressionsdep!$J$1*regressionsdep!$J$2+regressionsdep!$J$3*($A177-regressionsdep!$J$2))</f>
        <v>-56.73990063309644</v>
      </c>
      <c r="J177">
        <f>regressionsdep!H$1*A177+regressionsdep!H$2*A177^2</f>
        <v>-24.235018151254593</v>
      </c>
      <c r="K177">
        <f>regressionsdep!$T$1*A177</f>
        <v>-13.244218976874862</v>
      </c>
      <c r="L177">
        <f>regressionsdep!$L$1*A177^2</f>
        <v>-41.270016493749388</v>
      </c>
      <c r="M177">
        <f>regressionsdep!$P$1*A177^2+regressionsdep!$P$2*A177^6</f>
        <v>114.5357011378137</v>
      </c>
      <c r="N177">
        <f>regressionsdep!$N$1*A177^2+regressionsdep!$N$2*A177^7</f>
        <v>158.88543517916375</v>
      </c>
      <c r="O177">
        <f>regressionsdep!R$2+regressionsdep!R$1*EXP(A177)</f>
        <v>-37072.593140692246</v>
      </c>
      <c r="P177" s="20">
        <f>(1-EXP(-2*regressionsdep!V$1*graphdep!A177))/2/EXP(-regressionsdep!V$1*A177)</f>
        <v>-261.02226550388013</v>
      </c>
      <c r="Q177" s="5"/>
      <c r="AT177" s="33"/>
      <c r="AW177" s="33"/>
      <c r="AZ177" s="33"/>
    </row>
    <row r="178" spans="1:52" x14ac:dyDescent="0.35">
      <c r="A178">
        <f t="shared" si="11"/>
        <v>15.499999999999961</v>
      </c>
      <c r="B178">
        <f t="shared" si="8"/>
        <v>-328.03451244338686</v>
      </c>
      <c r="C178">
        <f>regressionsdep!$AO$1*$A178</f>
        <v>16.326658729133328</v>
      </c>
      <c r="D178">
        <f>regressionsdep!$AM$1*$A178</f>
        <v>22.180377616782682</v>
      </c>
      <c r="E178">
        <f t="shared" si="9"/>
        <v>-295.3811949851202</v>
      </c>
      <c r="F178">
        <f t="shared" si="10"/>
        <v>-372.39526767695224</v>
      </c>
      <c r="G178" s="5">
        <f>B178-regressionsdep!Y$7</f>
        <v>-332.89927059122408</v>
      </c>
      <c r="H178" s="5">
        <f>B178+regressionsdep!Y$7</f>
        <v>-323.16975429554964</v>
      </c>
      <c r="I178">
        <f>IF($A178&lt;=regressionsdep!$J$2,$A178*regressionsdep!$J$1,regressionsdep!$J$1*regressionsdep!$J$2+regressionsdep!$J$3*($A178-regressionsdep!$J$2))</f>
        <v>-58.522641049923934</v>
      </c>
      <c r="J178">
        <f>regressionsdep!H$1*A178+regressionsdep!H$2*A178^2</f>
        <v>-24.493735769768069</v>
      </c>
      <c r="K178">
        <f>regressionsdep!$T$1*A178</f>
        <v>-13.33022039880262</v>
      </c>
      <c r="L178">
        <f>regressionsdep!$L$1*A178^2</f>
        <v>-41.807730910032426</v>
      </c>
      <c r="M178">
        <f>regressionsdep!$P$1*A178^2+regressionsdep!$P$2*A178^6</f>
        <v>120.28642430499949</v>
      </c>
      <c r="N178">
        <f>regressionsdep!$N$1*A178^2+regressionsdep!$N$2*A178^7</f>
        <v>167.70061324449307</v>
      </c>
      <c r="O178">
        <f>regressionsdep!R$2+regressionsdep!R$1*EXP(A178)</f>
        <v>-40971.552596235015</v>
      </c>
      <c r="P178" s="20">
        <f>(1-EXP(-2*regressionsdep!V$1*graphdep!A178))/2/EXP(-regressionsdep!V$1*A178)</f>
        <v>-271.84737334713782</v>
      </c>
      <c r="Q178" s="5"/>
      <c r="AT178" s="33"/>
      <c r="AW178" s="33"/>
      <c r="AZ178" s="33"/>
    </row>
    <row r="179" spans="1:52" x14ac:dyDescent="0.35">
      <c r="A179">
        <f t="shared" si="11"/>
        <v>15.599999999999961</v>
      </c>
      <c r="B179">
        <f t="shared" si="8"/>
        <v>-359.912441387473</v>
      </c>
      <c r="C179">
        <f>regressionsdep!$AO$1*$A179</f>
        <v>16.431992011256767</v>
      </c>
      <c r="D179">
        <f>regressionsdep!$AM$1*$A179</f>
        <v>22.32347682721354</v>
      </c>
      <c r="E179">
        <f t="shared" si="9"/>
        <v>-327.04845736495946</v>
      </c>
      <c r="F179">
        <f t="shared" si="10"/>
        <v>-404.55939504190007</v>
      </c>
      <c r="G179" s="5">
        <f>B179-regressionsdep!Y$7</f>
        <v>-364.77719953531022</v>
      </c>
      <c r="H179" s="5">
        <f>B179+regressionsdep!Y$7</f>
        <v>-355.04768323963577</v>
      </c>
      <c r="I179">
        <f>IF($A179&lt;=regressionsdep!$J$2,$A179*regressionsdep!$J$1,regressionsdep!$J$1*regressionsdep!$J$2+regressionsdep!$J$3*($A179-regressionsdep!$J$2))</f>
        <v>-60.305381466751427</v>
      </c>
      <c r="J179">
        <f>regressionsdep!H$1*A179+regressionsdep!H$2*A179^2</f>
        <v>-24.753761096291591</v>
      </c>
      <c r="K179">
        <f>regressionsdep!$T$1*A179</f>
        <v>-13.41622182073038</v>
      </c>
      <c r="L179">
        <f>regressionsdep!$L$1*A179^2</f>
        <v>-42.348925678524417</v>
      </c>
      <c r="M179">
        <f>regressionsdep!$P$1*A179^2+regressionsdep!$P$2*A179^6</f>
        <v>126.2413563365144</v>
      </c>
      <c r="N179">
        <f>regressionsdep!$N$1*A179^2+regressionsdep!$N$2*A179^7</f>
        <v>176.88242923921675</v>
      </c>
      <c r="O179">
        <f>regressionsdep!R$2+regressionsdep!R$1*EXP(A179)</f>
        <v>-45280.569197256933</v>
      </c>
      <c r="P179" s="20">
        <f>(1-EXP(-2*regressionsdep!V$1*graphdep!A179))/2/EXP(-regressionsdep!V$1*A179)</f>
        <v>-283.12141342036233</v>
      </c>
      <c r="Q179" s="5"/>
      <c r="AT179" s="33"/>
      <c r="AW179" s="33"/>
      <c r="AZ179" s="33"/>
    </row>
    <row r="180" spans="1:52" x14ac:dyDescent="0.35">
      <c r="A180">
        <f t="shared" si="11"/>
        <v>15.69999999999996</v>
      </c>
      <c r="B180">
        <f t="shared" si="8"/>
        <v>-395.10883978747023</v>
      </c>
      <c r="C180">
        <f>regressionsdep!$AO$1*$A180</f>
        <v>16.53732529338021</v>
      </c>
      <c r="D180">
        <f>regressionsdep!$AM$1*$A180</f>
        <v>22.466576037644394</v>
      </c>
      <c r="E180">
        <f t="shared" si="9"/>
        <v>-362.03418920070982</v>
      </c>
      <c r="F180">
        <f t="shared" si="10"/>
        <v>-440.04199186275901</v>
      </c>
      <c r="G180" s="5">
        <f>B180-regressionsdep!Y$7</f>
        <v>-399.97359793530745</v>
      </c>
      <c r="H180" s="5">
        <f>B180+regressionsdep!Y$7</f>
        <v>-390.24408163963301</v>
      </c>
      <c r="I180">
        <f>IF($A180&lt;=regressionsdep!$J$2,$A180*regressionsdep!$J$1,regressionsdep!$J$1*regressionsdep!$J$2+regressionsdep!$J$3*($A180-regressionsdep!$J$2))</f>
        <v>-62.088121883578921</v>
      </c>
      <c r="J180">
        <f>regressionsdep!H$1*A180+regressionsdep!H$2*A180^2</f>
        <v>-25.015094130825148</v>
      </c>
      <c r="K180">
        <f>regressionsdep!$T$1*A180</f>
        <v>-13.502223242658138</v>
      </c>
      <c r="L180">
        <f>regressionsdep!$L$1*A180^2</f>
        <v>-42.893600799225361</v>
      </c>
      <c r="M180">
        <f>regressionsdep!$P$1*A180^2+regressionsdep!$P$2*A180^6</f>
        <v>132.40591874783678</v>
      </c>
      <c r="N180">
        <f>regressionsdep!$N$1*A180^2+regressionsdep!$N$2*A180^7</f>
        <v>186.44298344134467</v>
      </c>
      <c r="O180">
        <f>regressionsdep!R$2+regressionsdep!R$1*EXP(A180)</f>
        <v>-50042.769030211544</v>
      </c>
      <c r="P180" s="20">
        <f>(1-EXP(-2*regressionsdep!V$1*graphdep!A180))/2/EXP(-regressionsdep!V$1*A180)</f>
        <v>-294.8630038175537</v>
      </c>
      <c r="Q180" s="5"/>
      <c r="AT180" s="33"/>
      <c r="AW180" s="33"/>
      <c r="AZ180" s="33"/>
    </row>
    <row r="181" spans="1:52" x14ac:dyDescent="0.35">
      <c r="A181">
        <f t="shared" si="11"/>
        <v>15.79999999999996</v>
      </c>
      <c r="B181">
        <f t="shared" si="8"/>
        <v>-433.97317458129345</v>
      </c>
      <c r="C181">
        <f>regressionsdep!$AO$1*$A181</f>
        <v>16.642658575503649</v>
      </c>
      <c r="D181">
        <f>regressionsdep!$AM$1*$A181</f>
        <v>22.609675248075252</v>
      </c>
      <c r="E181">
        <f t="shared" si="9"/>
        <v>-400.68785743028616</v>
      </c>
      <c r="F181">
        <f t="shared" si="10"/>
        <v>-479.19252507744397</v>
      </c>
      <c r="G181" s="5">
        <f>B181-regressionsdep!Y$7</f>
        <v>-438.83793272913067</v>
      </c>
      <c r="H181" s="5">
        <f>B181+regressionsdep!Y$7</f>
        <v>-429.10841643345623</v>
      </c>
      <c r="I181">
        <f>IF($A181&lt;=regressionsdep!$J$2,$A181*regressionsdep!$J$1,regressionsdep!$J$1*regressionsdep!$J$2+regressionsdep!$J$3*($A181-regressionsdep!$J$2))</f>
        <v>-63.870862300406429</v>
      </c>
      <c r="J181">
        <f>regressionsdep!H$1*A181+regressionsdep!H$2*A181^2</f>
        <v>-25.277734873368747</v>
      </c>
      <c r="K181">
        <f>regressionsdep!$T$1*A181</f>
        <v>-13.588224664585896</v>
      </c>
      <c r="L181">
        <f>regressionsdep!$L$1*A181^2</f>
        <v>-43.441756272135258</v>
      </c>
      <c r="M181">
        <f>regressionsdep!$P$1*A181^2+regressionsdep!$P$2*A181^6</f>
        <v>138.78563832149473</v>
      </c>
      <c r="N181">
        <f>regressionsdep!$N$1*A181^2+regressionsdep!$N$2*A181^7</f>
        <v>196.39469039565975</v>
      </c>
      <c r="O181">
        <f>regressionsdep!R$2+regressionsdep!R$1*EXP(A181)</f>
        <v>-55305.813791657674</v>
      </c>
      <c r="P181" s="20">
        <f>(1-EXP(-2*regressionsdep!V$1*graphdep!A181))/2/EXP(-regressionsdep!V$1*A181)</f>
        <v>-307.09153475129909</v>
      </c>
      <c r="Q181" s="5"/>
      <c r="AT181" s="33"/>
      <c r="AW181" s="33"/>
      <c r="AZ181" s="33"/>
    </row>
    <row r="182" spans="1:52" x14ac:dyDescent="0.35">
      <c r="A182">
        <f t="shared" si="11"/>
        <v>15.899999999999959</v>
      </c>
      <c r="B182">
        <f t="shared" si="8"/>
        <v>-476.89164673107621</v>
      </c>
      <c r="C182">
        <f>regressionsdep!$AO$1*$A182</f>
        <v>16.747991857627088</v>
      </c>
      <c r="D182">
        <f>regressionsdep!$AM$1*$A182</f>
        <v>22.752774458506106</v>
      </c>
      <c r="E182">
        <f t="shared" si="9"/>
        <v>-443.39566301582204</v>
      </c>
      <c r="F182">
        <f t="shared" si="10"/>
        <v>-522.39719564808843</v>
      </c>
      <c r="G182" s="5">
        <f>B182-regressionsdep!Y$7</f>
        <v>-481.75640487891343</v>
      </c>
      <c r="H182" s="5">
        <f>B182+regressionsdep!Y$7</f>
        <v>-472.02688858323899</v>
      </c>
      <c r="I182">
        <f>IF($A182&lt;=regressionsdep!$J$2,$A182*regressionsdep!$J$1,regressionsdep!$J$1*regressionsdep!$J$2+regressionsdep!$J$3*($A182-regressionsdep!$J$2))</f>
        <v>-65.653602717233923</v>
      </c>
      <c r="J182">
        <f>regressionsdep!H$1*A182+regressionsdep!H$2*A182^2</f>
        <v>-25.541683323922385</v>
      </c>
      <c r="K182">
        <f>regressionsdep!$T$1*A182</f>
        <v>-13.674226086513656</v>
      </c>
      <c r="L182">
        <f>regressionsdep!$L$1*A182^2</f>
        <v>-43.993392097254102</v>
      </c>
      <c r="M182">
        <f>regressionsdep!$P$1*A182^2+regressionsdep!$P$2*A182^6</f>
        <v>145.38614846095078</v>
      </c>
      <c r="N182">
        <f>regressionsdep!$N$1*A182^2+regressionsdep!$N$2*A182^7</f>
        <v>206.75028499596706</v>
      </c>
      <c r="O182">
        <f>regressionsdep!R$2+regressionsdep!R$1*EXP(A182)</f>
        <v>-61122.377802538322</v>
      </c>
      <c r="P182" s="20">
        <f>(1-EXP(-2*regressionsdep!V$1*graphdep!A182))/2/EXP(-regressionsdep!V$1*A182)</f>
        <v>-319.8272005740165</v>
      </c>
      <c r="Q182" s="5"/>
      <c r="AT182" s="33"/>
      <c r="AW182" s="33"/>
      <c r="AZ182" s="33"/>
    </row>
    <row r="183" spans="1:52" x14ac:dyDescent="0.35">
      <c r="A183">
        <f t="shared" si="11"/>
        <v>15.999999999999959</v>
      </c>
      <c r="B183">
        <f t="shared" si="8"/>
        <v>-524.29105109943498</v>
      </c>
      <c r="C183">
        <f>regressionsdep!$AO$1*$A183</f>
        <v>16.853325139750531</v>
      </c>
      <c r="D183">
        <f>regressionsdep!$AM$1*$A183</f>
        <v>22.895873668936964</v>
      </c>
      <c r="E183">
        <f t="shared" si="9"/>
        <v>-490.58440081993393</v>
      </c>
      <c r="F183">
        <f t="shared" si="10"/>
        <v>-570.08279843730895</v>
      </c>
      <c r="G183" s="5">
        <f>B183-regressionsdep!Y$7</f>
        <v>-529.15580924727215</v>
      </c>
      <c r="H183" s="5">
        <f>B183+regressionsdep!Y$7</f>
        <v>-519.42629295159782</v>
      </c>
      <c r="I183">
        <f>IF($A183&lt;=regressionsdep!$J$2,$A183*regressionsdep!$J$1,regressionsdep!$J$1*regressionsdep!$J$2+regressionsdep!$J$3*($A183-regressionsdep!$J$2))</f>
        <v>-67.436343134061417</v>
      </c>
      <c r="J183">
        <f>regressionsdep!H$1*A183+regressionsdep!H$2*A183^2</f>
        <v>-25.806939482486058</v>
      </c>
      <c r="K183">
        <f>regressionsdep!$T$1*A183</f>
        <v>-13.760227508441414</v>
      </c>
      <c r="L183">
        <f>regressionsdep!$L$1*A183^2</f>
        <v>-44.548508274581899</v>
      </c>
      <c r="M183">
        <f>regressionsdep!$P$1*A183^2+regressionsdep!$P$2*A183^6</f>
        <v>152.21319055313734</v>
      </c>
      <c r="N183">
        <f>regressionsdep!$N$1*A183^2+regressionsdep!$N$2*A183^7</f>
        <v>217.52282864531674</v>
      </c>
      <c r="O183">
        <f>regressionsdep!R$2+regressionsdep!R$1*EXP(A183)</f>
        <v>-67550.675190489055</v>
      </c>
      <c r="P183" s="20">
        <f>(1-EXP(-2*regressionsdep!V$1*graphdep!A183))/2/EXP(-regressionsdep!V$1*A183)</f>
        <v>-333.09103312716729</v>
      </c>
      <c r="Q183" s="5"/>
      <c r="AT183" s="33"/>
      <c r="AW183" s="33"/>
      <c r="AZ183" s="33"/>
    </row>
    <row r="184" spans="1:52" x14ac:dyDescent="0.35">
      <c r="A184">
        <f t="shared" si="11"/>
        <v>16.099999999999959</v>
      </c>
      <c r="B184">
        <f t="shared" si="8"/>
        <v>-576.64304203141023</v>
      </c>
      <c r="C184">
        <f>regressionsdep!$AO$1*$A184</f>
        <v>16.95865842187397</v>
      </c>
      <c r="D184">
        <f>regressionsdep!$AM$1*$A184</f>
        <v>23.038972879367819</v>
      </c>
      <c r="E184">
        <f t="shared" si="9"/>
        <v>-542.72572518766231</v>
      </c>
      <c r="F184">
        <f t="shared" si="10"/>
        <v>-622.72098779014584</v>
      </c>
      <c r="G184" s="5">
        <f>B184-regressionsdep!Y$7</f>
        <v>-581.5078001792474</v>
      </c>
      <c r="H184" s="5">
        <f>B184+regressionsdep!Y$7</f>
        <v>-571.77828388357307</v>
      </c>
      <c r="I184">
        <f>IF($A184&lt;=regressionsdep!$J$2,$A184*regressionsdep!$J$1,regressionsdep!$J$1*regressionsdep!$J$2+regressionsdep!$J$3*($A184-regressionsdep!$J$2))</f>
        <v>-69.219083550888911</v>
      </c>
      <c r="J184">
        <f>regressionsdep!H$1*A184+regressionsdep!H$2*A184^2</f>
        <v>-26.073503349059774</v>
      </c>
      <c r="K184">
        <f>regressionsdep!$T$1*A184</f>
        <v>-13.846228930369174</v>
      </c>
      <c r="L184">
        <f>regressionsdep!$L$1*A184^2</f>
        <v>-45.107104804118649</v>
      </c>
      <c r="M184">
        <f>regressionsdep!$P$1*A184^2+regressionsdep!$P$2*A184^6</f>
        <v>159.27261533964355</v>
      </c>
      <c r="N184">
        <f>regressionsdep!$N$1*A184^2+regressionsdep!$N$2*A184^7</f>
        <v>228.72571549470078</v>
      </c>
      <c r="O184">
        <f>regressionsdep!R$2+regressionsdep!R$1*EXP(A184)</f>
        <v>-74655.042516393863</v>
      </c>
      <c r="P184" s="20">
        <f>(1-EXP(-2*regressionsdep!V$1*graphdep!A184))/2/EXP(-regressionsdep!V$1*A184)</f>
        <v>-346.9049364735082</v>
      </c>
      <c r="Q184" s="5"/>
      <c r="AT184" s="33"/>
      <c r="AW184" s="33"/>
      <c r="AZ184" s="33"/>
    </row>
    <row r="185" spans="1:52" x14ac:dyDescent="0.35">
      <c r="A185">
        <f t="shared" si="11"/>
        <v>16.19999999999996</v>
      </c>
      <c r="B185">
        <f t="shared" si="8"/>
        <v>-634.46884729817782</v>
      </c>
      <c r="C185">
        <f>regressionsdep!$AO$1*$A185</f>
        <v>17.063991703997413</v>
      </c>
      <c r="D185">
        <f>regressionsdep!$AM$1*$A185</f>
        <v>23.182072089798677</v>
      </c>
      <c r="E185">
        <f t="shared" si="9"/>
        <v>-600.34086389018296</v>
      </c>
      <c r="F185">
        <f t="shared" si="10"/>
        <v>-680.83299147777518</v>
      </c>
      <c r="G185" s="5">
        <f>B185-regressionsdep!Y$7</f>
        <v>-639.33360544601499</v>
      </c>
      <c r="H185" s="5">
        <f>B185+regressionsdep!Y$7</f>
        <v>-629.60408915034066</v>
      </c>
      <c r="I185">
        <f>IF($A185&lt;=regressionsdep!$J$2,$A185*regressionsdep!$J$1,regressionsdep!$J$1*regressionsdep!$J$2+regressionsdep!$J$3*($A185-regressionsdep!$J$2))</f>
        <v>-71.001823967716433</v>
      </c>
      <c r="J185">
        <f>regressionsdep!H$1*A185+regressionsdep!H$2*A185^2</f>
        <v>-26.341374923643535</v>
      </c>
      <c r="K185">
        <f>regressionsdep!$T$1*A185</f>
        <v>-13.932230352296934</v>
      </c>
      <c r="L185">
        <f>regressionsdep!$L$1*A185^2</f>
        <v>-45.669181685864352</v>
      </c>
      <c r="M185">
        <f>regressionsdep!$P$1*A185^2+regressionsdep!$P$2*A185^6</f>
        <v>166.57038429655296</v>
      </c>
      <c r="N185">
        <f>regressionsdep!$N$1*A185^2+regressionsdep!$N$2*A185^7</f>
        <v>240.37267876071735</v>
      </c>
      <c r="O185">
        <f>regressionsdep!R$2+regressionsdep!R$1*EXP(A185)</f>
        <v>-82506.582676310834</v>
      </c>
      <c r="P185" s="20">
        <f>(1-EXP(-2*regressionsdep!V$1*graphdep!A185))/2/EXP(-regressionsdep!V$1*A185)</f>
        <v>-361.29172306974021</v>
      </c>
      <c r="Q185" s="5"/>
      <c r="AT185" s="33"/>
      <c r="AW185" s="33"/>
      <c r="AZ185" s="33"/>
    </row>
    <row r="186" spans="1:52" x14ac:dyDescent="0.35">
      <c r="A186">
        <f t="shared" si="11"/>
        <v>16.299999999999962</v>
      </c>
      <c r="B186">
        <f t="shared" si="8"/>
        <v>-698.34447754425128</v>
      </c>
      <c r="C186">
        <f>regressionsdep!$AO$1*$A186</f>
        <v>17.169324986120856</v>
      </c>
      <c r="D186">
        <f>regressionsdep!$AM$1*$A186</f>
        <v>23.325171300229535</v>
      </c>
      <c r="E186">
        <f t="shared" si="9"/>
        <v>-664.00582757200959</v>
      </c>
      <c r="F186">
        <f t="shared" si="10"/>
        <v>-744.99482014471039</v>
      </c>
      <c r="G186" s="5">
        <f>B186-regressionsdep!Y$7</f>
        <v>-703.20923569208844</v>
      </c>
      <c r="H186" s="5">
        <f>B186+regressionsdep!Y$7</f>
        <v>-693.47971939641411</v>
      </c>
      <c r="I186">
        <f>IF($A186&lt;=regressionsdep!$J$2,$A186*regressionsdep!$J$1,regressionsdep!$J$1*regressionsdep!$J$2+regressionsdep!$J$3*($A186-regressionsdep!$J$2))</f>
        <v>-72.784564384543955</v>
      </c>
      <c r="J186">
        <f>regressionsdep!H$1*A186+regressionsdep!H$2*A186^2</f>
        <v>-26.610554206237339</v>
      </c>
      <c r="K186">
        <f>regressionsdep!$T$1*A186</f>
        <v>-14.018231774224693</v>
      </c>
      <c r="L186">
        <f>regressionsdep!$L$1*A186^2</f>
        <v>-46.234738919819023</v>
      </c>
      <c r="M186">
        <f>regressionsdep!$P$1*A186^2+regressionsdep!$P$2*A186^6</f>
        <v>174.1125710229316</v>
      </c>
      <c r="N186">
        <f>regressionsdep!$N$1*A186^2+regressionsdep!$N$2*A186^7</f>
        <v>252.47779712270037</v>
      </c>
      <c r="O186">
        <f>regressionsdep!R$2+regressionsdep!R$1*EXP(A186)</f>
        <v>-91183.876523154118</v>
      </c>
      <c r="P186" s="20">
        <f>(1-EXP(-2*regressionsdep!V$1*graphdep!A186))/2/EXP(-regressionsdep!V$1*A186)</f>
        <v>-376.27515143929196</v>
      </c>
      <c r="Q186" s="5"/>
      <c r="AT186" s="33"/>
      <c r="AW186" s="33"/>
      <c r="AZ186" s="33"/>
    </row>
    <row r="187" spans="1:52" x14ac:dyDescent="0.35">
      <c r="A187">
        <f t="shared" si="11"/>
        <v>16.399999999999963</v>
      </c>
      <c r="B187">
        <f t="shared" si="8"/>
        <v>-768.90648333727756</v>
      </c>
      <c r="C187">
        <f>regressionsdep!$AO$1*$A187</f>
        <v>17.274658268244298</v>
      </c>
      <c r="D187">
        <f>regressionsdep!$AM$1*$A187</f>
        <v>23.468270510660393</v>
      </c>
      <c r="E187">
        <f t="shared" si="9"/>
        <v>-734.35716680078895</v>
      </c>
      <c r="F187">
        <f t="shared" si="10"/>
        <v>-815.84302435859831</v>
      </c>
      <c r="G187" s="5">
        <f>B187-regressionsdep!Y$7</f>
        <v>-773.77124148511473</v>
      </c>
      <c r="H187" s="5">
        <f>B187+regressionsdep!Y$7</f>
        <v>-764.0417251894404</v>
      </c>
      <c r="I187">
        <f>IF($A187&lt;=regressionsdep!$J$2,$A187*regressionsdep!$J$1,regressionsdep!$J$1*regressionsdep!$J$2+regressionsdep!$J$3*($A187-regressionsdep!$J$2))</f>
        <v>-74.567304801371492</v>
      </c>
      <c r="J187">
        <f>regressionsdep!H$1*A187+regressionsdep!H$2*A187^2</f>
        <v>-26.881041196841174</v>
      </c>
      <c r="K187">
        <f>regressionsdep!$T$1*A187</f>
        <v>-14.104233196152453</v>
      </c>
      <c r="L187">
        <f>regressionsdep!$L$1*A187^2</f>
        <v>-46.803776505982633</v>
      </c>
      <c r="M187">
        <f>regressionsdep!$P$1*A187^2+regressionsdep!$P$2*A187^6</f>
        <v>181.90536263796841</v>
      </c>
      <c r="N187">
        <f>regressionsdep!$N$1*A187^2+regressionsdep!$N$2*A187^7</f>
        <v>265.05550119981211</v>
      </c>
      <c r="O187">
        <f>regressionsdep!R$2+regressionsdep!R$1*EXP(A187)</f>
        <v>-100773.7693302821</v>
      </c>
      <c r="P187" s="20">
        <f>(1-EXP(-2*regressionsdep!V$1*graphdep!A187))/2/EXP(-regressionsdep!V$1*A187)</f>
        <v>-391.87996540744922</v>
      </c>
      <c r="Q187" s="5"/>
      <c r="AT187" s="33"/>
      <c r="AW187" s="33"/>
      <c r="AZ187" s="33"/>
    </row>
    <row r="188" spans="1:52" x14ac:dyDescent="0.35">
      <c r="A188">
        <f t="shared" si="11"/>
        <v>16.499999999999964</v>
      </c>
      <c r="B188">
        <f t="shared" si="8"/>
        <v>-846.85831739822606</v>
      </c>
      <c r="C188">
        <f>regressionsdep!$AO$1*$A188</f>
        <v>17.379991550367741</v>
      </c>
      <c r="D188">
        <f>regressionsdep!$AM$1*$A188</f>
        <v>23.611369721091254</v>
      </c>
      <c r="E188">
        <f t="shared" si="9"/>
        <v>-812.09833429749062</v>
      </c>
      <c r="F188">
        <f t="shared" si="10"/>
        <v>-894.08105684040856</v>
      </c>
      <c r="G188" s="5">
        <f>B188-regressionsdep!Y$7</f>
        <v>-851.72307554606323</v>
      </c>
      <c r="H188" s="5">
        <f>B188+regressionsdep!Y$7</f>
        <v>-841.9935592503889</v>
      </c>
      <c r="I188">
        <f>IF($A188&lt;=regressionsdep!$J$2,$A188*regressionsdep!$J$1,regressionsdep!$J$1*regressionsdep!$J$2+regressionsdep!$J$3*($A188-regressionsdep!$J$2))</f>
        <v>-76.350045218199014</v>
      </c>
      <c r="J188">
        <f>regressionsdep!H$1*A188+regressionsdep!H$2*A188^2</f>
        <v>-27.152835895455055</v>
      </c>
      <c r="K188">
        <f>regressionsdep!$T$1*A188</f>
        <v>-14.190234618080215</v>
      </c>
      <c r="L188">
        <f>regressionsdep!$L$1*A188^2</f>
        <v>-47.376294444355196</v>
      </c>
      <c r="M188">
        <f>regressionsdep!$P$1*A188^2+regressionsdep!$P$2*A188^6</f>
        <v>189.95506118676542</v>
      </c>
      <c r="N188">
        <f>regressionsdep!$N$1*A188^2+regressionsdep!$N$2*A188^7</f>
        <v>278.12058010859386</v>
      </c>
      <c r="O188">
        <f>regressionsdep!R$2+regressionsdep!R$1*EXP(A188)</f>
        <v>-111372.23996818278</v>
      </c>
      <c r="P188" s="20">
        <f>(1-EXP(-2*regressionsdep!V$1*graphdep!A188))/2/EXP(-regressionsdep!V$1*A188)</f>
        <v>-408.13193496362436</v>
      </c>
      <c r="Q188" s="5"/>
      <c r="AT188" s="33"/>
      <c r="AW188" s="33"/>
      <c r="AZ188" s="33"/>
    </row>
    <row r="189" spans="1:52" x14ac:dyDescent="0.35">
      <c r="A189">
        <f t="shared" si="11"/>
        <v>16.599999999999966</v>
      </c>
      <c r="B189">
        <f t="shared" si="8"/>
        <v>-932.97736564467891</v>
      </c>
      <c r="C189">
        <f>regressionsdep!$AO$1*$A189</f>
        <v>17.485324832491184</v>
      </c>
      <c r="D189">
        <f>regressionsdep!$AM$1*$A189</f>
        <v>23.754468931522112</v>
      </c>
      <c r="E189">
        <f t="shared" si="9"/>
        <v>-898.00671597969654</v>
      </c>
      <c r="F189">
        <f t="shared" si="10"/>
        <v>-980.48630350772316</v>
      </c>
      <c r="G189" s="5">
        <f>B189-regressionsdep!Y$7</f>
        <v>-937.84212379251608</v>
      </c>
      <c r="H189" s="5">
        <f>B189+regressionsdep!Y$7</f>
        <v>-928.11260749684175</v>
      </c>
      <c r="I189">
        <f>IF($A189&lt;=regressionsdep!$J$2,$A189*regressionsdep!$J$1,regressionsdep!$J$1*regressionsdep!$J$2+regressionsdep!$J$3*($A189-regressionsdep!$J$2))</f>
        <v>-78.132785635026536</v>
      </c>
      <c r="J189">
        <f>regressionsdep!H$1*A189+regressionsdep!H$2*A189^2</f>
        <v>-27.425938302078976</v>
      </c>
      <c r="K189">
        <f>regressionsdep!$T$1*A189</f>
        <v>-14.276236040007975</v>
      </c>
      <c r="L189">
        <f>regressionsdep!$L$1*A189^2</f>
        <v>-47.952292734936719</v>
      </c>
      <c r="M189">
        <f>regressionsdep!$P$1*A189^2+regressionsdep!$P$2*A189^6</f>
        <v>198.26808505478007</v>
      </c>
      <c r="N189">
        <f>regressionsdep!$N$1*A189^2+regressionsdep!$N$2*A189^7</f>
        <v>291.68818810147235</v>
      </c>
      <c r="O189">
        <f>regressionsdep!R$2+regressionsdep!R$1*EXP(A189)</f>
        <v>-123085.3614932693</v>
      </c>
      <c r="P189" s="20">
        <f>(1-EXP(-2*regressionsdep!V$1*graphdep!A189))/2/EXP(-regressionsdep!V$1*A189)</f>
        <v>-425.0578988182466</v>
      </c>
      <c r="Q189" s="5"/>
      <c r="AT189" s="33"/>
      <c r="AW189" s="33"/>
      <c r="AZ189" s="33"/>
    </row>
    <row r="190" spans="1:52" x14ac:dyDescent="0.35">
      <c r="A190">
        <f t="shared" si="11"/>
        <v>16.699999999999967</v>
      </c>
      <c r="B190">
        <f t="shared" si="8"/>
        <v>-1028.1227173715847</v>
      </c>
      <c r="C190">
        <f>regressionsdep!$AO$1*$A190</f>
        <v>17.590658114614627</v>
      </c>
      <c r="D190">
        <f>regressionsdep!$AM$1*$A190</f>
        <v>23.89756814195297</v>
      </c>
      <c r="E190">
        <f t="shared" si="9"/>
        <v>-992.94140114235552</v>
      </c>
      <c r="F190">
        <f t="shared" si="10"/>
        <v>-1075.9178536554907</v>
      </c>
      <c r="G190" s="5">
        <f>B190-regressionsdep!Y$7</f>
        <v>-1032.9874755194219</v>
      </c>
      <c r="H190" s="5">
        <f>B190+regressionsdep!Y$7</f>
        <v>-1023.2579592237475</v>
      </c>
      <c r="I190">
        <f>IF($A190&lt;=regressionsdep!$J$2,$A190*regressionsdep!$J$1,regressionsdep!$J$1*regressionsdep!$J$2+regressionsdep!$J$3*($A190-regressionsdep!$J$2))</f>
        <v>-79.915526051854059</v>
      </c>
      <c r="J190">
        <f>regressionsdep!H$1*A190+regressionsdep!H$2*A190^2</f>
        <v>-27.700348416712934</v>
      </c>
      <c r="K190">
        <f>regressionsdep!$T$1*A190</f>
        <v>-14.362237461935734</v>
      </c>
      <c r="L190">
        <f>regressionsdep!$L$1*A190^2</f>
        <v>-48.531771377727189</v>
      </c>
      <c r="M190">
        <f>regressionsdep!$P$1*A190^2+regressionsdep!$P$2*A190^6</f>
        <v>206.8509703909171</v>
      </c>
      <c r="N190">
        <f>regressionsdep!$N$1*A190^2+regressionsdep!$N$2*A190^7</f>
        <v>305.77385128671739</v>
      </c>
      <c r="O190">
        <f>regressionsdep!R$2+regressionsdep!R$1*EXP(A190)</f>
        <v>-136030.3627626808</v>
      </c>
      <c r="P190" s="20">
        <f>(1-EXP(-2*regressionsdep!V$1*graphdep!A190))/2/EXP(-regressionsdep!V$1*A190)</f>
        <v>-442.68580872455163</v>
      </c>
      <c r="Q190" s="5"/>
      <c r="AE190" s="58"/>
      <c r="AO190" s="1"/>
      <c r="AP190" s="1"/>
      <c r="AT190" s="33"/>
      <c r="AW190" s="33"/>
      <c r="AZ190" s="33"/>
    </row>
    <row r="191" spans="1:52" x14ac:dyDescent="0.35">
      <c r="A191">
        <f t="shared" si="11"/>
        <v>16.799999999999969</v>
      </c>
      <c r="B191">
        <f t="shared" si="8"/>
        <v>-1133.2437522892542</v>
      </c>
      <c r="C191">
        <f>regressionsdep!$AO$1*$A191</f>
        <v>17.695991396738069</v>
      </c>
      <c r="D191">
        <f>regressionsdep!$AM$1*$A191</f>
        <v>24.040667352383828</v>
      </c>
      <c r="E191">
        <f t="shared" si="9"/>
        <v>-1097.8517694957779</v>
      </c>
      <c r="F191">
        <f t="shared" si="10"/>
        <v>-1181.3250869940218</v>
      </c>
      <c r="G191" s="5">
        <f>B191-regressionsdep!Y$7</f>
        <v>-1138.1085104370914</v>
      </c>
      <c r="H191" s="5">
        <f>B191+regressionsdep!Y$7</f>
        <v>-1128.378994141417</v>
      </c>
      <c r="I191">
        <f>IF($A191&lt;=regressionsdep!$J$2,$A191*regressionsdep!$J$1,regressionsdep!$J$1*regressionsdep!$J$2+regressionsdep!$J$3*($A191-regressionsdep!$J$2))</f>
        <v>-81.698266468681595</v>
      </c>
      <c r="J191">
        <f>regressionsdep!H$1*A191+regressionsdep!H$2*A191^2</f>
        <v>-27.976066239356925</v>
      </c>
      <c r="K191">
        <f>regressionsdep!$T$1*A191</f>
        <v>-14.448238883863494</v>
      </c>
      <c r="L191">
        <f>regressionsdep!$L$1*A191^2</f>
        <v>-49.114730372726605</v>
      </c>
      <c r="M191">
        <f>regressionsdep!$P$1*A191^2+regressionsdep!$P$2*A191^6</f>
        <v>215.71037253927301</v>
      </c>
      <c r="N191">
        <f>regressionsdep!$N$1*A191^2+regressionsdep!$N$2*A191^7</f>
        <v>320.39347443034933</v>
      </c>
      <c r="O191">
        <f>regressionsdep!R$2+regressionsdep!R$1*EXP(A191)</f>
        <v>-150336.8017000868</v>
      </c>
      <c r="P191" s="20">
        <f>(1-EXP(-2*regressionsdep!V$1*graphdep!A191))/2/EXP(-regressionsdep!V$1*A191)</f>
        <v>-461.04477563846473</v>
      </c>
      <c r="Q191" s="5"/>
      <c r="AT191" s="33"/>
      <c r="AW191" s="33"/>
      <c r="AZ191" s="33"/>
    </row>
    <row r="192" spans="1:52" x14ac:dyDescent="0.35">
      <c r="A192">
        <f t="shared" si="11"/>
        <v>16.89999999999997</v>
      </c>
      <c r="B192">
        <f t="shared" si="8"/>
        <v>-1249.38963031152</v>
      </c>
      <c r="C192">
        <f>regressionsdep!$AO$1*$A192</f>
        <v>17.801324678861512</v>
      </c>
      <c r="D192">
        <f>regressionsdep!$AM$1*$A192</f>
        <v>24.183766562814686</v>
      </c>
      <c r="E192">
        <f t="shared" si="9"/>
        <v>-1213.786980953797</v>
      </c>
      <c r="F192">
        <f t="shared" si="10"/>
        <v>-1297.7571634371493</v>
      </c>
      <c r="G192" s="5">
        <f>B192-regressionsdep!Y$7</f>
        <v>-1254.2543884593572</v>
      </c>
      <c r="H192" s="5">
        <f>B192+regressionsdep!Y$7</f>
        <v>-1244.5248721636829</v>
      </c>
      <c r="I192">
        <f>IF($A192&lt;=regressionsdep!$J$2,$A192*regressionsdep!$J$1,regressionsdep!$J$1*regressionsdep!$J$2+regressionsdep!$J$3*($A192-regressionsdep!$J$2))</f>
        <v>-83.481006885509117</v>
      </c>
      <c r="J192">
        <f>regressionsdep!H$1*A192+regressionsdep!H$2*A192^2</f>
        <v>-28.253091770010968</v>
      </c>
      <c r="K192">
        <f>regressionsdep!$T$1*A192</f>
        <v>-14.534240305791256</v>
      </c>
      <c r="L192">
        <f>regressionsdep!$L$1*A192^2</f>
        <v>-49.701169719934981</v>
      </c>
      <c r="M192">
        <f>regressionsdep!$P$1*A192^2+regressionsdep!$P$2*A192^6</f>
        <v>224.85306747953086</v>
      </c>
      <c r="N192">
        <f>regressionsdep!$N$1*A192^2+regressionsdep!$N$2*A192^7</f>
        <v>335.56334784049125</v>
      </c>
      <c r="O192">
        <f>regressionsdep!R$2+regressionsdep!R$1*EXP(A192)</f>
        <v>-166147.86195493295</v>
      </c>
      <c r="P192" s="20">
        <f>(1-EXP(-2*regressionsdep!V$1*graphdep!A192))/2/EXP(-regressionsdep!V$1*A192)</f>
        <v>-480.16511779280557</v>
      </c>
      <c r="Q192" s="5"/>
      <c r="AT192" s="33"/>
      <c r="AW192" s="33"/>
      <c r="AZ192" s="33"/>
    </row>
    <row r="193" spans="1:52" x14ac:dyDescent="0.35">
      <c r="A193">
        <f t="shared" si="11"/>
        <v>16.999999999999972</v>
      </c>
      <c r="B193">
        <f t="shared" si="8"/>
        <v>-1377.7197790197199</v>
      </c>
      <c r="C193">
        <f>regressionsdep!$AO$1*$A193</f>
        <v>17.906657960984955</v>
      </c>
      <c r="D193">
        <f>regressionsdep!$AM$1*$A193</f>
        <v>24.326865773245544</v>
      </c>
      <c r="E193">
        <f t="shared" si="9"/>
        <v>-1341.90646309775</v>
      </c>
      <c r="F193">
        <f t="shared" si="10"/>
        <v>-1426.3735105662111</v>
      </c>
      <c r="G193" s="5">
        <f>B193-regressionsdep!Y$7</f>
        <v>-1382.5845371675571</v>
      </c>
      <c r="H193" s="5">
        <f>B193+regressionsdep!Y$7</f>
        <v>-1372.8550208718827</v>
      </c>
      <c r="I193">
        <f>IF($A193&lt;=regressionsdep!$J$2,$A193*regressionsdep!$J$1,regressionsdep!$J$1*regressionsdep!$J$2+regressionsdep!$J$3*($A193-regressionsdep!$J$2))</f>
        <v>-85.26374730233664</v>
      </c>
      <c r="J193">
        <f>regressionsdep!H$1*A193+regressionsdep!H$2*A193^2</f>
        <v>-28.531425008675043</v>
      </c>
      <c r="K193">
        <f>regressionsdep!$T$1*A193</f>
        <v>-14.620241727719016</v>
      </c>
      <c r="L193">
        <f>regressionsdep!$L$1*A193^2</f>
        <v>-50.291089419352311</v>
      </c>
      <c r="M193">
        <f>regressionsdep!$P$1*A193^2+regressionsdep!$P$2*A193^6</f>
        <v>234.28595327600533</v>
      </c>
      <c r="N193">
        <f>regressionsdep!$N$1*A193^2+regressionsdep!$N$2*A193^7</f>
        <v>351.30015433466258</v>
      </c>
      <c r="O193">
        <f>regressionsdep!R$2+regressionsdep!R$1*EXP(A193)</f>
        <v>-183621.78593253071</v>
      </c>
      <c r="P193" s="20">
        <f>(1-EXP(-2*regressionsdep!V$1*graphdep!A193))/2/EXP(-regressionsdep!V$1*A193)</f>
        <v>-500.07841076520566</v>
      </c>
      <c r="Q193" s="5"/>
      <c r="AT193" s="33"/>
      <c r="AW193" s="33"/>
      <c r="AZ193" s="33"/>
    </row>
    <row r="194" spans="1:52" x14ac:dyDescent="0.35">
      <c r="A194">
        <f t="shared" si="11"/>
        <v>17.099999999999973</v>
      </c>
      <c r="B194">
        <f t="shared" si="8"/>
        <v>-1519.5154837107823</v>
      </c>
      <c r="C194">
        <f>regressionsdep!$AO$1*$A194</f>
        <v>18.011991243108397</v>
      </c>
      <c r="D194">
        <f>regressionsdep!$AM$1*$A194</f>
        <v>24.469964983676402</v>
      </c>
      <c r="E194">
        <f t="shared" si="9"/>
        <v>-1483.4915012245656</v>
      </c>
      <c r="F194">
        <f t="shared" si="10"/>
        <v>-1568.4554136781351</v>
      </c>
      <c r="G194" s="5">
        <f>B194-regressionsdep!Y$7</f>
        <v>-1524.3802418586195</v>
      </c>
      <c r="H194" s="5">
        <f>B194+regressionsdep!Y$7</f>
        <v>-1514.6507255629451</v>
      </c>
      <c r="I194">
        <f>IF($A194&lt;=regressionsdep!$J$2,$A194*regressionsdep!$J$1,regressionsdep!$J$1*regressionsdep!$J$2+regressionsdep!$J$3*($A194-regressionsdep!$J$2))</f>
        <v>-87.046487719164176</v>
      </c>
      <c r="J194">
        <f>regressionsdep!H$1*A194+regressionsdep!H$2*A194^2</f>
        <v>-28.811065955349157</v>
      </c>
      <c r="K194">
        <f>regressionsdep!$T$1*A194</f>
        <v>-14.706243149646776</v>
      </c>
      <c r="L194">
        <f>regressionsdep!$L$1*A194^2</f>
        <v>-50.884489470978586</v>
      </c>
      <c r="M194">
        <f>regressionsdep!$P$1*A194^2+regressionsdep!$P$2*A194^6</f>
        <v>244.01605153534041</v>
      </c>
      <c r="N194">
        <f>regressionsdep!$N$1*A194^2+regressionsdep!$N$2*A194^7</f>
        <v>367.62097629051289</v>
      </c>
      <c r="O194">
        <f>regressionsdep!R$2+regressionsdep!R$1*EXP(A194)</f>
        <v>-202933.45853723647</v>
      </c>
      <c r="P194" s="20">
        <f>(1-EXP(-2*regressionsdep!V$1*graphdep!A194))/2/EXP(-regressionsdep!V$1*A194)</f>
        <v>-520.81753962242146</v>
      </c>
      <c r="AT194" s="33"/>
      <c r="AW194" s="33"/>
      <c r="AZ194" s="33"/>
    </row>
    <row r="195" spans="1:52" x14ac:dyDescent="0.35">
      <c r="A195">
        <f t="shared" si="11"/>
        <v>17.199999999999974</v>
      </c>
      <c r="B195">
        <f t="shared" si="8"/>
        <v>-1676.1926959702437</v>
      </c>
      <c r="C195">
        <f>regressionsdep!$AO$1*$A195</f>
        <v>18.11732452523184</v>
      </c>
      <c r="D195">
        <f>regressionsdep!$AM$1*$A195</f>
        <v>24.61306419410726</v>
      </c>
      <c r="E195">
        <f t="shared" si="9"/>
        <v>-1639.9580469197799</v>
      </c>
      <c r="F195">
        <f t="shared" si="10"/>
        <v>-1725.4188243584581</v>
      </c>
      <c r="G195" s="5">
        <f>B195-regressionsdep!Y$7</f>
        <v>-1681.0574541180808</v>
      </c>
      <c r="H195" s="5">
        <f>B195+regressionsdep!Y$7</f>
        <v>-1671.3279378224065</v>
      </c>
      <c r="I195">
        <f>IF($A195&lt;=regressionsdep!$J$2,$A195*regressionsdep!$J$1,regressionsdep!$J$1*regressionsdep!$J$2+regressionsdep!$J$3*($A195-regressionsdep!$J$2))</f>
        <v>-88.829228135991698</v>
      </c>
      <c r="J195">
        <f>regressionsdep!H$1*A195+regressionsdep!H$2*A195^2</f>
        <v>-29.09201461003331</v>
      </c>
      <c r="K195">
        <f>regressionsdep!$T$1*A195</f>
        <v>-14.792244571574535</v>
      </c>
      <c r="L195">
        <f>regressionsdep!$L$1*A195^2</f>
        <v>-51.481369874813815</v>
      </c>
      <c r="M195">
        <f>regressionsdep!$P$1*A195^2+regressionsdep!$P$2*A195^6</f>
        <v>254.05050887285688</v>
      </c>
      <c r="N195">
        <f>regressionsdep!$N$1*A195^2+regressionsdep!$N$2*A195^7</f>
        <v>384.54330278049014</v>
      </c>
      <c r="O195">
        <f>regressionsdep!R$2+regressionsdep!R$1*EXP(A195)</f>
        <v>-224276.15747935555</v>
      </c>
      <c r="P195" s="20">
        <f>(1-EXP(-2*regressionsdep!V$1*graphdep!A195))/2/EXP(-regressionsdep!V$1*A195)</f>
        <v>-542.416753227154</v>
      </c>
      <c r="AT195" s="33"/>
      <c r="AW195" s="33"/>
      <c r="AZ195" s="33"/>
    </row>
    <row r="196" spans="1:52" x14ac:dyDescent="0.35">
      <c r="A196">
        <f t="shared" si="11"/>
        <v>17.299999999999976</v>
      </c>
      <c r="B196">
        <f t="shared" ref="B196:B203" si="12">SUMPRODUCT(I$2:P$2,I196:P196)</f>
        <v>-1849.3161889037704</v>
      </c>
      <c r="C196">
        <f>regressionsdep!$AO$1*$A196</f>
        <v>18.222657807355283</v>
      </c>
      <c r="D196">
        <f>regressionsdep!$AM$1*$A196</f>
        <v>24.756163404538121</v>
      </c>
      <c r="E196">
        <f t="shared" si="9"/>
        <v>-1812.8708732890598</v>
      </c>
      <c r="F196">
        <f t="shared" si="10"/>
        <v>-1898.8285157128466</v>
      </c>
      <c r="G196" s="5">
        <f>B196-regressionsdep!Y$7</f>
        <v>-1854.1809470516075</v>
      </c>
      <c r="H196" s="5">
        <f>B196+regressionsdep!Y$7</f>
        <v>-1844.4514307559332</v>
      </c>
      <c r="I196">
        <f>IF($A196&lt;=regressionsdep!$J$2,$A196*regressionsdep!$J$1,regressionsdep!$J$1*regressionsdep!$J$2+regressionsdep!$J$3*($A196-regressionsdep!$J$2))</f>
        <v>-90.611968552819221</v>
      </c>
      <c r="J196">
        <f>regressionsdep!H$1*A196+regressionsdep!H$2*A196^2</f>
        <v>-29.374270972727508</v>
      </c>
      <c r="K196">
        <f>regressionsdep!$T$1*A196</f>
        <v>-14.878245993502297</v>
      </c>
      <c r="L196">
        <f>regressionsdep!$L$1*A196^2</f>
        <v>-52.081730630857997</v>
      </c>
      <c r="M196">
        <f>regressionsdep!$P$1*A196^2+regressionsdep!$P$2*A196^6</f>
        <v>264.39659838755097</v>
      </c>
      <c r="N196">
        <f>regressionsdep!$N$1*A196^2+regressionsdep!$N$2*A196^7</f>
        <v>402.08503679093968</v>
      </c>
      <c r="O196">
        <f>regressionsdep!R$2+regressionsdep!R$1*EXP(A196)</f>
        <v>-247863.48766342946</v>
      </c>
      <c r="P196" s="20">
        <f>(1-EXP(-2*regressionsdep!V$1*graphdep!A196))/2/EXP(-regressionsdep!V$1*A196)</f>
        <v>-564.91172079705927</v>
      </c>
      <c r="AT196" s="33"/>
      <c r="AW196" s="33"/>
      <c r="AZ196" s="33"/>
    </row>
    <row r="197" spans="1:52" x14ac:dyDescent="0.35">
      <c r="A197">
        <f t="shared" si="11"/>
        <v>17.399999999999977</v>
      </c>
      <c r="B197">
        <f t="shared" si="12"/>
        <v>-2040.6152006358539</v>
      </c>
      <c r="C197">
        <f>regressionsdep!$AO$1*$A197</f>
        <v>18.327991089478726</v>
      </c>
      <c r="D197">
        <f>regressionsdep!$AM$1*$A197</f>
        <v>24.899262614968979</v>
      </c>
      <c r="E197">
        <f t="shared" si="9"/>
        <v>-2003.9592184568965</v>
      </c>
      <c r="F197">
        <f t="shared" si="10"/>
        <v>-2090.413725865792</v>
      </c>
      <c r="G197" s="5">
        <f>B197-regressionsdep!Y$7</f>
        <v>-2045.479958783691</v>
      </c>
      <c r="H197" s="5">
        <f>B197+regressionsdep!Y$7</f>
        <v>-2035.7504424880167</v>
      </c>
      <c r="I197">
        <f>IF($A197&lt;=regressionsdep!$J$2,$A197*regressionsdep!$J$1,regressionsdep!$J$1*regressionsdep!$J$2+regressionsdep!$J$3*($A197-regressionsdep!$J$2))</f>
        <v>-92.394708969646757</v>
      </c>
      <c r="J197">
        <f>regressionsdep!H$1*A197+regressionsdep!H$2*A197^2</f>
        <v>-29.657835043431739</v>
      </c>
      <c r="K197">
        <f>regressionsdep!$T$1*A197</f>
        <v>-14.964247415430057</v>
      </c>
      <c r="L197">
        <f>regressionsdep!$L$1*A197^2</f>
        <v>-52.685571739111126</v>
      </c>
      <c r="M197">
        <f>regressionsdep!$P$1*A197^2+regressionsdep!$P$2*A197^6</f>
        <v>275.06172114574446</v>
      </c>
      <c r="N197">
        <f>regressionsdep!$N$1*A197^2+regressionsdep!$N$2*A197^7</f>
        <v>420.26450252613472</v>
      </c>
      <c r="O197">
        <f>regressionsdep!R$2+regressionsdep!R$1*EXP(A197)</f>
        <v>-273931.51901791588</v>
      </c>
      <c r="P197" s="20">
        <f>(1-EXP(-2*regressionsdep!V$1*graphdep!A197))/2/EXP(-regressionsdep!V$1*A197)</f>
        <v>-588.33959080935028</v>
      </c>
      <c r="AT197" s="33"/>
      <c r="AW197" s="33"/>
      <c r="AZ197" s="33"/>
    </row>
    <row r="198" spans="1:52" x14ac:dyDescent="0.35">
      <c r="A198">
        <f t="shared" si="11"/>
        <v>17.499999999999979</v>
      </c>
      <c r="B198">
        <f t="shared" si="12"/>
        <v>-2252.000722576538</v>
      </c>
      <c r="C198">
        <f>regressionsdep!$AO$1*$A198</f>
        <v>18.433324371602168</v>
      </c>
      <c r="D198">
        <f>regressionsdep!$AM$1*$A198</f>
        <v>25.042361825399837</v>
      </c>
      <c r="E198">
        <f t="shared" si="9"/>
        <v>-2215.1340738333338</v>
      </c>
      <c r="F198">
        <f t="shared" si="10"/>
        <v>-2302.0854462273378</v>
      </c>
      <c r="G198" s="5">
        <f>B198-regressionsdep!Y$7</f>
        <v>-2256.8654807243752</v>
      </c>
      <c r="H198" s="5">
        <f>B198+regressionsdep!Y$7</f>
        <v>-2247.1359644287008</v>
      </c>
      <c r="I198">
        <f>IF($A198&lt;=regressionsdep!$J$2,$A198*regressionsdep!$J$1,regressionsdep!$J$1*regressionsdep!$J$2+regressionsdep!$J$3*($A198-regressionsdep!$J$2))</f>
        <v>-94.177449386474279</v>
      </c>
      <c r="J198">
        <f>regressionsdep!H$1*A198+regressionsdep!H$2*A198^2</f>
        <v>-29.942706822146018</v>
      </c>
      <c r="K198">
        <f>regressionsdep!$T$1*A198</f>
        <v>-15.050248837357817</v>
      </c>
      <c r="L198">
        <f>regressionsdep!$L$1*A198^2</f>
        <v>-53.292893199573214</v>
      </c>
      <c r="M198">
        <f>regressionsdep!$P$1*A198^2+regressionsdep!$P$2*A198^6</f>
        <v>286.05340767338583</v>
      </c>
      <c r="N198">
        <f>regressionsdep!$N$1*A198^2+regressionsdep!$N$2*A198^7</f>
        <v>439.10045279772959</v>
      </c>
      <c r="O198">
        <f>regressionsdep!R$2+regressionsdep!R$1*EXP(A198)</f>
        <v>-302741.14916237851</v>
      </c>
      <c r="P198" s="20">
        <f>(1-EXP(-2*regressionsdep!V$1*graphdep!A198))/2/EXP(-regressionsdep!V$1*A198)</f>
        <v>-612.73905234826748</v>
      </c>
      <c r="AT198" s="33"/>
      <c r="AW198" s="33"/>
      <c r="AZ198" s="33"/>
    </row>
    <row r="199" spans="1:52" x14ac:dyDescent="0.35">
      <c r="A199">
        <f t="shared" si="11"/>
        <v>17.59999999999998</v>
      </c>
      <c r="B199">
        <f t="shared" si="12"/>
        <v>-2485.5846054154758</v>
      </c>
      <c r="C199">
        <f>regressionsdep!$AO$1*$A199</f>
        <v>18.538657653725611</v>
      </c>
      <c r="D199">
        <f>regressionsdep!$AM$1*$A199</f>
        <v>25.185461035830695</v>
      </c>
      <c r="E199">
        <f t="shared" si="9"/>
        <v>-2448.5072901080248</v>
      </c>
      <c r="F199">
        <f t="shared" si="10"/>
        <v>-2535.9555274871373</v>
      </c>
      <c r="G199" s="5">
        <f>B199-regressionsdep!Y$7</f>
        <v>-2490.449363563313</v>
      </c>
      <c r="H199" s="5">
        <f>B199+regressionsdep!Y$7</f>
        <v>-2480.7198472676387</v>
      </c>
      <c r="I199">
        <f>IF($A199&lt;=regressionsdep!$J$2,$A199*regressionsdep!$J$1,regressionsdep!$J$1*regressionsdep!$J$2+regressionsdep!$J$3*($A199-regressionsdep!$J$2))</f>
        <v>-95.960189803301802</v>
      </c>
      <c r="J199">
        <f>regressionsdep!H$1*A199+regressionsdep!H$2*A199^2</f>
        <v>-30.228886308870333</v>
      </c>
      <c r="K199">
        <f>regressionsdep!$T$1*A199</f>
        <v>-15.136250259285577</v>
      </c>
      <c r="L199">
        <f>regressionsdep!$L$1*A199^2</f>
        <v>-53.903695012244249</v>
      </c>
      <c r="M199">
        <f>regressionsdep!$P$1*A199^2+regressionsdep!$P$2*A199^6</f>
        <v>297.37931945700166</v>
      </c>
      <c r="N199">
        <f>regressionsdep!$N$1*A199^2+regressionsdep!$N$2*A199^7</f>
        <v>458.61207650013603</v>
      </c>
      <c r="O199">
        <f>regressionsdep!R$2+regressionsdep!R$1*EXP(A199)</f>
        <v>-334580.71455855411</v>
      </c>
      <c r="P199" s="20">
        <f>(1-EXP(-2*regressionsdep!V$1*graphdep!A199))/2/EXP(-regressionsdep!V$1*A199)</f>
        <v>-638.15039899672729</v>
      </c>
      <c r="AT199" s="33"/>
      <c r="AW199" s="33"/>
      <c r="AZ199" s="33"/>
    </row>
    <row r="200" spans="1:52" x14ac:dyDescent="0.35">
      <c r="A200">
        <f t="shared" si="11"/>
        <v>17.699999999999982</v>
      </c>
      <c r="B200">
        <f t="shared" si="12"/>
        <v>-2743.700673991897</v>
      </c>
      <c r="C200">
        <f>regressionsdep!$AO$1*$A200</f>
        <v>18.643990935849054</v>
      </c>
      <c r="D200">
        <f>regressionsdep!$AM$1*$A200</f>
        <v>25.328560246261553</v>
      </c>
      <c r="E200">
        <f t="shared" ref="E200:E203" si="13">B200+2*C200</f>
        <v>-2706.4126921201987</v>
      </c>
      <c r="F200">
        <f t="shared" ref="F200:F203" si="14">B200-2*D200</f>
        <v>-2794.3577944844201</v>
      </c>
      <c r="G200" s="5">
        <f>B200-regressionsdep!Y$7</f>
        <v>-2748.5654321397342</v>
      </c>
      <c r="H200" s="5">
        <f>B200+regressionsdep!Y$7</f>
        <v>-2738.8359158440599</v>
      </c>
      <c r="I200">
        <f>IF($A200&lt;=regressionsdep!$J$2,$A200*regressionsdep!$J$1,regressionsdep!$J$1*regressionsdep!$J$2+regressionsdep!$J$3*($A200-regressionsdep!$J$2))</f>
        <v>-97.742930220129324</v>
      </c>
      <c r="J200">
        <f>regressionsdep!H$1*A200+regressionsdep!H$2*A200^2</f>
        <v>-30.516373503604687</v>
      </c>
      <c r="K200">
        <f>regressionsdep!$T$1*A200</f>
        <v>-15.222251681213338</v>
      </c>
      <c r="L200">
        <f>regressionsdep!$L$1*A200^2</f>
        <v>-54.517977177124237</v>
      </c>
      <c r="M200">
        <f>regressionsdep!$P$1*A200^2+regressionsdep!$P$2*A200^6</f>
        <v>309.0472504532998</v>
      </c>
      <c r="N200">
        <f>regressionsdep!$N$1*A200^2+regressionsdep!$N$2*A200^7</f>
        <v>478.81900617231804</v>
      </c>
      <c r="O200">
        <f>regressionsdep!R$2+regressionsdep!R$1*EXP(A200)</f>
        <v>-369768.87627857516</v>
      </c>
      <c r="P200" s="20">
        <f>(1-EXP(-2*regressionsdep!V$1*graphdep!A200))/2/EXP(-regressionsdep!V$1*A200)</f>
        <v>-664.61559537766141</v>
      </c>
      <c r="AT200" s="33"/>
      <c r="AW200" s="33"/>
      <c r="AZ200" s="33"/>
    </row>
    <row r="201" spans="1:52" x14ac:dyDescent="0.35">
      <c r="A201">
        <f t="shared" ref="A201:A203" si="15">0.1+A200</f>
        <v>17.799999999999983</v>
      </c>
      <c r="B201">
        <f t="shared" si="12"/>
        <v>-3028.9280622913616</v>
      </c>
      <c r="C201">
        <f>regressionsdep!$AO$1*$A201</f>
        <v>18.749324217972497</v>
      </c>
      <c r="D201">
        <f>regressionsdep!$AM$1*$A201</f>
        <v>25.471659456692411</v>
      </c>
      <c r="E201">
        <f t="shared" si="13"/>
        <v>-2991.4294138554164</v>
      </c>
      <c r="F201">
        <f t="shared" si="14"/>
        <v>-3079.8713812047463</v>
      </c>
      <c r="G201" s="5">
        <f>B201-regressionsdep!Y$7</f>
        <v>-3033.7928204391987</v>
      </c>
      <c r="H201" s="5">
        <f>B201+regressionsdep!Y$7</f>
        <v>-3024.0633041435244</v>
      </c>
      <c r="I201">
        <f>IF($A201&lt;=regressionsdep!$J$2,$A201*regressionsdep!$J$1,regressionsdep!$J$1*regressionsdep!$J$2+regressionsdep!$J$3*($A201-regressionsdep!$J$2))</f>
        <v>-99.52567063695686</v>
      </c>
      <c r="J201">
        <f>regressionsdep!H$1*A201+regressionsdep!H$2*A201^2</f>
        <v>-30.805168406349079</v>
      </c>
      <c r="K201">
        <f>regressionsdep!$T$1*A201</f>
        <v>-15.308253103141098</v>
      </c>
      <c r="L201">
        <f>regressionsdep!$L$1*A201^2</f>
        <v>-55.135739694213179</v>
      </c>
      <c r="M201">
        <f>regressionsdep!$P$1*A201^2+regressionsdep!$P$2*A201^6</f>
        <v>321.06512860742379</v>
      </c>
      <c r="N201">
        <f>regressionsdep!$N$1*A201^2+regressionsdep!$N$2*A201^7</f>
        <v>499.74132564650222</v>
      </c>
      <c r="O201">
        <f>regressionsdep!R$2+regressionsdep!R$1*EXP(A201)</f>
        <v>-408657.80927208526</v>
      </c>
      <c r="P201" s="20">
        <f>(1-EXP(-2*regressionsdep!V$1*graphdep!A201))/2/EXP(-regressionsdep!V$1*A201)</f>
        <v>-692.17834645493008</v>
      </c>
      <c r="AT201" s="33"/>
      <c r="AW201" s="33"/>
      <c r="AZ201" s="33"/>
    </row>
    <row r="202" spans="1:52" x14ac:dyDescent="0.35">
      <c r="A202">
        <f t="shared" si="15"/>
        <v>17.899999999999984</v>
      </c>
      <c r="B202">
        <f t="shared" si="12"/>
        <v>-3344.1170020365344</v>
      </c>
      <c r="C202">
        <f>regressionsdep!$AO$1*$A202</f>
        <v>18.854657500095939</v>
      </c>
      <c r="D202">
        <f>regressionsdep!$AM$1*$A202</f>
        <v>25.614758667123269</v>
      </c>
      <c r="E202">
        <f t="shared" si="13"/>
        <v>-3306.4076870363424</v>
      </c>
      <c r="F202">
        <f t="shared" si="14"/>
        <v>-3395.3465193707807</v>
      </c>
      <c r="G202" s="5">
        <f>B202-regressionsdep!Y$7</f>
        <v>-3348.9817601843715</v>
      </c>
      <c r="H202" s="5">
        <f>B202+regressionsdep!Y$7</f>
        <v>-3339.2522438886972</v>
      </c>
      <c r="I202">
        <f>IF($A202&lt;=regressionsdep!$J$2,$A202*regressionsdep!$J$1,regressionsdep!$J$1*regressionsdep!$J$2+regressionsdep!$J$3*($A202-regressionsdep!$J$2))</f>
        <v>-101.30841105378438</v>
      </c>
      <c r="J202">
        <f>regressionsdep!H$1*A202+regressionsdep!H$2*A202^2</f>
        <v>-31.09527101710351</v>
      </c>
      <c r="K202">
        <f>regressionsdep!$T$1*A202</f>
        <v>-15.394254525068858</v>
      </c>
      <c r="L202">
        <f>regressionsdep!$L$1*A202^2</f>
        <v>-55.756982563511073</v>
      </c>
      <c r="M202">
        <f>regressionsdep!$P$1*A202^2+regressionsdep!$P$2*A202^6</f>
        <v>333.4410173798567</v>
      </c>
      <c r="N202">
        <f>regressionsdep!$N$1*A202^2+regressionsdep!$N$2*A202^7</f>
        <v>521.39957778429891</v>
      </c>
      <c r="O202">
        <f>regressionsdep!R$2+regressionsdep!R$1*EXP(A202)</f>
        <v>-451636.72705150524</v>
      </c>
      <c r="P202" s="20">
        <f>(1-EXP(-2*regressionsdep!V$1*graphdep!A202))/2/EXP(-regressionsdep!V$1*A202)</f>
        <v>-720.88416970826074</v>
      </c>
      <c r="AT202" s="33"/>
      <c r="AW202" s="33"/>
      <c r="AZ202" s="33"/>
    </row>
    <row r="203" spans="1:52" x14ac:dyDescent="0.35">
      <c r="A203">
        <f t="shared" si="15"/>
        <v>17.999999999999986</v>
      </c>
      <c r="B203">
        <f t="shared" si="12"/>
        <v>-3692.4173228921186</v>
      </c>
      <c r="C203">
        <f>regressionsdep!$AO$1*$A203</f>
        <v>18.959990782219382</v>
      </c>
      <c r="D203">
        <f>regressionsdep!$AM$1*$A203</f>
        <v>25.75785787755413</v>
      </c>
      <c r="E203">
        <f t="shared" si="13"/>
        <v>-3654.4973413276798</v>
      </c>
      <c r="F203">
        <f t="shared" si="14"/>
        <v>-3743.933038647227</v>
      </c>
      <c r="G203" s="5">
        <f>B203-regressionsdep!Y$7</f>
        <v>-3697.2820810399558</v>
      </c>
      <c r="H203" s="5">
        <f>B203+regressionsdep!Y$7</f>
        <v>-3687.5525647442814</v>
      </c>
      <c r="I203">
        <f>IF($A203&lt;=regressionsdep!$J$2,$A203*regressionsdep!$J$1,regressionsdep!$J$1*regressionsdep!$J$2+regressionsdep!$J$3*($A203-regressionsdep!$J$2))</f>
        <v>-103.0911514706119</v>
      </c>
      <c r="J203">
        <f>regressionsdep!H$1*A203+regressionsdep!H$2*A203^2</f>
        <v>-31.386681335867983</v>
      </c>
      <c r="K203">
        <f>regressionsdep!$T$1*A203</f>
        <v>-15.480255946996618</v>
      </c>
      <c r="L203">
        <f>regressionsdep!$L$1*A203^2</f>
        <v>-56.381705785017914</v>
      </c>
      <c r="M203">
        <f>regressionsdep!$P$1*A203^2+regressionsdep!$P$2*A203^6</f>
        <v>346.1831172819783</v>
      </c>
      <c r="N203">
        <f>regressionsdep!$N$1*A203^2+regressionsdep!$N$2*A203^7</f>
        <v>543.81477230073369</v>
      </c>
      <c r="O203">
        <f>regressionsdep!R$2+regressionsdep!R$1*EXP(A203)</f>
        <v>-499135.77707168466</v>
      </c>
      <c r="P203" s="20">
        <f>(1-EXP(-2*regressionsdep!V$1*graphdep!A203))/2/EXP(-regressionsdep!V$1*A203)</f>
        <v>-750.7804703013943</v>
      </c>
      <c r="AT203" s="33"/>
      <c r="AW203" s="33"/>
      <c r="AZ203" s="33"/>
    </row>
    <row r="204" spans="1:52" x14ac:dyDescent="0.35">
      <c r="P204" s="20"/>
      <c r="AT204" s="33"/>
      <c r="AW204" s="33"/>
      <c r="AZ204" s="33"/>
    </row>
    <row r="205" spans="1:52" x14ac:dyDescent="0.35">
      <c r="P205" s="20"/>
      <c r="AT205" s="33"/>
      <c r="AW205" s="33"/>
      <c r="AZ205" s="33"/>
    </row>
    <row r="206" spans="1:52" x14ac:dyDescent="0.35">
      <c r="P206" s="20"/>
      <c r="AT206" s="33"/>
      <c r="AW206" s="33"/>
      <c r="AZ206" s="33"/>
    </row>
    <row r="207" spans="1:52" x14ac:dyDescent="0.35">
      <c r="P207" s="20"/>
      <c r="AT207" s="33"/>
      <c r="AW207" s="33"/>
      <c r="AZ207" s="33"/>
    </row>
    <row r="208" spans="1:52" x14ac:dyDescent="0.35">
      <c r="P208" s="20"/>
      <c r="AT208" s="33"/>
      <c r="AW208" s="33"/>
      <c r="AZ208" s="33"/>
    </row>
    <row r="209" spans="16:52" x14ac:dyDescent="0.35">
      <c r="P209" s="20"/>
      <c r="AT209" s="33"/>
      <c r="AW209" s="33"/>
      <c r="AZ209" s="33"/>
    </row>
    <row r="210" spans="16:52" x14ac:dyDescent="0.35">
      <c r="P210" s="20"/>
      <c r="AT210" s="33"/>
      <c r="AW210" s="33"/>
      <c r="AZ210" s="33"/>
    </row>
    <row r="211" spans="16:52" x14ac:dyDescent="0.35">
      <c r="P211" s="20"/>
      <c r="AT211" s="33"/>
      <c r="AW211" s="33"/>
      <c r="AZ211" s="33"/>
    </row>
    <row r="212" spans="16:52" x14ac:dyDescent="0.35">
      <c r="P212" s="20"/>
      <c r="AT212" s="33"/>
      <c r="AW212" s="33"/>
      <c r="AZ212" s="33"/>
    </row>
    <row r="213" spans="16:52" x14ac:dyDescent="0.35">
      <c r="P213" s="20"/>
      <c r="AT213" s="33"/>
      <c r="AW213" s="33"/>
      <c r="AZ213" s="33"/>
    </row>
    <row r="214" spans="16:52" x14ac:dyDescent="0.35">
      <c r="P214" s="20"/>
      <c r="AT214" s="33"/>
      <c r="AW214" s="33"/>
      <c r="AZ214" s="33"/>
    </row>
    <row r="215" spans="16:52" x14ac:dyDescent="0.35">
      <c r="P215" s="20"/>
      <c r="AT215" s="33"/>
      <c r="AW215" s="33"/>
      <c r="AZ215" s="33"/>
    </row>
    <row r="216" spans="16:52" x14ac:dyDescent="0.35">
      <c r="P216" s="20"/>
      <c r="AT216" s="33"/>
      <c r="AW216" s="33"/>
      <c r="AZ216" s="33"/>
    </row>
    <row r="217" spans="16:52" x14ac:dyDescent="0.35">
      <c r="P217" s="20"/>
      <c r="AT217" s="33"/>
      <c r="AW217" s="33"/>
      <c r="AZ217" s="33"/>
    </row>
    <row r="218" spans="16:52" x14ac:dyDescent="0.35">
      <c r="P218" s="20"/>
      <c r="AT218" s="33"/>
      <c r="AW218" s="33"/>
      <c r="AZ218" s="33"/>
    </row>
    <row r="219" spans="16:52" x14ac:dyDescent="0.35">
      <c r="P219" s="20"/>
      <c r="AT219" s="33"/>
      <c r="AW219" s="33"/>
      <c r="AZ219" s="33"/>
    </row>
    <row r="220" spans="16:52" x14ac:dyDescent="0.35">
      <c r="P220" s="20"/>
      <c r="AT220" s="33"/>
      <c r="AW220" s="33"/>
      <c r="AZ220" s="33"/>
    </row>
    <row r="221" spans="16:52" x14ac:dyDescent="0.35">
      <c r="P221" s="20"/>
      <c r="AT221" s="33"/>
      <c r="AW221" s="33"/>
      <c r="AZ221" s="33"/>
    </row>
    <row r="222" spans="16:52" x14ac:dyDescent="0.35">
      <c r="P222" s="20"/>
      <c r="AT222" s="33"/>
      <c r="AW222" s="33"/>
      <c r="AZ222" s="33"/>
    </row>
    <row r="223" spans="16:52" x14ac:dyDescent="0.35">
      <c r="P223" s="20"/>
      <c r="AT223" s="33"/>
      <c r="AW223" s="33"/>
      <c r="AZ223" s="33"/>
    </row>
    <row r="224" spans="16:52" x14ac:dyDescent="0.35">
      <c r="P224" s="20"/>
      <c r="AT224" s="33"/>
      <c r="AW224" s="33"/>
      <c r="AZ224" s="33"/>
    </row>
    <row r="225" spans="16:52" x14ac:dyDescent="0.35">
      <c r="P225" s="20"/>
      <c r="AT225" s="33"/>
      <c r="AW225" s="33"/>
      <c r="AZ225" s="33"/>
    </row>
    <row r="226" spans="16:52" x14ac:dyDescent="0.35">
      <c r="P226" s="20"/>
      <c r="AT226" s="33"/>
      <c r="AW226" s="33"/>
      <c r="AZ226" s="33"/>
    </row>
    <row r="227" spans="16:52" x14ac:dyDescent="0.35">
      <c r="P227" s="20"/>
      <c r="AT227" s="33"/>
      <c r="AW227" s="33"/>
      <c r="AZ227" s="33"/>
    </row>
    <row r="228" spans="16:52" x14ac:dyDescent="0.35">
      <c r="P228" s="20"/>
      <c r="AT228" s="33"/>
      <c r="AW228" s="33"/>
      <c r="AZ228" s="33"/>
    </row>
    <row r="229" spans="16:52" x14ac:dyDescent="0.35">
      <c r="P229" s="20"/>
      <c r="AT229" s="33"/>
      <c r="AW229" s="33"/>
      <c r="AZ229" s="33"/>
    </row>
    <row r="230" spans="16:52" x14ac:dyDescent="0.35">
      <c r="P230" s="20"/>
      <c r="AT230" s="33"/>
      <c r="AW230" s="33"/>
      <c r="AZ230" s="33"/>
    </row>
    <row r="231" spans="16:52" x14ac:dyDescent="0.35">
      <c r="P231" s="20"/>
      <c r="AT231" s="33"/>
      <c r="AW231" s="33"/>
      <c r="AZ231" s="33"/>
    </row>
    <row r="232" spans="16:52" x14ac:dyDescent="0.35">
      <c r="P232" s="20"/>
      <c r="AT232" s="33"/>
      <c r="AW232" s="33"/>
      <c r="AZ232" s="33"/>
    </row>
    <row r="233" spans="16:52" x14ac:dyDescent="0.35">
      <c r="P233" s="20"/>
      <c r="AT233" s="33"/>
      <c r="AW233" s="33"/>
      <c r="AZ233" s="33"/>
    </row>
    <row r="234" spans="16:52" x14ac:dyDescent="0.35">
      <c r="P234" s="20"/>
      <c r="AT234" s="33"/>
      <c r="AW234" s="33"/>
      <c r="AZ234" s="33"/>
    </row>
    <row r="235" spans="16:52" x14ac:dyDescent="0.35">
      <c r="P235" s="20"/>
      <c r="AT235" s="33"/>
      <c r="AW235" s="33"/>
      <c r="AZ235" s="33"/>
    </row>
    <row r="236" spans="16:52" x14ac:dyDescent="0.35">
      <c r="P236" s="20"/>
      <c r="AT236" s="33"/>
      <c r="AW236" s="33"/>
      <c r="AZ236" s="33"/>
    </row>
    <row r="237" spans="16:52" x14ac:dyDescent="0.35">
      <c r="P237" s="20"/>
      <c r="AT237" s="33"/>
      <c r="AW237" s="33"/>
      <c r="AZ237" s="33"/>
    </row>
    <row r="238" spans="16:52" x14ac:dyDescent="0.35">
      <c r="P238" s="20"/>
      <c r="AT238" s="33"/>
      <c r="AW238" s="33"/>
      <c r="AZ238" s="33"/>
    </row>
    <row r="239" spans="16:52" x14ac:dyDescent="0.35">
      <c r="P239" s="20"/>
      <c r="AT239" s="33"/>
      <c r="AW239" s="33"/>
      <c r="AZ239" s="33"/>
    </row>
    <row r="240" spans="16:52" x14ac:dyDescent="0.35">
      <c r="P240" s="20"/>
      <c r="AT240" s="33"/>
      <c r="AW240" s="33"/>
      <c r="AZ240" s="33"/>
    </row>
    <row r="241" spans="16:52" x14ac:dyDescent="0.35">
      <c r="P241" s="20"/>
      <c r="AT241" s="33"/>
      <c r="AW241" s="33"/>
      <c r="AZ241" s="33"/>
    </row>
    <row r="242" spans="16:52" x14ac:dyDescent="0.35">
      <c r="P242" s="20"/>
      <c r="AT242" s="33"/>
      <c r="AW242" s="33"/>
      <c r="AZ242" s="33"/>
    </row>
    <row r="243" spans="16:52" x14ac:dyDescent="0.35">
      <c r="P243" s="20"/>
      <c r="AT243" s="33"/>
      <c r="AW243" s="33"/>
      <c r="AZ243" s="33"/>
    </row>
    <row r="244" spans="16:52" x14ac:dyDescent="0.35">
      <c r="P244" s="20"/>
      <c r="AT244" s="33"/>
      <c r="AW244" s="33"/>
      <c r="AZ244" s="33"/>
    </row>
    <row r="245" spans="16:52" x14ac:dyDescent="0.35">
      <c r="P245" s="20"/>
      <c r="AT245" s="33"/>
      <c r="AW245" s="33"/>
      <c r="AZ245" s="33"/>
    </row>
    <row r="246" spans="16:52" x14ac:dyDescent="0.35">
      <c r="P246" s="20"/>
      <c r="AT246" s="33"/>
      <c r="AW246" s="33"/>
      <c r="AZ246" s="33"/>
    </row>
    <row r="247" spans="16:52" x14ac:dyDescent="0.35">
      <c r="P247" s="20"/>
      <c r="AT247" s="33"/>
      <c r="AW247" s="33"/>
      <c r="AZ247" s="33"/>
    </row>
    <row r="248" spans="16:52" x14ac:dyDescent="0.35">
      <c r="P248" s="20"/>
      <c r="AT248" s="33"/>
      <c r="AW248" s="33"/>
      <c r="AZ248" s="33"/>
    </row>
    <row r="249" spans="16:52" x14ac:dyDescent="0.35">
      <c r="P249" s="20"/>
      <c r="AT249" s="33"/>
      <c r="AW249" s="33"/>
      <c r="AZ249" s="33"/>
    </row>
    <row r="250" spans="16:52" x14ac:dyDescent="0.35">
      <c r="P250" s="20"/>
      <c r="AT250" s="33"/>
      <c r="AW250" s="33"/>
      <c r="AZ250" s="33"/>
    </row>
    <row r="251" spans="16:52" x14ac:dyDescent="0.35">
      <c r="P251" s="20"/>
      <c r="AT251" s="33"/>
      <c r="AW251" s="33"/>
      <c r="AZ251" s="33"/>
    </row>
    <row r="252" spans="16:52" x14ac:dyDescent="0.35">
      <c r="P252" s="20"/>
      <c r="AT252" s="33"/>
      <c r="AW252" s="33"/>
      <c r="AZ252" s="33"/>
    </row>
    <row r="253" spans="16:52" x14ac:dyDescent="0.35">
      <c r="P253" s="20"/>
      <c r="AT253" s="33"/>
      <c r="AW253" s="33"/>
      <c r="AZ253" s="33"/>
    </row>
    <row r="254" spans="16:52" x14ac:dyDescent="0.35">
      <c r="P254" s="20"/>
      <c r="AT254" s="33"/>
      <c r="AW254" s="33"/>
      <c r="AZ254" s="33"/>
    </row>
    <row r="255" spans="16:52" x14ac:dyDescent="0.35">
      <c r="P255" s="20"/>
      <c r="AT255" s="33"/>
      <c r="AW255" s="33"/>
      <c r="AZ255" s="33"/>
    </row>
    <row r="256" spans="16:52" x14ac:dyDescent="0.35">
      <c r="P256" s="20"/>
      <c r="AT256" s="33"/>
      <c r="AW256" s="33"/>
      <c r="AZ256" s="33"/>
    </row>
    <row r="257" spans="16:52" x14ac:dyDescent="0.35">
      <c r="P257" s="20"/>
      <c r="AT257" s="33"/>
      <c r="AW257" s="33"/>
      <c r="AZ257" s="33"/>
    </row>
    <row r="258" spans="16:52" x14ac:dyDescent="0.35">
      <c r="P258" s="20"/>
      <c r="AT258" s="33"/>
      <c r="AW258" s="33"/>
      <c r="AZ258" s="33"/>
    </row>
    <row r="259" spans="16:52" x14ac:dyDescent="0.35">
      <c r="P259" s="20"/>
      <c r="AT259" s="33"/>
      <c r="AW259" s="33"/>
      <c r="AZ259" s="33"/>
    </row>
    <row r="260" spans="16:52" x14ac:dyDescent="0.35">
      <c r="P260" s="20"/>
      <c r="AT260" s="33"/>
      <c r="AW260" s="33"/>
      <c r="AZ260" s="33"/>
    </row>
    <row r="261" spans="16:52" x14ac:dyDescent="0.35">
      <c r="P261" s="20"/>
      <c r="AT261" s="33"/>
      <c r="AW261" s="33"/>
      <c r="AZ261" s="33"/>
    </row>
    <row r="262" spans="16:52" x14ac:dyDescent="0.35">
      <c r="P262" s="20"/>
      <c r="AT262" s="33"/>
      <c r="AW262" s="33"/>
      <c r="AZ262" s="33"/>
    </row>
    <row r="263" spans="16:52" x14ac:dyDescent="0.35">
      <c r="P263" s="20"/>
      <c r="AT263" s="33"/>
      <c r="AW263" s="33"/>
      <c r="AZ263" s="33"/>
    </row>
    <row r="264" spans="16:52" x14ac:dyDescent="0.35">
      <c r="P264" s="20"/>
      <c r="AT264" s="33"/>
      <c r="AW264" s="33"/>
      <c r="AZ264" s="33"/>
    </row>
    <row r="265" spans="16:52" x14ac:dyDescent="0.35">
      <c r="P265" s="20"/>
      <c r="AT265" s="33"/>
      <c r="AW265" s="33"/>
      <c r="AZ265" s="33"/>
    </row>
    <row r="266" spans="16:52" x14ac:dyDescent="0.35">
      <c r="P266" s="20"/>
      <c r="AT266" s="33"/>
      <c r="AW266" s="33"/>
      <c r="AZ266" s="33"/>
    </row>
    <row r="267" spans="16:52" x14ac:dyDescent="0.35">
      <c r="P267" s="20"/>
      <c r="AT267" s="33"/>
      <c r="AW267" s="33"/>
      <c r="AZ267" s="33"/>
    </row>
    <row r="268" spans="16:52" x14ac:dyDescent="0.35">
      <c r="P268" s="20"/>
      <c r="AT268" s="33"/>
      <c r="AW268" s="33"/>
      <c r="AZ268" s="33"/>
    </row>
    <row r="269" spans="16:52" x14ac:dyDescent="0.35">
      <c r="P269" s="20"/>
      <c r="AT269" s="33"/>
      <c r="AW269" s="33"/>
      <c r="AZ269" s="33"/>
    </row>
    <row r="270" spans="16:52" x14ac:dyDescent="0.35">
      <c r="P270" s="20"/>
      <c r="AT270" s="33"/>
      <c r="AW270" s="33"/>
      <c r="AZ270" s="33"/>
    </row>
    <row r="271" spans="16:52" x14ac:dyDescent="0.35">
      <c r="P271" s="20"/>
      <c r="AT271" s="33"/>
      <c r="AW271" s="33"/>
      <c r="AZ271" s="33"/>
    </row>
    <row r="272" spans="16:52" x14ac:dyDescent="0.35">
      <c r="P272" s="20"/>
      <c r="AT272" s="33"/>
      <c r="AW272" s="33"/>
      <c r="AZ272" s="33"/>
    </row>
    <row r="273" spans="16:52" x14ac:dyDescent="0.35">
      <c r="P273" s="20"/>
      <c r="AT273" s="33"/>
      <c r="AW273" s="33"/>
      <c r="AZ273" s="33"/>
    </row>
    <row r="274" spans="16:52" x14ac:dyDescent="0.35">
      <c r="P274" s="20"/>
      <c r="AT274" s="33"/>
      <c r="AW274" s="33"/>
      <c r="AZ274" s="33"/>
    </row>
    <row r="275" spans="16:52" x14ac:dyDescent="0.35">
      <c r="P275" s="20"/>
      <c r="AT275" s="33"/>
      <c r="AW275" s="33"/>
      <c r="AZ275" s="33"/>
    </row>
    <row r="276" spans="16:52" x14ac:dyDescent="0.35">
      <c r="P276" s="20"/>
      <c r="AT276" s="33"/>
      <c r="AW276" s="33"/>
      <c r="AZ276" s="33"/>
    </row>
    <row r="277" spans="16:52" x14ac:dyDescent="0.35">
      <c r="P277" s="20"/>
      <c r="AT277" s="33"/>
      <c r="AW277" s="33"/>
      <c r="AZ277" s="33"/>
    </row>
    <row r="278" spans="16:52" x14ac:dyDescent="0.35">
      <c r="P278" s="20"/>
      <c r="AT278" s="33"/>
      <c r="AW278" s="33"/>
      <c r="AZ278" s="33"/>
    </row>
    <row r="279" spans="16:52" x14ac:dyDescent="0.35">
      <c r="P279" s="20"/>
      <c r="AT279" s="33"/>
      <c r="AW279" s="33"/>
      <c r="AZ279" s="33"/>
    </row>
    <row r="280" spans="16:52" x14ac:dyDescent="0.35">
      <c r="P280" s="20"/>
      <c r="AT280" s="33"/>
      <c r="AW280" s="33"/>
      <c r="AZ280" s="33"/>
    </row>
    <row r="281" spans="16:52" x14ac:dyDescent="0.35">
      <c r="P281" s="20"/>
      <c r="AT281" s="33"/>
      <c r="AW281" s="33"/>
      <c r="AZ281" s="33"/>
    </row>
    <row r="282" spans="16:52" x14ac:dyDescent="0.35">
      <c r="P282" s="20"/>
      <c r="AT282" s="33"/>
      <c r="AW282" s="33"/>
      <c r="AZ282" s="33"/>
    </row>
    <row r="283" spans="16:52" x14ac:dyDescent="0.35">
      <c r="P283" s="20"/>
      <c r="AT283" s="33"/>
      <c r="AW283" s="33"/>
      <c r="AZ283" s="33"/>
    </row>
    <row r="284" spans="16:52" x14ac:dyDescent="0.35">
      <c r="P284" s="20"/>
      <c r="AT284" s="33"/>
      <c r="AW284" s="33"/>
      <c r="AZ284" s="33"/>
    </row>
    <row r="285" spans="16:52" x14ac:dyDescent="0.35">
      <c r="P285" s="20"/>
      <c r="AT285" s="33"/>
      <c r="AW285" s="33"/>
      <c r="AZ285" s="33"/>
    </row>
    <row r="286" spans="16:52" x14ac:dyDescent="0.35">
      <c r="P286" s="20"/>
      <c r="AT286" s="33"/>
      <c r="AW286" s="33"/>
      <c r="AZ286" s="33"/>
    </row>
    <row r="287" spans="16:52" x14ac:dyDescent="0.35">
      <c r="P287" s="20"/>
      <c r="AT287" s="33"/>
      <c r="AW287" s="33"/>
      <c r="AZ287" s="33"/>
    </row>
    <row r="288" spans="16:52" x14ac:dyDescent="0.35">
      <c r="P288" s="20"/>
      <c r="AT288" s="33"/>
      <c r="AW288" s="33"/>
      <c r="AZ288" s="33"/>
    </row>
    <row r="289" spans="16:52" x14ac:dyDescent="0.35">
      <c r="P289" s="20"/>
      <c r="AT289" s="33"/>
      <c r="AW289" s="33"/>
      <c r="AZ289" s="33"/>
    </row>
    <row r="290" spans="16:52" x14ac:dyDescent="0.35">
      <c r="P290" s="20"/>
      <c r="AT290" s="33"/>
      <c r="AW290" s="33"/>
      <c r="AZ290" s="33"/>
    </row>
    <row r="291" spans="16:52" x14ac:dyDescent="0.35">
      <c r="P291" s="20"/>
      <c r="AT291" s="33"/>
      <c r="AW291" s="33"/>
      <c r="AZ291" s="33"/>
    </row>
    <row r="292" spans="16:52" x14ac:dyDescent="0.35">
      <c r="P292" s="20"/>
      <c r="AT292" s="33"/>
      <c r="AW292" s="33"/>
      <c r="AZ292" s="33"/>
    </row>
    <row r="293" spans="16:52" x14ac:dyDescent="0.35">
      <c r="P293" s="20"/>
      <c r="AT293" s="33"/>
      <c r="AW293" s="33"/>
      <c r="AZ293" s="33"/>
    </row>
    <row r="294" spans="16:52" x14ac:dyDescent="0.35">
      <c r="P294" s="20"/>
      <c r="AT294" s="33"/>
      <c r="AW294" s="33"/>
      <c r="AZ294" s="33"/>
    </row>
    <row r="295" spans="16:52" x14ac:dyDescent="0.35">
      <c r="P295" s="20"/>
      <c r="AT295" s="33"/>
      <c r="AW295" s="33"/>
      <c r="AZ295" s="33"/>
    </row>
    <row r="296" spans="16:52" x14ac:dyDescent="0.35">
      <c r="P296" s="20"/>
      <c r="AT296" s="33"/>
      <c r="AW296" s="33"/>
      <c r="AZ296" s="33"/>
    </row>
    <row r="297" spans="16:52" x14ac:dyDescent="0.35">
      <c r="P297" s="20"/>
      <c r="AT297" s="33"/>
      <c r="AW297" s="33"/>
      <c r="AZ297" s="33"/>
    </row>
    <row r="298" spans="16:52" x14ac:dyDescent="0.35">
      <c r="P298" s="20"/>
      <c r="AT298" s="33"/>
      <c r="AW298" s="33"/>
      <c r="AZ298" s="33"/>
    </row>
    <row r="299" spans="16:52" x14ac:dyDescent="0.35">
      <c r="P299" s="20"/>
      <c r="AT299" s="33"/>
      <c r="AW299" s="33"/>
      <c r="AZ299" s="33"/>
    </row>
    <row r="300" spans="16:52" x14ac:dyDescent="0.35">
      <c r="P300" s="20"/>
      <c r="AT300" s="33"/>
      <c r="AW300" s="33"/>
      <c r="AZ300" s="33"/>
    </row>
    <row r="301" spans="16:52" x14ac:dyDescent="0.35">
      <c r="P301" s="20"/>
      <c r="AT301" s="33"/>
      <c r="AW301" s="33"/>
      <c r="AZ301" s="33"/>
    </row>
    <row r="302" spans="16:52" x14ac:dyDescent="0.35">
      <c r="P302" s="20"/>
      <c r="AT302" s="33"/>
      <c r="AW302" s="33"/>
      <c r="AZ302" s="33"/>
    </row>
    <row r="303" spans="16:52" x14ac:dyDescent="0.35">
      <c r="P303" s="20"/>
      <c r="AT303" s="33"/>
      <c r="AW303" s="33"/>
      <c r="AZ303" s="33"/>
    </row>
    <row r="304" spans="16:52" x14ac:dyDescent="0.35">
      <c r="P304" s="20"/>
      <c r="AT304" s="33"/>
      <c r="AW304" s="33"/>
      <c r="AZ304" s="33"/>
    </row>
    <row r="305" spans="16:52" x14ac:dyDescent="0.35">
      <c r="P305" s="20"/>
      <c r="AT305" s="33"/>
      <c r="AW305" s="33"/>
      <c r="AZ305" s="33"/>
    </row>
    <row r="306" spans="16:52" x14ac:dyDescent="0.35">
      <c r="P306" s="20"/>
      <c r="AT306" s="33"/>
      <c r="AW306" s="33"/>
      <c r="AZ306" s="33"/>
    </row>
    <row r="307" spans="16:52" x14ac:dyDescent="0.35">
      <c r="P307" s="20"/>
      <c r="AT307" s="33"/>
      <c r="AW307" s="33"/>
      <c r="AZ307" s="33"/>
    </row>
    <row r="308" spans="16:52" x14ac:dyDescent="0.35">
      <c r="P308" s="20"/>
      <c r="AT308" s="33"/>
      <c r="AW308" s="33"/>
      <c r="AZ308" s="33"/>
    </row>
    <row r="309" spans="16:52" x14ac:dyDescent="0.35">
      <c r="P309" s="20"/>
      <c r="AT309" s="33"/>
      <c r="AW309" s="33"/>
      <c r="AZ309" s="33"/>
    </row>
    <row r="310" spans="16:52" x14ac:dyDescent="0.35">
      <c r="P310" s="20"/>
      <c r="AT310" s="33"/>
      <c r="AW310" s="33"/>
      <c r="AZ310" s="33"/>
    </row>
    <row r="311" spans="16:52" x14ac:dyDescent="0.35">
      <c r="P311" s="20"/>
      <c r="AT311" s="33"/>
      <c r="AW311" s="33"/>
      <c r="AZ311" s="33"/>
    </row>
    <row r="312" spans="16:52" x14ac:dyDescent="0.35">
      <c r="P312" s="20"/>
      <c r="AT312" s="33"/>
      <c r="AW312" s="33"/>
      <c r="AZ312" s="33"/>
    </row>
    <row r="313" spans="16:52" x14ac:dyDescent="0.35">
      <c r="P313" s="20"/>
      <c r="AT313" s="33"/>
      <c r="AW313" s="33"/>
      <c r="AZ313" s="33"/>
    </row>
    <row r="314" spans="16:52" x14ac:dyDescent="0.35">
      <c r="P314" s="20"/>
      <c r="AT314" s="33"/>
      <c r="AW314" s="33"/>
      <c r="AZ314" s="33"/>
    </row>
    <row r="315" spans="16:52" x14ac:dyDescent="0.35">
      <c r="P315" s="20"/>
      <c r="AT315" s="33"/>
      <c r="AW315" s="33"/>
      <c r="AZ315" s="33"/>
    </row>
    <row r="316" spans="16:52" x14ac:dyDescent="0.35">
      <c r="P316" s="20"/>
      <c r="AT316" s="33"/>
      <c r="AW316" s="33"/>
      <c r="AZ316" s="33"/>
    </row>
    <row r="317" spans="16:52" x14ac:dyDescent="0.35">
      <c r="P317" s="20"/>
      <c r="AT317" s="33"/>
      <c r="AW317" s="33"/>
      <c r="AZ317" s="33"/>
    </row>
    <row r="318" spans="16:52" x14ac:dyDescent="0.35">
      <c r="P318" s="20"/>
      <c r="AT318" s="33"/>
      <c r="AW318" s="33"/>
      <c r="AZ318" s="33"/>
    </row>
    <row r="319" spans="16:52" x14ac:dyDescent="0.35">
      <c r="P319" s="20"/>
      <c r="AT319" s="33"/>
      <c r="AW319" s="33"/>
      <c r="AZ319" s="33"/>
    </row>
    <row r="320" spans="16:52" x14ac:dyDescent="0.35">
      <c r="P320" s="20"/>
      <c r="AT320" s="33"/>
      <c r="AW320" s="33"/>
      <c r="AZ320" s="33"/>
    </row>
    <row r="321" spans="16:52" x14ac:dyDescent="0.35">
      <c r="P321" s="20"/>
      <c r="AT321" s="33"/>
      <c r="AW321" s="33"/>
      <c r="AZ321" s="33"/>
    </row>
    <row r="322" spans="16:52" x14ac:dyDescent="0.35">
      <c r="P322" s="20"/>
      <c r="AT322" s="33"/>
      <c r="AW322" s="33"/>
      <c r="AZ322" s="33"/>
    </row>
    <row r="323" spans="16:52" x14ac:dyDescent="0.35">
      <c r="P323" s="20"/>
      <c r="AT323" s="33"/>
      <c r="AW323" s="33"/>
      <c r="AZ323" s="33"/>
    </row>
    <row r="324" spans="16:52" x14ac:dyDescent="0.35">
      <c r="P324" s="20"/>
      <c r="AT324" s="33"/>
      <c r="AW324" s="33"/>
      <c r="AZ324" s="33"/>
    </row>
    <row r="325" spans="16:52" x14ac:dyDescent="0.35">
      <c r="P325" s="20"/>
      <c r="AT325" s="33"/>
      <c r="AW325" s="33"/>
      <c r="AZ325" s="33"/>
    </row>
    <row r="326" spans="16:52" x14ac:dyDescent="0.35">
      <c r="P326" s="20"/>
      <c r="AT326" s="33"/>
      <c r="AW326" s="33"/>
      <c r="AZ326" s="33"/>
    </row>
    <row r="327" spans="16:52" x14ac:dyDescent="0.35">
      <c r="P327" s="20"/>
      <c r="AT327" s="33"/>
      <c r="AW327" s="33"/>
      <c r="AZ327" s="33"/>
    </row>
    <row r="328" spans="16:52" x14ac:dyDescent="0.35">
      <c r="P328" s="20"/>
      <c r="AT328" s="33"/>
      <c r="AW328" s="33"/>
      <c r="AZ328" s="33"/>
    </row>
    <row r="329" spans="16:52" x14ac:dyDescent="0.35">
      <c r="P329" s="20"/>
      <c r="AT329" s="33"/>
      <c r="AW329" s="33"/>
      <c r="AZ329" s="33"/>
    </row>
    <row r="330" spans="16:52" x14ac:dyDescent="0.35">
      <c r="P330" s="20"/>
      <c r="AT330" s="33"/>
      <c r="AW330" s="33"/>
      <c r="AZ330" s="33"/>
    </row>
    <row r="331" spans="16:52" x14ac:dyDescent="0.35">
      <c r="P331" s="20"/>
      <c r="AT331" s="33"/>
      <c r="AW331" s="33"/>
      <c r="AZ331" s="33"/>
    </row>
    <row r="332" spans="16:52" x14ac:dyDescent="0.35">
      <c r="P332" s="20"/>
      <c r="AT332" s="33"/>
      <c r="AW332" s="33"/>
      <c r="AZ332" s="33"/>
    </row>
    <row r="333" spans="16:52" x14ac:dyDescent="0.35">
      <c r="P333" s="20"/>
      <c r="AT333" s="33"/>
      <c r="AW333" s="33"/>
      <c r="AZ333" s="33"/>
    </row>
    <row r="334" spans="16:52" x14ac:dyDescent="0.35">
      <c r="P334" s="20"/>
      <c r="AT334" s="33"/>
      <c r="AW334" s="33"/>
      <c r="AZ334" s="33"/>
    </row>
    <row r="335" spans="16:52" x14ac:dyDescent="0.35">
      <c r="P335" s="20"/>
      <c r="AT335" s="33"/>
      <c r="AW335" s="33"/>
      <c r="AZ335" s="33"/>
    </row>
    <row r="336" spans="16:52" x14ac:dyDescent="0.35">
      <c r="P336" s="20"/>
      <c r="AT336" s="33"/>
      <c r="AW336" s="33"/>
      <c r="AZ336" s="33"/>
    </row>
    <row r="337" spans="16:52" x14ac:dyDescent="0.35">
      <c r="P337" s="20"/>
      <c r="AT337" s="33"/>
      <c r="AW337" s="33"/>
      <c r="AZ337" s="33"/>
    </row>
    <row r="338" spans="16:52" x14ac:dyDescent="0.35">
      <c r="P338" s="20"/>
      <c r="AT338" s="33"/>
      <c r="AW338" s="33"/>
      <c r="AZ338" s="33"/>
    </row>
    <row r="339" spans="16:52" x14ac:dyDescent="0.35">
      <c r="P339" s="20"/>
      <c r="AT339" s="33"/>
      <c r="AW339" s="33"/>
      <c r="AZ339" s="33"/>
    </row>
    <row r="340" spans="16:52" x14ac:dyDescent="0.35">
      <c r="P340" s="20"/>
      <c r="AT340" s="33"/>
      <c r="AW340" s="33"/>
      <c r="AZ340" s="33"/>
    </row>
    <row r="341" spans="16:52" x14ac:dyDescent="0.35">
      <c r="P341" s="20"/>
      <c r="AT341" s="33"/>
      <c r="AW341" s="33"/>
      <c r="AZ341" s="33"/>
    </row>
    <row r="342" spans="16:52" x14ac:dyDescent="0.35">
      <c r="P342" s="20"/>
      <c r="AT342" s="33"/>
      <c r="AW342" s="33"/>
      <c r="AZ342" s="33"/>
    </row>
    <row r="343" spans="16:52" x14ac:dyDescent="0.35">
      <c r="P343" s="20"/>
      <c r="AT343" s="33"/>
      <c r="AW343" s="33"/>
      <c r="AZ343" s="33"/>
    </row>
    <row r="344" spans="16:52" x14ac:dyDescent="0.35">
      <c r="P344" s="20"/>
      <c r="AT344" s="33"/>
      <c r="AW344" s="33"/>
      <c r="AZ344" s="33"/>
    </row>
    <row r="345" spans="16:52" x14ac:dyDescent="0.35">
      <c r="P345" s="20"/>
      <c r="AT345" s="33"/>
      <c r="AW345" s="33"/>
      <c r="AZ345" s="33"/>
    </row>
    <row r="346" spans="16:52" x14ac:dyDescent="0.35">
      <c r="P346" s="20"/>
      <c r="AT346" s="33"/>
      <c r="AW346" s="33"/>
      <c r="AZ346" s="33"/>
    </row>
    <row r="347" spans="16:52" x14ac:dyDescent="0.35">
      <c r="P347" s="20"/>
      <c r="AT347" s="33"/>
      <c r="AW347" s="33"/>
      <c r="AZ347" s="33"/>
    </row>
    <row r="348" spans="16:52" x14ac:dyDescent="0.35">
      <c r="P348" s="20"/>
      <c r="AT348" s="33"/>
      <c r="AW348" s="33"/>
      <c r="AZ348" s="33"/>
    </row>
    <row r="349" spans="16:52" x14ac:dyDescent="0.35">
      <c r="P349" s="20"/>
      <c r="AT349" s="33"/>
      <c r="AW349" s="33"/>
      <c r="AZ349" s="33"/>
    </row>
    <row r="350" spans="16:52" x14ac:dyDescent="0.35">
      <c r="P350" s="20"/>
      <c r="AT350" s="33"/>
      <c r="AW350" s="33"/>
      <c r="AZ350" s="33"/>
    </row>
    <row r="351" spans="16:52" x14ac:dyDescent="0.35">
      <c r="P351" s="20"/>
      <c r="AT351" s="33"/>
      <c r="AW351" s="33"/>
      <c r="AZ351" s="33"/>
    </row>
    <row r="352" spans="16:52" x14ac:dyDescent="0.35">
      <c r="P352" s="20"/>
      <c r="AT352" s="33"/>
      <c r="AW352" s="33"/>
      <c r="AZ352" s="33"/>
    </row>
    <row r="353" spans="16:52" x14ac:dyDescent="0.35">
      <c r="P353" s="20"/>
      <c r="AT353" s="33"/>
      <c r="AW353" s="33"/>
      <c r="AZ353" s="33"/>
    </row>
    <row r="354" spans="16:52" x14ac:dyDescent="0.35">
      <c r="P354" s="20"/>
      <c r="AT354" s="33"/>
      <c r="AW354" s="33"/>
      <c r="AZ354" s="33"/>
    </row>
    <row r="355" spans="16:52" x14ac:dyDescent="0.35">
      <c r="P355" s="20"/>
      <c r="AT355" s="33"/>
      <c r="AW355" s="33"/>
      <c r="AZ355" s="33"/>
    </row>
    <row r="356" spans="16:52" x14ac:dyDescent="0.35">
      <c r="P356" s="20"/>
      <c r="AT356" s="33"/>
      <c r="AW356" s="33"/>
      <c r="AZ356" s="33"/>
    </row>
    <row r="357" spans="16:52" x14ac:dyDescent="0.35">
      <c r="P357" s="20"/>
      <c r="AT357" s="33"/>
      <c r="AW357" s="33"/>
      <c r="AZ357" s="33"/>
    </row>
    <row r="358" spans="16:52" x14ac:dyDescent="0.35">
      <c r="P358" s="20"/>
      <c r="AT358" s="33"/>
      <c r="AW358" s="33"/>
      <c r="AZ358" s="33"/>
    </row>
    <row r="359" spans="16:52" x14ac:dyDescent="0.35">
      <c r="P359" s="20"/>
      <c r="AT359" s="33"/>
      <c r="AW359" s="33"/>
      <c r="AZ359" s="33"/>
    </row>
    <row r="360" spans="16:52" x14ac:dyDescent="0.35">
      <c r="P360" s="20"/>
      <c r="AT360" s="33"/>
      <c r="AW360" s="33"/>
      <c r="AZ360" s="33"/>
    </row>
    <row r="361" spans="16:52" x14ac:dyDescent="0.35">
      <c r="P361" s="20"/>
      <c r="AT361" s="33"/>
      <c r="AW361" s="33"/>
      <c r="AZ361" s="33"/>
    </row>
    <row r="362" spans="16:52" x14ac:dyDescent="0.35">
      <c r="P362" s="20"/>
      <c r="AT362" s="33"/>
      <c r="AW362" s="33"/>
      <c r="AZ362" s="33"/>
    </row>
    <row r="363" spans="16:52" x14ac:dyDescent="0.35">
      <c r="P363" s="20"/>
      <c r="AT363" s="33"/>
      <c r="AW363" s="33"/>
      <c r="AZ363" s="33"/>
    </row>
    <row r="364" spans="16:52" x14ac:dyDescent="0.35">
      <c r="P364" s="20"/>
      <c r="AT364" s="33"/>
      <c r="AW364" s="33"/>
      <c r="AZ364" s="33"/>
    </row>
    <row r="365" spans="16:52" x14ac:dyDescent="0.35">
      <c r="P365" s="20"/>
      <c r="AT365" s="33"/>
      <c r="AW365" s="33"/>
      <c r="AZ365" s="33"/>
    </row>
    <row r="366" spans="16:52" x14ac:dyDescent="0.35">
      <c r="P366" s="20"/>
      <c r="AT366" s="33"/>
      <c r="AW366" s="33"/>
      <c r="AZ366" s="33"/>
    </row>
    <row r="367" spans="16:52" x14ac:dyDescent="0.35">
      <c r="P367" s="20"/>
      <c r="AT367" s="33"/>
      <c r="AW367" s="33"/>
      <c r="AZ367" s="33"/>
    </row>
    <row r="368" spans="16:52" x14ac:dyDescent="0.35">
      <c r="P368" s="20"/>
      <c r="AT368" s="33"/>
      <c r="AW368" s="33"/>
      <c r="AZ368" s="33"/>
    </row>
    <row r="369" spans="16:52" x14ac:dyDescent="0.35">
      <c r="P369" s="20"/>
      <c r="AT369" s="33"/>
      <c r="AW369" s="33"/>
      <c r="AZ369" s="33"/>
    </row>
    <row r="370" spans="16:52" x14ac:dyDescent="0.35">
      <c r="P370" s="20"/>
      <c r="AT370" s="33"/>
      <c r="AW370" s="33"/>
      <c r="AZ370" s="33"/>
    </row>
    <row r="371" spans="16:52" x14ac:dyDescent="0.35">
      <c r="P371" s="20"/>
      <c r="AT371" s="33"/>
      <c r="AW371" s="33"/>
      <c r="AZ371" s="33"/>
    </row>
    <row r="372" spans="16:52" x14ac:dyDescent="0.35">
      <c r="P372" s="20"/>
      <c r="AT372" s="33"/>
      <c r="AW372" s="33"/>
      <c r="AZ372" s="33"/>
    </row>
    <row r="373" spans="16:52" x14ac:dyDescent="0.35">
      <c r="P373" s="20"/>
      <c r="AT373" s="33"/>
      <c r="AW373" s="33"/>
      <c r="AZ373" s="33"/>
    </row>
    <row r="374" spans="16:52" x14ac:dyDescent="0.35">
      <c r="P374" s="20"/>
      <c r="AT374" s="33"/>
      <c r="AW374" s="33"/>
      <c r="AZ374" s="33"/>
    </row>
    <row r="375" spans="16:52" x14ac:dyDescent="0.35">
      <c r="P375" s="20"/>
      <c r="AT375" s="33"/>
      <c r="AW375" s="33"/>
      <c r="AZ375" s="33"/>
    </row>
    <row r="376" spans="16:52" x14ac:dyDescent="0.35">
      <c r="P376" s="20"/>
      <c r="AT376" s="33"/>
      <c r="AW376" s="33"/>
      <c r="AZ376" s="33"/>
    </row>
    <row r="377" spans="16:52" x14ac:dyDescent="0.35">
      <c r="P377" s="20"/>
      <c r="AT377" s="33"/>
      <c r="AW377" s="33"/>
      <c r="AZ377" s="33"/>
    </row>
    <row r="378" spans="16:52" x14ac:dyDescent="0.35">
      <c r="P378" s="20"/>
      <c r="AT378" s="33"/>
      <c r="AW378" s="33"/>
      <c r="AZ378" s="33"/>
    </row>
    <row r="379" spans="16:52" x14ac:dyDescent="0.35">
      <c r="P379" s="20"/>
      <c r="AT379" s="33"/>
      <c r="AW379" s="33"/>
      <c r="AZ379" s="33"/>
    </row>
    <row r="380" spans="16:52" x14ac:dyDescent="0.35">
      <c r="P380" s="20"/>
      <c r="AT380" s="33"/>
      <c r="AW380" s="33"/>
      <c r="AZ380" s="33"/>
    </row>
    <row r="381" spans="16:52" x14ac:dyDescent="0.35">
      <c r="P381" s="20"/>
      <c r="AT381" s="33"/>
      <c r="AW381" s="33"/>
      <c r="AZ381" s="33"/>
    </row>
    <row r="382" spans="16:52" x14ac:dyDescent="0.35">
      <c r="P382" s="20"/>
      <c r="AT382" s="33"/>
      <c r="AW382" s="33"/>
      <c r="AZ382" s="33"/>
    </row>
    <row r="383" spans="16:52" x14ac:dyDescent="0.35">
      <c r="P383" s="20"/>
      <c r="AT383" s="33"/>
      <c r="AW383" s="33"/>
      <c r="AZ383" s="33"/>
    </row>
    <row r="384" spans="16:52" x14ac:dyDescent="0.35">
      <c r="P384" s="20"/>
      <c r="AT384" s="33"/>
      <c r="AW384" s="33"/>
      <c r="AZ384" s="33"/>
    </row>
    <row r="385" spans="16:52" x14ac:dyDescent="0.35">
      <c r="P385" s="20"/>
      <c r="AT385" s="33"/>
      <c r="AW385" s="33"/>
      <c r="AZ385" s="33"/>
    </row>
    <row r="386" spans="16:52" x14ac:dyDescent="0.35">
      <c r="P386" s="20"/>
      <c r="AT386" s="33"/>
      <c r="AW386" s="33"/>
      <c r="AZ386" s="33"/>
    </row>
    <row r="387" spans="16:52" x14ac:dyDescent="0.35">
      <c r="P387" s="20"/>
      <c r="AT387" s="33"/>
      <c r="AW387" s="33"/>
      <c r="AZ387" s="33"/>
    </row>
    <row r="388" spans="16:52" x14ac:dyDescent="0.35">
      <c r="P388" s="20"/>
      <c r="AT388" s="33"/>
      <c r="AW388" s="33"/>
      <c r="AZ388" s="33"/>
    </row>
    <row r="389" spans="16:52" x14ac:dyDescent="0.35">
      <c r="P389" s="20"/>
      <c r="AT389" s="33"/>
      <c r="AW389" s="33"/>
      <c r="AZ389" s="33"/>
    </row>
    <row r="390" spans="16:52" x14ac:dyDescent="0.35">
      <c r="P390" s="20"/>
      <c r="AT390" s="33"/>
      <c r="AW390" s="33"/>
      <c r="AZ390" s="33"/>
    </row>
    <row r="391" spans="16:52" x14ac:dyDescent="0.35">
      <c r="P391" s="20"/>
      <c r="AT391" s="33"/>
      <c r="AW391" s="33"/>
      <c r="AZ391" s="33"/>
    </row>
    <row r="392" spans="16:52" x14ac:dyDescent="0.35">
      <c r="P392" s="20"/>
      <c r="AT392" s="33"/>
      <c r="AW392" s="33"/>
      <c r="AZ392" s="33"/>
    </row>
    <row r="393" spans="16:52" x14ac:dyDescent="0.35">
      <c r="AT393" s="33"/>
      <c r="AW393" s="33"/>
      <c r="AZ393" s="33"/>
    </row>
    <row r="394" spans="16:52" x14ac:dyDescent="0.35">
      <c r="AT394" s="33"/>
      <c r="AW394" s="33"/>
      <c r="AZ394" s="33"/>
    </row>
    <row r="395" spans="16:52" x14ac:dyDescent="0.35">
      <c r="AT395" s="33"/>
      <c r="AW395" s="33"/>
      <c r="AZ395" s="33"/>
    </row>
    <row r="396" spans="16:52" x14ac:dyDescent="0.35">
      <c r="AT396" s="33"/>
      <c r="AW396" s="33"/>
      <c r="AZ396" s="33"/>
    </row>
    <row r="397" spans="16:52" x14ac:dyDescent="0.35">
      <c r="AT397" s="33"/>
      <c r="AW397" s="33"/>
      <c r="AZ397" s="33"/>
    </row>
    <row r="398" spans="16:52" x14ac:dyDescent="0.35">
      <c r="AT398" s="33"/>
      <c r="AW398" s="33"/>
      <c r="AZ398" s="33"/>
    </row>
    <row r="399" spans="16:52" x14ac:dyDescent="0.35">
      <c r="AT399" s="33"/>
      <c r="AW399" s="33"/>
      <c r="AZ399" s="33"/>
    </row>
    <row r="400" spans="16:52" x14ac:dyDescent="0.35">
      <c r="AT400" s="33"/>
      <c r="AW400" s="33"/>
      <c r="AZ400" s="33"/>
    </row>
    <row r="401" spans="46:52" x14ac:dyDescent="0.35">
      <c r="AT401" s="33"/>
      <c r="AW401" s="33"/>
      <c r="AZ401" s="33"/>
    </row>
    <row r="402" spans="46:52" x14ac:dyDescent="0.35">
      <c r="AT402" s="33"/>
      <c r="AW402" s="33"/>
      <c r="AZ402" s="33"/>
    </row>
    <row r="403" spans="46:52" x14ac:dyDescent="0.35">
      <c r="AT403" s="33"/>
      <c r="AW403" s="33"/>
      <c r="AZ403" s="33"/>
    </row>
    <row r="404" spans="46:52" x14ac:dyDescent="0.35">
      <c r="AT404" s="33"/>
      <c r="AW404" s="33"/>
      <c r="AZ404" s="33"/>
    </row>
    <row r="405" spans="46:52" x14ac:dyDescent="0.35">
      <c r="AT405" s="33"/>
      <c r="AW405" s="33"/>
      <c r="AZ405" s="33"/>
    </row>
    <row r="406" spans="46:52" x14ac:dyDescent="0.35">
      <c r="AT406" s="33"/>
      <c r="AW406" s="33"/>
      <c r="AZ406" s="33"/>
    </row>
    <row r="407" spans="46:52" x14ac:dyDescent="0.35">
      <c r="AT407" s="33"/>
      <c r="AW407" s="33"/>
      <c r="AZ407" s="33"/>
    </row>
    <row r="408" spans="46:52" x14ac:dyDescent="0.35">
      <c r="AT408" s="33"/>
      <c r="AW408" s="33"/>
      <c r="AZ408" s="33"/>
    </row>
    <row r="409" spans="46:52" x14ac:dyDescent="0.35">
      <c r="AT409" s="33"/>
      <c r="AW409" s="33"/>
      <c r="AZ409" s="33"/>
    </row>
    <row r="410" spans="46:52" x14ac:dyDescent="0.35">
      <c r="AT410" s="33"/>
      <c r="AW410" s="33"/>
      <c r="AZ410" s="33"/>
    </row>
    <row r="411" spans="46:52" x14ac:dyDescent="0.35">
      <c r="AT411" s="33"/>
      <c r="AW411" s="33"/>
      <c r="AZ411" s="33"/>
    </row>
    <row r="412" spans="46:52" x14ac:dyDescent="0.35">
      <c r="AT412" s="33"/>
      <c r="AW412" s="33"/>
      <c r="AZ412" s="33"/>
    </row>
    <row r="413" spans="46:52" x14ac:dyDescent="0.35">
      <c r="AT413" s="33"/>
      <c r="AW413" s="33"/>
      <c r="AZ413" s="33"/>
    </row>
    <row r="414" spans="46:52" x14ac:dyDescent="0.35">
      <c r="AT414" s="33"/>
      <c r="AW414" s="33"/>
      <c r="AZ414" s="33"/>
    </row>
    <row r="415" spans="46:52" x14ac:dyDescent="0.35">
      <c r="AT415" s="33"/>
      <c r="AW415" s="33"/>
      <c r="AZ415" s="33"/>
    </row>
    <row r="416" spans="46:52" x14ac:dyDescent="0.35">
      <c r="AT416" s="33"/>
      <c r="AW416" s="33"/>
      <c r="AZ416" s="33"/>
    </row>
    <row r="417" spans="46:52" x14ac:dyDescent="0.35">
      <c r="AT417" s="33"/>
      <c r="AW417" s="33"/>
      <c r="AZ417" s="33"/>
    </row>
    <row r="418" spans="46:52" x14ac:dyDescent="0.35">
      <c r="AT418" s="33"/>
      <c r="AW418" s="33"/>
      <c r="AZ418" s="33"/>
    </row>
    <row r="419" spans="46:52" x14ac:dyDescent="0.35">
      <c r="AT419" s="33"/>
      <c r="AW419" s="33"/>
      <c r="AZ419" s="33"/>
    </row>
    <row r="420" spans="46:52" x14ac:dyDescent="0.35">
      <c r="AT420" s="33"/>
      <c r="AW420" s="33"/>
      <c r="AZ420" s="33"/>
    </row>
    <row r="421" spans="46:52" x14ac:dyDescent="0.35">
      <c r="AT421" s="33"/>
      <c r="AW421" s="33"/>
      <c r="AZ421" s="33"/>
    </row>
    <row r="422" spans="46:52" x14ac:dyDescent="0.35">
      <c r="AT422" s="33"/>
      <c r="AW422" s="33"/>
      <c r="AZ422" s="33"/>
    </row>
    <row r="423" spans="46:52" x14ac:dyDescent="0.35">
      <c r="AT423" s="33"/>
      <c r="AW423" s="33"/>
      <c r="AZ423" s="33"/>
    </row>
    <row r="424" spans="46:52" x14ac:dyDescent="0.35">
      <c r="AT424" s="33"/>
      <c r="AW424" s="33"/>
      <c r="AZ424" s="33"/>
    </row>
    <row r="425" spans="46:52" x14ac:dyDescent="0.35">
      <c r="AT425" s="33"/>
      <c r="AW425" s="33"/>
      <c r="AZ425" s="33"/>
    </row>
    <row r="426" spans="46:52" x14ac:dyDescent="0.35">
      <c r="AT426" s="33"/>
      <c r="AW426" s="33"/>
      <c r="AZ426" s="33"/>
    </row>
    <row r="427" spans="46:52" x14ac:dyDescent="0.35">
      <c r="AT427" s="33"/>
      <c r="AW427" s="33"/>
      <c r="AZ427" s="33"/>
    </row>
    <row r="428" spans="46:52" x14ac:dyDescent="0.35">
      <c r="AT428" s="33"/>
      <c r="AW428" s="33"/>
      <c r="AZ428" s="33"/>
    </row>
    <row r="429" spans="46:52" x14ac:dyDescent="0.35">
      <c r="AT429" s="33"/>
      <c r="AW429" s="33"/>
      <c r="AZ429" s="33"/>
    </row>
    <row r="430" spans="46:52" x14ac:dyDescent="0.35">
      <c r="AT430" s="33"/>
      <c r="AW430" s="33"/>
      <c r="AZ430" s="33"/>
    </row>
    <row r="431" spans="46:52" x14ac:dyDescent="0.35">
      <c r="AT431" s="33"/>
      <c r="AW431" s="33"/>
      <c r="AZ431" s="33"/>
    </row>
    <row r="432" spans="46:52" x14ac:dyDescent="0.35">
      <c r="AT432" s="33"/>
      <c r="AW432" s="33"/>
      <c r="AZ432" s="33"/>
    </row>
    <row r="433" spans="40:52" x14ac:dyDescent="0.35">
      <c r="AT433" s="33"/>
      <c r="AW433" s="33"/>
      <c r="AZ433" s="33"/>
    </row>
    <row r="434" spans="40:52" x14ac:dyDescent="0.35">
      <c r="AT434" s="33"/>
      <c r="AW434" s="33"/>
      <c r="AZ434" s="33"/>
    </row>
    <row r="435" spans="40:52" x14ac:dyDescent="0.35">
      <c r="AT435" s="33"/>
      <c r="AW435" s="33"/>
      <c r="AZ435" s="33"/>
    </row>
    <row r="436" spans="40:52" x14ac:dyDescent="0.35">
      <c r="AT436" s="33"/>
      <c r="AW436" s="33"/>
      <c r="AZ436" s="33"/>
    </row>
    <row r="437" spans="40:52" x14ac:dyDescent="0.35">
      <c r="AN437" s="5"/>
      <c r="AT437" s="33"/>
      <c r="AW437" s="33"/>
      <c r="AZ437" s="33"/>
    </row>
    <row r="438" spans="40:52" x14ac:dyDescent="0.35">
      <c r="AT438" s="33"/>
      <c r="AW438" s="33"/>
      <c r="AZ438" s="33"/>
    </row>
    <row r="439" spans="40:52" x14ac:dyDescent="0.35">
      <c r="AT439" s="33"/>
      <c r="AW439" s="33"/>
      <c r="AZ439" s="33"/>
    </row>
    <row r="440" spans="40:52" x14ac:dyDescent="0.35">
      <c r="AT440" s="33"/>
      <c r="AW440" s="33"/>
      <c r="AZ440" s="33"/>
    </row>
    <row r="441" spans="40:52" x14ac:dyDescent="0.35">
      <c r="AT441" s="33"/>
      <c r="AW441" s="33"/>
      <c r="AZ441" s="33"/>
    </row>
    <row r="442" spans="40:52" x14ac:dyDescent="0.35">
      <c r="AT442" s="33"/>
      <c r="AW442" s="33"/>
      <c r="AZ442" s="33"/>
    </row>
    <row r="443" spans="40:52" x14ac:dyDescent="0.35">
      <c r="AT443" s="33"/>
      <c r="AW443" s="33"/>
      <c r="AZ443" s="33"/>
    </row>
    <row r="444" spans="40:52" x14ac:dyDescent="0.35">
      <c r="AT444" s="33"/>
      <c r="AW444" s="33"/>
      <c r="AZ444" s="33"/>
    </row>
    <row r="445" spans="40:52" x14ac:dyDescent="0.35">
      <c r="AT445" s="33"/>
      <c r="AW445" s="33"/>
      <c r="AZ445" s="33"/>
    </row>
    <row r="446" spans="40:52" x14ac:dyDescent="0.35">
      <c r="AT446" s="33"/>
      <c r="AW446" s="33"/>
      <c r="AZ446" s="33"/>
    </row>
    <row r="447" spans="40:52" x14ac:dyDescent="0.35">
      <c r="AT447" s="33"/>
      <c r="AW447" s="33"/>
      <c r="AZ447" s="33"/>
    </row>
    <row r="448" spans="40:52" x14ac:dyDescent="0.35">
      <c r="AT448" s="33"/>
      <c r="AW448" s="33"/>
      <c r="AZ448" s="33"/>
    </row>
    <row r="449" spans="46:52" x14ac:dyDescent="0.35">
      <c r="AT449" s="33"/>
      <c r="AW449" s="33"/>
      <c r="AZ449" s="33"/>
    </row>
    <row r="450" spans="46:52" x14ac:dyDescent="0.35">
      <c r="AT450" s="33"/>
      <c r="AW450" s="33"/>
      <c r="AZ450" s="33"/>
    </row>
    <row r="451" spans="46:52" x14ac:dyDescent="0.35">
      <c r="AT451" s="33"/>
      <c r="AW451" s="33"/>
      <c r="AZ451" s="33"/>
    </row>
    <row r="452" spans="46:52" x14ac:dyDescent="0.35">
      <c r="AT452" s="33"/>
      <c r="AW452" s="33"/>
      <c r="AZ452" s="33"/>
    </row>
    <row r="453" spans="46:52" x14ac:dyDescent="0.35">
      <c r="AT453" s="33"/>
      <c r="AW453" s="33"/>
      <c r="AZ453" s="33"/>
    </row>
    <row r="454" spans="46:52" x14ac:dyDescent="0.35">
      <c r="AT454" s="33"/>
      <c r="AW454" s="33"/>
      <c r="AZ454" s="33"/>
    </row>
    <row r="455" spans="46:52" x14ac:dyDescent="0.35">
      <c r="AT455" s="33"/>
      <c r="AW455" s="33"/>
      <c r="AZ455" s="33"/>
    </row>
    <row r="456" spans="46:52" x14ac:dyDescent="0.35">
      <c r="AT456" s="33"/>
      <c r="AW456" s="33"/>
      <c r="AZ456" s="33"/>
    </row>
    <row r="457" spans="46:52" x14ac:dyDescent="0.35">
      <c r="AT457" s="33"/>
      <c r="AW457" s="33"/>
      <c r="AZ457" s="33"/>
    </row>
    <row r="458" spans="46:52" x14ac:dyDescent="0.35">
      <c r="AT458" s="33"/>
      <c r="AW458" s="33"/>
      <c r="AZ458" s="33"/>
    </row>
    <row r="459" spans="46:52" x14ac:dyDescent="0.35">
      <c r="AT459" s="33"/>
      <c r="AW459" s="33"/>
      <c r="AZ459" s="33"/>
    </row>
    <row r="460" spans="46:52" x14ac:dyDescent="0.35">
      <c r="AT460" s="33"/>
      <c r="AW460" s="33"/>
      <c r="AZ460" s="33"/>
    </row>
    <row r="461" spans="46:52" x14ac:dyDescent="0.35">
      <c r="AT461" s="33"/>
      <c r="AW461" s="33"/>
      <c r="AZ461" s="33"/>
    </row>
    <row r="462" spans="46:52" x14ac:dyDescent="0.35">
      <c r="AT462" s="33"/>
      <c r="AW462" s="33"/>
      <c r="AZ462" s="33"/>
    </row>
    <row r="463" spans="46:52" x14ac:dyDescent="0.35">
      <c r="AT463" s="33"/>
      <c r="AW463" s="33"/>
      <c r="AZ463" s="33"/>
    </row>
    <row r="464" spans="46:52" x14ac:dyDescent="0.35">
      <c r="AT464" s="33"/>
      <c r="AW464" s="33"/>
      <c r="AZ464" s="33"/>
    </row>
    <row r="465" spans="46:52" x14ac:dyDescent="0.35">
      <c r="AT465" s="33"/>
      <c r="AW465" s="33"/>
      <c r="AZ465" s="33"/>
    </row>
    <row r="466" spans="46:52" x14ac:dyDescent="0.35">
      <c r="AT466" s="33"/>
      <c r="AW466" s="33"/>
      <c r="AZ466" s="33"/>
    </row>
    <row r="467" spans="46:52" x14ac:dyDescent="0.35">
      <c r="AT467" s="33"/>
      <c r="AW467" s="33"/>
      <c r="AZ467" s="33"/>
    </row>
    <row r="468" spans="46:52" x14ac:dyDescent="0.35">
      <c r="AT468" s="33"/>
      <c r="AW468" s="33"/>
      <c r="AZ468" s="33"/>
    </row>
    <row r="469" spans="46:52" x14ac:dyDescent="0.35">
      <c r="AT469" s="33"/>
      <c r="AW469" s="33"/>
      <c r="AZ469" s="33"/>
    </row>
    <row r="470" spans="46:52" x14ac:dyDescent="0.35">
      <c r="AT470" s="33"/>
      <c r="AW470" s="33"/>
      <c r="AZ470" s="33"/>
    </row>
    <row r="471" spans="46:52" x14ac:dyDescent="0.35">
      <c r="AT471" s="33"/>
      <c r="AW471" s="33"/>
      <c r="AZ471" s="33"/>
    </row>
    <row r="472" spans="46:52" x14ac:dyDescent="0.35">
      <c r="AT472" s="33"/>
      <c r="AW472" s="33"/>
      <c r="AZ472" s="33"/>
    </row>
    <row r="473" spans="46:52" x14ac:dyDescent="0.35">
      <c r="AT473" s="33"/>
      <c r="AW473" s="33"/>
      <c r="AZ473" s="33"/>
    </row>
    <row r="474" spans="46:52" x14ac:dyDescent="0.35">
      <c r="AT474" s="33"/>
      <c r="AW474" s="33"/>
      <c r="AZ474" s="33"/>
    </row>
    <row r="475" spans="46:52" x14ac:dyDescent="0.35">
      <c r="AT475" s="33"/>
      <c r="AW475" s="33"/>
      <c r="AZ475" s="33"/>
    </row>
    <row r="476" spans="46:52" x14ac:dyDescent="0.35">
      <c r="AT476" s="33"/>
      <c r="AW476" s="33"/>
      <c r="AZ476" s="33"/>
    </row>
    <row r="477" spans="46:52" x14ac:dyDescent="0.35">
      <c r="AT477" s="33"/>
      <c r="AW477" s="33"/>
      <c r="AZ477" s="33"/>
    </row>
    <row r="478" spans="46:52" x14ac:dyDescent="0.35">
      <c r="AT478" s="33"/>
      <c r="AW478" s="33"/>
      <c r="AZ478" s="33"/>
    </row>
    <row r="479" spans="46:52" x14ac:dyDescent="0.35">
      <c r="AT479" s="33"/>
      <c r="AW479" s="33"/>
      <c r="AZ479" s="33"/>
    </row>
    <row r="480" spans="46:52" x14ac:dyDescent="0.35">
      <c r="AT480" s="33"/>
      <c r="AW480" s="33"/>
      <c r="AZ480" s="33"/>
    </row>
    <row r="481" spans="46:52" x14ac:dyDescent="0.35">
      <c r="AT481" s="33"/>
      <c r="AW481" s="33"/>
      <c r="AZ481" s="33"/>
    </row>
    <row r="482" spans="46:52" x14ac:dyDescent="0.35">
      <c r="AT482" s="33"/>
      <c r="AW482" s="33"/>
      <c r="AZ482" s="33"/>
    </row>
    <row r="483" spans="46:52" x14ac:dyDescent="0.35">
      <c r="AT483" s="33"/>
      <c r="AW483" s="33"/>
      <c r="AZ483" s="33"/>
    </row>
    <row r="484" spans="46:52" x14ac:dyDescent="0.35">
      <c r="AT484" s="33"/>
      <c r="AW484" s="33"/>
      <c r="AZ484" s="33"/>
    </row>
    <row r="485" spans="46:52" x14ac:dyDescent="0.35">
      <c r="AT485" s="33"/>
      <c r="AW485" s="33"/>
      <c r="AZ485" s="33"/>
    </row>
    <row r="486" spans="46:52" x14ac:dyDescent="0.35">
      <c r="AT486" s="33"/>
      <c r="AW486" s="33"/>
      <c r="AZ486" s="33"/>
    </row>
    <row r="487" spans="46:52" x14ac:dyDescent="0.35">
      <c r="AT487" s="33"/>
      <c r="AW487" s="33"/>
      <c r="AZ487" s="33"/>
    </row>
    <row r="488" spans="46:52" x14ac:dyDescent="0.35">
      <c r="AT488" s="33"/>
      <c r="AW488" s="33"/>
      <c r="AZ488" s="33"/>
    </row>
    <row r="489" spans="46:52" x14ac:dyDescent="0.35">
      <c r="AT489" s="33"/>
      <c r="AW489" s="33"/>
      <c r="AZ489" s="33"/>
    </row>
    <row r="490" spans="46:52" x14ac:dyDescent="0.35">
      <c r="AT490" s="33"/>
      <c r="AW490" s="33"/>
      <c r="AZ490" s="33"/>
    </row>
    <row r="491" spans="46:52" x14ac:dyDescent="0.35">
      <c r="AT491" s="33"/>
      <c r="AW491" s="33"/>
      <c r="AZ491" s="33"/>
    </row>
    <row r="492" spans="46:52" x14ac:dyDescent="0.35">
      <c r="AT492" s="33"/>
      <c r="AW492" s="33"/>
      <c r="AZ492" s="33"/>
    </row>
    <row r="493" spans="46:52" x14ac:dyDescent="0.35">
      <c r="AT493" s="33"/>
      <c r="AW493" s="33"/>
      <c r="AZ493" s="33"/>
    </row>
    <row r="494" spans="46:52" x14ac:dyDescent="0.35">
      <c r="AT494" s="33"/>
      <c r="AW494" s="33"/>
      <c r="AZ494" s="33"/>
    </row>
    <row r="495" spans="46:52" x14ac:dyDescent="0.35">
      <c r="AT495" s="33"/>
      <c r="AW495" s="33"/>
      <c r="AZ495" s="33"/>
    </row>
    <row r="496" spans="46:52" x14ac:dyDescent="0.35">
      <c r="AT496" s="33"/>
      <c r="AW496" s="33"/>
      <c r="AZ496" s="33"/>
    </row>
    <row r="497" spans="46:52" x14ac:dyDescent="0.35">
      <c r="AT497" s="33"/>
      <c r="AW497" s="33"/>
      <c r="AZ497" s="33"/>
    </row>
    <row r="498" spans="46:52" x14ac:dyDescent="0.35">
      <c r="AT498" s="33"/>
      <c r="AW498" s="33"/>
      <c r="AZ498" s="33"/>
    </row>
    <row r="499" spans="46:52" x14ac:dyDescent="0.35">
      <c r="AT499" s="33"/>
      <c r="AW499" s="33"/>
      <c r="AZ499" s="33"/>
    </row>
    <row r="500" spans="46:52" x14ac:dyDescent="0.35">
      <c r="AT500" s="33"/>
      <c r="AW500" s="33"/>
      <c r="AZ500" s="33"/>
    </row>
    <row r="501" spans="46:52" x14ac:dyDescent="0.35">
      <c r="AT501" s="33"/>
      <c r="AW501" s="33"/>
      <c r="AZ501" s="33"/>
    </row>
    <row r="502" spans="46:52" x14ac:dyDescent="0.35">
      <c r="AT502" s="33"/>
      <c r="AW502" s="33"/>
      <c r="AZ502" s="33"/>
    </row>
    <row r="503" spans="46:52" x14ac:dyDescent="0.35">
      <c r="AT503" s="33"/>
      <c r="AW503" s="33"/>
      <c r="AZ503" s="33"/>
    </row>
    <row r="504" spans="46:52" x14ac:dyDescent="0.35">
      <c r="AT504" s="33"/>
      <c r="AW504" s="33"/>
      <c r="AZ504" s="33"/>
    </row>
    <row r="505" spans="46:52" x14ac:dyDescent="0.35">
      <c r="AT505" s="33"/>
      <c r="AW505" s="33"/>
      <c r="AZ505" s="33"/>
    </row>
    <row r="506" spans="46:52" x14ac:dyDescent="0.35">
      <c r="AT506" s="33"/>
      <c r="AW506" s="33"/>
      <c r="AZ506" s="33"/>
    </row>
    <row r="507" spans="46:52" x14ac:dyDescent="0.35">
      <c r="AT507" s="33"/>
      <c r="AW507" s="33"/>
      <c r="AZ507" s="33"/>
    </row>
    <row r="508" spans="46:52" x14ac:dyDescent="0.35">
      <c r="AT508" s="33"/>
      <c r="AW508" s="33"/>
      <c r="AZ508" s="33"/>
    </row>
    <row r="509" spans="46:52" x14ac:dyDescent="0.35">
      <c r="AT509" s="33"/>
      <c r="AW509" s="33"/>
      <c r="AZ509" s="33"/>
    </row>
    <row r="510" spans="46:52" x14ac:dyDescent="0.35">
      <c r="AT510" s="33"/>
      <c r="AW510" s="33"/>
      <c r="AZ510" s="33"/>
    </row>
    <row r="511" spans="46:52" x14ac:dyDescent="0.35">
      <c r="AT511" s="33"/>
      <c r="AW511" s="33"/>
      <c r="AZ511" s="33"/>
    </row>
    <row r="512" spans="46:52" x14ac:dyDescent="0.35">
      <c r="AT512" s="33"/>
      <c r="AW512" s="33"/>
      <c r="AZ512" s="33"/>
    </row>
    <row r="513" spans="46:52" x14ac:dyDescent="0.35">
      <c r="AT513" s="33"/>
      <c r="AW513" s="33"/>
      <c r="AZ513" s="33"/>
    </row>
    <row r="514" spans="46:52" x14ac:dyDescent="0.35">
      <c r="AT514" s="33"/>
      <c r="AW514" s="33"/>
      <c r="AZ514" s="33"/>
    </row>
    <row r="515" spans="46:52" x14ac:dyDescent="0.35">
      <c r="AT515" s="33"/>
      <c r="AW515" s="33"/>
      <c r="AZ515" s="33"/>
    </row>
    <row r="516" spans="46:52" x14ac:dyDescent="0.35">
      <c r="AT516" s="33"/>
      <c r="AW516" s="33"/>
      <c r="AZ516" s="33"/>
    </row>
    <row r="517" spans="46:52" x14ac:dyDescent="0.35">
      <c r="AT517" s="33"/>
      <c r="AW517" s="33"/>
      <c r="AZ517" s="33"/>
    </row>
    <row r="518" spans="46:52" x14ac:dyDescent="0.35">
      <c r="AT518" s="33"/>
      <c r="AW518" s="33"/>
      <c r="AZ518" s="33"/>
    </row>
    <row r="519" spans="46:52" x14ac:dyDescent="0.35">
      <c r="AT519" s="33"/>
      <c r="AW519" s="33"/>
      <c r="AZ519" s="33"/>
    </row>
    <row r="520" spans="46:52" x14ac:dyDescent="0.35">
      <c r="AT520" s="33"/>
      <c r="AW520" s="33"/>
      <c r="AZ520" s="33"/>
    </row>
    <row r="521" spans="46:52" x14ac:dyDescent="0.35">
      <c r="AT521" s="33"/>
      <c r="AW521" s="33"/>
      <c r="AZ521" s="33"/>
    </row>
    <row r="522" spans="46:52" x14ac:dyDescent="0.35">
      <c r="AT522" s="33"/>
      <c r="AW522" s="33"/>
      <c r="AZ522" s="33"/>
    </row>
    <row r="523" spans="46:52" x14ac:dyDescent="0.35">
      <c r="AT523" s="33"/>
      <c r="AW523" s="33"/>
      <c r="AZ523" s="33"/>
    </row>
    <row r="524" spans="46:52" x14ac:dyDescent="0.35">
      <c r="AT524" s="33"/>
      <c r="AW524" s="33"/>
      <c r="AZ524" s="33"/>
    </row>
    <row r="525" spans="46:52" x14ac:dyDescent="0.35">
      <c r="AT525" s="33"/>
      <c r="AW525" s="33"/>
      <c r="AZ525" s="33"/>
    </row>
    <row r="526" spans="46:52" x14ac:dyDescent="0.35">
      <c r="AT526" s="33"/>
      <c r="AW526" s="33"/>
      <c r="AZ526" s="33"/>
    </row>
    <row r="527" spans="46:52" x14ac:dyDescent="0.35">
      <c r="AT527" s="33"/>
      <c r="AW527" s="33"/>
      <c r="AZ527" s="33"/>
    </row>
    <row r="528" spans="46:52" x14ac:dyDescent="0.35">
      <c r="AT528" s="33"/>
      <c r="AW528" s="33"/>
      <c r="AZ528" s="33"/>
    </row>
    <row r="529" spans="46:52" x14ac:dyDescent="0.35">
      <c r="AT529" s="33"/>
      <c r="AW529" s="33"/>
      <c r="AZ529" s="33"/>
    </row>
    <row r="530" spans="46:52" x14ac:dyDescent="0.35">
      <c r="AT530" s="33"/>
      <c r="AW530" s="33"/>
      <c r="AZ530" s="33"/>
    </row>
    <row r="531" spans="46:52" x14ac:dyDescent="0.35">
      <c r="AT531" s="33"/>
      <c r="AW531" s="33"/>
      <c r="AZ531" s="33"/>
    </row>
    <row r="532" spans="46:52" x14ac:dyDescent="0.35">
      <c r="AT532" s="33"/>
      <c r="AW532" s="33"/>
      <c r="AZ532" s="33"/>
    </row>
    <row r="533" spans="46:52" x14ac:dyDescent="0.35">
      <c r="AT533" s="33"/>
      <c r="AW533" s="33"/>
      <c r="AZ533" s="33"/>
    </row>
    <row r="534" spans="46:52" x14ac:dyDescent="0.35">
      <c r="AT534" s="33"/>
      <c r="AW534" s="33"/>
      <c r="AZ534" s="33"/>
    </row>
    <row r="535" spans="46:52" x14ac:dyDescent="0.35">
      <c r="AT535" s="33"/>
      <c r="AW535" s="33"/>
      <c r="AZ535" s="33"/>
    </row>
    <row r="536" spans="46:52" x14ac:dyDescent="0.35">
      <c r="AT536" s="33"/>
      <c r="AW536" s="33"/>
      <c r="AZ536" s="33"/>
    </row>
    <row r="537" spans="46:52" x14ac:dyDescent="0.35">
      <c r="AT537" s="33"/>
      <c r="AW537" s="33"/>
      <c r="AZ537" s="33"/>
    </row>
    <row r="538" spans="46:52" x14ac:dyDescent="0.35">
      <c r="AT538" s="33"/>
      <c r="AW538" s="33"/>
      <c r="AZ538" s="33"/>
    </row>
    <row r="539" spans="46:52" x14ac:dyDescent="0.35">
      <c r="AT539" s="33"/>
      <c r="AW539" s="33"/>
      <c r="AZ539" s="33"/>
    </row>
    <row r="540" spans="46:52" x14ac:dyDescent="0.35">
      <c r="AT540" s="33"/>
      <c r="AW540" s="33"/>
      <c r="AZ540" s="33"/>
    </row>
    <row r="541" spans="46:52" x14ac:dyDescent="0.35">
      <c r="AT541" s="33"/>
      <c r="AW541" s="33"/>
      <c r="AZ541" s="33"/>
    </row>
    <row r="542" spans="46:52" x14ac:dyDescent="0.35">
      <c r="AT542" s="33"/>
      <c r="AW542" s="33"/>
      <c r="AZ542" s="33"/>
    </row>
    <row r="543" spans="46:52" x14ac:dyDescent="0.35">
      <c r="AT543" s="33"/>
      <c r="AW543" s="33"/>
      <c r="AZ543" s="33"/>
    </row>
    <row r="544" spans="46:52" x14ac:dyDescent="0.35">
      <c r="AT544" s="33"/>
      <c r="AW544" s="33"/>
      <c r="AZ544" s="33"/>
    </row>
    <row r="545" spans="46:52" x14ac:dyDescent="0.35">
      <c r="AT545" s="33"/>
      <c r="AW545" s="33"/>
      <c r="AZ545" s="33"/>
    </row>
    <row r="546" spans="46:52" x14ac:dyDescent="0.35">
      <c r="AT546" s="33"/>
      <c r="AW546" s="33"/>
      <c r="AZ546" s="33"/>
    </row>
    <row r="547" spans="46:52" x14ac:dyDescent="0.35">
      <c r="AT547" s="33"/>
      <c r="AW547" s="33"/>
      <c r="AZ547" s="33"/>
    </row>
    <row r="548" spans="46:52" x14ac:dyDescent="0.35">
      <c r="AT548" s="33"/>
      <c r="AW548" s="33"/>
      <c r="AZ548" s="33"/>
    </row>
    <row r="549" spans="46:52" x14ac:dyDescent="0.35">
      <c r="AT549" s="33"/>
      <c r="AW549" s="33"/>
      <c r="AZ549" s="33"/>
    </row>
    <row r="550" spans="46:52" x14ac:dyDescent="0.35">
      <c r="AT550" s="33"/>
      <c r="AW550" s="33"/>
      <c r="AZ550" s="33"/>
    </row>
    <row r="551" spans="46:52" x14ac:dyDescent="0.35">
      <c r="AT551" s="33"/>
      <c r="AW551" s="33"/>
      <c r="AZ551" s="33"/>
    </row>
    <row r="552" spans="46:52" x14ac:dyDescent="0.35">
      <c r="AT552" s="33"/>
      <c r="AW552" s="33"/>
      <c r="AZ552" s="33"/>
    </row>
    <row r="553" spans="46:52" x14ac:dyDescent="0.35">
      <c r="AT553" s="33"/>
      <c r="AW553" s="33"/>
      <c r="AZ553" s="33"/>
    </row>
    <row r="554" spans="46:52" x14ac:dyDescent="0.35">
      <c r="AT554" s="33"/>
      <c r="AW554" s="33"/>
      <c r="AZ554" s="33"/>
    </row>
    <row r="555" spans="46:52" x14ac:dyDescent="0.35">
      <c r="AT555" s="33"/>
      <c r="AW555" s="33"/>
      <c r="AZ555" s="33"/>
    </row>
    <row r="556" spans="46:52" x14ac:dyDescent="0.35">
      <c r="AT556" s="33"/>
      <c r="AW556" s="33"/>
      <c r="AZ556" s="33"/>
    </row>
    <row r="557" spans="46:52" x14ac:dyDescent="0.35">
      <c r="AT557" s="33"/>
      <c r="AW557" s="33"/>
      <c r="AZ557" s="33"/>
    </row>
    <row r="558" spans="46:52" x14ac:dyDescent="0.35">
      <c r="AT558" s="33"/>
      <c r="AW558" s="33"/>
      <c r="AZ558" s="33"/>
    </row>
    <row r="559" spans="46:52" x14ac:dyDescent="0.35">
      <c r="AT559" s="33"/>
      <c r="AW559" s="33"/>
      <c r="AZ559" s="3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A872D-385E-4496-AC2B-128B1871D59D}">
  <dimension ref="A1:AZ559"/>
  <sheetViews>
    <sheetView workbookViewId="0">
      <pane xSplit="1" ySplit="2" topLeftCell="B8" activePane="bottomRight" state="frozen"/>
      <selection pane="topRight" activeCell="B1" sqref="B1"/>
      <selection pane="bottomLeft" activeCell="A3" sqref="A3"/>
      <selection pane="bottomRight" activeCell="G3" sqref="G3:H203"/>
    </sheetView>
  </sheetViews>
  <sheetFormatPr defaultRowHeight="14.5" x14ac:dyDescent="0.35"/>
  <cols>
    <col min="15" max="15" width="12" bestFit="1" customWidth="1"/>
    <col min="16" max="16" width="11.453125" customWidth="1"/>
  </cols>
  <sheetData>
    <row r="1" spans="1:52" x14ac:dyDescent="0.35">
      <c r="B1" t="s">
        <v>562</v>
      </c>
      <c r="I1" t="s">
        <v>563</v>
      </c>
      <c r="J1" t="s">
        <v>564</v>
      </c>
      <c r="K1" t="s">
        <v>565</v>
      </c>
      <c r="L1" t="s">
        <v>323</v>
      </c>
      <c r="M1" t="s">
        <v>566</v>
      </c>
      <c r="O1" t="s">
        <v>567</v>
      </c>
      <c r="P1" t="s">
        <v>725</v>
      </c>
    </row>
    <row r="2" spans="1:52" x14ac:dyDescent="0.35">
      <c r="B2" t="s">
        <v>27</v>
      </c>
      <c r="C2" t="s">
        <v>28</v>
      </c>
      <c r="D2" t="s">
        <v>29</v>
      </c>
      <c r="E2" t="s">
        <v>30</v>
      </c>
      <c r="F2" t="s">
        <v>31</v>
      </c>
      <c r="I2" s="11">
        <f>regressionsbase!$AD2</f>
        <v>0.13465936454277994</v>
      </c>
      <c r="J2" s="11">
        <f>regressionsbase!$AD3</f>
        <v>0.18265306528361699</v>
      </c>
      <c r="K2" s="11">
        <f>regressionsbase!$AD4</f>
        <v>0.14217506905557528</v>
      </c>
      <c r="L2" s="11">
        <f>regressionsbase!$AD8</f>
        <v>9.5866107399486117E-2</v>
      </c>
      <c r="M2" s="11">
        <f>regressionsbase!$AD6</f>
        <v>0.23397365078672366</v>
      </c>
      <c r="N2" s="11">
        <f>regressionsbase!$AD7</f>
        <v>9.7498939422077199E-2</v>
      </c>
      <c r="O2" s="11">
        <f>regressionsbase!$AD5</f>
        <v>4.4889835954814141E-4</v>
      </c>
      <c r="P2" s="33">
        <f>regressionsbase!$AD9</f>
        <v>0.11272490515019257</v>
      </c>
      <c r="Q2" s="56"/>
      <c r="R2" s="56"/>
      <c r="S2" s="56"/>
      <c r="T2" s="56"/>
      <c r="U2" s="56"/>
      <c r="V2" s="56"/>
      <c r="W2" s="56"/>
      <c r="X2" s="56"/>
      <c r="Y2" s="52"/>
      <c r="Z2" s="52"/>
      <c r="AA2" s="52"/>
      <c r="AB2" s="57"/>
      <c r="AC2" s="57"/>
      <c r="AD2" s="57"/>
      <c r="AE2" s="54"/>
      <c r="AF2" s="54"/>
      <c r="AG2" s="54"/>
      <c r="AH2" s="54"/>
      <c r="AI2" s="54"/>
      <c r="AJ2" s="54"/>
      <c r="AK2" s="54"/>
      <c r="AL2" s="54"/>
      <c r="AM2" s="54"/>
    </row>
    <row r="3" spans="1:52" x14ac:dyDescent="0.35">
      <c r="A3">
        <v>-2</v>
      </c>
      <c r="B3">
        <f>SUMPRODUCT(I$2:P$2,I3:P3)</f>
        <v>0.48467918615240096</v>
      </c>
      <c r="C3">
        <f>regressionsbase!$AR$1*$A3</f>
        <v>-2.2290146605693262</v>
      </c>
      <c r="D3">
        <f>regressionsbase!$AO$1*$A3</f>
        <v>-3.1598231667520364</v>
      </c>
      <c r="E3">
        <f>B3+2*C3</f>
        <v>-3.9733501349862514</v>
      </c>
      <c r="F3">
        <f>B3-2*D3</f>
        <v>6.8043255196564738</v>
      </c>
      <c r="G3" s="5">
        <f>B3-regressions!AA$7</f>
        <v>-3.2366094043125542</v>
      </c>
      <c r="H3" s="5">
        <f>B3+regressions!AA$7</f>
        <v>4.2059677766173564</v>
      </c>
      <c r="I3">
        <f>IF($A3&lt;=regressionsbase!$L$2,$A3*regressionsbase!$L$1,regressionsbase!$L$1*regressionsbase!$L$2+regressionsbase!$L$3*($A3-regressionsbase!$L$2))</f>
        <v>1.7511374152088559</v>
      </c>
      <c r="J3">
        <f>regressionsbase!$J$1*A3+regressionsbase!$J$2*A3^2</f>
        <v>0.82389970555772118</v>
      </c>
      <c r="K3">
        <f>regressionsbase!$V$1*A3</f>
        <v>1.7511374152466166</v>
      </c>
      <c r="L3">
        <f>regressionsbase!$N$1*A3^2</f>
        <v>-0.68156922513820983</v>
      </c>
      <c r="M3">
        <f>regressionsbase!$R$1*A3^2+regressionsbase!$R$2*A3^6</f>
        <v>-0.47942583688603713</v>
      </c>
      <c r="N3">
        <f>regressionsbase!$P$1*A3^2+regressionsbase!$P$2*A3^7</f>
        <v>-0.72774615789151842</v>
      </c>
      <c r="O3">
        <f>regressionsbase!$T$2+regressionsbase!$T$1*EXP(A3)</f>
        <v>3.3626401524705037E-3</v>
      </c>
      <c r="P3" s="20">
        <f>(1-EXP(-2*regressionsbase!X$1*graphbase!A3))/2/EXP(-regressionsbase!X$1*A3)</f>
        <v>0.86832289432628029</v>
      </c>
    </row>
    <row r="4" spans="1:52" x14ac:dyDescent="0.35">
      <c r="A4">
        <f>0.1+A3</f>
        <v>-1.9</v>
      </c>
      <c r="B4">
        <f t="shared" ref="B4:B67" si="0">SUMPRODUCT(I$2:P$2,I4:P4)</f>
        <v>0.473754467766205</v>
      </c>
      <c r="C4">
        <f>regressionsbase!$AR$1*$A4</f>
        <v>-2.1175639275408598</v>
      </c>
      <c r="D4">
        <f>regressionsbase!$AO$1*$A4</f>
        <v>-3.0018320084144343</v>
      </c>
      <c r="E4">
        <f>B4+2*C4</f>
        <v>-3.7613733873155146</v>
      </c>
      <c r="F4">
        <f>B4-2*D4</f>
        <v>6.4774184845950735</v>
      </c>
      <c r="G4" s="5">
        <f>B4-regressions!AA$7</f>
        <v>-3.2475341226987502</v>
      </c>
      <c r="H4" s="5">
        <f>B4+regressions!AA$7</f>
        <v>4.1950430582311604</v>
      </c>
      <c r="I4">
        <f>IF($A4&lt;=regressionsbase!$L$2,$A4*regressionsbase!$L$1,regressionsbase!$L$1*regressionsbase!$L$2+regressionsbase!$L$3*($A4-regressionsbase!$L$2))</f>
        <v>1.6635805444484131</v>
      </c>
      <c r="J4">
        <f>regressionsbase!J$1*A4+regressionsbase!J$2*A4^2</f>
        <v>0.79581533133696269</v>
      </c>
      <c r="K4">
        <f>regressionsbase!$V$1*A4</f>
        <v>1.6635805444842857</v>
      </c>
      <c r="L4">
        <f>regressionsbase!$N$1*A4^2</f>
        <v>-0.61511622568723434</v>
      </c>
      <c r="M4">
        <f>regressionsbase!$R$1*A4^2+regressionsbase!$R$2*A4^6</f>
        <v>-0.43266736819211016</v>
      </c>
      <c r="N4">
        <f>regressionsbase!$P$1*A4^2+regressionsbase!$P$2*A4^7</f>
        <v>-0.65677447022999469</v>
      </c>
      <c r="O4">
        <f>regressionsbase!T$2+regressionsbase!T$1*EXP(A4)</f>
        <v>3.3072873825906852E-3</v>
      </c>
      <c r="P4" s="20">
        <f>(1-EXP(-2*regressionsbase!X$1*graphbase!A4))/2/EXP(-regressionsbase!X$1*A4)</f>
        <v>0.81698779626841933</v>
      </c>
      <c r="AT4" s="33"/>
      <c r="AW4" s="33"/>
      <c r="AZ4" s="33"/>
    </row>
    <row r="5" spans="1:52" x14ac:dyDescent="0.35">
      <c r="A5">
        <f>0.1+A4</f>
        <v>-1.7999999999999998</v>
      </c>
      <c r="B5">
        <f t="shared" si="0"/>
        <v>0.46147554687395415</v>
      </c>
      <c r="C5">
        <f>regressionsbase!$AR$1*$A5</f>
        <v>-2.0061131945123933</v>
      </c>
      <c r="D5">
        <f>regressionsbase!$AO$1*$A5</f>
        <v>-2.8438408500768326</v>
      </c>
      <c r="E5">
        <f>B5+2*C5</f>
        <v>-3.5507508421508325</v>
      </c>
      <c r="F5">
        <f>B5-2*D5</f>
        <v>6.1491572470276195</v>
      </c>
      <c r="G5" s="5">
        <f>B5-regressions!AA$7</f>
        <v>-3.2598130435910009</v>
      </c>
      <c r="H5" s="5">
        <f>B5+regressions!AA$7</f>
        <v>4.1827641373389088</v>
      </c>
      <c r="I5">
        <f>IF($A5&lt;=regressionsbase!$L$2,$A5*regressionsbase!$L$1,regressionsbase!$L$1*regressionsbase!$L$2+regressionsbase!$L$3*($A5-regressionsbase!$L$2))</f>
        <v>1.5760236736879703</v>
      </c>
      <c r="J5">
        <f>regressionsbase!J$1*A5+regressionsbase!J$2*A5^2</f>
        <v>0.76635089279440138</v>
      </c>
      <c r="K5">
        <f>regressionsbase!$V$1*A5</f>
        <v>1.5760236737219548</v>
      </c>
      <c r="L5">
        <f>regressionsbase!$N$1*A5^2</f>
        <v>-0.55207107236194986</v>
      </c>
      <c r="M5">
        <f>regressionsbase!$R$1*A5^2+regressionsbase!$R$2*A5^6</f>
        <v>-0.38831088444600848</v>
      </c>
      <c r="N5">
        <f>regressionsbase!$P$1*A5^2+regressionsbase!$P$2*A5^7</f>
        <v>-0.58944768226789723</v>
      </c>
      <c r="O5">
        <f>regressionsbase!T$2+regressionsbase!T$1*EXP(A5)</f>
        <v>3.2461131110845761E-3</v>
      </c>
      <c r="P5" s="20">
        <f>(1-EXP(-2*regressionsbase!X$1*graphbase!A5))/2/EXP(-regressionsbase!X$1*A5)</f>
        <v>0.76691191480286502</v>
      </c>
      <c r="AT5" s="33"/>
      <c r="AW5" s="33"/>
      <c r="AZ5" s="33"/>
    </row>
    <row r="6" spans="1:52" x14ac:dyDescent="0.35">
      <c r="A6">
        <f>0.1+A5</f>
        <v>-1.6999999999999997</v>
      </c>
      <c r="B6">
        <f t="shared" si="0"/>
        <v>0.44783411470878337</v>
      </c>
      <c r="C6">
        <f>regressionsbase!$AR$1*$A6</f>
        <v>-1.8946624614839269</v>
      </c>
      <c r="D6">
        <f>regressionsbase!$AO$1*$A6</f>
        <v>-2.6858496917392305</v>
      </c>
      <c r="E6">
        <f>B6+2*C6</f>
        <v>-3.3414908082590706</v>
      </c>
      <c r="F6">
        <f>B6-2*D6</f>
        <v>5.8195334981872442</v>
      </c>
      <c r="G6" s="5">
        <f>B6-regressions!AA$7</f>
        <v>-3.2734544757561719</v>
      </c>
      <c r="H6" s="5">
        <f>B6+regressions!AA$7</f>
        <v>4.1691227051737387</v>
      </c>
      <c r="I6">
        <f>IF($A6&lt;=regressionsbase!$L$2,$A6*regressionsbase!$L$1,regressionsbase!$L$1*regressionsbase!$L$2+regressionsbase!$L$3*($A6-regressionsbase!$L$2))</f>
        <v>1.4884668029275272</v>
      </c>
      <c r="J6">
        <f>regressionsbase!J$1*A6+regressionsbase!J$2*A6^2</f>
        <v>0.73550638993003703</v>
      </c>
      <c r="K6">
        <f>regressionsbase!$V$1*A6</f>
        <v>1.488466802959624</v>
      </c>
      <c r="L6">
        <f>regressionsbase!$N$1*A6^2</f>
        <v>-0.49243376516235648</v>
      </c>
      <c r="M6">
        <f>regressionsbase!$R$1*A6^2+regressionsbase!$R$2*A6^6</f>
        <v>-0.34635535870463591</v>
      </c>
      <c r="N6">
        <f>regressionsbase!$P$1*A6^2+regressionsbase!$P$2*A6^7</f>
        <v>-0.52576424001138922</v>
      </c>
      <c r="O6">
        <f>regressionsbase!T$2+regressionsbase!T$1*EXP(A6)</f>
        <v>3.1785050852815608E-3</v>
      </c>
      <c r="P6" s="20">
        <f>(1-EXP(-2*regressionsbase!X$1*graphbase!A6))/2/EXP(-regressionsbase!X$1*A6)</f>
        <v>0.71801806838406168</v>
      </c>
      <c r="AT6" s="33"/>
      <c r="AW6" s="33"/>
      <c r="AZ6" s="33"/>
    </row>
    <row r="7" spans="1:52" x14ac:dyDescent="0.35">
      <c r="A7">
        <f>0.1+A6</f>
        <v>-1.5999999999999996</v>
      </c>
      <c r="B7">
        <f t="shared" si="0"/>
        <v>0.43282200086507894</v>
      </c>
      <c r="C7">
        <f>regressionsbase!$AR$1*$A7</f>
        <v>-1.7832117284554605</v>
      </c>
      <c r="D7">
        <f>regressionsbase!$AO$1*$A7</f>
        <v>-2.5278585334016288</v>
      </c>
      <c r="E7">
        <f>B7+2*C7</f>
        <v>-3.1336014560458421</v>
      </c>
      <c r="F7">
        <f>B7-2*D7</f>
        <v>5.4885390676683361</v>
      </c>
      <c r="G7" s="5">
        <f>B7-regressions!AA$7</f>
        <v>-3.2884665895998761</v>
      </c>
      <c r="H7" s="5">
        <f>B7+regressions!AA$7</f>
        <v>4.154110591330034</v>
      </c>
      <c r="I7">
        <f>IF($A7&lt;=regressionsbase!$L$2,$A7*regressionsbase!$L$1,regressionsbase!$L$1*regressionsbase!$L$2+regressionsbase!$L$3*($A7-regressionsbase!$L$2))</f>
        <v>1.4009099321670844</v>
      </c>
      <c r="J7">
        <f>regressionsbase!J$1*A7+regressionsbase!J$2*A7^2</f>
        <v>0.70328182274386997</v>
      </c>
      <c r="K7">
        <f>regressionsbase!$V$1*A7</f>
        <v>1.4009099321972929</v>
      </c>
      <c r="L7">
        <f>regressionsbase!$N$1*A7^2</f>
        <v>-0.43620430408845406</v>
      </c>
      <c r="M7">
        <f>regressionsbase!$R$1*A7^2+regressionsbase!$R$2*A7^6</f>
        <v>-0.30679992149328006</v>
      </c>
      <c r="N7">
        <f>regressionsbase!$P$1*A7^2+regressionsbase!$P$2*A7^7</f>
        <v>-0.46572289855195831</v>
      </c>
      <c r="O7">
        <f>regressionsbase!T$2+regressionsbase!T$1*EXP(A7)</f>
        <v>3.10378666133556E-3</v>
      </c>
      <c r="P7" s="20">
        <f>(1-EXP(-2*regressionsbase!X$1*graphbase!A7))/2/EXP(-regressionsbase!X$1*A7)</f>
        <v>0.67023089732738106</v>
      </c>
      <c r="AT7" s="33"/>
      <c r="AW7" s="33"/>
      <c r="AZ7" s="33"/>
    </row>
    <row r="8" spans="1:52" x14ac:dyDescent="0.35">
      <c r="A8">
        <f>0.1+A7</f>
        <v>-1.4999999999999996</v>
      </c>
      <c r="B8">
        <f t="shared" si="0"/>
        <v>0.41643116891746634</v>
      </c>
      <c r="C8">
        <f>regressionsbase!$AR$1*$A8</f>
        <v>-1.6717609954269941</v>
      </c>
      <c r="D8">
        <f>regressionsbase!$AO$1*$A8</f>
        <v>-2.3698673750640267</v>
      </c>
      <c r="E8">
        <f t="shared" ref="E8:E71" si="1">B8+2*C8</f>
        <v>-2.9270908219365217</v>
      </c>
      <c r="F8">
        <f t="shared" ref="F8:F71" si="2">B8-2*D8</f>
        <v>5.1561659190455194</v>
      </c>
      <c r="G8" s="5">
        <f>B8-regressions!AA$7</f>
        <v>-3.3048574215474886</v>
      </c>
      <c r="H8" s="5">
        <f>B8+regressions!AA$7</f>
        <v>4.1377197593824215</v>
      </c>
      <c r="I8">
        <f>IF($A8&lt;=regressionsbase!$L$2,$A8*regressionsbase!$L$1,regressionsbase!$L$1*regressionsbase!$L$2+regressionsbase!$L$3*($A8-regressionsbase!$L$2))</f>
        <v>1.3133530614066415</v>
      </c>
      <c r="J8">
        <f>regressionsbase!J$1*A8+regressionsbase!J$2*A8^2</f>
        <v>0.66967719123589986</v>
      </c>
      <c r="K8">
        <f>regressionsbase!$V$1*A8</f>
        <v>1.313353061434962</v>
      </c>
      <c r="L8">
        <f>regressionsbase!$N$1*A8^2</f>
        <v>-0.38338268914024282</v>
      </c>
      <c r="M8">
        <f>regressionsbase!$R$1*A8^2+regressionsbase!$R$2*A8^6</f>
        <v>-0.26964384381262224</v>
      </c>
      <c r="N8">
        <f>regressionsbase!$P$1*A8^2+regressionsbase!$P$2*A8^7</f>
        <v>-0.40932267345812751</v>
      </c>
      <c r="O8">
        <f>regressionsbase!T$2+regressionsbase!T$1*EXP(A8)</f>
        <v>3.0212100321459932E-3</v>
      </c>
      <c r="P8" s="20">
        <f>(1-EXP(-2*regressionsbase!X$1*graphbase!A8))/2/EXP(-regressionsbase!X$1*A8)</f>
        <v>0.62347674765785654</v>
      </c>
      <c r="AT8" s="33"/>
      <c r="AW8" s="33"/>
      <c r="AZ8" s="33"/>
    </row>
    <row r="9" spans="1:52" x14ac:dyDescent="0.35">
      <c r="A9">
        <f t="shared" ref="A9:A72" si="3">0.1+A8</f>
        <v>-1.3999999999999995</v>
      </c>
      <c r="B9">
        <f t="shared" si="0"/>
        <v>0.39865371158319912</v>
      </c>
      <c r="C9">
        <f>regressionsbase!$AR$1*$A9</f>
        <v>-1.5603102623985277</v>
      </c>
      <c r="D9">
        <f>regressionsbase!$AO$1*$A9</f>
        <v>-2.2118762167264245</v>
      </c>
      <c r="E9">
        <f t="shared" si="1"/>
        <v>-2.7219668132138564</v>
      </c>
      <c r="F9">
        <f t="shared" si="2"/>
        <v>4.822406145036048</v>
      </c>
      <c r="G9" s="5">
        <f>B9-regressions!AA$7</f>
        <v>-3.3226348788817561</v>
      </c>
      <c r="H9" s="5">
        <f>B9+regressions!AA$7</f>
        <v>4.1199423020481545</v>
      </c>
      <c r="I9">
        <f>IF($A9&lt;=regressionsbase!$L$2,$A9*regressionsbase!$L$1,regressionsbase!$L$1*regressionsbase!$L$2+regressionsbase!$L$3*($A9-regressionsbase!$L$2))</f>
        <v>1.2257961906461987</v>
      </c>
      <c r="J9">
        <f>regressionsbase!J$1*A9+regressionsbase!J$2*A9^2</f>
        <v>0.63469249540612682</v>
      </c>
      <c r="K9">
        <f>regressionsbase!$V$1*A9</f>
        <v>1.2257961906726311</v>
      </c>
      <c r="L9">
        <f>regressionsbase!$N$1*A9^2</f>
        <v>-0.33396892031772257</v>
      </c>
      <c r="M9">
        <f>regressionsbase!$R$1*A9^2+regressionsbase!$R$2*A9^6</f>
        <v>-0.23488652111677366</v>
      </c>
      <c r="N9">
        <f>regressionsbase!$P$1*A9^2+regressionsbase!$P$2*A9^7</f>
        <v>-0.35656279755634396</v>
      </c>
      <c r="O9">
        <f>regressionsbase!T$2+regressionsbase!T$1*EXP(A9)</f>
        <v>2.9299487430529672E-3</v>
      </c>
      <c r="P9" s="20">
        <f>(1-EXP(-2*regressionsbase!X$1*graphbase!A9))/2/EXP(-regressionsbase!X$1*A9)</f>
        <v>0.57768355758791723</v>
      </c>
      <c r="AT9" s="33"/>
      <c r="AW9" s="33"/>
      <c r="AZ9" s="33"/>
    </row>
    <row r="10" spans="1:52" x14ac:dyDescent="0.35">
      <c r="A10">
        <f t="shared" si="3"/>
        <v>-1.2999999999999994</v>
      </c>
      <c r="B10">
        <f t="shared" si="0"/>
        <v>0.37948184543909647</v>
      </c>
      <c r="C10">
        <f>regressionsbase!$AR$1*$A10</f>
        <v>-1.4488595293700612</v>
      </c>
      <c r="D10">
        <f>regressionsbase!$AO$1*$A10</f>
        <v>-2.0538850583888228</v>
      </c>
      <c r="E10">
        <f t="shared" si="1"/>
        <v>-2.5182372133010258</v>
      </c>
      <c r="F10">
        <f t="shared" si="2"/>
        <v>4.4872519622167424</v>
      </c>
      <c r="G10" s="5">
        <f>B10-regressions!AA$7</f>
        <v>-3.3418067450258588</v>
      </c>
      <c r="H10" s="5">
        <f>B10+regressions!AA$7</f>
        <v>4.1007704359040513</v>
      </c>
      <c r="I10">
        <f>IF($A10&lt;=regressionsbase!$L$2,$A10*regressionsbase!$L$1,regressionsbase!$L$1*regressionsbase!$L$2+regressionsbase!$L$3*($A10-regressionsbase!$L$2))</f>
        <v>1.1382393198857559</v>
      </c>
      <c r="J10">
        <f>regressionsbase!J$1*A10+regressionsbase!J$2*A10^2</f>
        <v>0.59832773525455085</v>
      </c>
      <c r="K10">
        <f>regressionsbase!$V$1*A10</f>
        <v>1.1382393199103003</v>
      </c>
      <c r="L10">
        <f>regressionsbase!$N$1*A10^2</f>
        <v>-0.28796299762089339</v>
      </c>
      <c r="M10">
        <f>regressionsbase!$R$1*A10^2+regressionsbase!$R$2*A10^6</f>
        <v>-0.20252745826234086</v>
      </c>
      <c r="N10">
        <f>regressionsbase!$P$1*A10^2+regressionsbase!$P$2*A10^7</f>
        <v>-0.30744268278403791</v>
      </c>
      <c r="O10">
        <f>regressionsbase!T$2+regressionsbase!T$1*EXP(A10)</f>
        <v>2.8290894204012606E-3</v>
      </c>
      <c r="P10" s="20">
        <f>(1-EXP(-2*regressionsbase!X$1*graphbase!A10))/2/EXP(-regressionsbase!X$1*A10)</f>
        <v>0.53278074644914442</v>
      </c>
      <c r="AT10" s="33"/>
      <c r="AW10" s="33"/>
      <c r="AZ10" s="33"/>
    </row>
    <row r="11" spans="1:52" x14ac:dyDescent="0.35">
      <c r="A11">
        <f t="shared" si="3"/>
        <v>-1.1999999999999993</v>
      </c>
      <c r="B11">
        <f t="shared" si="0"/>
        <v>0.35890790520460653</v>
      </c>
      <c r="C11">
        <f>regressionsbase!$AR$1*$A11</f>
        <v>-1.3374087963415948</v>
      </c>
      <c r="D11">
        <f>regressionsbase!$AO$1*$A11</f>
        <v>-1.8958939000512207</v>
      </c>
      <c r="E11">
        <f t="shared" si="1"/>
        <v>-2.3159096874785829</v>
      </c>
      <c r="F11">
        <f t="shared" si="2"/>
        <v>4.1506957053070481</v>
      </c>
      <c r="G11" s="5">
        <f>B11-regressions!AA$7</f>
        <v>-3.3623806852603484</v>
      </c>
      <c r="H11" s="5">
        <f>B11+regressions!AA$7</f>
        <v>4.0801964956695613</v>
      </c>
      <c r="I11">
        <f>IF($A11&lt;=regressionsbase!$L$2,$A11*regressionsbase!$L$1,regressionsbase!$L$1*regressionsbase!$L$2+regressionsbase!$L$3*($A11-regressionsbase!$L$2))</f>
        <v>1.0506824491253128</v>
      </c>
      <c r="J11">
        <f>regressionsbase!J$1*A11+regressionsbase!J$2*A11^2</f>
        <v>0.56058291078117206</v>
      </c>
      <c r="K11">
        <f>regressionsbase!$V$1*A11</f>
        <v>1.0506824491479694</v>
      </c>
      <c r="L11">
        <f>regressionsbase!$N$1*A11^2</f>
        <v>-0.24536492104975527</v>
      </c>
      <c r="M11">
        <f>regressionsbase!$R$1*A11^2+regressionsbase!$R$2*A11^6</f>
        <v>-0.17256625542851853</v>
      </c>
      <c r="N11">
        <f>regressionsbase!$P$1*A11^2+regressionsbase!$P$2*A11^7</f>
        <v>-0.26196188679784094</v>
      </c>
      <c r="O11">
        <f>regressionsbase!T$2+regressionsbase!T$1*EXP(A11)</f>
        <v>2.7176226301897856E-3</v>
      </c>
      <c r="P11" s="20">
        <f>(1-EXP(-2*regressionsbase!X$1*graphbase!A11))/2/EXP(-regressionsbase!X$1*A11)</f>
        <v>0.48869910590686544</v>
      </c>
      <c r="AT11" s="33"/>
      <c r="AW11" s="33"/>
      <c r="AZ11" s="33"/>
    </row>
    <row r="12" spans="1:52" x14ac:dyDescent="0.35">
      <c r="A12">
        <f t="shared" si="3"/>
        <v>-1.0999999999999992</v>
      </c>
      <c r="B12">
        <f t="shared" si="0"/>
        <v>0.3369243376029587</v>
      </c>
      <c r="C12">
        <f>regressionsbase!$AR$1*$A12</f>
        <v>-1.2259580633131284</v>
      </c>
      <c r="D12">
        <f>regressionsbase!$AO$1*$A12</f>
        <v>-1.7379027417136188</v>
      </c>
      <c r="E12">
        <f t="shared" si="1"/>
        <v>-2.1149917890232981</v>
      </c>
      <c r="F12">
        <f t="shared" si="2"/>
        <v>3.8127298210301963</v>
      </c>
      <c r="G12" s="5">
        <f>B12-regressions!AA$7</f>
        <v>-3.3843642528619964</v>
      </c>
      <c r="H12" s="5">
        <f>B12+regressions!AA$7</f>
        <v>4.0582129280679133</v>
      </c>
      <c r="I12">
        <f>IF($A12&lt;=regressionsbase!$L$2,$A12*regressionsbase!$L$1,regressionsbase!$L$1*regressionsbase!$L$2+regressionsbase!$L$3*($A12-regressionsbase!$L$2))</f>
        <v>0.96312557836487001</v>
      </c>
      <c r="J12">
        <f>regressionsbase!J$1*A12+regressionsbase!J$2*A12^2</f>
        <v>0.52145802198599034</v>
      </c>
      <c r="K12">
        <f>regressionsbase!$V$1*A12</f>
        <v>0.96312557838563839</v>
      </c>
      <c r="L12">
        <f>regressionsbase!$N$1*A12^2</f>
        <v>-0.20617469060430815</v>
      </c>
      <c r="M12">
        <f>regressionsbase!$R$1*A12^2+regressionsbase!$R$2*A12^6</f>
        <v>-0.14500259500821081</v>
      </c>
      <c r="N12">
        <f>regressionsbase!$P$1*A12^2+regressionsbase!$P$2*A12^7</f>
        <v>-0.22012008401995198</v>
      </c>
      <c r="O12">
        <f>regressionsbase!T$2+regressionsbase!T$1*EXP(A12)</f>
        <v>2.5944327753168244E-3</v>
      </c>
      <c r="P12" s="20">
        <f>(1-EXP(-2*regressionsbase!X$1*graphbase!A12))/2/EXP(-regressionsbase!X$1*A12)</f>
        <v>0.44537069328991657</v>
      </c>
      <c r="AT12" s="33"/>
      <c r="AW12" s="33"/>
      <c r="AZ12" s="33"/>
    </row>
    <row r="13" spans="1:52" x14ac:dyDescent="0.35">
      <c r="A13">
        <f t="shared" si="3"/>
        <v>-0.99999999999999922</v>
      </c>
      <c r="B13">
        <f t="shared" si="0"/>
        <v>0.31352369481273845</v>
      </c>
      <c r="C13">
        <f>regressionsbase!$AR$1*$A13</f>
        <v>-1.1145073302846622</v>
      </c>
      <c r="D13">
        <f>regressionsbase!$AO$1*$A13</f>
        <v>-1.5799115833760169</v>
      </c>
      <c r="E13">
        <f t="shared" si="1"/>
        <v>-1.915490965756586</v>
      </c>
      <c r="F13">
        <f t="shared" si="2"/>
        <v>3.4733468615647722</v>
      </c>
      <c r="G13" s="5">
        <f>B13-regressions!AA$7</f>
        <v>-3.4077648956522166</v>
      </c>
      <c r="H13" s="5">
        <f>B13+regressions!AA$7</f>
        <v>4.0348122852776935</v>
      </c>
      <c r="I13">
        <f>IF($A13&lt;=regressionsbase!$L$2,$A13*regressionsbase!$L$1,regressionsbase!$L$1*regressionsbase!$L$2+regressionsbase!$L$3*($A13-regressionsbase!$L$2))</f>
        <v>0.87556870760442729</v>
      </c>
      <c r="J13">
        <f>regressionsbase!J$1*A13+regressionsbase!J$2*A13^2</f>
        <v>0.48095306886900568</v>
      </c>
      <c r="K13">
        <f>regressionsbase!$V$1*A13</f>
        <v>0.87556870762330763</v>
      </c>
      <c r="L13">
        <f>regressionsbase!$N$1*A13^2</f>
        <v>-0.17039230628455218</v>
      </c>
      <c r="M13">
        <f>regressionsbase!$R$1*A13^2+regressionsbase!$R$2*A13^6</f>
        <v>-0.11983622947018051</v>
      </c>
      <c r="N13">
        <f>regressionsbase!$P$1*A13^2+regressionsbase!$P$2*A13^7</f>
        <v>-0.18191704080564103</v>
      </c>
      <c r="O13">
        <f>regressionsbase!T$2+regressionsbase!T$1*EXP(A13)</f>
        <v>2.4582869303092685E-3</v>
      </c>
      <c r="P13" s="20">
        <f>(1-EXP(-2*regressionsbase!X$1*graphbase!A13))/2/EXP(-regressionsbase!X$1*A13)</f>
        <v>0.40272872687115974</v>
      </c>
      <c r="Q13" s="48"/>
      <c r="AO13" s="1"/>
      <c r="AP13" s="1"/>
      <c r="AT13" s="33"/>
      <c r="AW13" s="33"/>
      <c r="AZ13" s="33"/>
    </row>
    <row r="14" spans="1:52" x14ac:dyDescent="0.35">
      <c r="A14">
        <f t="shared" si="3"/>
        <v>-0.89999999999999925</v>
      </c>
      <c r="B14">
        <f t="shared" si="0"/>
        <v>0.28869862752254355</v>
      </c>
      <c r="C14">
        <f>regressionsbase!$AR$1*$A14</f>
        <v>-1.003056597256196</v>
      </c>
      <c r="D14">
        <f>regressionsbase!$AO$1*$A14</f>
        <v>-1.4219204250384152</v>
      </c>
      <c r="E14">
        <f t="shared" si="1"/>
        <v>-1.7174145669898484</v>
      </c>
      <c r="F14">
        <f t="shared" si="2"/>
        <v>3.1325394775993738</v>
      </c>
      <c r="G14" s="5">
        <f>B14-regressions!AA$7</f>
        <v>-3.4325899629424117</v>
      </c>
      <c r="H14" s="5">
        <f>B14+regressions!AA$7</f>
        <v>4.0099872179874989</v>
      </c>
      <c r="I14">
        <f>IF($A14&lt;=regressionsbase!$L$2,$A14*regressionsbase!$L$1,regressionsbase!$L$1*regressionsbase!$L$2+regressionsbase!$L$3*($A14-regressionsbase!$L$2))</f>
        <v>0.78801183684398446</v>
      </c>
      <c r="J14">
        <f>regressionsbase!J$1*A14+regressionsbase!J$2*A14^2</f>
        <v>0.43906805143021821</v>
      </c>
      <c r="K14">
        <f>regressionsbase!$V$1*A14</f>
        <v>0.78801183686097676</v>
      </c>
      <c r="L14">
        <f>regressionsbase!$N$1*A14^2</f>
        <v>-0.13801776809048724</v>
      </c>
      <c r="M14">
        <f>regressionsbase!$R$1*A14^2+regressionsbase!$R$2*A14^6</f>
        <v>-9.7066970192226168E-2</v>
      </c>
      <c r="N14">
        <f>regressionsbase!$P$1*A14^2+regressionsbase!$P$2*A14^7</f>
        <v>-0.14735259441487988</v>
      </c>
      <c r="O14">
        <f>regressionsbase!T$2+regressionsbase!T$1*EXP(A14)</f>
        <v>2.3078225017900827E-3</v>
      </c>
      <c r="P14" s="20">
        <f>(1-EXP(-2*regressionsbase!X$1*graphbase!A14))/2/EXP(-regressionsbase!X$1*A14)</f>
        <v>0.36070748293735422</v>
      </c>
      <c r="AT14" s="33"/>
      <c r="AW14" s="33"/>
      <c r="AZ14" s="33"/>
    </row>
    <row r="15" spans="1:52" x14ac:dyDescent="0.35">
      <c r="A15">
        <f t="shared" si="3"/>
        <v>-0.79999999999999927</v>
      </c>
      <c r="B15">
        <f t="shared" si="0"/>
        <v>0.26244187760169696</v>
      </c>
      <c r="C15">
        <f>regressionsbase!$AR$1*$A15</f>
        <v>-0.89160586422772969</v>
      </c>
      <c r="D15">
        <f>regressionsbase!$AO$1*$A15</f>
        <v>-1.2639292667008135</v>
      </c>
      <c r="E15">
        <f t="shared" si="1"/>
        <v>-1.5207698508537624</v>
      </c>
      <c r="F15">
        <f t="shared" si="2"/>
        <v>2.790300411003324</v>
      </c>
      <c r="G15" s="5">
        <f>B15-regressions!AA$7</f>
        <v>-3.4588467128632581</v>
      </c>
      <c r="H15" s="5">
        <f>B15+regressions!AA$7</f>
        <v>3.9837304680666521</v>
      </c>
      <c r="I15">
        <f>IF($A15&lt;=regressionsbase!$L$2,$A15*regressionsbase!$L$1,regressionsbase!$L$1*regressionsbase!$L$2+regressionsbase!$L$3*($A15-regressionsbase!$L$2))</f>
        <v>0.70045496608354174</v>
      </c>
      <c r="J15">
        <f>regressionsbase!J$1*A15+regressionsbase!J$2*A15^2</f>
        <v>0.3958029696696278</v>
      </c>
      <c r="K15">
        <f>regressionsbase!$V$1*A15</f>
        <v>0.70045496609864599</v>
      </c>
      <c r="L15">
        <f>regressionsbase!$N$1*A15^2</f>
        <v>-0.10905107602211336</v>
      </c>
      <c r="M15">
        <f>regressionsbase!$R$1*A15^2+regressionsbase!$R$2*A15^6</f>
        <v>-7.6694677265387631E-2</v>
      </c>
      <c r="N15">
        <f>regressionsbase!$P$1*A15^2+regressionsbase!$P$2*A15^7</f>
        <v>-0.11642663547108979</v>
      </c>
      <c r="O15">
        <f>regressionsbase!T$2+regressionsbase!T$1*EXP(A15)</f>
        <v>2.1415335911858066E-3</v>
      </c>
      <c r="P15" s="20">
        <f>(1-EXP(-2*regressionsbase!X$1*graphbase!A15))/2/EXP(-regressionsbase!X$1*A15)</f>
        <v>0.3192421944897364</v>
      </c>
      <c r="AT15" s="33"/>
      <c r="AW15" s="33"/>
      <c r="AZ15" s="33"/>
    </row>
    <row r="16" spans="1:52" x14ac:dyDescent="0.35">
      <c r="A16">
        <f t="shared" si="3"/>
        <v>-0.69999999999999929</v>
      </c>
      <c r="B16">
        <f t="shared" si="0"/>
        <v>0.23474627040025803</v>
      </c>
      <c r="C16">
        <f>regressionsbase!$AR$1*$A16</f>
        <v>-0.78015513119926339</v>
      </c>
      <c r="D16">
        <f>regressionsbase!$AO$1*$A16</f>
        <v>-1.1059381083632116</v>
      </c>
      <c r="E16">
        <f t="shared" si="1"/>
        <v>-1.3255639919982687</v>
      </c>
      <c r="F16">
        <f t="shared" si="2"/>
        <v>2.4466224871266813</v>
      </c>
      <c r="G16" s="5">
        <f>B16-regressions!AA$7</f>
        <v>-3.486542320064697</v>
      </c>
      <c r="H16" s="5">
        <f>B16+regressions!AA$7</f>
        <v>3.9560348608652132</v>
      </c>
      <c r="I16">
        <f>IF($A16&lt;=regressionsbase!$L$2,$A16*regressionsbase!$L$1,regressionsbase!$L$1*regressionsbase!$L$2+regressionsbase!$L$3*($A16-regressionsbase!$L$2))</f>
        <v>0.61289809532309891</v>
      </c>
      <c r="J16">
        <f>regressionsbase!J$1*A16+regressionsbase!J$2*A16^2</f>
        <v>0.35115782358723446</v>
      </c>
      <c r="K16">
        <f>regressionsbase!$V$1*A16</f>
        <v>0.61289809533631523</v>
      </c>
      <c r="L16">
        <f>regressionsbase!$N$1*A16^2</f>
        <v>-8.3492230079430532E-2</v>
      </c>
      <c r="M16">
        <f>regressionsbase!$R$1*A16^2+regressionsbase!$R$2*A16^6</f>
        <v>-5.8719250269179284E-2</v>
      </c>
      <c r="N16">
        <f>regressionsbase!$P$1*A16^2+regressionsbase!$P$2*A16^7</f>
        <v>-8.9139093589994528E-2</v>
      </c>
      <c r="O16">
        <f>regressionsbase!T$2+regressionsbase!T$1*EXP(A16)</f>
        <v>1.9577559231874798E-3</v>
      </c>
      <c r="P16" s="20">
        <f>(1-EXP(-2*regressionsbase!X$1*graphbase!A16))/2/EXP(-regressionsbase!X$1*A16)</f>
        <v>0.27826895141917546</v>
      </c>
      <c r="AT16" s="33"/>
      <c r="AW16" s="33"/>
      <c r="AZ16" s="33"/>
    </row>
    <row r="17" spans="1:52" x14ac:dyDescent="0.35">
      <c r="A17">
        <f t="shared" si="3"/>
        <v>-0.59999999999999931</v>
      </c>
      <c r="B17">
        <f t="shared" si="0"/>
        <v>0.20560470669183284</v>
      </c>
      <c r="C17">
        <f>regressionsbase!$AR$1*$A17</f>
        <v>-0.66870439817079708</v>
      </c>
      <c r="D17">
        <f>regressionsbase!$AO$1*$A17</f>
        <v>-0.9479469500256098</v>
      </c>
      <c r="E17">
        <f t="shared" si="1"/>
        <v>-1.1318040896497612</v>
      </c>
      <c r="F17">
        <f t="shared" si="2"/>
        <v>2.1014986067430526</v>
      </c>
      <c r="G17" s="5">
        <f>B17-regressions!AA$7</f>
        <v>-3.5156838837731224</v>
      </c>
      <c r="H17" s="5">
        <f>B17+regressions!AA$7</f>
        <v>3.9268932971567878</v>
      </c>
      <c r="I17">
        <f>IF($A17&lt;=regressionsbase!$L$2,$A17*regressionsbase!$L$1,regressionsbase!$L$1*regressionsbase!$L$2+regressionsbase!$L$3*($A17-regressionsbase!$L$2))</f>
        <v>0.52534122456265619</v>
      </c>
      <c r="J17">
        <f>regressionsbase!J$1*A17+regressionsbase!J$2*A17^2</f>
        <v>0.30513261318303819</v>
      </c>
      <c r="K17">
        <f>regressionsbase!$V$1*A17</f>
        <v>0.52534122457398436</v>
      </c>
      <c r="L17">
        <f>regressionsbase!$N$1*A17^2</f>
        <v>-6.1341230262438741E-2</v>
      </c>
      <c r="M17">
        <f>regressionsbase!$R$1*A17^2+regressionsbase!$R$2*A17^6</f>
        <v>-4.3140620017851593E-2</v>
      </c>
      <c r="N17">
        <f>regressionsbase!$P$1*A17^2+regressionsbase!$P$2*A17^7</f>
        <v>-6.5489925861568959E-2</v>
      </c>
      <c r="O17">
        <f>regressionsbase!T$2+regressionsbase!T$1*EXP(A17)</f>
        <v>1.7546501891239669E-3</v>
      </c>
      <c r="P17" s="20">
        <f>(1-EXP(-2*regressionsbase!X$1*graphbase!A17))/2/EXP(-regressionsbase!X$1*A17)</f>
        <v>0.23772460200204623</v>
      </c>
      <c r="AT17" s="33"/>
      <c r="AW17" s="33"/>
      <c r="AZ17" s="33"/>
    </row>
    <row r="18" spans="1:52" x14ac:dyDescent="0.35">
      <c r="A18">
        <f t="shared" si="3"/>
        <v>-0.49999999999999933</v>
      </c>
      <c r="B18">
        <f t="shared" si="0"/>
        <v>0.17501015427289987</v>
      </c>
      <c r="C18">
        <f>regressionsbase!$AR$1*$A18</f>
        <v>-0.55725366514233077</v>
      </c>
      <c r="D18">
        <f>regressionsbase!$AO$1*$A18</f>
        <v>-0.78995579168800811</v>
      </c>
      <c r="E18">
        <f t="shared" si="1"/>
        <v>-0.93949717601176164</v>
      </c>
      <c r="F18">
        <f t="shared" si="2"/>
        <v>1.7549217376489161</v>
      </c>
      <c r="G18" s="5">
        <f>B18-regressions!AA$7</f>
        <v>-3.5462784361920554</v>
      </c>
      <c r="H18" s="5">
        <f>B18+regressions!AA$7</f>
        <v>3.8962987447378548</v>
      </c>
      <c r="I18">
        <f>IF($A18&lt;=regressionsbase!$L$2,$A18*regressionsbase!$L$1,regressionsbase!$L$1*regressionsbase!$L$2+regressionsbase!$L$3*($A18-regressionsbase!$L$2))</f>
        <v>0.43778435380221337</v>
      </c>
      <c r="J18">
        <f>regressionsbase!J$1*A18+regressionsbase!J$2*A18^2</f>
        <v>0.25772733845703905</v>
      </c>
      <c r="K18">
        <f>regressionsbase!$V$1*A18</f>
        <v>0.43778435381165354</v>
      </c>
      <c r="L18">
        <f>regressionsbase!$N$1*A18^2</f>
        <v>-4.2598076571138004E-2</v>
      </c>
      <c r="M18">
        <f>regressionsbase!$R$1*A18^2+regressionsbase!$R$2*A18^6</f>
        <v>-2.995874127768058E-2</v>
      </c>
      <c r="N18">
        <f>regressionsbase!$P$1*A18^2+regressionsbase!$P$2*A18^7</f>
        <v>-4.547910786807241E-2</v>
      </c>
      <c r="O18">
        <f>regressionsbase!T$2+regressionsbase!T$1*EXP(A18)</f>
        <v>1.5301836385425661E-3</v>
      </c>
      <c r="P18" s="20">
        <f>(1-EXP(-2*regressionsbase!X$1*graphbase!A18))/2/EXP(-regressionsbase!X$1*A18)</f>
        <v>0.19754665556499548</v>
      </c>
      <c r="AT18" s="33"/>
      <c r="AW18" s="33"/>
      <c r="AZ18" s="33"/>
    </row>
    <row r="19" spans="1:52" x14ac:dyDescent="0.35">
      <c r="A19">
        <f t="shared" si="3"/>
        <v>-0.39999999999999936</v>
      </c>
      <c r="B19">
        <f t="shared" si="0"/>
        <v>0.14295563923256693</v>
      </c>
      <c r="C19">
        <f>regressionsbase!$AR$1*$A19</f>
        <v>-0.44580293211386451</v>
      </c>
      <c r="D19">
        <f>regressionsbase!$AO$1*$A19</f>
        <v>-0.63196463335040631</v>
      </c>
      <c r="E19">
        <f t="shared" si="1"/>
        <v>-0.74865022499516209</v>
      </c>
      <c r="F19">
        <f t="shared" si="2"/>
        <v>1.4068849059333797</v>
      </c>
      <c r="G19" s="5">
        <f>B19-regressions!AA$7</f>
        <v>-3.578332951232388</v>
      </c>
      <c r="H19" s="5">
        <f>B19+regressions!AA$7</f>
        <v>3.8642442296975221</v>
      </c>
      <c r="I19">
        <f>IF($A19&lt;=regressionsbase!$L$2,$A19*regressionsbase!$L$1,regressionsbase!$L$1*regressionsbase!$L$2+regressionsbase!$L$3*($A19-regressionsbase!$L$2))</f>
        <v>0.35022748304177059</v>
      </c>
      <c r="J19">
        <f>regressionsbase!J$1*A19+regressionsbase!J$2*A19^2</f>
        <v>0.20894199940923702</v>
      </c>
      <c r="K19">
        <f>regressionsbase!$V$1*A19</f>
        <v>0.35022748304932277</v>
      </c>
      <c r="L19">
        <f>regressionsbase!$N$1*A19^2</f>
        <v>-2.7262769005528303E-2</v>
      </c>
      <c r="M19">
        <f>regressionsbase!$R$1*A19^2+regressionsbase!$R$2*A19^6</f>
        <v>-1.9173586455285437E-2</v>
      </c>
      <c r="N19">
        <f>regressionsbase!$P$1*A19^2+regressionsbase!$P$2*A19^7</f>
        <v>-2.9106626921156006E-2</v>
      </c>
      <c r="O19">
        <f>regressionsbase!T$2+regressionsbase!T$1*EXP(A19)</f>
        <v>1.2821097347592457E-3</v>
      </c>
      <c r="P19" s="20">
        <f>(1-EXP(-2*regressionsbase!X$1*graphbase!A19))/2/EXP(-regressionsbase!X$1*A19)</f>
        <v>0.15767318616857892</v>
      </c>
      <c r="AT19" s="33"/>
      <c r="AW19" s="33"/>
      <c r="AZ19" s="33"/>
    </row>
    <row r="20" spans="1:52" x14ac:dyDescent="0.35">
      <c r="A20">
        <f t="shared" si="3"/>
        <v>-0.29999999999999938</v>
      </c>
      <c r="B20">
        <f t="shared" si="0"/>
        <v>0.10943423690684123</v>
      </c>
      <c r="C20">
        <f>regressionsbase!$AR$1*$A20</f>
        <v>-0.33435219908539826</v>
      </c>
      <c r="D20">
        <f>regressionsbase!$AO$1*$A20</f>
        <v>-0.47397347501280451</v>
      </c>
      <c r="E20">
        <f t="shared" si="1"/>
        <v>-0.55927016126395523</v>
      </c>
      <c r="F20">
        <f t="shared" si="2"/>
        <v>1.0573811869324503</v>
      </c>
      <c r="G20" s="5">
        <f>B20-regressions!AA$7</f>
        <v>-3.611854353558114</v>
      </c>
      <c r="H20" s="5">
        <f>B20+regressions!AA$7</f>
        <v>3.8307228273717961</v>
      </c>
      <c r="I20">
        <f>IF($A20&lt;=regressionsbase!$L$2,$A20*regressionsbase!$L$1,regressionsbase!$L$1*regressionsbase!$L$2+regressionsbase!$L$3*($A20-regressionsbase!$L$2))</f>
        <v>0.26267061228132782</v>
      </c>
      <c r="J20">
        <f>regressionsbase!J$1*A20+regressionsbase!J$2*A20^2</f>
        <v>0.15877659603963204</v>
      </c>
      <c r="K20">
        <f>regressionsbase!$V$1*A20</f>
        <v>0.26267061228699196</v>
      </c>
      <c r="L20">
        <f>regressionsbase!$N$1*A20^2</f>
        <v>-1.5335307565609657E-2</v>
      </c>
      <c r="M20">
        <f>regressionsbase!$R$1*A20^2+regressionsbase!$R$2*A20^6</f>
        <v>-1.0785140256974159E-2</v>
      </c>
      <c r="N20">
        <f>regressionsbase!$P$1*A20^2+regressionsbase!$P$2*A20^7</f>
        <v>-1.6372477201033683E-2</v>
      </c>
      <c r="O20">
        <f>regressionsbase!T$2+regressionsbase!T$1*EXP(A20)</f>
        <v>1.0079456707644241E-3</v>
      </c>
      <c r="P20" s="20">
        <f>(1-EXP(-2*regressionsbase!X$1*graphbase!A20))/2/EXP(-regressionsbase!X$1*A20)</f>
        <v>0.11804273716131891</v>
      </c>
      <c r="AT20" s="33"/>
      <c r="AW20" s="33"/>
      <c r="AZ20" s="33"/>
    </row>
    <row r="21" spans="1:52" x14ac:dyDescent="0.35">
      <c r="A21">
        <f t="shared" si="3"/>
        <v>-0.19999999999999937</v>
      </c>
      <c r="B21">
        <f t="shared" si="0"/>
        <v>7.4439062531637221E-2</v>
      </c>
      <c r="C21">
        <f>regressionsbase!$AR$1*$A21</f>
        <v>-0.22290146605693192</v>
      </c>
      <c r="D21">
        <f>regressionsbase!$AO$1*$A21</f>
        <v>-0.31598231667520266</v>
      </c>
      <c r="E21">
        <f t="shared" si="1"/>
        <v>-0.37136386958222661</v>
      </c>
      <c r="F21">
        <f t="shared" si="2"/>
        <v>0.70640369588204255</v>
      </c>
      <c r="G21" s="5">
        <f>B21-regressions!AA$7</f>
        <v>-3.646849527933318</v>
      </c>
      <c r="H21" s="5">
        <f>B21+regressions!AA$7</f>
        <v>3.7957276529965922</v>
      </c>
      <c r="I21">
        <f>IF($A21&lt;=regressionsbase!$L$2,$A21*regressionsbase!$L$1,regressionsbase!$L$1*regressionsbase!$L$2+regressionsbase!$L$3*($A21-regressionsbase!$L$2))</f>
        <v>0.17511374152088505</v>
      </c>
      <c r="J21">
        <f>regressionsbase!J$1*A21+regressionsbase!J$2*A21^2</f>
        <v>0.10723112834822417</v>
      </c>
      <c r="K21">
        <f>regressionsbase!$V$1*A21</f>
        <v>0.17511374152466111</v>
      </c>
      <c r="L21">
        <f>regressionsbase!$N$1*A21^2</f>
        <v>-6.8156922513820557E-3</v>
      </c>
      <c r="M21">
        <f>regressionsbase!$R$1*A21^2+regressionsbase!$R$2*A21^6</f>
        <v>-4.7933953191172602E-3</v>
      </c>
      <c r="N21">
        <f>regressionsbase!$P$1*A21^2+regressionsbase!$P$2*A21^7</f>
        <v>-7.2766564807060395E-3</v>
      </c>
      <c r="O21">
        <f>regressionsbase!T$2+regressionsbase!T$1*EXP(A21)</f>
        <v>7.0494752045591582E-4</v>
      </c>
      <c r="P21" s="20">
        <f>(1-EXP(-2*regressionsbase!X$1*graphbase!A21))/2/EXP(-regressionsbase!X$1*A21)</f>
        <v>7.859422645707112E-2</v>
      </c>
      <c r="AT21" s="33"/>
      <c r="AW21" s="33"/>
      <c r="AZ21" s="33"/>
    </row>
    <row r="22" spans="1:52" x14ac:dyDescent="0.35">
      <c r="A22">
        <f t="shared" si="3"/>
        <v>-9.9999999999999367E-2</v>
      </c>
      <c r="B22">
        <f t="shared" si="0"/>
        <v>3.7963261608861064E-2</v>
      </c>
      <c r="C22">
        <f>regressionsbase!$AR$1*$A22</f>
        <v>-0.1114507330284656</v>
      </c>
      <c r="D22">
        <f>regressionsbase!$AO$1*$A22</f>
        <v>-0.15799115833760083</v>
      </c>
      <c r="E22">
        <f t="shared" si="1"/>
        <v>-0.18493820444807013</v>
      </c>
      <c r="F22">
        <f t="shared" si="2"/>
        <v>0.3539455782840627</v>
      </c>
      <c r="G22" s="5">
        <f>B22-regressions!AA$7</f>
        <v>-3.6833253288560939</v>
      </c>
      <c r="H22" s="5">
        <f>B22+regressions!AA$7</f>
        <v>3.7592518520738163</v>
      </c>
      <c r="I22">
        <f>IF($A22&lt;=regressionsbase!$L$2,$A22*regressionsbase!$L$1,regressionsbase!$L$1*regressionsbase!$L$2+regressionsbase!$L$3*($A22-regressionsbase!$L$2))</f>
        <v>8.7556870760442246E-2</v>
      </c>
      <c r="J22">
        <f>regressionsbase!J$1*A22+regressionsbase!J$2*A22^2</f>
        <v>5.4305596335013355E-2</v>
      </c>
      <c r="K22">
        <f>regressionsbase!$V$1*A22</f>
        <v>8.7556870762330277E-2</v>
      </c>
      <c r="L22">
        <f>regressionsbase!$N$1*A22^2</f>
        <v>-1.7039230628455031E-3</v>
      </c>
      <c r="M22">
        <f>regressionsbase!$R$1*A22^2+regressionsbase!$R$2*A22^6</f>
        <v>-1.198348809549556E-3</v>
      </c>
      <c r="N22">
        <f>regressionsbase!$P$1*A22^2+regressionsbase!$P$2*A22^7</f>
        <v>-1.8191641182266315E-3</v>
      </c>
      <c r="O22">
        <f>regressionsbase!T$2+regressionsbase!T$1*EXP(A22)</f>
        <v>3.7008277650423882E-4</v>
      </c>
      <c r="P22" s="20">
        <f>(1-EXP(-2*regressionsbase!X$1*graphbase!A22))/2/EXP(-regressionsbase!X$1*A22)</f>
        <v>3.9266852389706168E-2</v>
      </c>
      <c r="AT22" s="33"/>
      <c r="AW22" s="33"/>
      <c r="AZ22" s="33"/>
    </row>
    <row r="23" spans="1:52" x14ac:dyDescent="0.35">
      <c r="A23">
        <v>0</v>
      </c>
      <c r="B23">
        <f t="shared" si="0"/>
        <v>0</v>
      </c>
      <c r="C23">
        <f>regressionsbase!$AR$1*$A23</f>
        <v>0</v>
      </c>
      <c r="D23">
        <f>regressionsbase!$AO$1*$A23</f>
        <v>0</v>
      </c>
      <c r="E23">
        <f t="shared" si="1"/>
        <v>0</v>
      </c>
      <c r="F23">
        <f t="shared" si="2"/>
        <v>0</v>
      </c>
      <c r="G23" s="5">
        <f>B23-regressions!AA$7</f>
        <v>-3.7212885904649551</v>
      </c>
      <c r="H23" s="5">
        <f>B23+regressions!AA$7</f>
        <v>3.7212885904649551</v>
      </c>
      <c r="I23">
        <f>IF($A23&lt;=regressionsbase!$L$2,$A23*regressionsbase!$L$1,regressionsbase!$L$1*regressionsbase!$L$2+regressionsbase!$L$3*($A23-regressionsbase!$L$2))</f>
        <v>0</v>
      </c>
      <c r="J23">
        <f>regressionsbase!J$1*A23+regressionsbase!J$2*A23^2</f>
        <v>0</v>
      </c>
      <c r="K23">
        <f>regressionsbase!$V$1*A23</f>
        <v>0</v>
      </c>
      <c r="L23">
        <f>regressionsbase!$N$1*A23^2</f>
        <v>0</v>
      </c>
      <c r="M23">
        <f>regressionsbase!$R$1*A23^2+regressionsbase!$R$2*A23^6</f>
        <v>0</v>
      </c>
      <c r="N23">
        <f>regressionsbase!$P$1*A23^2+regressionsbase!$P$2*A23^7</f>
        <v>0</v>
      </c>
      <c r="O23">
        <f>regressionsbase!T$2+regressionsbase!T$1*EXP(A23)</f>
        <v>0</v>
      </c>
      <c r="P23" s="20">
        <f>(1-EXP(-2*regressionsbase!X$1*graphbase!A23))/2/EXP(-regressionsbase!X$1*A23)</f>
        <v>0</v>
      </c>
      <c r="AT23" s="33"/>
      <c r="AW23" s="33"/>
      <c r="AZ23" s="33"/>
    </row>
    <row r="24" spans="1:52" x14ac:dyDescent="0.35">
      <c r="A24">
        <f t="shared" si="3"/>
        <v>0.1</v>
      </c>
      <c r="B24">
        <f t="shared" si="0"/>
        <v>-3.9457546238294804E-2</v>
      </c>
      <c r="C24">
        <f>regressionsbase!$AR$1*$A24</f>
        <v>0.11145073302846631</v>
      </c>
      <c r="D24">
        <f>regressionsbase!$AO$1*$A24</f>
        <v>0.15799115833760183</v>
      </c>
      <c r="E24">
        <f t="shared" si="1"/>
        <v>0.18344391981863781</v>
      </c>
      <c r="F24">
        <f t="shared" si="2"/>
        <v>-0.35543986291349844</v>
      </c>
      <c r="G24" s="5">
        <f>B24-regressions!AA$7</f>
        <v>-3.7607461367032498</v>
      </c>
      <c r="H24" s="5">
        <f>B24+regressions!AA$7</f>
        <v>3.6818310442266604</v>
      </c>
      <c r="I24">
        <f>IF($A24&lt;=regressionsbase!$L$2,$A24*regressionsbase!$L$1,regressionsbase!$L$1*regressionsbase!$L$2+regressionsbase!$L$3*($A24-regressionsbase!$L$2))</f>
        <v>-8.7556870760442801E-2</v>
      </c>
      <c r="J24">
        <f>regressionsbase!J$1*A24+regressionsbase!J$2*A24^2</f>
        <v>-5.5685660656816606E-2</v>
      </c>
      <c r="K24">
        <f>regressionsbase!$V$1*A24</f>
        <v>-8.7556870762330832E-2</v>
      </c>
      <c r="L24">
        <f>regressionsbase!$N$1*A24^2</f>
        <v>-1.703923062845525E-3</v>
      </c>
      <c r="M24">
        <f>regressionsbase!$R$1*A24^2+regressionsbase!$R$2*A24^6</f>
        <v>-1.1983488095495714E-3</v>
      </c>
      <c r="N24">
        <f>regressionsbase!$P$1*A24^2+regressionsbase!$P$2*A24^7</f>
        <v>-1.8191641181008569E-3</v>
      </c>
      <c r="O24">
        <f>regressionsbase!T$2+regressionsbase!T$1*EXP(A24)</f>
        <v>-4.0900472187317769E-4</v>
      </c>
      <c r="P24" s="20">
        <f>(1-EXP(-2*regressionsbase!X$1*graphbase!A24))/2/EXP(-regressionsbase!X$1*A24)</f>
        <v>-3.9266852389706369E-2</v>
      </c>
      <c r="AT24" s="33"/>
      <c r="AW24" s="33"/>
      <c r="AZ24" s="33"/>
    </row>
    <row r="25" spans="1:52" x14ac:dyDescent="0.35">
      <c r="A25">
        <f t="shared" si="3"/>
        <v>0.2</v>
      </c>
      <c r="B25">
        <f t="shared" si="0"/>
        <v>-8.0416201262102943E-2</v>
      </c>
      <c r="C25">
        <f>regressionsbase!$AR$1*$A25</f>
        <v>0.22290146605693262</v>
      </c>
      <c r="D25">
        <f>regressionsbase!$AO$1*$A25</f>
        <v>0.31598231667520366</v>
      </c>
      <c r="E25">
        <f t="shared" si="1"/>
        <v>0.36538673085176232</v>
      </c>
      <c r="F25">
        <f t="shared" si="2"/>
        <v>-0.71238083461251023</v>
      </c>
      <c r="G25" s="5">
        <f>B25-regressions!AA$7</f>
        <v>-3.8017047917270581</v>
      </c>
      <c r="H25" s="5">
        <f>B25+regressions!AA$7</f>
        <v>3.6408723892028521</v>
      </c>
      <c r="I25">
        <f>IF($A25&lt;=regressionsbase!$L$2,$A25*regressionsbase!$L$1,regressionsbase!$L$1*regressionsbase!$L$2+regressionsbase!$L$3*($A25-regressionsbase!$L$2))</f>
        <v>-0.1751137415208856</v>
      </c>
      <c r="J25">
        <f>regressionsbase!J$1*A25+regressionsbase!J$2*A25^2</f>
        <v>-0.11275138563543613</v>
      </c>
      <c r="K25">
        <f>regressionsbase!$V$1*A25</f>
        <v>-0.17511374152466166</v>
      </c>
      <c r="L25">
        <f>regressionsbase!$N$1*A25^2</f>
        <v>-6.8156922513821E-3</v>
      </c>
      <c r="M25">
        <f>regressionsbase!$R$1*A25^2+regressionsbase!$R$2*A25^6</f>
        <v>-4.7933953191172905E-3</v>
      </c>
      <c r="N25">
        <f>regressionsbase!$P$1*A25^2+regressionsbase!$P$2*A25^7</f>
        <v>-7.2766564646039606E-3</v>
      </c>
      <c r="O25">
        <f>regressionsbase!T$2+regressionsbase!T$1*EXP(A25)</f>
        <v>-8.610248458430312E-4</v>
      </c>
      <c r="P25" s="20">
        <f>(1-EXP(-2*regressionsbase!X$1*graphbase!A25))/2/EXP(-regressionsbase!X$1*A25)</f>
        <v>-7.8594226457071384E-2</v>
      </c>
      <c r="AT25" s="33"/>
      <c r="AW25" s="33"/>
      <c r="AZ25" s="33"/>
    </row>
    <row r="26" spans="1:52" x14ac:dyDescent="0.35">
      <c r="A26">
        <f t="shared" si="3"/>
        <v>0.30000000000000004</v>
      </c>
      <c r="B26">
        <f t="shared" si="0"/>
        <v>-0.12288280007707685</v>
      </c>
      <c r="C26">
        <f>regressionsbase!$AR$1*$A26</f>
        <v>0.33435219908539898</v>
      </c>
      <c r="D26">
        <f>regressionsbase!$AO$1*$A26</f>
        <v>0.47397347501280551</v>
      </c>
      <c r="E26">
        <f t="shared" si="1"/>
        <v>0.54582159809372111</v>
      </c>
      <c r="F26">
        <f t="shared" si="2"/>
        <v>-1.0708297501026878</v>
      </c>
      <c r="G26" s="5">
        <f>B26-regressions!AA$7</f>
        <v>-3.8441713905420318</v>
      </c>
      <c r="H26" s="5">
        <f>B26+regressions!AA$7</f>
        <v>3.5984057903878783</v>
      </c>
      <c r="I26">
        <f>IF($A26&lt;=regressionsbase!$L$2,$A26*regressionsbase!$L$1,regressionsbase!$L$1*regressionsbase!$L$2+regressionsbase!$L$3*($A26-regressionsbase!$L$2))</f>
        <v>-0.26267061228132843</v>
      </c>
      <c r="J26">
        <f>regressionsbase!J$1*A26+regressionsbase!J$2*A26^2</f>
        <v>-0.17119717493585856</v>
      </c>
      <c r="K26">
        <f>regressionsbase!$V$1*A26</f>
        <v>-0.26267061228699251</v>
      </c>
      <c r="L26">
        <f>regressionsbase!$N$1*A26^2</f>
        <v>-1.5335307565609725E-2</v>
      </c>
      <c r="M26">
        <f>regressionsbase!$R$1*A26^2+regressionsbase!$R$2*A26^6</f>
        <v>-1.0785140256974208E-2</v>
      </c>
      <c r="N26">
        <f>regressionsbase!$P$1*A26^2+regressionsbase!$P$2*A26^7</f>
        <v>-1.6372476925913849E-2</v>
      </c>
      <c r="O26">
        <f>regressionsbase!T$2+regressionsbase!T$1*EXP(A26)</f>
        <v>-1.3605843412394627E-3</v>
      </c>
      <c r="P26" s="20">
        <f>(1-EXP(-2*regressionsbase!X$1*graphbase!A26))/2/EXP(-regressionsbase!X$1*A26)</f>
        <v>-0.11804273716131912</v>
      </c>
      <c r="AT26" s="33"/>
      <c r="AW26" s="33"/>
      <c r="AZ26" s="33"/>
    </row>
    <row r="27" spans="1:52" x14ac:dyDescent="0.35">
      <c r="A27">
        <f t="shared" si="3"/>
        <v>0.4</v>
      </c>
      <c r="B27">
        <f t="shared" si="0"/>
        <v>-0.16686419938971059</v>
      </c>
      <c r="C27">
        <f>regressionsbase!$AR$1*$A27</f>
        <v>0.44580293211386524</v>
      </c>
      <c r="D27">
        <f>regressionsbase!$AO$1*$A27</f>
        <v>0.63196463335040731</v>
      </c>
      <c r="E27">
        <f t="shared" si="1"/>
        <v>0.72474166483801983</v>
      </c>
      <c r="F27">
        <f t="shared" si="2"/>
        <v>-1.4307934660905253</v>
      </c>
      <c r="G27" s="5">
        <f>B27-regressions!AA$7</f>
        <v>-3.8881527898546655</v>
      </c>
      <c r="H27" s="5">
        <f>B27+regressions!AA$7</f>
        <v>3.5544243910752447</v>
      </c>
      <c r="I27">
        <f>IF($A27&lt;=regressionsbase!$L$2,$A27*regressionsbase!$L$1,regressionsbase!$L$1*regressionsbase!$L$2+regressionsbase!$L$3*($A27-regressionsbase!$L$2))</f>
        <v>-0.3502274830417712</v>
      </c>
      <c r="J27">
        <f>regressionsbase!J$1*A27+regressionsbase!J$2*A27^2</f>
        <v>-0.23102302855808388</v>
      </c>
      <c r="K27">
        <f>regressionsbase!$V$1*A27</f>
        <v>-0.35022748304932333</v>
      </c>
      <c r="L27">
        <f>regressionsbase!$N$1*A27^2</f>
        <v>-2.72627690055284E-2</v>
      </c>
      <c r="M27">
        <f>regressionsbase!$R$1*A27^2+regressionsbase!$R$2*A27^6</f>
        <v>-1.9173586455285503E-2</v>
      </c>
      <c r="N27">
        <f>regressionsbase!$P$1*A27^2+regressionsbase!$P$2*A27^7</f>
        <v>-2.9106624860084078E-2</v>
      </c>
      <c r="O27">
        <f>regressionsbase!T$2+regressionsbase!T$1*EXP(A27)</f>
        <v>-1.9126829674001441E-3</v>
      </c>
      <c r="P27" s="20">
        <f>(1-EXP(-2*regressionsbase!X$1*graphbase!A27))/2/EXP(-regressionsbase!X$1*A27)</f>
        <v>-0.15767318616857914</v>
      </c>
      <c r="AT27" s="33"/>
      <c r="AW27" s="33"/>
      <c r="AZ27" s="33"/>
    </row>
    <row r="28" spans="1:52" x14ac:dyDescent="0.35">
      <c r="A28">
        <f t="shared" si="3"/>
        <v>0.5</v>
      </c>
      <c r="B28">
        <f t="shared" si="0"/>
        <v>-0.21236728865856408</v>
      </c>
      <c r="C28">
        <f>regressionsbase!$AR$1*$A28</f>
        <v>0.55725366514233154</v>
      </c>
      <c r="D28">
        <f>regressionsbase!$AO$1*$A28</f>
        <v>0.78995579168800911</v>
      </c>
      <c r="E28">
        <f t="shared" si="1"/>
        <v>0.90214004162609895</v>
      </c>
      <c r="F28">
        <f t="shared" si="2"/>
        <v>-1.7922788720345824</v>
      </c>
      <c r="G28" s="5">
        <f>B28-regressions!AA$7</f>
        <v>-3.9336558791235192</v>
      </c>
      <c r="H28" s="5">
        <f>B28+regressions!AA$7</f>
        <v>3.5089213018063909</v>
      </c>
      <c r="I28">
        <f>IF($A28&lt;=regressionsbase!$L$2,$A28*regressionsbase!$L$1,regressionsbase!$L$1*regressionsbase!$L$2+regressionsbase!$L$3*($A28-regressionsbase!$L$2))</f>
        <v>-0.43778435380221398</v>
      </c>
      <c r="J28">
        <f>regressionsbase!J$1*A28+regressionsbase!J$2*A28^2</f>
        <v>-0.29222894650211212</v>
      </c>
      <c r="K28">
        <f>regressionsbase!$V$1*A28</f>
        <v>-0.43778435381165415</v>
      </c>
      <c r="L28">
        <f>regressionsbase!$N$1*A28^2</f>
        <v>-4.2598076571138115E-2</v>
      </c>
      <c r="M28">
        <f>regressionsbase!$R$1*A28^2+regressionsbase!$R$2*A28^6</f>
        <v>-2.995874127768066E-2</v>
      </c>
      <c r="N28">
        <f>regressionsbase!$P$1*A28^2+regressionsbase!$P$2*A28^7</f>
        <v>-4.5479098040115247E-2</v>
      </c>
      <c r="O28">
        <f>regressionsbase!T$2+regressionsbase!T$1*EXP(A28)</f>
        <v>-2.5228463129424485E-3</v>
      </c>
      <c r="P28" s="20">
        <f>(1-EXP(-2*regressionsbase!X$1*graphbase!A28))/2/EXP(-regressionsbase!X$1*A28)</f>
        <v>-0.19754665556499579</v>
      </c>
      <c r="AT28" s="33"/>
      <c r="AW28" s="33"/>
      <c r="AZ28" s="33"/>
    </row>
    <row r="29" spans="1:52" x14ac:dyDescent="0.35">
      <c r="A29">
        <f t="shared" si="3"/>
        <v>0.6</v>
      </c>
      <c r="B29">
        <f t="shared" si="0"/>
        <v>-0.25939900133104049</v>
      </c>
      <c r="C29">
        <f>regressionsbase!$AR$1*$A29</f>
        <v>0.66870439817079785</v>
      </c>
      <c r="D29">
        <f>regressionsbase!$AO$1*$A29</f>
        <v>0.94794695002561091</v>
      </c>
      <c r="E29">
        <f t="shared" si="1"/>
        <v>1.0780097950105552</v>
      </c>
      <c r="F29">
        <f t="shared" si="2"/>
        <v>-2.1552929013822624</v>
      </c>
      <c r="G29" s="5">
        <f>B29-regressions!AA$7</f>
        <v>-3.9806875917959954</v>
      </c>
      <c r="H29" s="5">
        <f>B29+regressions!AA$7</f>
        <v>3.4618895891339148</v>
      </c>
      <c r="I29">
        <f>IF($A29&lt;=regressionsbase!$L$2,$A29*regressionsbase!$L$1,regressionsbase!$L$1*regressionsbase!$L$2+regressionsbase!$L$3*($A29-regressionsbase!$L$2))</f>
        <v>-0.52534122456265675</v>
      </c>
      <c r="J29">
        <f>regressionsbase!J$1*A29+regressionsbase!J$2*A29^2</f>
        <v>-0.35481492876794329</v>
      </c>
      <c r="K29">
        <f>regressionsbase!$V$1*A29</f>
        <v>-0.52534122457398491</v>
      </c>
      <c r="L29">
        <f>regressionsbase!$N$1*A29^2</f>
        <v>-6.134123026243888E-2</v>
      </c>
      <c r="M29">
        <f>regressionsbase!$R$1*A29^2+regressionsbase!$R$2*A29^6</f>
        <v>-4.314062001785169E-2</v>
      </c>
      <c r="N29">
        <f>regressionsbase!$P$1*A29^2+regressionsbase!$P$2*A29^7</f>
        <v>-6.548989064622128E-2</v>
      </c>
      <c r="O29">
        <f>regressionsbase!T$2+regressionsbase!T$1*EXP(A29)</f>
        <v>-3.1971810977115449E-3</v>
      </c>
      <c r="P29" s="20">
        <f>(1-EXP(-2*regressionsbase!X$1*graphbase!A29))/2/EXP(-regressionsbase!X$1*A29)</f>
        <v>-0.23772460200204654</v>
      </c>
      <c r="Q29" s="1"/>
      <c r="AE29" s="53"/>
      <c r="AO29" s="1"/>
      <c r="AP29" s="1"/>
      <c r="AT29" s="33"/>
      <c r="AW29" s="33"/>
      <c r="AZ29" s="33"/>
    </row>
    <row r="30" spans="1:52" x14ac:dyDescent="0.35">
      <c r="A30">
        <f t="shared" si="3"/>
        <v>0.7</v>
      </c>
      <c r="B30">
        <f t="shared" si="0"/>
        <v>-0.30796632625141462</v>
      </c>
      <c r="C30">
        <f>regressionsbase!$AR$1*$A30</f>
        <v>0.78015513119926416</v>
      </c>
      <c r="D30">
        <f>regressionsbase!$AO$1*$A30</f>
        <v>1.1059381083632127</v>
      </c>
      <c r="E30">
        <f t="shared" si="1"/>
        <v>1.2523439361471138</v>
      </c>
      <c r="F30">
        <f t="shared" si="2"/>
        <v>-2.5198425429778402</v>
      </c>
      <c r="G30" s="5">
        <f>B30-regressions!AA$7</f>
        <v>-4.0292549167163694</v>
      </c>
      <c r="H30" s="5">
        <f>B30+regressions!AA$7</f>
        <v>3.4133222642135403</v>
      </c>
      <c r="I30">
        <f>IF($A30&lt;=regressionsbase!$L$2,$A30*regressionsbase!$L$1,regressionsbase!$L$1*regressionsbase!$L$2+regressionsbase!$L$3*($A30-regressionsbase!$L$2))</f>
        <v>-0.61289809532309958</v>
      </c>
      <c r="J30">
        <f>regressionsbase!J$1*A30+regressionsbase!J$2*A30^2</f>
        <v>-0.41878097535557729</v>
      </c>
      <c r="K30">
        <f>regressionsbase!$V$1*A30</f>
        <v>-0.61289809533631578</v>
      </c>
      <c r="L30">
        <f>regressionsbase!$N$1*A30^2</f>
        <v>-8.3492230079430699E-2</v>
      </c>
      <c r="M30">
        <f>regressionsbase!$R$1*A30^2+regressionsbase!$R$2*A30^6</f>
        <v>-5.8719250269179395E-2</v>
      </c>
      <c r="N30">
        <f>regressionsbase!$P$1*A30^2+regressionsbase!$P$2*A30^7</f>
        <v>-8.9138989990053319E-2</v>
      </c>
      <c r="O30">
        <f>regressionsbase!T$2+regressionsbase!T$1*EXP(A30)</f>
        <v>-3.9424362908851525E-3</v>
      </c>
      <c r="P30" s="20">
        <f>(1-EXP(-2*regressionsbase!X$1*graphbase!A30))/2/EXP(-regressionsbase!X$1*A30)</f>
        <v>-0.27826895141917568</v>
      </c>
      <c r="AE30" s="54"/>
      <c r="AT30" s="33"/>
      <c r="AW30" s="33"/>
      <c r="AZ30" s="33"/>
    </row>
    <row r="31" spans="1:52" x14ac:dyDescent="0.35">
      <c r="A31">
        <f t="shared" si="3"/>
        <v>0.79999999999999993</v>
      </c>
      <c r="B31">
        <f t="shared" si="0"/>
        <v>-0.35807631922593597</v>
      </c>
      <c r="C31">
        <f>regressionsbase!$AR$1*$A31</f>
        <v>0.89160586422773036</v>
      </c>
      <c r="D31">
        <f>regressionsbase!$AO$1*$A31</f>
        <v>1.2639292667008144</v>
      </c>
      <c r="E31">
        <f t="shared" si="1"/>
        <v>1.4251354092295248</v>
      </c>
      <c r="F31">
        <f t="shared" si="2"/>
        <v>-2.8859348526275648</v>
      </c>
      <c r="G31" s="5">
        <f>B31-regressions!AA$7</f>
        <v>-4.0793649096908915</v>
      </c>
      <c r="H31" s="5">
        <f>B31+regressions!AA$7</f>
        <v>3.3632122712390191</v>
      </c>
      <c r="I31">
        <f>IF($A31&lt;=regressionsbase!$L$2,$A31*regressionsbase!$L$1,regressionsbase!$L$1*regressionsbase!$L$2+regressionsbase!$L$3*($A31-regressionsbase!$L$2))</f>
        <v>-0.7004549660835423</v>
      </c>
      <c r="J31">
        <f>regressionsbase!J$1*A31+regressionsbase!J$2*A31^2</f>
        <v>-0.48412708626501427</v>
      </c>
      <c r="K31">
        <f>regressionsbase!$V$1*A31</f>
        <v>-0.70045496609864655</v>
      </c>
      <c r="L31">
        <f>regressionsbase!$N$1*A31^2</f>
        <v>-0.10905107602211356</v>
      </c>
      <c r="M31">
        <f>regressionsbase!$R$1*A31^2+regressionsbase!$R$2*A31^6</f>
        <v>-7.669467726538777E-2</v>
      </c>
      <c r="N31">
        <f>regressionsbase!$P$1*A31^2+regressionsbase!$P$2*A31^7</f>
        <v>-0.11642637165387068</v>
      </c>
      <c r="O31">
        <f>regressionsbase!T$2+regressionsbase!T$1*EXP(A31)</f>
        <v>-4.7660706569254705E-3</v>
      </c>
      <c r="P31" s="20">
        <f>(1-EXP(-2*regressionsbase!X$1*graphbase!A31))/2/EXP(-regressionsbase!X$1*A31)</f>
        <v>-0.31924219448973662</v>
      </c>
      <c r="AE31" s="54"/>
      <c r="AT31" s="33"/>
      <c r="AW31" s="33"/>
      <c r="AZ31" s="33"/>
    </row>
    <row r="32" spans="1:52" x14ac:dyDescent="0.35">
      <c r="A32">
        <f t="shared" si="3"/>
        <v>0.89999999999999991</v>
      </c>
      <c r="B32">
        <f t="shared" si="0"/>
        <v>-0.40973611473098381</v>
      </c>
      <c r="C32">
        <f>regressionsbase!$AR$1*$A32</f>
        <v>1.0030565972561967</v>
      </c>
      <c r="D32">
        <f>regressionsbase!$AO$1*$A32</f>
        <v>1.4219204250384163</v>
      </c>
      <c r="E32">
        <f t="shared" si="1"/>
        <v>1.5963770797814094</v>
      </c>
      <c r="F32">
        <f t="shared" si="2"/>
        <v>-3.2535769648078166</v>
      </c>
      <c r="G32" s="5">
        <f>B32-regressions!AA$7</f>
        <v>-4.131024705195939</v>
      </c>
      <c r="H32" s="5">
        <f>B32+regressions!AA$7</f>
        <v>3.3115524757339712</v>
      </c>
      <c r="I32">
        <f>IF($A32&lt;=regressionsbase!$L$2,$A32*regressionsbase!$L$1,regressionsbase!$L$1*regressionsbase!$L$2+regressionsbase!$L$3*($A32-regressionsbase!$L$2))</f>
        <v>-0.78801183684398513</v>
      </c>
      <c r="J32">
        <f>regressionsbase!J$1*A32+regressionsbase!J$2*A32^2</f>
        <v>-0.55085326149625413</v>
      </c>
      <c r="K32">
        <f>regressionsbase!$V$1*A32</f>
        <v>-0.78801183686097742</v>
      </c>
      <c r="L32">
        <f>regressionsbase!$N$1*A32^2</f>
        <v>-0.13801776809048746</v>
      </c>
      <c r="M32">
        <f>regressionsbase!$R$1*A32^2+regressionsbase!$R$2*A32^6</f>
        <v>-9.7066970192226307E-2</v>
      </c>
      <c r="N32">
        <f>regressionsbase!$P$1*A32^2+regressionsbase!$P$2*A32^7</f>
        <v>-0.14735199272764823</v>
      </c>
      <c r="O32">
        <f>regressionsbase!T$2+regressionsbase!T$1*EXP(A32)</f>
        <v>-5.6763274054009048E-3</v>
      </c>
      <c r="P32" s="20">
        <f>(1-EXP(-2*regressionsbase!X$1*graphbase!A32))/2/EXP(-regressionsbase!X$1*A32)</f>
        <v>-0.36070748293735455</v>
      </c>
      <c r="AE32" s="54"/>
      <c r="AT32" s="33"/>
      <c r="AW32" s="33"/>
      <c r="AZ32" s="33"/>
    </row>
    <row r="33" spans="1:52" x14ac:dyDescent="0.35">
      <c r="A33">
        <f t="shared" si="3"/>
        <v>0.99999999999999989</v>
      </c>
      <c r="B33">
        <f t="shared" si="0"/>
        <v>-0.46295293775043733</v>
      </c>
      <c r="C33">
        <f>regressionsbase!$AR$1*$A33</f>
        <v>1.1145073302846629</v>
      </c>
      <c r="D33">
        <f>regressionsbase!$AO$1*$A33</f>
        <v>1.579911583376018</v>
      </c>
      <c r="E33">
        <f t="shared" si="1"/>
        <v>1.7660617228188884</v>
      </c>
      <c r="F33">
        <f t="shared" si="2"/>
        <v>-3.6227761045024733</v>
      </c>
      <c r="G33" s="5">
        <f>B33-regressions!AA$7</f>
        <v>-4.1842415282153924</v>
      </c>
      <c r="H33" s="5">
        <f>B33+regressions!AA$7</f>
        <v>3.2583356527145177</v>
      </c>
      <c r="I33">
        <f>IF($A33&lt;=regressionsbase!$L$2,$A33*regressionsbase!$L$1,regressionsbase!$L$1*regressionsbase!$L$2+regressionsbase!$L$3*($A33-regressionsbase!$L$2))</f>
        <v>-0.87556870760442784</v>
      </c>
      <c r="J33">
        <f>regressionsbase!J$1*A33+regressionsbase!J$2*A33^2</f>
        <v>-0.61895950104929687</v>
      </c>
      <c r="K33">
        <f>regressionsbase!$V$1*A33</f>
        <v>-0.87556870762330818</v>
      </c>
      <c r="L33">
        <f>regressionsbase!$N$1*A33^2</f>
        <v>-0.17039230628455243</v>
      </c>
      <c r="M33">
        <f>regressionsbase!$R$1*A33^2+regressionsbase!$R$2*A33^6</f>
        <v>-0.11983622947018066</v>
      </c>
      <c r="N33">
        <f>regressionsbase!$P$1*A33^2+regressionsbase!$P$2*A33^7</f>
        <v>-0.18191578282710977</v>
      </c>
      <c r="O33">
        <f>regressionsbase!T$2+regressionsbase!T$1*EXP(A33)</f>
        <v>-6.6823166917980544E-3</v>
      </c>
      <c r="P33" s="20">
        <f>(1-EXP(-2*regressionsbase!X$1*graphbase!A33))/2/EXP(-regressionsbase!X$1*A33)</f>
        <v>-0.40272872687116007</v>
      </c>
      <c r="Q33" s="55"/>
      <c r="AB33" s="57"/>
      <c r="AC33" s="5"/>
      <c r="AD33" s="5"/>
      <c r="AE33" s="53"/>
      <c r="AF33" s="54"/>
      <c r="AG33" s="58"/>
      <c r="AH33" s="58"/>
      <c r="AI33" s="58"/>
      <c r="AO33" s="1"/>
      <c r="AP33" s="1"/>
      <c r="AT33" s="33"/>
      <c r="AW33" s="33"/>
      <c r="AZ33" s="33"/>
    </row>
    <row r="34" spans="1:52" x14ac:dyDescent="0.35">
      <c r="A34">
        <f t="shared" si="3"/>
        <v>1.0999999999999999</v>
      </c>
      <c r="B34">
        <f t="shared" si="0"/>
        <v>-0.5177341157286327</v>
      </c>
      <c r="C34">
        <f>regressionsbase!$AR$1*$A34</f>
        <v>1.2259580633131293</v>
      </c>
      <c r="D34">
        <f>regressionsbase!$AO$1*$A34</f>
        <v>1.7379027417136199</v>
      </c>
      <c r="E34">
        <f t="shared" si="1"/>
        <v>1.9341820108976258</v>
      </c>
      <c r="F34">
        <f t="shared" si="2"/>
        <v>-3.9935395991558726</v>
      </c>
      <c r="G34" s="5">
        <f>B34-regressions!AA$7</f>
        <v>-4.2390227061935875</v>
      </c>
      <c r="H34" s="5">
        <f>B34+regressions!AA$7</f>
        <v>3.2035544747363223</v>
      </c>
      <c r="I34">
        <f>IF($A34&lt;=regressionsbase!$L$2,$A34*regressionsbase!$L$1,regressionsbase!$L$1*regressionsbase!$L$2+regressionsbase!$L$3*($A34-regressionsbase!$L$2))</f>
        <v>-0.96312557836487067</v>
      </c>
      <c r="J34">
        <f>regressionsbase!J$1*A34+regressionsbase!J$2*A34^2</f>
        <v>-0.68844580492414253</v>
      </c>
      <c r="K34">
        <f>regressionsbase!$V$1*A34</f>
        <v>-0.96312557838563906</v>
      </c>
      <c r="L34">
        <f>regressionsbase!$N$1*A34^2</f>
        <v>-0.20617469060430843</v>
      </c>
      <c r="M34">
        <f>regressionsbase!$R$1*A34^2+regressionsbase!$R$2*A34^6</f>
        <v>-0.145002595008211</v>
      </c>
      <c r="N34">
        <f>regressionsbase!$P$1*A34^2+regressionsbase!$P$2*A34^7</f>
        <v>-0.22011763257567646</v>
      </c>
      <c r="O34">
        <f>regressionsbase!T$2+regressionsbase!T$1*EXP(A34)</f>
        <v>-7.7941067950198549E-3</v>
      </c>
      <c r="P34" s="20">
        <f>(1-EXP(-2*regressionsbase!X$1*graphbase!A34))/2/EXP(-regressionsbase!X$1*A34)</f>
        <v>-0.44537069328991685</v>
      </c>
      <c r="AT34" s="33"/>
      <c r="AW34" s="33"/>
      <c r="AZ34" s="33"/>
    </row>
    <row r="35" spans="1:52" x14ac:dyDescent="0.35">
      <c r="A35">
        <f t="shared" si="3"/>
        <v>1.2</v>
      </c>
      <c r="B35">
        <f t="shared" si="0"/>
        <v>-0.57408709062552399</v>
      </c>
      <c r="C35">
        <f>regressionsbase!$AR$1*$A35</f>
        <v>1.3374087963415957</v>
      </c>
      <c r="D35">
        <f>regressionsbase!$AO$1*$A35</f>
        <v>1.8958939000512218</v>
      </c>
      <c r="E35">
        <f t="shared" si="1"/>
        <v>2.1007305020576674</v>
      </c>
      <c r="F35">
        <f t="shared" si="2"/>
        <v>-4.3658748907279676</v>
      </c>
      <c r="G35" s="5">
        <f>B35-regressions!AA$7</f>
        <v>-4.2953756810904791</v>
      </c>
      <c r="H35" s="5">
        <f>B35+regressions!AA$7</f>
        <v>3.1472014998394311</v>
      </c>
      <c r="I35">
        <f>IF($A35&lt;=regressionsbase!$L$2,$A35*regressionsbase!$L$1,regressionsbase!$L$1*regressionsbase!$L$2+regressionsbase!$L$3*($A35-regressionsbase!$L$2))</f>
        <v>-1.0506824491253135</v>
      </c>
      <c r="J35">
        <f>regressionsbase!J$1*A35+regressionsbase!J$2*A35^2</f>
        <v>-0.75931217312079125</v>
      </c>
      <c r="K35">
        <f>regressionsbase!$V$1*A35</f>
        <v>-1.0506824491479698</v>
      </c>
      <c r="L35">
        <f>regressionsbase!$N$1*A35^2</f>
        <v>-0.24536492104975552</v>
      </c>
      <c r="M35">
        <f>regressionsbase!$R$1*A35^2+regressionsbase!$R$2*A35^6</f>
        <v>-0.17256625542851872</v>
      </c>
      <c r="N35">
        <f>regressionsbase!$P$1*A35^2+regressionsbase!$P$2*A35^7</f>
        <v>-0.26195737923332035</v>
      </c>
      <c r="O35">
        <f>regressionsbase!T$2+regressionsbase!T$1*EXP(A35)</f>
        <v>-9.0228248841049165E-3</v>
      </c>
      <c r="P35" s="20">
        <f>(1-EXP(-2*regressionsbase!X$1*graphbase!A35))/2/EXP(-regressionsbase!X$1*A35)</f>
        <v>-0.48869910590686577</v>
      </c>
      <c r="Q35" s="5"/>
      <c r="Y35" s="51"/>
      <c r="Z35" s="51"/>
      <c r="AA35" s="51"/>
      <c r="AO35" s="1"/>
      <c r="AP35" s="1"/>
      <c r="AT35" s="33"/>
      <c r="AW35" s="33"/>
      <c r="AZ35" s="33"/>
    </row>
    <row r="36" spans="1:52" x14ac:dyDescent="0.35">
      <c r="A36">
        <f t="shared" si="3"/>
        <v>1.3</v>
      </c>
      <c r="B36">
        <f t="shared" si="0"/>
        <v>-0.63201943106093561</v>
      </c>
      <c r="C36">
        <f>regressionsbase!$AR$1*$A36</f>
        <v>1.4488595293700621</v>
      </c>
      <c r="D36">
        <f>regressionsbase!$AO$1*$A36</f>
        <v>2.0538850583888237</v>
      </c>
      <c r="E36">
        <f t="shared" si="1"/>
        <v>2.2656996276791888</v>
      </c>
      <c r="F36">
        <f t="shared" si="2"/>
        <v>-4.7397895478385834</v>
      </c>
      <c r="G36" s="5">
        <f>B36-regressions!AA$7</f>
        <v>-4.3533080215258906</v>
      </c>
      <c r="H36" s="5">
        <f>B36+regressions!AA$7</f>
        <v>3.0892691594040196</v>
      </c>
      <c r="I36">
        <f>IF($A36&lt;=regressionsbase!$L$2,$A36*regressionsbase!$L$1,regressionsbase!$L$1*regressionsbase!$L$2+regressionsbase!$L$3*($A36-regressionsbase!$L$2))</f>
        <v>-1.1382393198857563</v>
      </c>
      <c r="J36">
        <f>regressionsbase!J$1*A36+regressionsbase!J$2*A36^2</f>
        <v>-0.83155860563924278</v>
      </c>
      <c r="K36">
        <f>regressionsbase!$V$1*A36</f>
        <v>-1.1382393199103009</v>
      </c>
      <c r="L36">
        <f>regressionsbase!$N$1*A36^2</f>
        <v>-0.28796299762089367</v>
      </c>
      <c r="M36">
        <f>regressionsbase!$R$1*A36^2+regressionsbase!$R$2*A36^6</f>
        <v>-0.20252745826234106</v>
      </c>
      <c r="N36">
        <f>regressionsbase!$P$1*A36^2+regressionsbase!$P$2*A36^7</f>
        <v>-0.30743478915531119</v>
      </c>
      <c r="O36">
        <f>regressionsbase!T$2+regressionsbase!T$1*EXP(A36)</f>
        <v>-1.0380768382675206E-2</v>
      </c>
      <c r="P36" s="20">
        <f>(1-EXP(-2*regressionsbase!X$1*graphbase!A36))/2/EXP(-regressionsbase!X$1*A36)</f>
        <v>-0.53278074644914453</v>
      </c>
      <c r="AT36" s="33"/>
      <c r="AW36" s="33"/>
      <c r="AZ36" s="33"/>
    </row>
    <row r="37" spans="1:52" x14ac:dyDescent="0.35">
      <c r="A37">
        <f t="shared" si="3"/>
        <v>1.4000000000000001</v>
      </c>
      <c r="B37">
        <f t="shared" si="0"/>
        <v>-0.6915388445350994</v>
      </c>
      <c r="C37">
        <f>regressionsbase!$AR$1*$A37</f>
        <v>1.5603102623985285</v>
      </c>
      <c r="D37">
        <f>regressionsbase!$AO$1*$A37</f>
        <v>2.2118762167264259</v>
      </c>
      <c r="E37">
        <f t="shared" si="1"/>
        <v>2.4290816802619579</v>
      </c>
      <c r="F37">
        <f t="shared" si="2"/>
        <v>-5.1152912779879509</v>
      </c>
      <c r="G37" s="5">
        <f>B37-regressions!AA$7</f>
        <v>-4.4128274350000547</v>
      </c>
      <c r="H37" s="5">
        <f>B37+regressions!AA$7</f>
        <v>3.0297497459298555</v>
      </c>
      <c r="I37">
        <f>IF($A37&lt;=regressionsbase!$L$2,$A37*regressionsbase!$L$1,regressionsbase!$L$1*regressionsbase!$L$2+regressionsbase!$L$3*($A37-regressionsbase!$L$2))</f>
        <v>-1.2257961906461992</v>
      </c>
      <c r="J37">
        <f>regressionsbase!J$1*A37+regressionsbase!J$2*A37^2</f>
        <v>-0.90518510247949724</v>
      </c>
      <c r="K37">
        <f>regressionsbase!$V$1*A37</f>
        <v>-1.2257961906726318</v>
      </c>
      <c r="L37">
        <f>regressionsbase!$N$1*A37^2</f>
        <v>-0.33396892031772291</v>
      </c>
      <c r="M37">
        <f>regressionsbase!$R$1*A37^2+regressionsbase!$R$2*A37^6</f>
        <v>-0.23488652111677388</v>
      </c>
      <c r="N37">
        <f>regressionsbase!$P$1*A37^2+regressionsbase!$P$2*A37^7</f>
        <v>-0.35654953676384799</v>
      </c>
      <c r="O37">
        <f>regressionsbase!T$2+regressionsbase!T$1*EXP(A37)</f>
        <v>-1.1881528045684993E-2</v>
      </c>
      <c r="P37" s="20">
        <f>(1-EXP(-2*regressionsbase!X$1*graphbase!A37))/2/EXP(-regressionsbase!X$1*A37)</f>
        <v>-0.57768355758791767</v>
      </c>
      <c r="AT37" s="33"/>
      <c r="AW37" s="33"/>
      <c r="AZ37" s="33"/>
    </row>
    <row r="38" spans="1:52" x14ac:dyDescent="0.35">
      <c r="A38">
        <f t="shared" si="3"/>
        <v>1.5000000000000002</v>
      </c>
      <c r="B38">
        <f t="shared" si="0"/>
        <v>-0.75265318971300266</v>
      </c>
      <c r="C38">
        <f>regressionsbase!$AR$1*$A38</f>
        <v>1.671760995426995</v>
      </c>
      <c r="D38">
        <f>regressionsbase!$AO$1*$A38</f>
        <v>2.3698673750640276</v>
      </c>
      <c r="E38">
        <f t="shared" si="1"/>
        <v>2.5908688011409873</v>
      </c>
      <c r="F38">
        <f t="shared" si="2"/>
        <v>-5.4923879398410573</v>
      </c>
      <c r="G38" s="5">
        <f>B38-regressions!AA$7</f>
        <v>-4.4739417801779577</v>
      </c>
      <c r="H38" s="5">
        <f>B38+regressions!AA$7</f>
        <v>2.9686354007519524</v>
      </c>
      <c r="I38">
        <f>IF($A38&lt;=regressionsbase!$L$2,$A38*regressionsbase!$L$1,regressionsbase!$L$1*regressionsbase!$L$2+regressionsbase!$L$3*($A38-regressionsbase!$L$2))</f>
        <v>-1.3133530614066422</v>
      </c>
      <c r="J38">
        <f>regressionsbase!J$1*A38+regressionsbase!J$2*A38^2</f>
        <v>-0.98019166364155463</v>
      </c>
      <c r="K38">
        <f>regressionsbase!$V$1*A38</f>
        <v>-1.3133530614349627</v>
      </c>
      <c r="L38">
        <f>regressionsbase!$N$1*A38^2</f>
        <v>-0.3833826891402432</v>
      </c>
      <c r="M38">
        <f>regressionsbase!$R$1*A38^2+regressionsbase!$R$2*A38^6</f>
        <v>-0.26964384381262252</v>
      </c>
      <c r="N38">
        <f>regressionsbase!$P$1*A38^2+regressionsbase!$P$2*A38^7</f>
        <v>-0.4093011797155624</v>
      </c>
      <c r="O38">
        <f>regressionsbase!T$2+regressionsbase!T$1*EXP(A38)</f>
        <v>-1.3540123980264412E-2</v>
      </c>
      <c r="P38" s="20">
        <f>(1-EXP(-2*regressionsbase!X$1*graphbase!A38))/2/EXP(-regressionsbase!X$1*A38)</f>
        <v>-0.62347674765785688</v>
      </c>
      <c r="AT38" s="33"/>
      <c r="AW38" s="33"/>
      <c r="AZ38" s="33"/>
    </row>
    <row r="39" spans="1:52" x14ac:dyDescent="0.35">
      <c r="A39">
        <f t="shared" si="3"/>
        <v>1.6000000000000003</v>
      </c>
      <c r="B39">
        <f t="shared" si="0"/>
        <v>-0.81537048876044493</v>
      </c>
      <c r="C39">
        <f>regressionsbase!$AR$1*$A39</f>
        <v>1.7832117284554614</v>
      </c>
      <c r="D39">
        <f>regressionsbase!$AO$1*$A39</f>
        <v>2.5278585334016297</v>
      </c>
      <c r="E39">
        <f t="shared" si="1"/>
        <v>2.7510529681504776</v>
      </c>
      <c r="F39">
        <f t="shared" si="2"/>
        <v>-5.8710875555637045</v>
      </c>
      <c r="G39" s="5">
        <f>B39-regressions!AA$7</f>
        <v>-4.5366590792253998</v>
      </c>
      <c r="H39" s="5">
        <f>B39+regressions!AA$7</f>
        <v>2.9059181017045104</v>
      </c>
      <c r="I39">
        <f>IF($A39&lt;=regressionsbase!$L$2,$A39*regressionsbase!$L$1,regressionsbase!$L$1*regressionsbase!$L$2+regressionsbase!$L$3*($A39-regressionsbase!$L$2))</f>
        <v>-1.400909932167085</v>
      </c>
      <c r="J39">
        <f>regressionsbase!J$1*A39+regressionsbase!J$2*A39^2</f>
        <v>-1.056578289125415</v>
      </c>
      <c r="K39">
        <f>regressionsbase!$V$1*A39</f>
        <v>-1.4009099321972935</v>
      </c>
      <c r="L39">
        <f>regressionsbase!$N$1*A39^2</f>
        <v>-0.43620430408845445</v>
      </c>
      <c r="M39">
        <f>regressionsbase!$R$1*A39^2+regressionsbase!$R$2*A39^6</f>
        <v>-0.30679992149328028</v>
      </c>
      <c r="N39">
        <f>regressionsbase!$P$1*A39^2+regressionsbase!$P$2*A39^7</f>
        <v>-0.46568912994788447</v>
      </c>
      <c r="O39">
        <f>regressionsbase!T$2+regressionsbase!T$1*EXP(A39)</f>
        <v>-1.5373155972000098E-2</v>
      </c>
      <c r="P39" s="20">
        <f>(1-EXP(-2*regressionsbase!X$1*graphbase!A39))/2/EXP(-regressionsbase!X$1*A39)</f>
        <v>-0.67023089732738117</v>
      </c>
      <c r="AT39" s="33"/>
      <c r="AW39" s="33"/>
      <c r="AZ39" s="33"/>
    </row>
    <row r="40" spans="1:52" x14ac:dyDescent="0.35">
      <c r="A40">
        <f t="shared" si="3"/>
        <v>1.7000000000000004</v>
      </c>
      <c r="B40">
        <f t="shared" si="0"/>
        <v>-0.87969893972010615</v>
      </c>
      <c r="C40">
        <f>regressionsbase!$AR$1*$A40</f>
        <v>1.8946624614839278</v>
      </c>
      <c r="D40">
        <f>regressionsbase!$AO$1*$A40</f>
        <v>2.6858496917392318</v>
      </c>
      <c r="E40">
        <f t="shared" si="1"/>
        <v>2.9096259832477496</v>
      </c>
      <c r="F40">
        <f t="shared" si="2"/>
        <v>-6.2513983231985701</v>
      </c>
      <c r="G40" s="5">
        <f>B40-regressions!AA$7</f>
        <v>-4.6009875301850611</v>
      </c>
      <c r="H40" s="5">
        <f>B40+regressions!AA$7</f>
        <v>2.841589650744849</v>
      </c>
      <c r="I40">
        <f>IF($A40&lt;=regressionsbase!$L$2,$A40*regressionsbase!$L$1,regressionsbase!$L$1*regressionsbase!$L$2+regressionsbase!$L$3*($A40-regressionsbase!$L$2))</f>
        <v>-1.4884668029275279</v>
      </c>
      <c r="J40">
        <f>regressionsbase!J$1*A40+regressionsbase!J$2*A40^2</f>
        <v>-1.1343449789310782</v>
      </c>
      <c r="K40">
        <f>regressionsbase!$V$1*A40</f>
        <v>-1.4884668029596244</v>
      </c>
      <c r="L40">
        <f>regressionsbase!$N$1*A40^2</f>
        <v>-0.49243376516235687</v>
      </c>
      <c r="M40">
        <f>regressionsbase!$R$1*A40^2+regressionsbase!$R$2*A40^6</f>
        <v>-0.34635535870463618</v>
      </c>
      <c r="N40">
        <f>regressionsbase!$P$1*A40^2+regressionsbase!$P$2*A40^7</f>
        <v>-0.52571262028726162</v>
      </c>
      <c r="O40">
        <f>regressionsbase!T$2+regressionsbase!T$1*EXP(A40)</f>
        <v>-1.7398969621168648E-2</v>
      </c>
      <c r="P40" s="20">
        <f>(1-EXP(-2*regressionsbase!X$1*graphbase!A40))/2/EXP(-regressionsbase!X$1*A40)</f>
        <v>-0.71801806838406212</v>
      </c>
      <c r="AT40" s="33"/>
      <c r="AW40" s="33"/>
      <c r="AZ40" s="33"/>
    </row>
    <row r="41" spans="1:52" x14ac:dyDescent="0.35">
      <c r="A41">
        <f t="shared" si="3"/>
        <v>1.8000000000000005</v>
      </c>
      <c r="B41">
        <f t="shared" si="0"/>
        <v>-0.94564692891636037</v>
      </c>
      <c r="C41">
        <f>regressionsbase!$AR$1*$A41</f>
        <v>2.0061131945123942</v>
      </c>
      <c r="D41">
        <f>regressionsbase!$AO$1*$A41</f>
        <v>2.8438408500768335</v>
      </c>
      <c r="E41">
        <f t="shared" si="1"/>
        <v>3.0665794601084282</v>
      </c>
      <c r="F41">
        <f t="shared" si="2"/>
        <v>-6.6333286290700277</v>
      </c>
      <c r="G41" s="5">
        <f>B41-regressions!AA$7</f>
        <v>-4.6669355193813153</v>
      </c>
      <c r="H41" s="5">
        <f>B41+regressions!AA$7</f>
        <v>2.7756416615485948</v>
      </c>
      <c r="I41">
        <f>IF($A41&lt;=regressionsbase!$L$2,$A41*regressionsbase!$L$1,regressionsbase!$L$1*regressionsbase!$L$2+regressionsbase!$L$3*($A41-regressionsbase!$L$2))</f>
        <v>-1.5760236736879707</v>
      </c>
      <c r="J41">
        <f>regressionsbase!J$1*A41+regressionsbase!J$2*A41^2</f>
        <v>-1.2134917330585444</v>
      </c>
      <c r="K41">
        <f>regressionsbase!$V$1*A41</f>
        <v>-1.5760236737219553</v>
      </c>
      <c r="L41">
        <f>regressionsbase!$N$1*A41^2</f>
        <v>-0.55207107236195019</v>
      </c>
      <c r="M41">
        <f>regressionsbase!$R$1*A41^2+regressionsbase!$R$2*A41^6</f>
        <v>-0.38831088444600875</v>
      </c>
      <c r="N41">
        <f>regressionsbase!$P$1*A41^2+regressionsbase!$P$2*A41^7</f>
        <v>-0.58937066630221646</v>
      </c>
      <c r="O41">
        <f>regressionsbase!T$2+regressionsbase!T$1*EXP(A41)</f>
        <v>-1.9637839951670438E-2</v>
      </c>
      <c r="P41" s="20">
        <f>(1-EXP(-2*regressionsbase!X$1*graphbase!A41))/2/EXP(-regressionsbase!X$1*A41)</f>
        <v>-0.76691191480286514</v>
      </c>
      <c r="AT41" s="33"/>
      <c r="AW41" s="33"/>
      <c r="AZ41" s="33"/>
    </row>
    <row r="42" spans="1:52" x14ac:dyDescent="0.35">
      <c r="A42">
        <f t="shared" si="3"/>
        <v>1.9000000000000006</v>
      </c>
      <c r="B42">
        <f t="shared" si="0"/>
        <v>-1.0132230433780529</v>
      </c>
      <c r="C42">
        <f>regressionsbase!$AR$1*$A42</f>
        <v>2.1175639275408606</v>
      </c>
      <c r="D42">
        <f>regressionsbase!$AO$1*$A42</f>
        <v>3.0018320084144356</v>
      </c>
      <c r="E42">
        <f t="shared" si="1"/>
        <v>3.2219048117036682</v>
      </c>
      <c r="F42">
        <f t="shared" si="2"/>
        <v>-7.0168870602069244</v>
      </c>
      <c r="G42" s="5">
        <f>B42-regressions!AA$7</f>
        <v>-4.7345116338430078</v>
      </c>
      <c r="H42" s="5">
        <f>B42+regressions!AA$7</f>
        <v>2.7080655470869024</v>
      </c>
      <c r="I42">
        <f>IF($A42&lt;=regressionsbase!$L$2,$A42*regressionsbase!$L$1,regressionsbase!$L$1*regressionsbase!$L$2+regressionsbase!$L$3*($A42-regressionsbase!$L$2))</f>
        <v>-1.6635805444484135</v>
      </c>
      <c r="J42">
        <f>regressionsbase!J$1*A42+regressionsbase!J$2*A42^2</f>
        <v>-1.2940185515078135</v>
      </c>
      <c r="K42">
        <f>regressionsbase!$V$1*A42</f>
        <v>-1.6635805444842862</v>
      </c>
      <c r="L42">
        <f>regressionsbase!$N$1*A42^2</f>
        <v>-0.61511622568723479</v>
      </c>
      <c r="M42">
        <f>regressionsbase!$R$1*A42^2+regressionsbase!$R$2*A42^6</f>
        <v>-0.43266736819211038</v>
      </c>
      <c r="N42">
        <f>regressionsbase!$P$1*A42^2+regressionsbase!$P$2*A42^7</f>
        <v>-0.65666202308423716</v>
      </c>
      <c r="O42">
        <f>regressionsbase!T$2+regressionsbase!T$1*EXP(A42)</f>
        <v>-2.2112174330283427E-2</v>
      </c>
      <c r="P42" s="20">
        <f>(1-EXP(-2*regressionsbase!X$1*graphbase!A42))/2/EXP(-regressionsbase!X$1*A42)</f>
        <v>-0.81698779626841977</v>
      </c>
      <c r="Q42" s="1"/>
      <c r="AB42" s="59"/>
      <c r="AC42" s="60"/>
      <c r="AD42" s="60"/>
      <c r="AE42" s="5"/>
      <c r="AO42" s="1"/>
      <c r="AP42" s="1"/>
      <c r="AT42" s="33"/>
      <c r="AW42" s="33"/>
      <c r="AZ42" s="33"/>
    </row>
    <row r="43" spans="1:52" x14ac:dyDescent="0.35">
      <c r="A43">
        <f t="shared" si="3"/>
        <v>2.0000000000000004</v>
      </c>
      <c r="B43">
        <f t="shared" si="0"/>
        <v>-1.0824360832689657</v>
      </c>
      <c r="C43">
        <f>regressionsbase!$AR$1*$A43</f>
        <v>2.2290146605693266</v>
      </c>
      <c r="D43">
        <f>regressionsbase!$AO$1*$A43</f>
        <v>3.1598231667520373</v>
      </c>
      <c r="E43">
        <f t="shared" si="1"/>
        <v>3.3755932378696878</v>
      </c>
      <c r="F43">
        <f t="shared" si="2"/>
        <v>-7.4020824167730401</v>
      </c>
      <c r="G43" s="5">
        <f>B43-regressions!AA$7</f>
        <v>-4.803724673733921</v>
      </c>
      <c r="H43" s="5">
        <f>B43+regressions!AA$7</f>
        <v>2.6388525071959892</v>
      </c>
      <c r="I43">
        <f>IF($A43&lt;=regressionsbase!$L$2,$A43*regressionsbase!$L$1,regressionsbase!$L$1*regressionsbase!$L$2+regressionsbase!$L$3*($A43-regressionsbase!$L$2))</f>
        <v>-1.7511374152088564</v>
      </c>
      <c r="J43">
        <f>regressionsbase!J$1*A43+regressionsbase!J$2*A43^2</f>
        <v>-1.3759254342788851</v>
      </c>
      <c r="K43">
        <f>regressionsbase!$V$1*A43</f>
        <v>-1.751137415246617</v>
      </c>
      <c r="L43">
        <f>regressionsbase!$N$1*A43^2</f>
        <v>-0.68156922513821017</v>
      </c>
      <c r="M43">
        <f>regressionsbase!$R$1*A43^2+regressionsbase!$R$2*A43^6</f>
        <v>-0.47942583688603735</v>
      </c>
      <c r="N43">
        <f>regressionsbase!$P$1*A43^2+regressionsbase!$P$2*A43^7</f>
        <v>-0.72758513663948632</v>
      </c>
      <c r="O43">
        <f>regressionsbase!T$2+regressionsbase!T$1*EXP(A43)</f>
        <v>-2.4846736727121278E-2</v>
      </c>
      <c r="P43" s="20">
        <f>(1-EXP(-2*regressionsbase!X$1*graphbase!A43))/2/EXP(-regressionsbase!X$1*A43)</f>
        <v>-0.86832289432628063</v>
      </c>
      <c r="Q43" s="5"/>
      <c r="AB43" s="60"/>
      <c r="AC43" s="60"/>
      <c r="AD43" s="60"/>
      <c r="AE43" s="5"/>
      <c r="AK43" s="1"/>
      <c r="AL43" s="1"/>
      <c r="AO43" s="1"/>
      <c r="AP43" s="1"/>
      <c r="AT43" s="33"/>
      <c r="AW43" s="33"/>
      <c r="AZ43" s="33"/>
    </row>
    <row r="44" spans="1:52" x14ac:dyDescent="0.35">
      <c r="A44">
        <f t="shared" si="3"/>
        <v>2.1000000000000005</v>
      </c>
      <c r="B44">
        <f t="shared" si="0"/>
        <v>-1.1532950743162524</v>
      </c>
      <c r="C44">
        <f>regressionsbase!$AR$1*$A44</f>
        <v>2.340465393597793</v>
      </c>
      <c r="D44">
        <f>regressionsbase!$AO$1*$A44</f>
        <v>3.317814325089639</v>
      </c>
      <c r="E44">
        <f t="shared" si="1"/>
        <v>3.5276357128793334</v>
      </c>
      <c r="F44">
        <f t="shared" si="2"/>
        <v>-7.7889237244955307</v>
      </c>
      <c r="G44" s="5">
        <f>B44-regressions!AA$7</f>
        <v>-4.8745836647812073</v>
      </c>
      <c r="H44" s="5">
        <f>B44+regressions!AA$7</f>
        <v>2.5679935161487029</v>
      </c>
      <c r="I44">
        <f>IF($A44&lt;=regressionsbase!$L$2,$A44*regressionsbase!$L$1,regressionsbase!$L$1*regressionsbase!$L$2+regressionsbase!$L$3*($A44-regressionsbase!$L$2))</f>
        <v>-1.8386942859692992</v>
      </c>
      <c r="J44">
        <f>regressionsbase!J$1*A44+regressionsbase!J$2*A44^2</f>
        <v>-1.4592123813717599</v>
      </c>
      <c r="K44">
        <f>regressionsbase!$V$1*A44</f>
        <v>-1.8386942860089479</v>
      </c>
      <c r="L44">
        <f>regressionsbase!$N$1*A44^2</f>
        <v>-0.75143007071487666</v>
      </c>
      <c r="M44">
        <f>regressionsbase!$R$1*A44^2+regressionsbase!$R$2*A44^6</f>
        <v>-0.52858749290328966</v>
      </c>
      <c r="N44">
        <f>regressionsbase!$P$1*A44^2+regressionsbase!$P$2*A44^7</f>
        <v>-0.80213808957432087</v>
      </c>
      <c r="O44">
        <f>regressionsbase!T$2+regressionsbase!T$1*EXP(A44)</f>
        <v>-2.7868895561769719E-2</v>
      </c>
      <c r="P44" s="20">
        <f>(1-EXP(-2*regressionsbase!X$1*graphbase!A44))/2/EXP(-regressionsbase!X$1*A44)</f>
        <v>-0.92099633134221304</v>
      </c>
      <c r="AT44" s="33"/>
      <c r="AW44" s="33"/>
      <c r="AZ44" s="33"/>
    </row>
    <row r="45" spans="1:52" x14ac:dyDescent="0.35">
      <c r="A45">
        <f t="shared" si="3"/>
        <v>2.2000000000000006</v>
      </c>
      <c r="B45">
        <f t="shared" si="0"/>
        <v>-1.2258092802277141</v>
      </c>
      <c r="C45">
        <f>regressionsbase!$AR$1*$A45</f>
        <v>2.4519161266262595</v>
      </c>
      <c r="D45">
        <f>regressionsbase!$AO$1*$A45</f>
        <v>3.4758054834272412</v>
      </c>
      <c r="E45">
        <f t="shared" si="1"/>
        <v>3.6780229730248051</v>
      </c>
      <c r="F45">
        <f t="shared" si="2"/>
        <v>-8.1774202470821962</v>
      </c>
      <c r="G45" s="5">
        <f>B45-regressions!AA$7</f>
        <v>-4.9470978706926694</v>
      </c>
      <c r="H45" s="5">
        <f>B45+regressions!AA$7</f>
        <v>2.4954793102372408</v>
      </c>
      <c r="I45">
        <f>IF($A45&lt;=regressionsbase!$L$2,$A45*regressionsbase!$L$1,regressionsbase!$L$1*regressionsbase!$L$2+regressionsbase!$L$3*($A45-regressionsbase!$L$2))</f>
        <v>-1.926251156729742</v>
      </c>
      <c r="J45">
        <f>regressionsbase!J$1*A45+regressionsbase!J$2*A45^2</f>
        <v>-1.5438793927864378</v>
      </c>
      <c r="K45">
        <f>regressionsbase!$V$1*A45</f>
        <v>-1.9262511567712788</v>
      </c>
      <c r="L45">
        <f>regressionsbase!$N$1*A45^2</f>
        <v>-0.82469876241723428</v>
      </c>
      <c r="M45">
        <f>regressionsbase!$R$1*A45^2+regressionsbase!$R$2*A45^6</f>
        <v>-0.58015373298681805</v>
      </c>
      <c r="N45">
        <f>regressionsbase!$P$1*A45^2+regressionsbase!$P$2*A45^7</f>
        <v>-0.88031854075760863</v>
      </c>
      <c r="O45">
        <f>regressionsbase!T$2+regressionsbase!T$1*EXP(A45)</f>
        <v>-3.1208897615628561E-2</v>
      </c>
      <c r="P45" s="20">
        <f>(1-EXP(-2*regressionsbase!X$1*graphbase!A45))/2/EXP(-regressionsbase!X$1*A45)</f>
        <v>-0.97508929245284659</v>
      </c>
      <c r="AT45" s="33"/>
      <c r="AW45" s="33"/>
      <c r="AZ45" s="33"/>
    </row>
    <row r="46" spans="1:52" x14ac:dyDescent="0.35">
      <c r="A46">
        <f t="shared" si="3"/>
        <v>2.3000000000000007</v>
      </c>
      <c r="B46">
        <f t="shared" si="0"/>
        <v>-1.2999882150894306</v>
      </c>
      <c r="C46">
        <f>regressionsbase!$AR$1*$A46</f>
        <v>2.5633668596547259</v>
      </c>
      <c r="D46">
        <f>regressionsbase!$AO$1*$A46</f>
        <v>3.6337966417648428</v>
      </c>
      <c r="E46">
        <f t="shared" si="1"/>
        <v>3.8267455042200211</v>
      </c>
      <c r="F46">
        <f t="shared" si="2"/>
        <v>-8.5675814986191163</v>
      </c>
      <c r="G46" s="5">
        <f>B46-regressions!AA$7</f>
        <v>-5.0212768055543862</v>
      </c>
      <c r="H46" s="5">
        <f>B46+regressions!AA$7</f>
        <v>2.4213003753755244</v>
      </c>
      <c r="I46">
        <f>IF($A46&lt;=regressionsbase!$L$2,$A46*regressionsbase!$L$1,regressionsbase!$L$1*regressionsbase!$L$2+regressionsbase!$L$3*($A46-regressionsbase!$L$2))</f>
        <v>-2.0138080274901848</v>
      </c>
      <c r="J46">
        <f>regressionsbase!J$1*A46+regressionsbase!J$2*A46^2</f>
        <v>-1.6299264685229184</v>
      </c>
      <c r="K46">
        <f>regressionsbase!$V$1*A46</f>
        <v>-2.0138080275336097</v>
      </c>
      <c r="L46">
        <f>regressionsbase!$N$1*A46^2</f>
        <v>-0.90137530024528312</v>
      </c>
      <c r="M46">
        <f>regressionsbase!$R$1*A46^2+regressionsbase!$R$2*A46^6</f>
        <v>-0.63412616815309952</v>
      </c>
      <c r="N46">
        <f>regressionsbase!$P$1*A46^2+regressionsbase!$P$2*A46^7</f>
        <v>-0.96212365864283522</v>
      </c>
      <c r="O46">
        <f>regressionsbase!T$2+regressionsbase!T$1*EXP(A46)</f>
        <v>-3.4900170751866279E-2</v>
      </c>
      <c r="P46" s="20">
        <f>(1-EXP(-2*regressionsbase!X$1*graphbase!A46))/2/EXP(-regressionsbase!X$1*A46)</f>
        <v>-1.0306851506956587</v>
      </c>
      <c r="AT46" s="33"/>
      <c r="AW46" s="33"/>
      <c r="AZ46" s="33"/>
    </row>
    <row r="47" spans="1:52" x14ac:dyDescent="0.35">
      <c r="A47">
        <f t="shared" si="3"/>
        <v>2.4000000000000008</v>
      </c>
      <c r="B47">
        <f t="shared" si="0"/>
        <v>-1.3758416557359328</v>
      </c>
      <c r="C47">
        <f>regressionsbase!$AR$1*$A47</f>
        <v>2.6748175926831923</v>
      </c>
      <c r="D47">
        <f>regressionsbase!$AO$1*$A47</f>
        <v>3.791787800102445</v>
      </c>
      <c r="E47">
        <f t="shared" si="1"/>
        <v>3.9737935296304521</v>
      </c>
      <c r="F47">
        <f t="shared" si="2"/>
        <v>-8.9594172559408225</v>
      </c>
      <c r="G47" s="5">
        <f>B47-regressions!AA$7</f>
        <v>-5.0971302462008881</v>
      </c>
      <c r="H47" s="5">
        <f>B47+regressions!AA$7</f>
        <v>2.3454469347290221</v>
      </c>
      <c r="I47">
        <f>IF($A47&lt;=regressionsbase!$L$2,$A47*regressionsbase!$L$1,regressionsbase!$L$1*regressionsbase!$L$2+regressionsbase!$L$3*($A47-regressionsbase!$L$2))</f>
        <v>-2.1013648982506279</v>
      </c>
      <c r="J47">
        <f>regressionsbase!J$1*A47+regressionsbase!J$2*A47^2</f>
        <v>-1.7173536085812022</v>
      </c>
      <c r="K47">
        <f>regressionsbase!$V$1*A47</f>
        <v>-2.1013648982959405</v>
      </c>
      <c r="L47">
        <f>regressionsbase!$N$1*A47^2</f>
        <v>-0.98145968419902285</v>
      </c>
      <c r="M47">
        <f>regressionsbase!$R$1*A47^2+regressionsbase!$R$2*A47^6</f>
        <v>-0.69050664456924005</v>
      </c>
      <c r="N47">
        <f>regressionsbase!$P$1*A47^2+regressionsbase!$P$2*A47^7</f>
        <v>-1.0475500479329869</v>
      </c>
      <c r="O47">
        <f>regressionsbase!T$2+regressionsbase!T$1*EXP(A47)</f>
        <v>-3.8979658472710108E-2</v>
      </c>
      <c r="P47" s="20">
        <f>(1-EXP(-2*regressionsbase!X$1*graphbase!A47))/2/EXP(-regressionsbase!X$1*A47)</f>
        <v>-1.0878695955111564</v>
      </c>
      <c r="AT47" s="33"/>
      <c r="AW47" s="33"/>
      <c r="AZ47" s="33"/>
    </row>
    <row r="48" spans="1:52" x14ac:dyDescent="0.35">
      <c r="A48">
        <f t="shared" si="3"/>
        <v>2.5000000000000009</v>
      </c>
      <c r="B48">
        <f t="shared" si="0"/>
        <v>-1.453379654085843</v>
      </c>
      <c r="C48">
        <f>regressionsbase!$AR$1*$A48</f>
        <v>2.7862683257116587</v>
      </c>
      <c r="D48">
        <f>regressionsbase!$AO$1*$A48</f>
        <v>3.9497789584400471</v>
      </c>
      <c r="E48">
        <f t="shared" si="1"/>
        <v>4.1191569973374742</v>
      </c>
      <c r="F48">
        <f t="shared" si="2"/>
        <v>-9.3529375709659366</v>
      </c>
      <c r="G48" s="5">
        <f>B48-regressions!AA$7</f>
        <v>-5.1746682445507979</v>
      </c>
      <c r="H48" s="5">
        <f>B48+regressions!AA$7</f>
        <v>2.2679089363791123</v>
      </c>
      <c r="I48">
        <f>IF($A48&lt;=regressionsbase!$L$2,$A48*regressionsbase!$L$1,regressionsbase!$L$1*regressionsbase!$L$2+regressionsbase!$L$3*($A48-regressionsbase!$L$2))</f>
        <v>-2.1889217690110705</v>
      </c>
      <c r="J48">
        <f>regressionsbase!J$1*A48+regressionsbase!J$2*A48^2</f>
        <v>-1.8061608129612887</v>
      </c>
      <c r="K48">
        <f>regressionsbase!$V$1*A48</f>
        <v>-2.1889217690582714</v>
      </c>
      <c r="L48">
        <f>regressionsbase!$N$1*A48^2</f>
        <v>-1.0649519142784536</v>
      </c>
      <c r="M48">
        <f>regressionsbase!$R$1*A48^2+regressionsbase!$R$2*A48^6</f>
        <v>-0.74929726540110686</v>
      </c>
      <c r="N48">
        <f>regressionsbase!$P$1*A48^2+regressionsbase!$P$2*A48^7</f>
        <v>-1.1365936692712009</v>
      </c>
      <c r="O48">
        <f>regressionsbase!T$2+regressionsbase!T$1*EXP(A48)</f>
        <v>-4.3488189662433403E-2</v>
      </c>
      <c r="P48" s="20">
        <f>(1-EXP(-2*regressionsbase!X$1*graphbase!A48))/2/EXP(-regressionsbase!X$1*A48)</f>
        <v>-1.1467307648153062</v>
      </c>
      <c r="Q48" s="62"/>
      <c r="R48" s="62"/>
      <c r="S48" s="62"/>
      <c r="T48" s="62"/>
      <c r="U48" s="62"/>
      <c r="V48" s="62"/>
      <c r="W48" s="62"/>
      <c r="X48" s="62"/>
      <c r="Y48" s="50"/>
      <c r="Z48" s="50"/>
      <c r="AA48" s="50"/>
      <c r="AB48" s="5"/>
      <c r="AC48" s="5"/>
      <c r="AD48" s="49"/>
      <c r="AE48" s="5"/>
      <c r="AF48" s="58"/>
      <c r="AG48" s="58"/>
      <c r="AH48" s="5"/>
      <c r="AI48" s="58"/>
      <c r="AJ48" s="5"/>
      <c r="AK48" s="5"/>
      <c r="AL48" s="5"/>
      <c r="AM48" s="1"/>
      <c r="AO48" s="1"/>
      <c r="AP48" s="1"/>
      <c r="AT48" s="33"/>
      <c r="AW48" s="33"/>
      <c r="AZ48" s="33"/>
    </row>
    <row r="49" spans="1:52" x14ac:dyDescent="0.35">
      <c r="A49">
        <f t="shared" si="3"/>
        <v>2.600000000000001</v>
      </c>
      <c r="B49">
        <f t="shared" si="0"/>
        <v>-1.532612549436682</v>
      </c>
      <c r="C49">
        <f>regressionsbase!$AR$1*$A49</f>
        <v>2.8977190587401251</v>
      </c>
      <c r="D49">
        <f>regressionsbase!$AO$1*$A49</f>
        <v>4.1077701167776492</v>
      </c>
      <c r="E49">
        <f t="shared" si="1"/>
        <v>4.262825568043568</v>
      </c>
      <c r="F49">
        <f t="shared" si="2"/>
        <v>-9.7481527829919798</v>
      </c>
      <c r="G49" s="5">
        <f>B49-regressions!AA$7</f>
        <v>-5.2539011399016369</v>
      </c>
      <c r="H49" s="5">
        <f>B49+regressions!AA$7</f>
        <v>2.1886760410282733</v>
      </c>
      <c r="I49">
        <f>IF($A49&lt;=regressionsbase!$L$2,$A49*regressionsbase!$L$1,regressionsbase!$L$1*regressionsbase!$L$2+regressionsbase!$L$3*($A49-regressionsbase!$L$2))</f>
        <v>-2.2764786397715135</v>
      </c>
      <c r="J49">
        <f>regressionsbase!J$1*A49+regressionsbase!J$2*A49^2</f>
        <v>-1.8963480816631781</v>
      </c>
      <c r="K49">
        <f>regressionsbase!$V$1*A49</f>
        <v>-2.2764786398206023</v>
      </c>
      <c r="L49">
        <f>regressionsbase!$N$1*A49^2</f>
        <v>-1.1518519904835756</v>
      </c>
      <c r="M49">
        <f>regressionsbase!$R$1*A49^2+regressionsbase!$R$2*A49^6</f>
        <v>-0.81050041363248737</v>
      </c>
      <c r="N49">
        <f>regressionsbase!$P$1*A49^2+regressionsbase!$P$2*A49^7</f>
        <v>-1.2292497516401739</v>
      </c>
      <c r="O49">
        <f>regressionsbase!T$2+regressionsbase!T$1*EXP(A49)</f>
        <v>-4.8470887216552599E-2</v>
      </c>
      <c r="P49" s="20">
        <f>(1-EXP(-2*regressionsbase!X$1*graphbase!A49))/2/EXP(-regressionsbase!X$1*A49)</f>
        <v>-1.2073593808457832</v>
      </c>
      <c r="S49" s="64"/>
      <c r="T49" s="64"/>
      <c r="U49" s="64"/>
      <c r="V49" s="64"/>
      <c r="W49" s="64"/>
      <c r="X49" s="64"/>
      <c r="AM49" s="1"/>
      <c r="AT49" s="33"/>
      <c r="AW49" s="33"/>
      <c r="AZ49" s="33"/>
    </row>
    <row r="50" spans="1:52" x14ac:dyDescent="0.35">
      <c r="A50">
        <f t="shared" si="3"/>
        <v>2.7000000000000011</v>
      </c>
      <c r="B50">
        <f t="shared" si="0"/>
        <v>-1.6135509807133672</v>
      </c>
      <c r="C50">
        <f>regressionsbase!$AR$1*$A50</f>
        <v>3.0091697917685916</v>
      </c>
      <c r="D50">
        <f>regressionsbase!$AO$1*$A50</f>
        <v>4.2657612751152509</v>
      </c>
      <c r="E50">
        <f t="shared" si="1"/>
        <v>4.4047886028238157</v>
      </c>
      <c r="F50">
        <f t="shared" si="2"/>
        <v>-10.145073530943868</v>
      </c>
      <c r="G50" s="5">
        <f>B50-regressions!AA$7</f>
        <v>-5.3348395711783221</v>
      </c>
      <c r="H50" s="5">
        <f>B50+regressions!AA$7</f>
        <v>2.1077376097515881</v>
      </c>
      <c r="I50">
        <f>IF($A50&lt;=regressionsbase!$L$2,$A50*regressionsbase!$L$1,regressionsbase!$L$1*regressionsbase!$L$2+regressionsbase!$L$3*($A50-regressionsbase!$L$2))</f>
        <v>-2.3640355105319566</v>
      </c>
      <c r="J50">
        <f>regressionsbase!J$1*A50+regressionsbase!J$2*A50^2</f>
        <v>-1.9879154146868705</v>
      </c>
      <c r="K50">
        <f>regressionsbase!$V$1*A50</f>
        <v>-2.3640355105829332</v>
      </c>
      <c r="L50">
        <f>regressionsbase!$N$1*A50^2</f>
        <v>-1.2421599128143883</v>
      </c>
      <c r="M50">
        <f>regressionsbase!$R$1*A50^2+regressionsbase!$R$2*A50^6</f>
        <v>-0.87411877585527697</v>
      </c>
      <c r="N50">
        <f>regressionsbase!$P$1*A50^2+regressionsbase!$P$2*A50^7</f>
        <v>-1.3255126971533131</v>
      </c>
      <c r="O50">
        <f>regressionsbase!T$2+regressionsbase!T$1*EXP(A50)</f>
        <v>-5.397761964693179E-2</v>
      </c>
      <c r="P50" s="20">
        <f>(1-EXP(-2*regressionsbase!X$1*graphbase!A50))/2/EXP(-regressionsbase!X$1*A50)</f>
        <v>-1.2698488899914104</v>
      </c>
      <c r="S50" s="64"/>
      <c r="T50" s="64"/>
      <c r="U50" s="64"/>
      <c r="V50" s="64"/>
      <c r="W50" s="64"/>
      <c r="X50" s="64"/>
      <c r="AT50" s="33"/>
      <c r="AW50" s="33"/>
      <c r="AZ50" s="33"/>
    </row>
    <row r="51" spans="1:52" x14ac:dyDescent="0.35">
      <c r="A51">
        <f t="shared" si="3"/>
        <v>2.8000000000000012</v>
      </c>
      <c r="B51">
        <f t="shared" si="0"/>
        <v>-1.6962058986658262</v>
      </c>
      <c r="C51">
        <f>regressionsbase!$AR$1*$A51</f>
        <v>3.120620524797058</v>
      </c>
      <c r="D51">
        <f>regressionsbase!$AO$1*$A51</f>
        <v>4.4237524334528526</v>
      </c>
      <c r="E51">
        <f t="shared" si="1"/>
        <v>4.5450351509282898</v>
      </c>
      <c r="F51">
        <f t="shared" si="2"/>
        <v>-10.543710765571532</v>
      </c>
      <c r="G51" s="5">
        <f>B51-regressions!AA$7</f>
        <v>-5.4174944891307817</v>
      </c>
      <c r="H51" s="5">
        <f>B51+regressions!AA$7</f>
        <v>2.0250826917991289</v>
      </c>
      <c r="I51">
        <f>IF($A51&lt;=regressionsbase!$L$2,$A51*regressionsbase!$L$1,regressionsbase!$L$1*regressionsbase!$L$2+regressionsbase!$L$3*($A51-regressionsbase!$L$2))</f>
        <v>-2.4515923812923992</v>
      </c>
      <c r="J51">
        <f>regressionsbase!J$1*A51+regressionsbase!J$2*A51^2</f>
        <v>-2.0808628120323656</v>
      </c>
      <c r="K51">
        <f>regressionsbase!$V$1*A51</f>
        <v>-2.451592381345264</v>
      </c>
      <c r="L51">
        <f>regressionsbase!$N$1*A51^2</f>
        <v>-1.3358756812708923</v>
      </c>
      <c r="M51">
        <f>regressionsbase!$R$1*A51^2+regressionsbase!$R$2*A51^6</f>
        <v>-0.94015536703069502</v>
      </c>
      <c r="N51">
        <f>regressionsbase!$P$1*A51^2+regressionsbase!$P$2*A51^7</f>
        <v>-1.4253759779206254</v>
      </c>
      <c r="O51">
        <f>regressionsbase!T$2+regressionsbase!T$1*EXP(A51)</f>
        <v>-6.0063500182610911E-2</v>
      </c>
      <c r="P51" s="20">
        <f>(1-EXP(-2*regressionsbase!X$1*graphbase!A51))/2/EXP(-regressionsbase!X$1*A51)</f>
        <v>-1.3342956068203136</v>
      </c>
      <c r="S51" s="64"/>
      <c r="T51" s="64"/>
      <c r="U51" s="64"/>
      <c r="V51" s="64"/>
      <c r="W51" s="64"/>
      <c r="X51" s="64"/>
      <c r="AT51" s="33"/>
      <c r="AW51" s="33"/>
      <c r="AZ51" s="33"/>
    </row>
    <row r="52" spans="1:52" x14ac:dyDescent="0.35">
      <c r="A52">
        <f t="shared" si="3"/>
        <v>2.9000000000000012</v>
      </c>
      <c r="B52">
        <f t="shared" si="0"/>
        <v>-1.7805885780120732</v>
      </c>
      <c r="C52">
        <f>regressionsbase!$AR$1*$A52</f>
        <v>3.2320712578255244</v>
      </c>
      <c r="D52">
        <f>regressionsbase!$AO$1*$A52</f>
        <v>4.5817435917904552</v>
      </c>
      <c r="E52">
        <f t="shared" si="1"/>
        <v>4.6835539376389761</v>
      </c>
      <c r="F52">
        <f t="shared" si="2"/>
        <v>-10.944075761592984</v>
      </c>
      <c r="G52" s="5">
        <f>B52-regressions!AA$7</f>
        <v>-5.5018771684770282</v>
      </c>
      <c r="H52" s="5">
        <f>B52+regressions!AA$7</f>
        <v>1.9407000124528819</v>
      </c>
      <c r="I52">
        <f>IF($A52&lt;=regressionsbase!$L$2,$A52*regressionsbase!$L$1,regressionsbase!$L$1*regressionsbase!$L$2+regressionsbase!$L$3*($A52-regressionsbase!$L$2))</f>
        <v>-2.5391492520528423</v>
      </c>
      <c r="J52">
        <f>regressionsbase!J$1*A52+regressionsbase!J$2*A52^2</f>
        <v>-2.1751902736996636</v>
      </c>
      <c r="K52">
        <f>regressionsbase!$V$1*A52</f>
        <v>-2.5391492521075953</v>
      </c>
      <c r="L52">
        <f>regressionsbase!$N$1*A52^2</f>
        <v>-1.4329992958530875</v>
      </c>
      <c r="M52">
        <f>regressionsbase!$R$1*A52^2+regressionsbase!$R$2*A52^6</f>
        <v>-1.0086135562215275</v>
      </c>
      <c r="N52">
        <f>regressionsbase!$P$1*A52^2+regressionsbase!$P$2*A52^7</f>
        <v>-1.5288320246723295</v>
      </c>
      <c r="O52">
        <f>regressionsbase!T$2+regressionsbase!T$1*EXP(A52)</f>
        <v>-6.6789438361526121E-2</v>
      </c>
      <c r="P52" s="20">
        <f>(1-EXP(-2*regressionsbase!X$1*graphbase!A52))/2/EXP(-regressionsbase!X$1*A52)</f>
        <v>-1.4007988625287739</v>
      </c>
      <c r="Q52" s="55"/>
      <c r="S52" s="64"/>
      <c r="T52" s="64"/>
      <c r="U52" s="64"/>
      <c r="V52" s="64"/>
      <c r="W52" s="64"/>
      <c r="X52" s="64"/>
      <c r="AB52" s="59"/>
      <c r="AE52" s="1"/>
      <c r="AO52" s="1"/>
      <c r="AP52" s="1"/>
      <c r="AT52" s="33"/>
      <c r="AW52" s="33"/>
      <c r="AZ52" s="33"/>
    </row>
    <row r="53" spans="1:52" x14ac:dyDescent="0.35">
      <c r="A53">
        <f t="shared" si="3"/>
        <v>3.0000000000000013</v>
      </c>
      <c r="B53">
        <f t="shared" si="0"/>
        <v>-1.8667106295241207</v>
      </c>
      <c r="C53">
        <f>regressionsbase!$AR$1*$A53</f>
        <v>3.3435219908539908</v>
      </c>
      <c r="D53">
        <f>regressionsbase!$AO$1*$A53</f>
        <v>4.7397347501280569</v>
      </c>
      <c r="E53">
        <f t="shared" si="1"/>
        <v>4.8203333521838605</v>
      </c>
      <c r="F53">
        <f t="shared" si="2"/>
        <v>-11.346180129780235</v>
      </c>
      <c r="G53" s="5">
        <f>B53-regressions!AA$7</f>
        <v>-5.5879992199890758</v>
      </c>
      <c r="H53" s="5">
        <f>B53+regressions!AA$7</f>
        <v>1.8545779609408344</v>
      </c>
      <c r="I53">
        <f>IF($A53&lt;=regressionsbase!$L$2,$A53*regressionsbase!$L$1,regressionsbase!$L$1*regressionsbase!$L$2+regressionsbase!$L$3*($A53-regressionsbase!$L$2))</f>
        <v>-2.6267061228132849</v>
      </c>
      <c r="J53">
        <f>regressionsbase!J$1*A53+regressionsbase!J$2*A53^2</f>
        <v>-2.2708977996887647</v>
      </c>
      <c r="K53">
        <f>regressionsbase!$V$1*A53</f>
        <v>-2.6267061228699262</v>
      </c>
      <c r="L53">
        <f>regressionsbase!$N$1*A53^2</f>
        <v>-1.5335307565609733</v>
      </c>
      <c r="M53">
        <f>regressionsbase!$R$1*A53^2+regressionsbase!$R$2*A53^6</f>
        <v>-1.0794970932953996</v>
      </c>
      <c r="N53">
        <f>regressionsbase!$P$1*A53^2+regressionsbase!$P$2*A53^7</f>
        <v>-1.6358721068231825</v>
      </c>
      <c r="O53">
        <f>regressionsbase!T$2+regressionsbase!T$1*EXP(A53)</f>
        <v>-7.4222749633637869E-2</v>
      </c>
      <c r="P53" s="20">
        <f>(1-EXP(-2*regressionsbase!X$1*graphbase!A53))/2/EXP(-regressionsbase!X$1*A53)</f>
        <v>-1.4694611580395871</v>
      </c>
      <c r="Q53" s="55"/>
      <c r="R53" s="63"/>
      <c r="S53" s="62"/>
      <c r="T53" s="63"/>
      <c r="U53" s="63"/>
      <c r="V53" s="63"/>
      <c r="W53" s="63"/>
      <c r="X53" s="63"/>
      <c r="Y53" s="50"/>
      <c r="Z53" s="52"/>
      <c r="AA53" s="52"/>
      <c r="AB53" s="57"/>
      <c r="AC53" s="57"/>
      <c r="AD53" s="1"/>
      <c r="AE53" s="53"/>
      <c r="AF53" s="53"/>
      <c r="AK53" s="5"/>
      <c r="AL53" s="1"/>
      <c r="AM53" s="1"/>
      <c r="AO53" s="1"/>
      <c r="AP53" s="1"/>
      <c r="AT53" s="33"/>
      <c r="AW53" s="33"/>
      <c r="AZ53" s="33"/>
    </row>
    <row r="54" spans="1:52" x14ac:dyDescent="0.35">
      <c r="A54">
        <f t="shared" si="3"/>
        <v>3.1000000000000014</v>
      </c>
      <c r="B54">
        <f t="shared" si="0"/>
        <v>-1.9545840120551452</v>
      </c>
      <c r="C54">
        <f>regressionsbase!$AR$1*$A54</f>
        <v>3.4549727238824572</v>
      </c>
      <c r="D54">
        <f>regressionsbase!$AO$1*$A54</f>
        <v>4.8977259084656586</v>
      </c>
      <c r="E54">
        <f t="shared" si="1"/>
        <v>4.9553614357097695</v>
      </c>
      <c r="F54">
        <f t="shared" si="2"/>
        <v>-11.750035828986462</v>
      </c>
      <c r="G54" s="5">
        <f>B54-regressions!AA$7</f>
        <v>-5.6758726025201005</v>
      </c>
      <c r="H54" s="5">
        <f>B54+regressions!AA$7</f>
        <v>1.7667045784098099</v>
      </c>
      <c r="I54">
        <f>IF($A54&lt;=regressionsbase!$L$2,$A54*regressionsbase!$L$1,regressionsbase!$L$1*regressionsbase!$L$2+regressionsbase!$L$3*($A54-regressionsbase!$L$2))</f>
        <v>-2.7142629935737279</v>
      </c>
      <c r="J54">
        <f>regressionsbase!J$1*A54+regressionsbase!J$2*A54^2</f>
        <v>-2.367985389999669</v>
      </c>
      <c r="K54">
        <f>regressionsbase!$V$1*A54</f>
        <v>-2.7142629936322571</v>
      </c>
      <c r="L54">
        <f>regressionsbase!$N$1*A54^2</f>
        <v>-1.6374700633945505</v>
      </c>
      <c r="M54">
        <f>regressionsbase!$R$1*A54^2+regressionsbase!$R$2*A54^6</f>
        <v>-1.1528101365990757</v>
      </c>
      <c r="N54">
        <f>regressionsbase!$P$1*A54^2+regressionsbase!$P$2*A54^7</f>
        <v>-1.7464862036605122</v>
      </c>
      <c r="O54">
        <f>regressionsbase!T$2+regressionsbase!T$1*EXP(A54)</f>
        <v>-8.2437829076579691E-2</v>
      </c>
      <c r="P54" s="20">
        <f>(1-EXP(-2*regressionsbase!X$1*graphbase!A54))/2/EXP(-regressionsbase!X$1*A54)</f>
        <v>-1.5403883219858956</v>
      </c>
      <c r="AK54" s="1"/>
      <c r="AL54" s="1"/>
      <c r="AT54" s="33"/>
      <c r="AW54" s="33"/>
      <c r="AZ54" s="33"/>
    </row>
    <row r="55" spans="1:52" x14ac:dyDescent="0.35">
      <c r="A55">
        <f t="shared" si="3"/>
        <v>3.2000000000000015</v>
      </c>
      <c r="B55">
        <f t="shared" si="0"/>
        <v>-2.044221044507486</v>
      </c>
      <c r="C55">
        <f>regressionsbase!$AR$1*$A55</f>
        <v>3.5664234569109237</v>
      </c>
      <c r="D55">
        <f>regressionsbase!$AO$1*$A55</f>
        <v>5.0557170668032603</v>
      </c>
      <c r="E55">
        <f t="shared" si="1"/>
        <v>5.0886258693143613</v>
      </c>
      <c r="F55">
        <f t="shared" si="2"/>
        <v>-12.155655178114007</v>
      </c>
      <c r="G55" s="5">
        <f>B55-regressions!AA$7</f>
        <v>-5.7655096349724406</v>
      </c>
      <c r="H55" s="5">
        <f>B55+regressions!AA$7</f>
        <v>1.6770675459574691</v>
      </c>
      <c r="I55">
        <f>IF($A55&lt;=regressionsbase!$L$2,$A55*regressionsbase!$L$1,regressionsbase!$L$1*regressionsbase!$L$2+regressionsbase!$L$3*($A55-regressionsbase!$L$2))</f>
        <v>-2.801819864334171</v>
      </c>
      <c r="J55">
        <f>regressionsbase!J$1*A55+regressionsbase!J$2*A55^2</f>
        <v>-2.4664530446323756</v>
      </c>
      <c r="K55">
        <f>regressionsbase!$V$1*A55</f>
        <v>-2.801819864394588</v>
      </c>
      <c r="L55">
        <f>regressionsbase!$N$1*A55^2</f>
        <v>-1.7448172163538187</v>
      </c>
      <c r="M55">
        <f>regressionsbase!$R$1*A55^2+regressionsbase!$R$2*A55^6</f>
        <v>-1.2285572816037866</v>
      </c>
      <c r="N55">
        <f>regressionsbase!$P$1*A55^2+regressionsbase!$P$2*A55^7</f>
        <v>-1.8606628663389371</v>
      </c>
      <c r="O55">
        <f>regressionsbase!T$2+regressionsbase!T$1*EXP(A55)</f>
        <v>-9.1516895966600079E-2</v>
      </c>
      <c r="P55" s="20">
        <f>(1-EXP(-2*regressionsbase!X$1*graphbase!A55))/2/EXP(-regressionsbase!X$1*A55)</f>
        <v>-1.613689673823993</v>
      </c>
      <c r="Q55" s="1"/>
      <c r="AE55" s="53"/>
      <c r="AO55" s="1"/>
      <c r="AP55" s="1"/>
      <c r="AT55" s="33"/>
      <c r="AW55" s="33"/>
      <c r="AZ55" s="33"/>
    </row>
    <row r="56" spans="1:52" x14ac:dyDescent="0.35">
      <c r="A56">
        <f t="shared" si="3"/>
        <v>3.3000000000000016</v>
      </c>
      <c r="B56">
        <f t="shared" si="0"/>
        <v>-2.1356344177422422</v>
      </c>
      <c r="C56">
        <f>regressionsbase!$AR$1*$A56</f>
        <v>3.6778741899393901</v>
      </c>
      <c r="D56">
        <f>regressionsbase!$AO$1*$A56</f>
        <v>5.2137082251408629</v>
      </c>
      <c r="E56">
        <f t="shared" si="1"/>
        <v>5.220113962136538</v>
      </c>
      <c r="F56">
        <f t="shared" si="2"/>
        <v>-12.563050868023968</v>
      </c>
      <c r="G56" s="5">
        <f>B56-regressions!AA$7</f>
        <v>-5.8569230082071968</v>
      </c>
      <c r="H56" s="5">
        <f>B56+regressions!AA$7</f>
        <v>1.5856541727227129</v>
      </c>
      <c r="I56">
        <f>IF($A56&lt;=regressionsbase!$L$2,$A56*regressionsbase!$L$1,regressionsbase!$L$1*regressionsbase!$L$2+regressionsbase!$L$3*($A56-regressionsbase!$L$2))</f>
        <v>-2.8893767350946136</v>
      </c>
      <c r="J56">
        <f>regressionsbase!J$1*A56+regressionsbase!J$2*A56^2</f>
        <v>-2.5663007635868853</v>
      </c>
      <c r="K56">
        <f>regressionsbase!$V$1*A56</f>
        <v>-2.8893767351569188</v>
      </c>
      <c r="L56">
        <f>regressionsbase!$N$1*A56^2</f>
        <v>-1.8555722154387781</v>
      </c>
      <c r="M56">
        <f>regressionsbase!$R$1*A56^2+regressionsbase!$R$2*A56^6</f>
        <v>-1.3067435905215856</v>
      </c>
      <c r="N56">
        <f>regressionsbase!$P$1*A56^2+regressionsbase!$P$2*A56^7</f>
        <v>-1.9783890703647742</v>
      </c>
      <c r="O56">
        <f>regressionsbase!T$2+regressionsbase!T$1*EXP(A56)</f>
        <v>-0.10155081665671413</v>
      </c>
      <c r="P56" s="20">
        <f>(1-EXP(-2*regressionsbase!X$1*graphbase!A56))/2/EXP(-regressionsbase!X$1*A56)</f>
        <v>-1.6894781923265056</v>
      </c>
      <c r="AK56" s="1"/>
      <c r="AL56" s="1"/>
      <c r="AT56" s="33"/>
      <c r="AW56" s="33"/>
      <c r="AZ56" s="33"/>
    </row>
    <row r="57" spans="1:52" x14ac:dyDescent="0.35">
      <c r="A57">
        <f t="shared" si="3"/>
        <v>3.4000000000000017</v>
      </c>
      <c r="B57">
        <f t="shared" si="0"/>
        <v>-2.2288372064325408</v>
      </c>
      <c r="C57">
        <f>regressionsbase!$AR$1*$A57</f>
        <v>3.7893249229678565</v>
      </c>
      <c r="D57">
        <f>regressionsbase!$AO$1*$A57</f>
        <v>5.3716993834784645</v>
      </c>
      <c r="E57">
        <f t="shared" si="1"/>
        <v>5.3498126395031722</v>
      </c>
      <c r="F57">
        <f t="shared" si="2"/>
        <v>-12.97223597338947</v>
      </c>
      <c r="G57" s="5">
        <f>B57-regressions!AA$7</f>
        <v>-5.9501257968974954</v>
      </c>
      <c r="H57" s="5">
        <f>B57+regressions!AA$7</f>
        <v>1.4924513840324143</v>
      </c>
      <c r="I57">
        <f>IF($A57&lt;=regressionsbase!$L$2,$A57*regressionsbase!$L$1,regressionsbase!$L$1*regressionsbase!$L$2+regressionsbase!$L$3*($A57-regressionsbase!$L$2))</f>
        <v>-2.9769336058550566</v>
      </c>
      <c r="J57">
        <f>regressionsbase!J$1*A57+regressionsbase!J$2*A57^2</f>
        <v>-2.6675285468631982</v>
      </c>
      <c r="K57">
        <f>regressionsbase!$V$1*A57</f>
        <v>-2.9769336059192497</v>
      </c>
      <c r="L57">
        <f>regressionsbase!$N$1*A57^2</f>
        <v>-1.9697350606494284</v>
      </c>
      <c r="M57">
        <f>regressionsbase!$R$1*A57^2+regressionsbase!$R$2*A57^6</f>
        <v>-1.3873746228927326</v>
      </c>
      <c r="N57">
        <f>regressionsbase!$P$1*A57^2+regressionsbase!$P$2*A57^7</f>
        <v>-2.0996500582531152</v>
      </c>
      <c r="O57">
        <f>regressionsbase!T$2+regressionsbase!T$1*EXP(A57)</f>
        <v>-0.11264001399770571</v>
      </c>
      <c r="P57" s="20">
        <f>(1-EXP(-2*regressionsbase!X$1*graphbase!A57))/2/EXP(-regressionsbase!X$1*A57)</f>
        <v>-1.7678706897156482</v>
      </c>
      <c r="AT57" s="33"/>
      <c r="AW57" s="33"/>
      <c r="AZ57" s="33"/>
    </row>
    <row r="58" spans="1:52" x14ac:dyDescent="0.35">
      <c r="A58">
        <f t="shared" si="3"/>
        <v>3.5000000000000018</v>
      </c>
      <c r="B58">
        <f t="shared" si="0"/>
        <v>-2.3238428808639005</v>
      </c>
      <c r="C58">
        <f>regressionsbase!$AR$1*$A58</f>
        <v>3.9007756559963229</v>
      </c>
      <c r="D58">
        <f>regressionsbase!$AO$1*$A58</f>
        <v>5.5296905418160662</v>
      </c>
      <c r="E58">
        <f t="shared" si="1"/>
        <v>5.4777084311287449</v>
      </c>
      <c r="F58">
        <f t="shared" si="2"/>
        <v>-13.383223964496032</v>
      </c>
      <c r="G58" s="5">
        <f>B58-regressions!AA$7</f>
        <v>-6.0451314713288555</v>
      </c>
      <c r="H58" s="5">
        <f>B58+regressions!AA$7</f>
        <v>1.3974457096010546</v>
      </c>
      <c r="I58">
        <f>IF($A58&lt;=regressionsbase!$L$2,$A58*regressionsbase!$L$1,regressionsbase!$L$1*regressionsbase!$L$2+regressionsbase!$L$3*($A58-regressionsbase!$L$2))</f>
        <v>-3.0644904766154992</v>
      </c>
      <c r="J58">
        <f>regressionsbase!J$1*A58+regressionsbase!J$2*A58^2</f>
        <v>-2.7701363944613138</v>
      </c>
      <c r="K58">
        <f>regressionsbase!$V$1*A58</f>
        <v>-3.0644904766815806</v>
      </c>
      <c r="L58">
        <f>regressionsbase!$N$1*A58^2</f>
        <v>-2.0873057519857698</v>
      </c>
      <c r="M58">
        <f>regressionsbase!$R$1*A58^2+regressionsbase!$R$2*A58^6</f>
        <v>-1.4704564671441072</v>
      </c>
      <c r="N58">
        <f>regressionsbase!$P$1*A58^2+regressionsbase!$P$2*A58^7</f>
        <v>-2.2244291720405656</v>
      </c>
      <c r="O58">
        <f>regressionsbase!T$2+regressionsbase!T$1*EXP(A58)</f>
        <v>-0.12489547240377143</v>
      </c>
      <c r="P58" s="20">
        <f>(1-EXP(-2*regressionsbase!X$1*graphbase!A58))/2/EXP(-regressionsbase!X$1*A58)</f>
        <v>-1.8489879917049452</v>
      </c>
      <c r="AT58" s="33"/>
      <c r="AW58" s="33"/>
      <c r="AZ58" s="33"/>
    </row>
    <row r="59" spans="1:52" x14ac:dyDescent="0.35">
      <c r="A59">
        <f t="shared" si="3"/>
        <v>3.6000000000000019</v>
      </c>
      <c r="B59">
        <f t="shared" si="0"/>
        <v>-2.4206653186865834</v>
      </c>
      <c r="C59">
        <f>regressionsbase!$AR$1*$A59</f>
        <v>4.0122263890247893</v>
      </c>
      <c r="D59">
        <f>regressionsbase!$AO$1*$A59</f>
        <v>5.6876817001536688</v>
      </c>
      <c r="E59">
        <f t="shared" si="1"/>
        <v>5.6037874593629953</v>
      </c>
      <c r="F59">
        <f t="shared" si="2"/>
        <v>-13.79602871899392</v>
      </c>
      <c r="G59" s="5">
        <f>B59-regressions!AA$7</f>
        <v>-6.1419539091515389</v>
      </c>
      <c r="H59" s="5">
        <f>B59+regressions!AA$7</f>
        <v>1.3006232717783717</v>
      </c>
      <c r="I59">
        <f>IF($A59&lt;=regressionsbase!$L$2,$A59*regressionsbase!$L$1,regressionsbase!$L$1*regressionsbase!$L$2+regressionsbase!$L$3*($A59-regressionsbase!$L$2))</f>
        <v>-3.1520473473759423</v>
      </c>
      <c r="J59">
        <f>regressionsbase!J$1*A59+regressionsbase!J$2*A59^2</f>
        <v>-2.8741243063812325</v>
      </c>
      <c r="K59">
        <f>regressionsbase!$V$1*A59</f>
        <v>-3.1520473474439115</v>
      </c>
      <c r="L59">
        <f>regressionsbase!$N$1*A59^2</f>
        <v>-2.2082842894478021</v>
      </c>
      <c r="M59">
        <f>regressionsbase!$R$1*A59^2+regressionsbase!$R$2*A59^6</f>
        <v>-1.5559957731186462</v>
      </c>
      <c r="N59">
        <f>regressionsbase!$P$1*A59^2+regressionsbase!$P$2*A59^7</f>
        <v>-2.3527076753366321</v>
      </c>
      <c r="O59">
        <f>regressionsbase!T$2+regressionsbase!T$1*EXP(A59)</f>
        <v>-0.13843984862184094</v>
      </c>
      <c r="P59" s="20">
        <f>(1-EXP(-2*regressionsbase!X$1*graphbase!A59))/2/EXP(-regressionsbase!X$1*A59)</f>
        <v>-1.932955123726912</v>
      </c>
      <c r="AT59" s="33"/>
      <c r="AW59" s="33"/>
      <c r="AZ59" s="33"/>
    </row>
    <row r="60" spans="1:52" x14ac:dyDescent="0.35">
      <c r="A60">
        <f t="shared" si="3"/>
        <v>3.700000000000002</v>
      </c>
      <c r="B60">
        <f t="shared" si="0"/>
        <v>-2.5193188166263694</v>
      </c>
      <c r="C60">
        <f>regressionsbase!$AR$1*$A60</f>
        <v>4.1236771220532553</v>
      </c>
      <c r="D60">
        <f>regressionsbase!$AO$1*$A60</f>
        <v>5.8456728584912705</v>
      </c>
      <c r="E60">
        <f t="shared" si="1"/>
        <v>5.7280354274801413</v>
      </c>
      <c r="F60">
        <f t="shared" si="2"/>
        <v>-14.210664533608909</v>
      </c>
      <c r="G60" s="5">
        <f>B60-regressions!AA$7</f>
        <v>-6.2406074070913249</v>
      </c>
      <c r="H60" s="5">
        <f>B60+regressions!AA$7</f>
        <v>1.2019697738385857</v>
      </c>
      <c r="I60">
        <f>IF($A60&lt;=regressionsbase!$L$2,$A60*regressionsbase!$L$1,regressionsbase!$L$1*regressionsbase!$L$2+regressionsbase!$L$3*($A60-regressionsbase!$L$2))</f>
        <v>-3.2396042181363853</v>
      </c>
      <c r="J60">
        <f>regressionsbase!J$1*A60+regressionsbase!J$2*A60^2</f>
        <v>-2.979492282622954</v>
      </c>
      <c r="K60">
        <f>regressionsbase!$V$1*A60</f>
        <v>-3.2396042182062423</v>
      </c>
      <c r="L60">
        <f>regressionsbase!$N$1*A60^2</f>
        <v>-2.3326706730355253</v>
      </c>
      <c r="M60">
        <f>regressionsbase!$R$1*A60^2+regressionsbase!$R$2*A60^6</f>
        <v>-1.6439997855758148</v>
      </c>
      <c r="N60">
        <f>regressionsbase!$P$1*A60^2+regressionsbase!$P$2*A60^7</f>
        <v>-2.4844645645967542</v>
      </c>
      <c r="O60">
        <f>regressionsbase!T$2+regressionsbase!T$1*EXP(A60)</f>
        <v>-0.15340869932152681</v>
      </c>
      <c r="P60" s="20">
        <f>(1-EXP(-2*regressionsbase!X$1*graphbase!A60))/2/EXP(-regressionsbase!X$1*A60)</f>
        <v>-2.019901503633728</v>
      </c>
      <c r="Q60" s="5"/>
      <c r="AE60" s="58"/>
      <c r="AO60" s="1"/>
      <c r="AP60" s="1"/>
      <c r="AT60" s="33"/>
      <c r="AW60" s="33"/>
      <c r="AZ60" s="33"/>
    </row>
    <row r="61" spans="1:52" x14ac:dyDescent="0.35">
      <c r="A61">
        <f t="shared" si="3"/>
        <v>3.800000000000002</v>
      </c>
      <c r="B61">
        <f t="shared" si="0"/>
        <v>-2.6198181021618456</v>
      </c>
      <c r="C61">
        <f>regressionsbase!$AR$1*$A61</f>
        <v>4.2351278550817222</v>
      </c>
      <c r="D61">
        <f>regressionsbase!$AO$1*$A61</f>
        <v>6.0036640168288722</v>
      </c>
      <c r="E61">
        <f t="shared" si="1"/>
        <v>5.8504376080015987</v>
      </c>
      <c r="F61">
        <f t="shared" si="2"/>
        <v>-14.62714613581959</v>
      </c>
      <c r="G61" s="5">
        <f>B61-regressions!AA$7</f>
        <v>-6.3411066926268003</v>
      </c>
      <c r="H61" s="5">
        <f>B61+regressions!AA$7</f>
        <v>1.1014704883031095</v>
      </c>
      <c r="I61">
        <f>IF($A61&lt;=regressionsbase!$L$2,$A61*regressionsbase!$L$1,regressionsbase!$L$1*regressionsbase!$L$2+regressionsbase!$L$3*($A61-regressionsbase!$L$2))</f>
        <v>-3.3271610888968279</v>
      </c>
      <c r="J61">
        <f>regressionsbase!J$1*A61+regressionsbase!J$2*A61^2</f>
        <v>-3.0862403231864786</v>
      </c>
      <c r="K61">
        <f>regressionsbase!$V$1*A61</f>
        <v>-3.3271610889685732</v>
      </c>
      <c r="L61">
        <f>regressionsbase!$N$1*A61^2</f>
        <v>-2.46046490274894</v>
      </c>
      <c r="M61">
        <f>regressionsbase!$R$1*A61^2+regressionsbase!$R$2*A61^6</f>
        <v>-1.7344763786631017</v>
      </c>
      <c r="N61">
        <f>regressionsbase!$P$1*A61^2+regressionsbase!$P$2*A61^7</f>
        <v>-2.6196763692999583</v>
      </c>
      <c r="O61">
        <f>regressionsbase!T$2+regressionsbase!T$1*EXP(A61)</f>
        <v>-0.16995183779183598</v>
      </c>
      <c r="P61" s="20">
        <f>(1-EXP(-2*regressionsbase!X$1*graphbase!A61))/2/EXP(-regressionsbase!X$1*A61)</f>
        <v>-2.1099611411679136</v>
      </c>
      <c r="AT61" s="33"/>
      <c r="AW61" s="33"/>
      <c r="AZ61" s="33"/>
    </row>
    <row r="62" spans="1:52" x14ac:dyDescent="0.35">
      <c r="A62">
        <f t="shared" si="3"/>
        <v>3.9000000000000021</v>
      </c>
      <c r="B62">
        <f t="shared" si="0"/>
        <v>-2.7221783451780461</v>
      </c>
      <c r="C62">
        <f>regressionsbase!$AR$1*$A62</f>
        <v>4.3465785881101882</v>
      </c>
      <c r="D62">
        <f>regressionsbase!$AO$1*$A62</f>
        <v>6.1616551751664748</v>
      </c>
      <c r="E62">
        <f t="shared" si="1"/>
        <v>5.9709788310423306</v>
      </c>
      <c r="F62">
        <f t="shared" si="2"/>
        <v>-15.045488695510995</v>
      </c>
      <c r="G62" s="5">
        <f>B62-regressions!AA$7</f>
        <v>-6.4434669356430012</v>
      </c>
      <c r="H62" s="5">
        <f>B62+regressions!AA$7</f>
        <v>0.99911024528690895</v>
      </c>
      <c r="I62">
        <f>IF($A62&lt;=regressionsbase!$L$2,$A62*regressionsbase!$L$1,regressionsbase!$L$1*regressionsbase!$L$2+regressionsbase!$L$3*($A62-regressionsbase!$L$2))</f>
        <v>-3.414717959657271</v>
      </c>
      <c r="J62">
        <f>regressionsbase!J$1*A62+regressionsbase!J$2*A62^2</f>
        <v>-3.1943684280718054</v>
      </c>
      <c r="K62">
        <f>regressionsbase!$V$1*A62</f>
        <v>-3.4147179597309041</v>
      </c>
      <c r="L62">
        <f>regressionsbase!$N$1*A62^2</f>
        <v>-2.5916669785880457</v>
      </c>
      <c r="M62">
        <f>regressionsbase!$R$1*A62^2+regressionsbase!$R$2*A62^6</f>
        <v>-1.8274340913585418</v>
      </c>
      <c r="N62">
        <f>regressionsbase!$P$1*A62^2+regressionsbase!$P$2*A62^7</f>
        <v>-2.7583169407141388</v>
      </c>
      <c r="O62">
        <f>regressionsbase!T$2+regressionsbase!T$1*EXP(A62)</f>
        <v>-0.1882348333229201</v>
      </c>
      <c r="P62" s="20">
        <f>(1-EXP(-2*regressionsbase!X$1*graphbase!A62))/2/EXP(-regressionsbase!X$1*A62)</f>
        <v>-2.2032728445104452</v>
      </c>
      <c r="AT62" s="33"/>
      <c r="AW62" s="33"/>
      <c r="AZ62" s="33"/>
    </row>
    <row r="63" spans="1:52" x14ac:dyDescent="0.35">
      <c r="A63">
        <f t="shared" si="3"/>
        <v>4.0000000000000018</v>
      </c>
      <c r="B63">
        <f t="shared" si="0"/>
        <v>-2.8264151696081661</v>
      </c>
      <c r="C63">
        <f>regressionsbase!$AR$1*$A63</f>
        <v>4.4580293211386541</v>
      </c>
      <c r="D63">
        <f>regressionsbase!$AO$1*$A63</f>
        <v>6.3196463335040756</v>
      </c>
      <c r="E63">
        <f t="shared" si="1"/>
        <v>6.0896434726691417</v>
      </c>
      <c r="F63">
        <f t="shared" si="2"/>
        <v>-15.465707836616318</v>
      </c>
      <c r="G63" s="5">
        <f>B63-regressions!AA$7</f>
        <v>-6.5477037600731212</v>
      </c>
      <c r="H63" s="5">
        <f>B63+regressions!AA$7</f>
        <v>0.894873420856789</v>
      </c>
      <c r="I63">
        <f>IF($A63&lt;=regressionsbase!$L$2,$A63*regressionsbase!$L$1,regressionsbase!$L$1*regressionsbase!$L$2+regressionsbase!$L$3*($A63-regressionsbase!$L$2))</f>
        <v>-3.5022748304177136</v>
      </c>
      <c r="J63">
        <f>regressionsbase!J$1*A63+regressionsbase!J$2*A63^2</f>
        <v>-3.303876597278935</v>
      </c>
      <c r="K63">
        <f>regressionsbase!$V$1*A63</f>
        <v>-3.502274830493235</v>
      </c>
      <c r="L63">
        <f>regressionsbase!$N$1*A63^2</f>
        <v>-2.7262769005528416</v>
      </c>
      <c r="M63">
        <f>regressionsbase!$R$1*A63^2+regressionsbase!$R$2*A63^6</f>
        <v>-1.9228821638842712</v>
      </c>
      <c r="N63">
        <f>regressionsbase!$P$1*A63^2+regressionsbase!$P$2*A63^7</f>
        <v>-2.9003572289319388</v>
      </c>
      <c r="O63">
        <f>regressionsbase!T$2+regressionsbase!T$1*EXP(A63)</f>
        <v>-0.2084406682791812</v>
      </c>
      <c r="P63" s="20">
        <f>(1-EXP(-2*regressionsbase!X$1*graphbase!A63))/2/EXP(-regressionsbase!X$1*A63)</f>
        <v>-2.2999804342246666</v>
      </c>
      <c r="Q63" s="5"/>
      <c r="AB63" s="61"/>
      <c r="AC63" s="49"/>
      <c r="AD63" s="61"/>
      <c r="AE63" s="58"/>
      <c r="AF63" s="58"/>
      <c r="AO63" s="1"/>
      <c r="AP63" s="1"/>
      <c r="AT63" s="33"/>
      <c r="AW63" s="33"/>
      <c r="AZ63" s="33"/>
    </row>
    <row r="64" spans="1:52" x14ac:dyDescent="0.35">
      <c r="A64">
        <f t="shared" si="3"/>
        <v>4.1000000000000014</v>
      </c>
      <c r="B64">
        <f t="shared" si="0"/>
        <v>-2.9325446650770486</v>
      </c>
      <c r="C64">
        <f>regressionsbase!$AR$1*$A64</f>
        <v>4.5694800541671201</v>
      </c>
      <c r="D64">
        <f>regressionsbase!$AO$1*$A64</f>
        <v>6.4776374918416773</v>
      </c>
      <c r="E64">
        <f t="shared" si="1"/>
        <v>6.2064154432571916</v>
      </c>
      <c r="F64">
        <f t="shared" si="2"/>
        <v>-15.887819648760402</v>
      </c>
      <c r="G64" s="5">
        <f>B64-regressions!AA$7</f>
        <v>-6.6538332555420041</v>
      </c>
      <c r="H64" s="5">
        <f>B64+regressions!AA$7</f>
        <v>0.7887439253879065</v>
      </c>
      <c r="I64">
        <f>IF($A64&lt;=regressionsbase!$L$2,$A64*regressionsbase!$L$1,regressionsbase!$L$1*regressionsbase!$L$2+regressionsbase!$L$3*($A64-regressionsbase!$L$2))</f>
        <v>-3.5898317011781558</v>
      </c>
      <c r="J64">
        <f>regressionsbase!J$1*A64+regressionsbase!J$2*A64^2</f>
        <v>-3.4147648308078677</v>
      </c>
      <c r="K64">
        <f>regressionsbase!$V$1*A64</f>
        <v>-3.5898317012555654</v>
      </c>
      <c r="L64">
        <f>regressionsbase!$N$1*A64^2</f>
        <v>-2.8642946686433288</v>
      </c>
      <c r="M64">
        <f>regressionsbase!$R$1*A64^2+regressionsbase!$R$2*A64^6</f>
        <v>-2.0208305750911064</v>
      </c>
      <c r="N64">
        <f>regressionsbase!$P$1*A64^2+regressionsbase!$P$2*A64^7</f>
        <v>-3.0457650478602378</v>
      </c>
      <c r="O64">
        <f>regressionsbase!T$2+regressionsbase!T$1*EXP(A64)</f>
        <v>-0.23077156944827731</v>
      </c>
      <c r="P64" s="20">
        <f>(1-EXP(-2*regressionsbase!X$1*graphbase!A64))/2/EXP(-regressionsbase!X$1*A64)</f>
        <v>-2.4002329649257481</v>
      </c>
      <c r="AT64" s="33"/>
      <c r="AW64" s="33"/>
      <c r="AZ64" s="33"/>
    </row>
    <row r="65" spans="1:52" x14ac:dyDescent="0.35">
      <c r="A65">
        <f t="shared" si="3"/>
        <v>4.2000000000000011</v>
      </c>
      <c r="B65">
        <f t="shared" si="0"/>
        <v>-3.0405833985622817</v>
      </c>
      <c r="C65">
        <f>regressionsbase!$AR$1*$A65</f>
        <v>4.6809307871955861</v>
      </c>
      <c r="D65">
        <f>regressionsbase!$AO$1*$A65</f>
        <v>6.6356286501792781</v>
      </c>
      <c r="E65">
        <f t="shared" si="1"/>
        <v>6.3212781758288905</v>
      </c>
      <c r="F65">
        <f t="shared" si="2"/>
        <v>-16.31184069892084</v>
      </c>
      <c r="G65" s="5">
        <f>B65-regressions!AA$7</f>
        <v>-6.7618719890272363</v>
      </c>
      <c r="H65" s="5">
        <f>B65+regressions!AA$7</f>
        <v>0.68070519190267342</v>
      </c>
      <c r="I65">
        <f>IF($A65&lt;=regressionsbase!$L$2,$A65*regressionsbase!$L$1,regressionsbase!$L$1*regressionsbase!$L$2+regressionsbase!$L$3*($A65-regressionsbase!$L$2))</f>
        <v>-3.6773885719385984</v>
      </c>
      <c r="J65">
        <f>regressionsbase!J$1*A65+regressionsbase!J$2*A65^2</f>
        <v>-3.5270331286586032</v>
      </c>
      <c r="K65">
        <f>regressionsbase!$V$1*A65</f>
        <v>-3.6773885720178958</v>
      </c>
      <c r="L65">
        <f>regressionsbase!$N$1*A65^2</f>
        <v>-3.0057202828595067</v>
      </c>
      <c r="M65">
        <f>regressionsbase!$R$1*A65^2+regressionsbase!$R$2*A65^6</f>
        <v>-2.1212900808141524</v>
      </c>
      <c r="N65">
        <f>regressionsbase!$P$1*A65^2+regressionsbase!$P$2*A65^7</f>
        <v>-3.1945048278462163</v>
      </c>
      <c r="O65">
        <f>regressionsbase!T$2+regressionsbase!T$1*EXP(A65)</f>
        <v>-0.25545103199478381</v>
      </c>
      <c r="P65" s="20">
        <f>(1-EXP(-2*regressionsbase!X$1*graphbase!A65))/2/EXP(-regressionsbase!X$1*A65)</f>
        <v>-2.5041849550173367</v>
      </c>
      <c r="AT65" s="33"/>
      <c r="AW65" s="33"/>
      <c r="AZ65" s="33"/>
    </row>
    <row r="66" spans="1:52" x14ac:dyDescent="0.35">
      <c r="A66">
        <f t="shared" si="3"/>
        <v>4.3000000000000007</v>
      </c>
      <c r="B66">
        <f t="shared" si="0"/>
        <v>-3.150548426091011</v>
      </c>
      <c r="C66">
        <f>regressionsbase!$AR$1*$A66</f>
        <v>4.7923815202240521</v>
      </c>
      <c r="D66">
        <f>regressionsbase!$AO$1*$A66</f>
        <v>6.7936198085168797</v>
      </c>
      <c r="E66">
        <f t="shared" si="1"/>
        <v>6.4342146143570931</v>
      </c>
      <c r="F66">
        <f t="shared" si="2"/>
        <v>-16.73778804312477</v>
      </c>
      <c r="G66" s="5">
        <f>B66-regressions!AA$7</f>
        <v>-6.8718370165559666</v>
      </c>
      <c r="H66" s="5">
        <f>B66+regressions!AA$7</f>
        <v>0.57074016437394404</v>
      </c>
      <c r="I66">
        <f>IF($A66&lt;=regressionsbase!$L$2,$A66*regressionsbase!$L$1,regressionsbase!$L$1*regressionsbase!$L$2+regressionsbase!$L$3*($A66-regressionsbase!$L$2))</f>
        <v>-3.764945442699041</v>
      </c>
      <c r="J66">
        <f>regressionsbase!J$1*A66+regressionsbase!J$2*A66^2</f>
        <v>-3.6406814908311413</v>
      </c>
      <c r="K66">
        <f>regressionsbase!$V$1*A66</f>
        <v>-3.7649454427802262</v>
      </c>
      <c r="L66">
        <f>regressionsbase!$N$1*A66^2</f>
        <v>-3.1505537432013759</v>
      </c>
      <c r="M66">
        <f>regressionsbase!$R$1*A66^2+regressionsbase!$R$2*A66^6</f>
        <v>-2.2242722531994406</v>
      </c>
      <c r="N66">
        <f>regressionsbase!$P$1*A66^2+regressionsbase!$P$2*A66^7</f>
        <v>-3.3465373556230067</v>
      </c>
      <c r="O66">
        <f>regressionsbase!T$2+regressionsbase!T$1*EXP(A66)</f>
        <v>-0.28272605627491992</v>
      </c>
      <c r="P66" s="20">
        <f>(1-EXP(-2*regressionsbase!X$1*graphbase!A66))/2/EXP(-regressionsbase!X$1*A66)</f>
        <v>-2.6119966248495108</v>
      </c>
      <c r="Q66" s="5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O66" s="1"/>
      <c r="AP66" s="1"/>
      <c r="AT66" s="33"/>
      <c r="AW66" s="33"/>
      <c r="AZ66" s="33"/>
    </row>
    <row r="67" spans="1:52" x14ac:dyDescent="0.35">
      <c r="A67">
        <f t="shared" si="3"/>
        <v>4.4000000000000004</v>
      </c>
      <c r="B67">
        <f t="shared" si="0"/>
        <v>-3.2624573044929703</v>
      </c>
      <c r="C67">
        <f>regressionsbase!$AR$1*$A67</f>
        <v>4.903832253252518</v>
      </c>
      <c r="D67">
        <f>regressionsbase!$AO$1*$A67</f>
        <v>6.9516109668544805</v>
      </c>
      <c r="E67">
        <f t="shared" si="1"/>
        <v>6.5452072020120653</v>
      </c>
      <c r="F67">
        <f t="shared" si="2"/>
        <v>-17.165679238201932</v>
      </c>
      <c r="G67" s="5">
        <f>B67-regressions!AA$7</f>
        <v>-6.9837458949579254</v>
      </c>
      <c r="H67" s="5">
        <f>B67+regressions!AA$7</f>
        <v>0.45883128597198475</v>
      </c>
      <c r="I67">
        <f>IF($A67&lt;=regressionsbase!$L$2,$A67*regressionsbase!$L$1,regressionsbase!$L$1*regressionsbase!$L$2+regressionsbase!$L$3*($A67-regressionsbase!$L$2))</f>
        <v>-3.8525023134594831</v>
      </c>
      <c r="J67">
        <f>regressionsbase!J$1*A67+regressionsbase!J$2*A67^2</f>
        <v>-3.7557099173254831</v>
      </c>
      <c r="K67">
        <f>regressionsbase!$V$1*A67</f>
        <v>-3.8525023135425567</v>
      </c>
      <c r="L67">
        <f>regressionsbase!$N$1*A67^2</f>
        <v>-3.2987950496689362</v>
      </c>
      <c r="M67">
        <f>regressionsbase!$R$1*A67^2+regressionsbase!$R$2*A67^6</f>
        <v>-2.3297895210015929</v>
      </c>
      <c r="N67">
        <f>regressionsbase!$P$1*A67^2+regressionsbase!$P$2*A67^7</f>
        <v>-3.5018195012579003</v>
      </c>
      <c r="O67">
        <f>regressionsbase!T$2+regressionsbase!T$1*EXP(A67)</f>
        <v>-0.31286961989913353</v>
      </c>
      <c r="P67" s="20">
        <f>(1-EXP(-2*regressionsbase!X$1*graphbase!A67))/2/EXP(-regressionsbase!X$1*A67)</f>
        <v>-2.7238341436650853</v>
      </c>
      <c r="AT67" s="33"/>
      <c r="AW67" s="33"/>
      <c r="AZ67" s="33"/>
    </row>
    <row r="68" spans="1:52" x14ac:dyDescent="0.35">
      <c r="A68">
        <f t="shared" si="3"/>
        <v>4.5</v>
      </c>
      <c r="B68">
        <f t="shared" ref="B68:B131" si="4">SUMPRODUCT(I$2:P$2,I68:P68)</f>
        <v>-3.3763281032328512</v>
      </c>
      <c r="C68">
        <f>regressionsbase!$AR$1*$A68</f>
        <v>5.015282986280984</v>
      </c>
      <c r="D68">
        <f>regressionsbase!$AO$1*$A68</f>
        <v>7.1096021251920822</v>
      </c>
      <c r="E68">
        <f t="shared" si="1"/>
        <v>6.6542378693291173</v>
      </c>
      <c r="F68">
        <f t="shared" si="2"/>
        <v>-17.595532353617017</v>
      </c>
      <c r="G68" s="5">
        <f>B68-regressions!AA$7</f>
        <v>-7.0976166936978062</v>
      </c>
      <c r="H68" s="5">
        <f>B68+regressions!AA$7</f>
        <v>0.34496048723210393</v>
      </c>
      <c r="I68">
        <f>IF($A68&lt;=regressionsbase!$L$2,$A68*regressionsbase!$L$1,regressionsbase!$L$1*regressionsbase!$L$2+regressionsbase!$L$3*($A68-regressionsbase!$L$2))</f>
        <v>-3.9400591842199257</v>
      </c>
      <c r="J68">
        <f>regressionsbase!J$1*A68+regressionsbase!J$2*A68^2</f>
        <v>-3.8721184081416271</v>
      </c>
      <c r="K68">
        <f>regressionsbase!$V$1*A68</f>
        <v>-3.9400591843048876</v>
      </c>
      <c r="L68">
        <f>regressionsbase!$N$1*A68^2</f>
        <v>-3.4504442022621871</v>
      </c>
      <c r="M68">
        <f>regressionsbase!$R$1*A68^2+regressionsbase!$R$2*A68^6</f>
        <v>-2.4378552108525122</v>
      </c>
      <c r="N68">
        <f>regressionsbase!$P$1*A68^2+regressionsbase!$P$2*A68^7</f>
        <v>-3.6603039317861192</v>
      </c>
      <c r="O68">
        <f>regressionsbase!T$2+regressionsbase!T$1*EXP(A68)</f>
        <v>-0.34618340978377737</v>
      </c>
      <c r="P68" s="20">
        <f>(1-EXP(-2*regressionsbase!X$1*graphbase!A68))/2/EXP(-regressionsbase!X$1*A68)</f>
        <v>-2.8398698857149127</v>
      </c>
      <c r="AT68" s="33"/>
      <c r="AW68" s="33"/>
      <c r="AZ68" s="33"/>
    </row>
    <row r="69" spans="1:52" x14ac:dyDescent="0.35">
      <c r="A69">
        <f t="shared" si="3"/>
        <v>4.5999999999999996</v>
      </c>
      <c r="B69">
        <f t="shared" si="4"/>
        <v>-3.4921794163478697</v>
      </c>
      <c r="C69">
        <f>regressionsbase!$AR$1*$A69</f>
        <v>5.12673371930945</v>
      </c>
      <c r="D69">
        <f>regressionsbase!$AO$1*$A69</f>
        <v>7.267593283529683</v>
      </c>
      <c r="E69">
        <f t="shared" si="1"/>
        <v>6.7612880222710299</v>
      </c>
      <c r="F69">
        <f t="shared" si="2"/>
        <v>-18.027365983407236</v>
      </c>
      <c r="G69" s="5">
        <f>B69-regressions!AA$7</f>
        <v>-7.2134680068128247</v>
      </c>
      <c r="H69" s="5">
        <f>B69+regressions!AA$7</f>
        <v>0.22910917411708542</v>
      </c>
      <c r="I69">
        <f>IF($A69&lt;=regressionsbase!$L$2,$A69*regressionsbase!$L$1,regressionsbase!$L$1*regressionsbase!$L$2+regressionsbase!$L$3*($A69-regressionsbase!$L$2))</f>
        <v>-4.0276160549803679</v>
      </c>
      <c r="J69">
        <f>regressionsbase!J$1*A69+regressionsbase!J$2*A69^2</f>
        <v>-3.9899069632795743</v>
      </c>
      <c r="K69">
        <f>regressionsbase!$V$1*A69</f>
        <v>-4.0276160550672175</v>
      </c>
      <c r="L69">
        <f>regressionsbase!$N$1*A69^2</f>
        <v>-3.6055012009811294</v>
      </c>
      <c r="M69">
        <f>regressionsbase!$R$1*A69^2+regressionsbase!$R$2*A69^6</f>
        <v>-2.5484835895011075</v>
      </c>
      <c r="N69">
        <f>regressionsbase!$P$1*A69^2+regressionsbase!$P$2*A69^7</f>
        <v>-3.8219388112131232</v>
      </c>
      <c r="O69">
        <f>regressionsbase!T$2+regressionsbase!T$1*EXP(A69)</f>
        <v>-0.38300084153516845</v>
      </c>
      <c r="P69" s="20">
        <f>(1-EXP(-2*regressionsbase!X$1*graphbase!A69))/2/EXP(-regressionsbase!X$1*A69)</f>
        <v>-2.9602826959368906</v>
      </c>
      <c r="Q69" s="5"/>
      <c r="AE69" s="58"/>
      <c r="AO69" s="1"/>
      <c r="AP69" s="1"/>
      <c r="AT69" s="33"/>
      <c r="AW69" s="33"/>
      <c r="AZ69" s="33"/>
    </row>
    <row r="70" spans="1:52" x14ac:dyDescent="0.35">
      <c r="A70">
        <f t="shared" si="3"/>
        <v>4.6999999999999993</v>
      </c>
      <c r="B70">
        <f t="shared" si="4"/>
        <v>-3.6100303745193423</v>
      </c>
      <c r="C70">
        <f>regressionsbase!$AR$1*$A70</f>
        <v>5.238184452337916</v>
      </c>
      <c r="D70">
        <f>regressionsbase!$AO$1*$A70</f>
        <v>7.4255844418672847</v>
      </c>
      <c r="E70">
        <f t="shared" si="1"/>
        <v>6.8663385301564901</v>
      </c>
      <c r="F70">
        <f t="shared" si="2"/>
        <v>-18.461199258253913</v>
      </c>
      <c r="G70" s="5">
        <f>B70-regressions!AA$7</f>
        <v>-7.3313189649842974</v>
      </c>
      <c r="H70" s="5">
        <f>B70+regressions!AA$7</f>
        <v>0.1112582159456128</v>
      </c>
      <c r="I70">
        <f>IF($A70&lt;=regressionsbase!$L$2,$A70*regressionsbase!$L$1,regressionsbase!$L$1*regressionsbase!$L$2+regressionsbase!$L$3*($A70-regressionsbase!$L$2))</f>
        <v>-4.1151729257408105</v>
      </c>
      <c r="J70">
        <f>regressionsbase!J$1*A70+regressionsbase!J$2*A70^2</f>
        <v>-4.1090755827393242</v>
      </c>
      <c r="K70">
        <f>regressionsbase!$V$1*A70</f>
        <v>-4.1151729258295484</v>
      </c>
      <c r="L70">
        <f>regressionsbase!$N$1*A70^2</f>
        <v>-3.7639660458257627</v>
      </c>
      <c r="M70">
        <f>regressionsbase!$R$1*A70^2+regressionsbase!$R$2*A70^6</f>
        <v>-2.661689907024039</v>
      </c>
      <c r="N70">
        <f>regressionsbase!$P$1*A70^2+regressionsbase!$P$2*A70^7</f>
        <v>-3.986667486568459</v>
      </c>
      <c r="O70">
        <f>regressionsbase!T$2+regressionsbase!T$1*EXP(A70)</f>
        <v>-0.42369039638504075</v>
      </c>
      <c r="P70" s="20">
        <f>(1-EXP(-2*regressionsbase!X$1*graphbase!A70))/2/EXP(-regressionsbase!X$1*A70)</f>
        <v>-3.0852581656082125</v>
      </c>
      <c r="AT70" s="33"/>
      <c r="AW70" s="33"/>
      <c r="AZ70" s="33"/>
    </row>
    <row r="71" spans="1:52" x14ac:dyDescent="0.35">
      <c r="A71">
        <f t="shared" si="3"/>
        <v>4.7999999999999989</v>
      </c>
      <c r="B71">
        <f t="shared" si="4"/>
        <v>-3.7299006573102482</v>
      </c>
      <c r="C71">
        <f>regressionsbase!$AR$1*$A71</f>
        <v>5.3496351853663819</v>
      </c>
      <c r="D71">
        <f>regressionsbase!$AO$1*$A71</f>
        <v>7.5835756002048855</v>
      </c>
      <c r="E71">
        <f t="shared" si="1"/>
        <v>6.9693697134225161</v>
      </c>
      <c r="F71">
        <f t="shared" si="2"/>
        <v>-18.897051857720019</v>
      </c>
      <c r="G71" s="5">
        <f>B71-regressions!AA$7</f>
        <v>-7.4511892477752033</v>
      </c>
      <c r="H71" s="5">
        <f>B71+regressions!AA$7</f>
        <v>-8.6120668452931426E-3</v>
      </c>
      <c r="I71">
        <f>IF($A71&lt;=regressionsbase!$L$2,$A71*regressionsbase!$L$1,regressionsbase!$L$1*regressionsbase!$L$2+regressionsbase!$L$3*($A71-regressionsbase!$L$2))</f>
        <v>-4.2027297965012531</v>
      </c>
      <c r="J71">
        <f>regressionsbase!J$1*A71+regressionsbase!J$2*A71^2</f>
        <v>-4.2296242665208768</v>
      </c>
      <c r="K71">
        <f>regressionsbase!$V$1*A71</f>
        <v>-4.2027297965918793</v>
      </c>
      <c r="L71">
        <f>regressionsbase!$N$1*A71^2</f>
        <v>-3.9258387367960865</v>
      </c>
      <c r="M71">
        <f>regressionsbase!$R$1*A71^2+regressionsbase!$R$2*A71^6</f>
        <v>-2.7774904410074965</v>
      </c>
      <c r="N71">
        <f>regressionsbase!$P$1*A71^2+regressionsbase!$P$2*A71^7</f>
        <v>-4.1544281596941293</v>
      </c>
      <c r="O71">
        <f>regressionsbase!T$2+regressionsbase!T$1*EXP(A71)</f>
        <v>-0.46865930907456355</v>
      </c>
      <c r="P71" s="20">
        <f>(1-EXP(-2*regressionsbase!X$1*graphbase!A71))/2/EXP(-regressionsbase!X$1*A71)</f>
        <v>-3.214988918395667</v>
      </c>
      <c r="AT71" s="33"/>
      <c r="AW71" s="33"/>
      <c r="AZ71" s="33"/>
    </row>
    <row r="72" spans="1:52" x14ac:dyDescent="0.35">
      <c r="A72">
        <f t="shared" si="3"/>
        <v>4.8999999999999986</v>
      </c>
      <c r="B72">
        <f t="shared" si="4"/>
        <v>-3.8518105056041438</v>
      </c>
      <c r="C72">
        <f>regressionsbase!$AR$1*$A72</f>
        <v>5.4610859183948479</v>
      </c>
      <c r="D72">
        <f>regressionsbase!$AO$1*$A72</f>
        <v>7.7415667585424872</v>
      </c>
      <c r="E72">
        <f t="shared" ref="E72:E135" si="5">B72+2*C72</f>
        <v>7.070361331185552</v>
      </c>
      <c r="F72">
        <f t="shared" ref="F72:F135" si="6">B72-2*D72</f>
        <v>-19.334944022689118</v>
      </c>
      <c r="G72" s="5">
        <f>B72-regressions!AA$7</f>
        <v>-7.5730990960690985</v>
      </c>
      <c r="H72" s="5">
        <f>B72+regressions!AA$7</f>
        <v>-0.13052191513918876</v>
      </c>
      <c r="I72">
        <f>IF($A72&lt;=regressionsbase!$L$2,$A72*regressionsbase!$L$1,regressionsbase!$L$1*regressionsbase!$L$2+regressionsbase!$L$3*($A72-regressionsbase!$L$2))</f>
        <v>-4.2902866672616957</v>
      </c>
      <c r="J72">
        <f>regressionsbase!J$1*A72+regressionsbase!J$2*A72^2</f>
        <v>-4.3515530146242334</v>
      </c>
      <c r="K72">
        <f>regressionsbase!$V$1*A72</f>
        <v>-4.2902866673542093</v>
      </c>
      <c r="L72">
        <f>regressionsbase!$N$1*A72^2</f>
        <v>-4.0911192738921027</v>
      </c>
      <c r="M72">
        <f>regressionsbase!$R$1*A72^2+regressionsbase!$R$2*A72^6</f>
        <v>-2.8959025417000053</v>
      </c>
      <c r="N72">
        <f>regressionsbase!$P$1*A72^2+regressionsbase!$P$2*A72^7</f>
        <v>-4.3251535444504734</v>
      </c>
      <c r="O72">
        <f>regressionsbase!T$2+regressionsbase!T$1*EXP(A72)</f>
        <v>-0.51835764359650716</v>
      </c>
      <c r="P72" s="20">
        <f>(1-EXP(-2*regressionsbase!X$1*graphbase!A72))/2/EXP(-regressionsbase!X$1*A72)</f>
        <v>-3.3496749072449292</v>
      </c>
      <c r="AT72" s="33"/>
      <c r="AW72" s="33"/>
      <c r="AZ72" s="33"/>
    </row>
    <row r="73" spans="1:52" x14ac:dyDescent="0.35">
      <c r="A73">
        <f t="shared" ref="A73:A136" si="7">0.1+A72</f>
        <v>4.9999999999999982</v>
      </c>
      <c r="B73">
        <f t="shared" si="4"/>
        <v>-3.975780734284414</v>
      </c>
      <c r="C73">
        <f>regressionsbase!$AR$1*$A73</f>
        <v>5.5725366514233139</v>
      </c>
      <c r="D73">
        <f>regressionsbase!$AO$1*$A73</f>
        <v>7.899557916880088</v>
      </c>
      <c r="E73">
        <f t="shared" si="5"/>
        <v>7.1692925685622138</v>
      </c>
      <c r="F73">
        <f t="shared" si="6"/>
        <v>-19.774896568044589</v>
      </c>
      <c r="G73" s="5">
        <f>B73-regressions!AA$7</f>
        <v>-7.6970693247493696</v>
      </c>
      <c r="H73" s="5">
        <f>B73+regressions!AA$7</f>
        <v>-0.25449214381945895</v>
      </c>
      <c r="I73">
        <f>IF($A73&lt;=regressionsbase!$L$2,$A73*regressionsbase!$L$1,regressionsbase!$L$1*regressionsbase!$L$2+regressionsbase!$L$3*($A73-regressionsbase!$L$2))</f>
        <v>-4.3778435380221383</v>
      </c>
      <c r="J73">
        <f>regressionsbase!J$1*A73+regressionsbase!J$2*A73^2</f>
        <v>-4.4748618270493914</v>
      </c>
      <c r="K73">
        <f>regressionsbase!$V$1*A73</f>
        <v>-4.3778435381165401</v>
      </c>
      <c r="L73">
        <f>regressionsbase!$N$1*A73^2</f>
        <v>-4.2598076571138082</v>
      </c>
      <c r="M73">
        <f>regressionsbase!$R$1*A73^2+regressionsbase!$R$2*A73^6</f>
        <v>-3.0169446781362561</v>
      </c>
      <c r="N73">
        <f>regressionsbase!$P$1*A73^2+regressionsbase!$P$2*A73^7</f>
        <v>-4.4987705090225498</v>
      </c>
      <c r="O73">
        <f>regressionsbase!T$2+regressionsbase!T$1*EXP(A73)</f>
        <v>-0.57328279758695411</v>
      </c>
      <c r="P73" s="20">
        <f>(1-EXP(-2*regressionsbase!X$1*graphbase!A73))/2/EXP(-regressionsbase!X$1*A73)</f>
        <v>-3.489523722566386</v>
      </c>
      <c r="Q73" s="5"/>
      <c r="Y73" s="51"/>
      <c r="Z73" s="51"/>
      <c r="AA73" s="51"/>
      <c r="AO73" s="1"/>
      <c r="AP73" s="1"/>
      <c r="AT73" s="33"/>
      <c r="AW73" s="33"/>
      <c r="AZ73" s="33"/>
    </row>
    <row r="74" spans="1:52" x14ac:dyDescent="0.35">
      <c r="A74">
        <f t="shared" si="7"/>
        <v>5.0999999999999979</v>
      </c>
      <c r="B74">
        <f t="shared" si="4"/>
        <v>-4.1018327451967185</v>
      </c>
      <c r="C74">
        <f>regressionsbase!$AR$1*$A74</f>
        <v>5.683987384451779</v>
      </c>
      <c r="D74">
        <f>regressionsbase!$AO$1*$A74</f>
        <v>8.0575490752176897</v>
      </c>
      <c r="E74">
        <f t="shared" si="5"/>
        <v>7.2661420237068395</v>
      </c>
      <c r="F74">
        <f t="shared" si="6"/>
        <v>-20.216930895632096</v>
      </c>
      <c r="G74" s="5">
        <f>B74-regressions!AA$7</f>
        <v>-7.8231213356616731</v>
      </c>
      <c r="H74" s="5">
        <f>B74+regressions!AA$7</f>
        <v>-0.3805441547317634</v>
      </c>
      <c r="I74">
        <f>IF($A74&lt;=regressionsbase!$L$2,$A74*regressionsbase!$L$1,regressionsbase!$L$1*regressionsbase!$L$2+regressionsbase!$L$3*($A74-regressionsbase!$L$2))</f>
        <v>-4.4654004087825809</v>
      </c>
      <c r="J74">
        <f>regressionsbase!J$1*A74+regressionsbase!J$2*A74^2</f>
        <v>-4.5995507037963534</v>
      </c>
      <c r="K74">
        <f>regressionsbase!$V$1*A74</f>
        <v>-4.4654004088788701</v>
      </c>
      <c r="L74">
        <f>regressionsbase!$N$1*A74^2</f>
        <v>-4.431903886461205</v>
      </c>
      <c r="M74">
        <f>regressionsbase!$R$1*A74^2+regressionsbase!$R$2*A74^6</f>
        <v>-3.1406364852319704</v>
      </c>
      <c r="N74">
        <f>regressionsbase!$P$1*A74^2+regressionsbase!$P$2*A74^7</f>
        <v>-4.6751997030100183</v>
      </c>
      <c r="O74">
        <f>regressionsbase!T$2+regressionsbase!T$1*EXP(A74)</f>
        <v>-0.63398448044802269</v>
      </c>
      <c r="P74" s="20">
        <f>(1-EXP(-2*regressionsbase!X$1*graphbase!A74))/2/EXP(-regressionsbase!X$1*A74)</f>
        <v>-3.6347509121925423</v>
      </c>
      <c r="AT74" s="33"/>
      <c r="AW74" s="33"/>
      <c r="AZ74" s="33"/>
    </row>
    <row r="75" spans="1:52" x14ac:dyDescent="0.35">
      <c r="A75">
        <f t="shared" si="7"/>
        <v>5.1999999999999975</v>
      </c>
      <c r="B75">
        <f t="shared" si="4"/>
        <v>-4.2299885404417052</v>
      </c>
      <c r="C75">
        <f>regressionsbase!$AR$1*$A75</f>
        <v>5.795438117480245</v>
      </c>
      <c r="D75">
        <f>regressionsbase!$AO$1*$A75</f>
        <v>8.2155402335552914</v>
      </c>
      <c r="E75">
        <f t="shared" si="5"/>
        <v>7.3608876945187847</v>
      </c>
      <c r="F75">
        <f t="shared" si="6"/>
        <v>-20.661069007552289</v>
      </c>
      <c r="G75" s="5">
        <f>B75-regressions!AA$7</f>
        <v>-7.9512771309066608</v>
      </c>
      <c r="H75" s="5">
        <f>B75+regressions!AA$7</f>
        <v>-0.50869994997675017</v>
      </c>
      <c r="I75">
        <f>IF($A75&lt;=regressionsbase!$L$2,$A75*regressionsbase!$L$1,regressionsbase!$L$1*regressionsbase!$L$2+regressionsbase!$L$3*($A75-regressionsbase!$L$2))</f>
        <v>-4.5529572795430235</v>
      </c>
      <c r="J75">
        <f>regressionsbase!J$1*A75+regressionsbase!J$2*A75^2</f>
        <v>-4.7256196448651178</v>
      </c>
      <c r="K75">
        <f>regressionsbase!$V$1*A75</f>
        <v>-4.552957279641201</v>
      </c>
      <c r="L75">
        <f>regressionsbase!$N$1*A75^2</f>
        <v>-4.6074079619342942</v>
      </c>
      <c r="M75">
        <f>regressionsbase!$R$1*A75^2+regressionsbase!$R$2*A75^6</f>
        <v>-3.2669988118497866</v>
      </c>
      <c r="N75">
        <f>regressionsbase!$P$1*A75^2+regressionsbase!$P$2*A75^7</f>
        <v>-4.854355168983493</v>
      </c>
      <c r="O75">
        <f>regressionsbase!T$2+regressionsbase!T$1*EXP(A75)</f>
        <v>-0.70107021502432665</v>
      </c>
      <c r="P75" s="20">
        <f>(1-EXP(-2*regressionsbase!X$1*graphbase!A75))/2/EXP(-regressionsbase!X$1*A75)</f>
        <v>-3.7855803136001214</v>
      </c>
      <c r="Q75" s="5"/>
      <c r="AE75" s="58"/>
      <c r="AF75" s="58"/>
      <c r="AO75" s="1"/>
      <c r="AP75" s="1"/>
      <c r="AT75" s="33"/>
      <c r="AW75" s="33"/>
      <c r="AZ75" s="33"/>
    </row>
    <row r="76" spans="1:52" x14ac:dyDescent="0.35">
      <c r="A76">
        <f t="shared" si="7"/>
        <v>5.2999999999999972</v>
      </c>
      <c r="B76">
        <f t="shared" si="4"/>
        <v>-4.3602707360494986</v>
      </c>
      <c r="C76">
        <f>regressionsbase!$AR$1*$A76</f>
        <v>5.9068888505087109</v>
      </c>
      <c r="D76">
        <f>regressionsbase!$AO$1*$A76</f>
        <v>8.3735313918928913</v>
      </c>
      <c r="E76">
        <f t="shared" si="5"/>
        <v>7.4535069649679233</v>
      </c>
      <c r="F76">
        <f t="shared" si="6"/>
        <v>-21.107333519835279</v>
      </c>
      <c r="G76" s="5">
        <f>B76-regressions!AA$7</f>
        <v>-8.0815593265144532</v>
      </c>
      <c r="H76" s="5">
        <f>B76+regressions!AA$7</f>
        <v>-0.63898214558454347</v>
      </c>
      <c r="I76">
        <f>IF($A76&lt;=regressionsbase!$L$2,$A76*regressionsbase!$L$1,regressionsbase!$L$1*regressionsbase!$L$2+regressionsbase!$L$3*($A76-regressionsbase!$L$2))</f>
        <v>-4.6405141503034653</v>
      </c>
      <c r="J76">
        <f>regressionsbase!J$1*A76+regressionsbase!J$2*A76^2</f>
        <v>-4.8530686502556852</v>
      </c>
      <c r="K76">
        <f>regressionsbase!$V$1*A76</f>
        <v>-4.6405141504035319</v>
      </c>
      <c r="L76">
        <f>regressionsbase!$N$1*A76^2</f>
        <v>-4.786319883533074</v>
      </c>
      <c r="M76">
        <f>regressionsbase!$R$1*A76^2+regressionsbase!$R$2*A76^6</f>
        <v>-3.3960537698361772</v>
      </c>
      <c r="N76">
        <f>regressionsbase!$P$1*A76^2+regressionsbase!$P$2*A76^7</f>
        <v>-5.0361439381903672</v>
      </c>
      <c r="O76">
        <f>regressionsbase!T$2+regressionsbase!T$1*EXP(A76)</f>
        <v>-0.77521141789579961</v>
      </c>
      <c r="P76" s="20">
        <f>(1-EXP(-2*regressionsbase!X$1*graphbase!A76))/2/EXP(-regressionsbase!X$1*A76)</f>
        <v>-3.9422443989089357</v>
      </c>
      <c r="AT76" s="33"/>
      <c r="AW76" s="33"/>
      <c r="AZ76" s="33"/>
    </row>
    <row r="77" spans="1:52" x14ac:dyDescent="0.35">
      <c r="A77">
        <f t="shared" si="7"/>
        <v>5.3999999999999968</v>
      </c>
      <c r="B77">
        <f t="shared" si="4"/>
        <v>-4.4927025760923209</v>
      </c>
      <c r="C77">
        <f>regressionsbase!$AR$1*$A77</f>
        <v>6.0183395835371769</v>
      </c>
      <c r="D77">
        <f>regressionsbase!$AO$1*$A77</f>
        <v>8.531522550230493</v>
      </c>
      <c r="E77">
        <f t="shared" si="5"/>
        <v>7.5439765909820329</v>
      </c>
      <c r="F77">
        <f t="shared" si="6"/>
        <v>-21.555747676553306</v>
      </c>
      <c r="G77" s="5">
        <f>B77-regressions!AA$7</f>
        <v>-8.2139911665572765</v>
      </c>
      <c r="H77" s="5">
        <f>B77+regressions!AA$7</f>
        <v>-0.77141398562736585</v>
      </c>
      <c r="I77">
        <f>IF($A77&lt;=regressionsbase!$L$2,$A77*regressionsbase!$L$1,regressionsbase!$L$1*regressionsbase!$L$2+regressionsbase!$L$3*($A77-regressionsbase!$L$2))</f>
        <v>-4.7280710210639079</v>
      </c>
      <c r="J77">
        <f>regressionsbase!J$1*A77+regressionsbase!J$2*A77^2</f>
        <v>-4.981897719968055</v>
      </c>
      <c r="K77">
        <f>regressionsbase!$V$1*A77</f>
        <v>-4.7280710211658619</v>
      </c>
      <c r="L77">
        <f>regressionsbase!$N$1*A77^2</f>
        <v>-4.9686396512575435</v>
      </c>
      <c r="M77">
        <f>regressionsbase!$R$1*A77^2+regressionsbase!$R$2*A77^6</f>
        <v>-3.5278247840293955</v>
      </c>
      <c r="N77">
        <f>regressionsbase!$P$1*A77^2+regressionsbase!$P$2*A77^7</f>
        <v>-5.2204656100931048</v>
      </c>
      <c r="O77">
        <f>regressionsbase!T$2+regressionsbase!T$1*EXP(A77)</f>
        <v>-0.85715011914049821</v>
      </c>
      <c r="P77" s="20">
        <f>(1-EXP(-2*regressionsbase!X$1*graphbase!A77))/2/EXP(-regressionsbase!X$1*A77)</f>
        <v>-4.104984633189261</v>
      </c>
      <c r="Q77" s="1"/>
      <c r="AB77" s="59"/>
      <c r="AO77" s="1"/>
      <c r="AP77" s="1"/>
      <c r="AT77" s="33"/>
      <c r="AW77" s="33"/>
      <c r="AZ77" s="33"/>
    </row>
    <row r="78" spans="1:52" x14ac:dyDescent="0.35">
      <c r="A78">
        <f t="shared" si="7"/>
        <v>5.4999999999999964</v>
      </c>
      <c r="B78">
        <f t="shared" si="4"/>
        <v>-4.6273079472968019</v>
      </c>
      <c r="C78">
        <f>regressionsbase!$AR$1*$A78</f>
        <v>6.1297903165656429</v>
      </c>
      <c r="D78">
        <f>regressionsbase!$AO$1*$A78</f>
        <v>8.6895137085680947</v>
      </c>
      <c r="E78">
        <f t="shared" si="5"/>
        <v>7.6322726858344838</v>
      </c>
      <c r="F78">
        <f t="shared" si="6"/>
        <v>-22.006335364432992</v>
      </c>
      <c r="G78" s="5">
        <f>B78-regressions!AA$7</f>
        <v>-8.3485965377617575</v>
      </c>
      <c r="H78" s="5">
        <f>B78+regressions!AA$7</f>
        <v>-0.90601935683184687</v>
      </c>
      <c r="I78">
        <f>IF($A78&lt;=regressionsbase!$L$2,$A78*regressionsbase!$L$1,regressionsbase!$L$1*regressionsbase!$L$2+regressionsbase!$L$3*($A78-regressionsbase!$L$2))</f>
        <v>-4.8156278918243505</v>
      </c>
      <c r="J78">
        <f>regressionsbase!J$1*A78+regressionsbase!J$2*A78^2</f>
        <v>-5.1121068540022279</v>
      </c>
      <c r="K78">
        <f>regressionsbase!$V$1*A78</f>
        <v>-4.8156278919281927</v>
      </c>
      <c r="L78">
        <f>regressionsbase!$N$1*A78^2</f>
        <v>-5.1543672651077053</v>
      </c>
      <c r="M78">
        <f>regressionsbase!$R$1*A78^2+regressionsbase!$R$2*A78^6</f>
        <v>-3.6623366432384494</v>
      </c>
      <c r="N78">
        <f>regressionsbase!$P$1*A78^2+regressionsbase!$P$2*A78^7</f>
        <v>-5.4072119154229803</v>
      </c>
      <c r="O78">
        <f>regressionsbase!T$2+regressionsbase!T$1*EXP(A78)</f>
        <v>-0.94770638882102809</v>
      </c>
      <c r="P78" s="20">
        <f>(1-EXP(-2*regressionsbase!X$1*graphbase!A78))/2/EXP(-regressionsbase!X$1*A78)</f>
        <v>-4.274051846629968</v>
      </c>
      <c r="AK78" s="1"/>
      <c r="AL78" s="1"/>
      <c r="AT78" s="33"/>
      <c r="AW78" s="33"/>
      <c r="AZ78" s="33"/>
    </row>
    <row r="79" spans="1:52" x14ac:dyDescent="0.35">
      <c r="A79">
        <f t="shared" si="7"/>
        <v>5.5999999999999961</v>
      </c>
      <c r="B79">
        <f t="shared" si="4"/>
        <v>-4.7641113942230424</v>
      </c>
      <c r="C79">
        <f>regressionsbase!$AR$1*$A79</f>
        <v>6.2412410495941089</v>
      </c>
      <c r="D79">
        <f>regressionsbase!$AO$1*$A79</f>
        <v>8.8475048669056964</v>
      </c>
      <c r="E79">
        <f t="shared" si="5"/>
        <v>7.7183707049651753</v>
      </c>
      <c r="F79">
        <f t="shared" si="6"/>
        <v>-22.459121128034436</v>
      </c>
      <c r="G79" s="5">
        <f>B79-regressions!AA$7</f>
        <v>-8.4853999846879979</v>
      </c>
      <c r="H79" s="5">
        <f>B79+regressions!AA$7</f>
        <v>-1.0428228037580873</v>
      </c>
      <c r="I79">
        <f>IF($A79&lt;=regressionsbase!$L$2,$A79*regressionsbase!$L$1,regressionsbase!$L$1*regressionsbase!$L$2+regressionsbase!$L$3*($A79-regressionsbase!$L$2))</f>
        <v>-4.9031847625847931</v>
      </c>
      <c r="J79">
        <f>regressionsbase!J$1*A79+regressionsbase!J$2*A79^2</f>
        <v>-5.2436960523582048</v>
      </c>
      <c r="K79">
        <f>regressionsbase!$V$1*A79</f>
        <v>-4.9031847626905227</v>
      </c>
      <c r="L79">
        <f>regressionsbase!$N$1*A79^2</f>
        <v>-5.3435027250835576</v>
      </c>
      <c r="M79">
        <f>regressionsbase!$R$1*A79^2+regressionsbase!$R$2*A79^6</f>
        <v>-3.7996155521931003</v>
      </c>
      <c r="N79">
        <f>regressionsbase!$P$1*A79^2+regressionsbase!$P$2*A79^7</f>
        <v>-5.5962662624322457</v>
      </c>
      <c r="O79">
        <f>regressionsbase!T$2+regressionsbase!T$1*EXP(A79)</f>
        <v>-1.047786544521365</v>
      </c>
      <c r="P79" s="20">
        <f>(1-EXP(-2*regressionsbase!X$1*graphbase!A79))/2/EXP(-regressionsbase!X$1*A79)</f>
        <v>-4.449706621141031</v>
      </c>
      <c r="AT79" s="33"/>
      <c r="AW79" s="33"/>
      <c r="AZ79" s="33"/>
    </row>
    <row r="80" spans="1:52" x14ac:dyDescent="0.35">
      <c r="A80">
        <f t="shared" si="7"/>
        <v>5.6999999999999957</v>
      </c>
      <c r="B80">
        <f t="shared" si="4"/>
        <v>-4.9031381350836236</v>
      </c>
      <c r="C80">
        <f>regressionsbase!$AR$1*$A80</f>
        <v>6.3526917826225748</v>
      </c>
      <c r="D80">
        <f>regressionsbase!$AO$1*$A80</f>
        <v>9.0054960252432963</v>
      </c>
      <c r="E80">
        <f t="shared" si="5"/>
        <v>7.8022454301615261</v>
      </c>
      <c r="F80">
        <f t="shared" si="6"/>
        <v>-22.914130185570215</v>
      </c>
      <c r="G80" s="5">
        <f>B80-regressions!AA$7</f>
        <v>-8.6244267255485791</v>
      </c>
      <c r="H80" s="5">
        <f>B80+regressions!AA$7</f>
        <v>-1.1818495446186685</v>
      </c>
      <c r="I80">
        <f>IF($A80&lt;=regressionsbase!$L$2,$A80*regressionsbase!$L$1,regressionsbase!$L$1*regressionsbase!$L$2+regressionsbase!$L$3*($A80-regressionsbase!$L$2))</f>
        <v>-4.9907416333452357</v>
      </c>
      <c r="J80">
        <f>regressionsbase!J$1*A80+regressionsbase!J$2*A80^2</f>
        <v>-5.376665315035984</v>
      </c>
      <c r="K80">
        <f>regressionsbase!$V$1*A80</f>
        <v>-4.9907416334528536</v>
      </c>
      <c r="L80">
        <f>regressionsbase!$N$1*A80^2</f>
        <v>-5.5360460311851014</v>
      </c>
      <c r="M80">
        <f>regressionsbase!$R$1*A80^2+regressionsbase!$R$2*A80^6</f>
        <v>-3.9396891844648949</v>
      </c>
      <c r="N80">
        <f>regressionsbase!$P$1*A80^2+regressionsbase!$P$2*A80^7</f>
        <v>-5.787503266027743</v>
      </c>
      <c r="O80">
        <f>regressionsbase!T$2+regressionsbase!T$1*EXP(A80)</f>
        <v>-1.1583922220778602</v>
      </c>
      <c r="P80" s="20">
        <f>(1-EXP(-2*regressionsbase!X$1*graphbase!A80))/2/EXP(-regressionsbase!X$1*A80)</f>
        <v>-4.6322196919862977</v>
      </c>
      <c r="AT80" s="33"/>
      <c r="AW80" s="33"/>
      <c r="AZ80" s="33"/>
    </row>
    <row r="81" spans="1:52" x14ac:dyDescent="0.35">
      <c r="A81">
        <f t="shared" si="7"/>
        <v>5.7999999999999954</v>
      </c>
      <c r="B81">
        <f t="shared" si="4"/>
        <v>-5.0444140782821645</v>
      </c>
      <c r="C81">
        <f>regressionsbase!$AR$1*$A81</f>
        <v>6.4641425156510408</v>
      </c>
      <c r="D81">
        <f>regressionsbase!$AO$1*$A81</f>
        <v>9.163487183580898</v>
      </c>
      <c r="E81">
        <f t="shared" si="5"/>
        <v>7.8838709530199171</v>
      </c>
      <c r="F81">
        <f t="shared" si="6"/>
        <v>-23.371388445443962</v>
      </c>
      <c r="G81" s="5">
        <f>B81-regressions!AA$7</f>
        <v>-8.7657026687471191</v>
      </c>
      <c r="H81" s="5">
        <f>B81+regressions!AA$7</f>
        <v>-1.3231254878172094</v>
      </c>
      <c r="I81">
        <f>IF($A81&lt;=regressionsbase!$L$2,$A81*regressionsbase!$L$1,regressionsbase!$L$1*regressionsbase!$L$2+regressionsbase!$L$3*($A81-regressionsbase!$L$2))</f>
        <v>-5.0782985041056783</v>
      </c>
      <c r="J81">
        <f>regressionsbase!J$1*A81+regressionsbase!J$2*A81^2</f>
        <v>-5.5110146420355655</v>
      </c>
      <c r="K81">
        <f>regressionsbase!$V$1*A81</f>
        <v>-5.0782985042151845</v>
      </c>
      <c r="L81">
        <f>regressionsbase!$N$1*A81^2</f>
        <v>-5.7319971834123349</v>
      </c>
      <c r="M81">
        <f>regressionsbase!$R$1*A81^2+regressionsbase!$R$2*A81^6</f>
        <v>-4.0825867363592216</v>
      </c>
      <c r="N81">
        <f>regressionsbase!$P$1*A81^2+regressionsbase!$P$2*A81^7</f>
        <v>-5.9807882594689179</v>
      </c>
      <c r="O81">
        <f>regressionsbase!T$2+regressionsbase!T$1*EXP(A81)</f>
        <v>-1.280630400287351</v>
      </c>
      <c r="P81" s="20">
        <f>(1-EXP(-2*regressionsbase!X$1*graphbase!A81))/2/EXP(-regressionsbase!X$1*A81)</f>
        <v>-4.8218723650655226</v>
      </c>
      <c r="AT81" s="33"/>
      <c r="AW81" s="33"/>
      <c r="AZ81" s="33"/>
    </row>
    <row r="82" spans="1:52" x14ac:dyDescent="0.35">
      <c r="A82">
        <f t="shared" si="7"/>
        <v>5.899999999999995</v>
      </c>
      <c r="B82">
        <f t="shared" si="4"/>
        <v>-5.1879658397580384</v>
      </c>
      <c r="C82">
        <f>regressionsbase!$AR$1*$A82</f>
        <v>6.5755932486795068</v>
      </c>
      <c r="D82">
        <f>regressionsbase!$AO$1*$A82</f>
        <v>9.3214783419184997</v>
      </c>
      <c r="E82">
        <f t="shared" si="5"/>
        <v>7.9632206576009752</v>
      </c>
      <c r="F82">
        <f t="shared" si="6"/>
        <v>-23.830922523595039</v>
      </c>
      <c r="G82" s="5">
        <f>B82-regressions!AA$7</f>
        <v>-8.9092544302229939</v>
      </c>
      <c r="H82" s="5">
        <f>B82+regressions!AA$7</f>
        <v>-1.4666772492930833</v>
      </c>
      <c r="I82">
        <f>IF($A82&lt;=regressionsbase!$L$2,$A82*regressionsbase!$L$1,regressionsbase!$L$1*regressionsbase!$L$2+regressionsbase!$L$3*($A82-regressionsbase!$L$2))</f>
        <v>-5.1658553748661209</v>
      </c>
      <c r="J82">
        <f>regressionsbase!J$1*A82+regressionsbase!J$2*A82^2</f>
        <v>-5.6467440333569501</v>
      </c>
      <c r="K82">
        <f>regressionsbase!$V$1*A82</f>
        <v>-5.1658553749775145</v>
      </c>
      <c r="L82">
        <f>regressionsbase!$N$1*A82^2</f>
        <v>-5.9313561817652607</v>
      </c>
      <c r="M82">
        <f>regressionsbase!$R$1*A82^2+regressionsbase!$R$2*A82^6</f>
        <v>-4.2283389817783963</v>
      </c>
      <c r="N82">
        <f>regressionsbase!$P$1*A82^2+regressionsbase!$P$2*A82^7</f>
        <v>-6.175976788313255</v>
      </c>
      <c r="O82">
        <f>regressionsbase!T$2+regressionsbase!T$1*EXP(A82)</f>
        <v>-1.4157244799230284</v>
      </c>
      <c r="P82" s="20">
        <f>(1-EXP(-2*regressionsbase!X$1*graphbase!A82))/2/EXP(-regressionsbase!X$1*A82)</f>
        <v>-5.0189569504888603</v>
      </c>
      <c r="AT82" s="33"/>
      <c r="AW82" s="33"/>
      <c r="AZ82" s="33"/>
    </row>
    <row r="83" spans="1:52" x14ac:dyDescent="0.35">
      <c r="A83">
        <f t="shared" si="7"/>
        <v>5.9999999999999947</v>
      </c>
      <c r="B83">
        <f t="shared" si="4"/>
        <v>-5.3338207612314807</v>
      </c>
      <c r="C83">
        <f>regressionsbase!$AR$1*$A83</f>
        <v>6.6870439817079728</v>
      </c>
      <c r="D83">
        <f>regressionsbase!$AO$1*$A83</f>
        <v>9.4794695002561014</v>
      </c>
      <c r="E83">
        <f t="shared" si="5"/>
        <v>8.0402672021844648</v>
      </c>
      <c r="F83">
        <f t="shared" si="6"/>
        <v>-24.292759761743682</v>
      </c>
      <c r="G83" s="5">
        <f>B83-regressions!AA$7</f>
        <v>-9.0551093516964354</v>
      </c>
      <c r="H83" s="5">
        <f>B83+regressions!AA$7</f>
        <v>-1.6125321707665257</v>
      </c>
      <c r="I83">
        <f>IF($A83&lt;=regressionsbase!$L$2,$A83*regressionsbase!$L$1,regressionsbase!$L$1*regressionsbase!$L$2+regressionsbase!$L$3*($A83-regressionsbase!$L$2))</f>
        <v>-5.2534122456265626</v>
      </c>
      <c r="J83">
        <f>regressionsbase!J$1*A83+regressionsbase!J$2*A83^2</f>
        <v>-5.7838534890001378</v>
      </c>
      <c r="K83">
        <f>regressionsbase!$V$1*A83</f>
        <v>-5.2534122457398453</v>
      </c>
      <c r="L83">
        <f>regressionsbase!$N$1*A83^2</f>
        <v>-6.134123026243878</v>
      </c>
      <c r="M83">
        <f>regressionsbase!$R$1*A83^2+regressionsbase!$R$2*A83^6</f>
        <v>-4.3769783280557775</v>
      </c>
      <c r="N83">
        <f>regressionsbase!$P$1*A83^2+regressionsbase!$P$2*A83^7</f>
        <v>-6.3729140862920985</v>
      </c>
      <c r="O83">
        <f>regressionsbase!T$2+regressionsbase!T$1*EXP(A83)</f>
        <v>-1.5650265279405746</v>
      </c>
      <c r="P83" s="20">
        <f>(1-EXP(-2*regressionsbase!X$1*graphbase!A83))/2/EXP(-regressionsbase!X$1*A83)</f>
        <v>-5.2237772131120215</v>
      </c>
      <c r="Q83" s="1"/>
      <c r="Y83" s="50"/>
      <c r="Z83" s="50"/>
      <c r="AA83" s="50"/>
      <c r="AB83" s="60"/>
      <c r="AE83" s="5"/>
      <c r="AO83" s="1"/>
      <c r="AP83" s="1"/>
      <c r="AT83" s="33"/>
      <c r="AW83" s="33"/>
      <c r="AZ83" s="33"/>
    </row>
    <row r="84" spans="1:52" x14ac:dyDescent="0.35">
      <c r="A84">
        <f t="shared" si="7"/>
        <v>6.0999999999999943</v>
      </c>
      <c r="B84">
        <f t="shared" si="4"/>
        <v>-5.4820069294514289</v>
      </c>
      <c r="C84">
        <f>regressionsbase!$AR$1*$A84</f>
        <v>6.7984947147364387</v>
      </c>
      <c r="D84">
        <f>regressionsbase!$AO$1*$A84</f>
        <v>9.637460658593703</v>
      </c>
      <c r="E84">
        <f t="shared" si="5"/>
        <v>8.1149825000214477</v>
      </c>
      <c r="F84">
        <f t="shared" si="6"/>
        <v>-24.756928246638836</v>
      </c>
      <c r="G84" s="5">
        <f>B84-regressions!AA$7</f>
        <v>-9.2032955199163844</v>
      </c>
      <c r="H84" s="5">
        <f>B84+regressions!AA$7</f>
        <v>-1.7607183389864738</v>
      </c>
      <c r="I84">
        <f>IF($A84&lt;=regressionsbase!$L$2,$A84*regressionsbase!$L$1,regressionsbase!$L$1*regressionsbase!$L$2+regressionsbase!$L$3*($A84-regressionsbase!$L$2))</f>
        <v>-5.3409691163870052</v>
      </c>
      <c r="J84">
        <f>regressionsbase!J$1*A84+regressionsbase!J$2*A84^2</f>
        <v>-5.9223430089651288</v>
      </c>
      <c r="K84">
        <f>regressionsbase!$V$1*A84</f>
        <v>-5.3409691165021753</v>
      </c>
      <c r="L84">
        <f>regressionsbase!$N$1*A84^2</f>
        <v>-6.3402977168481849</v>
      </c>
      <c r="M84">
        <f>regressionsbase!$R$1*A84^2+regressionsbase!$R$2*A84^6</f>
        <v>-4.5285388727609037</v>
      </c>
      <c r="N84">
        <f>regressionsbase!$P$1*A84^2+regressionsbase!$P$2*A84^7</f>
        <v>-6.5714345327998602</v>
      </c>
      <c r="O84">
        <f>regressionsbase!T$2+regressionsbase!T$1*EXP(A84)</f>
        <v>-1.7300308094187007</v>
      </c>
      <c r="P84" s="20">
        <f>(1-EXP(-2*regressionsbase!X$1*graphbase!A84))/2/EXP(-regressionsbase!X$1*A84)</f>
        <v>-5.4366488407265656</v>
      </c>
      <c r="AT84" s="33"/>
      <c r="AW84" s="33"/>
      <c r="AZ84" s="33"/>
    </row>
    <row r="85" spans="1:52" x14ac:dyDescent="0.35">
      <c r="A85">
        <f t="shared" si="7"/>
        <v>6.199999999999994</v>
      </c>
      <c r="B85">
        <f t="shared" si="4"/>
        <v>-5.6325531965573656</v>
      </c>
      <c r="C85">
        <f>regressionsbase!$AR$1*$A85</f>
        <v>6.9099454477649047</v>
      </c>
      <c r="D85">
        <f>regressionsbase!$AO$1*$A85</f>
        <v>9.795451816931303</v>
      </c>
      <c r="E85">
        <f t="shared" si="5"/>
        <v>8.1873376989724438</v>
      </c>
      <c r="F85">
        <f t="shared" si="6"/>
        <v>-25.22345683041997</v>
      </c>
      <c r="G85" s="5">
        <f>B85-regressions!AA$7</f>
        <v>-9.3538417870223203</v>
      </c>
      <c r="H85" s="5">
        <f>B85+regressions!AA$7</f>
        <v>-1.9112646060924106</v>
      </c>
      <c r="I85">
        <f>IF($A85&lt;=regressionsbase!$L$2,$A85*regressionsbase!$L$1,regressionsbase!$L$1*regressionsbase!$L$2+regressionsbase!$L$3*($A85-regressionsbase!$L$2))</f>
        <v>-5.4285259871474478</v>
      </c>
      <c r="J85">
        <f>regressionsbase!J$1*A85+regressionsbase!J$2*A85^2</f>
        <v>-6.062212593251922</v>
      </c>
      <c r="K85">
        <f>regressionsbase!$V$1*A85</f>
        <v>-5.4285259872645062</v>
      </c>
      <c r="L85">
        <f>regressionsbase!$N$1*A85^2</f>
        <v>-6.5498802535781842</v>
      </c>
      <c r="M85">
        <f>regressionsbase!$R$1*A85^2+regressionsbase!$R$2*A85^6</f>
        <v>-4.6830564614756689</v>
      </c>
      <c r="N85">
        <f>regressionsbase!$P$1*A85^2+regressionsbase!$P$2*A85^7</f>
        <v>-6.771361091679613</v>
      </c>
      <c r="O85">
        <f>regressionsbase!T$2+regressionsbase!T$1*EXP(A85)</f>
        <v>-1.9123887426662936</v>
      </c>
      <c r="P85" s="20">
        <f>(1-EXP(-2*regressionsbase!X$1*graphbase!A85))/2/EXP(-regressionsbase!X$1*A85)</f>
        <v>-5.657899930626904</v>
      </c>
      <c r="AT85" s="33"/>
      <c r="AW85" s="33"/>
      <c r="AZ85" s="33"/>
    </row>
    <row r="86" spans="1:52" x14ac:dyDescent="0.35">
      <c r="A86">
        <f t="shared" si="7"/>
        <v>6.2999999999999936</v>
      </c>
      <c r="B86">
        <f t="shared" si="4"/>
        <v>-5.7854892016759525</v>
      </c>
      <c r="C86">
        <f>regressionsbase!$AR$1*$A86</f>
        <v>7.0213961807933707</v>
      </c>
      <c r="D86">
        <f>regressionsbase!$AO$1*$A86</f>
        <v>9.9534429752689046</v>
      </c>
      <c r="E86">
        <f t="shared" si="5"/>
        <v>8.2573031599107889</v>
      </c>
      <c r="F86">
        <f t="shared" si="6"/>
        <v>-25.692375152213764</v>
      </c>
      <c r="G86" s="5">
        <f>B86-regressions!AA$7</f>
        <v>-9.5067777921409071</v>
      </c>
      <c r="H86" s="5">
        <f>B86+regressions!AA$7</f>
        <v>-2.0642006112109974</v>
      </c>
      <c r="I86">
        <f>IF($A86&lt;=regressionsbase!$L$2,$A86*regressionsbase!$L$1,regressionsbase!$L$1*regressionsbase!$L$2+regressionsbase!$L$3*($A86-regressionsbase!$L$2))</f>
        <v>-5.5160828579078904</v>
      </c>
      <c r="J86">
        <f>regressionsbase!J$1*A86+regressionsbase!J$2*A86^2</f>
        <v>-6.2034622418605192</v>
      </c>
      <c r="K86">
        <f>regressionsbase!$V$1*A86</f>
        <v>-5.5160828580268371</v>
      </c>
      <c r="L86">
        <f>regressionsbase!$N$1*A86^2</f>
        <v>-6.7628706364338731</v>
      </c>
      <c r="M86">
        <f>regressionsbase!$R$1*A86^2+regressionsbase!$R$2*A86^6</f>
        <v>-4.8405687465415168</v>
      </c>
      <c r="N86">
        <f>regressionsbase!$P$1*A86^2+regressionsbase!$P$2*A86^7</f>
        <v>-6.9725047309880317</v>
      </c>
      <c r="O86">
        <f>regressionsbase!T$2+regressionsbase!T$1*EXP(A86)</f>
        <v>-2.1139254271719139</v>
      </c>
      <c r="P86" s="20">
        <f>(1-EXP(-2*regressionsbase!X$1*graphbase!A86))/2/EXP(-regressionsbase!X$1*A86)</f>
        <v>-5.8878714953039726</v>
      </c>
      <c r="AT86" s="33"/>
      <c r="AW86" s="33"/>
      <c r="AZ86" s="33"/>
    </row>
    <row r="87" spans="1:52" x14ac:dyDescent="0.35">
      <c r="A87">
        <f t="shared" si="7"/>
        <v>6.3999999999999932</v>
      </c>
      <c r="B87">
        <f t="shared" si="4"/>
        <v>-5.9408453938836647</v>
      </c>
      <c r="C87">
        <f>regressionsbase!$AR$1*$A87</f>
        <v>7.1328469138218367</v>
      </c>
      <c r="D87">
        <f>regressionsbase!$AO$1*$A87</f>
        <v>10.111434133606506</v>
      </c>
      <c r="E87">
        <f t="shared" si="5"/>
        <v>8.3248484337600086</v>
      </c>
      <c r="F87">
        <f t="shared" si="6"/>
        <v>-26.163713661096679</v>
      </c>
      <c r="G87" s="5">
        <f>B87-regressions!AA$7</f>
        <v>-9.6621339843486194</v>
      </c>
      <c r="H87" s="5">
        <f>B87+regressions!AA$7</f>
        <v>-2.2195568034187096</v>
      </c>
      <c r="I87">
        <f>IF($A87&lt;=regressionsbase!$L$2,$A87*regressionsbase!$L$1,regressionsbase!$L$1*regressionsbase!$L$2+regressionsbase!$L$3*($A87-regressionsbase!$L$2))</f>
        <v>-5.603639728668333</v>
      </c>
      <c r="J87">
        <f>regressionsbase!J$1*A87+regressionsbase!J$2*A87^2</f>
        <v>-6.3460919547909178</v>
      </c>
      <c r="K87">
        <f>regressionsbase!$V$1*A87</f>
        <v>-5.6036397287891671</v>
      </c>
      <c r="L87">
        <f>regressionsbase!$N$1*A87^2</f>
        <v>-6.9792688654152544</v>
      </c>
      <c r="M87">
        <f>regressionsbase!$R$1*A87^2+regressionsbase!$R$2*A87^6</f>
        <v>-5.0011152467776689</v>
      </c>
      <c r="N87">
        <f>regressionsbase!$P$1*A87^2+regressionsbase!$P$2*A87^7</f>
        <v>-7.1746638234227067</v>
      </c>
      <c r="O87">
        <f>regressionsbase!T$2+regressionsbase!T$1*EXP(A87)</f>
        <v>-2.3366579098129119</v>
      </c>
      <c r="P87" s="20">
        <f>(1-EXP(-2*regressionsbase!X$1*graphbase!A87))/2/EXP(-regressionsbase!X$1*A87)</f>
        <v>-6.1269179880449833</v>
      </c>
      <c r="AT87" s="33"/>
      <c r="AW87" s="33"/>
      <c r="AZ87" s="33"/>
    </row>
    <row r="88" spans="1:52" x14ac:dyDescent="0.35">
      <c r="A88">
        <f t="shared" si="7"/>
        <v>6.4999999999999929</v>
      </c>
      <c r="B88">
        <f t="shared" si="4"/>
        <v>-6.0986530566779349</v>
      </c>
      <c r="C88">
        <f>regressionsbase!$AR$1*$A88</f>
        <v>7.2442976468503018</v>
      </c>
      <c r="D88">
        <f>regressionsbase!$AO$1*$A88</f>
        <v>10.269425291944108</v>
      </c>
      <c r="E88">
        <f t="shared" si="5"/>
        <v>8.3899422370226695</v>
      </c>
      <c r="F88">
        <f t="shared" si="6"/>
        <v>-26.637503640566152</v>
      </c>
      <c r="G88" s="5">
        <f>B88-regressions!AA$7</f>
        <v>-9.8199416471428904</v>
      </c>
      <c r="H88" s="5">
        <f>B88+regressions!AA$7</f>
        <v>-2.3773644662129798</v>
      </c>
      <c r="I88">
        <f>IF($A88&lt;=regressionsbase!$L$2,$A88*regressionsbase!$L$1,regressionsbase!$L$1*regressionsbase!$L$2+regressionsbase!$L$3*($A88-regressionsbase!$L$2))</f>
        <v>-5.6911965994287756</v>
      </c>
      <c r="J88">
        <f>regressionsbase!J$1*A88+regressionsbase!J$2*A88^2</f>
        <v>-6.4901017320431196</v>
      </c>
      <c r="K88">
        <f>regressionsbase!$V$1*A88</f>
        <v>-5.6911965995514979</v>
      </c>
      <c r="L88">
        <f>regressionsbase!$N$1*A88^2</f>
        <v>-7.1990749405223253</v>
      </c>
      <c r="M88">
        <f>regressionsbase!$R$1*A88^2+regressionsbase!$R$2*A88^6</f>
        <v>-5.1647374081703754</v>
      </c>
      <c r="N88">
        <f>regressionsbase!$P$1*A88^2+regressionsbase!$P$2*A88^7</f>
        <v>-7.3776235270947801</v>
      </c>
      <c r="O88">
        <f>regressionsbase!T$2+regressionsbase!T$1*EXP(A88)</f>
        <v>-2.5828153721385321</v>
      </c>
      <c r="P88" s="20">
        <f>(1-EXP(-2*regressionsbase!X$1*graphbase!A88))/2/EXP(-regressionsbase!X$1*A88)</f>
        <v>-6.3754078492493749</v>
      </c>
      <c r="AT88" s="33"/>
      <c r="AW88" s="33"/>
      <c r="AZ88" s="33"/>
    </row>
    <row r="89" spans="1:52" x14ac:dyDescent="0.35">
      <c r="A89">
        <f t="shared" si="7"/>
        <v>6.5999999999999925</v>
      </c>
      <c r="B89">
        <f t="shared" si="4"/>
        <v>-6.2589443341114537</v>
      </c>
      <c r="C89">
        <f>regressionsbase!$AR$1*$A89</f>
        <v>7.3557483798787677</v>
      </c>
      <c r="D89">
        <f>regressionsbase!$AO$1*$A89</f>
        <v>10.427416450281708</v>
      </c>
      <c r="E89">
        <f t="shared" si="5"/>
        <v>8.4525524256460827</v>
      </c>
      <c r="F89">
        <f t="shared" si="6"/>
        <v>-27.11377723467487</v>
      </c>
      <c r="G89" s="5">
        <f>B89-regressions!AA$7</f>
        <v>-9.9802329245764092</v>
      </c>
      <c r="H89" s="5">
        <f>B89+regressions!AA$7</f>
        <v>-2.5376557436464986</v>
      </c>
      <c r="I89">
        <f>IF($A89&lt;=regressionsbase!$L$2,$A89*regressionsbase!$L$1,regressionsbase!$L$1*regressionsbase!$L$2+regressionsbase!$L$3*($A89-regressionsbase!$L$2))</f>
        <v>-5.7787534701892183</v>
      </c>
      <c r="J89">
        <f>regressionsbase!J$1*A89+regressionsbase!J$2*A89^2</f>
        <v>-6.6354915736171254</v>
      </c>
      <c r="K89">
        <f>regressionsbase!$V$1*A89</f>
        <v>-5.7787534703138279</v>
      </c>
      <c r="L89">
        <f>regressionsbase!$N$1*A89^2</f>
        <v>-7.4222888617550886</v>
      </c>
      <c r="M89">
        <f>regressionsbase!$R$1*A89^2+regressionsbase!$R$2*A89^6</f>
        <v>-5.3314786655331998</v>
      </c>
      <c r="N89">
        <f>regressionsbase!$P$1*A89^2+regressionsbase!$P$2*A89^7</f>
        <v>-7.5811551463299409</v>
      </c>
      <c r="O89">
        <f>regressionsbase!T$2+regressionsbase!T$1*EXP(A89)</f>
        <v>-2.8548614407681088</v>
      </c>
      <c r="P89" s="20">
        <f>(1-EXP(-2*regressionsbase!X$1*graphbase!A89))/2/EXP(-regressionsbase!X$1*A89)</f>
        <v>-6.6337240743029708</v>
      </c>
      <c r="AT89" s="33"/>
      <c r="AW89" s="33"/>
      <c r="AZ89" s="33"/>
    </row>
    <row r="90" spans="1:52" x14ac:dyDescent="0.35">
      <c r="A90">
        <f t="shared" si="7"/>
        <v>6.6999999999999922</v>
      </c>
      <c r="B90">
        <f t="shared" si="4"/>
        <v>-6.4217522587576772</v>
      </c>
      <c r="C90">
        <f>regressionsbase!$AR$1*$A90</f>
        <v>7.4671991129072337</v>
      </c>
      <c r="D90">
        <f>regressionsbase!$AO$1*$A90</f>
        <v>10.58540760861931</v>
      </c>
      <c r="E90">
        <f t="shared" si="5"/>
        <v>8.5126459670567911</v>
      </c>
      <c r="F90">
        <f t="shared" si="6"/>
        <v>-27.592567475996297</v>
      </c>
      <c r="G90" s="5">
        <f>B90-regressions!AA$7</f>
        <v>-10.143040849222633</v>
      </c>
      <c r="H90" s="5">
        <f>B90+regressions!AA$7</f>
        <v>-2.7004636682927221</v>
      </c>
      <c r="I90">
        <f>IF($A90&lt;=regressionsbase!$L$2,$A90*regressionsbase!$L$1,regressionsbase!$L$1*regressionsbase!$L$2+regressionsbase!$L$3*($A90-regressionsbase!$L$2))</f>
        <v>-5.8663103409496609</v>
      </c>
      <c r="J90">
        <f>regressionsbase!J$1*A90+regressionsbase!J$2*A90^2</f>
        <v>-6.7822614795129326</v>
      </c>
      <c r="K90">
        <f>regressionsbase!$V$1*A90</f>
        <v>-5.8663103410761588</v>
      </c>
      <c r="L90">
        <f>regressionsbase!$N$1*A90^2</f>
        <v>-7.6489106291135416</v>
      </c>
      <c r="M90">
        <f>regressionsbase!$R$1*A90^2+regressionsbase!$R$2*A90^6</f>
        <v>-5.5013845051383274</v>
      </c>
      <c r="N90">
        <f>regressionsbase!$P$1*A90^2+regressionsbase!$P$2*A90^7</f>
        <v>-7.7850154721807137</v>
      </c>
      <c r="O90">
        <f>regressionsbase!T$2+regressionsbase!T$1*EXP(A90)</f>
        <v>-3.1555188441943294</v>
      </c>
      <c r="P90" s="20">
        <f>(1-EXP(-2*regressionsbase!X$1*graphbase!A90))/2/EXP(-regressionsbase!X$1*A90)</f>
        <v>-6.9022648038856431</v>
      </c>
      <c r="AT90" s="33"/>
      <c r="AW90" s="33"/>
      <c r="AZ90" s="33"/>
    </row>
    <row r="91" spans="1:52" x14ac:dyDescent="0.35">
      <c r="A91">
        <f t="shared" si="7"/>
        <v>6.7999999999999918</v>
      </c>
      <c r="B91">
        <f t="shared" si="4"/>
        <v>-6.5871107816899297</v>
      </c>
      <c r="C91">
        <f>regressionsbase!$AR$1*$A91</f>
        <v>7.5786498459356997</v>
      </c>
      <c r="D91">
        <f>regressionsbase!$AO$1*$A91</f>
        <v>10.743398766956911</v>
      </c>
      <c r="E91">
        <f t="shared" si="5"/>
        <v>8.5701889101814697</v>
      </c>
      <c r="F91">
        <f t="shared" si="6"/>
        <v>-28.073908315603752</v>
      </c>
      <c r="G91" s="5">
        <f>B91-regressions!AA$7</f>
        <v>-10.308399372154884</v>
      </c>
      <c r="H91" s="5">
        <f>B91+regressions!AA$7</f>
        <v>-2.8658221912249746</v>
      </c>
      <c r="I91">
        <f>IF($A91&lt;=regressionsbase!$L$2,$A91*regressionsbase!$L$1,regressionsbase!$L$1*regressionsbase!$L$2+regressionsbase!$L$3*($A91-regressionsbase!$L$2))</f>
        <v>-5.9538672117101026</v>
      </c>
      <c r="J91">
        <f>regressionsbase!J$1*A91+regressionsbase!J$2*A91^2</f>
        <v>-6.9304114497305438</v>
      </c>
      <c r="K91">
        <f>regressionsbase!$V$1*A91</f>
        <v>-5.9538672118384897</v>
      </c>
      <c r="L91">
        <f>regressionsbase!$N$1*A91^2</f>
        <v>-7.8789402425976869</v>
      </c>
      <c r="M91">
        <f>regressionsbase!$R$1*A91^2+regressionsbase!$R$2*A91^6</f>
        <v>-5.6745025283189072</v>
      </c>
      <c r="N91">
        <f>regressionsbase!$P$1*A91^2+regressionsbase!$P$2*A91^7</f>
        <v>-7.9889461023330828</v>
      </c>
      <c r="O91">
        <f>regressionsbase!T$2+regressionsbase!T$1*EXP(A91)</f>
        <v>-3.4877966627651249</v>
      </c>
      <c r="P91" s="20">
        <f>(1-EXP(-2*regressionsbase!X$1*graphbase!A91))/2/EXP(-regressionsbase!X$1*A91)</f>
        <v>-7.1814439376222623</v>
      </c>
      <c r="AT91" s="33"/>
      <c r="AW91" s="33"/>
      <c r="AZ91" s="33"/>
    </row>
    <row r="92" spans="1:52" x14ac:dyDescent="0.35">
      <c r="A92">
        <f t="shared" si="7"/>
        <v>6.8999999999999915</v>
      </c>
      <c r="B92">
        <f t="shared" si="4"/>
        <v>-6.7550548046722589</v>
      </c>
      <c r="C92">
        <f>regressionsbase!$AR$1*$A92</f>
        <v>7.6901005789641657</v>
      </c>
      <c r="D92">
        <f>regressionsbase!$AO$1*$A92</f>
        <v>10.901389925294513</v>
      </c>
      <c r="E92">
        <f t="shared" si="5"/>
        <v>8.6251463532560724</v>
      </c>
      <c r="F92">
        <f t="shared" si="6"/>
        <v>-28.557834655261285</v>
      </c>
      <c r="G92" s="5">
        <f>B92-regressions!AA$7</f>
        <v>-10.476343395137214</v>
      </c>
      <c r="H92" s="5">
        <f>B92+regressions!AA$7</f>
        <v>-3.0337662142073039</v>
      </c>
      <c r="I92">
        <f>IF($A92&lt;=regressionsbase!$L$2,$A92*regressionsbase!$L$1,regressionsbase!$L$1*regressionsbase!$L$2+regressionsbase!$L$3*($A92-regressionsbase!$L$2))</f>
        <v>-6.0414240824705452</v>
      </c>
      <c r="J92">
        <f>regressionsbase!J$1*A92+regressionsbase!J$2*A92^2</f>
        <v>-7.0799414842699573</v>
      </c>
      <c r="K92">
        <f>regressionsbase!$V$1*A92</f>
        <v>-6.0414240826008196</v>
      </c>
      <c r="L92">
        <f>regressionsbase!$N$1*A92^2</f>
        <v>-8.1123777022075227</v>
      </c>
      <c r="M92">
        <f>regressionsbase!$R$1*A92^2+regressionsbase!$R$2*A92^6</f>
        <v>-5.8508825160424136</v>
      </c>
      <c r="N92">
        <f>regressionsbase!$P$1*A92^2+regressionsbase!$P$2*A92^7</f>
        <v>-8.1926727400904014</v>
      </c>
      <c r="O92">
        <f>regressionsbase!T$2+regressionsbase!T$1*EXP(A92)</f>
        <v>-3.8550204445711849</v>
      </c>
      <c r="P92" s="20">
        <f>(1-EXP(-2*regressionsbase!X$1*graphbase!A92))/2/EXP(-regressionsbase!X$1*A92)</f>
        <v>-7.4716917720228029</v>
      </c>
      <c r="AT92" s="33"/>
      <c r="AW92" s="33"/>
      <c r="AZ92" s="33"/>
    </row>
    <row r="93" spans="1:52" x14ac:dyDescent="0.35">
      <c r="A93">
        <f t="shared" si="7"/>
        <v>6.9999999999999911</v>
      </c>
      <c r="B93">
        <f t="shared" si="4"/>
        <v>-6.9256202147772541</v>
      </c>
      <c r="C93">
        <f>regressionsbase!$AR$1*$A93</f>
        <v>7.8015513119926316</v>
      </c>
      <c r="D93">
        <f>regressionsbase!$AO$1*$A93</f>
        <v>11.059381083632113</v>
      </c>
      <c r="E93">
        <f t="shared" si="5"/>
        <v>8.6774824092080092</v>
      </c>
      <c r="F93">
        <f t="shared" si="6"/>
        <v>-29.04438238204148</v>
      </c>
      <c r="G93" s="5">
        <f>B93-regressions!AA$7</f>
        <v>-10.646908805242209</v>
      </c>
      <c r="H93" s="5">
        <f>B93+regressions!AA$7</f>
        <v>-3.204331624312299</v>
      </c>
      <c r="I93">
        <f>IF($A93&lt;=regressionsbase!$L$2,$A93*regressionsbase!$L$1,regressionsbase!$L$1*regressionsbase!$L$2+regressionsbase!$L$3*($A93-regressionsbase!$L$2))</f>
        <v>-6.1289809532309878</v>
      </c>
      <c r="J93">
        <f>regressionsbase!J$1*A93+regressionsbase!J$2*A93^2</f>
        <v>-7.2308515831311748</v>
      </c>
      <c r="K93">
        <f>regressionsbase!$V$1*A93</f>
        <v>-6.1289809533631505</v>
      </c>
      <c r="L93">
        <f>regressionsbase!$N$1*A93^2</f>
        <v>-8.3492230079430492</v>
      </c>
      <c r="M93">
        <f>regressionsbase!$R$1*A93^2+regressionsbase!$R$2*A93^6</f>
        <v>-6.0305764944550404</v>
      </c>
      <c r="N93">
        <f>regressionsbase!$P$1*A93^2+regressionsbase!$P$2*A93^7</f>
        <v>-8.3959044721175982</v>
      </c>
      <c r="O93">
        <f>regressionsbase!T$2+regressionsbase!T$1*EXP(A93)</f>
        <v>-4.2608654886489994</v>
      </c>
      <c r="P93" s="20">
        <f>(1-EXP(-2*regressionsbase!X$1*graphbase!A93))/2/EXP(-regressionsbase!X$1*A93)</f>
        <v>-7.7734556636948247</v>
      </c>
      <c r="Q93" s="5"/>
      <c r="Y93" s="51"/>
      <c r="Z93" s="51"/>
      <c r="AA93" s="51"/>
      <c r="AO93" s="1"/>
      <c r="AP93" s="1"/>
      <c r="AT93" s="33"/>
      <c r="AW93" s="33"/>
      <c r="AZ93" s="33"/>
    </row>
    <row r="94" spans="1:52" x14ac:dyDescent="0.35">
      <c r="A94">
        <f t="shared" si="7"/>
        <v>7.0999999999999908</v>
      </c>
      <c r="B94">
        <f t="shared" si="4"/>
        <v>-7.0988439216647148</v>
      </c>
      <c r="C94">
        <f>regressionsbase!$AR$1*$A94</f>
        <v>7.9130020450210976</v>
      </c>
      <c r="D94">
        <f>regressionsbase!$AO$1*$A94</f>
        <v>11.217372241969715</v>
      </c>
      <c r="E94">
        <f t="shared" si="5"/>
        <v>8.7271601683774804</v>
      </c>
      <c r="F94">
        <f t="shared" si="6"/>
        <v>-29.533588405604142</v>
      </c>
      <c r="G94" s="5">
        <f>B94-regressions!AA$7</f>
        <v>-10.820132512129669</v>
      </c>
      <c r="H94" s="5">
        <f>B94+regressions!AA$7</f>
        <v>-3.3775553311997597</v>
      </c>
      <c r="I94">
        <f>IF($A94&lt;=regressionsbase!$L$2,$A94*regressionsbase!$L$1,regressionsbase!$L$1*regressionsbase!$L$2+regressionsbase!$L$3*($A94-regressionsbase!$L$2))</f>
        <v>-6.2165378239914304</v>
      </c>
      <c r="J94">
        <f>regressionsbase!J$1*A94+regressionsbase!J$2*A94^2</f>
        <v>-7.3831417463141937</v>
      </c>
      <c r="K94">
        <f>regressionsbase!$V$1*A94</f>
        <v>-6.2165378241254805</v>
      </c>
      <c r="L94">
        <f>regressionsbase!$N$1*A94^2</f>
        <v>-8.589476159804267</v>
      </c>
      <c r="M94">
        <f>regressionsbase!$R$1*A94^2+regressionsbase!$R$2*A94^6</f>
        <v>-6.2136388013971295</v>
      </c>
      <c r="N94">
        <f>regressionsbase!$P$1*A94^2+regressionsbase!$P$2*A94^7</f>
        <v>-8.5983330246286744</v>
      </c>
      <c r="O94">
        <f>regressionsbase!T$2+regressionsbase!T$1*EXP(A94)</f>
        <v>-4.7093936286089289</v>
      </c>
      <c r="P94" s="20">
        <f>(1-EXP(-2*regressionsbase!X$1*graphbase!A94))/2/EXP(-regressionsbase!X$1*A94)</f>
        <v>-8.0872007188505535</v>
      </c>
      <c r="Q94" s="5"/>
      <c r="AT94" s="33"/>
      <c r="AW94" s="33"/>
      <c r="AZ94" s="33"/>
    </row>
    <row r="95" spans="1:52" x14ac:dyDescent="0.35">
      <c r="A95">
        <f t="shared" si="7"/>
        <v>7.1999999999999904</v>
      </c>
      <c r="B95">
        <f t="shared" si="4"/>
        <v>-7.2747638977752649</v>
      </c>
      <c r="C95">
        <f>regressionsbase!$AR$1*$A95</f>
        <v>8.0244527780495627</v>
      </c>
      <c r="D95">
        <f>regressionsbase!$AO$1*$A95</f>
        <v>11.375363400307316</v>
      </c>
      <c r="E95">
        <f t="shared" si="5"/>
        <v>8.7741416583238596</v>
      </c>
      <c r="F95">
        <f t="shared" si="6"/>
        <v>-30.025490698389898</v>
      </c>
      <c r="G95" s="5">
        <f>B95-regressions!AA$7</f>
        <v>-10.99605248824022</v>
      </c>
      <c r="H95" s="5">
        <f>B95+regressions!AA$7</f>
        <v>-3.5534753073103098</v>
      </c>
      <c r="I95">
        <f>IF($A95&lt;=regressionsbase!$L$2,$A95*regressionsbase!$L$1,regressionsbase!$L$1*regressionsbase!$L$2+regressionsbase!$L$3*($A95-regressionsbase!$L$2))</f>
        <v>-6.304094694751873</v>
      </c>
      <c r="J95">
        <f>regressionsbase!J$1*A95+regressionsbase!J$2*A95^2</f>
        <v>-7.5368119738190167</v>
      </c>
      <c r="K95">
        <f>regressionsbase!$V$1*A95</f>
        <v>-6.3040946948878114</v>
      </c>
      <c r="L95">
        <f>regressionsbase!$N$1*A95^2</f>
        <v>-8.8331371577911764</v>
      </c>
      <c r="M95">
        <f>regressionsbase!$R$1*A95^2+regressionsbase!$R$2*A95^6</f>
        <v>-6.4001261538896133</v>
      </c>
      <c r="N95">
        <f>regressionsbase!$P$1*A95^2+regressionsbase!$P$2*A95^7</f>
        <v>-8.7996319977004376</v>
      </c>
      <c r="O95">
        <f>regressionsbase!T$2+regressionsbase!T$1*EXP(A95)</f>
        <v>-5.2050938848312072</v>
      </c>
      <c r="P95" s="20">
        <f>(1-EXP(-2*regressionsbase!X$1*graphbase!A95))/2/EXP(-regressionsbase!X$1*A95)</f>
        <v>-8.4134105101712571</v>
      </c>
      <c r="Q95" s="5"/>
      <c r="AE95" s="58"/>
      <c r="AO95" s="1"/>
      <c r="AP95" s="1"/>
      <c r="AT95" s="33"/>
      <c r="AW95" s="33"/>
      <c r="AZ95" s="33"/>
    </row>
    <row r="96" spans="1:52" x14ac:dyDescent="0.35">
      <c r="A96">
        <f t="shared" si="7"/>
        <v>7.2999999999999901</v>
      </c>
      <c r="B96">
        <f t="shared" si="4"/>
        <v>-7.4534192217152428</v>
      </c>
      <c r="C96">
        <f>regressionsbase!$AR$1*$A96</f>
        <v>8.1359035110780287</v>
      </c>
      <c r="D96">
        <f>regressionsbase!$AO$1*$A96</f>
        <v>11.533354558644918</v>
      </c>
      <c r="E96">
        <f t="shared" si="5"/>
        <v>8.8183878004408136</v>
      </c>
      <c r="F96">
        <f t="shared" si="6"/>
        <v>-30.52012833900508</v>
      </c>
      <c r="G96" s="5">
        <f>B96-regressions!AA$7</f>
        <v>-11.174707812180198</v>
      </c>
      <c r="H96" s="5">
        <f>B96+regressions!AA$7</f>
        <v>-3.7321306312502878</v>
      </c>
      <c r="I96">
        <f>IF($A96&lt;=regressionsbase!$L$2,$A96*regressionsbase!$L$1,regressionsbase!$L$1*regressionsbase!$L$2+regressionsbase!$L$3*($A96-regressionsbase!$L$2))</f>
        <v>-6.3916515655123156</v>
      </c>
      <c r="J96">
        <f>regressionsbase!J$1*A96+regressionsbase!J$2*A96^2</f>
        <v>-7.6918622656456419</v>
      </c>
      <c r="K96">
        <f>regressionsbase!$V$1*A96</f>
        <v>-6.3916515656501423</v>
      </c>
      <c r="L96">
        <f>regressionsbase!$N$1*A96^2</f>
        <v>-9.0802060019037754</v>
      </c>
      <c r="M96">
        <f>regressionsbase!$R$1*A96^2+regressionsbase!$R$2*A96^6</f>
        <v>-6.5900977165915</v>
      </c>
      <c r="N96">
        <f>regressionsbase!$P$1*A96^2+regressionsbase!$P$2*A96^7</f>
        <v>-8.9994560773955339</v>
      </c>
      <c r="O96">
        <f>regressionsbase!T$2+regressionsbase!T$1*EXP(A96)</f>
        <v>-5.7529273920907151</v>
      </c>
      <c r="P96" s="20">
        <f>(1-EXP(-2*regressionsbase!X$1*graphbase!A96))/2/EXP(-regressionsbase!X$1*A96)</f>
        <v>-8.7525878221338598</v>
      </c>
      <c r="Q96" s="5"/>
      <c r="AT96" s="33"/>
      <c r="AW96" s="33"/>
      <c r="AZ96" s="33"/>
    </row>
    <row r="97" spans="1:52" x14ac:dyDescent="0.35">
      <c r="A97">
        <f t="shared" si="7"/>
        <v>7.3999999999999897</v>
      </c>
      <c r="B97">
        <f t="shared" si="4"/>
        <v>-7.6348501251332763</v>
      </c>
      <c r="C97">
        <f>regressionsbase!$AR$1*$A97</f>
        <v>8.2473542441064946</v>
      </c>
      <c r="D97">
        <f>regressionsbase!$AO$1*$A97</f>
        <v>11.691345716982518</v>
      </c>
      <c r="E97">
        <f t="shared" si="5"/>
        <v>8.859858363079713</v>
      </c>
      <c r="F97">
        <f t="shared" si="6"/>
        <v>-31.017541559098312</v>
      </c>
      <c r="G97" s="5">
        <f>B97-regressions!AA$7</f>
        <v>-11.356138715598231</v>
      </c>
      <c r="H97" s="5">
        <f>B97+regressions!AA$7</f>
        <v>-3.9135615346683212</v>
      </c>
      <c r="I97">
        <f>IF($A97&lt;=regressionsbase!$L$2,$A97*regressionsbase!$L$1,regressionsbase!$L$1*regressionsbase!$L$2+regressionsbase!$L$3*($A97-regressionsbase!$L$2))</f>
        <v>-6.4792084362727582</v>
      </c>
      <c r="J97">
        <f>regressionsbase!J$1*A97+regressionsbase!J$2*A97^2</f>
        <v>-7.8482926217940694</v>
      </c>
      <c r="K97">
        <f>regressionsbase!$V$1*A97</f>
        <v>-6.4792084364124722</v>
      </c>
      <c r="L97">
        <f>regressionsbase!$N$1*A97^2</f>
        <v>-9.3306826921420676</v>
      </c>
      <c r="M97">
        <f>regressionsbase!$R$1*A97^2+regressionsbase!$R$2*A97^6</f>
        <v>-6.783615171228373</v>
      </c>
      <c r="N97">
        <f>regressionsbase!$P$1*A97^2+regressionsbase!$P$2*A97^7</f>
        <v>-9.1974402253777043</v>
      </c>
      <c r="O97">
        <f>regressionsbase!T$2+regressionsbase!T$1*EXP(A97)</f>
        <v>-6.3583770522613081</v>
      </c>
      <c r="P97" s="20">
        <f>(1-EXP(-2*regressionsbase!X$1*graphbase!A97))/2/EXP(-regressionsbase!X$1*A97)</f>
        <v>-9.1052554259485436</v>
      </c>
      <c r="Q97" s="5"/>
      <c r="AT97" s="33"/>
      <c r="AW97" s="33"/>
      <c r="AZ97" s="33"/>
    </row>
    <row r="98" spans="1:52" x14ac:dyDescent="0.35">
      <c r="A98">
        <f t="shared" si="7"/>
        <v>7.4999999999999893</v>
      </c>
      <c r="B98">
        <f t="shared" si="4"/>
        <v>-7.8190980434153516</v>
      </c>
      <c r="C98">
        <f>regressionsbase!$AR$1*$A98</f>
        <v>8.3588049771349606</v>
      </c>
      <c r="D98">
        <f>regressionsbase!$AO$1*$A98</f>
        <v>11.84933687532012</v>
      </c>
      <c r="E98">
        <f t="shared" si="5"/>
        <v>8.8985119108545696</v>
      </c>
      <c r="F98">
        <f t="shared" si="6"/>
        <v>-31.517771794055591</v>
      </c>
      <c r="G98" s="5">
        <f>B98-regressions!AA$7</f>
        <v>-11.540386633880306</v>
      </c>
      <c r="H98" s="5">
        <f>B98+regressions!AA$7</f>
        <v>-4.097809452950397</v>
      </c>
      <c r="I98">
        <f>IF($A98&lt;=regressionsbase!$L$2,$A98*regressionsbase!$L$1,regressionsbase!$L$1*regressionsbase!$L$2+regressionsbase!$L$3*($A98-regressionsbase!$L$2))</f>
        <v>-6.5667653070331999</v>
      </c>
      <c r="J98">
        <f>regressionsbase!J$1*A98+regressionsbase!J$2*A98^2</f>
        <v>-8.0061030422643</v>
      </c>
      <c r="K98">
        <f>regressionsbase!$V$1*A98</f>
        <v>-6.5667653071748031</v>
      </c>
      <c r="L98">
        <f>regressionsbase!$N$1*A98^2</f>
        <v>-9.5845672285060495</v>
      </c>
      <c r="M98">
        <f>regressionsbase!$R$1*A98^2+regressionsbase!$R$2*A98^6</f>
        <v>-6.980742786991935</v>
      </c>
      <c r="N98">
        <f>regressionsbase!$P$1*A98^2+regressionsbase!$P$2*A98^7</f>
        <v>-9.3931988457022815</v>
      </c>
      <c r="O98">
        <f>regressionsbase!T$2+regressionsbase!T$1*EXP(A98)</f>
        <v>-7.0275024090406299</v>
      </c>
      <c r="P98" s="20">
        <f>(1-EXP(-2*regressionsbase!X$1*graphbase!A98))/2/EXP(-regressionsbase!X$1*A98)</f>
        <v>-9.4719568853017222</v>
      </c>
      <c r="Q98" s="5"/>
      <c r="AT98" s="33"/>
      <c r="AW98" s="33"/>
      <c r="AZ98" s="33"/>
    </row>
    <row r="99" spans="1:52" x14ac:dyDescent="0.35">
      <c r="A99">
        <f t="shared" si="7"/>
        <v>7.599999999999989</v>
      </c>
      <c r="B99">
        <f t="shared" si="4"/>
        <v>-8.0062056705539906</v>
      </c>
      <c r="C99">
        <f>regressionsbase!$AR$1*$A99</f>
        <v>8.4702557101634266</v>
      </c>
      <c r="D99">
        <f>regressionsbase!$AO$1*$A99</f>
        <v>12.007328033657721</v>
      </c>
      <c r="E99">
        <f t="shared" si="5"/>
        <v>8.9343057497728626</v>
      </c>
      <c r="F99">
        <f t="shared" si="6"/>
        <v>-32.020861737869431</v>
      </c>
      <c r="G99" s="5">
        <f>B99-regressions!AA$7</f>
        <v>-11.727494261018945</v>
      </c>
      <c r="H99" s="5">
        <f>B99+regressions!AA$7</f>
        <v>-4.2849170800890359</v>
      </c>
      <c r="I99">
        <f>IF($A99&lt;=regressionsbase!$L$2,$A99*regressionsbase!$L$1,regressionsbase!$L$1*regressionsbase!$L$2+regressionsbase!$L$3*($A99-regressionsbase!$L$2))</f>
        <v>-6.6543221777936425</v>
      </c>
      <c r="J99">
        <f>regressionsbase!J$1*A99+regressionsbase!J$2*A99^2</f>
        <v>-8.1652935270563347</v>
      </c>
      <c r="K99">
        <f>regressionsbase!$V$1*A99</f>
        <v>-6.6543221779371331</v>
      </c>
      <c r="L99">
        <f>regressionsbase!$N$1*A99^2</f>
        <v>-9.841859610995721</v>
      </c>
      <c r="M99">
        <f>regressionsbase!$R$1*A99^2+regressionsbase!$R$2*A99^6</f>
        <v>-7.1815474919105604</v>
      </c>
      <c r="N99">
        <f>regressionsbase!$P$1*A99^2+regressionsbase!$P$2*A99^7</f>
        <v>-9.5863249284649132</v>
      </c>
      <c r="O99">
        <f>regressionsbase!T$2+regressionsbase!T$1*EXP(A99)</f>
        <v>-7.7670002939001295</v>
      </c>
      <c r="P99" s="20">
        <f>(1-EXP(-2*regressionsbase!X$1*graphbase!A99))/2/EXP(-regressionsbase!X$1*A99)</f>
        <v>-9.85325739414629</v>
      </c>
      <c r="Q99" s="5"/>
      <c r="AT99" s="33"/>
      <c r="AW99" s="33"/>
      <c r="AZ99" s="33"/>
    </row>
    <row r="100" spans="1:52" x14ac:dyDescent="0.35">
      <c r="A100">
        <f t="shared" si="7"/>
        <v>7.6999999999999886</v>
      </c>
      <c r="B100">
        <f t="shared" si="4"/>
        <v>-8.1962170185786789</v>
      </c>
      <c r="C100">
        <f>regressionsbase!$AR$1*$A100</f>
        <v>8.5817064431918926</v>
      </c>
      <c r="D100">
        <f>regressionsbase!$AO$1*$A100</f>
        <v>12.165319191995323</v>
      </c>
      <c r="E100">
        <f t="shared" si="5"/>
        <v>8.9671958678051062</v>
      </c>
      <c r="F100">
        <f t="shared" si="6"/>
        <v>-32.526855402569325</v>
      </c>
      <c r="G100" s="5">
        <f>B100-regressions!AA$7</f>
        <v>-11.917505609043634</v>
      </c>
      <c r="H100" s="5">
        <f>B100+regressions!AA$7</f>
        <v>-4.4749284281137243</v>
      </c>
      <c r="I100">
        <f>IF($A100&lt;=regressionsbase!$L$2,$A100*regressionsbase!$L$1,regressionsbase!$L$1*regressionsbase!$L$2+regressionsbase!$L$3*($A100-regressionsbase!$L$2))</f>
        <v>-6.7418790485540852</v>
      </c>
      <c r="J100">
        <f>regressionsbase!J$1*A100+regressionsbase!J$2*A100^2</f>
        <v>-8.3258640761701734</v>
      </c>
      <c r="K100">
        <f>regressionsbase!$V$1*A100</f>
        <v>-6.741879048699464</v>
      </c>
      <c r="L100">
        <f>regressionsbase!$N$1*A100^2</f>
        <v>-10.102559839611084</v>
      </c>
      <c r="M100">
        <f>regressionsbase!$R$1*A100^2+regressionsbase!$R$2*A100^6</f>
        <v>-7.3860989451908949</v>
      </c>
      <c r="N100">
        <f>regressionsbase!$P$1*A100^2+regressionsbase!$P$2*A100^7</f>
        <v>-9.7763891699915177</v>
      </c>
      <c r="O100">
        <f>regressionsbase!T$2+regressionsbase!T$1*EXP(A100)</f>
        <v>-8.584271850225301</v>
      </c>
      <c r="P100" s="20">
        <f>(1-EXP(-2*regressionsbase!X$1*graphbase!A100))/2/EXP(-regressionsbase!X$1*A100)</f>
        <v>-10.249744647830433</v>
      </c>
      <c r="Q100" s="5"/>
      <c r="AT100" s="33"/>
      <c r="AW100" s="33"/>
      <c r="AZ100" s="33"/>
    </row>
    <row r="101" spans="1:52" x14ac:dyDescent="0.35">
      <c r="A101">
        <f t="shared" si="7"/>
        <v>7.7999999999999883</v>
      </c>
      <c r="B101">
        <f t="shared" si="4"/>
        <v>-8.3891774819690674</v>
      </c>
      <c r="C101">
        <f>regressionsbase!$AR$1*$A101</f>
        <v>8.6931571762203586</v>
      </c>
      <c r="D101">
        <f>regressionsbase!$AO$1*$A101</f>
        <v>12.323310350332923</v>
      </c>
      <c r="E101">
        <f t="shared" si="5"/>
        <v>8.9971368704716497</v>
      </c>
      <c r="F101">
        <f t="shared" si="6"/>
        <v>-33.035798182634913</v>
      </c>
      <c r="G101" s="5">
        <f>B101-regressions!AA$7</f>
        <v>-12.110466072434022</v>
      </c>
      <c r="H101" s="5">
        <f>B101+regressions!AA$7</f>
        <v>-4.6678888915041128</v>
      </c>
      <c r="I101">
        <f>IF($A101&lt;=regressionsbase!$L$2,$A101*regressionsbase!$L$1,regressionsbase!$L$1*regressionsbase!$L$2+regressionsbase!$L$3*($A101-regressionsbase!$L$2))</f>
        <v>-6.8294359193145278</v>
      </c>
      <c r="J101">
        <f>regressionsbase!J$1*A101+regressionsbase!J$2*A101^2</f>
        <v>-8.4878146896058126</v>
      </c>
      <c r="K101">
        <f>regressionsbase!$V$1*A101</f>
        <v>-6.8294359194617948</v>
      </c>
      <c r="L101">
        <f>regressionsbase!$N$1*A101^2</f>
        <v>-10.36666791435214</v>
      </c>
      <c r="M101">
        <f>regressionsbase!$R$1*A101^2+regressionsbase!$R$2*A101^6</f>
        <v>-7.5944696105304681</v>
      </c>
      <c r="N101">
        <f>regressionsbase!$P$1*A101^2+regressionsbase!$P$2*A101^7</f>
        <v>-9.9629390692524229</v>
      </c>
      <c r="O101">
        <f>regressionsbase!T$2+regressionsbase!T$1*EXP(A101)</f>
        <v>-9.4874966064463031</v>
      </c>
      <c r="P101" s="20">
        <f>(1-EXP(-2*regressionsbase!X$1*graphbase!A101))/2/EXP(-regressionsbase!X$1*A101)</f>
        <v>-10.662029748907642</v>
      </c>
      <c r="Q101" s="5"/>
      <c r="AT101" s="33"/>
      <c r="AW101" s="33"/>
      <c r="AZ101" s="33"/>
    </row>
    <row r="102" spans="1:52" x14ac:dyDescent="0.35">
      <c r="A102">
        <f t="shared" si="7"/>
        <v>7.8999999999999879</v>
      </c>
      <c r="B102">
        <f t="shared" si="4"/>
        <v>-8.5851339075102544</v>
      </c>
      <c r="C102">
        <f>regressionsbase!$AR$1*$A102</f>
        <v>8.8046079092488245</v>
      </c>
      <c r="D102">
        <f>regressionsbase!$AO$1*$A102</f>
        <v>12.481301508670525</v>
      </c>
      <c r="E102">
        <f t="shared" si="5"/>
        <v>9.0240819109873947</v>
      </c>
      <c r="F102">
        <f t="shared" si="6"/>
        <v>-33.547736924851307</v>
      </c>
      <c r="G102" s="5">
        <f>B102-regressions!AA$7</f>
        <v>-12.306422497975209</v>
      </c>
      <c r="H102" s="5">
        <f>B102+regressions!AA$7</f>
        <v>-4.8638453170452998</v>
      </c>
      <c r="I102">
        <f>IF($A102&lt;=regressionsbase!$L$2,$A102*regressionsbase!$L$1,regressionsbase!$L$1*regressionsbase!$L$2+regressionsbase!$L$3*($A102-regressionsbase!$L$2))</f>
        <v>-6.9169927900749704</v>
      </c>
      <c r="J102">
        <f>regressionsbase!J$1*A102+regressionsbase!J$2*A102^2</f>
        <v>-8.6511453673632559</v>
      </c>
      <c r="K102">
        <f>regressionsbase!$V$1*A102</f>
        <v>-6.9169927902241248</v>
      </c>
      <c r="L102">
        <f>regressionsbase!$N$1*A102^2</f>
        <v>-10.634183835218886</v>
      </c>
      <c r="M102">
        <f>regressionsbase!$R$1*A102^2+regressionsbase!$R$2*A102^6</f>
        <v>-7.806734830401342</v>
      </c>
      <c r="N102">
        <f>regressionsbase!$P$1*A102^2+regressionsbase!$P$2*A102^7</f>
        <v>-10.145498000183705</v>
      </c>
      <c r="O102">
        <f>regressionsbase!T$2+regressionsbase!T$1*EXP(A102)</f>
        <v>-10.485714339507721</v>
      </c>
      <c r="P102" s="20">
        <f>(1-EXP(-2*regressionsbase!X$1*graphbase!A102))/2/EXP(-regressionsbase!X$1*A102)</f>
        <v>-11.090748149024099</v>
      </c>
      <c r="Q102" s="5"/>
      <c r="AT102" s="33"/>
      <c r="AW102" s="33"/>
      <c r="AZ102" s="33"/>
    </row>
    <row r="103" spans="1:52" x14ac:dyDescent="0.35">
      <c r="A103">
        <f t="shared" si="7"/>
        <v>7.9999999999999876</v>
      </c>
      <c r="B103">
        <f t="shared" si="4"/>
        <v>-8.7841346700906371</v>
      </c>
      <c r="C103">
        <f>regressionsbase!$AR$1*$A103</f>
        <v>8.9160586422772905</v>
      </c>
      <c r="D103">
        <f>regressionsbase!$AO$1*$A103</f>
        <v>12.639292667008126</v>
      </c>
      <c r="E103">
        <f t="shared" si="5"/>
        <v>9.0479826144639439</v>
      </c>
      <c r="F103">
        <f t="shared" si="6"/>
        <v>-34.062720004106893</v>
      </c>
      <c r="G103" s="5">
        <f>B103-regressions!AA$7</f>
        <v>-12.505423260555592</v>
      </c>
      <c r="H103" s="5">
        <f>B103+regressions!AA$7</f>
        <v>-5.0628460796256824</v>
      </c>
      <c r="I103">
        <f>IF($A103&lt;=regressionsbase!$L$2,$A103*regressionsbase!$L$1,regressionsbase!$L$1*regressionsbase!$L$2+regressionsbase!$L$3*($A103-regressionsbase!$L$2))</f>
        <v>-7.004549660835413</v>
      </c>
      <c r="J103">
        <f>regressionsbase!J$1*A103+regressionsbase!J$2*A103^2</f>
        <v>-8.8158561094424996</v>
      </c>
      <c r="K103">
        <f>regressionsbase!$V$1*A103</f>
        <v>-7.0045496609864557</v>
      </c>
      <c r="L103">
        <f>regressionsbase!$N$1*A103^2</f>
        <v>-10.905107602211324</v>
      </c>
      <c r="M103">
        <f>regressionsbase!$R$1*A103^2+regressionsbase!$R$2*A103^6</f>
        <v>-8.0229729013047884</v>
      </c>
      <c r="N103">
        <f>regressionsbase!$P$1*A103^2+regressionsbase!$P$2*A103^7</f>
        <v>-10.323564259598733</v>
      </c>
      <c r="O103">
        <f>regressionsbase!T$2+regressionsbase!T$1*EXP(A103)</f>
        <v>-11.588915547994601</v>
      </c>
      <c r="P103" s="20">
        <f>(1-EXP(-2*regressionsbase!X$1*graphbase!A103))/2/EXP(-regressionsbase!X$1*A103)</f>
        <v>-11.536560628335044</v>
      </c>
      <c r="Q103" s="5"/>
      <c r="AT103" s="33"/>
      <c r="AW103" s="33"/>
      <c r="AZ103" s="33"/>
    </row>
    <row r="104" spans="1:52" x14ac:dyDescent="0.35">
      <c r="A104">
        <f t="shared" si="7"/>
        <v>8.0999999999999872</v>
      </c>
      <c r="B104">
        <f t="shared" si="4"/>
        <v>-8.9862297549880772</v>
      </c>
      <c r="C104">
        <f>regressionsbase!$AR$1*$A104</f>
        <v>9.0275093753057565</v>
      </c>
      <c r="D104">
        <f>regressionsbase!$AO$1*$A104</f>
        <v>12.797283825345728</v>
      </c>
      <c r="E104">
        <f t="shared" si="5"/>
        <v>9.0687889956234358</v>
      </c>
      <c r="F104">
        <f t="shared" si="6"/>
        <v>-34.580797405679533</v>
      </c>
      <c r="G104" s="5">
        <f>B104-regressions!AA$7</f>
        <v>-12.707518345453032</v>
      </c>
      <c r="H104" s="5">
        <f>B104+regressions!AA$7</f>
        <v>-5.2649411645231226</v>
      </c>
      <c r="I104">
        <f>IF($A104&lt;=regressionsbase!$L$2,$A104*regressionsbase!$L$1,regressionsbase!$L$1*regressionsbase!$L$2+regressionsbase!$L$3*($A104-regressionsbase!$L$2))</f>
        <v>-7.0921065315958556</v>
      </c>
      <c r="J104">
        <f>regressionsbase!J$1*A104+regressionsbase!J$2*A104^2</f>
        <v>-8.9819469158435492</v>
      </c>
      <c r="K104">
        <f>regressionsbase!$V$1*A104</f>
        <v>-7.0921065317487857</v>
      </c>
      <c r="L104">
        <f>regressionsbase!$N$1*A104^2</f>
        <v>-11.179439215329451</v>
      </c>
      <c r="M104">
        <f>regressionsbase!$R$1*A104^2+regressionsbase!$R$2*A104^6</f>
        <v>-8.24326514999699</v>
      </c>
      <c r="N104">
        <f>regressionsbase!$P$1*A104^2+regressionsbase!$P$2*A104^7</f>
        <v>-10.496610090372849</v>
      </c>
      <c r="O104">
        <f>regressionsbase!T$2+regressionsbase!T$1*EXP(A104)</f>
        <v>-12.80814144040021</v>
      </c>
      <c r="P104" s="20">
        <f>(1-EXP(-2*regressionsbase!X$1*graphbase!A104))/2/EXP(-regressionsbase!X$1*A104)</f>
        <v>-12.000154313959845</v>
      </c>
      <c r="Q104" s="5"/>
      <c r="AT104" s="33"/>
      <c r="AW104" s="33"/>
      <c r="AZ104" s="33"/>
    </row>
    <row r="105" spans="1:52" x14ac:dyDescent="0.35">
      <c r="A105">
        <f t="shared" si="7"/>
        <v>8.1999999999999869</v>
      </c>
      <c r="B105">
        <f t="shared" si="4"/>
        <v>-9.1914708472396374</v>
      </c>
      <c r="C105">
        <f>regressionsbase!$AR$1*$A105</f>
        <v>9.1389601083342225</v>
      </c>
      <c r="D105">
        <f>regressionsbase!$AO$1*$A105</f>
        <v>12.955274983683328</v>
      </c>
      <c r="E105">
        <f t="shared" si="5"/>
        <v>9.0864493694288075</v>
      </c>
      <c r="F105">
        <f t="shared" si="6"/>
        <v>-35.102020814606291</v>
      </c>
      <c r="G105" s="5">
        <f>B105-regressions!AA$7</f>
        <v>-12.912759437704592</v>
      </c>
      <c r="H105" s="5">
        <f>B105+regressions!AA$7</f>
        <v>-5.4701822567746827</v>
      </c>
      <c r="I105">
        <f>IF($A105&lt;=regressionsbase!$L$2,$A105*regressionsbase!$L$1,regressionsbase!$L$1*regressionsbase!$L$2+regressionsbase!$L$3*($A105-regressionsbase!$L$2))</f>
        <v>-7.1796634023562973</v>
      </c>
      <c r="J105">
        <f>regressionsbase!J$1*A105+regressionsbase!J$2*A105^2</f>
        <v>-9.1494177865663993</v>
      </c>
      <c r="K105">
        <f>regressionsbase!$V$1*A105</f>
        <v>-7.1796634025111166</v>
      </c>
      <c r="L105">
        <f>regressionsbase!$N$1*A105^2</f>
        <v>-11.457178674573271</v>
      </c>
      <c r="M105">
        <f>regressionsbase!$R$1*A105^2+regressionsbase!$R$2*A105^6</f>
        <v>-8.4676960106857706</v>
      </c>
      <c r="N105">
        <f>regressionsbase!$P$1*A105^2+regressionsbase!$P$2*A105^7</f>
        <v>-10.664080679584258</v>
      </c>
      <c r="O105">
        <f>regressionsbase!T$2+regressionsbase!T$1*EXP(A105)</f>
        <v>-14.155594439251715</v>
      </c>
      <c r="P105" s="20">
        <f>(1-EXP(-2*regressionsbase!X$1*graphbase!A105))/2/EXP(-regressionsbase!X$1*A105)</f>
        <v>-12.482243739045371</v>
      </c>
      <c r="Q105" s="5"/>
      <c r="AT105" s="33"/>
      <c r="AW105" s="33"/>
      <c r="AZ105" s="33"/>
    </row>
    <row r="106" spans="1:52" x14ac:dyDescent="0.35">
      <c r="A106">
        <f t="shared" si="7"/>
        <v>8.2999999999999865</v>
      </c>
      <c r="B106">
        <f t="shared" si="4"/>
        <v>-9.3999114287444634</v>
      </c>
      <c r="C106">
        <f>regressionsbase!$AR$1*$A106</f>
        <v>9.2504108413626884</v>
      </c>
      <c r="D106">
        <f>regressionsbase!$AO$1*$A106</f>
        <v>13.11326614202093</v>
      </c>
      <c r="E106">
        <f t="shared" si="5"/>
        <v>9.1009102539809135</v>
      </c>
      <c r="F106">
        <f t="shared" si="6"/>
        <v>-35.626443712786326</v>
      </c>
      <c r="G106" s="5">
        <f>B106-regressions!AA$7</f>
        <v>-13.121200019209418</v>
      </c>
      <c r="H106" s="5">
        <f>B106+regressions!AA$7</f>
        <v>-5.6786228382795088</v>
      </c>
      <c r="I106">
        <f>IF($A106&lt;=regressionsbase!$L$2,$A106*regressionsbase!$L$1,regressionsbase!$L$1*regressionsbase!$L$2+regressionsbase!$L$3*($A106-regressionsbase!$L$2))</f>
        <v>-7.2672202731167399</v>
      </c>
      <c r="J106">
        <f>regressionsbase!J$1*A106+regressionsbase!J$2*A106^2</f>
        <v>-9.3182687216110551</v>
      </c>
      <c r="K106">
        <f>regressionsbase!$V$1*A106</f>
        <v>-7.2672202732734474</v>
      </c>
      <c r="L106">
        <f>regressionsbase!$N$1*A106^2</f>
        <v>-11.738325979942781</v>
      </c>
      <c r="M106">
        <f>regressionsbase!$R$1*A106^2+regressionsbase!$R$2*A106^6</f>
        <v>-8.696353103198355</v>
      </c>
      <c r="N106">
        <f>regressionsbase!$P$1*A106^2+regressionsbase!$P$2*A106^7</f>
        <v>-10.825393131294026</v>
      </c>
      <c r="O106">
        <f>regressionsbase!T$2+regressionsbase!T$1*EXP(A106)</f>
        <v>-15.644760307056218</v>
      </c>
      <c r="P106" s="20">
        <f>(1-EXP(-2*regressionsbase!X$1*graphbase!A106))/2/EXP(-regressionsbase!X$1*A106)</f>
        <v>-12.983571944070089</v>
      </c>
      <c r="Q106" s="5"/>
      <c r="AT106" s="33"/>
      <c r="AW106" s="33"/>
      <c r="AZ106" s="33"/>
    </row>
    <row r="107" spans="1:52" x14ac:dyDescent="0.35">
      <c r="A107">
        <f t="shared" si="7"/>
        <v>8.3999999999999861</v>
      </c>
      <c r="B107">
        <f t="shared" si="4"/>
        <v>-9.6116068838088928</v>
      </c>
      <c r="C107">
        <f>regressionsbase!$AR$1*$A107</f>
        <v>9.3618615743911544</v>
      </c>
      <c r="D107">
        <f>regressionsbase!$AO$1*$A107</f>
        <v>13.271257300358531</v>
      </c>
      <c r="E107">
        <f t="shared" si="5"/>
        <v>9.112116264973416</v>
      </c>
      <c r="F107">
        <f t="shared" si="6"/>
        <v>-36.154121484525959</v>
      </c>
      <c r="G107" s="5">
        <f>B107-regressions!AA$7</f>
        <v>-13.332895474273847</v>
      </c>
      <c r="H107" s="5">
        <f>B107+regressions!AA$7</f>
        <v>-5.8903182933439382</v>
      </c>
      <c r="I107">
        <f>IF($A107&lt;=regressionsbase!$L$2,$A107*regressionsbase!$L$1,regressionsbase!$L$1*regressionsbase!$L$2+regressionsbase!$L$3*($A107-regressionsbase!$L$2))</f>
        <v>-7.3547771438771825</v>
      </c>
      <c r="J107">
        <f>regressionsbase!J$1*A107+regressionsbase!J$2*A107^2</f>
        <v>-9.4884997209775115</v>
      </c>
      <c r="K107">
        <f>regressionsbase!$V$1*A107</f>
        <v>-7.3547771440357774</v>
      </c>
      <c r="L107">
        <f>regressionsbase!$N$1*A107^2</f>
        <v>-12.02288113143798</v>
      </c>
      <c r="M107">
        <f>regressionsbase!$R$1*A107^2+regressionsbase!$R$2*A107^6</f>
        <v>-8.9293273121201597</v>
      </c>
      <c r="N107">
        <f>regressionsbase!$P$1*A107^2+regressionsbase!$P$2*A107^7</f>
        <v>-10.979935413648251</v>
      </c>
      <c r="O107">
        <f>regressionsbase!T$2+regressionsbase!T$1*EXP(A107)</f>
        <v>-17.29054311634464</v>
      </c>
      <c r="P107" s="20">
        <f>(1-EXP(-2*regressionsbase!X$1*graphbase!A107))/2/EXP(-regressionsbase!X$1*A107)</f>
        <v>-13.504911622086274</v>
      </c>
      <c r="Q107" s="5"/>
      <c r="AT107" s="33"/>
      <c r="AW107" s="33"/>
      <c r="AZ107" s="33"/>
    </row>
    <row r="108" spans="1:52" x14ac:dyDescent="0.35">
      <c r="A108">
        <f t="shared" si="7"/>
        <v>8.4999999999999858</v>
      </c>
      <c r="B108">
        <f t="shared" si="4"/>
        <v>-9.8266146139082711</v>
      </c>
      <c r="C108">
        <f>regressionsbase!$AR$1*$A108</f>
        <v>9.4733123074196204</v>
      </c>
      <c r="D108">
        <f>regressionsbase!$AO$1*$A108</f>
        <v>13.429248458696133</v>
      </c>
      <c r="E108">
        <f t="shared" si="5"/>
        <v>9.1200100009309697</v>
      </c>
      <c r="F108">
        <f t="shared" si="6"/>
        <v>-36.685111531300535</v>
      </c>
      <c r="G108" s="5">
        <f>B108-regressions!AA$7</f>
        <v>-13.547903204373226</v>
      </c>
      <c r="H108" s="5">
        <f>B108+regressions!AA$7</f>
        <v>-6.1053260234433164</v>
      </c>
      <c r="I108">
        <f>IF($A108&lt;=regressionsbase!$L$2,$A108*regressionsbase!$L$1,regressionsbase!$L$1*regressionsbase!$L$2+regressionsbase!$L$3*($A108-regressionsbase!$L$2))</f>
        <v>-7.4423340146376251</v>
      </c>
      <c r="J108">
        <f>regressionsbase!J$1*A108+regressionsbase!J$2*A108^2</f>
        <v>-9.6601107846657719</v>
      </c>
      <c r="K108">
        <f>regressionsbase!$V$1*A108</f>
        <v>-7.4423340147981083</v>
      </c>
      <c r="L108">
        <f>regressionsbase!$N$1*A108^2</f>
        <v>-12.310844129058873</v>
      </c>
      <c r="M108">
        <f>regressionsbase!$R$1*A108^2+regressionsbase!$R$2*A108^6</f>
        <v>-9.1667128669046001</v>
      </c>
      <c r="N108">
        <f>regressionsbase!$P$1*A108^2+regressionsbase!$P$2*A108^7</f>
        <v>-11.127065279985354</v>
      </c>
      <c r="O108">
        <f>regressionsbase!T$2+regressionsbase!T$1*EXP(A108)</f>
        <v>-19.109414414639041</v>
      </c>
      <c r="P108" s="20">
        <f>(1-EXP(-2*regressionsbase!X$1*graphbase!A108))/2/EXP(-regressionsbase!X$1*A108)</f>
        <v>-14.047066309665436</v>
      </c>
      <c r="Q108" s="5"/>
      <c r="AT108" s="33"/>
      <c r="AW108" s="33"/>
      <c r="AZ108" s="33"/>
    </row>
    <row r="109" spans="1:52" x14ac:dyDescent="0.35">
      <c r="A109">
        <f t="shared" si="7"/>
        <v>8.5999999999999854</v>
      </c>
      <c r="B109">
        <f t="shared" si="4"/>
        <v>-10.044994162511635</v>
      </c>
      <c r="C109">
        <f>regressionsbase!$AR$1*$A109</f>
        <v>9.5847630404480864</v>
      </c>
      <c r="D109">
        <f>regressionsbase!$AO$1*$A109</f>
        <v>13.587239617033733</v>
      </c>
      <c r="E109">
        <f t="shared" si="5"/>
        <v>9.1245319183845375</v>
      </c>
      <c r="F109">
        <f t="shared" si="6"/>
        <v>-37.219473396579104</v>
      </c>
      <c r="G109" s="5">
        <f>B109-regressions!AA$7</f>
        <v>-13.76628275297659</v>
      </c>
      <c r="H109" s="5">
        <f>B109+regressions!AA$7</f>
        <v>-6.3237055720466806</v>
      </c>
      <c r="I109">
        <f>IF($A109&lt;=regressionsbase!$L$2,$A109*regressionsbase!$L$1,regressionsbase!$L$1*regressionsbase!$L$2+regressionsbase!$L$3*($A109-regressionsbase!$L$2))</f>
        <v>-7.5298908853980677</v>
      </c>
      <c r="J109">
        <f>regressionsbase!J$1*A109+regressionsbase!J$2*A109^2</f>
        <v>-9.8331019126758363</v>
      </c>
      <c r="K109">
        <f>regressionsbase!$V$1*A109</f>
        <v>-7.5298908855604383</v>
      </c>
      <c r="L109">
        <f>regressionsbase!$N$1*A109^2</f>
        <v>-12.602214972805458</v>
      </c>
      <c r="M109">
        <f>regressionsbase!$R$1*A109^2+regressionsbase!$R$2*A109^6</f>
        <v>-9.4086074229539403</v>
      </c>
      <c r="N109">
        <f>regressionsbase!$P$1*A109^2+regressionsbase!$P$2*A109^7</f>
        <v>-11.266109163631491</v>
      </c>
      <c r="O109">
        <f>regressionsbase!T$2+regressionsbase!T$1*EXP(A109)</f>
        <v>-21.119578077236508</v>
      </c>
      <c r="P109" s="20">
        <f>(1-EXP(-2*regressionsbase!X$1*graphbase!A109))/2/EXP(-regressionsbase!X$1*A109)</f>
        <v>-14.610871625382682</v>
      </c>
      <c r="Q109" s="5"/>
      <c r="AT109" s="33"/>
      <c r="AW109" s="33"/>
      <c r="AZ109" s="33"/>
    </row>
    <row r="110" spans="1:52" x14ac:dyDescent="0.35">
      <c r="A110">
        <f t="shared" si="7"/>
        <v>8.6999999999999851</v>
      </c>
      <c r="B110">
        <f t="shared" si="4"/>
        <v>-10.266807350894158</v>
      </c>
      <c r="C110">
        <f>regressionsbase!$AR$1*$A110</f>
        <v>9.6962137734765523</v>
      </c>
      <c r="D110">
        <f>regressionsbase!$AO$1*$A110</f>
        <v>13.745230775371335</v>
      </c>
      <c r="E110">
        <f t="shared" si="5"/>
        <v>9.1256201960589465</v>
      </c>
      <c r="F110">
        <f t="shared" si="6"/>
        <v>-37.757268901636827</v>
      </c>
      <c r="G110" s="5">
        <f>B110-regressions!AA$7</f>
        <v>-13.988095941359113</v>
      </c>
      <c r="H110" s="5">
        <f>B110+regressions!AA$7</f>
        <v>-6.5455187604292036</v>
      </c>
      <c r="I110">
        <f>IF($A110&lt;=regressionsbase!$L$2,$A110*regressionsbase!$L$1,regressionsbase!$L$1*regressionsbase!$L$2+regressionsbase!$L$3*($A110-regressionsbase!$L$2))</f>
        <v>-7.6174477561585103</v>
      </c>
      <c r="J110">
        <f>regressionsbase!J$1*A110+regressionsbase!J$2*A110^2</f>
        <v>-10.007473105007701</v>
      </c>
      <c r="K110">
        <f>regressionsbase!$V$1*A110</f>
        <v>-7.6174477563227692</v>
      </c>
      <c r="L110">
        <f>regressionsbase!$N$1*A110^2</f>
        <v>-12.896993662677732</v>
      </c>
      <c r="M110">
        <f>regressionsbase!$R$1*A110^2+regressionsbase!$R$2*A110^6</f>
        <v>-9.6551121436711647</v>
      </c>
      <c r="N110">
        <f>regressionsbase!$P$1*A110^2+regressionsbase!$P$2*A110^7</f>
        <v>-11.396361046067071</v>
      </c>
      <c r="O110">
        <f>regressionsbase!T$2+regressionsbase!T$1*EXP(A110)</f>
        <v>-23.341152497711658</v>
      </c>
      <c r="P110" s="20">
        <f>(1-EXP(-2*regressionsbase!X$1*graphbase!A110))/2/EXP(-regressionsbase!X$1*A110)</f>
        <v>-15.197196557748754</v>
      </c>
      <c r="Q110" s="5"/>
      <c r="AT110" s="33"/>
      <c r="AW110" s="33"/>
      <c r="AZ110" s="33"/>
    </row>
    <row r="111" spans="1:52" x14ac:dyDescent="0.35">
      <c r="A111">
        <f t="shared" si="7"/>
        <v>8.7999999999999847</v>
      </c>
      <c r="B111">
        <f t="shared" si="4"/>
        <v>-10.49211842594876</v>
      </c>
      <c r="C111">
        <f>regressionsbase!$AR$1*$A111</f>
        <v>9.8076645065050183</v>
      </c>
      <c r="D111">
        <f>regressionsbase!$AO$1*$A111</f>
        <v>13.903221933708936</v>
      </c>
      <c r="E111">
        <f t="shared" si="5"/>
        <v>9.1232105870612763</v>
      </c>
      <c r="F111">
        <f t="shared" si="6"/>
        <v>-38.298562293366629</v>
      </c>
      <c r="G111" s="5">
        <f>B111-regressions!AA$7</f>
        <v>-14.213407016413715</v>
      </c>
      <c r="H111" s="5">
        <f>B111+regressions!AA$7</f>
        <v>-6.7708298354838057</v>
      </c>
      <c r="I111">
        <f>IF($A111&lt;=regressionsbase!$L$2,$A111*regressionsbase!$L$1,regressionsbase!$L$1*regressionsbase!$L$2+regressionsbase!$L$3*($A111-regressionsbase!$L$2))</f>
        <v>-7.7050046269189529</v>
      </c>
      <c r="J111">
        <f>regressionsbase!J$1*A111+regressionsbase!J$2*A111^2</f>
        <v>-10.18322436166137</v>
      </c>
      <c r="K111">
        <f>regressionsbase!$V$1*A111</f>
        <v>-7.7050046270851</v>
      </c>
      <c r="L111">
        <f>regressionsbase!$N$1*A111^2</f>
        <v>-13.195180198675695</v>
      </c>
      <c r="M111">
        <f>regressionsbase!$R$1*A111^2+regressionsbase!$R$2*A111^6</f>
        <v>-9.9063317834828695</v>
      </c>
      <c r="N111">
        <f>regressionsbase!$P$1*A111^2+regressionsbase!$P$2*A111^7</f>
        <v>-11.517081298147398</v>
      </c>
      <c r="O111">
        <f>regressionsbase!T$2+regressionsbase!T$1*EXP(A111)</f>
        <v>-25.796371939561556</v>
      </c>
      <c r="P111" s="20">
        <f>(1-EXP(-2*regressionsbase!X$1*graphbase!A111))/2/EXP(-regressionsbase!X$1*A111)</f>
        <v>-15.806944804574931</v>
      </c>
      <c r="Q111" s="5"/>
      <c r="AT111" s="33"/>
      <c r="AW111" s="33"/>
      <c r="AZ111" s="33"/>
    </row>
    <row r="112" spans="1:52" x14ac:dyDescent="0.35">
      <c r="A112">
        <f t="shared" si="7"/>
        <v>8.8999999999999844</v>
      </c>
      <c r="B112">
        <f t="shared" si="4"/>
        <v>-10.720994221103307</v>
      </c>
      <c r="C112">
        <f>regressionsbase!$AR$1*$A112</f>
        <v>9.9191152395334843</v>
      </c>
      <c r="D112">
        <f>regressionsbase!$AO$1*$A112</f>
        <v>14.061213092046538</v>
      </c>
      <c r="E112">
        <f t="shared" si="5"/>
        <v>9.1172362579636612</v>
      </c>
      <c r="F112">
        <f t="shared" si="6"/>
        <v>-38.843420405196383</v>
      </c>
      <c r="G112" s="5">
        <f>B112-regressions!AA$7</f>
        <v>-14.442282811568262</v>
      </c>
      <c r="H112" s="5">
        <f>B112+regressions!AA$7</f>
        <v>-6.9997056306383527</v>
      </c>
      <c r="I112">
        <f>IF($A112&lt;=regressionsbase!$L$2,$A112*regressionsbase!$L$1,regressionsbase!$L$1*regressionsbase!$L$2+regressionsbase!$L$3*($A112-regressionsbase!$L$2))</f>
        <v>-7.7925614976793955</v>
      </c>
      <c r="J112">
        <f>regressionsbase!J$1*A112+regressionsbase!J$2*A112^2</f>
        <v>-10.360355682636841</v>
      </c>
      <c r="K112">
        <f>regressionsbase!$V$1*A112</f>
        <v>-7.79256149784743</v>
      </c>
      <c r="L112">
        <f>regressionsbase!$N$1*A112^2</f>
        <v>-13.496774580799354</v>
      </c>
      <c r="M112">
        <f>regressionsbase!$R$1*A112^2+regressionsbase!$R$2*A112^6</f>
        <v>-10.162374771833209</v>
      </c>
      <c r="N112">
        <f>regressionsbase!$P$1*A112^2+regressionsbase!$P$2*A112^7</f>
        <v>-11.62749549406036</v>
      </c>
      <c r="O112">
        <f>regressionsbase!T$2+regressionsbase!T$1*EXP(A112)</f>
        <v>-28.509809064187976</v>
      </c>
      <c r="P112" s="20">
        <f>(1-EXP(-2*regressionsbase!X$1*graphbase!A112))/2/EXP(-regressionsbase!X$1*A112)</f>
        <v>-16.441056165835015</v>
      </c>
      <c r="Q112" s="5"/>
      <c r="AT112" s="33"/>
      <c r="AW112" s="33"/>
      <c r="AZ112" s="33"/>
    </row>
    <row r="113" spans="1:52" x14ac:dyDescent="0.35">
      <c r="A113">
        <f t="shared" si="7"/>
        <v>8.999999999999984</v>
      </c>
      <c r="B113">
        <f t="shared" si="4"/>
        <v>-10.953504331554198</v>
      </c>
      <c r="C113">
        <f>regressionsbase!$AR$1*$A113</f>
        <v>10.03056597256195</v>
      </c>
      <c r="D113">
        <f>regressionsbase!$AO$1*$A113</f>
        <v>14.21920425038414</v>
      </c>
      <c r="E113">
        <f t="shared" si="5"/>
        <v>9.1076276135697025</v>
      </c>
      <c r="F113">
        <f t="shared" si="6"/>
        <v>-39.391912832322475</v>
      </c>
      <c r="G113" s="5">
        <f>B113-regressions!AA$7</f>
        <v>-14.674792922019153</v>
      </c>
      <c r="H113" s="5">
        <f>B113+regressions!AA$7</f>
        <v>-7.2322157410892434</v>
      </c>
      <c r="I113">
        <f>IF($A113&lt;=regressionsbase!$L$2,$A113*regressionsbase!$L$1,regressionsbase!$L$1*regressionsbase!$L$2+regressionsbase!$L$3*($A113-regressionsbase!$L$2))</f>
        <v>-7.8801183684398373</v>
      </c>
      <c r="J113">
        <f>regressionsbase!J$1*A113+regressionsbase!J$2*A113^2</f>
        <v>-10.538867067934117</v>
      </c>
      <c r="K113">
        <f>regressionsbase!$V$1*A113</f>
        <v>-7.8801183686097609</v>
      </c>
      <c r="L113">
        <f>regressionsbase!$N$1*A113^2</f>
        <v>-13.8017768090487</v>
      </c>
      <c r="M113">
        <f>regressionsbase!$R$1*A113^2+regressionsbase!$R$2*A113^6</f>
        <v>-10.423353298148825</v>
      </c>
      <c r="N113">
        <f>regressionsbase!$P$1*A113^2+regressionsbase!$P$2*A113^7</f>
        <v>-11.726793197704239</v>
      </c>
      <c r="O113">
        <f>regressionsbase!T$2+regressionsbase!T$1*EXP(A113)</f>
        <v>-31.508620862351911</v>
      </c>
      <c r="P113" s="20">
        <f>(1-EXP(-2*regressionsbase!X$1*graphbase!A113))/2/EXP(-regressionsbase!X$1*A113)</f>
        <v>-17.100507992171352</v>
      </c>
      <c r="Q113" s="5"/>
      <c r="AT113" s="33"/>
      <c r="AW113" s="33"/>
      <c r="AZ113" s="33"/>
    </row>
    <row r="114" spans="1:52" x14ac:dyDescent="0.35">
      <c r="A114">
        <f t="shared" si="7"/>
        <v>9.0999999999999837</v>
      </c>
      <c r="B114">
        <f t="shared" si="4"/>
        <v>-11.189721305142076</v>
      </c>
      <c r="C114">
        <f>regressionsbase!$AR$1*$A114</f>
        <v>10.142016705590416</v>
      </c>
      <c r="D114">
        <f>regressionsbase!$AO$1*$A114</f>
        <v>14.37719540872174</v>
      </c>
      <c r="E114">
        <f t="shared" si="5"/>
        <v>9.0943121060387568</v>
      </c>
      <c r="F114">
        <f t="shared" si="6"/>
        <v>-39.944112122585551</v>
      </c>
      <c r="G114" s="5">
        <f>B114-regressions!AA$7</f>
        <v>-14.91100989560703</v>
      </c>
      <c r="H114" s="5">
        <f>B114+regressions!AA$7</f>
        <v>-7.468432714677121</v>
      </c>
      <c r="I114">
        <f>IF($A114&lt;=regressionsbase!$L$2,$A114*regressionsbase!$L$1,regressionsbase!$L$1*regressionsbase!$L$2+regressionsbase!$L$3*($A114-regressionsbase!$L$2))</f>
        <v>-7.9676752392002799</v>
      </c>
      <c r="J114">
        <f>regressionsbase!J$1*A114+regressionsbase!J$2*A114^2</f>
        <v>-10.718758517553194</v>
      </c>
      <c r="K114">
        <f>regressionsbase!$V$1*A114</f>
        <v>-7.9676752393720909</v>
      </c>
      <c r="L114">
        <f>regressionsbase!$N$1*A114^2</f>
        <v>-14.110186883423738</v>
      </c>
      <c r="M114">
        <f>regressionsbase!$R$1*A114^2+regressionsbase!$R$2*A114^6</f>
        <v>-10.689383397774851</v>
      </c>
      <c r="N114">
        <f>regressionsbase!$P$1*A114^2+regressionsbase!$P$2*A114^7</f>
        <v>-11.814126721168556</v>
      </c>
      <c r="O114">
        <f>regressionsbase!T$2+regressionsbase!T$1*EXP(A114)</f>
        <v>-34.822820450464832</v>
      </c>
      <c r="P114" s="20">
        <f>(1-EXP(-2*regressionsbase!X$1*graphbase!A114))/2/EXP(-regressionsbase!X$1*A114)</f>
        <v>-17.786316691277339</v>
      </c>
      <c r="Q114" s="5"/>
      <c r="AT114" s="33"/>
      <c r="AW114" s="33"/>
      <c r="AZ114" s="33"/>
    </row>
    <row r="115" spans="1:52" x14ac:dyDescent="0.35">
      <c r="A115">
        <f t="shared" si="7"/>
        <v>9.1999999999999833</v>
      </c>
      <c r="B115">
        <f t="shared" si="4"/>
        <v>-11.429720850321525</v>
      </c>
      <c r="C115">
        <f>regressionsbase!$AR$1*$A115</f>
        <v>10.253467438618882</v>
      </c>
      <c r="D115">
        <f>regressionsbase!$AO$1*$A115</f>
        <v>14.535186567059341</v>
      </c>
      <c r="E115">
        <f t="shared" si="5"/>
        <v>9.0772140269162396</v>
      </c>
      <c r="F115">
        <f t="shared" si="6"/>
        <v>-40.500093984440205</v>
      </c>
      <c r="G115" s="5">
        <f>B115-regressions!AA$7</f>
        <v>-15.151009440786479</v>
      </c>
      <c r="H115" s="5">
        <f>B115+regressions!AA$7</f>
        <v>-7.7084322598565702</v>
      </c>
      <c r="I115">
        <f>IF($A115&lt;=regressionsbase!$L$2,$A115*regressionsbase!$L$1,regressionsbase!$L$1*regressionsbase!$L$2+regressionsbase!$L$3*($A115-regressionsbase!$L$2))</f>
        <v>-8.0552321099607234</v>
      </c>
      <c r="J115">
        <f>regressionsbase!J$1*A115+regressionsbase!J$2*A115^2</f>
        <v>-10.900030031494074</v>
      </c>
      <c r="K115">
        <f>regressionsbase!$V$1*A115</f>
        <v>-8.0552321101344209</v>
      </c>
      <c r="L115">
        <f>regressionsbase!$N$1*A115^2</f>
        <v>-14.422004803924468</v>
      </c>
      <c r="M115">
        <f>regressionsbase!$R$1*A115^2+regressionsbase!$R$2*A115^6</f>
        <v>-10.960585038881911</v>
      </c>
      <c r="N115">
        <f>regressionsbase!$P$1*A115^2+regressionsbase!$P$2*A115^7</f>
        <v>-11.888609855001004</v>
      </c>
      <c r="O115">
        <f>regressionsbase!T$2+regressionsbase!T$1*EXP(A115)</f>
        <v>-38.48557745194551</v>
      </c>
      <c r="P115" s="20">
        <f>(1-EXP(-2*regressionsbase!X$1*graphbase!A115))/2/EXP(-regressionsbase!X$1*A115)</f>
        <v>-18.499539294478314</v>
      </c>
      <c r="Q115" s="5"/>
      <c r="AT115" s="33"/>
      <c r="AW115" s="33"/>
      <c r="AZ115" s="33"/>
    </row>
    <row r="116" spans="1:52" x14ac:dyDescent="0.35">
      <c r="A116">
        <f t="shared" si="7"/>
        <v>9.2999999999999829</v>
      </c>
      <c r="B116">
        <f t="shared" si="4"/>
        <v>-11.673582062815566</v>
      </c>
      <c r="C116">
        <f>regressionsbase!$AR$1*$A116</f>
        <v>10.364918171647348</v>
      </c>
      <c r="D116">
        <f>regressionsbase!$AO$1*$A116</f>
        <v>14.693177725396943</v>
      </c>
      <c r="E116">
        <f t="shared" si="5"/>
        <v>9.0562542804791306</v>
      </c>
      <c r="F116">
        <f t="shared" si="6"/>
        <v>-41.059937513609455</v>
      </c>
      <c r="G116" s="5">
        <f>B116-regressions!AA$7</f>
        <v>-15.39487065328052</v>
      </c>
      <c r="H116" s="5">
        <f>B116+regressions!AA$7</f>
        <v>-7.9522934723506111</v>
      </c>
      <c r="I116">
        <f>IF($A116&lt;=regressionsbase!$L$2,$A116*regressionsbase!$L$1,regressionsbase!$L$1*regressionsbase!$L$2+regressionsbase!$L$3*($A116-regressionsbase!$L$2))</f>
        <v>-8.1427889807211642</v>
      </c>
      <c r="J116">
        <f>regressionsbase!J$1*A116+regressionsbase!J$2*A116^2</f>
        <v>-11.082681609756758</v>
      </c>
      <c r="K116">
        <f>regressionsbase!$V$1*A116</f>
        <v>-8.1427889808967517</v>
      </c>
      <c r="L116">
        <f>regressionsbase!$N$1*A116^2</f>
        <v>-14.737230570550889</v>
      </c>
      <c r="M116">
        <f>regressionsbase!$R$1*A116^2+regressionsbase!$R$2*A116^6</f>
        <v>-11.237082210344173</v>
      </c>
      <c r="N116">
        <f>regressionsbase!$P$1*A116^2+regressionsbase!$P$2*A116^7</f>
        <v>-11.949316569943399</v>
      </c>
      <c r="O116">
        <f>regressionsbase!T$2+regressionsbase!T$1*EXP(A116)</f>
        <v>-42.533549969959914</v>
      </c>
      <c r="P116" s="20">
        <f>(1-EXP(-2*regressionsbase!X$1*graphbase!A116))/2/EXP(-regressionsbase!X$1*A116)</f>
        <v>-19.241275085925224</v>
      </c>
      <c r="Q116" s="5"/>
      <c r="AE116" s="58"/>
      <c r="AO116" s="1"/>
      <c r="AP116" s="1"/>
      <c r="AT116" s="33"/>
      <c r="AW116" s="33"/>
      <c r="AZ116" s="33"/>
    </row>
    <row r="117" spans="1:52" x14ac:dyDescent="0.35">
      <c r="A117">
        <f t="shared" si="7"/>
        <v>9.3999999999999826</v>
      </c>
      <c r="B117">
        <f t="shared" si="4"/>
        <v>-11.921387672698589</v>
      </c>
      <c r="C117">
        <f>regressionsbase!$AR$1*$A117</f>
        <v>10.476368904675814</v>
      </c>
      <c r="D117">
        <f>regressionsbase!$AO$1*$A117</f>
        <v>14.851168883734545</v>
      </c>
      <c r="E117">
        <f t="shared" si="5"/>
        <v>9.0313501366530389</v>
      </c>
      <c r="F117">
        <f t="shared" si="6"/>
        <v>-41.623725440167675</v>
      </c>
      <c r="G117" s="5">
        <f>B117-regressions!AA$7</f>
        <v>-15.642676263163544</v>
      </c>
      <c r="H117" s="5">
        <f>B117+regressions!AA$7</f>
        <v>-8.2000990822336348</v>
      </c>
      <c r="I117">
        <f>IF($A117&lt;=regressionsbase!$L$2,$A117*regressionsbase!$L$1,regressionsbase!$L$1*regressionsbase!$L$2+regressionsbase!$L$3*($A117-regressionsbase!$L$2))</f>
        <v>-8.2303458514816068</v>
      </c>
      <c r="J117">
        <f>regressionsbase!J$1*A117+regressionsbase!J$2*A117^2</f>
        <v>-11.266713252341244</v>
      </c>
      <c r="K117">
        <f>regressionsbase!$V$1*A117</f>
        <v>-8.2303458516590826</v>
      </c>
      <c r="L117">
        <f>regressionsbase!$N$1*A117^2</f>
        <v>-15.055864183302999</v>
      </c>
      <c r="M117">
        <f>regressionsbase!$R$1*A117^2+regressionsbase!$R$2*A117^6</f>
        <v>-11.519003010588406</v>
      </c>
      <c r="N117">
        <f>regressionsbase!$P$1*A117^2+regressionsbase!$P$2*A117^7</f>
        <v>-11.995279689819686</v>
      </c>
      <c r="O117">
        <f>regressionsbase!T$2+regressionsbase!T$1*EXP(A117)</f>
        <v>-47.007251474038895</v>
      </c>
      <c r="P117" s="20">
        <f>(1-EXP(-2*regressionsbase!X$1*graphbase!A117))/2/EXP(-regressionsbase!X$1*A117)</f>
        <v>-20.012667296912294</v>
      </c>
      <c r="Q117" s="5"/>
      <c r="AT117" s="33"/>
      <c r="AW117" s="33"/>
      <c r="AZ117" s="33"/>
    </row>
    <row r="118" spans="1:52" x14ac:dyDescent="0.35">
      <c r="A118">
        <f t="shared" si="7"/>
        <v>9.4999999999999822</v>
      </c>
      <c r="B118">
        <f t="shared" si="4"/>
        <v>-12.173224313819489</v>
      </c>
      <c r="C118">
        <f>regressionsbase!$AR$1*$A118</f>
        <v>10.58781963770428</v>
      </c>
      <c r="D118">
        <f>regressionsbase!$AO$1*$A118</f>
        <v>15.009160042072144</v>
      </c>
      <c r="E118">
        <f t="shared" si="5"/>
        <v>9.0024149615890714</v>
      </c>
      <c r="F118">
        <f t="shared" si="6"/>
        <v>-42.191544397963781</v>
      </c>
      <c r="G118" s="5">
        <f>B118-regressions!AA$7</f>
        <v>-15.894512904284444</v>
      </c>
      <c r="H118" s="5">
        <f>B118+regressions!AA$7</f>
        <v>-8.4519357233545342</v>
      </c>
      <c r="I118">
        <f>IF($A118&lt;=regressionsbase!$L$2,$A118*regressionsbase!$L$1,regressionsbase!$L$1*regressionsbase!$L$2+regressionsbase!$L$3*($A118-regressionsbase!$L$2))</f>
        <v>-8.3179027222420494</v>
      </c>
      <c r="J118">
        <f>regressionsbase!J$1*A118+regressionsbase!J$2*A118^2</f>
        <v>-11.452124959247532</v>
      </c>
      <c r="K118">
        <f>regressionsbase!$V$1*A118</f>
        <v>-8.3179027224214135</v>
      </c>
      <c r="L118">
        <f>regressionsbase!$N$1*A118^2</f>
        <v>-15.377905642180801</v>
      </c>
      <c r="M118">
        <f>regressionsbase!$R$1*A118^2+regressionsbase!$R$2*A118^6</f>
        <v>-11.806479737414074</v>
      </c>
      <c r="N118">
        <f>regressionsbase!$P$1*A118^2+regressionsbase!$P$2*A118^7</f>
        <v>-12.025489535258963</v>
      </c>
      <c r="O118">
        <f>regressionsbase!T$2+regressionsbase!T$1*EXP(A118)</f>
        <v>-51.951456272498262</v>
      </c>
      <c r="P118" s="20">
        <f>(1-EXP(-2*regressionsbase!X$1*graphbase!A118))/2/EXP(-regressionsbase!X$1*A118)</f>
        <v>-20.814904867930053</v>
      </c>
      <c r="Q118" s="5"/>
      <c r="AT118" s="33"/>
      <c r="AW118" s="33"/>
      <c r="AZ118" s="33"/>
    </row>
    <row r="119" spans="1:52" x14ac:dyDescent="0.35">
      <c r="A119">
        <f t="shared" si="7"/>
        <v>9.5999999999999819</v>
      </c>
      <c r="B119">
        <f t="shared" si="4"/>
        <v>-12.429182817661903</v>
      </c>
      <c r="C119">
        <f>regressionsbase!$AR$1*$A119</f>
        <v>10.699270370732746</v>
      </c>
      <c r="D119">
        <f>regressionsbase!$AO$1*$A119</f>
        <v>15.167151200409746</v>
      </c>
      <c r="E119">
        <f t="shared" si="5"/>
        <v>8.9693579238035888</v>
      </c>
      <c r="F119">
        <f t="shared" si="6"/>
        <v>-42.763485218481392</v>
      </c>
      <c r="G119" s="5">
        <f>B119-regressions!AA$7</f>
        <v>-16.150471408126858</v>
      </c>
      <c r="H119" s="5">
        <f>B119+regressions!AA$7</f>
        <v>-8.7078942271969488</v>
      </c>
      <c r="I119">
        <f>IF($A119&lt;=regressionsbase!$L$2,$A119*regressionsbase!$L$1,regressionsbase!$L$1*regressionsbase!$L$2+regressionsbase!$L$3*($A119-regressionsbase!$L$2))</f>
        <v>-8.405459593002492</v>
      </c>
      <c r="J119">
        <f>regressionsbase!J$1*A119+regressionsbase!J$2*A119^2</f>
        <v>-11.638916730475625</v>
      </c>
      <c r="K119">
        <f>regressionsbase!$V$1*A119</f>
        <v>-8.4054595931837444</v>
      </c>
      <c r="L119">
        <f>regressionsbase!$N$1*A119^2</f>
        <v>-15.703354947184296</v>
      </c>
      <c r="M119">
        <f>regressionsbase!$R$1*A119^2+regressionsbase!$R$2*A119^6</f>
        <v>-12.099648978784472</v>
      </c>
      <c r="N119">
        <f>regressionsbase!$P$1*A119^2+regressionsbase!$P$2*A119^7</f>
        <v>-12.038892537936524</v>
      </c>
      <c r="O119">
        <f>regressionsbase!T$2+regressionsbase!T$1*EXP(A119)</f>
        <v>-57.415647628765619</v>
      </c>
      <c r="P119" s="20">
        <f>(1-EXP(-2*regressionsbase!X$1*graphbase!A119))/2/EXP(-regressionsbase!X$1*A119)</f>
        <v>-21.649224281169563</v>
      </c>
      <c r="Q119" s="5"/>
      <c r="AT119" s="33"/>
      <c r="AW119" s="33"/>
      <c r="AZ119" s="33"/>
    </row>
    <row r="120" spans="1:52" x14ac:dyDescent="0.35">
      <c r="A120">
        <f t="shared" si="7"/>
        <v>9.6999999999999815</v>
      </c>
      <c r="B120">
        <f t="shared" si="4"/>
        <v>-12.689358533942332</v>
      </c>
      <c r="C120">
        <f>regressionsbase!$AR$1*$A120</f>
        <v>10.810721103761212</v>
      </c>
      <c r="D120">
        <f>regressionsbase!$AO$1*$A120</f>
        <v>15.325142358747348</v>
      </c>
      <c r="E120">
        <f t="shared" si="5"/>
        <v>8.9320836735800917</v>
      </c>
      <c r="F120">
        <f t="shared" si="6"/>
        <v>-43.339643251437025</v>
      </c>
      <c r="G120" s="5">
        <f>B120-regressions!AA$7</f>
        <v>-16.410647124407287</v>
      </c>
      <c r="H120" s="5">
        <f>B120+regressions!AA$7</f>
        <v>-8.9680699434773778</v>
      </c>
      <c r="I120">
        <f>IF($A120&lt;=regressionsbase!$L$2,$A120*regressionsbase!$L$1,regressionsbase!$L$1*regressionsbase!$L$2+regressionsbase!$L$3*($A120-regressionsbase!$L$2))</f>
        <v>-8.4930164637629346</v>
      </c>
      <c r="J120">
        <f>regressionsbase!J$1*A120+regressionsbase!J$2*A120^2</f>
        <v>-11.82708856602552</v>
      </c>
      <c r="K120">
        <f>regressionsbase!$V$1*A120</f>
        <v>-8.4930164639460735</v>
      </c>
      <c r="L120">
        <f>regressionsbase!$N$1*A120^2</f>
        <v>-16.032212098313479</v>
      </c>
      <c r="M120">
        <f>regressionsbase!$R$1*A120^2+regressionsbase!$R$2*A120^6</f>
        <v>-12.398651704588866</v>
      </c>
      <c r="N120">
        <f>regressionsbase!$P$1*A120^2+regressionsbase!$P$2*A120^7</f>
        <v>-12.0343898250159</v>
      </c>
      <c r="O120">
        <f>regressionsbase!T$2+regressionsbase!T$1*EXP(A120)</f>
        <v>-63.454513006512627</v>
      </c>
      <c r="P120" s="20">
        <f>(1-EXP(-2*regressionsbase!X$1*graphbase!A120))/2/EXP(-regressionsbase!X$1*A120)</f>
        <v>-22.516911466302272</v>
      </c>
      <c r="Q120" s="5"/>
      <c r="AT120" s="33"/>
      <c r="AW120" s="33"/>
      <c r="AZ120" s="33"/>
    </row>
    <row r="121" spans="1:52" x14ac:dyDescent="0.35">
      <c r="A121">
        <f t="shared" si="7"/>
        <v>9.7999999999999812</v>
      </c>
      <c r="B121">
        <f t="shared" si="4"/>
        <v>-12.953851680471313</v>
      </c>
      <c r="C121">
        <f>regressionsbase!$AR$1*$A121</f>
        <v>10.922171836789678</v>
      </c>
      <c r="D121">
        <f>regressionsbase!$AO$1*$A121</f>
        <v>15.48313351708495</v>
      </c>
      <c r="E121">
        <f t="shared" si="5"/>
        <v>8.8904919931080428</v>
      </c>
      <c r="F121">
        <f t="shared" si="6"/>
        <v>-43.920118714641212</v>
      </c>
      <c r="G121" s="5">
        <f>B121-regressions!AA$7</f>
        <v>-16.675140270936268</v>
      </c>
      <c r="H121" s="5">
        <f>B121+regressions!AA$7</f>
        <v>-9.2325630900063587</v>
      </c>
      <c r="I121">
        <f>IF($A121&lt;=regressionsbase!$L$2,$A121*regressionsbase!$L$1,regressionsbase!$L$1*regressionsbase!$L$2+regressionsbase!$L$3*($A121-regressionsbase!$L$2))</f>
        <v>-8.5805733345233772</v>
      </c>
      <c r="J121">
        <f>regressionsbase!J$1*A121+regressionsbase!J$2*A121^2</f>
        <v>-12.016640465897218</v>
      </c>
      <c r="K121">
        <f>regressionsbase!$V$1*A121</f>
        <v>-8.5805733347084043</v>
      </c>
      <c r="L121">
        <f>regressionsbase!$N$1*A121^2</f>
        <v>-16.364477095568358</v>
      </c>
      <c r="M121">
        <f>regressionsbase!$R$1*A121^2+regressionsbase!$R$2*A121^6</f>
        <v>-12.703633359375678</v>
      </c>
      <c r="N121">
        <f>regressionsbase!$P$1*A121^2+regressionsbase!$P$2*A121^7</f>
        <v>-12.010835773474913</v>
      </c>
      <c r="O121">
        <f>regressionsbase!T$2+regressionsbase!T$1*EXP(A121)</f>
        <v>-70.128491400172535</v>
      </c>
      <c r="P121" s="20">
        <f>(1-EXP(-2*regressionsbase!X$1*graphbase!A121))/2/EXP(-regressionsbase!X$1*A121)</f>
        <v>-23.419303782472884</v>
      </c>
      <c r="Q121" s="5"/>
      <c r="AT121" s="33"/>
      <c r="AW121" s="33"/>
      <c r="AZ121" s="33"/>
    </row>
    <row r="122" spans="1:52" x14ac:dyDescent="0.35">
      <c r="A122">
        <f t="shared" si="7"/>
        <v>9.8999999999999808</v>
      </c>
      <c r="B122">
        <f t="shared" si="4"/>
        <v>-13.222767725050092</v>
      </c>
      <c r="C122">
        <f>regressionsbase!$AR$1*$A122</f>
        <v>11.033622569818144</v>
      </c>
      <c r="D122">
        <f>regressionsbase!$AO$1*$A122</f>
        <v>15.641124675422549</v>
      </c>
      <c r="E122">
        <f t="shared" si="5"/>
        <v>8.844477414586196</v>
      </c>
      <c r="F122">
        <f t="shared" si="6"/>
        <v>-44.505017075895189</v>
      </c>
      <c r="G122" s="5">
        <f>B122-regressions!AA$7</f>
        <v>-16.944056315515049</v>
      </c>
      <c r="H122" s="5">
        <f>B122+regressions!AA$7</f>
        <v>-9.5014791345851375</v>
      </c>
      <c r="I122">
        <f>IF($A122&lt;=regressionsbase!$L$2,$A122*regressionsbase!$L$1,regressionsbase!$L$1*regressionsbase!$L$2+regressionsbase!$L$3*($A122-regressionsbase!$L$2))</f>
        <v>-8.6681302052838198</v>
      </c>
      <c r="J122">
        <f>regressionsbase!J$1*A122+regressionsbase!J$2*A122^2</f>
        <v>-12.207572430090718</v>
      </c>
      <c r="K122">
        <f>regressionsbase!$V$1*A122</f>
        <v>-8.6681302054707352</v>
      </c>
      <c r="L122">
        <f>regressionsbase!$N$1*A122^2</f>
        <v>-16.700149938948922</v>
      </c>
      <c r="M122">
        <f>regressionsbase!$R$1*A122^2+regressionsbase!$R$2*A122^6</f>
        <v>-13.014743956056693</v>
      </c>
      <c r="N122">
        <f>regressionsbase!$P$1*A122^2+regressionsbase!$P$2*A122^7</f>
        <v>-11.967036533998675</v>
      </c>
      <c r="O122">
        <f>regressionsbase!T$2+regressionsbase!T$1*EXP(A122)</f>
        <v>-77.504378228710678</v>
      </c>
      <c r="P122" s="20">
        <f>(1-EXP(-2*regressionsbase!X$1*graphbase!A122))/2/EXP(-regressionsbase!X$1*A122)</f>
        <v>-24.357792079560031</v>
      </c>
      <c r="Q122" s="5"/>
      <c r="AT122" s="33"/>
      <c r="AW122" s="33"/>
      <c r="AZ122" s="33"/>
    </row>
    <row r="123" spans="1:52" x14ac:dyDescent="0.35">
      <c r="A123">
        <f t="shared" si="7"/>
        <v>9.9999999999999805</v>
      </c>
      <c r="B123">
        <f t="shared" si="4"/>
        <v>-13.496217802447696</v>
      </c>
      <c r="C123">
        <f>regressionsbase!$AR$1*$A123</f>
        <v>11.145073302846608</v>
      </c>
      <c r="D123">
        <f>regressionsbase!$AO$1*$A123</f>
        <v>15.799115833760151</v>
      </c>
      <c r="E123">
        <f t="shared" si="5"/>
        <v>8.793928803245521</v>
      </c>
      <c r="F123">
        <f t="shared" si="6"/>
        <v>-45.094449469967998</v>
      </c>
      <c r="G123" s="5">
        <f>B123-regressions!AA$7</f>
        <v>-17.21750639291265</v>
      </c>
      <c r="H123" s="5">
        <f>B123+regressions!AA$7</f>
        <v>-9.7749292119827409</v>
      </c>
      <c r="I123">
        <f>IF($A123&lt;=regressionsbase!$L$2,$A123*regressionsbase!$L$1,regressionsbase!$L$1*regressionsbase!$L$2+regressionsbase!$L$3*($A123-regressionsbase!$L$2))</f>
        <v>-8.7556870760442624</v>
      </c>
      <c r="J123">
        <f>regressionsbase!J$1*A123+regressionsbase!J$2*A123^2</f>
        <v>-12.399884458606021</v>
      </c>
      <c r="K123">
        <f>regressionsbase!$V$1*A123</f>
        <v>-8.7556870762330661</v>
      </c>
      <c r="L123">
        <f>regressionsbase!$N$1*A123^2</f>
        <v>-17.039230628455179</v>
      </c>
      <c r="M123">
        <f>regressionsbase!$R$1*A123^2+regressionsbase!$R$2*A123^6</f>
        <v>-13.332138170582301</v>
      </c>
      <c r="N123">
        <f>regressionsbase!$P$1*A123^2+regressionsbase!$P$2*A123^7</f>
        <v>-11.901748524122613</v>
      </c>
      <c r="O123">
        <f>regressionsbase!T$2+regressionsbase!T$1*EXP(A123)</f>
        <v>-85.655993846628263</v>
      </c>
      <c r="P123" s="20">
        <f>(1-EXP(-2*regressionsbase!X$1*graphbase!A123))/2/EXP(-regressionsbase!X$1*A123)</f>
        <v>-25.333822841881826</v>
      </c>
      <c r="Q123" s="5"/>
      <c r="AT123" s="33"/>
      <c r="AW123" s="33"/>
      <c r="AZ123" s="33"/>
    </row>
    <row r="124" spans="1:52" x14ac:dyDescent="0.35">
      <c r="A124">
        <f t="shared" si="7"/>
        <v>10.09999999999998</v>
      </c>
      <c r="B124">
        <f t="shared" si="4"/>
        <v>-13.774319169803276</v>
      </c>
      <c r="C124">
        <f>regressionsbase!$AR$1*$A124</f>
        <v>11.256524035875074</v>
      </c>
      <c r="D124">
        <f>regressionsbase!$AO$1*$A124</f>
        <v>15.957106992097753</v>
      </c>
      <c r="E124">
        <f t="shared" si="5"/>
        <v>8.7387289019468728</v>
      </c>
      <c r="F124">
        <f t="shared" si="6"/>
        <v>-45.688533153998783</v>
      </c>
      <c r="G124" s="5">
        <f>B124-regressions!AA$7</f>
        <v>-17.495607760268232</v>
      </c>
      <c r="H124" s="5">
        <f>B124+regressions!AA$7</f>
        <v>-10.053030579338321</v>
      </c>
      <c r="I124">
        <f>IF($A124&lt;=regressionsbase!$L$2,$A124*regressionsbase!$L$1,regressionsbase!$L$1*regressionsbase!$L$2+regressionsbase!$L$3*($A124-regressionsbase!$L$2))</f>
        <v>-8.843243946804705</v>
      </c>
      <c r="J124">
        <f>regressionsbase!J$1*A124+regressionsbase!J$2*A124^2</f>
        <v>-12.593576551443128</v>
      </c>
      <c r="K124">
        <f>regressionsbase!$V$1*A124</f>
        <v>-8.843243946995397</v>
      </c>
      <c r="L124">
        <f>regressionsbase!$N$1*A124^2</f>
        <v>-17.381719164087126</v>
      </c>
      <c r="M124">
        <f>regressionsbase!$R$1*A124^2+regressionsbase!$R$2*A124^6</f>
        <v>-13.655975437587756</v>
      </c>
      <c r="N124">
        <f>regressionsbase!$P$1*A124^2+regressionsbase!$P$2*A124^7</f>
        <v>-11.813676890308393</v>
      </c>
      <c r="O124">
        <f>regressionsbase!T$2+regressionsbase!T$1*EXP(A124)</f>
        <v>-94.664922362882024</v>
      </c>
      <c r="P124" s="20">
        <f>(1-EXP(-2*regressionsbase!X$1*graphbase!A124))/2/EXP(-regressionsbase!X$1*A124)</f>
        <v>-26.348900417650235</v>
      </c>
      <c r="Q124" s="5"/>
      <c r="AT124" s="33"/>
      <c r="AW124" s="33"/>
      <c r="AZ124" s="33"/>
    </row>
    <row r="125" spans="1:52" x14ac:dyDescent="0.35">
      <c r="A125">
        <f t="shared" si="7"/>
        <v>10.19999999999998</v>
      </c>
      <c r="B125">
        <f t="shared" si="4"/>
        <v>-14.057195704129612</v>
      </c>
      <c r="C125">
        <f>regressionsbase!$AR$1*$A125</f>
        <v>11.36797476890354</v>
      </c>
      <c r="D125">
        <f>regressionsbase!$AO$1*$A125</f>
        <v>16.115098150435355</v>
      </c>
      <c r="E125">
        <f t="shared" si="5"/>
        <v>8.6787538336774688</v>
      </c>
      <c r="F125">
        <f t="shared" si="6"/>
        <v>-46.287392005000321</v>
      </c>
      <c r="G125" s="5">
        <f>B125-regressions!AA$7</f>
        <v>-17.778484294594566</v>
      </c>
      <c r="H125" s="5">
        <f>B125+regressions!AA$7</f>
        <v>-10.335907113664657</v>
      </c>
      <c r="I125">
        <f>IF($A125&lt;=regressionsbase!$L$2,$A125*regressionsbase!$L$1,regressionsbase!$L$1*regressionsbase!$L$2+regressionsbase!$L$3*($A125-regressionsbase!$L$2))</f>
        <v>-8.9308008175651477</v>
      </c>
      <c r="J125">
        <f>regressionsbase!J$1*A125+regressionsbase!J$2*A125^2</f>
        <v>-12.78864870860204</v>
      </c>
      <c r="K125">
        <f>regressionsbase!$V$1*A125</f>
        <v>-8.9308008177577261</v>
      </c>
      <c r="L125">
        <f>regressionsbase!$N$1*A125^2</f>
        <v>-17.727615545844767</v>
      </c>
      <c r="M125">
        <f>regressionsbase!$R$1*A125^2+regressionsbase!$R$2*A125^6</f>
        <v>-13.986420047010467</v>
      </c>
      <c r="N125">
        <f>regressionsbase!$P$1*A125^2+regressionsbase!$P$2*A125^7</f>
        <v>-11.701473938635864</v>
      </c>
      <c r="O125">
        <f>regressionsbase!T$2+regressionsbase!T$1*EXP(A125)</f>
        <v>-104.62132816206807</v>
      </c>
      <c r="P125" s="20">
        <f>(1-EXP(-2*regressionsbase!X$1*graphbase!A125))/2/EXP(-regressionsbase!X$1*A125)</f>
        <v>-27.404589337610659</v>
      </c>
      <c r="Q125" s="5"/>
      <c r="AT125" s="33"/>
      <c r="AW125" s="33"/>
      <c r="AZ125" s="33"/>
    </row>
    <row r="126" spans="1:52" x14ac:dyDescent="0.35">
      <c r="A126">
        <f t="shared" si="7"/>
        <v>10.299999999999979</v>
      </c>
      <c r="B126">
        <f t="shared" si="4"/>
        <v>-14.344978445958006</v>
      </c>
      <c r="C126">
        <f>regressionsbase!$AR$1*$A126</f>
        <v>11.479425501932006</v>
      </c>
      <c r="D126">
        <f>regressionsbase!$AO$1*$A126</f>
        <v>16.273089308772956</v>
      </c>
      <c r="E126">
        <f t="shared" si="5"/>
        <v>8.6138725579060065</v>
      </c>
      <c r="F126">
        <f t="shared" si="6"/>
        <v>-46.891157063503918</v>
      </c>
      <c r="G126" s="5">
        <f>B126-regressions!AA$7</f>
        <v>-18.066267036422961</v>
      </c>
      <c r="H126" s="5">
        <f>B126+regressions!AA$7</f>
        <v>-10.623689855493051</v>
      </c>
      <c r="I126">
        <f>IF($A126&lt;=regressionsbase!$L$2,$A126*regressionsbase!$L$1,regressionsbase!$L$1*regressionsbase!$L$2+regressionsbase!$L$3*($A126-regressionsbase!$L$2))</f>
        <v>-9.0183576883255903</v>
      </c>
      <c r="J126">
        <f>regressionsbase!J$1*A126+regressionsbase!J$2*A126^2</f>
        <v>-12.985100930082751</v>
      </c>
      <c r="K126">
        <f>regressionsbase!$V$1*A126</f>
        <v>-9.0183576885200569</v>
      </c>
      <c r="L126">
        <f>regressionsbase!$N$1*A126^2</f>
        <v>-18.076919773728097</v>
      </c>
      <c r="M126">
        <f>regressionsbase!$R$1*A126^2+regressionsbase!$R$2*A126^6</f>
        <v>-14.323641241678317</v>
      </c>
      <c r="N126">
        <f>regressionsbase!$P$1*A126^2+regressionsbase!$P$2*A126^7</f>
        <v>-11.563737533793883</v>
      </c>
      <c r="O126">
        <f>regressionsbase!T$2+regressionsbase!T$1*EXP(A126)</f>
        <v>-115.6248582998882</v>
      </c>
      <c r="P126" s="20">
        <f>(1-EXP(-2*regressionsbase!X$1*graphbase!A126))/2/EXP(-regressionsbase!X$1*A126)</f>
        <v>-28.502516726440344</v>
      </c>
      <c r="Q126" s="5"/>
      <c r="AT126" s="33"/>
      <c r="AW126" s="33"/>
      <c r="AZ126" s="33"/>
    </row>
    <row r="127" spans="1:52" x14ac:dyDescent="0.35">
      <c r="A127">
        <f t="shared" si="7"/>
        <v>10.399999999999979</v>
      </c>
      <c r="B127">
        <f t="shared" si="4"/>
        <v>-14.637806193566874</v>
      </c>
      <c r="C127">
        <f>regressionsbase!$AR$1*$A127</f>
        <v>11.590876234960472</v>
      </c>
      <c r="D127">
        <f>regressionsbase!$AO$1*$A127</f>
        <v>16.431080467110558</v>
      </c>
      <c r="E127">
        <f t="shared" si="5"/>
        <v>8.5439462763540703</v>
      </c>
      <c r="F127">
        <f t="shared" si="6"/>
        <v>-47.49996712778799</v>
      </c>
      <c r="G127" s="5">
        <f>B127-regressions!AA$7</f>
        <v>-18.359094784031829</v>
      </c>
      <c r="H127" s="5">
        <f>B127+regressions!AA$7</f>
        <v>-10.916517603101919</v>
      </c>
      <c r="I127">
        <f>IF($A127&lt;=regressionsbase!$L$2,$A127*regressionsbase!$L$1,regressionsbase!$L$1*regressionsbase!$L$2+regressionsbase!$L$3*($A127-regressionsbase!$L$2))</f>
        <v>-9.1059145590860329</v>
      </c>
      <c r="J127">
        <f>regressionsbase!J$1*A127+regressionsbase!J$2*A127^2</f>
        <v>-13.182933215885267</v>
      </c>
      <c r="K127">
        <f>regressionsbase!$V$1*A127</f>
        <v>-9.1059145592823878</v>
      </c>
      <c r="L127">
        <f>regressionsbase!$N$1*A127^2</f>
        <v>-18.42963184773712</v>
      </c>
      <c r="M127">
        <f>regressionsbase!$R$1*A127^2+regressionsbase!$R$2*A127^6</f>
        <v>-14.667813315869019</v>
      </c>
      <c r="N127">
        <f>regressionsbase!$P$1*A127^2+regressionsbase!$P$2*A127^7</f>
        <v>-11.399009466053112</v>
      </c>
      <c r="O127">
        <f>regressionsbase!T$2+regressionsbase!T$1*EXP(A127)</f>
        <v>-127.78563980437593</v>
      </c>
      <c r="P127" s="20">
        <f>(1-EXP(-2*regressionsbase!X$1*graphbase!A127))/2/EXP(-regressionsbase!X$1*A127)</f>
        <v>-29.644374810622374</v>
      </c>
      <c r="Q127" s="5"/>
      <c r="AT127" s="33"/>
      <c r="AW127" s="33"/>
      <c r="AZ127" s="33"/>
    </row>
    <row r="128" spans="1:52" x14ac:dyDescent="0.35">
      <c r="A128">
        <f t="shared" si="7"/>
        <v>10.499999999999979</v>
      </c>
      <c r="B128">
        <f t="shared" si="4"/>
        <v>-14.935826152679477</v>
      </c>
      <c r="C128">
        <f>regressionsbase!$AR$1*$A128</f>
        <v>11.702326967988938</v>
      </c>
      <c r="D128">
        <f>regressionsbase!$AO$1*$A128</f>
        <v>16.589071625448156</v>
      </c>
      <c r="E128">
        <f t="shared" si="5"/>
        <v>8.4688277832983996</v>
      </c>
      <c r="F128">
        <f t="shared" si="6"/>
        <v>-48.113969403575787</v>
      </c>
      <c r="G128" s="5">
        <f>B128-regressions!AA$7</f>
        <v>-18.657114743144433</v>
      </c>
      <c r="H128" s="5">
        <f>B128+regressions!AA$7</f>
        <v>-11.214537562214522</v>
      </c>
      <c r="I128">
        <f>IF($A128&lt;=regressionsbase!$L$2,$A128*regressionsbase!$L$1,regressionsbase!$L$1*regressionsbase!$L$2+regressionsbase!$L$3*($A128-regressionsbase!$L$2))</f>
        <v>-9.1934714298464755</v>
      </c>
      <c r="J128">
        <f>regressionsbase!J$1*A128+regressionsbase!J$2*A128^2</f>
        <v>-13.382145566009584</v>
      </c>
      <c r="K128">
        <f>regressionsbase!$V$1*A128</f>
        <v>-9.1934714300447187</v>
      </c>
      <c r="L128">
        <f>regressionsbase!$N$1*A128^2</f>
        <v>-18.78575176787183</v>
      </c>
      <c r="M128">
        <f>regressionsbase!$R$1*A128^2+regressionsbase!$R$2*A128^6</f>
        <v>-15.019115714840483</v>
      </c>
      <c r="N128">
        <f>regressionsbase!$P$1*A128^2+regressionsbase!$P$2*A128^7</f>
        <v>-11.205773785903705</v>
      </c>
      <c r="O128">
        <f>regressionsbase!T$2+regressionsbase!T$1*EXP(A128)</f>
        <v>-141.225381864208</v>
      </c>
      <c r="P128" s="20">
        <f>(1-EXP(-2*regressionsbase!X$1*graphbase!A128))/2/EXP(-regressionsbase!X$1*A128)</f>
        <v>-30.831923526660301</v>
      </c>
      <c r="Q128" s="5"/>
      <c r="AT128" s="33"/>
      <c r="AW128" s="33"/>
      <c r="AZ128" s="33"/>
    </row>
    <row r="129" spans="1:52" x14ac:dyDescent="0.35">
      <c r="A129">
        <f t="shared" si="7"/>
        <v>10.599999999999978</v>
      </c>
      <c r="B129">
        <f t="shared" si="4"/>
        <v>-15.239194647004842</v>
      </c>
      <c r="C129">
        <f>regressionsbase!$AR$1*$A129</f>
        <v>11.813777701017404</v>
      </c>
      <c r="D129">
        <f>regressionsbase!$AO$1*$A129</f>
        <v>16.747062783785758</v>
      </c>
      <c r="E129">
        <f t="shared" si="5"/>
        <v>8.3883607550299661</v>
      </c>
      <c r="F129">
        <f t="shared" si="6"/>
        <v>-48.733320214576359</v>
      </c>
      <c r="G129" s="5">
        <f>B129-regressions!AA$7</f>
        <v>-18.960483237469798</v>
      </c>
      <c r="H129" s="5">
        <f>B129+regressions!AA$7</f>
        <v>-11.517906056539887</v>
      </c>
      <c r="I129">
        <f>IF($A129&lt;=regressionsbase!$L$2,$A129*regressionsbase!$L$1,regressionsbase!$L$1*regressionsbase!$L$2+regressionsbase!$L$3*($A129-regressionsbase!$L$2))</f>
        <v>-9.2810283006069181</v>
      </c>
      <c r="J129">
        <f>regressionsbase!J$1*A129+regressionsbase!J$2*A129^2</f>
        <v>-13.582737980455706</v>
      </c>
      <c r="K129">
        <f>regressionsbase!$V$1*A129</f>
        <v>-9.2810283008070495</v>
      </c>
      <c r="L129">
        <f>regressionsbase!$N$1*A129^2</f>
        <v>-19.145279534132236</v>
      </c>
      <c r="M129">
        <f>regressionsbase!$R$1*A129^2+regressionsbase!$R$2*A129^6</f>
        <v>-15.377733135332239</v>
      </c>
      <c r="N129">
        <f>regressionsbase!$P$1*A129^2+regressionsbase!$P$2*A129^7</f>
        <v>-10.982455106040938</v>
      </c>
      <c r="O129">
        <f>regressionsbase!T$2+regressionsbase!T$1*EXP(A129)</f>
        <v>-156.07859393517251</v>
      </c>
      <c r="P129" s="20">
        <f>(1-EXP(-2*regressionsbase!X$1*graphbase!A129))/2/EXP(-regressionsbase!X$1*A129)</f>
        <v>-32.066993233654053</v>
      </c>
      <c r="Q129" s="5"/>
      <c r="AT129" s="33"/>
      <c r="AW129" s="33"/>
      <c r="AZ129" s="33"/>
    </row>
    <row r="130" spans="1:52" x14ac:dyDescent="0.35">
      <c r="A130">
        <f t="shared" si="7"/>
        <v>10.699999999999978</v>
      </c>
      <c r="B130">
        <f t="shared" si="4"/>
        <v>-15.548077895534842</v>
      </c>
      <c r="C130">
        <f>regressionsbase!$AR$1*$A130</f>
        <v>11.92522843404587</v>
      </c>
      <c r="D130">
        <f>regressionsbase!$AO$1*$A130</f>
        <v>16.905053942123359</v>
      </c>
      <c r="E130">
        <f t="shared" si="5"/>
        <v>8.3023789725568982</v>
      </c>
      <c r="F130">
        <f t="shared" si="6"/>
        <v>-49.358185779781564</v>
      </c>
      <c r="G130" s="5">
        <f>B130-regressions!AA$7</f>
        <v>-19.269366485999797</v>
      </c>
      <c r="H130" s="5">
        <f>B130+regressions!AA$7</f>
        <v>-11.826789305069887</v>
      </c>
      <c r="I130">
        <f>IF($A130&lt;=regressionsbase!$L$2,$A130*regressionsbase!$L$1,regressionsbase!$L$1*regressionsbase!$L$2+regressionsbase!$L$3*($A130-regressionsbase!$L$2))</f>
        <v>-9.3685851713673607</v>
      </c>
      <c r="J130">
        <f>regressionsbase!J$1*A130+regressionsbase!J$2*A130^2</f>
        <v>-13.784710459223628</v>
      </c>
      <c r="K130">
        <f>regressionsbase!$V$1*A130</f>
        <v>-9.3685851715693786</v>
      </c>
      <c r="L130">
        <f>regressionsbase!$N$1*A130^2</f>
        <v>-19.508215146518332</v>
      </c>
      <c r="M130">
        <f>regressionsbase!$R$1*A130^2+regressionsbase!$R$2*A130^6</f>
        <v>-15.743855627037838</v>
      </c>
      <c r="N130">
        <f>regressionsbase!$P$1*A130^2+regressionsbase!$P$2*A130^7</f>
        <v>-10.727416870381692</v>
      </c>
      <c r="O130">
        <f>regressionsbase!T$2+regressionsbase!T$1*EXP(A130)</f>
        <v>-172.4939319560126</v>
      </c>
      <c r="P130" s="20">
        <f>(1-EXP(-2*regressionsbase!X$1*graphbase!A130))/2/EXP(-regressionsbase!X$1*A130)</f>
        <v>-33.35148753441733</v>
      </c>
      <c r="Q130" s="5"/>
      <c r="AT130" s="33"/>
      <c r="AW130" s="33"/>
      <c r="AZ130" s="33"/>
    </row>
    <row r="131" spans="1:52" x14ac:dyDescent="0.35">
      <c r="A131">
        <f t="shared" si="7"/>
        <v>10.799999999999978</v>
      </c>
      <c r="B131">
        <f t="shared" si="4"/>
        <v>-15.862652863104916</v>
      </c>
      <c r="C131">
        <f>regressionsbase!$AR$1*$A131</f>
        <v>12.036679167074336</v>
      </c>
      <c r="D131">
        <f>regressionsbase!$AO$1*$A131</f>
        <v>17.063045100460961</v>
      </c>
      <c r="E131">
        <f t="shared" si="5"/>
        <v>8.2107054710437559</v>
      </c>
      <c r="F131">
        <f t="shared" si="6"/>
        <v>-49.988743064026835</v>
      </c>
      <c r="G131" s="5">
        <f>B131-regressions!AA$7</f>
        <v>-19.583941453569871</v>
      </c>
      <c r="H131" s="5">
        <f>B131+regressions!AA$7</f>
        <v>-12.141364272639962</v>
      </c>
      <c r="I131">
        <f>IF($A131&lt;=regressionsbase!$L$2,$A131*regressionsbase!$L$1,regressionsbase!$L$1*regressionsbase!$L$2+regressionsbase!$L$3*($A131-regressionsbase!$L$2))</f>
        <v>-9.4561420421278015</v>
      </c>
      <c r="J131">
        <f>regressionsbase!J$1*A131+regressionsbase!J$2*A131^2</f>
        <v>-13.988063002313357</v>
      </c>
      <c r="K131">
        <f>regressionsbase!$V$1*A131</f>
        <v>-9.4561420423317095</v>
      </c>
      <c r="L131">
        <f>regressionsbase!$N$1*A131^2</f>
        <v>-19.874558605030117</v>
      </c>
      <c r="M131">
        <f>regressionsbase!$R$1*A131^2+regressionsbase!$R$2*A131^6</f>
        <v>-16.117678695048351</v>
      </c>
      <c r="N131">
        <f>regressionsbase!$P$1*A131^2+regressionsbase!$P$2*A131^7</f>
        <v>-10.438959589794868</v>
      </c>
      <c r="O131">
        <f>regressionsbase!T$2+regressionsbase!T$1*EXP(A131)</f>
        <v>-190.63568614702655</v>
      </c>
      <c r="P131" s="20">
        <f>(1-EXP(-2*regressionsbase!X$1*graphbase!A131))/2/EXP(-regressionsbase!X$1*A131)</f>
        <v>-34.687386209484885</v>
      </c>
      <c r="Q131" s="5"/>
      <c r="AT131" s="33"/>
      <c r="AW131" s="33"/>
      <c r="AZ131" s="33"/>
    </row>
    <row r="132" spans="1:52" x14ac:dyDescent="0.35">
      <c r="A132">
        <f t="shared" si="7"/>
        <v>10.899999999999977</v>
      </c>
      <c r="B132">
        <f t="shared" ref="B132:B195" si="8">SUMPRODUCT(I$2:P$2,I132:P132)</f>
        <v>-16.18310819138155</v>
      </c>
      <c r="C132">
        <f>regressionsbase!$AR$1*$A132</f>
        <v>12.148129900102802</v>
      </c>
      <c r="D132">
        <f>regressionsbase!$AO$1*$A132</f>
        <v>17.221036258798563</v>
      </c>
      <c r="E132">
        <f t="shared" si="5"/>
        <v>8.1131516088240545</v>
      </c>
      <c r="F132">
        <f t="shared" si="6"/>
        <v>-50.625180708978675</v>
      </c>
      <c r="G132" s="5">
        <f>B132-regressions!AA$7</f>
        <v>-19.904396781846504</v>
      </c>
      <c r="H132" s="5">
        <f>B132+regressions!AA$7</f>
        <v>-12.461819600916595</v>
      </c>
      <c r="I132">
        <f>IF($A132&lt;=regressionsbase!$L$2,$A132*regressionsbase!$L$1,regressionsbase!$L$1*regressionsbase!$L$2+regressionsbase!$L$3*($A132-regressionsbase!$L$2))</f>
        <v>-9.5436989128882441</v>
      </c>
      <c r="J132">
        <f>regressionsbase!J$1*A132+regressionsbase!J$2*A132^2</f>
        <v>-14.192795609724886</v>
      </c>
      <c r="K132">
        <f>regressionsbase!$V$1*A132</f>
        <v>-9.5436989130940404</v>
      </c>
      <c r="L132">
        <f>regressionsbase!$N$1*A132^2</f>
        <v>-20.244309909667592</v>
      </c>
      <c r="M132">
        <f>regressionsbase!$R$1*A132^2+regressionsbase!$R$2*A132^6</f>
        <v>-16.499403403266818</v>
      </c>
      <c r="N132">
        <f>regressionsbase!$P$1*A132^2+regressionsbase!$P$2*A132^7</f>
        <v>-10.115319044228659</v>
      </c>
      <c r="O132">
        <f>regressionsbase!T$2+regressionsbase!T$1*EXP(A132)</f>
        <v>-210.68542528181214</v>
      </c>
      <c r="P132" s="20">
        <f>(1-EXP(-2*regressionsbase!X$1*graphbase!A132))/2/EXP(-regressionsbase!X$1*A132)</f>
        <v>-36.076748268532292</v>
      </c>
      <c r="Q132" s="5"/>
      <c r="AT132" s="33"/>
      <c r="AW132" s="33"/>
      <c r="AZ132" s="33"/>
    </row>
    <row r="133" spans="1:52" x14ac:dyDescent="0.35">
      <c r="A133">
        <f t="shared" si="7"/>
        <v>10.999999999999977</v>
      </c>
      <c r="B133">
        <f t="shared" si="8"/>
        <v>-16.509645218162905</v>
      </c>
      <c r="C133">
        <f>regressionsbase!$AR$1*$A133</f>
        <v>12.259580633131268</v>
      </c>
      <c r="D133">
        <f>regressionsbase!$AO$1*$A133</f>
        <v>17.379027417136165</v>
      </c>
      <c r="E133">
        <f t="shared" si="5"/>
        <v>8.0095160480996306</v>
      </c>
      <c r="F133">
        <f t="shared" si="6"/>
        <v>-51.267700052435231</v>
      </c>
      <c r="G133" s="5">
        <f>B133-regressions!AA$7</f>
        <v>-20.23093380862786</v>
      </c>
      <c r="H133" s="5">
        <f>B133+regressions!AA$7</f>
        <v>-12.788356627697951</v>
      </c>
      <c r="I133">
        <f>IF($A133&lt;=regressionsbase!$L$2,$A133*regressionsbase!$L$1,regressionsbase!$L$1*regressionsbase!$L$2+regressionsbase!$L$3*($A133-regressionsbase!$L$2))</f>
        <v>-9.6312557836486867</v>
      </c>
      <c r="J133">
        <f>regressionsbase!J$1*A133+regressionsbase!J$2*A133^2</f>
        <v>-14.398908281458217</v>
      </c>
      <c r="K133">
        <f>regressionsbase!$V$1*A133</f>
        <v>-9.6312557838563713</v>
      </c>
      <c r="L133">
        <f>regressionsbase!$N$1*A133^2</f>
        <v>-20.617469060430761</v>
      </c>
      <c r="M133">
        <f>regressionsbase!$R$1*A133^2+regressionsbase!$R$2*A133^6</f>
        <v>-16.889236478793798</v>
      </c>
      <c r="N133">
        <f>regressionsbase!$P$1*A133^2+regressionsbase!$P$2*A133^7</f>
        <v>-9.7546644509176872</v>
      </c>
      <c r="O133">
        <f>regressionsbase!T$2+regressionsbase!T$1*EXP(A133)</f>
        <v>-232.84381388858037</v>
      </c>
      <c r="P133" s="20">
        <f>(1-EXP(-2*regressionsbase!X$1*graphbase!A133))/2/EXP(-regressionsbase!X$1*A133)</f>
        <v>-37.521715123910397</v>
      </c>
      <c r="Q133" s="5"/>
      <c r="AT133" s="33"/>
      <c r="AW133" s="33"/>
      <c r="AZ133" s="33"/>
    </row>
    <row r="134" spans="1:52" x14ac:dyDescent="0.35">
      <c r="A134">
        <f t="shared" si="7"/>
        <v>11.099999999999977</v>
      </c>
      <c r="B134">
        <f t="shared" si="8"/>
        <v>-16.842479093677454</v>
      </c>
      <c r="C134">
        <f>regressionsbase!$AR$1*$A134</f>
        <v>12.371031366159734</v>
      </c>
      <c r="D134">
        <f>regressionsbase!$AO$1*$A134</f>
        <v>17.537018575473766</v>
      </c>
      <c r="E134">
        <f t="shared" si="5"/>
        <v>7.8995836386420137</v>
      </c>
      <c r="F134">
        <f t="shared" si="6"/>
        <v>-51.916516244624987</v>
      </c>
      <c r="G134" s="5">
        <f>B134-regressions!AA$7</f>
        <v>-20.563767684142409</v>
      </c>
      <c r="H134" s="5">
        <f>B134+regressions!AA$7</f>
        <v>-13.1211905032125</v>
      </c>
      <c r="I134">
        <f>IF($A134&lt;=regressionsbase!$L$2,$A134*regressionsbase!$L$1,regressionsbase!$L$1*regressionsbase!$L$2+regressionsbase!$L$3*($A134-regressionsbase!$L$2))</f>
        <v>-9.7188126544091293</v>
      </c>
      <c r="J134">
        <f>regressionsbase!J$1*A134+regressionsbase!J$2*A134^2</f>
        <v>-14.606401017513356</v>
      </c>
      <c r="K134">
        <f>regressionsbase!$V$1*A134</f>
        <v>-9.7188126546187021</v>
      </c>
      <c r="L134">
        <f>regressionsbase!$N$1*A134^2</f>
        <v>-20.994036057319619</v>
      </c>
      <c r="M134">
        <f>regressionsbase!$R$1*A134^2+regressionsbase!$R$2*A134^6</f>
        <v>-17.287390417283902</v>
      </c>
      <c r="N134">
        <f>regressionsbase!$P$1*A134^2+regressionsbase!$P$2*A134^7</f>
        <v>-9.3550965983530023</v>
      </c>
      <c r="O134">
        <f>regressionsbase!T$2+regressionsbase!T$1*EXP(A134)</f>
        <v>-257.33262056819933</v>
      </c>
      <c r="P134" s="20">
        <f>(1-EXP(-2*regressionsbase!X$1*graphbase!A134))/2/EXP(-regressionsbase!X$1*A134)</f>
        <v>-39.024513891186857</v>
      </c>
      <c r="Q134" s="5"/>
      <c r="AT134" s="33"/>
      <c r="AW134" s="33"/>
      <c r="AZ134" s="33"/>
    </row>
    <row r="135" spans="1:52" x14ac:dyDescent="0.35">
      <c r="A135">
        <f t="shared" si="7"/>
        <v>11.199999999999976</v>
      </c>
      <c r="B135">
        <f t="shared" si="8"/>
        <v>-17.181840003445821</v>
      </c>
      <c r="C135">
        <f>regressionsbase!$AR$1*$A135</f>
        <v>12.4824820991882</v>
      </c>
      <c r="D135">
        <f>regressionsbase!$AO$1*$A135</f>
        <v>17.695009733811368</v>
      </c>
      <c r="E135">
        <f t="shared" si="5"/>
        <v>7.7831241949305792</v>
      </c>
      <c r="F135">
        <f t="shared" si="6"/>
        <v>-52.571859471068557</v>
      </c>
      <c r="G135" s="5">
        <f>B135-regressions!AA$7</f>
        <v>-20.903128593910775</v>
      </c>
      <c r="H135" s="5">
        <f>B135+regressions!AA$7</f>
        <v>-13.460551412980866</v>
      </c>
      <c r="I135">
        <f>IF($A135&lt;=regressionsbase!$L$2,$A135*regressionsbase!$L$1,regressionsbase!$L$1*regressionsbase!$L$2+regressionsbase!$L$3*($A135-regressionsbase!$L$2))</f>
        <v>-9.8063695251695719</v>
      </c>
      <c r="J135">
        <f>regressionsbase!J$1*A135+regressionsbase!J$2*A135^2</f>
        <v>-14.815273817890294</v>
      </c>
      <c r="K135">
        <f>regressionsbase!$V$1*A135</f>
        <v>-9.8063695253810312</v>
      </c>
      <c r="L135">
        <f>regressionsbase!$N$1*A135^2</f>
        <v>-21.37401090033417</v>
      </c>
      <c r="M135">
        <f>regressionsbase!$R$1*A135^2+regressionsbase!$R$2*A135^6</f>
        <v>-17.694083589273362</v>
      </c>
      <c r="N135">
        <f>regressionsbase!$P$1*A135^2+regressionsbase!$P$2*A135^7</f>
        <v>-8.9146459456979219</v>
      </c>
      <c r="O135">
        <f>regressionsbase!T$2+regressionsbase!T$1*EXP(A135)</f>
        <v>-284.39693752889093</v>
      </c>
      <c r="P135" s="20">
        <f>(1-EXP(-2*regressionsbase!X$1*graphbase!A135))/2/EXP(-regressionsbase!X$1*A135)</f>
        <v>-40.587460821780986</v>
      </c>
      <c r="Q135" s="5"/>
      <c r="AT135" s="33"/>
      <c r="AW135" s="33"/>
      <c r="AZ135" s="33"/>
    </row>
    <row r="136" spans="1:52" x14ac:dyDescent="0.35">
      <c r="A136">
        <f t="shared" si="7"/>
        <v>11.299999999999976</v>
      </c>
      <c r="B136">
        <f t="shared" si="8"/>
        <v>-17.527974508243091</v>
      </c>
      <c r="C136">
        <f>regressionsbase!$AR$1*$A136</f>
        <v>12.593932832216666</v>
      </c>
      <c r="D136">
        <f>regressionsbase!$AO$1*$A136</f>
        <v>17.853000892148966</v>
      </c>
      <c r="E136">
        <f t="shared" ref="E136:E199" si="9">B136+2*C136</f>
        <v>7.6598911561902412</v>
      </c>
      <c r="F136">
        <f t="shared" ref="F136:F199" si="10">B136-2*D136</f>
        <v>-53.233976292541023</v>
      </c>
      <c r="G136" s="5">
        <f>B136-regressions!AA$7</f>
        <v>-21.249263098708045</v>
      </c>
      <c r="H136" s="5">
        <f>B136+regressions!AA$7</f>
        <v>-13.806685917778136</v>
      </c>
      <c r="I136">
        <f>IF($A136&lt;=regressionsbase!$L$2,$A136*regressionsbase!$L$1,regressionsbase!$L$1*regressionsbase!$L$2+regressionsbase!$L$3*($A136-regressionsbase!$L$2))</f>
        <v>-9.8939263959300146</v>
      </c>
      <c r="J136">
        <f>regressionsbase!J$1*A136+regressionsbase!J$2*A136^2</f>
        <v>-15.025526682589035</v>
      </c>
      <c r="K136">
        <f>regressionsbase!$V$1*A136</f>
        <v>-9.8939263961433621</v>
      </c>
      <c r="L136">
        <f>regressionsbase!$N$1*A136^2</f>
        <v>-21.757393589474411</v>
      </c>
      <c r="M136">
        <f>regressionsbase!$R$1*A136^2+regressionsbase!$R$2*A136^6</f>
        <v>-18.109540347478621</v>
      </c>
      <c r="N136">
        <f>regressionsbase!$P$1*A136^2+regressionsbase!$P$2*A136^7</f>
        <v>-8.4312706873327201</v>
      </c>
      <c r="O136">
        <f>regressionsbase!T$2+regressionsbase!T$1*EXP(A136)</f>
        <v>-314.30763355142875</v>
      </c>
      <c r="P136" s="20">
        <f>(1-EXP(-2*regressionsbase!X$1*graphbase!A136))/2/EXP(-regressionsbase!X$1*A136)</f>
        <v>-42.212964872983015</v>
      </c>
      <c r="Q136" s="5"/>
      <c r="AT136" s="33"/>
      <c r="AW136" s="33"/>
      <c r="AZ136" s="33"/>
    </row>
    <row r="137" spans="1:52" x14ac:dyDescent="0.35">
      <c r="A137">
        <f t="shared" ref="A137:A200" si="11">0.1+A136</f>
        <v>11.399999999999975</v>
      </c>
      <c r="B137">
        <f t="shared" si="8"/>
        <v>-17.881147012771578</v>
      </c>
      <c r="C137">
        <f>regressionsbase!$AR$1*$A137</f>
        <v>12.705383565245132</v>
      </c>
      <c r="D137">
        <f>regressionsbase!$AO$1*$A137</f>
        <v>18.010992050486568</v>
      </c>
      <c r="E137">
        <f t="shared" si="9"/>
        <v>7.5296201177186859</v>
      </c>
      <c r="F137">
        <f t="shared" si="10"/>
        <v>-53.903131113744713</v>
      </c>
      <c r="G137" s="5">
        <f>B137-regressions!AA$7</f>
        <v>-21.602435603236533</v>
      </c>
      <c r="H137" s="5">
        <f>B137+regressions!AA$7</f>
        <v>-14.159858422306623</v>
      </c>
      <c r="I137">
        <f>IF($A137&lt;=regressionsbase!$L$2,$A137*regressionsbase!$L$1,regressionsbase!$L$1*regressionsbase!$L$2+regressionsbase!$L$3*($A137-regressionsbase!$L$2))</f>
        <v>-9.9814832666904572</v>
      </c>
      <c r="J137">
        <f>regressionsbase!J$1*A137+regressionsbase!J$2*A137^2</f>
        <v>-15.237159611609577</v>
      </c>
      <c r="K137">
        <f>regressionsbase!$V$1*A137</f>
        <v>-9.981483266905693</v>
      </c>
      <c r="L137">
        <f>regressionsbase!$N$1*A137^2</f>
        <v>-22.144184124740342</v>
      </c>
      <c r="M137">
        <f>regressionsbase!$R$1*A137^2+regressionsbase!$R$2*A137^6</f>
        <v>-18.533991135066</v>
      </c>
      <c r="N137">
        <f>regressionsbase!$P$1*A137^2+regressionsbase!$P$2*A137^7</f>
        <v>-7.9028547822111204</v>
      </c>
      <c r="O137">
        <f>regressionsbase!T$2+regressionsbase!T$1*EXP(A137)</f>
        <v>-347.36406493493854</v>
      </c>
      <c r="P137" s="20">
        <f>(1-EXP(-2*regressionsbase!X$1*graphbase!A137))/2/EXP(-regressionsbase!X$1*A137)</f>
        <v>-43.903531420860389</v>
      </c>
      <c r="Q137" s="5"/>
      <c r="AT137" s="33"/>
      <c r="AW137" s="33"/>
      <c r="AZ137" s="33"/>
    </row>
    <row r="138" spans="1:52" x14ac:dyDescent="0.35">
      <c r="A138">
        <f t="shared" si="11"/>
        <v>11.499999999999975</v>
      </c>
      <c r="B138">
        <f t="shared" si="8"/>
        <v>-18.241641375837542</v>
      </c>
      <c r="C138">
        <f>regressionsbase!$AR$1*$A138</f>
        <v>12.816834298273598</v>
      </c>
      <c r="D138">
        <f>regressionsbase!$AO$1*$A138</f>
        <v>18.168983208824169</v>
      </c>
      <c r="E138">
        <f t="shared" si="9"/>
        <v>7.3920272207096538</v>
      </c>
      <c r="F138">
        <f t="shared" si="10"/>
        <v>-54.579607793485877</v>
      </c>
      <c r="G138" s="5">
        <f>B138-regressions!AA$7</f>
        <v>-21.962929966302497</v>
      </c>
      <c r="H138" s="5">
        <f>B138+regressions!AA$7</f>
        <v>-14.520352785372587</v>
      </c>
      <c r="I138">
        <f>IF($A138&lt;=regressionsbase!$L$2,$A138*regressionsbase!$L$1,regressionsbase!$L$1*regressionsbase!$L$2+regressionsbase!$L$3*($A138-regressionsbase!$L$2))</f>
        <v>-10.0690401374509</v>
      </c>
      <c r="J138">
        <f>regressionsbase!J$1*A138+regressionsbase!J$2*A138^2</f>
        <v>-15.450172604951923</v>
      </c>
      <c r="K138">
        <f>regressionsbase!$V$1*A138</f>
        <v>-10.069040137668024</v>
      </c>
      <c r="L138">
        <f>regressionsbase!$N$1*A138^2</f>
        <v>-22.534382506131966</v>
      </c>
      <c r="M138">
        <f>regressionsbase!$R$1*A138^2+regressionsbase!$R$2*A138^6</f>
        <v>-18.967672594892317</v>
      </c>
      <c r="N138">
        <f>regressionsbase!$P$1*A138^2+regressionsbase!$P$2*A138^7</f>
        <v>-7.327205947711608</v>
      </c>
      <c r="O138">
        <f>regressionsbase!T$2+regressionsbase!T$1*EXP(A138)</f>
        <v>-383.89707155535666</v>
      </c>
      <c r="P138" s="20">
        <f>(1-EXP(-2*regressionsbase!X$1*graphbase!A138))/2/EXP(-regressionsbase!X$1*A138)</f>
        <v>-45.661766121773269</v>
      </c>
      <c r="Q138" s="5"/>
      <c r="AT138" s="33"/>
      <c r="AW138" s="33"/>
      <c r="AZ138" s="33"/>
    </row>
    <row r="139" spans="1:52" x14ac:dyDescent="0.35">
      <c r="A139">
        <f t="shared" si="11"/>
        <v>11.599999999999975</v>
      </c>
      <c r="B139">
        <f t="shared" si="8"/>
        <v>-18.609762676132512</v>
      </c>
      <c r="C139">
        <f>regressionsbase!$AR$1*$A139</f>
        <v>12.928285031302064</v>
      </c>
      <c r="D139">
        <f>regressionsbase!$AO$1*$A139</f>
        <v>18.326974367161771</v>
      </c>
      <c r="E139">
        <f t="shared" si="9"/>
        <v>7.246807386471616</v>
      </c>
      <c r="F139">
        <f t="shared" si="10"/>
        <v>-55.263711410456054</v>
      </c>
      <c r="G139" s="5">
        <f>B139-regressions!AA$7</f>
        <v>-22.331051266597466</v>
      </c>
      <c r="H139" s="5">
        <f>B139+regressions!AA$7</f>
        <v>-14.888474085667557</v>
      </c>
      <c r="I139">
        <f>IF($A139&lt;=regressionsbase!$L$2,$A139*regressionsbase!$L$1,regressionsbase!$L$1*regressionsbase!$L$2+regressionsbase!$L$3*($A139-regressionsbase!$L$2))</f>
        <v>-10.156597008211342</v>
      </c>
      <c r="J139">
        <f>regressionsbase!J$1*A139+regressionsbase!J$2*A139^2</f>
        <v>-15.664565662616075</v>
      </c>
      <c r="K139">
        <f>regressionsbase!$V$1*A139</f>
        <v>-10.156597008430355</v>
      </c>
      <c r="L139">
        <f>regressionsbase!$N$1*A139^2</f>
        <v>-22.927988733649279</v>
      </c>
      <c r="M139">
        <f>regressionsbase!$R$1*A139^2+regressionsbase!$R$2*A139^6</f>
        <v>-19.410827679716583</v>
      </c>
      <c r="N139">
        <f>regressionsbase!$P$1*A139^2+regressionsbase!$P$2*A139^7</f>
        <v>-6.7020536176665679</v>
      </c>
      <c r="O139">
        <f>regressionsbase!T$2+regressionsbase!T$1*EXP(A139)</f>
        <v>-424.27228802210777</v>
      </c>
      <c r="P139" s="20">
        <f>(1-EXP(-2*regressionsbase!X$1*graphbase!A139))/2/EXP(-regressionsbase!X$1*A139)</f>
        <v>-47.490378928451165</v>
      </c>
      <c r="Q139" s="5"/>
      <c r="AT139" s="33"/>
      <c r="AW139" s="33"/>
      <c r="AZ139" s="33"/>
    </row>
    <row r="140" spans="1:52" x14ac:dyDescent="0.35">
      <c r="A140">
        <f t="shared" si="11"/>
        <v>11.699999999999974</v>
      </c>
      <c r="B140">
        <f t="shared" si="8"/>
        <v>-18.985839149162128</v>
      </c>
      <c r="C140">
        <f>regressionsbase!$AR$1*$A140</f>
        <v>13.03973576433053</v>
      </c>
      <c r="D140">
        <f>regressionsbase!$AO$1*$A140</f>
        <v>18.484965525499373</v>
      </c>
      <c r="E140">
        <f t="shared" si="9"/>
        <v>7.0936323794989313</v>
      </c>
      <c r="F140">
        <f t="shared" si="10"/>
        <v>-55.95577020016087</v>
      </c>
      <c r="G140" s="5">
        <f>B140-regressions!AA$7</f>
        <v>-22.707127739627083</v>
      </c>
      <c r="H140" s="5">
        <f>B140+regressions!AA$7</f>
        <v>-15.264550558697174</v>
      </c>
      <c r="I140">
        <f>IF($A140&lt;=regressionsbase!$L$2,$A140*regressionsbase!$L$1,regressionsbase!$L$1*regressionsbase!$L$2+regressionsbase!$L$3*($A140-regressionsbase!$L$2))</f>
        <v>-10.244153878971785</v>
      </c>
      <c r="J140">
        <f>regressionsbase!J$1*A140+regressionsbase!J$2*A140^2</f>
        <v>-15.880338784602028</v>
      </c>
      <c r="K140">
        <f>regressionsbase!$V$1*A140</f>
        <v>-10.244153879192684</v>
      </c>
      <c r="L140">
        <f>regressionsbase!$N$1*A140^2</f>
        <v>-23.325002807292282</v>
      </c>
      <c r="M140">
        <f>regressionsbase!$R$1*A140^2+regressionsbase!$R$2*A140^6</f>
        <v>-19.863705763382736</v>
      </c>
      <c r="N140">
        <f>regressionsbase!$P$1*A140^2+regressionsbase!$P$2*A140^7</f>
        <v>-6.0250468642521788</v>
      </c>
      <c r="O140">
        <f>regressionsbase!T$2+regressionsbase!T$1*EXP(A140)</f>
        <v>-468.89380307217016</v>
      </c>
      <c r="P140" s="20">
        <f>(1-EXP(-2*regressionsbase!X$1*graphbase!A140))/2/EXP(-regressionsbase!X$1*A140)</f>
        <v>-49.392188266821215</v>
      </c>
      <c r="Q140" s="5"/>
      <c r="AT140" s="33"/>
      <c r="AW140" s="33"/>
      <c r="AZ140" s="33"/>
    </row>
    <row r="141" spans="1:52" x14ac:dyDescent="0.35">
      <c r="A141">
        <f t="shared" si="11"/>
        <v>11.799999999999974</v>
      </c>
      <c r="B141">
        <f t="shared" si="8"/>
        <v>-19.370224312457871</v>
      </c>
      <c r="C141">
        <f>regressionsbase!$AR$1*$A141</f>
        <v>13.151186497358996</v>
      </c>
      <c r="D141">
        <f>regressionsbase!$AO$1*$A141</f>
        <v>18.642956683836974</v>
      </c>
      <c r="E141">
        <f t="shared" si="9"/>
        <v>6.9321486822601202</v>
      </c>
      <c r="F141">
        <f t="shared" si="10"/>
        <v>-56.65613768013182</v>
      </c>
      <c r="G141" s="5">
        <f>B141-regressions!AA$7</f>
        <v>-23.091512902922826</v>
      </c>
      <c r="H141" s="5">
        <f>B141+regressions!AA$7</f>
        <v>-15.648935721992917</v>
      </c>
      <c r="I141">
        <f>IF($A141&lt;=regressionsbase!$L$2,$A141*regressionsbase!$L$1,regressionsbase!$L$1*regressionsbase!$L$2+regressionsbase!$L$3*($A141-regressionsbase!$L$2))</f>
        <v>-10.331710749732228</v>
      </c>
      <c r="J141">
        <f>regressionsbase!J$1*A141+regressionsbase!J$2*A141^2</f>
        <v>-16.097491970909786</v>
      </c>
      <c r="K141">
        <f>regressionsbase!$V$1*A141</f>
        <v>-10.331710749955015</v>
      </c>
      <c r="L141">
        <f>regressionsbase!$N$1*A141^2</f>
        <v>-23.725424727060979</v>
      </c>
      <c r="M141">
        <f>regressionsbase!$R$1*A141^2+regressionsbase!$R$2*A141^6</f>
        <v>-20.326562752973349</v>
      </c>
      <c r="N141">
        <f>regressionsbase!$P$1*A141^2+regressionsbase!$P$2*A141^7</f>
        <v>-5.2937522834221227</v>
      </c>
      <c r="O141">
        <f>regressionsbase!T$2+regressionsbase!T$1*EXP(A141)</f>
        <v>-518.20820382597401</v>
      </c>
      <c r="P141" s="20">
        <f>(1-EXP(-2*regressionsbase!X$1*graphbase!A141))/2/EXP(-regressionsbase!X$1*A141)</f>
        <v>-51.370125380024554</v>
      </c>
      <c r="Q141" s="5"/>
      <c r="AT141" s="33"/>
      <c r="AW141" s="33"/>
      <c r="AZ141" s="33"/>
    </row>
    <row r="142" spans="1:52" x14ac:dyDescent="0.35">
      <c r="A142">
        <f t="shared" si="11"/>
        <v>11.899999999999974</v>
      </c>
      <c r="B142">
        <f t="shared" si="8"/>
        <v>-19.763299297965389</v>
      </c>
      <c r="C142">
        <f>regressionsbase!$AR$1*$A142</f>
        <v>13.262637230387462</v>
      </c>
      <c r="D142">
        <f>regressionsbase!$AO$1*$A142</f>
        <v>18.800947842174576</v>
      </c>
      <c r="E142">
        <f t="shared" si="9"/>
        <v>6.7619751628095344</v>
      </c>
      <c r="F142">
        <f t="shared" si="10"/>
        <v>-57.365194982314542</v>
      </c>
      <c r="G142" s="5">
        <f>B142-regressions!AA$7</f>
        <v>-23.484587888430344</v>
      </c>
      <c r="H142" s="5">
        <f>B142+regressions!AA$7</f>
        <v>-16.042010707500435</v>
      </c>
      <c r="I142">
        <f>IF($A142&lt;=regressionsbase!$L$2,$A142*regressionsbase!$L$1,regressionsbase!$L$1*regressionsbase!$L$2+regressionsbase!$L$3*($A142-regressionsbase!$L$2))</f>
        <v>-10.41926762049267</v>
      </c>
      <c r="J142">
        <f>regressionsbase!J$1*A142+regressionsbase!J$2*A142^2</f>
        <v>-16.316025221539341</v>
      </c>
      <c r="K142">
        <f>regressionsbase!$V$1*A142</f>
        <v>-10.419267620717346</v>
      </c>
      <c r="L142">
        <f>regressionsbase!$N$1*A142^2</f>
        <v>-24.129254492955369</v>
      </c>
      <c r="M142">
        <f>regressionsbase!$R$1*A142^2+regressionsbase!$R$2*A142^6</f>
        <v>-20.799661201934416</v>
      </c>
      <c r="N142">
        <f>regressionsbase!$P$1*A142^2+regressionsbase!$P$2*A142^7</f>
        <v>-4.5056518435680246</v>
      </c>
      <c r="O142">
        <f>regressionsbase!T$2+regressionsbase!T$1*EXP(A142)</f>
        <v>-572.70904538140553</v>
      </c>
      <c r="P142" s="20">
        <f>(1-EXP(-2*regressionsbase!X$1*graphbase!A142))/2/EXP(-regressionsbase!X$1*A142)</f>
        <v>-53.427238846317678</v>
      </c>
      <c r="Q142" s="5"/>
      <c r="AT142" s="33"/>
      <c r="AW142" s="33"/>
      <c r="AZ142" s="33"/>
    </row>
    <row r="143" spans="1:52" x14ac:dyDescent="0.35">
      <c r="A143">
        <f t="shared" si="11"/>
        <v>11.999999999999973</v>
      </c>
      <c r="B143">
        <f t="shared" si="8"/>
        <v>-20.165475412443925</v>
      </c>
      <c r="C143">
        <f>regressionsbase!$AR$1*$A143</f>
        <v>13.374087963415928</v>
      </c>
      <c r="D143">
        <f>regressionsbase!$AO$1*$A143</f>
        <v>18.958939000512178</v>
      </c>
      <c r="E143">
        <f t="shared" si="9"/>
        <v>6.5827005143879305</v>
      </c>
      <c r="F143">
        <f t="shared" si="10"/>
        <v>-58.083353413468281</v>
      </c>
      <c r="G143" s="5">
        <f>B143-regressions!AA$7</f>
        <v>-23.88676400290888</v>
      </c>
      <c r="H143" s="5">
        <f>B143+regressions!AA$7</f>
        <v>-16.44418682197897</v>
      </c>
      <c r="I143">
        <f>IF($A143&lt;=regressionsbase!$L$2,$A143*regressionsbase!$L$1,regressionsbase!$L$1*regressionsbase!$L$2+regressionsbase!$L$3*($A143-regressionsbase!$L$2))</f>
        <v>-10.506824491253113</v>
      </c>
      <c r="J143">
        <f>regressionsbase!J$1*A143+regressionsbase!J$2*A143^2</f>
        <v>-16.535938536490704</v>
      </c>
      <c r="K143">
        <f>regressionsbase!$V$1*A143</f>
        <v>-10.506824491479676</v>
      </c>
      <c r="L143">
        <f>regressionsbase!$N$1*A143^2</f>
        <v>-24.536492104975448</v>
      </c>
      <c r="M143">
        <f>regressionsbase!$R$1*A143^2+regressionsbase!$R$2*A143^6</f>
        <v>-21.28327042417116</v>
      </c>
      <c r="N143">
        <f>regressionsbase!$P$1*A143^2+regressionsbase!$P$2*A143^7</f>
        <v>-3.6581406970897383</v>
      </c>
      <c r="O143">
        <f>regressionsbase!T$2+regressionsbase!T$1*EXP(A143)</f>
        <v>-632.94179047911734</v>
      </c>
      <c r="P143" s="20">
        <f>(1-EXP(-2*regressionsbase!X$1*graphbase!A143))/2/EXP(-regressionsbase!X$1*A143)</f>
        <v>-55.566699277820952</v>
      </c>
      <c r="Q143" s="5"/>
      <c r="AT143" s="33"/>
      <c r="AW143" s="33"/>
      <c r="AZ143" s="33"/>
    </row>
    <row r="144" spans="1:52" x14ac:dyDescent="0.35">
      <c r="A144">
        <f t="shared" si="11"/>
        <v>12.099999999999973</v>
      </c>
      <c r="B144">
        <f t="shared" si="8"/>
        <v>-20.577196948855033</v>
      </c>
      <c r="C144">
        <f>regressionsbase!$AR$1*$A144</f>
        <v>13.485538696444394</v>
      </c>
      <c r="D144">
        <f>regressionsbase!$AO$1*$A144</f>
        <v>19.11693015884978</v>
      </c>
      <c r="E144">
        <f t="shared" si="9"/>
        <v>6.3938804440337549</v>
      </c>
      <c r="F144">
        <f t="shared" si="10"/>
        <v>-58.811057266554592</v>
      </c>
      <c r="G144" s="5">
        <f>B144-regressions!AA$7</f>
        <v>-24.298485539319987</v>
      </c>
      <c r="H144" s="5">
        <f>B144+regressions!AA$7</f>
        <v>-16.855908358390078</v>
      </c>
      <c r="I144">
        <f>IF($A144&lt;=regressionsbase!$L$2,$A144*regressionsbase!$L$1,regressionsbase!$L$1*regressionsbase!$L$2+regressionsbase!$L$3*($A144-regressionsbase!$L$2))</f>
        <v>-10.594381362013555</v>
      </c>
      <c r="J144">
        <f>regressionsbase!J$1*A144+regressionsbase!J$2*A144^2</f>
        <v>-16.757231915763867</v>
      </c>
      <c r="K144">
        <f>regressionsbase!$V$1*A144</f>
        <v>-10.594381362242007</v>
      </c>
      <c r="L144">
        <f>regressionsbase!$N$1*A144^2</f>
        <v>-24.947137563121213</v>
      </c>
      <c r="M144">
        <f>regressionsbase!$R$1*A144^2+regressionsbase!$R$2*A144^6</f>
        <v>-21.777666609114828</v>
      </c>
      <c r="N144">
        <f>regressionsbase!$P$1*A144^2+regressionsbase!$P$2*A144^7</f>
        <v>-2.7485249545582491</v>
      </c>
      <c r="O144">
        <f>regressionsbase!T$2+regressionsbase!T$1*EXP(A144)</f>
        <v>-699.50926867697206</v>
      </c>
      <c r="P144" s="20">
        <f>(1-EXP(-2*regressionsbase!X$1*graphbase!A144))/2/EXP(-regressionsbase!X$1*A144)</f>
        <v>-57.791804207356982</v>
      </c>
      <c r="Q144" s="5"/>
      <c r="AT144" s="33"/>
      <c r="AW144" s="33"/>
      <c r="AZ144" s="33"/>
    </row>
    <row r="145" spans="1:52" x14ac:dyDescent="0.35">
      <c r="A145">
        <f t="shared" si="11"/>
        <v>12.199999999999973</v>
      </c>
      <c r="B145">
        <f t="shared" si="8"/>
        <v>-20.998944274085279</v>
      </c>
      <c r="C145">
        <f>regressionsbase!$AR$1*$A145</f>
        <v>13.59698942947286</v>
      </c>
      <c r="D145">
        <f>regressionsbase!$AO$1*$A145</f>
        <v>19.274921317187378</v>
      </c>
      <c r="E145">
        <f t="shared" si="9"/>
        <v>6.1950345848604407</v>
      </c>
      <c r="F145">
        <f t="shared" si="10"/>
        <v>-59.548786908460031</v>
      </c>
      <c r="G145" s="5">
        <f>B145-regressions!AA$7</f>
        <v>-24.720232864550233</v>
      </c>
      <c r="H145" s="5">
        <f>B145+regressions!AA$7</f>
        <v>-17.277655683620324</v>
      </c>
      <c r="I145">
        <f>IF($A145&lt;=regressionsbase!$L$2,$A145*regressionsbase!$L$1,regressionsbase!$L$1*regressionsbase!$L$2+regressionsbase!$L$3*($A145-regressionsbase!$L$2))</f>
        <v>-10.681938232773996</v>
      </c>
      <c r="J145">
        <f>regressionsbase!J$1*A145+regressionsbase!J$2*A145^2</f>
        <v>-16.979905359358835</v>
      </c>
      <c r="K145">
        <f>regressionsbase!$V$1*A145</f>
        <v>-10.681938233004336</v>
      </c>
      <c r="L145">
        <f>regressionsbase!$N$1*A145^2</f>
        <v>-25.361190867392672</v>
      </c>
      <c r="M145">
        <f>regressionsbase!$R$1*A145^2+regressionsbase!$R$2*A145^6</f>
        <v>-22.283132937760591</v>
      </c>
      <c r="N145">
        <f>regressionsbase!$P$1*A145^2+regressionsbase!$P$2*A145^7</f>
        <v>-1.7740194211544491</v>
      </c>
      <c r="O145">
        <f>regressionsbase!T$2+regressionsbase!T$1*EXP(A145)</f>
        <v>-773.07770967087561</v>
      </c>
      <c r="P145" s="20">
        <f>(1-EXP(-2*regressionsbase!X$1*graphbase!A145))/2/EXP(-regressionsbase!X$1*A145)</f>
        <v>-60.105983170911159</v>
      </c>
      <c r="Q145" s="5"/>
      <c r="AT145" s="33"/>
      <c r="AW145" s="33"/>
      <c r="AZ145" s="33"/>
    </row>
    <row r="146" spans="1:52" x14ac:dyDescent="0.35">
      <c r="A146">
        <f t="shared" si="11"/>
        <v>12.299999999999972</v>
      </c>
      <c r="B146">
        <f t="shared" si="8"/>
        <v>-21.431237220960991</v>
      </c>
      <c r="C146">
        <f>regressionsbase!$AR$1*$A146</f>
        <v>13.708440162501326</v>
      </c>
      <c r="D146">
        <f>regressionsbase!$AO$1*$A146</f>
        <v>19.432912475524979</v>
      </c>
      <c r="E146">
        <f t="shared" si="9"/>
        <v>5.9856431040416602</v>
      </c>
      <c r="F146">
        <f t="shared" si="10"/>
        <v>-60.297062172010953</v>
      </c>
      <c r="G146" s="5">
        <f>B146-regressions!AA$7</f>
        <v>-25.152525811425946</v>
      </c>
      <c r="H146" s="5">
        <f>B146+regressions!AA$7</f>
        <v>-17.709948630496037</v>
      </c>
      <c r="I146">
        <f>IF($A146&lt;=regressionsbase!$L$2,$A146*regressionsbase!$L$1,regressionsbase!$L$1*regressionsbase!$L$2+regressionsbase!$L$3*($A146-regressionsbase!$L$2))</f>
        <v>-10.769495103534439</v>
      </c>
      <c r="J146">
        <f>regressionsbase!J$1*A146+regressionsbase!J$2*A146^2</f>
        <v>-17.203958867275606</v>
      </c>
      <c r="K146">
        <f>regressionsbase!$V$1*A146</f>
        <v>-10.769495103766667</v>
      </c>
      <c r="L146">
        <f>regressionsbase!$N$1*A146^2</f>
        <v>-25.778652017789824</v>
      </c>
      <c r="M146">
        <f>regressionsbase!$R$1*A146^2+regressionsbase!$R$2*A146^6</f>
        <v>-22.799959699676378</v>
      </c>
      <c r="N146">
        <f>regressionsbase!$P$1*A146^2+regressionsbase!$P$2*A146^7</f>
        <v>-0.73174529506654906</v>
      </c>
      <c r="O146">
        <f>regressionsbase!T$2+regressionsbase!T$1*EXP(A146)</f>
        <v>-854.38341114550212</v>
      </c>
      <c r="P146" s="20">
        <f>(1-EXP(-2*regressionsbase!X$1*graphbase!A146))/2/EXP(-regressionsbase!X$1*A146)</f>
        <v>-62.512802993547254</v>
      </c>
      <c r="Q146" s="5"/>
      <c r="AT146" s="33"/>
      <c r="AW146" s="33"/>
      <c r="AZ146" s="33"/>
    </row>
    <row r="147" spans="1:52" x14ac:dyDescent="0.35">
      <c r="A147">
        <f t="shared" si="11"/>
        <v>12.399999999999972</v>
      </c>
      <c r="B147">
        <f t="shared" si="8"/>
        <v>-21.874638815399468</v>
      </c>
      <c r="C147">
        <f>regressionsbase!$AR$1*$A147</f>
        <v>13.819890895529792</v>
      </c>
      <c r="D147">
        <f>regressionsbase!$AO$1*$A147</f>
        <v>19.590903633862581</v>
      </c>
      <c r="E147">
        <f t="shared" si="9"/>
        <v>5.7651429756601154</v>
      </c>
      <c r="F147">
        <f t="shared" si="10"/>
        <v>-61.056446083124627</v>
      </c>
      <c r="G147" s="5">
        <f>B147-regressions!AA$7</f>
        <v>-25.595927405864423</v>
      </c>
      <c r="H147" s="5">
        <f>B147+regressions!AA$7</f>
        <v>-18.153350224934513</v>
      </c>
      <c r="I147">
        <f>IF($A147&lt;=regressionsbase!$L$2,$A147*regressionsbase!$L$1,regressionsbase!$L$1*regressionsbase!$L$2+regressionsbase!$L$3*($A147-regressionsbase!$L$2))</f>
        <v>-10.857051974294881</v>
      </c>
      <c r="J147">
        <f>regressionsbase!J$1*A147+regressionsbase!J$2*A147^2</f>
        <v>-17.429392439514181</v>
      </c>
      <c r="K147">
        <f>regressionsbase!$V$1*A147</f>
        <v>-10.857051974528998</v>
      </c>
      <c r="L147">
        <f>regressionsbase!$N$1*A147^2</f>
        <v>-26.199521014312669</v>
      </c>
      <c r="M147">
        <f>regressionsbase!$R$1*A147^2+regressionsbase!$R$2*A147^6</f>
        <v>-23.328444410982826</v>
      </c>
      <c r="N147">
        <f>regressionsbase!$P$1*A147^2+regressionsbase!$P$2*A147^7</f>
        <v>0.38127217247074086</v>
      </c>
      <c r="O147">
        <f>regressionsbase!T$2+regressionsbase!T$1*EXP(A147)</f>
        <v>-944.24010788899966</v>
      </c>
      <c r="P147" s="20">
        <f>(1-EXP(-2*regressionsbase!X$1*graphbase!A147))/2/EXP(-regressionsbase!X$1*A147)</f>
        <v>-65.015973286925444</v>
      </c>
      <c r="Q147" s="5"/>
      <c r="AT147" s="33"/>
      <c r="AW147" s="33"/>
      <c r="AZ147" s="33"/>
    </row>
    <row r="148" spans="1:52" x14ac:dyDescent="0.35">
      <c r="A148">
        <f t="shared" si="11"/>
        <v>12.499999999999972</v>
      </c>
      <c r="B148">
        <f t="shared" si="8"/>
        <v>-22.329759372728301</v>
      </c>
      <c r="C148">
        <f>regressionsbase!$AR$1*$A148</f>
        <v>13.931341628558258</v>
      </c>
      <c r="D148">
        <f>regressionsbase!$AO$1*$A148</f>
        <v>19.748894792200183</v>
      </c>
      <c r="E148">
        <f t="shared" si="9"/>
        <v>5.5329238843882145</v>
      </c>
      <c r="F148">
        <f t="shared" si="10"/>
        <v>-61.82754895712867</v>
      </c>
      <c r="G148" s="5">
        <f>B148-regressions!AA$7</f>
        <v>-26.051047963193255</v>
      </c>
      <c r="H148" s="5">
        <f>B148+regressions!AA$7</f>
        <v>-18.608470782263346</v>
      </c>
      <c r="I148">
        <f>IF($A148&lt;=regressionsbase!$L$2,$A148*regressionsbase!$L$1,regressionsbase!$L$1*regressionsbase!$L$2+regressionsbase!$L$3*($A148-regressionsbase!$L$2))</f>
        <v>-10.944608845055324</v>
      </c>
      <c r="J148">
        <f>regressionsbase!J$1*A148+regressionsbase!J$2*A148^2</f>
        <v>-17.656206076074554</v>
      </c>
      <c r="K148">
        <f>regressionsbase!$V$1*A148</f>
        <v>-10.944608845291329</v>
      </c>
      <c r="L148">
        <f>regressionsbase!$N$1*A148^2</f>
        <v>-26.6237978569612</v>
      </c>
      <c r="M148">
        <f>regressionsbase!$R$1*A148^2+regressionsbase!$R$2*A148^6</f>
        <v>-23.868891933304166</v>
      </c>
      <c r="N148">
        <f>regressionsbase!$P$1*A148^2+regressionsbase!$P$2*A148^7</f>
        <v>1.5681060558123185</v>
      </c>
      <c r="O148">
        <f>regressionsbase!T$2+regressionsbase!T$1*EXP(A148)</f>
        <v>-1043.5471159242561</v>
      </c>
      <c r="P148" s="20">
        <f>(1-EXP(-2*regressionsbase!X$1*graphbase!A148))/2/EXP(-regressionsbase!X$1*A148)</f>
        <v>-67.619352166896775</v>
      </c>
      <c r="Q148" s="5"/>
      <c r="AT148" s="33"/>
      <c r="AW148" s="33"/>
      <c r="AZ148" s="33"/>
    </row>
    <row r="149" spans="1:52" x14ac:dyDescent="0.35">
      <c r="A149">
        <f t="shared" si="11"/>
        <v>12.599999999999971</v>
      </c>
      <c r="B149">
        <f t="shared" si="8"/>
        <v>-22.79726100072455</v>
      </c>
      <c r="C149">
        <f>regressionsbase!$AR$1*$A149</f>
        <v>14.042792361586724</v>
      </c>
      <c r="D149">
        <f>regressionsbase!$AO$1*$A149</f>
        <v>19.906885950537784</v>
      </c>
      <c r="E149">
        <f t="shared" si="9"/>
        <v>5.2883237224488973</v>
      </c>
      <c r="F149">
        <f t="shared" si="10"/>
        <v>-62.611032901800115</v>
      </c>
      <c r="G149" s="5">
        <f>B149-regressions!AA$7</f>
        <v>-26.518549591189505</v>
      </c>
      <c r="H149" s="5">
        <f>B149+regressions!AA$7</f>
        <v>-19.075972410259595</v>
      </c>
      <c r="I149">
        <f>IF($A149&lt;=regressionsbase!$L$2,$A149*regressionsbase!$L$1,regressionsbase!$L$1*regressionsbase!$L$2+regressionsbase!$L$3*($A149-regressionsbase!$L$2))</f>
        <v>-11.032165715815767</v>
      </c>
      <c r="J149">
        <f>regressionsbase!J$1*A149+regressionsbase!J$2*A149^2</f>
        <v>-17.884399776956734</v>
      </c>
      <c r="K149">
        <f>regressionsbase!$V$1*A149</f>
        <v>-11.03216571605366</v>
      </c>
      <c r="L149">
        <f>regressionsbase!$N$1*A149^2</f>
        <v>-27.051482545735425</v>
      </c>
      <c r="M149">
        <f>regressionsbase!$R$1*A149^2+regressionsbase!$R$2*A149^6</f>
        <v>-24.421614593690251</v>
      </c>
      <c r="N149">
        <f>regressionsbase!$P$1*A149^2+regressionsbase!$P$2*A149^7</f>
        <v>2.831930172531159</v>
      </c>
      <c r="O149">
        <f>regressionsbase!T$2+regressionsbase!T$1*EXP(A149)</f>
        <v>-1153.2983331659257</v>
      </c>
      <c r="P149" s="20">
        <f>(1-EXP(-2*regressionsbase!X$1*graphbase!A149))/2/EXP(-regressionsbase!X$1*A149)</f>
        <v>-70.326952199985001</v>
      </c>
      <c r="Q149" s="5"/>
      <c r="AT149" s="33"/>
      <c r="AW149" s="33"/>
      <c r="AZ149" s="33"/>
    </row>
    <row r="150" spans="1:52" x14ac:dyDescent="0.35">
      <c r="A150">
        <f t="shared" si="11"/>
        <v>12.699999999999971</v>
      </c>
      <c r="B150">
        <f t="shared" si="8"/>
        <v>-23.277862550813595</v>
      </c>
      <c r="C150">
        <f>regressionsbase!$AR$1*$A150</f>
        <v>14.15424309461519</v>
      </c>
      <c r="D150">
        <f>regressionsbase!$AO$1*$A150</f>
        <v>20.064877108875386</v>
      </c>
      <c r="E150">
        <f t="shared" si="9"/>
        <v>5.0306236384167846</v>
      </c>
      <c r="F150">
        <f t="shared" si="10"/>
        <v>-63.407616768564367</v>
      </c>
      <c r="G150" s="5">
        <f>B150-regressions!AA$7</f>
        <v>-26.999151141278549</v>
      </c>
      <c r="H150" s="5">
        <f>B150+regressions!AA$7</f>
        <v>-19.55657396034864</v>
      </c>
      <c r="I150">
        <f>IF($A150&lt;=regressionsbase!$L$2,$A150*regressionsbase!$L$1,regressionsbase!$L$1*regressionsbase!$L$2+regressionsbase!$L$3*($A150-regressionsbase!$L$2))</f>
        <v>-11.119722586576209</v>
      </c>
      <c r="J150">
        <f>regressionsbase!J$1*A150+regressionsbase!J$2*A150^2</f>
        <v>-18.113973542160714</v>
      </c>
      <c r="K150">
        <f>regressionsbase!$V$1*A150</f>
        <v>-11.119722586815989</v>
      </c>
      <c r="L150">
        <f>regressionsbase!$N$1*A150^2</f>
        <v>-27.482575080635339</v>
      </c>
      <c r="M150">
        <f>regressionsbase!$R$1*A150^2+regressionsbase!$R$2*A150^6</f>
        <v>-24.986932305509505</v>
      </c>
      <c r="N150">
        <f>regressionsbase!$P$1*A150^2+regressionsbase!$P$2*A150^7</f>
        <v>4.1760215403560252</v>
      </c>
      <c r="O150">
        <f>regressionsbase!T$2+regressionsbase!T$1*EXP(A150)</f>
        <v>-1274.5921866848216</v>
      </c>
      <c r="P150" s="20">
        <f>(1-EXP(-2*regressionsbase!X$1*graphbase!A150))/2/EXP(-regressionsbase!X$1*A150)</f>
        <v>-73.14294658792285</v>
      </c>
      <c r="Q150" s="5"/>
      <c r="AT150" s="33"/>
      <c r="AW150" s="33"/>
      <c r="AZ150" s="33"/>
    </row>
    <row r="151" spans="1:52" x14ac:dyDescent="0.35">
      <c r="A151">
        <f t="shared" si="11"/>
        <v>12.799999999999971</v>
      </c>
      <c r="B151">
        <f t="shared" si="8"/>
        <v>-23.772345063161588</v>
      </c>
      <c r="C151">
        <f>regressionsbase!$AR$1*$A151</f>
        <v>14.265693827643654</v>
      </c>
      <c r="D151">
        <f>regressionsbase!$AO$1*$A151</f>
        <v>20.222868267212988</v>
      </c>
      <c r="E151">
        <f t="shared" si="9"/>
        <v>4.75904259212572</v>
      </c>
      <c r="F151">
        <f t="shared" si="10"/>
        <v>-64.21808159758757</v>
      </c>
      <c r="G151" s="5">
        <f>B151-regressions!AA$7</f>
        <v>-27.493633653626542</v>
      </c>
      <c r="H151" s="5">
        <f>B151+regressions!AA$7</f>
        <v>-20.051056472696633</v>
      </c>
      <c r="I151">
        <f>IF($A151&lt;=regressionsbase!$L$2,$A151*regressionsbase!$L$1,regressionsbase!$L$1*regressionsbase!$L$2+regressionsbase!$L$3*($A151-regressionsbase!$L$2))</f>
        <v>-11.207279457336652</v>
      </c>
      <c r="J151">
        <f>regressionsbase!J$1*A151+regressionsbase!J$2*A151^2</f>
        <v>-18.344927371686502</v>
      </c>
      <c r="K151">
        <f>regressionsbase!$V$1*A151</f>
        <v>-11.20727945757832</v>
      </c>
      <c r="L151">
        <f>regressionsbase!$N$1*A151^2</f>
        <v>-27.917075461660943</v>
      </c>
      <c r="M151">
        <f>regressionsbase!$R$1*A151^2+regressionsbase!$R$2*A151^6</f>
        <v>-25.565172690312981</v>
      </c>
      <c r="N151">
        <f>regressionsbase!$P$1*A151^2+regressionsbase!$P$2*A151^7</f>
        <v>5.6037628737355796</v>
      </c>
      <c r="O151">
        <f>regressionsbase!T$2+regressionsbase!T$1*EXP(A151)</f>
        <v>-1408.6426261352331</v>
      </c>
      <c r="P151" s="20">
        <f>(1-EXP(-2*regressionsbase!X$1*graphbase!A151))/2/EXP(-regressionsbase!X$1*A151)</f>
        <v>-76.071675599773641</v>
      </c>
      <c r="Q151" s="5"/>
      <c r="AT151" s="33"/>
      <c r="AW151" s="33"/>
      <c r="AZ151" s="33"/>
    </row>
    <row r="152" spans="1:52" x14ac:dyDescent="0.35">
      <c r="A152">
        <f t="shared" si="11"/>
        <v>12.89999999999997</v>
      </c>
      <c r="B152">
        <f t="shared" si="8"/>
        <v>-24.426480771693861</v>
      </c>
      <c r="C152">
        <f>regressionsbase!$AR$1*$A152</f>
        <v>14.37714456067212</v>
      </c>
      <c r="D152">
        <f>regressionsbase!$AO$1*$A152</f>
        <v>20.380859425550589</v>
      </c>
      <c r="E152">
        <f t="shared" si="9"/>
        <v>4.327808349650379</v>
      </c>
      <c r="F152">
        <f t="shared" si="10"/>
        <v>-65.18819962279504</v>
      </c>
      <c r="G152" s="5">
        <f>B152-regressions!AA$7</f>
        <v>-28.147769362158815</v>
      </c>
      <c r="H152" s="5">
        <f>B152+regressions!AA$7</f>
        <v>-20.705192181228906</v>
      </c>
      <c r="I152">
        <f>IF($A152&lt;=regressionsbase!$L$2,$A152*regressionsbase!$L$1,regressionsbase!$L$1*regressionsbase!$L$2+regressionsbase!$L$3*($A152-regressionsbase!$L$2))</f>
        <v>-12.371055691284605</v>
      </c>
      <c r="J152">
        <f>regressionsbase!J$1*A152+regressionsbase!J$2*A152^2</f>
        <v>-18.577261265534091</v>
      </c>
      <c r="K152">
        <f>regressionsbase!$V$1*A152</f>
        <v>-11.294836328340651</v>
      </c>
      <c r="L152">
        <f>regressionsbase!$N$1*A152^2</f>
        <v>-28.354983688812244</v>
      </c>
      <c r="M152">
        <f>regressionsbase!$R$1*A152^2+regressionsbase!$R$2*A152^6</f>
        <v>-26.156671200669361</v>
      </c>
      <c r="N152">
        <f>regressionsbase!$P$1*A152^2+regressionsbase!$P$2*A152^7</f>
        <v>7.1186451203456969</v>
      </c>
      <c r="O152">
        <f>regressionsbase!T$2+regressionsbase!T$1*EXP(A152)</f>
        <v>-1556.791273371088</v>
      </c>
      <c r="P152" s="20">
        <f>(1-EXP(-2*regressionsbase!X$1*graphbase!A152))/2/EXP(-regressionsbase!X$1*A152)</f>
        <v>-79.117653261551922</v>
      </c>
      <c r="Q152" s="5"/>
      <c r="AT152" s="33"/>
      <c r="AW152" s="33"/>
      <c r="AZ152" s="33"/>
    </row>
    <row r="153" spans="1:52" x14ac:dyDescent="0.35">
      <c r="A153">
        <f t="shared" si="11"/>
        <v>12.99999999999997</v>
      </c>
      <c r="B153">
        <f t="shared" si="8"/>
        <v>-25.179619970519923</v>
      </c>
      <c r="C153">
        <f>regressionsbase!$AR$1*$A153</f>
        <v>14.488595293700586</v>
      </c>
      <c r="D153">
        <f>regressionsbase!$AO$1*$A153</f>
        <v>20.538850583888188</v>
      </c>
      <c r="E153">
        <f t="shared" si="9"/>
        <v>3.7975706168812486</v>
      </c>
      <c r="F153">
        <f t="shared" si="10"/>
        <v>-66.257321138296305</v>
      </c>
      <c r="G153" s="5">
        <f>B153-regressions!AA$7</f>
        <v>-28.900908560984877</v>
      </c>
      <c r="H153" s="5">
        <f>B153+regressions!AA$7</f>
        <v>-21.458331380054968</v>
      </c>
      <c r="I153">
        <f>IF($A153&lt;=regressionsbase!$L$2,$A153*regressionsbase!$L$1,regressionsbase!$L$1*regressionsbase!$L$2+regressionsbase!$L$3*($A153-regressionsbase!$L$2))</f>
        <v>-14.1537961081121</v>
      </c>
      <c r="J153">
        <f>regressionsbase!J$1*A153+regressionsbase!J$2*A153^2</f>
        <v>-18.81097522370348</v>
      </c>
      <c r="K153">
        <f>regressionsbase!$V$1*A153</f>
        <v>-11.382393199102982</v>
      </c>
      <c r="L153">
        <f>regressionsbase!$N$1*A153^2</f>
        <v>-28.79629976208923</v>
      </c>
      <c r="M153">
        <f>regressionsbase!$R$1*A153^2+regressionsbase!$R$2*A153^6</f>
        <v>-26.761771243971076</v>
      </c>
      <c r="N153">
        <f>regressionsbase!$P$1*A153^2+regressionsbase!$P$2*A153^7</f>
        <v>8.7242700378572771</v>
      </c>
      <c r="O153">
        <f>regressionsbase!T$2+regressionsbase!T$1*EXP(A153)</f>
        <v>-1720.520849848403</v>
      </c>
      <c r="P153" s="20">
        <f>(1-EXP(-2*regressionsbase!X$1*graphbase!A153))/2/EXP(-regressionsbase!X$1*A153)</f>
        <v>-82.285574313655502</v>
      </c>
      <c r="Q153" s="5"/>
      <c r="AT153" s="33"/>
      <c r="AW153" s="33"/>
      <c r="AZ153" s="33"/>
    </row>
    <row r="154" spans="1:52" x14ac:dyDescent="0.35">
      <c r="A154">
        <f t="shared" si="11"/>
        <v>13.099999999999969</v>
      </c>
      <c r="B154">
        <f t="shared" si="8"/>
        <v>-25.949419341116212</v>
      </c>
      <c r="C154">
        <f>regressionsbase!$AR$1*$A154</f>
        <v>14.600046026729052</v>
      </c>
      <c r="D154">
        <f>regressionsbase!$AO$1*$A154</f>
        <v>20.696841742225789</v>
      </c>
      <c r="E154">
        <f t="shared" si="9"/>
        <v>3.2506727123418919</v>
      </c>
      <c r="F154">
        <f t="shared" si="10"/>
        <v>-67.343102825567797</v>
      </c>
      <c r="G154" s="5">
        <f>B154-regressions!AA$7</f>
        <v>-29.670707931581166</v>
      </c>
      <c r="H154" s="5">
        <f>B154+regressions!AA$7</f>
        <v>-22.228130750651257</v>
      </c>
      <c r="I154">
        <f>IF($A154&lt;=regressionsbase!$L$2,$A154*regressionsbase!$L$1,regressionsbase!$L$1*regressionsbase!$L$2+regressionsbase!$L$3*($A154-regressionsbase!$L$2))</f>
        <v>-15.936536524939594</v>
      </c>
      <c r="J154">
        <f>regressionsbase!J$1*A154+regressionsbase!J$2*A154^2</f>
        <v>-19.046069246194673</v>
      </c>
      <c r="K154">
        <f>regressionsbase!$V$1*A154</f>
        <v>-11.469950069865313</v>
      </c>
      <c r="L154">
        <f>regressionsbase!$N$1*A154^2</f>
        <v>-29.24102368149191</v>
      </c>
      <c r="M154">
        <f>regressionsbase!$R$1*A154^2+regressionsbase!$R$2*A154^6</f>
        <v>-27.380824307211416</v>
      </c>
      <c r="N154">
        <f>regressionsbase!$P$1*A154^2+regressionsbase!$P$2*A154^7</f>
        <v>10.424352811281377</v>
      </c>
      <c r="O154">
        <f>regressionsbase!T$2+regressionsbase!T$1*EXP(A154)</f>
        <v>-1901.4700161999742</v>
      </c>
      <c r="P154" s="20">
        <f>(1-EXP(-2*regressionsbase!X$1*graphbase!A154))/2/EXP(-regressionsbase!X$1*A154)</f>
        <v>-85.580321446829586</v>
      </c>
      <c r="Q154" s="5"/>
      <c r="AT154" s="33"/>
      <c r="AW154" s="33"/>
      <c r="AZ154" s="33"/>
    </row>
    <row r="155" spans="1:52" x14ac:dyDescent="0.35">
      <c r="A155">
        <f t="shared" si="11"/>
        <v>13.199999999999969</v>
      </c>
      <c r="B155">
        <f t="shared" si="8"/>
        <v>-26.736974888021827</v>
      </c>
      <c r="C155">
        <f>regressionsbase!$AR$1*$A155</f>
        <v>14.711496759757518</v>
      </c>
      <c r="D155">
        <f>regressionsbase!$AO$1*$A155</f>
        <v>20.854832900563391</v>
      </c>
      <c r="E155">
        <f t="shared" si="9"/>
        <v>2.6860186314932086</v>
      </c>
      <c r="F155">
        <f t="shared" si="10"/>
        <v>-68.446640689148609</v>
      </c>
      <c r="G155" s="5">
        <f>B155-regressions!AA$7</f>
        <v>-30.458263478486781</v>
      </c>
      <c r="H155" s="5">
        <f>B155+regressions!AA$7</f>
        <v>-23.015686297556872</v>
      </c>
      <c r="I155">
        <f>IF($A155&lt;=regressionsbase!$L$2,$A155*regressionsbase!$L$1,regressionsbase!$L$1*regressionsbase!$L$2+regressionsbase!$L$3*($A155-regressionsbase!$L$2))</f>
        <v>-17.719276941767092</v>
      </c>
      <c r="J155">
        <f>regressionsbase!J$1*A155+regressionsbase!J$2*A155^2</f>
        <v>-19.28254333300767</v>
      </c>
      <c r="K155">
        <f>regressionsbase!$V$1*A155</f>
        <v>-11.557506940627642</v>
      </c>
      <c r="L155">
        <f>regressionsbase!$N$1*A155^2</f>
        <v>-29.68915544702028</v>
      </c>
      <c r="M155">
        <f>regressionsbase!$R$1*A155^2+regressionsbase!$R$2*A155^6</f>
        <v>-28.014190082732618</v>
      </c>
      <c r="N155">
        <f>regressionsbase!$P$1*A155^2+regressionsbase!$P$2*A155^7</f>
        <v>12.222724711208606</v>
      </c>
      <c r="O155">
        <f>regressionsbase!T$2+regressionsbase!T$1*EXP(A155)</f>
        <v>-2101.4497725017632</v>
      </c>
      <c r="P155" s="20">
        <f>(1-EXP(-2*regressionsbase!X$1*graphbase!A155))/2/EXP(-regressionsbase!X$1*A155)</f>
        <v>-89.006972827818601</v>
      </c>
      <c r="Q155" s="5"/>
      <c r="AT155" s="33"/>
      <c r="AW155" s="33"/>
      <c r="AZ155" s="33"/>
    </row>
    <row r="156" spans="1:52" x14ac:dyDescent="0.35">
      <c r="A156">
        <f t="shared" si="11"/>
        <v>13.299999999999969</v>
      </c>
      <c r="B156">
        <f t="shared" si="8"/>
        <v>-27.54348140036976</v>
      </c>
      <c r="C156">
        <f>regressionsbase!$AR$1*$A156</f>
        <v>14.822947492785984</v>
      </c>
      <c r="D156">
        <f>regressionsbase!$AO$1*$A156</f>
        <v>21.012824058900993</v>
      </c>
      <c r="E156">
        <f t="shared" si="9"/>
        <v>2.102413585202207</v>
      </c>
      <c r="F156">
        <f t="shared" si="10"/>
        <v>-69.569129518171749</v>
      </c>
      <c r="G156" s="5">
        <f>B156-regressions!AA$7</f>
        <v>-31.264769990834715</v>
      </c>
      <c r="H156" s="5">
        <f>B156+regressions!AA$7</f>
        <v>-23.822192809904806</v>
      </c>
      <c r="I156">
        <f>IF($A156&lt;=regressionsbase!$L$2,$A156*regressionsbase!$L$1,regressionsbase!$L$1*regressionsbase!$L$2+regressionsbase!$L$3*($A156-regressionsbase!$L$2))</f>
        <v>-19.502017358594586</v>
      </c>
      <c r="J156">
        <f>regressionsbase!J$1*A156+regressionsbase!J$2*A156^2</f>
        <v>-19.520397484142467</v>
      </c>
      <c r="K156">
        <f>regressionsbase!$V$1*A156</f>
        <v>-11.645063811389972</v>
      </c>
      <c r="L156">
        <f>regressionsbase!$N$1*A156^2</f>
        <v>-30.140695058674343</v>
      </c>
      <c r="M156">
        <f>regressionsbase!$R$1*A156^2+regressionsbase!$R$2*A156^6</f>
        <v>-28.662236594945078</v>
      </c>
      <c r="N156">
        <f>regressionsbase!$P$1*A156^2+regressionsbase!$P$2*A156^7</f>
        <v>14.12333579325994</v>
      </c>
      <c r="O156">
        <f>regressionsbase!T$2+regressionsbase!T$1*EXP(A156)</f>
        <v>-2322.4615833703551</v>
      </c>
      <c r="P156" s="20">
        <f>(1-EXP(-2*regressionsbase!X$1*graphbase!A156))/2/EXP(-regressionsbase!X$1*A156)</f>
        <v>-92.570809926302715</v>
      </c>
      <c r="Q156" s="5"/>
      <c r="AT156" s="33"/>
      <c r="AW156" s="33"/>
      <c r="AZ156" s="33"/>
    </row>
    <row r="157" spans="1:52" x14ac:dyDescent="0.35">
      <c r="A157">
        <f t="shared" si="11"/>
        <v>13.399999999999968</v>
      </c>
      <c r="B157">
        <f t="shared" si="8"/>
        <v>-28.370242124164861</v>
      </c>
      <c r="C157">
        <f>regressionsbase!$AR$1*$A157</f>
        <v>14.93439822581445</v>
      </c>
      <c r="D157">
        <f>regressionsbase!$AO$1*$A157</f>
        <v>21.170815217238594</v>
      </c>
      <c r="E157">
        <f t="shared" si="9"/>
        <v>1.4985543274640385</v>
      </c>
      <c r="F157">
        <f t="shared" si="10"/>
        <v>-70.711872558642057</v>
      </c>
      <c r="G157" s="5">
        <f>B157-regressions!AA$7</f>
        <v>-32.091530714629819</v>
      </c>
      <c r="H157" s="5">
        <f>B157+regressions!AA$7</f>
        <v>-24.648953533699906</v>
      </c>
      <c r="I157">
        <f>IF($A157&lt;=regressionsbase!$L$2,$A157*regressionsbase!$L$1,regressionsbase!$L$1*regressionsbase!$L$2+regressionsbase!$L$3*($A157-regressionsbase!$L$2))</f>
        <v>-21.284757775422079</v>
      </c>
      <c r="J157">
        <f>regressionsbase!J$1*A157+regressionsbase!J$2*A157^2</f>
        <v>-19.759631699599073</v>
      </c>
      <c r="K157">
        <f>regressionsbase!$V$1*A157</f>
        <v>-11.732620682152303</v>
      </c>
      <c r="L157">
        <f>regressionsbase!$N$1*A157^2</f>
        <v>-30.595642516454095</v>
      </c>
      <c r="M157">
        <f>regressionsbase!$R$1*A157^2+regressionsbase!$R$2*A157^6</f>
        <v>-29.325340328017518</v>
      </c>
      <c r="N157">
        <f>regressionsbase!$P$1*A157^2+regressionsbase!$P$2*A157^7</f>
        <v>16.130257639066109</v>
      </c>
      <c r="O157">
        <f>regressionsbase!T$2+regressionsbase!T$1*EXP(A157)</f>
        <v>-2566.7174092935588</v>
      </c>
      <c r="P157" s="20">
        <f>(1-EXP(-2*regressionsbase!X$1*graphbase!A157))/2/EXP(-regressionsbase!X$1*A157)</f>
        <v>-96.277325655183503</v>
      </c>
      <c r="Q157" s="5"/>
      <c r="AT157" s="33"/>
      <c r="AW157" s="33"/>
      <c r="AZ157" s="33"/>
    </row>
    <row r="158" spans="1:52" x14ac:dyDescent="0.35">
      <c r="A158">
        <f t="shared" si="11"/>
        <v>13.499999999999968</v>
      </c>
      <c r="B158">
        <f t="shared" si="8"/>
        <v>-29.218679413145942</v>
      </c>
      <c r="C158">
        <f>regressionsbase!$AR$1*$A158</f>
        <v>15.045848958842916</v>
      </c>
      <c r="D158">
        <f>regressionsbase!$AO$1*$A158</f>
        <v>21.328806375576196</v>
      </c>
      <c r="E158">
        <f t="shared" si="9"/>
        <v>0.87301850453988905</v>
      </c>
      <c r="F158">
        <f t="shared" si="10"/>
        <v>-71.876292164298334</v>
      </c>
      <c r="G158" s="5">
        <f>B158-regressions!AA$7</f>
        <v>-32.9399680036109</v>
      </c>
      <c r="H158" s="5">
        <f>B158+regressions!AA$7</f>
        <v>-25.497390822680988</v>
      </c>
      <c r="I158">
        <f>IF($A158&lt;=regressionsbase!$L$2,$A158*regressionsbase!$L$1,regressionsbase!$L$1*regressionsbase!$L$2+regressionsbase!$L$3*($A158-regressionsbase!$L$2))</f>
        <v>-23.067498192249573</v>
      </c>
      <c r="J158">
        <f>regressionsbase!J$1*A158+regressionsbase!J$2*A158^2</f>
        <v>-20.000245979377478</v>
      </c>
      <c r="K158">
        <f>regressionsbase!$V$1*A158</f>
        <v>-11.820177552914634</v>
      </c>
      <c r="L158">
        <f>regressionsbase!$N$1*A158^2</f>
        <v>-31.053997820359541</v>
      </c>
      <c r="M158">
        <f>regressionsbase!$R$1*A158^2+regressionsbase!$R$2*A158^6</f>
        <v>-30.003886354538206</v>
      </c>
      <c r="N158">
        <f>regressionsbase!$P$1*A158^2+regressionsbase!$P$2*A158^7</f>
        <v>18.247686139092039</v>
      </c>
      <c r="O158">
        <f>regressionsbase!T$2+regressionsbase!T$1*EXP(A158)</f>
        <v>-2836.661844674431</v>
      </c>
      <c r="P158" s="20">
        <f>(1-EXP(-2*regressionsbase!X$1*graphbase!A158))/2/EXP(-regressionsbase!X$1*A158)</f>
        <v>-100.13223283676606</v>
      </c>
      <c r="Q158" s="5"/>
      <c r="AT158" s="33"/>
      <c r="AW158" s="33"/>
      <c r="AZ158" s="33"/>
    </row>
    <row r="159" spans="1:52" x14ac:dyDescent="0.35">
      <c r="A159">
        <f t="shared" si="11"/>
        <v>13.599999999999968</v>
      </c>
      <c r="B159">
        <f t="shared" si="8"/>
        <v>-30.090346459132054</v>
      </c>
      <c r="C159">
        <f>regressionsbase!$AR$1*$A159</f>
        <v>15.157299691871382</v>
      </c>
      <c r="D159">
        <f>regressionsbase!$AO$1*$A159</f>
        <v>21.486797533913798</v>
      </c>
      <c r="E159">
        <f t="shared" si="9"/>
        <v>0.22425292461070967</v>
      </c>
      <c r="F159">
        <f t="shared" si="10"/>
        <v>-73.063941526959653</v>
      </c>
      <c r="G159" s="5">
        <f>B159-regressions!AA$7</f>
        <v>-33.811635049597008</v>
      </c>
      <c r="H159" s="5">
        <f>B159+regressions!AA$7</f>
        <v>-26.369057868667099</v>
      </c>
      <c r="I159">
        <f>IF($A159&lt;=regressionsbase!$L$2,$A159*regressionsbase!$L$1,regressionsbase!$L$1*regressionsbase!$L$2+regressionsbase!$L$3*($A159-regressionsbase!$L$2))</f>
        <v>-24.850238609077071</v>
      </c>
      <c r="J159">
        <f>regressionsbase!J$1*A159+regressionsbase!J$2*A159^2</f>
        <v>-20.242240323477688</v>
      </c>
      <c r="K159">
        <f>regressionsbase!$V$1*A159</f>
        <v>-11.907734423676965</v>
      </c>
      <c r="L159">
        <f>regressionsbase!$N$1*A159^2</f>
        <v>-31.515760970390673</v>
      </c>
      <c r="M159">
        <f>regressionsbase!$R$1*A159^2+regressionsbase!$R$2*A159^6</f>
        <v>-30.698268465147208</v>
      </c>
      <c r="N159">
        <f>regressionsbase!$P$1*A159^2+regressionsbase!$P$2*A159^7</f>
        <v>20.47994431762401</v>
      </c>
      <c r="O159">
        <f>regressionsbase!T$2+regressionsbase!T$1*EXP(A159)</f>
        <v>-3134.9965841537219</v>
      </c>
      <c r="P159" s="20">
        <f>(1-EXP(-2*regressionsbase!X$1*graphbase!A159))/2/EXP(-regressionsbase!X$1*A159)</f>
        <v>-104.14147300788498</v>
      </c>
      <c r="Q159" s="5"/>
      <c r="AE159" s="58"/>
      <c r="AO159" s="1"/>
      <c r="AP159" s="1"/>
      <c r="AT159" s="33"/>
      <c r="AW159" s="33"/>
      <c r="AZ159" s="33"/>
    </row>
    <row r="160" spans="1:52" x14ac:dyDescent="0.35">
      <c r="A160">
        <f t="shared" si="11"/>
        <v>13.699999999999967</v>
      </c>
      <c r="B160">
        <f t="shared" si="8"/>
        <v>-30.986940213272398</v>
      </c>
      <c r="C160">
        <f>regressionsbase!$AR$1*$A160</f>
        <v>15.268750424899848</v>
      </c>
      <c r="D160">
        <f>regressionsbase!$AO$1*$A160</f>
        <v>21.644788692251399</v>
      </c>
      <c r="E160">
        <f t="shared" si="9"/>
        <v>-0.44943936347270252</v>
      </c>
      <c r="F160">
        <f t="shared" si="10"/>
        <v>-74.276517597775197</v>
      </c>
      <c r="G160" s="5">
        <f>B160-regressions!AA$7</f>
        <v>-34.708228803737356</v>
      </c>
      <c r="H160" s="5">
        <f>B160+regressions!AA$7</f>
        <v>-27.265651622807443</v>
      </c>
      <c r="I160">
        <f>IF($A160&lt;=regressionsbase!$L$2,$A160*regressionsbase!$L$1,regressionsbase!$L$1*regressionsbase!$L$2+regressionsbase!$L$3*($A160-regressionsbase!$L$2))</f>
        <v>-26.632979025904564</v>
      </c>
      <c r="J160">
        <f>regressionsbase!J$1*A160+regressionsbase!J$2*A160^2</f>
        <v>-20.485614731899695</v>
      </c>
      <c r="K160">
        <f>regressionsbase!$V$1*A160</f>
        <v>-11.995291294439294</v>
      </c>
      <c r="L160">
        <f>regressionsbase!$N$1*A160^2</f>
        <v>-31.980931966547502</v>
      </c>
      <c r="M160">
        <f>regressionsbase!$R$1*A160^2+regressionsbase!$R$2*A160^6</f>
        <v>-31.408889299139652</v>
      </c>
      <c r="N160">
        <f>regressionsbase!$P$1*A160^2+regressionsbase!$P$2*A160^7</f>
        <v>22.831485200236109</v>
      </c>
      <c r="O160">
        <f>regressionsbase!T$2+regressionsbase!T$1*EXP(A160)</f>
        <v>-3464.707462077909</v>
      </c>
      <c r="P160" s="20">
        <f>(1-EXP(-2*regressionsbase!X$1*graphbase!A160))/2/EXP(-regressionsbase!X$1*A160)</f>
        <v>-108.31122557754601</v>
      </c>
      <c r="Q160" s="5"/>
      <c r="AT160" s="33"/>
      <c r="AW160" s="33"/>
      <c r="AZ160" s="33"/>
    </row>
    <row r="161" spans="1:52" x14ac:dyDescent="0.35">
      <c r="A161">
        <f t="shared" si="11"/>
        <v>13.799999999999967</v>
      </c>
      <c r="B161">
        <f t="shared" si="8"/>
        <v>-31.910315621241132</v>
      </c>
      <c r="C161">
        <f>regressionsbase!$AR$1*$A161</f>
        <v>15.380201157928314</v>
      </c>
      <c r="D161">
        <f>regressionsbase!$AO$1*$A161</f>
        <v>21.802779850588998</v>
      </c>
      <c r="E161">
        <f t="shared" si="9"/>
        <v>-1.149913305384505</v>
      </c>
      <c r="F161">
        <f t="shared" si="10"/>
        <v>-75.515875322419134</v>
      </c>
      <c r="G161" s="5">
        <f>B161-regressions!AA$7</f>
        <v>-35.63160421170609</v>
      </c>
      <c r="H161" s="5">
        <f>B161+regressions!AA$7</f>
        <v>-28.189027030776177</v>
      </c>
      <c r="I161">
        <f>IF($A161&lt;=regressionsbase!$L$2,$A161*regressionsbase!$L$1,regressionsbase!$L$1*regressionsbase!$L$2+regressionsbase!$L$3*($A161-regressionsbase!$L$2))</f>
        <v>-28.415719442732062</v>
      </c>
      <c r="J161">
        <f>regressionsbase!J$1*A161+regressionsbase!J$2*A161^2</f>
        <v>-20.730369204643509</v>
      </c>
      <c r="K161">
        <f>regressionsbase!$V$1*A161</f>
        <v>-12.082848165201625</v>
      </c>
      <c r="L161">
        <f>regressionsbase!$N$1*A161^2</f>
        <v>-32.449510808830013</v>
      </c>
      <c r="M161">
        <f>regressionsbase!$R$1*A161^2+regressionsbase!$R$2*A161^6</f>
        <v>-32.13616047604004</v>
      </c>
      <c r="N161">
        <f>regressionsbase!$P$1*A161^2+regressionsbase!$P$2*A161^7</f>
        <v>25.306894724052988</v>
      </c>
      <c r="O161">
        <f>regressionsbase!T$2+regressionsbase!T$1*EXP(A161)</f>
        <v>-3829.0943357329102</v>
      </c>
      <c r="P161" s="20">
        <f>(1-EXP(-2*regressionsbase!X$1*graphbase!A161))/2/EXP(-regressionsbase!X$1*A161)</f>
        <v>-112.64791735119923</v>
      </c>
      <c r="Q161" s="5"/>
      <c r="AT161" s="33"/>
      <c r="AW161" s="33"/>
      <c r="AZ161" s="33"/>
    </row>
    <row r="162" spans="1:52" x14ac:dyDescent="0.35">
      <c r="A162">
        <f t="shared" si="11"/>
        <v>13.899999999999967</v>
      </c>
      <c r="B162">
        <f t="shared" si="8"/>
        <v>-32.86250130825762</v>
      </c>
      <c r="C162">
        <f>regressionsbase!$AR$1*$A162</f>
        <v>15.49165189095678</v>
      </c>
      <c r="D162">
        <f>regressionsbase!$AO$1*$A162</f>
        <v>21.960771008926599</v>
      </c>
      <c r="E162">
        <f t="shared" si="9"/>
        <v>-1.8791975263440612</v>
      </c>
      <c r="F162">
        <f t="shared" si="10"/>
        <v>-76.784043326110819</v>
      </c>
      <c r="G162" s="5">
        <f>B162-regressions!AA$7</f>
        <v>-36.583789898722578</v>
      </c>
      <c r="H162" s="5">
        <f>B162+regressions!AA$7</f>
        <v>-29.141212717792666</v>
      </c>
      <c r="I162">
        <f>IF($A162&lt;=regressionsbase!$L$2,$A162*regressionsbase!$L$1,regressionsbase!$L$1*regressionsbase!$L$2+regressionsbase!$L$3*($A162-regressionsbase!$L$2))</f>
        <v>-30.198459859559556</v>
      </c>
      <c r="J162">
        <f>regressionsbase!J$1*A162+regressionsbase!J$2*A162^2</f>
        <v>-20.976503741709124</v>
      </c>
      <c r="K162">
        <f>regressionsbase!$V$1*A162</f>
        <v>-12.170405035963956</v>
      </c>
      <c r="L162">
        <f>regressionsbase!$N$1*A162^2</f>
        <v>-32.921497497238221</v>
      </c>
      <c r="M162">
        <f>regressionsbase!$R$1*A162^2+regressionsbase!$R$2*A162^6</f>
        <v>-32.880502728147576</v>
      </c>
      <c r="N162">
        <f>regressionsbase!$P$1*A162^2+regressionsbase!$P$2*A162^7</f>
        <v>27.910894691126401</v>
      </c>
      <c r="O162">
        <f>regressionsbase!T$2+regressionsbase!T$1*EXP(A162)</f>
        <v>-4231.8041114249236</v>
      </c>
      <c r="P162" s="20">
        <f>(1-EXP(-2*regressionsbase!X$1*graphbase!A162))/2/EXP(-regressionsbase!X$1*A162)</f>
        <v>-117.15823243632074</v>
      </c>
      <c r="Q162" s="5"/>
      <c r="AT162" s="33"/>
      <c r="AW162" s="33"/>
      <c r="AZ162" s="33"/>
    </row>
    <row r="163" spans="1:52" x14ac:dyDescent="0.35">
      <c r="A163">
        <f t="shared" si="11"/>
        <v>13.999999999999966</v>
      </c>
      <c r="B163">
        <f t="shared" si="8"/>
        <v>-33.845716863999982</v>
      </c>
      <c r="C163">
        <f>regressionsbase!$AR$1*$A163</f>
        <v>15.603102623985246</v>
      </c>
      <c r="D163">
        <f>regressionsbase!$AO$1*$A163</f>
        <v>22.118762167264201</v>
      </c>
      <c r="E163">
        <f t="shared" si="9"/>
        <v>-2.6395116160294911</v>
      </c>
      <c r="F163">
        <f t="shared" si="10"/>
        <v>-78.083241198528384</v>
      </c>
      <c r="G163" s="5">
        <f>B163-regressions!AA$7</f>
        <v>-37.56700545446494</v>
      </c>
      <c r="H163" s="5">
        <f>B163+regressions!AA$7</f>
        <v>-30.124428273535028</v>
      </c>
      <c r="I163">
        <f>IF($A163&lt;=regressionsbase!$L$2,$A163*regressionsbase!$L$1,regressionsbase!$L$1*regressionsbase!$L$2+regressionsbase!$L$3*($A163-regressionsbase!$L$2))</f>
        <v>-31.98120027638705</v>
      </c>
      <c r="J163">
        <f>regressionsbase!J$1*A163+regressionsbase!J$2*A163^2</f>
        <v>-21.224018343096546</v>
      </c>
      <c r="K163">
        <f>regressionsbase!$V$1*A163</f>
        <v>-12.257961906726287</v>
      </c>
      <c r="L163">
        <f>regressionsbase!$N$1*A163^2</f>
        <v>-33.396892031772119</v>
      </c>
      <c r="M163">
        <f>regressionsbase!$R$1*A163^2+regressionsbase!$R$2*A163^6</f>
        <v>-33.642346034052551</v>
      </c>
      <c r="N163">
        <f>regressionsbase!$P$1*A163^2+regressionsbase!$P$2*A163^7</f>
        <v>30.648345765241821</v>
      </c>
      <c r="O163">
        <f>regressionsbase!T$2+regressionsbase!T$1*EXP(A163)</f>
        <v>-4676.8672439445027</v>
      </c>
      <c r="P163" s="20">
        <f>(1-EXP(-2*regressionsbase!X$1*graphbase!A163))/2/EXP(-regressionsbase!X$1*A163)</f>
        <v>-121.84912254457348</v>
      </c>
      <c r="Q163" s="5"/>
      <c r="AT163" s="33"/>
      <c r="AW163" s="33"/>
      <c r="AZ163" s="33"/>
    </row>
    <row r="164" spans="1:52" x14ac:dyDescent="0.35">
      <c r="A164">
        <f t="shared" si="11"/>
        <v>14.099999999999966</v>
      </c>
      <c r="B164">
        <f t="shared" si="8"/>
        <v>-34.862391893152463</v>
      </c>
      <c r="C164">
        <f>regressionsbase!$AR$1*$A164</f>
        <v>15.714553357013711</v>
      </c>
      <c r="D164">
        <f>regressionsbase!$AO$1*$A164</f>
        <v>22.276753325601803</v>
      </c>
      <c r="E164">
        <f t="shared" si="9"/>
        <v>-3.4332851791250398</v>
      </c>
      <c r="F164">
        <f t="shared" si="10"/>
        <v>-79.415898544356068</v>
      </c>
      <c r="G164" s="5">
        <f>B164-regressions!AA$7</f>
        <v>-38.583680483617421</v>
      </c>
      <c r="H164" s="5">
        <f>B164+regressions!AA$7</f>
        <v>-31.141103302687508</v>
      </c>
      <c r="I164">
        <f>IF($A164&lt;=regressionsbase!$L$2,$A164*regressionsbase!$L$1,regressionsbase!$L$1*regressionsbase!$L$2+regressionsbase!$L$3*($A164-regressionsbase!$L$2))</f>
        <v>-33.763940693214543</v>
      </c>
      <c r="J164">
        <f>regressionsbase!J$1*A164+regressionsbase!J$2*A164^2</f>
        <v>-21.472913008805769</v>
      </c>
      <c r="K164">
        <f>regressionsbase!$V$1*A164</f>
        <v>-12.345518777488618</v>
      </c>
      <c r="L164">
        <f>regressionsbase!$N$1*A164^2</f>
        <v>-33.875694412431713</v>
      </c>
      <c r="M164">
        <f>regressionsbase!$R$1*A164^2+regressionsbase!$R$2*A164^6</f>
        <v>-34.422129753123656</v>
      </c>
      <c r="N164">
        <f>regressionsbase!$P$1*A164^2+regressionsbase!$P$2*A164^7</f>
        <v>33.524250512472669</v>
      </c>
      <c r="O164">
        <f>regressionsbase!T$2+regressionsbase!T$1*EXP(A164)</f>
        <v>-5168.73807471279</v>
      </c>
      <c r="P164" s="20">
        <f>(1-EXP(-2*regressionsbase!X$1*graphbase!A164))/2/EXP(-regressionsbase!X$1*A164)</f>
        <v>-126.72781770642311</v>
      </c>
      <c r="Q164" s="5"/>
      <c r="AT164" s="33"/>
      <c r="AW164" s="33"/>
      <c r="AZ164" s="33"/>
    </row>
    <row r="165" spans="1:52" x14ac:dyDescent="0.35">
      <c r="A165">
        <f t="shared" si="11"/>
        <v>14.199999999999966</v>
      </c>
      <c r="B165">
        <f t="shared" si="8"/>
        <v>-35.915187014645809</v>
      </c>
      <c r="C165">
        <f>regressionsbase!$AR$1*$A165</f>
        <v>15.826004090042177</v>
      </c>
      <c r="D165">
        <f>regressionsbase!$AO$1*$A165</f>
        <v>22.434744483939404</v>
      </c>
      <c r="E165">
        <f t="shared" si="9"/>
        <v>-4.2631788345614545</v>
      </c>
      <c r="F165">
        <f t="shared" si="10"/>
        <v>-80.784675982524618</v>
      </c>
      <c r="G165" s="5">
        <f>B165-regressions!AA$7</f>
        <v>-39.636475605110768</v>
      </c>
      <c r="H165" s="5">
        <f>B165+regressions!AA$7</f>
        <v>-32.193898424180851</v>
      </c>
      <c r="I165">
        <f>IF($A165&lt;=regressionsbase!$L$2,$A165*regressionsbase!$L$1,regressionsbase!$L$1*regressionsbase!$L$2+regressionsbase!$L$3*($A165-regressionsbase!$L$2))</f>
        <v>-35.546681110042037</v>
      </c>
      <c r="J165">
        <f>regressionsbase!J$1*A165+regressionsbase!J$2*A165^2</f>
        <v>-21.723187738836796</v>
      </c>
      <c r="K165">
        <f>regressionsbase!$V$1*A165</f>
        <v>-12.433075648250947</v>
      </c>
      <c r="L165">
        <f>regressionsbase!$N$1*A165^2</f>
        <v>-34.35790463921699</v>
      </c>
      <c r="M165">
        <f>regressionsbase!$R$1*A165^2+regressionsbase!$R$2*A165^6</f>
        <v>-35.220302760966483</v>
      </c>
      <c r="N165">
        <f>regressionsbase!$P$1*A165^2+regressionsbase!$P$2*A165^7</f>
        <v>36.543756485799157</v>
      </c>
      <c r="O165">
        <f>regressionsbase!T$2+regressionsbase!T$1*EXP(A165)</f>
        <v>-5712.3394123276094</v>
      </c>
      <c r="P165" s="20">
        <f>(1-EXP(-2*regressionsbase!X$1*graphbase!A165))/2/EXP(-regressionsbase!X$1*A165)</f>
        <v>-131.80183741472433</v>
      </c>
      <c r="Q165" s="5"/>
      <c r="AT165" s="33"/>
      <c r="AW165" s="33"/>
      <c r="AZ165" s="33"/>
    </row>
    <row r="166" spans="1:52" x14ac:dyDescent="0.35">
      <c r="A166">
        <f t="shared" si="11"/>
        <v>14.299999999999965</v>
      </c>
      <c r="B166">
        <f t="shared" si="8"/>
        <v>-37.007017011784107</v>
      </c>
      <c r="C166">
        <f>regressionsbase!$AR$1*$A166</f>
        <v>15.937454823070643</v>
      </c>
      <c r="D166">
        <f>regressionsbase!$AO$1*$A166</f>
        <v>22.592735642277006</v>
      </c>
      <c r="E166">
        <f t="shared" si="9"/>
        <v>-5.1321073656428204</v>
      </c>
      <c r="F166">
        <f t="shared" si="10"/>
        <v>-82.192488296338126</v>
      </c>
      <c r="G166" s="5">
        <f>B166-regressions!AA$7</f>
        <v>-40.728305602249065</v>
      </c>
      <c r="H166" s="5">
        <f>B166+regressions!AA$7</f>
        <v>-33.285728421319149</v>
      </c>
      <c r="I166">
        <f>IF($A166&lt;=regressionsbase!$L$2,$A166*regressionsbase!$L$1,regressionsbase!$L$1*regressionsbase!$L$2+regressionsbase!$L$3*($A166-regressionsbase!$L$2))</f>
        <v>-37.329421526869538</v>
      </c>
      <c r="J166">
        <f>regressionsbase!J$1*A166+regressionsbase!J$2*A166^2</f>
        <v>-21.974842533189623</v>
      </c>
      <c r="K166">
        <f>regressionsbase!$V$1*A166</f>
        <v>-12.520632519013278</v>
      </c>
      <c r="L166">
        <f>regressionsbase!$N$1*A166^2</f>
        <v>-34.843522712127964</v>
      </c>
      <c r="M166">
        <f>regressionsbase!$R$1*A166^2+regressionsbase!$R$2*A166^6</f>
        <v>-36.03732358585291</v>
      </c>
      <c r="N166">
        <f>regressionsbase!$P$1*A166^2+regressionsbase!$P$2*A166^7</f>
        <v>39.712159354108366</v>
      </c>
      <c r="O166">
        <f>regressionsbase!T$2+regressionsbase!T$1*EXP(A166)</f>
        <v>-6313.1118016865285</v>
      </c>
      <c r="P166" s="20">
        <f>(1-EXP(-2*regressionsbase!X$1*graphbase!A166))/2/EXP(-regressionsbase!X$1*A166)</f>
        <v>-137.07900221445428</v>
      </c>
      <c r="Q166" s="5"/>
      <c r="AT166" s="33"/>
      <c r="AW166" s="33"/>
      <c r="AZ166" s="33"/>
    </row>
    <row r="167" spans="1:52" x14ac:dyDescent="0.35">
      <c r="A167">
        <f t="shared" si="11"/>
        <v>14.399999999999965</v>
      </c>
      <c r="B167">
        <f t="shared" si="8"/>
        <v>-38.141076356593132</v>
      </c>
      <c r="C167">
        <f>regressionsbase!$AR$1*$A167</f>
        <v>16.048905556099108</v>
      </c>
      <c r="D167">
        <f>regressionsbase!$AO$1*$A167</f>
        <v>22.750726800614608</v>
      </c>
      <c r="E167">
        <f t="shared" si="9"/>
        <v>-6.0432652443949166</v>
      </c>
      <c r="F167">
        <f t="shared" si="10"/>
        <v>-83.642529957822347</v>
      </c>
      <c r="G167" s="5">
        <f>B167-regressions!AA$7</f>
        <v>-41.86236494705809</v>
      </c>
      <c r="H167" s="5">
        <f>B167+regressions!AA$7</f>
        <v>-34.419787766128174</v>
      </c>
      <c r="I167">
        <f>IF($A167&lt;=regressionsbase!$L$2,$A167*regressionsbase!$L$1,regressionsbase!$L$1*regressionsbase!$L$2+regressionsbase!$L$3*($A167-regressionsbase!$L$2))</f>
        <v>-39.112161943697032</v>
      </c>
      <c r="J167">
        <f>regressionsbase!J$1*A167+regressionsbase!J$2*A167^2</f>
        <v>-22.227877391864254</v>
      </c>
      <c r="K167">
        <f>regressionsbase!$V$1*A167</f>
        <v>-12.608189389775609</v>
      </c>
      <c r="L167">
        <f>regressionsbase!$N$1*A167^2</f>
        <v>-35.332548631164627</v>
      </c>
      <c r="M167">
        <f>regressionsbase!$R$1*A167^2+regressionsbase!$R$2*A167^6</f>
        <v>-36.873660546121599</v>
      </c>
      <c r="N167">
        <f>regressionsbase!$P$1*A167^2+regressionsbase!$P$2*A167^7</f>
        <v>43.034906075892955</v>
      </c>
      <c r="O167">
        <f>regressionsbase!T$2+regressionsbase!T$1*EXP(A167)</f>
        <v>-6977.0679747888262</v>
      </c>
      <c r="P167" s="20">
        <f>(1-EXP(-2*regressionsbase!X$1*graphbase!A167))/2/EXP(-regressionsbase!X$1*A167)</f>
        <v>-142.56744575645399</v>
      </c>
      <c r="Q167" s="5"/>
      <c r="AT167" s="33"/>
      <c r="AW167" s="33"/>
      <c r="AZ167" s="33"/>
    </row>
    <row r="168" spans="1:52" x14ac:dyDescent="0.35">
      <c r="A168">
        <f t="shared" si="11"/>
        <v>14.499999999999964</v>
      </c>
      <c r="B168">
        <f t="shared" si="8"/>
        <v>-39.320867355086264</v>
      </c>
      <c r="C168">
        <f>regressionsbase!$AR$1*$A168</f>
        <v>16.160356289127574</v>
      </c>
      <c r="D168">
        <f>regressionsbase!$AO$1*$A168</f>
        <v>22.908717958952209</v>
      </c>
      <c r="E168">
        <f t="shared" si="9"/>
        <v>-7.000154776831117</v>
      </c>
      <c r="F168">
        <f t="shared" si="10"/>
        <v>-85.138303272990683</v>
      </c>
      <c r="G168" s="5">
        <f>B168-regressions!AA$7</f>
        <v>-43.042155945551222</v>
      </c>
      <c r="H168" s="5">
        <f>B168+regressions!AA$7</f>
        <v>-35.599578764621306</v>
      </c>
      <c r="I168">
        <f>IF($A168&lt;=regressionsbase!$L$2,$A168*regressionsbase!$L$1,regressionsbase!$L$1*regressionsbase!$L$2+regressionsbase!$L$3*($A168-regressionsbase!$L$2))</f>
        <v>-40.894902360524526</v>
      </c>
      <c r="J168">
        <f>regressionsbase!J$1*A168+regressionsbase!J$2*A168^2</f>
        <v>-22.482292314860686</v>
      </c>
      <c r="K168">
        <f>regressionsbase!$V$1*A168</f>
        <v>-12.695746260537939</v>
      </c>
      <c r="L168">
        <f>regressionsbase!$N$1*A168^2</f>
        <v>-35.82498239632698</v>
      </c>
      <c r="M168">
        <f>regressionsbase!$R$1*A168^2+regressionsbase!$R$2*A168^6</f>
        <v>-37.729791888549499</v>
      </c>
      <c r="N168">
        <f>regressionsbase!$P$1*A168^2+regressionsbase!$P$2*A168^7</f>
        <v>46.51759811796542</v>
      </c>
      <c r="O168">
        <f>regressionsbase!T$2+regressionsbase!T$1*EXP(A168)</f>
        <v>-7710.853028178286</v>
      </c>
      <c r="P168" s="20">
        <f>(1-EXP(-2*regressionsbase!X$1*graphbase!A168))/2/EXP(-regressionsbase!X$1*A168)</f>
        <v>-148.27562733375748</v>
      </c>
      <c r="Q168" s="5"/>
      <c r="AT168" s="33"/>
      <c r="AW168" s="33"/>
      <c r="AZ168" s="33"/>
    </row>
    <row r="169" spans="1:52" x14ac:dyDescent="0.35">
      <c r="A169">
        <f t="shared" si="11"/>
        <v>14.599999999999964</v>
      </c>
      <c r="B169">
        <f t="shared" si="8"/>
        <v>-40.550231185956022</v>
      </c>
      <c r="C169">
        <f>regressionsbase!$AR$1*$A169</f>
        <v>16.27180702215604</v>
      </c>
      <c r="D169">
        <f>regressionsbase!$AO$1*$A169</f>
        <v>23.066709117289811</v>
      </c>
      <c r="E169">
        <f t="shared" si="9"/>
        <v>-8.0066171416439431</v>
      </c>
      <c r="F169">
        <f t="shared" si="10"/>
        <v>-86.683649420535644</v>
      </c>
      <c r="G169" s="5">
        <f>B169-regressions!AA$7</f>
        <v>-44.27151977642098</v>
      </c>
      <c r="H169" s="5">
        <f>B169+regressions!AA$7</f>
        <v>-36.828942595491064</v>
      </c>
      <c r="I169">
        <f>IF($A169&lt;=regressionsbase!$L$2,$A169*regressionsbase!$L$1,regressionsbase!$L$1*regressionsbase!$L$2+regressionsbase!$L$3*($A169-regressionsbase!$L$2))</f>
        <v>-42.67764277735202</v>
      </c>
      <c r="J169">
        <f>regressionsbase!J$1*A169+regressionsbase!J$2*A169^2</f>
        <v>-22.738087302178926</v>
      </c>
      <c r="K169">
        <f>regressionsbase!$V$1*A169</f>
        <v>-12.78330313130027</v>
      </c>
      <c r="L169">
        <f>regressionsbase!$N$1*A169^2</f>
        <v>-36.320824007615023</v>
      </c>
      <c r="M169">
        <f>regressionsbase!$R$1*A169^2+regressionsbase!$R$2*A169^6</f>
        <v>-38.606205927694333</v>
      </c>
      <c r="N169">
        <f>regressionsbase!$P$1*A169^2+regressionsbase!$P$2*A169^7</f>
        <v>50.165994719504646</v>
      </c>
      <c r="O169">
        <f>regressionsbase!T$2+regressionsbase!T$1*EXP(A169)</f>
        <v>-8521.8109293029011</v>
      </c>
      <c r="P169" s="20">
        <f>(1-EXP(-2*regressionsbase!X$1*graphbase!A169))/2/EXP(-regressionsbase!X$1*A169)</f>
        <v>-154.21234491983148</v>
      </c>
      <c r="Q169" s="5"/>
      <c r="AT169" s="33"/>
      <c r="AW169" s="33"/>
      <c r="AZ169" s="33"/>
    </row>
    <row r="170" spans="1:52" x14ac:dyDescent="0.35">
      <c r="A170">
        <f t="shared" si="11"/>
        <v>14.699999999999964</v>
      </c>
      <c r="B170">
        <f t="shared" si="8"/>
        <v>-41.833382133720036</v>
      </c>
      <c r="C170">
        <f>regressionsbase!$AR$1*$A170</f>
        <v>16.383257755184506</v>
      </c>
      <c r="D170">
        <f>regressionsbase!$AO$1*$A170</f>
        <v>23.224700275627409</v>
      </c>
      <c r="E170">
        <f t="shared" si="9"/>
        <v>-9.0668666233510251</v>
      </c>
      <c r="F170">
        <f t="shared" si="10"/>
        <v>-88.282782684974848</v>
      </c>
      <c r="G170" s="5">
        <f>B170-regressions!AA$7</f>
        <v>-45.554670724184994</v>
      </c>
      <c r="H170" s="5">
        <f>B170+regressions!AA$7</f>
        <v>-38.112093543255078</v>
      </c>
      <c r="I170">
        <f>IF($A170&lt;=regressionsbase!$L$2,$A170*regressionsbase!$L$1,regressionsbase!$L$1*regressionsbase!$L$2+regressionsbase!$L$3*($A170-regressionsbase!$L$2))</f>
        <v>-44.460383194179514</v>
      </c>
      <c r="J170">
        <f>regressionsbase!J$1*A170+regressionsbase!J$2*A170^2</f>
        <v>-22.995262353818966</v>
      </c>
      <c r="K170">
        <f>regressionsbase!$V$1*A170</f>
        <v>-12.870860002062599</v>
      </c>
      <c r="L170">
        <f>regressionsbase!$N$1*A170^2</f>
        <v>-36.820073465028756</v>
      </c>
      <c r="M170">
        <f>regressionsbase!$R$1*A170^2+regressionsbase!$R$2*A170^6</f>
        <v>-39.503401186208215</v>
      </c>
      <c r="N170">
        <f>regressionsbase!$P$1*A170^2+regressionsbase!$P$2*A170^7</f>
        <v>53.986016201752335</v>
      </c>
      <c r="O170">
        <f>regressionsbase!T$2+regressionsbase!T$1*EXP(A170)</f>
        <v>-9418.0580174094957</v>
      </c>
      <c r="P170" s="20">
        <f>(1-EXP(-2*regressionsbase!X$1*graphbase!A170))/2/EXP(-regressionsbase!X$1*A170)</f>
        <v>-160.38674872881899</v>
      </c>
      <c r="Q170" s="5"/>
      <c r="AT170" s="33"/>
      <c r="AW170" s="33"/>
      <c r="AZ170" s="33"/>
    </row>
    <row r="171" spans="1:52" x14ac:dyDescent="0.35">
      <c r="A171">
        <f t="shared" si="11"/>
        <v>14.799999999999963</v>
      </c>
      <c r="B171">
        <f t="shared" si="8"/>
        <v>-43.174945348866274</v>
      </c>
      <c r="C171">
        <f>regressionsbase!$AR$1*$A171</f>
        <v>16.494708488212972</v>
      </c>
      <c r="D171">
        <f>regressionsbase!$AO$1*$A171</f>
        <v>23.382691433965011</v>
      </c>
      <c r="E171">
        <f t="shared" si="9"/>
        <v>-10.185528372440331</v>
      </c>
      <c r="F171">
        <f t="shared" si="10"/>
        <v>-89.940328216796303</v>
      </c>
      <c r="G171" s="5">
        <f>B171-regressions!AA$7</f>
        <v>-46.896233939331232</v>
      </c>
      <c r="H171" s="5">
        <f>B171+regressions!AA$7</f>
        <v>-39.453656758401316</v>
      </c>
      <c r="I171">
        <f>IF($A171&lt;=regressionsbase!$L$2,$A171*regressionsbase!$L$1,regressionsbase!$L$1*regressionsbase!$L$2+regressionsbase!$L$3*($A171-regressionsbase!$L$2))</f>
        <v>-46.243123611007007</v>
      </c>
      <c r="J171">
        <f>regressionsbase!J$1*A171+regressionsbase!J$2*A171^2</f>
        <v>-23.253817469780806</v>
      </c>
      <c r="K171">
        <f>regressionsbase!$V$1*A171</f>
        <v>-12.95841687282493</v>
      </c>
      <c r="L171">
        <f>regressionsbase!$N$1*A171^2</f>
        <v>-37.322730768568185</v>
      </c>
      <c r="M171">
        <f>regressionsbase!$R$1*A171^2+regressionsbase!$R$2*A171^6</f>
        <v>-40.421886536122187</v>
      </c>
      <c r="N171">
        <f>regressionsbase!$P$1*A171^2+regressionsbase!$P$2*A171^7</f>
        <v>57.983747323675608</v>
      </c>
      <c r="O171">
        <f>regressionsbase!T$2+regressionsbase!T$1*EXP(A171)</f>
        <v>-10408.564234594884</v>
      </c>
      <c r="P171" s="20">
        <f>(1-EXP(-2*regressionsbase!X$1*graphbase!A171))/2/EXP(-regressionsbase!X$1*A171)</f>
        <v>-166.80835531868991</v>
      </c>
      <c r="Q171" s="5"/>
      <c r="AT171" s="33"/>
      <c r="AW171" s="33"/>
      <c r="AZ171" s="33"/>
    </row>
    <row r="172" spans="1:52" x14ac:dyDescent="0.35">
      <c r="A172">
        <f t="shared" si="11"/>
        <v>14.899999999999963</v>
      </c>
      <c r="B172">
        <f t="shared" si="8"/>
        <v>-44.579998502365548</v>
      </c>
      <c r="C172">
        <f>regressionsbase!$AR$1*$A172</f>
        <v>16.606159221241438</v>
      </c>
      <c r="D172">
        <f>regressionsbase!$AO$1*$A172</f>
        <v>23.540682592302613</v>
      </c>
      <c r="E172">
        <f t="shared" si="9"/>
        <v>-11.367680059882673</v>
      </c>
      <c r="F172">
        <f t="shared" si="10"/>
        <v>-91.661363686970773</v>
      </c>
      <c r="G172" s="5">
        <f>B172-regressions!AA$7</f>
        <v>-48.301287092830506</v>
      </c>
      <c r="H172" s="5">
        <f>B172+regressions!AA$7</f>
        <v>-40.85870991190059</v>
      </c>
      <c r="I172">
        <f>IF($A172&lt;=regressionsbase!$L$2,$A172*regressionsbase!$L$1,regressionsbase!$L$1*regressionsbase!$L$2+regressionsbase!$L$3*($A172-regressionsbase!$L$2))</f>
        <v>-48.025864027834501</v>
      </c>
      <c r="J172">
        <f>regressionsbase!J$1*A172+regressionsbase!J$2*A172^2</f>
        <v>-23.513752650064454</v>
      </c>
      <c r="K172">
        <f>regressionsbase!$V$1*A172</f>
        <v>-13.045973743587261</v>
      </c>
      <c r="L172">
        <f>regressionsbase!$N$1*A172^2</f>
        <v>-37.828795918233304</v>
      </c>
      <c r="M172">
        <f>regressionsbase!$R$1*A172^2+regressionsbase!$R$2*A172^6</f>
        <v>-41.362181341101838</v>
      </c>
      <c r="N172">
        <f>regressionsbase!$P$1*A172^2+regressionsbase!$P$2*A172^7</f>
        <v>62.165440683913438</v>
      </c>
      <c r="O172">
        <f>regressionsbase!T$2+regressionsbase!T$1*EXP(A172)</f>
        <v>-11503.242900001296</v>
      </c>
      <c r="P172" s="20">
        <f>(1-EXP(-2*regressionsbase!X$1*graphbase!A172))/2/EXP(-regressionsbase!X$1*A172)</f>
        <v>-173.48706225903382</v>
      </c>
      <c r="Q172" s="5"/>
      <c r="AT172" s="33"/>
      <c r="AW172" s="33"/>
      <c r="AZ172" s="33"/>
    </row>
    <row r="173" spans="1:52" x14ac:dyDescent="0.35">
      <c r="A173">
        <f t="shared" si="11"/>
        <v>14.999999999999963</v>
      </c>
      <c r="B173">
        <f t="shared" si="8"/>
        <v>-46.054117740399633</v>
      </c>
      <c r="C173">
        <f>regressionsbase!$AR$1*$A173</f>
        <v>16.717609954269903</v>
      </c>
      <c r="D173">
        <f>regressionsbase!$AO$1*$A173</f>
        <v>23.698673750640214</v>
      </c>
      <c r="E173">
        <f t="shared" si="9"/>
        <v>-12.618897831859826</v>
      </c>
      <c r="F173">
        <f t="shared" si="10"/>
        <v>-93.451465241680069</v>
      </c>
      <c r="G173" s="5">
        <f>B173-regressions!AA$7</f>
        <v>-49.775406330864591</v>
      </c>
      <c r="H173" s="5">
        <f>B173+regressions!AA$7</f>
        <v>-42.332829149934675</v>
      </c>
      <c r="I173">
        <f>IF($A173&lt;=regressionsbase!$L$2,$A173*regressionsbase!$L$1,regressionsbase!$L$1*regressionsbase!$L$2+regressionsbase!$L$3*($A173-regressionsbase!$L$2))</f>
        <v>-49.808604444661995</v>
      </c>
      <c r="J173">
        <f>regressionsbase!J$1*A173+regressionsbase!J$2*A173^2</f>
        <v>-23.775067894669903</v>
      </c>
      <c r="K173">
        <f>regressionsbase!$V$1*A173</f>
        <v>-13.133530614349592</v>
      </c>
      <c r="L173">
        <f>regressionsbase!$N$1*A173^2</f>
        <v>-38.338268914024113</v>
      </c>
      <c r="M173">
        <f>regressionsbase!$R$1*A173^2+regressionsbase!$R$2*A173^6</f>
        <v>-42.324815599673954</v>
      </c>
      <c r="N173">
        <f>regressionsbase!$P$1*A173^2+regressionsbase!$P$2*A173^7</f>
        <v>66.537520169323329</v>
      </c>
      <c r="O173">
        <f>regressionsbase!T$2+regressionsbase!T$1*EXP(A173)</f>
        <v>-12713.049925646324</v>
      </c>
      <c r="P173" s="20">
        <f>(1-EXP(-2*regressionsbase!X$1*graphbase!A173))/2/EXP(-regressionsbase!X$1*A173)</f>
        <v>-180.43316338610214</v>
      </c>
      <c r="Q173" s="5"/>
      <c r="AT173" s="33"/>
      <c r="AW173" s="33"/>
      <c r="AZ173" s="33"/>
    </row>
    <row r="174" spans="1:52" x14ac:dyDescent="0.35">
      <c r="A174">
        <f t="shared" si="11"/>
        <v>15.099999999999962</v>
      </c>
      <c r="B174">
        <f t="shared" si="8"/>
        <v>-47.603428387674214</v>
      </c>
      <c r="C174">
        <f>regressionsbase!$AR$1*$A174</f>
        <v>16.829060687298369</v>
      </c>
      <c r="D174">
        <f>regressionsbase!$AO$1*$A174</f>
        <v>23.856664908977816</v>
      </c>
      <c r="E174">
        <f t="shared" si="9"/>
        <v>-13.945307013077475</v>
      </c>
      <c r="F174">
        <f t="shared" si="10"/>
        <v>-95.316758205629839</v>
      </c>
      <c r="G174" s="5">
        <f>B174-regressions!AA$7</f>
        <v>-51.324716978139172</v>
      </c>
      <c r="H174" s="5">
        <f>B174+regressions!AA$7</f>
        <v>-43.882139797209256</v>
      </c>
      <c r="I174">
        <f>IF($A174&lt;=regressionsbase!$L$2,$A174*regressionsbase!$L$1,regressionsbase!$L$1*regressionsbase!$L$2+regressionsbase!$L$3*($A174-regressionsbase!$L$2))</f>
        <v>-51.591344861489496</v>
      </c>
      <c r="J174">
        <f>regressionsbase!J$1*A174+regressionsbase!J$2*A174^2</f>
        <v>-24.037763203597152</v>
      </c>
      <c r="K174">
        <f>regressionsbase!$V$1*A174</f>
        <v>-13.221087485111923</v>
      </c>
      <c r="L174">
        <f>regressionsbase!$N$1*A174^2</f>
        <v>-38.851149755940611</v>
      </c>
      <c r="M174">
        <f>regressionsbase!$R$1*A174^2+regressionsbase!$R$2*A174^6</f>
        <v>-43.310330089424177</v>
      </c>
      <c r="N174">
        <f>regressionsbase!$P$1*A174^2+regressionsbase!$P$2*A174^7</f>
        <v>71.106584450445979</v>
      </c>
      <c r="O174">
        <f>regressionsbase!T$2+regressionsbase!T$1*EXP(A174)</f>
        <v>-14050.09346687281</v>
      </c>
      <c r="P174" s="20">
        <f>(1-EXP(-2*regressionsbase!X$1*graphbase!A174))/2/EXP(-regressionsbase!X$1*A174)</f>
        <v>-187.65736466861463</v>
      </c>
      <c r="Q174" s="5"/>
      <c r="AT174" s="33"/>
      <c r="AW174" s="33"/>
      <c r="AZ174" s="33"/>
    </row>
    <row r="175" spans="1:52" x14ac:dyDescent="0.35">
      <c r="A175">
        <f t="shared" si="11"/>
        <v>15.199999999999962</v>
      </c>
      <c r="B175">
        <f t="shared" si="8"/>
        <v>-49.2346608946714</v>
      </c>
      <c r="C175">
        <f>regressionsbase!$AR$1*$A175</f>
        <v>16.940511420326835</v>
      </c>
      <c r="D175">
        <f>regressionsbase!$AO$1*$A175</f>
        <v>24.014656067315418</v>
      </c>
      <c r="E175">
        <f t="shared" si="9"/>
        <v>-15.353638054017729</v>
      </c>
      <c r="F175">
        <f t="shared" si="10"/>
        <v>-97.263973029302235</v>
      </c>
      <c r="G175" s="5">
        <f>B175-regressions!AA$7</f>
        <v>-52.955949485136358</v>
      </c>
      <c r="H175" s="5">
        <f>B175+regressions!AA$7</f>
        <v>-45.513372304206442</v>
      </c>
      <c r="I175">
        <f>IF($A175&lt;=regressionsbase!$L$2,$A175*regressionsbase!$L$1,regressionsbase!$L$1*regressionsbase!$L$2+regressionsbase!$L$3*($A175-regressionsbase!$L$2))</f>
        <v>-53.37408527831699</v>
      </c>
      <c r="J175">
        <f>regressionsbase!J$1*A175+regressionsbase!J$2*A175^2</f>
        <v>-24.301838576846208</v>
      </c>
      <c r="K175">
        <f>regressionsbase!$V$1*A175</f>
        <v>-13.308644355874252</v>
      </c>
      <c r="L175">
        <f>regressionsbase!$N$1*A175^2</f>
        <v>-39.367438443982806</v>
      </c>
      <c r="M175">
        <f>regressionsbase!$R$1*A175^2+regressionsbase!$R$2*A175^6</f>
        <v>-44.319276512165722</v>
      </c>
      <c r="N175">
        <f>regressionsbase!$P$1*A175^2+regressionsbase!$P$2*A175^7</f>
        <v>75.879410524204246</v>
      </c>
      <c r="O175">
        <f>regressionsbase!T$2+regressionsbase!T$1*EXP(A175)</f>
        <v>-15527.755104837199</v>
      </c>
      <c r="P175" s="20">
        <f>(1-EXP(-2*regressionsbase!X$1*graphbase!A175))/2/EXP(-regressionsbase!X$1*A175)</f>
        <v>-195.17080070878001</v>
      </c>
      <c r="Q175" s="5"/>
      <c r="AT175" s="33"/>
      <c r="AW175" s="33"/>
      <c r="AZ175" s="33"/>
    </row>
    <row r="176" spans="1:52" x14ac:dyDescent="0.35">
      <c r="A176">
        <f t="shared" si="11"/>
        <v>15.299999999999962</v>
      </c>
      <c r="B176">
        <f t="shared" si="8"/>
        <v>-50.955212576117844</v>
      </c>
      <c r="C176">
        <f>regressionsbase!$AR$1*$A176</f>
        <v>17.051962153355301</v>
      </c>
      <c r="D176">
        <f>regressionsbase!$AO$1*$A176</f>
        <v>24.172647225653019</v>
      </c>
      <c r="E176">
        <f t="shared" si="9"/>
        <v>-16.851288269407242</v>
      </c>
      <c r="F176">
        <f t="shared" si="10"/>
        <v>-99.30050702742389</v>
      </c>
      <c r="G176" s="5">
        <f>B176-regressions!AA$7</f>
        <v>-54.676501166582803</v>
      </c>
      <c r="H176" s="5">
        <f>B176+regressions!AA$7</f>
        <v>-47.233923985652886</v>
      </c>
      <c r="I176">
        <f>IF($A176&lt;=regressionsbase!$L$2,$A176*regressionsbase!$L$1,regressionsbase!$L$1*regressionsbase!$L$2+regressionsbase!$L$3*($A176-regressionsbase!$L$2))</f>
        <v>-55.156825695144484</v>
      </c>
      <c r="J176">
        <f>regressionsbase!J$1*A176+regressionsbase!J$2*A176^2</f>
        <v>-24.567294014417065</v>
      </c>
      <c r="K176">
        <f>regressionsbase!$V$1*A176</f>
        <v>-13.396201226636583</v>
      </c>
      <c r="L176">
        <f>regressionsbase!$N$1*A176^2</f>
        <v>-39.887134978150684</v>
      </c>
      <c r="M176">
        <f>regressionsbase!$R$1*A176^2+regressionsbase!$R$2*A176^6</f>
        <v>-45.352217640079068</v>
      </c>
      <c r="N176">
        <f>regressionsbase!$P$1*A176^2+regressionsbase!$P$2*A176^7</f>
        <v>80.862957304153554</v>
      </c>
      <c r="O176">
        <f>regressionsbase!T$2+regressionsbase!T$1*EXP(A176)</f>
        <v>-17160.823773871467</v>
      </c>
      <c r="P176" s="20">
        <f>(1-EXP(-2*regressionsbase!X$1*graphbase!A176))/2/EXP(-regressionsbase!X$1*A176)</f>
        <v>-202.98505190396827</v>
      </c>
      <c r="Q176" s="5"/>
      <c r="AT176" s="33"/>
      <c r="AW176" s="33"/>
      <c r="AZ176" s="33"/>
    </row>
    <row r="177" spans="1:52" x14ac:dyDescent="0.35">
      <c r="A177">
        <f t="shared" si="11"/>
        <v>15.399999999999961</v>
      </c>
      <c r="B177">
        <f t="shared" si="8"/>
        <v>-52.773215745317835</v>
      </c>
      <c r="C177">
        <f>regressionsbase!$AR$1*$A177</f>
        <v>17.163412886383767</v>
      </c>
      <c r="D177">
        <f>regressionsbase!$AO$1*$A177</f>
        <v>24.330638383990621</v>
      </c>
      <c r="E177">
        <f t="shared" si="9"/>
        <v>-18.4463899725503</v>
      </c>
      <c r="F177">
        <f t="shared" si="10"/>
        <v>-101.43449251329908</v>
      </c>
      <c r="G177" s="5">
        <f>B177-regressions!AA$7</f>
        <v>-56.494504335782793</v>
      </c>
      <c r="H177" s="5">
        <f>B177+regressions!AA$7</f>
        <v>-49.051927154852876</v>
      </c>
      <c r="I177">
        <f>IF($A177&lt;=regressionsbase!$L$2,$A177*regressionsbase!$L$1,regressionsbase!$L$1*regressionsbase!$L$2+regressionsbase!$L$3*($A177-regressionsbase!$L$2))</f>
        <v>-56.939566111971978</v>
      </c>
      <c r="J177">
        <f>regressionsbase!J$1*A177+regressionsbase!J$2*A177^2</f>
        <v>-24.834129516309723</v>
      </c>
      <c r="K177">
        <f>regressionsbase!$V$1*A177</f>
        <v>-13.483758097398914</v>
      </c>
      <c r="L177">
        <f>regressionsbase!$N$1*A177^2</f>
        <v>-40.410239358444258</v>
      </c>
      <c r="M177">
        <f>regressionsbase!$R$1*A177^2+regressionsbase!$R$2*A177^6</f>
        <v>-46.409727462822715</v>
      </c>
      <c r="N177">
        <f>regressionsbase!$P$1*A177^2+regressionsbase!$P$2*A177^7</f>
        <v>86.064369258601232</v>
      </c>
      <c r="O177">
        <f>regressionsbase!T$2+regressionsbase!T$1*EXP(A177)</f>
        <v>-18965.643774108641</v>
      </c>
      <c r="P177" s="20">
        <f>(1-EXP(-2*regressionsbase!X$1*graphbase!A177))/2/EXP(-regressionsbase!X$1*A177)</f>
        <v>-211.11216229548134</v>
      </c>
      <c r="Q177" s="5"/>
      <c r="AT177" s="33"/>
      <c r="AW177" s="33"/>
      <c r="AZ177" s="33"/>
    </row>
    <row r="178" spans="1:52" x14ac:dyDescent="0.35">
      <c r="A178">
        <f t="shared" si="11"/>
        <v>15.499999999999961</v>
      </c>
      <c r="B178">
        <f t="shared" si="8"/>
        <v>-54.697612912401802</v>
      </c>
      <c r="C178">
        <f>regressionsbase!$AR$1*$A178</f>
        <v>17.274863619412233</v>
      </c>
      <c r="D178">
        <f>regressionsbase!$AO$1*$A178</f>
        <v>24.488629542328219</v>
      </c>
      <c r="E178">
        <f t="shared" si="9"/>
        <v>-20.147885673577335</v>
      </c>
      <c r="F178">
        <f t="shared" si="10"/>
        <v>-103.67487199705823</v>
      </c>
      <c r="G178" s="5">
        <f>B178-regressions!AA$7</f>
        <v>-58.41890150286676</v>
      </c>
      <c r="H178" s="5">
        <f>B178+regressions!AA$7</f>
        <v>-50.976324321936843</v>
      </c>
      <c r="I178">
        <f>IF($A178&lt;=regressionsbase!$L$2,$A178*regressionsbase!$L$1,regressionsbase!$L$1*regressionsbase!$L$2+regressionsbase!$L$3*($A178-regressionsbase!$L$2))</f>
        <v>-58.722306528799471</v>
      </c>
      <c r="J178">
        <f>regressionsbase!J$1*A178+regressionsbase!J$2*A178^2</f>
        <v>-25.102345082524188</v>
      </c>
      <c r="K178">
        <f>regressionsbase!$V$1*A178</f>
        <v>-13.571314968161245</v>
      </c>
      <c r="L178">
        <f>regressionsbase!$N$1*A178^2</f>
        <v>-40.936751584863522</v>
      </c>
      <c r="M178">
        <f>regressionsbase!$R$1*A178^2+regressionsbase!$R$2*A178^6</f>
        <v>-47.492391335614982</v>
      </c>
      <c r="N178">
        <f>regressionsbase!$P$1*A178^2+regressionsbase!$P$2*A178^7</f>
        <v>91.4909800969115</v>
      </c>
      <c r="O178">
        <f>regressionsbase!T$2+regressionsbase!T$1*EXP(A178)</f>
        <v>-20960.278350732053</v>
      </c>
      <c r="P178" s="20">
        <f>(1-EXP(-2*regressionsbase!X$1*graphbase!A178))/2/EXP(-regressionsbase!X$1*A178)</f>
        <v>-219.56465813193529</v>
      </c>
      <c r="Q178" s="5"/>
      <c r="AT178" s="33"/>
      <c r="AW178" s="33"/>
      <c r="AZ178" s="33"/>
    </row>
    <row r="179" spans="1:52" x14ac:dyDescent="0.35">
      <c r="A179">
        <f t="shared" si="11"/>
        <v>15.599999999999961</v>
      </c>
      <c r="B179">
        <f t="shared" si="8"/>
        <v>-56.738239784601419</v>
      </c>
      <c r="C179">
        <f>regressionsbase!$AR$1*$A179</f>
        <v>17.386314352440699</v>
      </c>
      <c r="D179">
        <f>regressionsbase!$AO$1*$A179</f>
        <v>24.646620700665821</v>
      </c>
      <c r="E179">
        <f t="shared" si="9"/>
        <v>-21.96561107972002</v>
      </c>
      <c r="F179">
        <f t="shared" si="10"/>
        <v>-106.03148118593306</v>
      </c>
      <c r="G179" s="5">
        <f>B179-regressions!AA$7</f>
        <v>-60.459528375066377</v>
      </c>
      <c r="H179" s="5">
        <f>B179+regressions!AA$7</f>
        <v>-53.01695119413646</v>
      </c>
      <c r="I179">
        <f>IF($A179&lt;=regressionsbase!$L$2,$A179*regressionsbase!$L$1,regressionsbase!$L$1*regressionsbase!$L$2+regressionsbase!$L$3*($A179-regressionsbase!$L$2))</f>
        <v>-60.505046945626965</v>
      </c>
      <c r="J179">
        <f>regressionsbase!J$1*A179+regressionsbase!J$2*A179^2</f>
        <v>-25.371940713060454</v>
      </c>
      <c r="K179">
        <f>regressionsbase!$V$1*A179</f>
        <v>-13.658871838923575</v>
      </c>
      <c r="L179">
        <f>regressionsbase!$N$1*A179^2</f>
        <v>-41.466671657408476</v>
      </c>
      <c r="M179">
        <f>regressionsbase!$R$1*A179^2+regressionsbase!$R$2*A179^6</f>
        <v>-48.600806128286841</v>
      </c>
      <c r="N179">
        <f>regressionsbase!$P$1*A179^2+regressionsbase!$P$2*A179^7</f>
        <v>97.150316504312599</v>
      </c>
      <c r="O179">
        <f>regressionsbase!T$2+regressionsbase!T$1*EXP(A179)</f>
        <v>-23164.690477004377</v>
      </c>
      <c r="P179" s="20">
        <f>(1-EXP(-2*regressionsbase!X$1*graphbase!A179))/2/EXP(-regressionsbase!X$1*A179)</f>
        <v>-228.35556717586508</v>
      </c>
      <c r="Q179" s="5"/>
      <c r="AT179" s="33"/>
      <c r="AW179" s="33"/>
      <c r="AZ179" s="33"/>
    </row>
    <row r="180" spans="1:52" x14ac:dyDescent="0.35">
      <c r="A180">
        <f t="shared" si="11"/>
        <v>15.69999999999996</v>
      </c>
      <c r="B180">
        <f t="shared" si="8"/>
        <v>-58.905916884082977</v>
      </c>
      <c r="C180">
        <f>regressionsbase!$AR$1*$A180</f>
        <v>17.497765085469165</v>
      </c>
      <c r="D180">
        <f>regressionsbase!$AO$1*$A180</f>
        <v>24.804611859003423</v>
      </c>
      <c r="E180">
        <f t="shared" si="9"/>
        <v>-23.910386713144646</v>
      </c>
      <c r="F180">
        <f t="shared" si="10"/>
        <v>-108.51514060208982</v>
      </c>
      <c r="G180" s="5">
        <f>B180-regressions!AA$7</f>
        <v>-62.627205474547935</v>
      </c>
      <c r="H180" s="5">
        <f>B180+regressions!AA$7</f>
        <v>-55.184628293618019</v>
      </c>
      <c r="I180">
        <f>IF($A180&lt;=regressionsbase!$L$2,$A180*regressionsbase!$L$1,regressionsbase!$L$1*regressionsbase!$L$2+regressionsbase!$L$3*($A180-regressionsbase!$L$2))</f>
        <v>-62.287787362454459</v>
      </c>
      <c r="J180">
        <f>regressionsbase!J$1*A180+regressionsbase!J$2*A180^2</f>
        <v>-25.642916407918523</v>
      </c>
      <c r="K180">
        <f>regressionsbase!$V$1*A180</f>
        <v>-13.746428709685905</v>
      </c>
      <c r="L180">
        <f>regressionsbase!$N$1*A180^2</f>
        <v>-41.999999576079126</v>
      </c>
      <c r="M180">
        <f>regressionsbase!$R$1*A180^2+regressionsbase!$R$2*A180^6</f>
        <v>-49.735580375305666</v>
      </c>
      <c r="N180">
        <f>regressionsbase!$P$1*A180^2+regressionsbase!$P$2*A180^7</f>
        <v>103.05010192552405</v>
      </c>
      <c r="O180">
        <f>regressionsbase!T$2+regressionsbase!T$1*EXP(A180)</f>
        <v>-25600.942650413854</v>
      </c>
      <c r="P180" s="20">
        <f>(1-EXP(-2*regressionsbase!X$1*graphbase!A180))/2/EXP(-regressionsbase!X$1*A180)</f>
        <v>-237.49843878330796</v>
      </c>
      <c r="Q180" s="5"/>
      <c r="AT180" s="33"/>
      <c r="AW180" s="33"/>
      <c r="AZ180" s="33"/>
    </row>
    <row r="181" spans="1:52" x14ac:dyDescent="0.35">
      <c r="A181">
        <f t="shared" si="11"/>
        <v>15.79999999999996</v>
      </c>
      <c r="B181">
        <f t="shared" si="8"/>
        <v>-61.212550684426191</v>
      </c>
      <c r="C181">
        <f>regressionsbase!$AR$1*$A181</f>
        <v>17.609215818497631</v>
      </c>
      <c r="D181">
        <f>regressionsbase!$AO$1*$A181</f>
        <v>24.962603017341024</v>
      </c>
      <c r="E181">
        <f t="shared" si="9"/>
        <v>-25.994119047430928</v>
      </c>
      <c r="F181">
        <f t="shared" si="10"/>
        <v>-111.13775671910824</v>
      </c>
      <c r="G181" s="5">
        <f>B181-regressions!AA$7</f>
        <v>-64.933839274891142</v>
      </c>
      <c r="H181" s="5">
        <f>B181+regressions!AA$7</f>
        <v>-57.491262093961232</v>
      </c>
      <c r="I181">
        <f>IF($A181&lt;=regressionsbase!$L$2,$A181*regressionsbase!$L$1,regressionsbase!$L$1*regressionsbase!$L$2+regressionsbase!$L$3*($A181-regressionsbase!$L$2))</f>
        <v>-64.07052777928196</v>
      </c>
      <c r="J181">
        <f>regressionsbase!J$1*A181+regressionsbase!J$2*A181^2</f>
        <v>-25.915272167098394</v>
      </c>
      <c r="K181">
        <f>regressionsbase!$V$1*A181</f>
        <v>-13.833985580448235</v>
      </c>
      <c r="L181">
        <f>regressionsbase!$N$1*A181^2</f>
        <v>-42.53673534087546</v>
      </c>
      <c r="M181">
        <f>regressionsbase!$R$1*A181^2+regressionsbase!$R$2*A181^6</f>
        <v>-50.897334426770165</v>
      </c>
      <c r="N181">
        <f>regressionsbase!$P$1*A181^2+regressionsbase!$P$2*A181^7</f>
        <v>109.19826039752007</v>
      </c>
      <c r="O181">
        <f>regressionsbase!T$2+regressionsbase!T$1*EXP(A181)</f>
        <v>-28293.417701564595</v>
      </c>
      <c r="P181" s="20">
        <f>(1-EXP(-2*regressionsbase!X$1*graphbase!A181))/2/EXP(-regressionsbase!X$1*A181)</f>
        <v>-247.00736478731415</v>
      </c>
      <c r="Q181" s="5"/>
      <c r="AT181" s="33"/>
      <c r="AW181" s="33"/>
      <c r="AZ181" s="33"/>
    </row>
    <row r="182" spans="1:52" x14ac:dyDescent="0.35">
      <c r="A182">
        <f t="shared" si="11"/>
        <v>15.899999999999959</v>
      </c>
      <c r="B182">
        <f t="shared" si="8"/>
        <v>-63.671245261379966</v>
      </c>
      <c r="C182">
        <f>regressionsbase!$AR$1*$A182</f>
        <v>17.720666551526097</v>
      </c>
      <c r="D182">
        <f>regressionsbase!$AO$1*$A182</f>
        <v>25.120594175678626</v>
      </c>
      <c r="E182">
        <f t="shared" si="9"/>
        <v>-28.229912158327771</v>
      </c>
      <c r="F182">
        <f t="shared" si="10"/>
        <v>-113.91243361273722</v>
      </c>
      <c r="G182" s="5">
        <f>B182-regressions!AA$7</f>
        <v>-67.392533851844917</v>
      </c>
      <c r="H182" s="5">
        <f>B182+regressions!AA$7</f>
        <v>-59.949956670915007</v>
      </c>
      <c r="I182">
        <f>IF($A182&lt;=regressionsbase!$L$2,$A182*regressionsbase!$L$1,regressionsbase!$L$1*regressionsbase!$L$2+regressionsbase!$L$3*($A182-regressionsbase!$L$2))</f>
        <v>-65.853268196109454</v>
      </c>
      <c r="J182">
        <f>regressionsbase!J$1*A182+regressionsbase!J$2*A182^2</f>
        <v>-26.189007990600071</v>
      </c>
      <c r="K182">
        <f>regressionsbase!$V$1*A182</f>
        <v>-13.921542451210566</v>
      </c>
      <c r="L182">
        <f>regressionsbase!$N$1*A182^2</f>
        <v>-43.076878951797489</v>
      </c>
      <c r="M182">
        <f>regressionsbase!$R$1*A182^2+regressionsbase!$R$2*A182^6</f>
        <v>-52.086700600376275</v>
      </c>
      <c r="N182">
        <f>regressionsbase!$P$1*A182^2+regressionsbase!$P$2*A182^7</f>
        <v>115.60292043174749</v>
      </c>
      <c r="O182">
        <f>regressionsbase!T$2+regressionsbase!T$1*EXP(A182)</f>
        <v>-31269.062825740635</v>
      </c>
      <c r="P182" s="20">
        <f>(1-EXP(-2*regressionsbase!X$1*graphbase!A182))/2/EXP(-regressionsbase!X$1*A182)</f>
        <v>-256.89700121757505</v>
      </c>
      <c r="Q182" s="5"/>
      <c r="AT182" s="33"/>
      <c r="AW182" s="33"/>
      <c r="AZ182" s="33"/>
    </row>
    <row r="183" spans="1:52" x14ac:dyDescent="0.35">
      <c r="A183">
        <f t="shared" si="11"/>
        <v>15.999999999999959</v>
      </c>
      <c r="B183">
        <f t="shared" si="8"/>
        <v>-66.296425558004046</v>
      </c>
      <c r="C183">
        <f>regressionsbase!$AR$1*$A183</f>
        <v>17.832117284554563</v>
      </c>
      <c r="D183">
        <f>regressionsbase!$AO$1*$A183</f>
        <v>25.278585334016228</v>
      </c>
      <c r="E183">
        <f t="shared" si="9"/>
        <v>-30.632190988894919</v>
      </c>
      <c r="F183">
        <f t="shared" si="10"/>
        <v>-116.8535962260365</v>
      </c>
      <c r="G183" s="5">
        <f>B183-regressions!AA$7</f>
        <v>-70.017714148468997</v>
      </c>
      <c r="H183" s="5">
        <f>B183+regressions!AA$7</f>
        <v>-62.575136967539088</v>
      </c>
      <c r="I183">
        <f>IF($A183&lt;=regressionsbase!$L$2,$A183*regressionsbase!$L$1,regressionsbase!$L$1*regressionsbase!$L$2+regressionsbase!$L$3*($A183-regressionsbase!$L$2))</f>
        <v>-67.636008612936948</v>
      </c>
      <c r="J183">
        <f>regressionsbase!J$1*A183+regressionsbase!J$2*A183^2</f>
        <v>-26.46412387842355</v>
      </c>
      <c r="K183">
        <f>regressionsbase!$V$1*A183</f>
        <v>-14.009099321972897</v>
      </c>
      <c r="L183">
        <f>regressionsbase!$N$1*A183^2</f>
        <v>-43.620430408845209</v>
      </c>
      <c r="M183">
        <f>regressionsbase!$R$1*A183^2+regressionsbase!$R$2*A183^6</f>
        <v>-53.304323334354024</v>
      </c>
      <c r="N183">
        <f>regressionsbase!$P$1*A183^2+regressionsbase!$P$2*A183^7</f>
        <v>122.27241894611305</v>
      </c>
      <c r="O183">
        <f>regressionsbase!T$2+regressionsbase!T$1*EXP(A183)</f>
        <v>-34557.659279493586</v>
      </c>
      <c r="P183" s="20">
        <f>(1-EXP(-2*regressionsbase!X$1*graphbase!A183))/2/EXP(-regressionsbase!X$1*A183)</f>
        <v>-267.18259088963993</v>
      </c>
      <c r="Q183" s="5"/>
      <c r="AT183" s="33"/>
      <c r="AW183" s="33"/>
      <c r="AZ183" s="33"/>
    </row>
    <row r="184" spans="1:52" x14ac:dyDescent="0.35">
      <c r="A184">
        <f t="shared" si="11"/>
        <v>16.099999999999959</v>
      </c>
      <c r="B184">
        <f t="shared" si="8"/>
        <v>-69.103973479763823</v>
      </c>
      <c r="C184">
        <f>regressionsbase!$AR$1*$A184</f>
        <v>17.943568017583029</v>
      </c>
      <c r="D184">
        <f>regressionsbase!$AO$1*$A184</f>
        <v>25.436576492353829</v>
      </c>
      <c r="E184">
        <f t="shared" si="9"/>
        <v>-33.216837444597765</v>
      </c>
      <c r="F184">
        <f t="shared" si="10"/>
        <v>-119.97712646447148</v>
      </c>
      <c r="G184" s="5">
        <f>B184-regressions!AA$7</f>
        <v>-72.825262070228774</v>
      </c>
      <c r="H184" s="5">
        <f>B184+regressions!AA$7</f>
        <v>-65.382684889298872</v>
      </c>
      <c r="I184">
        <f>IF($A184&lt;=regressionsbase!$L$2,$A184*regressionsbase!$L$1,regressionsbase!$L$1*regressionsbase!$L$2+regressionsbase!$L$3*($A184-regressionsbase!$L$2))</f>
        <v>-69.418749029764442</v>
      </c>
      <c r="J184">
        <f>regressionsbase!J$1*A184+regressionsbase!J$2*A184^2</f>
        <v>-26.740619830568829</v>
      </c>
      <c r="K184">
        <f>regressionsbase!$V$1*A184</f>
        <v>-14.096656192735228</v>
      </c>
      <c r="L184">
        <f>regressionsbase!$N$1*A184^2</f>
        <v>-44.167389712018618</v>
      </c>
      <c r="M184">
        <f>regressionsbase!$R$1*A184^2+regressionsbase!$R$2*A184^6</f>
        <v>-54.550859341375563</v>
      </c>
      <c r="N184">
        <f>regressionsbase!$P$1*A184^2+regressionsbase!$P$2*A184^7</f>
        <v>129.2153052470598</v>
      </c>
      <c r="O184">
        <f>regressionsbase!T$2+regressionsbase!T$1*EXP(A184)</f>
        <v>-38192.120441468061</v>
      </c>
      <c r="P184" s="20">
        <f>(1-EXP(-2*regressionsbase!X$1*graphbase!A184))/2/EXP(-regressionsbase!X$1*A184)</f>
        <v>-277.87998689854408</v>
      </c>
      <c r="Q184" s="5"/>
      <c r="AT184" s="33"/>
      <c r="AW184" s="33"/>
      <c r="AZ184" s="33"/>
    </row>
    <row r="185" spans="1:52" x14ac:dyDescent="0.35">
      <c r="A185">
        <f t="shared" si="11"/>
        <v>16.19999999999996</v>
      </c>
      <c r="B185">
        <f t="shared" si="8"/>
        <v>-72.111378162734141</v>
      </c>
      <c r="C185">
        <f>regressionsbase!$AR$1*$A185</f>
        <v>18.055018750611499</v>
      </c>
      <c r="D185">
        <f>regressionsbase!$AO$1*$A185</f>
        <v>25.594567650691431</v>
      </c>
      <c r="E185">
        <f t="shared" si="9"/>
        <v>-36.001340661511144</v>
      </c>
      <c r="F185">
        <f t="shared" si="10"/>
        <v>-123.300513464117</v>
      </c>
      <c r="G185" s="5">
        <f>B185-regressions!AA$7</f>
        <v>-75.832666753199092</v>
      </c>
      <c r="H185" s="5">
        <f>B185+regressions!AA$7</f>
        <v>-68.39008957226919</v>
      </c>
      <c r="I185">
        <f>IF($A185&lt;=regressionsbase!$L$2,$A185*regressionsbase!$L$1,regressionsbase!$L$1*regressionsbase!$L$2+regressionsbase!$L$3*($A185-regressionsbase!$L$2))</f>
        <v>-71.201489446591978</v>
      </c>
      <c r="J185">
        <f>regressionsbase!J$1*A185+regressionsbase!J$2*A185^2</f>
        <v>-27.018495847035915</v>
      </c>
      <c r="K185">
        <f>regressionsbase!$V$1*A185</f>
        <v>-14.184213063497559</v>
      </c>
      <c r="L185">
        <f>regressionsbase!$N$1*A185^2</f>
        <v>-44.717756861317724</v>
      </c>
      <c r="M185">
        <f>regressionsbase!$R$1*A185^2+regressionsbase!$R$2*A185^6</f>
        <v>-55.826977763434087</v>
      </c>
      <c r="N185">
        <f>regressionsbase!$P$1*A185^2+regressionsbase!$P$2*A185^7</f>
        <v>136.44034506204702</v>
      </c>
      <c r="O185">
        <f>regressionsbase!T$2+regressionsbase!T$1*EXP(A185)</f>
        <v>-42208.821220557744</v>
      </c>
      <c r="P185" s="20">
        <f>(1-EXP(-2*regressionsbase!X$1*graphbase!A185))/2/EXP(-regressionsbase!X$1*A185)</f>
        <v>-289.00567705305349</v>
      </c>
      <c r="Q185" s="5"/>
      <c r="AT185" s="33"/>
      <c r="AW185" s="33"/>
      <c r="AZ185" s="33"/>
    </row>
    <row r="186" spans="1:52" x14ac:dyDescent="0.35">
      <c r="A186">
        <f t="shared" si="11"/>
        <v>16.299999999999962</v>
      </c>
      <c r="B186">
        <f t="shared" si="8"/>
        <v>-75.337901899067276</v>
      </c>
      <c r="C186">
        <f>regressionsbase!$AR$1*$A186</f>
        <v>18.166469483639965</v>
      </c>
      <c r="D186">
        <f>regressionsbase!$AO$1*$A186</f>
        <v>25.752558809029036</v>
      </c>
      <c r="E186">
        <f t="shared" si="9"/>
        <v>-39.004962931787347</v>
      </c>
      <c r="F186">
        <f t="shared" si="10"/>
        <v>-126.84301951712536</v>
      </c>
      <c r="G186" s="5">
        <f>B186-regressions!AA$7</f>
        <v>-79.059190489532227</v>
      </c>
      <c r="H186" s="5">
        <f>B186+regressions!AA$7</f>
        <v>-71.616613308602325</v>
      </c>
      <c r="I186">
        <f>IF($A186&lt;=regressionsbase!$L$2,$A186*regressionsbase!$L$1,regressionsbase!$L$1*regressionsbase!$L$2+regressionsbase!$L$3*($A186-regressionsbase!$L$2))</f>
        <v>-72.9842298634195</v>
      </c>
      <c r="J186">
        <f>regressionsbase!J$1*A186+regressionsbase!J$2*A186^2</f>
        <v>-27.297751927824809</v>
      </c>
      <c r="K186">
        <f>regressionsbase!$V$1*A186</f>
        <v>-14.271769934259892</v>
      </c>
      <c r="L186">
        <f>regressionsbase!$N$1*A186^2</f>
        <v>-45.271531856742527</v>
      </c>
      <c r="M186">
        <f>regressionsbase!$R$1*A186^2+regressionsbase!$R$2*A186^6</f>
        <v>-57.13336032769385</v>
      </c>
      <c r="N186">
        <f>regressionsbase!$P$1*A186^2+regressionsbase!$P$2*A186^7</f>
        <v>143.95652462275234</v>
      </c>
      <c r="O186">
        <f>regressionsbase!T$2+regressionsbase!T$1*EXP(A186)</f>
        <v>-46647.962108219472</v>
      </c>
      <c r="P186" s="20">
        <f>(1-EXP(-2*regressionsbase!X$1*graphbase!A186))/2/EXP(-regressionsbase!X$1*A186)</f>
        <v>-300.57680928818928</v>
      </c>
      <c r="Q186" s="5"/>
      <c r="AT186" s="33"/>
      <c r="AW186" s="33"/>
      <c r="AZ186" s="33"/>
    </row>
    <row r="187" spans="1:52" x14ac:dyDescent="0.35">
      <c r="A187">
        <f t="shared" si="11"/>
        <v>16.399999999999963</v>
      </c>
      <c r="B187">
        <f t="shared" si="8"/>
        <v>-78.804763359696466</v>
      </c>
      <c r="C187">
        <f>regressionsbase!$AR$1*$A187</f>
        <v>18.277920216668434</v>
      </c>
      <c r="D187">
        <f>regressionsbase!$AO$1*$A187</f>
        <v>25.910549967366642</v>
      </c>
      <c r="E187">
        <f t="shared" si="9"/>
        <v>-42.248922926359597</v>
      </c>
      <c r="F187">
        <f t="shared" si="10"/>
        <v>-130.62586329442973</v>
      </c>
      <c r="G187" s="5">
        <f>B187-regressions!AA$7</f>
        <v>-82.526051950161417</v>
      </c>
      <c r="H187" s="5">
        <f>B187+regressions!AA$7</f>
        <v>-75.083474769231515</v>
      </c>
      <c r="I187">
        <f>IF($A187&lt;=regressionsbase!$L$2,$A187*regressionsbase!$L$1,regressionsbase!$L$1*regressionsbase!$L$2+regressionsbase!$L$3*($A187-regressionsbase!$L$2))</f>
        <v>-74.766970280247023</v>
      </c>
      <c r="J187">
        <f>regressionsbase!J$1*A187+regressionsbase!J$2*A187^2</f>
        <v>-27.578388072935503</v>
      </c>
      <c r="K187">
        <f>regressionsbase!$V$1*A187</f>
        <v>-14.359326805022224</v>
      </c>
      <c r="L187">
        <f>regressionsbase!$N$1*A187^2</f>
        <v>-45.82871469829302</v>
      </c>
      <c r="M187">
        <f>regressionsbase!$R$1*A187^2+regressionsbase!$R$2*A187^6</f>
        <v>-58.470701503311147</v>
      </c>
      <c r="N187">
        <f>regressionsbase!$P$1*A187^2+regressionsbase!$P$2*A187^7</f>
        <v>151.77305479931258</v>
      </c>
      <c r="O187">
        <f>regressionsbase!T$2+regressionsbase!T$1*EXP(A187)</f>
        <v>-51553.971518503728</v>
      </c>
      <c r="P187" s="20">
        <f>(1-EXP(-2*regressionsbase!X$1*graphbase!A187))/2/EXP(-regressionsbase!X$1*A187)</f>
        <v>-312.61121809519898</v>
      </c>
      <c r="Q187" s="5"/>
      <c r="AT187" s="33"/>
      <c r="AW187" s="33"/>
      <c r="AZ187" s="33"/>
    </row>
    <row r="188" spans="1:52" x14ac:dyDescent="0.35">
      <c r="A188">
        <f t="shared" si="11"/>
        <v>16.499999999999964</v>
      </c>
      <c r="B188">
        <f t="shared" si="8"/>
        <v>-82.535339926439633</v>
      </c>
      <c r="C188">
        <f>regressionsbase!$AR$1*$A188</f>
        <v>18.3893709496969</v>
      </c>
      <c r="D188">
        <f>regressionsbase!$AO$1*$A188</f>
        <v>26.068541125704243</v>
      </c>
      <c r="E188">
        <f t="shared" si="9"/>
        <v>-45.756598027045833</v>
      </c>
      <c r="F188">
        <f t="shared" si="10"/>
        <v>-134.67242217784812</v>
      </c>
      <c r="G188" s="5">
        <f>B188-regressions!AA$7</f>
        <v>-86.256628516904584</v>
      </c>
      <c r="H188" s="5">
        <f>B188+regressions!AA$7</f>
        <v>-78.814051335974682</v>
      </c>
      <c r="I188">
        <f>IF($A188&lt;=regressionsbase!$L$2,$A188*regressionsbase!$L$1,regressionsbase!$L$1*regressionsbase!$L$2+regressionsbase!$L$3*($A188-regressionsbase!$L$2))</f>
        <v>-76.549710697074559</v>
      </c>
      <c r="J188">
        <f>regressionsbase!J$1*A188+regressionsbase!J$2*A188^2</f>
        <v>-27.860404282367995</v>
      </c>
      <c r="K188">
        <f>regressionsbase!$V$1*A188</f>
        <v>-14.446883675784555</v>
      </c>
      <c r="L188">
        <f>regressionsbase!$N$1*A188^2</f>
        <v>-46.389305385969202</v>
      </c>
      <c r="M188">
        <f>regressionsbase!$R$1*A188^2+regressionsbase!$R$2*A188^6</f>
        <v>-59.839708659226474</v>
      </c>
      <c r="N188">
        <f>regressionsbase!$P$1*A188^2+regressionsbase!$P$2*A188^7</f>
        <v>159.8993752859202</v>
      </c>
      <c r="O188">
        <f>regressionsbase!T$2+regressionsbase!T$1*EXP(A188)</f>
        <v>-56975.95044255536</v>
      </c>
      <c r="P188" s="20">
        <f>(1-EXP(-2*regressionsbase!X$1*graphbase!A188))/2/EXP(-regressionsbase!X$1*A188)</f>
        <v>-325.12745200971278</v>
      </c>
      <c r="Q188" s="5"/>
      <c r="AT188" s="33"/>
      <c r="AW188" s="33"/>
      <c r="AZ188" s="33"/>
    </row>
    <row r="189" spans="1:52" x14ac:dyDescent="0.35">
      <c r="A189">
        <f t="shared" si="11"/>
        <v>16.599999999999966</v>
      </c>
      <c r="B189">
        <f t="shared" si="8"/>
        <v>-86.555391135958502</v>
      </c>
      <c r="C189">
        <f>regressionsbase!$AR$1*$A189</f>
        <v>18.50082168272537</v>
      </c>
      <c r="D189">
        <f>regressionsbase!$AO$1*$A189</f>
        <v>26.226532284041848</v>
      </c>
      <c r="E189">
        <f t="shared" si="9"/>
        <v>-49.553747770507762</v>
      </c>
      <c r="F189">
        <f t="shared" si="10"/>
        <v>-139.00845570404221</v>
      </c>
      <c r="G189" s="5">
        <f>B189-regressions!AA$7</f>
        <v>-90.276679726423453</v>
      </c>
      <c r="H189" s="5">
        <f>B189+regressions!AA$7</f>
        <v>-82.83410254549355</v>
      </c>
      <c r="I189">
        <f>IF($A189&lt;=regressionsbase!$L$2,$A189*regressionsbase!$L$1,regressionsbase!$L$1*regressionsbase!$L$2+regressionsbase!$L$3*($A189-regressionsbase!$L$2))</f>
        <v>-78.332451113902081</v>
      </c>
      <c r="J189">
        <f>regressionsbase!J$1*A189+regressionsbase!J$2*A189^2</f>
        <v>-28.143800556122301</v>
      </c>
      <c r="K189">
        <f>regressionsbase!$V$1*A189</f>
        <v>-14.534440546546888</v>
      </c>
      <c r="L189">
        <f>regressionsbase!$N$1*A189^2</f>
        <v>-46.953303919771081</v>
      </c>
      <c r="M189">
        <f>regressionsbase!$R$1*A189^2+regressionsbase!$R$2*A189^6</f>
        <v>-61.241102222927587</v>
      </c>
      <c r="N189">
        <f>regressionsbase!$P$1*A189^2+regressionsbase!$P$2*A189^7</f>
        <v>168.3451588380928</v>
      </c>
      <c r="O189">
        <f>regressionsbase!T$2+regressionsbase!T$1*EXP(A189)</f>
        <v>-62968.163867836323</v>
      </c>
      <c r="P189" s="20">
        <f>(1-EXP(-2*regressionsbase!X$1*graphbase!A189))/2/EXP(-regressionsbase!X$1*A189)</f>
        <v>-338.14480220044874</v>
      </c>
      <c r="Q189" s="5"/>
      <c r="AT189" s="33"/>
      <c r="AW189" s="33"/>
      <c r="AZ189" s="33"/>
    </row>
    <row r="190" spans="1:52" x14ac:dyDescent="0.35">
      <c r="A190">
        <f t="shared" si="11"/>
        <v>16.699999999999967</v>
      </c>
      <c r="B190">
        <f t="shared" si="8"/>
        <v>-90.893305448321456</v>
      </c>
      <c r="C190">
        <f>regressionsbase!$AR$1*$A190</f>
        <v>18.612272415753836</v>
      </c>
      <c r="D190">
        <f>regressionsbase!$AO$1*$A190</f>
        <v>26.384523442379454</v>
      </c>
      <c r="E190">
        <f t="shared" si="9"/>
        <v>-53.668760616813785</v>
      </c>
      <c r="F190">
        <f t="shared" si="10"/>
        <v>-143.66235233308038</v>
      </c>
      <c r="G190" s="5">
        <f>B190-regressions!AA$7</f>
        <v>-94.614594038786407</v>
      </c>
      <c r="H190" s="5">
        <f>B190+regressions!AA$7</f>
        <v>-87.172016857856505</v>
      </c>
      <c r="I190">
        <f>IF($A190&lt;=regressionsbase!$L$2,$A190*regressionsbase!$L$1,regressionsbase!$L$1*regressionsbase!$L$2+regressionsbase!$L$3*($A190-regressionsbase!$L$2))</f>
        <v>-80.115191530729604</v>
      </c>
      <c r="J190">
        <f>regressionsbase!J$1*A190+regressionsbase!J$2*A190^2</f>
        <v>-28.4285768941984</v>
      </c>
      <c r="K190">
        <f>regressionsbase!$V$1*A190</f>
        <v>-14.62199741730922</v>
      </c>
      <c r="L190">
        <f>regressionsbase!$N$1*A190^2</f>
        <v>-47.520710299698649</v>
      </c>
      <c r="M190">
        <f>regressionsbase!$R$1*A190^2+regressionsbase!$R$2*A190^6</f>
        <v>-62.675615840183532</v>
      </c>
      <c r="N190">
        <f>regressionsbase!$P$1*A190^2+regressionsbase!$P$2*A190^7</f>
        <v>177.12031556193148</v>
      </c>
      <c r="O190">
        <f>regressionsbase!T$2+regressionsbase!T$1*EXP(A190)</f>
        <v>-69590.583880359307</v>
      </c>
      <c r="P190" s="20">
        <f>(1-EXP(-2*regressionsbase!X$1*graphbase!A190))/2/EXP(-regressionsbase!X$1*A190)</f>
        <v>-351.68333220253288</v>
      </c>
      <c r="Q190" s="5"/>
      <c r="AE190" s="58"/>
      <c r="AO190" s="1"/>
      <c r="AP190" s="1"/>
      <c r="AT190" s="33"/>
      <c r="AW190" s="33"/>
      <c r="AZ190" s="33"/>
    </row>
    <row r="191" spans="1:52" x14ac:dyDescent="0.35">
      <c r="A191">
        <f t="shared" si="11"/>
        <v>16.799999999999969</v>
      </c>
      <c r="B191">
        <f t="shared" si="8"/>
        <v>-95.580372785314324</v>
      </c>
      <c r="C191">
        <f>regressionsbase!$AR$1*$A191</f>
        <v>18.723723148782305</v>
      </c>
      <c r="D191">
        <f>regressionsbase!$AO$1*$A191</f>
        <v>26.542514600717055</v>
      </c>
      <c r="E191">
        <f t="shared" si="9"/>
        <v>-58.132926487749714</v>
      </c>
      <c r="F191">
        <f t="shared" si="10"/>
        <v>-148.66540198674844</v>
      </c>
      <c r="G191" s="5">
        <f>B191-regressions!AA$7</f>
        <v>-99.301661375779275</v>
      </c>
      <c r="H191" s="5">
        <f>B191+regressions!AA$7</f>
        <v>-91.859084194849373</v>
      </c>
      <c r="I191">
        <f>IF($A191&lt;=regressionsbase!$L$2,$A191*regressionsbase!$L$1,regressionsbase!$L$1*regressionsbase!$L$2+regressionsbase!$L$3*($A191-regressionsbase!$L$2))</f>
        <v>-81.89793194755714</v>
      </c>
      <c r="J191">
        <f>regressionsbase!J$1*A191+regressionsbase!J$2*A191^2</f>
        <v>-28.714733296596307</v>
      </c>
      <c r="K191">
        <f>regressionsbase!$V$1*A191</f>
        <v>-14.709554288071551</v>
      </c>
      <c r="L191">
        <f>regressionsbase!$N$1*A191^2</f>
        <v>-48.0915245257519</v>
      </c>
      <c r="M191">
        <f>regressionsbase!$R$1*A191^2+regressionsbase!$R$2*A191^6</f>
        <v>-64.143996535749892</v>
      </c>
      <c r="N191">
        <f>regressionsbase!$P$1*A191^2+regressionsbase!$P$2*A191^7</f>
        <v>186.23499725568706</v>
      </c>
      <c r="O191">
        <f>regressionsbase!T$2+regressionsbase!T$1*EXP(A191)</f>
        <v>-76909.489885481904</v>
      </c>
      <c r="P191" s="20">
        <f>(1-EXP(-2*regressionsbase!X$1*graphbase!A191))/2/EXP(-regressionsbase!X$1*A191)</f>
        <v>-365.76390884126181</v>
      </c>
      <c r="Q191" s="5"/>
      <c r="AT191" s="33"/>
      <c r="AW191" s="33"/>
      <c r="AZ191" s="33"/>
    </row>
    <row r="192" spans="1:52" x14ac:dyDescent="0.35">
      <c r="A192">
        <f t="shared" si="11"/>
        <v>16.89999999999997</v>
      </c>
      <c r="B192">
        <f t="shared" si="8"/>
        <v>-100.6510855404681</v>
      </c>
      <c r="C192">
        <f>regressionsbase!$AR$1*$A192</f>
        <v>18.835173881810771</v>
      </c>
      <c r="D192">
        <f>regressionsbase!$AO$1*$A192</f>
        <v>26.700505759054661</v>
      </c>
      <c r="E192">
        <f t="shared" si="9"/>
        <v>-62.98073777684656</v>
      </c>
      <c r="F192">
        <f t="shared" si="10"/>
        <v>-154.05209705857743</v>
      </c>
      <c r="G192" s="5">
        <f>B192-regressions!AA$7</f>
        <v>-104.37237413093305</v>
      </c>
      <c r="H192" s="5">
        <f>B192+regressions!AA$7</f>
        <v>-96.929796950003151</v>
      </c>
      <c r="I192">
        <f>IF($A192&lt;=regressionsbase!$L$2,$A192*regressionsbase!$L$1,regressionsbase!$L$1*regressionsbase!$L$2+regressionsbase!$L$3*($A192-regressionsbase!$L$2))</f>
        <v>-83.680672364384662</v>
      </c>
      <c r="J192">
        <f>regressionsbase!J$1*A192+regressionsbase!J$2*A192^2</f>
        <v>-29.002269763316018</v>
      </c>
      <c r="K192">
        <f>regressionsbase!$V$1*A192</f>
        <v>-14.797111158833884</v>
      </c>
      <c r="L192">
        <f>regressionsbase!$N$1*A192^2</f>
        <v>-48.665746597930855</v>
      </c>
      <c r="M192">
        <f>regressionsbase!$R$1*A192^2+regressionsbase!$R$2*A192^6</f>
        <v>-65.647004875044956</v>
      </c>
      <c r="N192">
        <f>regressionsbase!$P$1*A192^2+regressionsbase!$P$2*A192^7</f>
        <v>195.69960180394952</v>
      </c>
      <c r="O192">
        <f>regressionsbase!T$2+regressionsbase!T$1*EXP(A192)</f>
        <v>-84998.131954472599</v>
      </c>
      <c r="P192" s="20">
        <f>(1-EXP(-2*regressionsbase!X$1*graphbase!A192))/2/EXP(-regressionsbase!X$1*A192)</f>
        <v>-380.40823439396917</v>
      </c>
      <c r="Q192" s="5"/>
      <c r="AT192" s="33"/>
      <c r="AW192" s="33"/>
      <c r="AZ192" s="33"/>
    </row>
    <row r="193" spans="1:52" x14ac:dyDescent="0.35">
      <c r="A193">
        <f t="shared" si="11"/>
        <v>16.999999999999972</v>
      </c>
      <c r="B193">
        <f t="shared" si="8"/>
        <v>-106.14347104659512</v>
      </c>
      <c r="C193">
        <f>regressionsbase!$AR$1*$A193</f>
        <v>18.946624614839241</v>
      </c>
      <c r="D193">
        <f>regressionsbase!$AO$1*$A193</f>
        <v>26.858496917392266</v>
      </c>
      <c r="E193">
        <f t="shared" si="9"/>
        <v>-68.25022181691665</v>
      </c>
      <c r="F193">
        <f t="shared" si="10"/>
        <v>-159.86046488137964</v>
      </c>
      <c r="G193" s="5">
        <f>B193-regressions!AA$7</f>
        <v>-109.86475963706008</v>
      </c>
      <c r="H193" s="5">
        <f>B193+regressions!AA$7</f>
        <v>-102.42218245613017</v>
      </c>
      <c r="I193">
        <f>IF($A193&lt;=regressionsbase!$L$2,$A193*regressionsbase!$L$1,regressionsbase!$L$1*regressionsbase!$L$2+regressionsbase!$L$3*($A193-regressionsbase!$L$2))</f>
        <v>-85.463412781212185</v>
      </c>
      <c r="J193">
        <f>regressionsbase!J$1*A193+regressionsbase!J$2*A193^2</f>
        <v>-29.29118629435753</v>
      </c>
      <c r="K193">
        <f>regressionsbase!$V$1*A193</f>
        <v>-14.884668029596217</v>
      </c>
      <c r="L193">
        <f>regressionsbase!$N$1*A193^2</f>
        <v>-49.243376516235493</v>
      </c>
      <c r="M193">
        <f>regressionsbase!$R$1*A193^2+regressionsbase!$R$2*A193^6</f>
        <v>-67.185415126796812</v>
      </c>
      <c r="N193">
        <f>regressionsbase!$P$1*A193^2+regressionsbase!$P$2*A193^7</f>
        <v>205.52477762477778</v>
      </c>
      <c r="O193">
        <f>regressionsbase!T$2+regressionsbase!T$1*EXP(A193)</f>
        <v>-93937.463935844396</v>
      </c>
      <c r="P193" s="20">
        <f>(1-EXP(-2*regressionsbase!X$1*graphbase!A193))/2/EXP(-regressionsbase!X$1*A193)</f>
        <v>-395.63888003956731</v>
      </c>
      <c r="Q193" s="5"/>
      <c r="AT193" s="33"/>
      <c r="AW193" s="33"/>
      <c r="AZ193" s="33"/>
    </row>
    <row r="194" spans="1:52" x14ac:dyDescent="0.35">
      <c r="A194">
        <f t="shared" si="11"/>
        <v>17.099999999999973</v>
      </c>
      <c r="B194">
        <f t="shared" si="8"/>
        <v>-112.09945880028224</v>
      </c>
      <c r="C194">
        <f>regressionsbase!$AR$1*$A194</f>
        <v>19.05807534786771</v>
      </c>
      <c r="D194">
        <f>regressionsbase!$AO$1*$A194</f>
        <v>27.016488075729868</v>
      </c>
      <c r="E194">
        <f t="shared" si="9"/>
        <v>-73.983308104546808</v>
      </c>
      <c r="F194">
        <f t="shared" si="10"/>
        <v>-166.13243495174197</v>
      </c>
      <c r="G194" s="5">
        <f>B194-regressions!AA$7</f>
        <v>-115.82074739074719</v>
      </c>
      <c r="H194" s="5">
        <f>B194+regressions!AA$7</f>
        <v>-108.37817020981728</v>
      </c>
      <c r="I194">
        <f>IF($A194&lt;=regressionsbase!$L$2,$A194*regressionsbase!$L$1,regressionsbase!$L$1*regressionsbase!$L$2+regressionsbase!$L$3*($A194-regressionsbase!$L$2))</f>
        <v>-87.246153198039721</v>
      </c>
      <c r="J194">
        <f>regressionsbase!J$1*A194+regressionsbase!J$2*A194^2</f>
        <v>-29.581482889720846</v>
      </c>
      <c r="K194">
        <f>regressionsbase!$V$1*A194</f>
        <v>-14.972224900358547</v>
      </c>
      <c r="L194">
        <f>regressionsbase!$N$1*A194^2</f>
        <v>-49.824414280665827</v>
      </c>
      <c r="M194">
        <f>regressionsbase!$R$1*A194^2+regressionsbase!$R$2*A194^6</f>
        <v>-68.760015426661695</v>
      </c>
      <c r="N194">
        <f>regressionsbase!$P$1*A194^2+regressionsbase!$P$2*A194^7</f>
        <v>215.72142817008807</v>
      </c>
      <c r="O194">
        <f>regressionsbase!T$2+regressionsbase!T$1*EXP(A194)</f>
        <v>-103816.95366868004</v>
      </c>
      <c r="P194" s="20">
        <f>(1-EXP(-2*regressionsbase!X$1*graphbase!A194))/2/EXP(-regressionsbase!X$1*A194)</f>
        <v>-411.47932064732134</v>
      </c>
      <c r="AT194" s="33"/>
      <c r="AW194" s="33"/>
      <c r="AZ194" s="33"/>
    </row>
    <row r="195" spans="1:52" x14ac:dyDescent="0.35">
      <c r="A195">
        <f t="shared" si="11"/>
        <v>17.199999999999974</v>
      </c>
      <c r="B195">
        <f t="shared" si="8"/>
        <v>-118.56528608942043</v>
      </c>
      <c r="C195">
        <f>regressionsbase!$AR$1*$A195</f>
        <v>19.169526080896176</v>
      </c>
      <c r="D195">
        <f>regressionsbase!$AO$1*$A195</f>
        <v>27.174479234067473</v>
      </c>
      <c r="E195">
        <f t="shared" si="9"/>
        <v>-80.226233927628073</v>
      </c>
      <c r="F195">
        <f t="shared" si="10"/>
        <v>-172.91424455755538</v>
      </c>
      <c r="G195" s="5">
        <f>B195-regressions!AA$7</f>
        <v>-122.28657467988538</v>
      </c>
      <c r="H195" s="5">
        <f>B195+regressions!AA$7</f>
        <v>-114.84399749895547</v>
      </c>
      <c r="I195">
        <f>IF($A195&lt;=regressionsbase!$L$2,$A195*regressionsbase!$L$1,regressionsbase!$L$1*regressionsbase!$L$2+regressionsbase!$L$3*($A195-regressionsbase!$L$2))</f>
        <v>-89.028893614867243</v>
      </c>
      <c r="J195">
        <f>regressionsbase!J$1*A195+regressionsbase!J$2*A195^2</f>
        <v>-29.873159549405962</v>
      </c>
      <c r="K195">
        <f>regressionsbase!$V$1*A195</f>
        <v>-15.05978177112088</v>
      </c>
      <c r="L195">
        <f>regressionsbase!$N$1*A195^2</f>
        <v>-50.408859891221852</v>
      </c>
      <c r="M195">
        <f>regressionsbase!$R$1*A195^2+regressionsbase!$R$2*A195^6</f>
        <v>-70.371607941813238</v>
      </c>
      <c r="N195">
        <f>regressionsbase!$P$1*A195^2+regressionsbase!$P$2*A195^7</f>
        <v>226.30071647961694</v>
      </c>
      <c r="O195">
        <f>regressionsbase!T$2+regressionsbase!T$1*EXP(A195)</f>
        <v>-114735.47840683699</v>
      </c>
      <c r="P195" s="20">
        <f>(1-EXP(-2*regressionsbase!X$1*graphbase!A195))/2/EXP(-regressionsbase!X$1*A195)</f>
        <v>-427.95397095847204</v>
      </c>
      <c r="AT195" s="33"/>
      <c r="AW195" s="33"/>
      <c r="AZ195" s="33"/>
    </row>
    <row r="196" spans="1:52" x14ac:dyDescent="0.35">
      <c r="A196">
        <f t="shared" si="11"/>
        <v>17.299999999999976</v>
      </c>
      <c r="B196">
        <f t="shared" ref="B196:B203" si="12">SUMPRODUCT(I$2:P$2,I196:P196)</f>
        <v>-125.59194605292168</v>
      </c>
      <c r="C196">
        <f>regressionsbase!$AR$1*$A196</f>
        <v>19.280976813924646</v>
      </c>
      <c r="D196">
        <f>regressionsbase!$AO$1*$A196</f>
        <v>27.332470392405078</v>
      </c>
      <c r="E196">
        <f t="shared" si="9"/>
        <v>-87.029992425072393</v>
      </c>
      <c r="F196">
        <f t="shared" si="10"/>
        <v>-180.25688683773183</v>
      </c>
      <c r="G196" s="5">
        <f>B196-regressions!AA$7</f>
        <v>-129.31323464338664</v>
      </c>
      <c r="H196" s="5">
        <f>B196+regressions!AA$7</f>
        <v>-121.87065746245673</v>
      </c>
      <c r="I196">
        <f>IF($A196&lt;=regressionsbase!$L$2,$A196*regressionsbase!$L$1,regressionsbase!$L$1*regressionsbase!$L$2+regressionsbase!$L$3*($A196-regressionsbase!$L$2))</f>
        <v>-90.811634031694766</v>
      </c>
      <c r="J196">
        <f>regressionsbase!J$1*A196+regressionsbase!J$2*A196^2</f>
        <v>-30.166216273412882</v>
      </c>
      <c r="K196">
        <f>regressionsbase!$V$1*A196</f>
        <v>-15.147338641883213</v>
      </c>
      <c r="L196">
        <f>regressionsbase!$N$1*A196^2</f>
        <v>-50.996713347903565</v>
      </c>
      <c r="M196">
        <f>regressionsbase!$R$1*A196^2+regressionsbase!$R$2*A196^6</f>
        <v>-72.021009036502647</v>
      </c>
      <c r="N196">
        <f>regressionsbase!$P$1*A196^2+regressionsbase!$P$2*A196^7</f>
        <v>237.27406978877505</v>
      </c>
      <c r="O196">
        <f>regressionsbase!T$2+regressionsbase!T$1*EXP(A196)</f>
        <v>-126802.31441573758</v>
      </c>
      <c r="P196" s="20">
        <f>(1-EXP(-2*regressionsbase!X$1*graphbase!A196))/2/EXP(-regressionsbase!X$1*A196)</f>
        <v>-445.08822321647636</v>
      </c>
      <c r="AT196" s="33"/>
      <c r="AW196" s="33"/>
      <c r="AZ196" s="33"/>
    </row>
    <row r="197" spans="1:52" x14ac:dyDescent="0.35">
      <c r="A197">
        <f t="shared" si="11"/>
        <v>17.399999999999977</v>
      </c>
      <c r="B197">
        <f t="shared" si="12"/>
        <v>-133.23568262511725</v>
      </c>
      <c r="C197">
        <f>regressionsbase!$AR$1*$A197</f>
        <v>19.392427546953112</v>
      </c>
      <c r="D197">
        <f>regressionsbase!$AO$1*$A197</f>
        <v>27.49046155074268</v>
      </c>
      <c r="E197">
        <f t="shared" si="9"/>
        <v>-94.450827531211019</v>
      </c>
      <c r="F197">
        <f t="shared" si="10"/>
        <v>-188.21660572660261</v>
      </c>
      <c r="G197" s="5">
        <f>B197-regressions!AA$7</f>
        <v>-136.9569712155822</v>
      </c>
      <c r="H197" s="5">
        <f>B197+regressions!AA$7</f>
        <v>-129.5143940346523</v>
      </c>
      <c r="I197">
        <f>IF($A197&lt;=regressionsbase!$L$2,$A197*regressionsbase!$L$1,regressionsbase!$L$1*regressionsbase!$L$2+regressionsbase!$L$3*($A197-regressionsbase!$L$2))</f>
        <v>-92.594374448522302</v>
      </c>
      <c r="J197">
        <f>regressionsbase!J$1*A197+regressionsbase!J$2*A197^2</f>
        <v>-30.460653061741606</v>
      </c>
      <c r="K197">
        <f>regressionsbase!$V$1*A197</f>
        <v>-15.234895512645544</v>
      </c>
      <c r="L197">
        <f>regressionsbase!$N$1*A197^2</f>
        <v>-51.587974650710969</v>
      </c>
      <c r="M197">
        <f>regressionsbase!$R$1*A197^2+regressionsbase!$R$2*A197^6</f>
        <v>-73.709049438590114</v>
      </c>
      <c r="N197">
        <f>regressionsbase!$P$1*A197^2+regressionsbase!$P$2*A197^7</f>
        <v>248.65318419071147</v>
      </c>
      <c r="O197">
        <f>regressionsbase!T$2+regressionsbase!T$1*EXP(A197)</f>
        <v>-140138.23064596255</v>
      </c>
      <c r="P197" s="20">
        <f>(1-EXP(-2*regressionsbase!X$1*graphbase!A197))/2/EXP(-regressionsbase!X$1*A197)</f>
        <v>-462.90848630386438</v>
      </c>
      <c r="AT197" s="33"/>
      <c r="AW197" s="33"/>
      <c r="AZ197" s="33"/>
    </row>
    <row r="198" spans="1:52" x14ac:dyDescent="0.35">
      <c r="A198">
        <f t="shared" si="11"/>
        <v>17.499999999999979</v>
      </c>
      <c r="B198">
        <f t="shared" si="12"/>
        <v>-141.55853728518105</v>
      </c>
      <c r="C198">
        <f>regressionsbase!$AR$1*$A198</f>
        <v>19.503878279981581</v>
      </c>
      <c r="D198">
        <f>regressionsbase!$AO$1*$A198</f>
        <v>27.648452709080285</v>
      </c>
      <c r="E198">
        <f t="shared" si="9"/>
        <v>-102.55078072521789</v>
      </c>
      <c r="F198">
        <f t="shared" si="10"/>
        <v>-196.85544270334162</v>
      </c>
      <c r="G198" s="5">
        <f>B198-regressions!AA$7</f>
        <v>-145.279825875646</v>
      </c>
      <c r="H198" s="5">
        <f>B198+regressions!AA$7</f>
        <v>-137.8372486947161</v>
      </c>
      <c r="I198">
        <f>IF($A198&lt;=regressionsbase!$L$2,$A198*regressionsbase!$L$1,regressionsbase!$L$1*regressionsbase!$L$2+regressionsbase!$L$3*($A198-regressionsbase!$L$2))</f>
        <v>-94.377114865349824</v>
      </c>
      <c r="J198">
        <f>regressionsbase!J$1*A198+regressionsbase!J$2*A198^2</f>
        <v>-30.756469914392135</v>
      </c>
      <c r="K198">
        <f>regressionsbase!$V$1*A198</f>
        <v>-15.322452383407876</v>
      </c>
      <c r="L198">
        <f>regressionsbase!$N$1*A198^2</f>
        <v>-52.182643799644062</v>
      </c>
      <c r="M198">
        <f>regressionsbase!$R$1*A198^2+regressionsbase!$R$2*A198^6</f>
        <v>-75.436574407047146</v>
      </c>
      <c r="N198">
        <f>regressionsbase!$P$1*A198^2+regressionsbase!$P$2*A198^7</f>
        <v>260.45002935290245</v>
      </c>
      <c r="O198">
        <f>regressionsbase!T$2+regressionsbase!T$1*EXP(A198)</f>
        <v>-154876.69742950023</v>
      </c>
      <c r="P198" s="20">
        <f>(1-EXP(-2*regressionsbase!X$1*graphbase!A198))/2/EXP(-regressionsbase!X$1*A198)</f>
        <v>-481.44222644603343</v>
      </c>
      <c r="AT198" s="33"/>
      <c r="AW198" s="33"/>
      <c r="AZ198" s="33"/>
    </row>
    <row r="199" spans="1:52" x14ac:dyDescent="0.35">
      <c r="A199">
        <f t="shared" si="11"/>
        <v>17.59999999999998</v>
      </c>
      <c r="B199">
        <f t="shared" si="12"/>
        <v>-150.62895304896011</v>
      </c>
      <c r="C199">
        <f>regressionsbase!$AR$1*$A199</f>
        <v>19.615329013010047</v>
      </c>
      <c r="D199">
        <f>regressionsbase!$AO$1*$A199</f>
        <v>27.80644386741789</v>
      </c>
      <c r="E199">
        <f t="shared" si="9"/>
        <v>-111.39829502294002</v>
      </c>
      <c r="F199">
        <f t="shared" si="10"/>
        <v>-206.24184078379591</v>
      </c>
      <c r="G199" s="5">
        <f>B199-regressions!AA$7</f>
        <v>-154.35024163942506</v>
      </c>
      <c r="H199" s="5">
        <f>B199+regressions!AA$7</f>
        <v>-146.90766445849516</v>
      </c>
      <c r="I199">
        <f>IF($A199&lt;=regressionsbase!$L$2,$A199*regressionsbase!$L$1,regressionsbase!$L$1*regressionsbase!$L$2+regressionsbase!$L$3*($A199-regressionsbase!$L$2))</f>
        <v>-96.159855282177347</v>
      </c>
      <c r="J199">
        <f>regressionsbase!J$1*A199+regressionsbase!J$2*A199^2</f>
        <v>-31.05366683136446</v>
      </c>
      <c r="K199">
        <f>regressionsbase!$V$1*A199</f>
        <v>-15.410009254170209</v>
      </c>
      <c r="L199">
        <f>regressionsbase!$N$1*A199^2</f>
        <v>-52.780720794702852</v>
      </c>
      <c r="M199">
        <f>regressionsbase!$R$1*A199^2+regressionsbase!$R$2*A199^6</f>
        <v>-77.204443900429879</v>
      </c>
      <c r="N199">
        <f>regressionsbase!$P$1*A199^2+regressionsbase!$P$2*A199^7</f>
        <v>272.67685328858352</v>
      </c>
      <c r="O199">
        <f>regressionsbase!T$2+regressionsbase!T$1*EXP(A199)</f>
        <v>-171165.22229569004</v>
      </c>
      <c r="P199" s="20">
        <f>(1-EXP(-2*regressionsbase!X$1*graphbase!A199))/2/EXP(-regressionsbase!X$1*A199)</f>
        <v>-500.71800954471473</v>
      </c>
      <c r="AT199" s="33"/>
      <c r="AW199" s="33"/>
      <c r="AZ199" s="33"/>
    </row>
    <row r="200" spans="1:52" x14ac:dyDescent="0.35">
      <c r="A200">
        <f t="shared" si="11"/>
        <v>17.699999999999982</v>
      </c>
      <c r="B200">
        <f t="shared" si="12"/>
        <v>-160.52244171199141</v>
      </c>
      <c r="C200">
        <f>regressionsbase!$AR$1*$A200</f>
        <v>19.726779746038517</v>
      </c>
      <c r="D200">
        <f>regressionsbase!$AO$1*$A200</f>
        <v>27.964435025755492</v>
      </c>
      <c r="E200">
        <f t="shared" ref="E200:E203" si="13">B200+2*C200</f>
        <v>-121.06888221991437</v>
      </c>
      <c r="F200">
        <f t="shared" ref="F200:F203" si="14">B200-2*D200</f>
        <v>-216.45131176350239</v>
      </c>
      <c r="G200" s="5">
        <f>B200-regressions!AA$7</f>
        <v>-164.24373030245636</v>
      </c>
      <c r="H200" s="5">
        <f>B200+regressions!AA$7</f>
        <v>-156.80115312152645</v>
      </c>
      <c r="I200">
        <f>IF($A200&lt;=regressionsbase!$L$2,$A200*regressionsbase!$L$1,regressionsbase!$L$1*regressionsbase!$L$2+regressionsbase!$L$3*($A200-regressionsbase!$L$2))</f>
        <v>-97.942595699004869</v>
      </c>
      <c r="J200">
        <f>regressionsbase!J$1*A200+regressionsbase!J$2*A200^2</f>
        <v>-31.352243812658593</v>
      </c>
      <c r="K200">
        <f>regressionsbase!$V$1*A200</f>
        <v>-15.49756612493254</v>
      </c>
      <c r="L200">
        <f>regressionsbase!$N$1*A200^2</f>
        <v>-53.382205635887324</v>
      </c>
      <c r="M200">
        <f>regressionsbase!$R$1*A200^2+regressionsbase!$R$2*A200^6</f>
        <v>-79.013532746323534</v>
      </c>
      <c r="N200">
        <f>regressionsbase!$P$1*A200^2+regressionsbase!$P$2*A200^7</f>
        <v>285.34618718334133</v>
      </c>
      <c r="O200">
        <f>regressionsbase!T$2+regressionsbase!T$1*EXP(A200)</f>
        <v>-189166.82627615504</v>
      </c>
      <c r="P200" s="20">
        <f>(1-EXP(-2*regressionsbase!X$1*graphbase!A200))/2/EXP(-regressionsbase!X$1*A200)</f>
        <v>-520.76554520636603</v>
      </c>
      <c r="AT200" s="33"/>
      <c r="AW200" s="33"/>
      <c r="AZ200" s="33"/>
    </row>
    <row r="201" spans="1:52" x14ac:dyDescent="0.35">
      <c r="A201">
        <f t="shared" ref="A201:A203" si="15">0.1+A200</f>
        <v>17.799999999999983</v>
      </c>
      <c r="B201">
        <f t="shared" si="12"/>
        <v>-171.32232098395573</v>
      </c>
      <c r="C201">
        <f>regressionsbase!$AR$1*$A201</f>
        <v>19.838230479066983</v>
      </c>
      <c r="D201">
        <f>regressionsbase!$AO$1*$A201</f>
        <v>28.122426184093097</v>
      </c>
      <c r="E201">
        <f t="shared" si="13"/>
        <v>-131.64586002582178</v>
      </c>
      <c r="F201">
        <f t="shared" si="14"/>
        <v>-227.56717335214194</v>
      </c>
      <c r="G201" s="5">
        <f>B201-regressions!AA$7</f>
        <v>-175.04360957442069</v>
      </c>
      <c r="H201" s="5">
        <f>B201+regressions!AA$7</f>
        <v>-167.60103239349078</v>
      </c>
      <c r="I201">
        <f>IF($A201&lt;=regressionsbase!$L$2,$A201*regressionsbase!$L$1,regressionsbase!$L$1*regressionsbase!$L$2+regressionsbase!$L$3*($A201-regressionsbase!$L$2))</f>
        <v>-99.725336115832405</v>
      </c>
      <c r="J201">
        <f>regressionsbase!J$1*A201+regressionsbase!J$2*A201^2</f>
        <v>-31.652200858274533</v>
      </c>
      <c r="K201">
        <f>regressionsbase!$V$1*A201</f>
        <v>-15.585122995694872</v>
      </c>
      <c r="L201">
        <f>regressionsbase!$N$1*A201^2</f>
        <v>-53.9870983231975</v>
      </c>
      <c r="M201">
        <f>regressionsbase!$R$1*A201^2+regressionsbase!$R$2*A201^6</f>
        <v>-80.86473081175788</v>
      </c>
      <c r="N201">
        <f>regressionsbase!$P$1*A201^2+regressionsbase!$P$2*A201^7</f>
        <v>298.47085027718288</v>
      </c>
      <c r="O201">
        <f>regressionsbase!T$2+regressionsbase!T$1*EXP(A201)</f>
        <v>-209061.67547407982</v>
      </c>
      <c r="P201" s="20">
        <f>(1-EXP(-2*regressionsbase!X$1*graphbase!A201))/2/EXP(-regressionsbase!X$1*A201)</f>
        <v>-541.61573253334279</v>
      </c>
      <c r="AT201" s="33"/>
      <c r="AW201" s="33"/>
      <c r="AZ201" s="33"/>
    </row>
    <row r="202" spans="1:52" x14ac:dyDescent="0.35">
      <c r="A202">
        <f t="shared" si="15"/>
        <v>17.899999999999984</v>
      </c>
      <c r="B202">
        <f t="shared" si="12"/>
        <v>-183.12052885268744</v>
      </c>
      <c r="C202">
        <f>regressionsbase!$AR$1*$A202</f>
        <v>19.949681212095452</v>
      </c>
      <c r="D202">
        <f>regressionsbase!$AO$1*$A202</f>
        <v>28.280417342430702</v>
      </c>
      <c r="E202">
        <f t="shared" si="13"/>
        <v>-143.22116642849653</v>
      </c>
      <c r="F202">
        <f t="shared" si="14"/>
        <v>-239.68136353754886</v>
      </c>
      <c r="G202" s="5">
        <f>B202-regressions!AA$7</f>
        <v>-186.84181744315239</v>
      </c>
      <c r="H202" s="5">
        <f>B202+regressions!AA$7</f>
        <v>-179.39924026222249</v>
      </c>
      <c r="I202">
        <f>IF($A202&lt;=regressionsbase!$L$2,$A202*regressionsbase!$L$1,regressionsbase!$L$1*regressionsbase!$L$2+regressionsbase!$L$3*($A202-regressionsbase!$L$2))</f>
        <v>-101.50807653265993</v>
      </c>
      <c r="J202">
        <f>regressionsbase!J$1*A202+regressionsbase!J$2*A202^2</f>
        <v>-31.95353796821227</v>
      </c>
      <c r="K202">
        <f>regressionsbase!$V$1*A202</f>
        <v>-15.672679866457205</v>
      </c>
      <c r="L202">
        <f>regressionsbase!$N$1*A202^2</f>
        <v>-54.595398856633359</v>
      </c>
      <c r="M202">
        <f>regressionsbase!$R$1*A202^2+regressionsbase!$R$2*A202^6</f>
        <v>-82.758943174593526</v>
      </c>
      <c r="N202">
        <f>regressionsbase!$P$1*A202^2+regressionsbase!$P$2*A202^7</f>
        <v>312.06395480239712</v>
      </c>
      <c r="O202">
        <f>regressionsbase!T$2+regressionsbase!T$1*EXP(A202)</f>
        <v>-231048.88422712695</v>
      </c>
      <c r="P202" s="20">
        <f>(1-EXP(-2*regressionsbase!X$1*graphbase!A202))/2/EXP(-regressionsbase!X$1*A202)</f>
        <v>-563.30070774843148</v>
      </c>
      <c r="AT202" s="33"/>
      <c r="AW202" s="33"/>
      <c r="AZ202" s="33"/>
    </row>
    <row r="203" spans="1:52" x14ac:dyDescent="0.35">
      <c r="A203">
        <f t="shared" si="15"/>
        <v>17.999999999999986</v>
      </c>
      <c r="B203">
        <f t="shared" si="12"/>
        <v>-196.01852328709987</v>
      </c>
      <c r="C203">
        <f>regressionsbase!$AR$1*$A203</f>
        <v>20.061131945123918</v>
      </c>
      <c r="D203">
        <f>regressionsbase!$AO$1*$A203</f>
        <v>28.438408500768304</v>
      </c>
      <c r="E203">
        <f t="shared" si="13"/>
        <v>-155.89625939685203</v>
      </c>
      <c r="F203">
        <f t="shared" si="14"/>
        <v>-252.89534028863648</v>
      </c>
      <c r="G203" s="5">
        <f>B203-regressions!AA$7</f>
        <v>-199.73981187756482</v>
      </c>
      <c r="H203" s="5">
        <f>B203+regressions!AA$7</f>
        <v>-192.29723469663492</v>
      </c>
      <c r="I203">
        <f>IF($A203&lt;=regressionsbase!$L$2,$A203*regressionsbase!$L$1,regressionsbase!$L$1*regressionsbase!$L$2+regressionsbase!$L$3*($A203-regressionsbase!$L$2))</f>
        <v>-103.29081694948745</v>
      </c>
      <c r="J203">
        <f>regressionsbase!J$1*A203+regressionsbase!J$2*A203^2</f>
        <v>-32.256255142471815</v>
      </c>
      <c r="K203">
        <f>regressionsbase!$V$1*A203</f>
        <v>-15.760236737219536</v>
      </c>
      <c r="L203">
        <f>regressionsbase!$N$1*A203^2</f>
        <v>-55.207107236194908</v>
      </c>
      <c r="M203">
        <f>regressionsbase!$R$1*A203^2+regressionsbase!$R$2*A203^6</f>
        <v>-84.697090295879534</v>
      </c>
      <c r="N203">
        <f>regressionsbase!$P$1*A203^2+regressionsbase!$P$2*A203^7</f>
        <v>326.13891097752958</v>
      </c>
      <c r="O203">
        <f>regressionsbase!T$2+regressionsbase!T$1*EXP(A203)</f>
        <v>-255348.50791065302</v>
      </c>
      <c r="P203" s="20">
        <f>(1-EXP(-2*regressionsbase!X$1*graphbase!A203))/2/EXP(-regressionsbase!X$1*A203)</f>
        <v>-585.85389372614679</v>
      </c>
      <c r="AT203" s="33"/>
      <c r="AW203" s="33"/>
      <c r="AZ203" s="33"/>
    </row>
    <row r="204" spans="1:52" x14ac:dyDescent="0.35">
      <c r="P204" s="20"/>
      <c r="AT204" s="33"/>
      <c r="AW204" s="33"/>
      <c r="AZ204" s="33"/>
    </row>
    <row r="205" spans="1:52" x14ac:dyDescent="0.35">
      <c r="P205" s="20"/>
      <c r="AT205" s="33"/>
      <c r="AW205" s="33"/>
      <c r="AZ205" s="33"/>
    </row>
    <row r="206" spans="1:52" x14ac:dyDescent="0.35">
      <c r="P206" s="20"/>
      <c r="AT206" s="33"/>
      <c r="AW206" s="33"/>
      <c r="AZ206" s="33"/>
    </row>
    <row r="207" spans="1:52" x14ac:dyDescent="0.35">
      <c r="P207" s="20"/>
      <c r="AT207" s="33"/>
      <c r="AW207" s="33"/>
      <c r="AZ207" s="33"/>
    </row>
    <row r="208" spans="1:52" x14ac:dyDescent="0.35">
      <c r="P208" s="20"/>
      <c r="AT208" s="33"/>
      <c r="AW208" s="33"/>
      <c r="AZ208" s="33"/>
    </row>
    <row r="209" spans="16:52" x14ac:dyDescent="0.35">
      <c r="P209" s="20"/>
      <c r="AT209" s="33"/>
      <c r="AW209" s="33"/>
      <c r="AZ209" s="33"/>
    </row>
    <row r="210" spans="16:52" x14ac:dyDescent="0.35">
      <c r="P210" s="20"/>
      <c r="AT210" s="33"/>
      <c r="AW210" s="33"/>
      <c r="AZ210" s="33"/>
    </row>
    <row r="211" spans="16:52" x14ac:dyDescent="0.35">
      <c r="P211" s="20"/>
      <c r="AT211" s="33"/>
      <c r="AW211" s="33"/>
      <c r="AZ211" s="33"/>
    </row>
    <row r="212" spans="16:52" x14ac:dyDescent="0.35">
      <c r="P212" s="20"/>
      <c r="AT212" s="33"/>
      <c r="AW212" s="33"/>
      <c r="AZ212" s="33"/>
    </row>
    <row r="213" spans="16:52" x14ac:dyDescent="0.35">
      <c r="P213" s="20"/>
      <c r="AT213" s="33"/>
      <c r="AW213" s="33"/>
      <c r="AZ213" s="33"/>
    </row>
    <row r="214" spans="16:52" x14ac:dyDescent="0.35">
      <c r="P214" s="20"/>
      <c r="AT214" s="33"/>
      <c r="AW214" s="33"/>
      <c r="AZ214" s="33"/>
    </row>
    <row r="215" spans="16:52" x14ac:dyDescent="0.35">
      <c r="P215" s="20"/>
      <c r="AT215" s="33"/>
      <c r="AW215" s="33"/>
      <c r="AZ215" s="33"/>
    </row>
    <row r="216" spans="16:52" x14ac:dyDescent="0.35">
      <c r="P216" s="20"/>
      <c r="AT216" s="33"/>
      <c r="AW216" s="33"/>
      <c r="AZ216" s="33"/>
    </row>
    <row r="217" spans="16:52" x14ac:dyDescent="0.35">
      <c r="P217" s="20"/>
      <c r="AT217" s="33"/>
      <c r="AW217" s="33"/>
      <c r="AZ217" s="33"/>
    </row>
    <row r="218" spans="16:52" x14ac:dyDescent="0.35">
      <c r="P218" s="20"/>
      <c r="AT218" s="33"/>
      <c r="AW218" s="33"/>
      <c r="AZ218" s="33"/>
    </row>
    <row r="219" spans="16:52" x14ac:dyDescent="0.35">
      <c r="P219" s="20"/>
      <c r="AT219" s="33"/>
      <c r="AW219" s="33"/>
      <c r="AZ219" s="33"/>
    </row>
    <row r="220" spans="16:52" x14ac:dyDescent="0.35">
      <c r="P220" s="20"/>
      <c r="AT220" s="33"/>
      <c r="AW220" s="33"/>
      <c r="AZ220" s="33"/>
    </row>
    <row r="221" spans="16:52" x14ac:dyDescent="0.35">
      <c r="P221" s="20"/>
      <c r="AT221" s="33"/>
      <c r="AW221" s="33"/>
      <c r="AZ221" s="33"/>
    </row>
    <row r="222" spans="16:52" x14ac:dyDescent="0.35">
      <c r="P222" s="20"/>
      <c r="AT222" s="33"/>
      <c r="AW222" s="33"/>
      <c r="AZ222" s="33"/>
    </row>
    <row r="223" spans="16:52" x14ac:dyDescent="0.35">
      <c r="P223" s="20"/>
      <c r="AT223" s="33"/>
      <c r="AW223" s="33"/>
      <c r="AZ223" s="33"/>
    </row>
    <row r="224" spans="16:52" x14ac:dyDescent="0.35">
      <c r="P224" s="20"/>
      <c r="AT224" s="33"/>
      <c r="AW224" s="33"/>
      <c r="AZ224" s="33"/>
    </row>
    <row r="225" spans="16:52" x14ac:dyDescent="0.35">
      <c r="P225" s="20"/>
      <c r="AT225" s="33"/>
      <c r="AW225" s="33"/>
      <c r="AZ225" s="33"/>
    </row>
    <row r="226" spans="16:52" x14ac:dyDescent="0.35">
      <c r="P226" s="20"/>
      <c r="AT226" s="33"/>
      <c r="AW226" s="33"/>
      <c r="AZ226" s="33"/>
    </row>
    <row r="227" spans="16:52" x14ac:dyDescent="0.35">
      <c r="P227" s="20"/>
      <c r="AT227" s="33"/>
      <c r="AW227" s="33"/>
      <c r="AZ227" s="33"/>
    </row>
    <row r="228" spans="16:52" x14ac:dyDescent="0.35">
      <c r="P228" s="20"/>
      <c r="AT228" s="33"/>
      <c r="AW228" s="33"/>
      <c r="AZ228" s="33"/>
    </row>
    <row r="229" spans="16:52" x14ac:dyDescent="0.35">
      <c r="P229" s="20"/>
      <c r="AT229" s="33"/>
      <c r="AW229" s="33"/>
      <c r="AZ229" s="33"/>
    </row>
    <row r="230" spans="16:52" x14ac:dyDescent="0.35">
      <c r="P230" s="20"/>
      <c r="AT230" s="33"/>
      <c r="AW230" s="33"/>
      <c r="AZ230" s="33"/>
    </row>
    <row r="231" spans="16:52" x14ac:dyDescent="0.35">
      <c r="P231" s="20"/>
      <c r="AT231" s="33"/>
      <c r="AW231" s="33"/>
      <c r="AZ231" s="33"/>
    </row>
    <row r="232" spans="16:52" x14ac:dyDescent="0.35">
      <c r="P232" s="20"/>
      <c r="AT232" s="33"/>
      <c r="AW232" s="33"/>
      <c r="AZ232" s="33"/>
    </row>
    <row r="233" spans="16:52" x14ac:dyDescent="0.35">
      <c r="P233" s="20"/>
      <c r="AT233" s="33"/>
      <c r="AW233" s="33"/>
      <c r="AZ233" s="33"/>
    </row>
    <row r="234" spans="16:52" x14ac:dyDescent="0.35">
      <c r="P234" s="20"/>
      <c r="AT234" s="33"/>
      <c r="AW234" s="33"/>
      <c r="AZ234" s="33"/>
    </row>
    <row r="235" spans="16:52" x14ac:dyDescent="0.35">
      <c r="P235" s="20"/>
      <c r="AT235" s="33"/>
      <c r="AW235" s="33"/>
      <c r="AZ235" s="33"/>
    </row>
    <row r="236" spans="16:52" x14ac:dyDescent="0.35">
      <c r="P236" s="20"/>
      <c r="AT236" s="33"/>
      <c r="AW236" s="33"/>
      <c r="AZ236" s="33"/>
    </row>
    <row r="237" spans="16:52" x14ac:dyDescent="0.35">
      <c r="P237" s="20"/>
      <c r="AT237" s="33"/>
      <c r="AW237" s="33"/>
      <c r="AZ237" s="33"/>
    </row>
    <row r="238" spans="16:52" x14ac:dyDescent="0.35">
      <c r="P238" s="20"/>
      <c r="AT238" s="33"/>
      <c r="AW238" s="33"/>
      <c r="AZ238" s="33"/>
    </row>
    <row r="239" spans="16:52" x14ac:dyDescent="0.35">
      <c r="P239" s="20"/>
      <c r="AT239" s="33"/>
      <c r="AW239" s="33"/>
      <c r="AZ239" s="33"/>
    </row>
    <row r="240" spans="16:52" x14ac:dyDescent="0.35">
      <c r="P240" s="20"/>
      <c r="AT240" s="33"/>
      <c r="AW240" s="33"/>
      <c r="AZ240" s="33"/>
    </row>
    <row r="241" spans="16:52" x14ac:dyDescent="0.35">
      <c r="P241" s="20"/>
      <c r="AT241" s="33"/>
      <c r="AW241" s="33"/>
      <c r="AZ241" s="33"/>
    </row>
    <row r="242" spans="16:52" x14ac:dyDescent="0.35">
      <c r="P242" s="20"/>
      <c r="AT242" s="33"/>
      <c r="AW242" s="33"/>
      <c r="AZ242" s="33"/>
    </row>
    <row r="243" spans="16:52" x14ac:dyDescent="0.35">
      <c r="P243" s="20"/>
      <c r="AT243" s="33"/>
      <c r="AW243" s="33"/>
      <c r="AZ243" s="33"/>
    </row>
    <row r="244" spans="16:52" x14ac:dyDescent="0.35">
      <c r="P244" s="20"/>
      <c r="AT244" s="33"/>
      <c r="AW244" s="33"/>
      <c r="AZ244" s="33"/>
    </row>
    <row r="245" spans="16:52" x14ac:dyDescent="0.35">
      <c r="P245" s="20"/>
      <c r="AT245" s="33"/>
      <c r="AW245" s="33"/>
      <c r="AZ245" s="33"/>
    </row>
    <row r="246" spans="16:52" x14ac:dyDescent="0.35">
      <c r="P246" s="20"/>
      <c r="AT246" s="33"/>
      <c r="AW246" s="33"/>
      <c r="AZ246" s="33"/>
    </row>
    <row r="247" spans="16:52" x14ac:dyDescent="0.35">
      <c r="P247" s="20"/>
      <c r="AT247" s="33"/>
      <c r="AW247" s="33"/>
      <c r="AZ247" s="33"/>
    </row>
    <row r="248" spans="16:52" x14ac:dyDescent="0.35">
      <c r="P248" s="20"/>
      <c r="AT248" s="33"/>
      <c r="AW248" s="33"/>
      <c r="AZ248" s="33"/>
    </row>
    <row r="249" spans="16:52" x14ac:dyDescent="0.35">
      <c r="P249" s="20"/>
      <c r="AT249" s="33"/>
      <c r="AW249" s="33"/>
      <c r="AZ249" s="33"/>
    </row>
    <row r="250" spans="16:52" x14ac:dyDescent="0.35">
      <c r="P250" s="20"/>
      <c r="AT250" s="33"/>
      <c r="AW250" s="33"/>
      <c r="AZ250" s="33"/>
    </row>
    <row r="251" spans="16:52" x14ac:dyDescent="0.35">
      <c r="P251" s="20"/>
      <c r="AT251" s="33"/>
      <c r="AW251" s="33"/>
      <c r="AZ251" s="33"/>
    </row>
    <row r="252" spans="16:52" x14ac:dyDescent="0.35">
      <c r="P252" s="20"/>
      <c r="AT252" s="33"/>
      <c r="AW252" s="33"/>
      <c r="AZ252" s="33"/>
    </row>
    <row r="253" spans="16:52" x14ac:dyDescent="0.35">
      <c r="P253" s="20"/>
      <c r="AT253" s="33"/>
      <c r="AW253" s="33"/>
      <c r="AZ253" s="33"/>
    </row>
    <row r="254" spans="16:52" x14ac:dyDescent="0.35">
      <c r="P254" s="20"/>
      <c r="AT254" s="33"/>
      <c r="AW254" s="33"/>
      <c r="AZ254" s="33"/>
    </row>
    <row r="255" spans="16:52" x14ac:dyDescent="0.35">
      <c r="P255" s="20"/>
      <c r="AT255" s="33"/>
      <c r="AW255" s="33"/>
      <c r="AZ255" s="33"/>
    </row>
    <row r="256" spans="16:52" x14ac:dyDescent="0.35">
      <c r="P256" s="20"/>
      <c r="AT256" s="33"/>
      <c r="AW256" s="33"/>
      <c r="AZ256" s="33"/>
    </row>
    <row r="257" spans="16:52" x14ac:dyDescent="0.35">
      <c r="P257" s="20"/>
      <c r="AT257" s="33"/>
      <c r="AW257" s="33"/>
      <c r="AZ257" s="33"/>
    </row>
    <row r="258" spans="16:52" x14ac:dyDescent="0.35">
      <c r="P258" s="20"/>
      <c r="AT258" s="33"/>
      <c r="AW258" s="33"/>
      <c r="AZ258" s="33"/>
    </row>
    <row r="259" spans="16:52" x14ac:dyDescent="0.35">
      <c r="P259" s="20"/>
      <c r="AT259" s="33"/>
      <c r="AW259" s="33"/>
      <c r="AZ259" s="33"/>
    </row>
    <row r="260" spans="16:52" x14ac:dyDescent="0.35">
      <c r="P260" s="20"/>
      <c r="AT260" s="33"/>
      <c r="AW260" s="33"/>
      <c r="AZ260" s="33"/>
    </row>
    <row r="261" spans="16:52" x14ac:dyDescent="0.35">
      <c r="P261" s="20"/>
      <c r="AT261" s="33"/>
      <c r="AW261" s="33"/>
      <c r="AZ261" s="33"/>
    </row>
    <row r="262" spans="16:52" x14ac:dyDescent="0.35">
      <c r="P262" s="20"/>
      <c r="AT262" s="33"/>
      <c r="AW262" s="33"/>
      <c r="AZ262" s="33"/>
    </row>
    <row r="263" spans="16:52" x14ac:dyDescent="0.35">
      <c r="P263" s="20"/>
      <c r="AT263" s="33"/>
      <c r="AW263" s="33"/>
      <c r="AZ263" s="33"/>
    </row>
    <row r="264" spans="16:52" x14ac:dyDescent="0.35">
      <c r="P264" s="20"/>
      <c r="AT264" s="33"/>
      <c r="AW264" s="33"/>
      <c r="AZ264" s="33"/>
    </row>
    <row r="265" spans="16:52" x14ac:dyDescent="0.35">
      <c r="P265" s="20"/>
      <c r="AT265" s="33"/>
      <c r="AW265" s="33"/>
      <c r="AZ265" s="33"/>
    </row>
    <row r="266" spans="16:52" x14ac:dyDescent="0.35">
      <c r="P266" s="20"/>
      <c r="AT266" s="33"/>
      <c r="AW266" s="33"/>
      <c r="AZ266" s="33"/>
    </row>
    <row r="267" spans="16:52" x14ac:dyDescent="0.35">
      <c r="P267" s="20"/>
      <c r="AT267" s="33"/>
      <c r="AW267" s="33"/>
      <c r="AZ267" s="33"/>
    </row>
    <row r="268" spans="16:52" x14ac:dyDescent="0.35">
      <c r="P268" s="20"/>
      <c r="AT268" s="33"/>
      <c r="AW268" s="33"/>
      <c r="AZ268" s="33"/>
    </row>
    <row r="269" spans="16:52" x14ac:dyDescent="0.35">
      <c r="P269" s="20"/>
      <c r="AT269" s="33"/>
      <c r="AW269" s="33"/>
      <c r="AZ269" s="33"/>
    </row>
    <row r="270" spans="16:52" x14ac:dyDescent="0.35">
      <c r="P270" s="20"/>
      <c r="AT270" s="33"/>
      <c r="AW270" s="33"/>
      <c r="AZ270" s="33"/>
    </row>
    <row r="271" spans="16:52" x14ac:dyDescent="0.35">
      <c r="P271" s="20"/>
      <c r="AT271" s="33"/>
      <c r="AW271" s="33"/>
      <c r="AZ271" s="33"/>
    </row>
    <row r="272" spans="16:52" x14ac:dyDescent="0.35">
      <c r="P272" s="20"/>
      <c r="AT272" s="33"/>
      <c r="AW272" s="33"/>
      <c r="AZ272" s="33"/>
    </row>
    <row r="273" spans="16:52" x14ac:dyDescent="0.35">
      <c r="P273" s="20"/>
      <c r="AT273" s="33"/>
      <c r="AW273" s="33"/>
      <c r="AZ273" s="33"/>
    </row>
    <row r="274" spans="16:52" x14ac:dyDescent="0.35">
      <c r="P274" s="20"/>
      <c r="AT274" s="33"/>
      <c r="AW274" s="33"/>
      <c r="AZ274" s="33"/>
    </row>
    <row r="275" spans="16:52" x14ac:dyDescent="0.35">
      <c r="P275" s="20"/>
      <c r="AT275" s="33"/>
      <c r="AW275" s="33"/>
      <c r="AZ275" s="33"/>
    </row>
    <row r="276" spans="16:52" x14ac:dyDescent="0.35">
      <c r="P276" s="20"/>
      <c r="AT276" s="33"/>
      <c r="AW276" s="33"/>
      <c r="AZ276" s="33"/>
    </row>
    <row r="277" spans="16:52" x14ac:dyDescent="0.35">
      <c r="P277" s="20"/>
      <c r="AT277" s="33"/>
      <c r="AW277" s="33"/>
      <c r="AZ277" s="33"/>
    </row>
    <row r="278" spans="16:52" x14ac:dyDescent="0.35">
      <c r="P278" s="20"/>
      <c r="AT278" s="33"/>
      <c r="AW278" s="33"/>
      <c r="AZ278" s="33"/>
    </row>
    <row r="279" spans="16:52" x14ac:dyDescent="0.35">
      <c r="P279" s="20"/>
      <c r="AT279" s="33"/>
      <c r="AW279" s="33"/>
      <c r="AZ279" s="33"/>
    </row>
    <row r="280" spans="16:52" x14ac:dyDescent="0.35">
      <c r="P280" s="20"/>
      <c r="AT280" s="33"/>
      <c r="AW280" s="33"/>
      <c r="AZ280" s="33"/>
    </row>
    <row r="281" spans="16:52" x14ac:dyDescent="0.35">
      <c r="P281" s="20"/>
      <c r="AT281" s="33"/>
      <c r="AW281" s="33"/>
      <c r="AZ281" s="33"/>
    </row>
    <row r="282" spans="16:52" x14ac:dyDescent="0.35">
      <c r="P282" s="20"/>
      <c r="AT282" s="33"/>
      <c r="AW282" s="33"/>
      <c r="AZ282" s="33"/>
    </row>
    <row r="283" spans="16:52" x14ac:dyDescent="0.35">
      <c r="P283" s="20"/>
      <c r="AT283" s="33"/>
      <c r="AW283" s="33"/>
      <c r="AZ283" s="33"/>
    </row>
    <row r="284" spans="16:52" x14ac:dyDescent="0.35">
      <c r="P284" s="20"/>
      <c r="AT284" s="33"/>
      <c r="AW284" s="33"/>
      <c r="AZ284" s="33"/>
    </row>
    <row r="285" spans="16:52" x14ac:dyDescent="0.35">
      <c r="P285" s="20"/>
      <c r="AT285" s="33"/>
      <c r="AW285" s="33"/>
      <c r="AZ285" s="33"/>
    </row>
    <row r="286" spans="16:52" x14ac:dyDescent="0.35">
      <c r="P286" s="20"/>
      <c r="AT286" s="33"/>
      <c r="AW286" s="33"/>
      <c r="AZ286" s="33"/>
    </row>
    <row r="287" spans="16:52" x14ac:dyDescent="0.35">
      <c r="P287" s="20"/>
      <c r="AT287" s="33"/>
      <c r="AW287" s="33"/>
      <c r="AZ287" s="33"/>
    </row>
    <row r="288" spans="16:52" x14ac:dyDescent="0.35">
      <c r="P288" s="20"/>
      <c r="AT288" s="33"/>
      <c r="AW288" s="33"/>
      <c r="AZ288" s="33"/>
    </row>
    <row r="289" spans="16:52" x14ac:dyDescent="0.35">
      <c r="P289" s="20"/>
      <c r="AT289" s="33"/>
      <c r="AW289" s="33"/>
      <c r="AZ289" s="33"/>
    </row>
    <row r="290" spans="16:52" x14ac:dyDescent="0.35">
      <c r="P290" s="20"/>
      <c r="AT290" s="33"/>
      <c r="AW290" s="33"/>
      <c r="AZ290" s="33"/>
    </row>
    <row r="291" spans="16:52" x14ac:dyDescent="0.35">
      <c r="P291" s="20"/>
      <c r="AT291" s="33"/>
      <c r="AW291" s="33"/>
      <c r="AZ291" s="33"/>
    </row>
    <row r="292" spans="16:52" x14ac:dyDescent="0.35">
      <c r="P292" s="20"/>
      <c r="AT292" s="33"/>
      <c r="AW292" s="33"/>
      <c r="AZ292" s="33"/>
    </row>
    <row r="293" spans="16:52" x14ac:dyDescent="0.35">
      <c r="P293" s="20"/>
      <c r="AT293" s="33"/>
      <c r="AW293" s="33"/>
      <c r="AZ293" s="33"/>
    </row>
    <row r="294" spans="16:52" x14ac:dyDescent="0.35">
      <c r="P294" s="20"/>
      <c r="AT294" s="33"/>
      <c r="AW294" s="33"/>
      <c r="AZ294" s="33"/>
    </row>
    <row r="295" spans="16:52" x14ac:dyDescent="0.35">
      <c r="P295" s="20"/>
      <c r="AT295" s="33"/>
      <c r="AW295" s="33"/>
      <c r="AZ295" s="33"/>
    </row>
    <row r="296" spans="16:52" x14ac:dyDescent="0.35">
      <c r="P296" s="20"/>
      <c r="AT296" s="33"/>
      <c r="AW296" s="33"/>
      <c r="AZ296" s="33"/>
    </row>
    <row r="297" spans="16:52" x14ac:dyDescent="0.35">
      <c r="P297" s="20"/>
      <c r="AT297" s="33"/>
      <c r="AW297" s="33"/>
      <c r="AZ297" s="33"/>
    </row>
    <row r="298" spans="16:52" x14ac:dyDescent="0.35">
      <c r="P298" s="20"/>
      <c r="AT298" s="33"/>
      <c r="AW298" s="33"/>
      <c r="AZ298" s="33"/>
    </row>
    <row r="299" spans="16:52" x14ac:dyDescent="0.35">
      <c r="P299" s="20"/>
      <c r="AT299" s="33"/>
      <c r="AW299" s="33"/>
      <c r="AZ299" s="33"/>
    </row>
    <row r="300" spans="16:52" x14ac:dyDescent="0.35">
      <c r="P300" s="20"/>
      <c r="AT300" s="33"/>
      <c r="AW300" s="33"/>
      <c r="AZ300" s="33"/>
    </row>
    <row r="301" spans="16:52" x14ac:dyDescent="0.35">
      <c r="P301" s="20"/>
      <c r="AT301" s="33"/>
      <c r="AW301" s="33"/>
      <c r="AZ301" s="33"/>
    </row>
    <row r="302" spans="16:52" x14ac:dyDescent="0.35">
      <c r="P302" s="20"/>
      <c r="AT302" s="33"/>
      <c r="AW302" s="33"/>
      <c r="AZ302" s="33"/>
    </row>
    <row r="303" spans="16:52" x14ac:dyDescent="0.35">
      <c r="P303" s="20"/>
      <c r="AT303" s="33"/>
      <c r="AW303" s="33"/>
      <c r="AZ303" s="33"/>
    </row>
    <row r="304" spans="16:52" x14ac:dyDescent="0.35">
      <c r="P304" s="20"/>
      <c r="AT304" s="33"/>
      <c r="AW304" s="33"/>
      <c r="AZ304" s="33"/>
    </row>
    <row r="305" spans="16:52" x14ac:dyDescent="0.35">
      <c r="P305" s="20"/>
      <c r="AT305" s="33"/>
      <c r="AW305" s="33"/>
      <c r="AZ305" s="33"/>
    </row>
    <row r="306" spans="16:52" x14ac:dyDescent="0.35">
      <c r="P306" s="20"/>
      <c r="AT306" s="33"/>
      <c r="AW306" s="33"/>
      <c r="AZ306" s="33"/>
    </row>
    <row r="307" spans="16:52" x14ac:dyDescent="0.35">
      <c r="P307" s="20"/>
      <c r="AT307" s="33"/>
      <c r="AW307" s="33"/>
      <c r="AZ307" s="33"/>
    </row>
    <row r="308" spans="16:52" x14ac:dyDescent="0.35">
      <c r="P308" s="20"/>
      <c r="AT308" s="33"/>
      <c r="AW308" s="33"/>
      <c r="AZ308" s="33"/>
    </row>
    <row r="309" spans="16:52" x14ac:dyDescent="0.35">
      <c r="P309" s="20"/>
      <c r="AT309" s="33"/>
      <c r="AW309" s="33"/>
      <c r="AZ309" s="33"/>
    </row>
    <row r="310" spans="16:52" x14ac:dyDescent="0.35">
      <c r="P310" s="20"/>
      <c r="AT310" s="33"/>
      <c r="AW310" s="33"/>
      <c r="AZ310" s="33"/>
    </row>
    <row r="311" spans="16:52" x14ac:dyDescent="0.35">
      <c r="P311" s="20"/>
      <c r="AT311" s="33"/>
      <c r="AW311" s="33"/>
      <c r="AZ311" s="33"/>
    </row>
    <row r="312" spans="16:52" x14ac:dyDescent="0.35">
      <c r="P312" s="20"/>
      <c r="AT312" s="33"/>
      <c r="AW312" s="33"/>
      <c r="AZ312" s="33"/>
    </row>
    <row r="313" spans="16:52" x14ac:dyDescent="0.35">
      <c r="P313" s="20"/>
      <c r="AT313" s="33"/>
      <c r="AW313" s="33"/>
      <c r="AZ313" s="33"/>
    </row>
    <row r="314" spans="16:52" x14ac:dyDescent="0.35">
      <c r="P314" s="20"/>
      <c r="AT314" s="33"/>
      <c r="AW314" s="33"/>
      <c r="AZ314" s="33"/>
    </row>
    <row r="315" spans="16:52" x14ac:dyDescent="0.35">
      <c r="P315" s="20"/>
      <c r="AT315" s="33"/>
      <c r="AW315" s="33"/>
      <c r="AZ315" s="33"/>
    </row>
    <row r="316" spans="16:52" x14ac:dyDescent="0.35">
      <c r="P316" s="20"/>
      <c r="AT316" s="33"/>
      <c r="AW316" s="33"/>
      <c r="AZ316" s="33"/>
    </row>
    <row r="317" spans="16:52" x14ac:dyDescent="0.35">
      <c r="P317" s="20"/>
      <c r="AT317" s="33"/>
      <c r="AW317" s="33"/>
      <c r="AZ317" s="33"/>
    </row>
    <row r="318" spans="16:52" x14ac:dyDescent="0.35">
      <c r="P318" s="20"/>
      <c r="AT318" s="33"/>
      <c r="AW318" s="33"/>
      <c r="AZ318" s="33"/>
    </row>
    <row r="319" spans="16:52" x14ac:dyDescent="0.35">
      <c r="P319" s="20"/>
      <c r="AT319" s="33"/>
      <c r="AW319" s="33"/>
      <c r="AZ319" s="33"/>
    </row>
    <row r="320" spans="16:52" x14ac:dyDescent="0.35">
      <c r="P320" s="20"/>
      <c r="AT320" s="33"/>
      <c r="AW320" s="33"/>
      <c r="AZ320" s="33"/>
    </row>
    <row r="321" spans="16:52" x14ac:dyDescent="0.35">
      <c r="P321" s="20"/>
      <c r="AT321" s="33"/>
      <c r="AW321" s="33"/>
      <c r="AZ321" s="33"/>
    </row>
    <row r="322" spans="16:52" x14ac:dyDescent="0.35">
      <c r="P322" s="20"/>
      <c r="AT322" s="33"/>
      <c r="AW322" s="33"/>
      <c r="AZ322" s="33"/>
    </row>
    <row r="323" spans="16:52" x14ac:dyDescent="0.35">
      <c r="P323" s="20"/>
      <c r="AT323" s="33"/>
      <c r="AW323" s="33"/>
      <c r="AZ323" s="33"/>
    </row>
    <row r="324" spans="16:52" x14ac:dyDescent="0.35">
      <c r="P324" s="20"/>
      <c r="AT324" s="33"/>
      <c r="AW324" s="33"/>
      <c r="AZ324" s="33"/>
    </row>
    <row r="325" spans="16:52" x14ac:dyDescent="0.35">
      <c r="P325" s="20"/>
      <c r="AT325" s="33"/>
      <c r="AW325" s="33"/>
      <c r="AZ325" s="33"/>
    </row>
    <row r="326" spans="16:52" x14ac:dyDescent="0.35">
      <c r="P326" s="20"/>
      <c r="AT326" s="33"/>
      <c r="AW326" s="33"/>
      <c r="AZ326" s="33"/>
    </row>
    <row r="327" spans="16:52" x14ac:dyDescent="0.35">
      <c r="P327" s="20"/>
      <c r="AT327" s="33"/>
      <c r="AW327" s="33"/>
      <c r="AZ327" s="33"/>
    </row>
    <row r="328" spans="16:52" x14ac:dyDescent="0.35">
      <c r="P328" s="20"/>
      <c r="AT328" s="33"/>
      <c r="AW328" s="33"/>
      <c r="AZ328" s="33"/>
    </row>
    <row r="329" spans="16:52" x14ac:dyDescent="0.35">
      <c r="P329" s="20"/>
      <c r="AT329" s="33"/>
      <c r="AW329" s="33"/>
      <c r="AZ329" s="33"/>
    </row>
    <row r="330" spans="16:52" x14ac:dyDescent="0.35">
      <c r="P330" s="20"/>
      <c r="AT330" s="33"/>
      <c r="AW330" s="33"/>
      <c r="AZ330" s="33"/>
    </row>
    <row r="331" spans="16:52" x14ac:dyDescent="0.35">
      <c r="P331" s="20"/>
      <c r="AT331" s="33"/>
      <c r="AW331" s="33"/>
      <c r="AZ331" s="33"/>
    </row>
    <row r="332" spans="16:52" x14ac:dyDescent="0.35">
      <c r="P332" s="20"/>
      <c r="AT332" s="33"/>
      <c r="AW332" s="33"/>
      <c r="AZ332" s="33"/>
    </row>
    <row r="333" spans="16:52" x14ac:dyDescent="0.35">
      <c r="P333" s="20"/>
      <c r="AT333" s="33"/>
      <c r="AW333" s="33"/>
      <c r="AZ333" s="33"/>
    </row>
    <row r="334" spans="16:52" x14ac:dyDescent="0.35">
      <c r="P334" s="20"/>
      <c r="AT334" s="33"/>
      <c r="AW334" s="33"/>
      <c r="AZ334" s="33"/>
    </row>
    <row r="335" spans="16:52" x14ac:dyDescent="0.35">
      <c r="P335" s="20"/>
      <c r="AT335" s="33"/>
      <c r="AW335" s="33"/>
      <c r="AZ335" s="33"/>
    </row>
    <row r="336" spans="16:52" x14ac:dyDescent="0.35">
      <c r="P336" s="20"/>
      <c r="AT336" s="33"/>
      <c r="AW336" s="33"/>
      <c r="AZ336" s="33"/>
    </row>
    <row r="337" spans="16:52" x14ac:dyDescent="0.35">
      <c r="P337" s="20"/>
      <c r="AT337" s="33"/>
      <c r="AW337" s="33"/>
      <c r="AZ337" s="33"/>
    </row>
    <row r="338" spans="16:52" x14ac:dyDescent="0.35">
      <c r="P338" s="20"/>
      <c r="AT338" s="33"/>
      <c r="AW338" s="33"/>
      <c r="AZ338" s="33"/>
    </row>
    <row r="339" spans="16:52" x14ac:dyDescent="0.35">
      <c r="P339" s="20"/>
      <c r="AT339" s="33"/>
      <c r="AW339" s="33"/>
      <c r="AZ339" s="33"/>
    </row>
    <row r="340" spans="16:52" x14ac:dyDescent="0.35">
      <c r="P340" s="20"/>
      <c r="AT340" s="33"/>
      <c r="AW340" s="33"/>
      <c r="AZ340" s="33"/>
    </row>
    <row r="341" spans="16:52" x14ac:dyDescent="0.35">
      <c r="P341" s="20"/>
      <c r="AT341" s="33"/>
      <c r="AW341" s="33"/>
      <c r="AZ341" s="33"/>
    </row>
    <row r="342" spans="16:52" x14ac:dyDescent="0.35">
      <c r="P342" s="20"/>
      <c r="AT342" s="33"/>
      <c r="AW342" s="33"/>
      <c r="AZ342" s="33"/>
    </row>
    <row r="343" spans="16:52" x14ac:dyDescent="0.35">
      <c r="P343" s="20"/>
      <c r="AT343" s="33"/>
      <c r="AW343" s="33"/>
      <c r="AZ343" s="33"/>
    </row>
    <row r="344" spans="16:52" x14ac:dyDescent="0.35">
      <c r="P344" s="20"/>
      <c r="AT344" s="33"/>
      <c r="AW344" s="33"/>
      <c r="AZ344" s="33"/>
    </row>
    <row r="345" spans="16:52" x14ac:dyDescent="0.35">
      <c r="P345" s="20"/>
      <c r="AT345" s="33"/>
      <c r="AW345" s="33"/>
      <c r="AZ345" s="33"/>
    </row>
    <row r="346" spans="16:52" x14ac:dyDescent="0.35">
      <c r="P346" s="20"/>
      <c r="AT346" s="33"/>
      <c r="AW346" s="33"/>
      <c r="AZ346" s="33"/>
    </row>
    <row r="347" spans="16:52" x14ac:dyDescent="0.35">
      <c r="P347" s="20"/>
      <c r="AT347" s="33"/>
      <c r="AW347" s="33"/>
      <c r="AZ347" s="33"/>
    </row>
    <row r="348" spans="16:52" x14ac:dyDescent="0.35">
      <c r="P348" s="20"/>
      <c r="AT348" s="33"/>
      <c r="AW348" s="33"/>
      <c r="AZ348" s="33"/>
    </row>
    <row r="349" spans="16:52" x14ac:dyDescent="0.35">
      <c r="P349" s="20"/>
      <c r="AT349" s="33"/>
      <c r="AW349" s="33"/>
      <c r="AZ349" s="33"/>
    </row>
    <row r="350" spans="16:52" x14ac:dyDescent="0.35">
      <c r="P350" s="20"/>
      <c r="AT350" s="33"/>
      <c r="AW350" s="33"/>
      <c r="AZ350" s="33"/>
    </row>
    <row r="351" spans="16:52" x14ac:dyDescent="0.35">
      <c r="P351" s="20"/>
      <c r="AT351" s="33"/>
      <c r="AW351" s="33"/>
      <c r="AZ351" s="33"/>
    </row>
    <row r="352" spans="16:52" x14ac:dyDescent="0.35">
      <c r="P352" s="20"/>
      <c r="AT352" s="33"/>
      <c r="AW352" s="33"/>
      <c r="AZ352" s="33"/>
    </row>
    <row r="353" spans="16:52" x14ac:dyDescent="0.35">
      <c r="P353" s="20"/>
      <c r="AT353" s="33"/>
      <c r="AW353" s="33"/>
      <c r="AZ353" s="33"/>
    </row>
    <row r="354" spans="16:52" x14ac:dyDescent="0.35">
      <c r="P354" s="20"/>
      <c r="AT354" s="33"/>
      <c r="AW354" s="33"/>
      <c r="AZ354" s="33"/>
    </row>
    <row r="355" spans="16:52" x14ac:dyDescent="0.35">
      <c r="P355" s="20"/>
      <c r="AT355" s="33"/>
      <c r="AW355" s="33"/>
      <c r="AZ355" s="33"/>
    </row>
    <row r="356" spans="16:52" x14ac:dyDescent="0.35">
      <c r="P356" s="20"/>
      <c r="AT356" s="33"/>
      <c r="AW356" s="33"/>
      <c r="AZ356" s="33"/>
    </row>
    <row r="357" spans="16:52" x14ac:dyDescent="0.35">
      <c r="P357" s="20"/>
      <c r="AT357" s="33"/>
      <c r="AW357" s="33"/>
      <c r="AZ357" s="33"/>
    </row>
    <row r="358" spans="16:52" x14ac:dyDescent="0.35">
      <c r="P358" s="20"/>
      <c r="AT358" s="33"/>
      <c r="AW358" s="33"/>
      <c r="AZ358" s="33"/>
    </row>
    <row r="359" spans="16:52" x14ac:dyDescent="0.35">
      <c r="P359" s="20"/>
      <c r="AT359" s="33"/>
      <c r="AW359" s="33"/>
      <c r="AZ359" s="33"/>
    </row>
    <row r="360" spans="16:52" x14ac:dyDescent="0.35">
      <c r="P360" s="20"/>
      <c r="AT360" s="33"/>
      <c r="AW360" s="33"/>
      <c r="AZ360" s="33"/>
    </row>
    <row r="361" spans="16:52" x14ac:dyDescent="0.35">
      <c r="P361" s="20"/>
      <c r="AT361" s="33"/>
      <c r="AW361" s="33"/>
      <c r="AZ361" s="33"/>
    </row>
    <row r="362" spans="16:52" x14ac:dyDescent="0.35">
      <c r="P362" s="20"/>
      <c r="AT362" s="33"/>
      <c r="AW362" s="33"/>
      <c r="AZ362" s="33"/>
    </row>
    <row r="363" spans="16:52" x14ac:dyDescent="0.35">
      <c r="P363" s="20"/>
      <c r="AT363" s="33"/>
      <c r="AW363" s="33"/>
      <c r="AZ363" s="33"/>
    </row>
    <row r="364" spans="16:52" x14ac:dyDescent="0.35">
      <c r="P364" s="20"/>
      <c r="AT364" s="33"/>
      <c r="AW364" s="33"/>
      <c r="AZ364" s="33"/>
    </row>
    <row r="365" spans="16:52" x14ac:dyDescent="0.35">
      <c r="P365" s="20"/>
      <c r="AT365" s="33"/>
      <c r="AW365" s="33"/>
      <c r="AZ365" s="33"/>
    </row>
    <row r="366" spans="16:52" x14ac:dyDescent="0.35">
      <c r="P366" s="20"/>
      <c r="AT366" s="33"/>
      <c r="AW366" s="33"/>
      <c r="AZ366" s="33"/>
    </row>
    <row r="367" spans="16:52" x14ac:dyDescent="0.35">
      <c r="P367" s="20"/>
      <c r="AT367" s="33"/>
      <c r="AW367" s="33"/>
      <c r="AZ367" s="33"/>
    </row>
    <row r="368" spans="16:52" x14ac:dyDescent="0.35">
      <c r="P368" s="20"/>
      <c r="AT368" s="33"/>
      <c r="AW368" s="33"/>
      <c r="AZ368" s="33"/>
    </row>
    <row r="369" spans="16:52" x14ac:dyDescent="0.35">
      <c r="P369" s="20"/>
      <c r="AT369" s="33"/>
      <c r="AW369" s="33"/>
      <c r="AZ369" s="33"/>
    </row>
    <row r="370" spans="16:52" x14ac:dyDescent="0.35">
      <c r="P370" s="20"/>
      <c r="AT370" s="33"/>
      <c r="AW370" s="33"/>
      <c r="AZ370" s="33"/>
    </row>
    <row r="371" spans="16:52" x14ac:dyDescent="0.35">
      <c r="P371" s="20"/>
      <c r="AT371" s="33"/>
      <c r="AW371" s="33"/>
      <c r="AZ371" s="33"/>
    </row>
    <row r="372" spans="16:52" x14ac:dyDescent="0.35">
      <c r="P372" s="20"/>
      <c r="AT372" s="33"/>
      <c r="AW372" s="33"/>
      <c r="AZ372" s="33"/>
    </row>
    <row r="373" spans="16:52" x14ac:dyDescent="0.35">
      <c r="P373" s="20"/>
      <c r="AT373" s="33"/>
      <c r="AW373" s="33"/>
      <c r="AZ373" s="33"/>
    </row>
    <row r="374" spans="16:52" x14ac:dyDescent="0.35">
      <c r="P374" s="20"/>
      <c r="AT374" s="33"/>
      <c r="AW374" s="33"/>
      <c r="AZ374" s="33"/>
    </row>
    <row r="375" spans="16:52" x14ac:dyDescent="0.35">
      <c r="P375" s="20"/>
      <c r="AT375" s="33"/>
      <c r="AW375" s="33"/>
      <c r="AZ375" s="33"/>
    </row>
    <row r="376" spans="16:52" x14ac:dyDescent="0.35">
      <c r="P376" s="20"/>
      <c r="AT376" s="33"/>
      <c r="AW376" s="33"/>
      <c r="AZ376" s="33"/>
    </row>
    <row r="377" spans="16:52" x14ac:dyDescent="0.35">
      <c r="P377" s="20"/>
      <c r="AT377" s="33"/>
      <c r="AW377" s="33"/>
      <c r="AZ377" s="33"/>
    </row>
    <row r="378" spans="16:52" x14ac:dyDescent="0.35">
      <c r="P378" s="20"/>
      <c r="AT378" s="33"/>
      <c r="AW378" s="33"/>
      <c r="AZ378" s="33"/>
    </row>
    <row r="379" spans="16:52" x14ac:dyDescent="0.35">
      <c r="P379" s="20"/>
      <c r="AT379" s="33"/>
      <c r="AW379" s="33"/>
      <c r="AZ379" s="33"/>
    </row>
    <row r="380" spans="16:52" x14ac:dyDescent="0.35">
      <c r="P380" s="20"/>
      <c r="AT380" s="33"/>
      <c r="AW380" s="33"/>
      <c r="AZ380" s="33"/>
    </row>
    <row r="381" spans="16:52" x14ac:dyDescent="0.35">
      <c r="P381" s="20"/>
      <c r="AT381" s="33"/>
      <c r="AW381" s="33"/>
      <c r="AZ381" s="33"/>
    </row>
    <row r="382" spans="16:52" x14ac:dyDescent="0.35">
      <c r="P382" s="20"/>
      <c r="AT382" s="33"/>
      <c r="AW382" s="33"/>
      <c r="AZ382" s="33"/>
    </row>
    <row r="383" spans="16:52" x14ac:dyDescent="0.35">
      <c r="P383" s="20"/>
      <c r="AT383" s="33"/>
      <c r="AW383" s="33"/>
      <c r="AZ383" s="33"/>
    </row>
    <row r="384" spans="16:52" x14ac:dyDescent="0.35">
      <c r="P384" s="20"/>
      <c r="AT384" s="33"/>
      <c r="AW384" s="33"/>
      <c r="AZ384" s="33"/>
    </row>
    <row r="385" spans="16:52" x14ac:dyDescent="0.35">
      <c r="P385" s="20"/>
      <c r="AT385" s="33"/>
      <c r="AW385" s="33"/>
      <c r="AZ385" s="33"/>
    </row>
    <row r="386" spans="16:52" x14ac:dyDescent="0.35">
      <c r="P386" s="20"/>
      <c r="AT386" s="33"/>
      <c r="AW386" s="33"/>
      <c r="AZ386" s="33"/>
    </row>
    <row r="387" spans="16:52" x14ac:dyDescent="0.35">
      <c r="P387" s="20"/>
      <c r="AT387" s="33"/>
      <c r="AW387" s="33"/>
      <c r="AZ387" s="33"/>
    </row>
    <row r="388" spans="16:52" x14ac:dyDescent="0.35">
      <c r="P388" s="20"/>
      <c r="AT388" s="33"/>
      <c r="AW388" s="33"/>
      <c r="AZ388" s="33"/>
    </row>
    <row r="389" spans="16:52" x14ac:dyDescent="0.35">
      <c r="P389" s="20"/>
      <c r="AT389" s="33"/>
      <c r="AW389" s="33"/>
      <c r="AZ389" s="33"/>
    </row>
    <row r="390" spans="16:52" x14ac:dyDescent="0.35">
      <c r="P390" s="20"/>
      <c r="AT390" s="33"/>
      <c r="AW390" s="33"/>
      <c r="AZ390" s="33"/>
    </row>
    <row r="391" spans="16:52" x14ac:dyDescent="0.35">
      <c r="P391" s="20"/>
      <c r="AT391" s="33"/>
      <c r="AW391" s="33"/>
      <c r="AZ391" s="33"/>
    </row>
    <row r="392" spans="16:52" x14ac:dyDescent="0.35">
      <c r="P392" s="20"/>
      <c r="AT392" s="33"/>
      <c r="AW392" s="33"/>
      <c r="AZ392" s="33"/>
    </row>
    <row r="393" spans="16:52" x14ac:dyDescent="0.35">
      <c r="AT393" s="33"/>
      <c r="AW393" s="33"/>
      <c r="AZ393" s="33"/>
    </row>
    <row r="394" spans="16:52" x14ac:dyDescent="0.35">
      <c r="AT394" s="33"/>
      <c r="AW394" s="33"/>
      <c r="AZ394" s="33"/>
    </row>
    <row r="395" spans="16:52" x14ac:dyDescent="0.35">
      <c r="AT395" s="33"/>
      <c r="AW395" s="33"/>
      <c r="AZ395" s="33"/>
    </row>
    <row r="396" spans="16:52" x14ac:dyDescent="0.35">
      <c r="AT396" s="33"/>
      <c r="AW396" s="33"/>
      <c r="AZ396" s="33"/>
    </row>
    <row r="397" spans="16:52" x14ac:dyDescent="0.35">
      <c r="AT397" s="33"/>
      <c r="AW397" s="33"/>
      <c r="AZ397" s="33"/>
    </row>
    <row r="398" spans="16:52" x14ac:dyDescent="0.35">
      <c r="AT398" s="33"/>
      <c r="AW398" s="33"/>
      <c r="AZ398" s="33"/>
    </row>
    <row r="399" spans="16:52" x14ac:dyDescent="0.35">
      <c r="AT399" s="33"/>
      <c r="AW399" s="33"/>
      <c r="AZ399" s="33"/>
    </row>
    <row r="400" spans="16:52" x14ac:dyDescent="0.35">
      <c r="AT400" s="33"/>
      <c r="AW400" s="33"/>
      <c r="AZ400" s="33"/>
    </row>
    <row r="401" spans="46:52" x14ac:dyDescent="0.35">
      <c r="AT401" s="33"/>
      <c r="AW401" s="33"/>
      <c r="AZ401" s="33"/>
    </row>
    <row r="402" spans="46:52" x14ac:dyDescent="0.35">
      <c r="AT402" s="33"/>
      <c r="AW402" s="33"/>
      <c r="AZ402" s="33"/>
    </row>
    <row r="403" spans="46:52" x14ac:dyDescent="0.35">
      <c r="AT403" s="33"/>
      <c r="AW403" s="33"/>
      <c r="AZ403" s="33"/>
    </row>
    <row r="404" spans="46:52" x14ac:dyDescent="0.35">
      <c r="AT404" s="33"/>
      <c r="AW404" s="33"/>
      <c r="AZ404" s="33"/>
    </row>
    <row r="405" spans="46:52" x14ac:dyDescent="0.35">
      <c r="AT405" s="33"/>
      <c r="AW405" s="33"/>
      <c r="AZ405" s="33"/>
    </row>
    <row r="406" spans="46:52" x14ac:dyDescent="0.35">
      <c r="AT406" s="33"/>
      <c r="AW406" s="33"/>
      <c r="AZ406" s="33"/>
    </row>
    <row r="407" spans="46:52" x14ac:dyDescent="0.35">
      <c r="AT407" s="33"/>
      <c r="AW407" s="33"/>
      <c r="AZ407" s="33"/>
    </row>
    <row r="408" spans="46:52" x14ac:dyDescent="0.35">
      <c r="AT408" s="33"/>
      <c r="AW408" s="33"/>
      <c r="AZ408" s="33"/>
    </row>
    <row r="409" spans="46:52" x14ac:dyDescent="0.35">
      <c r="AT409" s="33"/>
      <c r="AW409" s="33"/>
      <c r="AZ409" s="33"/>
    </row>
    <row r="410" spans="46:52" x14ac:dyDescent="0.35">
      <c r="AT410" s="33"/>
      <c r="AW410" s="33"/>
      <c r="AZ410" s="33"/>
    </row>
    <row r="411" spans="46:52" x14ac:dyDescent="0.35">
      <c r="AT411" s="33"/>
      <c r="AW411" s="33"/>
      <c r="AZ411" s="33"/>
    </row>
    <row r="412" spans="46:52" x14ac:dyDescent="0.35">
      <c r="AT412" s="33"/>
      <c r="AW412" s="33"/>
      <c r="AZ412" s="33"/>
    </row>
    <row r="413" spans="46:52" x14ac:dyDescent="0.35">
      <c r="AT413" s="33"/>
      <c r="AW413" s="33"/>
      <c r="AZ413" s="33"/>
    </row>
    <row r="414" spans="46:52" x14ac:dyDescent="0.35">
      <c r="AT414" s="33"/>
      <c r="AW414" s="33"/>
      <c r="AZ414" s="33"/>
    </row>
    <row r="415" spans="46:52" x14ac:dyDescent="0.35">
      <c r="AT415" s="33"/>
      <c r="AW415" s="33"/>
      <c r="AZ415" s="33"/>
    </row>
    <row r="416" spans="46:52" x14ac:dyDescent="0.35">
      <c r="AT416" s="33"/>
      <c r="AW416" s="33"/>
      <c r="AZ416" s="33"/>
    </row>
    <row r="417" spans="46:52" x14ac:dyDescent="0.35">
      <c r="AT417" s="33"/>
      <c r="AW417" s="33"/>
      <c r="AZ417" s="33"/>
    </row>
    <row r="418" spans="46:52" x14ac:dyDescent="0.35">
      <c r="AT418" s="33"/>
      <c r="AW418" s="33"/>
      <c r="AZ418" s="33"/>
    </row>
    <row r="419" spans="46:52" x14ac:dyDescent="0.35">
      <c r="AT419" s="33"/>
      <c r="AW419" s="33"/>
      <c r="AZ419" s="33"/>
    </row>
    <row r="420" spans="46:52" x14ac:dyDescent="0.35">
      <c r="AT420" s="33"/>
      <c r="AW420" s="33"/>
      <c r="AZ420" s="33"/>
    </row>
    <row r="421" spans="46:52" x14ac:dyDescent="0.35">
      <c r="AT421" s="33"/>
      <c r="AW421" s="33"/>
      <c r="AZ421" s="33"/>
    </row>
    <row r="422" spans="46:52" x14ac:dyDescent="0.35">
      <c r="AT422" s="33"/>
      <c r="AW422" s="33"/>
      <c r="AZ422" s="33"/>
    </row>
    <row r="423" spans="46:52" x14ac:dyDescent="0.35">
      <c r="AT423" s="33"/>
      <c r="AW423" s="33"/>
      <c r="AZ423" s="33"/>
    </row>
    <row r="424" spans="46:52" x14ac:dyDescent="0.35">
      <c r="AT424" s="33"/>
      <c r="AW424" s="33"/>
      <c r="AZ424" s="33"/>
    </row>
    <row r="425" spans="46:52" x14ac:dyDescent="0.35">
      <c r="AT425" s="33"/>
      <c r="AW425" s="33"/>
      <c r="AZ425" s="33"/>
    </row>
    <row r="426" spans="46:52" x14ac:dyDescent="0.35">
      <c r="AT426" s="33"/>
      <c r="AW426" s="33"/>
      <c r="AZ426" s="33"/>
    </row>
    <row r="427" spans="46:52" x14ac:dyDescent="0.35">
      <c r="AT427" s="33"/>
      <c r="AW427" s="33"/>
      <c r="AZ427" s="33"/>
    </row>
    <row r="428" spans="46:52" x14ac:dyDescent="0.35">
      <c r="AT428" s="33"/>
      <c r="AW428" s="33"/>
      <c r="AZ428" s="33"/>
    </row>
    <row r="429" spans="46:52" x14ac:dyDescent="0.35">
      <c r="AT429" s="33"/>
      <c r="AW429" s="33"/>
      <c r="AZ429" s="33"/>
    </row>
    <row r="430" spans="46:52" x14ac:dyDescent="0.35">
      <c r="AT430" s="33"/>
      <c r="AW430" s="33"/>
      <c r="AZ430" s="33"/>
    </row>
    <row r="431" spans="46:52" x14ac:dyDescent="0.35">
      <c r="AT431" s="33"/>
      <c r="AW431" s="33"/>
      <c r="AZ431" s="33"/>
    </row>
    <row r="432" spans="46:52" x14ac:dyDescent="0.35">
      <c r="AT432" s="33"/>
      <c r="AW432" s="33"/>
      <c r="AZ432" s="33"/>
    </row>
    <row r="433" spans="40:52" x14ac:dyDescent="0.35">
      <c r="AT433" s="33"/>
      <c r="AW433" s="33"/>
      <c r="AZ433" s="33"/>
    </row>
    <row r="434" spans="40:52" x14ac:dyDescent="0.35">
      <c r="AT434" s="33"/>
      <c r="AW434" s="33"/>
      <c r="AZ434" s="33"/>
    </row>
    <row r="435" spans="40:52" x14ac:dyDescent="0.35">
      <c r="AT435" s="33"/>
      <c r="AW435" s="33"/>
      <c r="AZ435" s="33"/>
    </row>
    <row r="436" spans="40:52" x14ac:dyDescent="0.35">
      <c r="AT436" s="33"/>
      <c r="AW436" s="33"/>
      <c r="AZ436" s="33"/>
    </row>
    <row r="437" spans="40:52" x14ac:dyDescent="0.35">
      <c r="AN437" s="5"/>
      <c r="AT437" s="33"/>
      <c r="AW437" s="33"/>
      <c r="AZ437" s="33"/>
    </row>
    <row r="438" spans="40:52" x14ac:dyDescent="0.35">
      <c r="AT438" s="33"/>
      <c r="AW438" s="33"/>
      <c r="AZ438" s="33"/>
    </row>
    <row r="439" spans="40:52" x14ac:dyDescent="0.35">
      <c r="AT439" s="33"/>
      <c r="AW439" s="33"/>
      <c r="AZ439" s="33"/>
    </row>
    <row r="440" spans="40:52" x14ac:dyDescent="0.35">
      <c r="AT440" s="33"/>
      <c r="AW440" s="33"/>
      <c r="AZ440" s="33"/>
    </row>
    <row r="441" spans="40:52" x14ac:dyDescent="0.35">
      <c r="AT441" s="33"/>
      <c r="AW441" s="33"/>
      <c r="AZ441" s="33"/>
    </row>
    <row r="442" spans="40:52" x14ac:dyDescent="0.35">
      <c r="AT442" s="33"/>
      <c r="AW442" s="33"/>
      <c r="AZ442" s="33"/>
    </row>
    <row r="443" spans="40:52" x14ac:dyDescent="0.35">
      <c r="AT443" s="33"/>
      <c r="AW443" s="33"/>
      <c r="AZ443" s="33"/>
    </row>
    <row r="444" spans="40:52" x14ac:dyDescent="0.35">
      <c r="AT444" s="33"/>
      <c r="AW444" s="33"/>
      <c r="AZ444" s="33"/>
    </row>
    <row r="445" spans="40:52" x14ac:dyDescent="0.35">
      <c r="AT445" s="33"/>
      <c r="AW445" s="33"/>
      <c r="AZ445" s="33"/>
    </row>
    <row r="446" spans="40:52" x14ac:dyDescent="0.35">
      <c r="AT446" s="33"/>
      <c r="AW446" s="33"/>
      <c r="AZ446" s="33"/>
    </row>
    <row r="447" spans="40:52" x14ac:dyDescent="0.35">
      <c r="AT447" s="33"/>
      <c r="AW447" s="33"/>
      <c r="AZ447" s="33"/>
    </row>
    <row r="448" spans="40:52" x14ac:dyDescent="0.35">
      <c r="AT448" s="33"/>
      <c r="AW448" s="33"/>
      <c r="AZ448" s="33"/>
    </row>
    <row r="449" spans="46:52" x14ac:dyDescent="0.35">
      <c r="AT449" s="33"/>
      <c r="AW449" s="33"/>
      <c r="AZ449" s="33"/>
    </row>
    <row r="450" spans="46:52" x14ac:dyDescent="0.35">
      <c r="AT450" s="33"/>
      <c r="AW450" s="33"/>
      <c r="AZ450" s="33"/>
    </row>
    <row r="451" spans="46:52" x14ac:dyDescent="0.35">
      <c r="AT451" s="33"/>
      <c r="AW451" s="33"/>
      <c r="AZ451" s="33"/>
    </row>
    <row r="452" spans="46:52" x14ac:dyDescent="0.35">
      <c r="AT452" s="33"/>
      <c r="AW452" s="33"/>
      <c r="AZ452" s="33"/>
    </row>
    <row r="453" spans="46:52" x14ac:dyDescent="0.35">
      <c r="AT453" s="33"/>
      <c r="AW453" s="33"/>
      <c r="AZ453" s="33"/>
    </row>
    <row r="454" spans="46:52" x14ac:dyDescent="0.35">
      <c r="AT454" s="33"/>
      <c r="AW454" s="33"/>
      <c r="AZ454" s="33"/>
    </row>
    <row r="455" spans="46:52" x14ac:dyDescent="0.35">
      <c r="AT455" s="33"/>
      <c r="AW455" s="33"/>
      <c r="AZ455" s="33"/>
    </row>
    <row r="456" spans="46:52" x14ac:dyDescent="0.35">
      <c r="AT456" s="33"/>
      <c r="AW456" s="33"/>
      <c r="AZ456" s="33"/>
    </row>
    <row r="457" spans="46:52" x14ac:dyDescent="0.35">
      <c r="AT457" s="33"/>
      <c r="AW457" s="33"/>
      <c r="AZ457" s="33"/>
    </row>
    <row r="458" spans="46:52" x14ac:dyDescent="0.35">
      <c r="AT458" s="33"/>
      <c r="AW458" s="33"/>
      <c r="AZ458" s="33"/>
    </row>
    <row r="459" spans="46:52" x14ac:dyDescent="0.35">
      <c r="AT459" s="33"/>
      <c r="AW459" s="33"/>
      <c r="AZ459" s="33"/>
    </row>
    <row r="460" spans="46:52" x14ac:dyDescent="0.35">
      <c r="AT460" s="33"/>
      <c r="AW460" s="33"/>
      <c r="AZ460" s="33"/>
    </row>
    <row r="461" spans="46:52" x14ac:dyDescent="0.35">
      <c r="AT461" s="33"/>
      <c r="AW461" s="33"/>
      <c r="AZ461" s="33"/>
    </row>
    <row r="462" spans="46:52" x14ac:dyDescent="0.35">
      <c r="AT462" s="33"/>
      <c r="AW462" s="33"/>
      <c r="AZ462" s="33"/>
    </row>
    <row r="463" spans="46:52" x14ac:dyDescent="0.35">
      <c r="AT463" s="33"/>
      <c r="AW463" s="33"/>
      <c r="AZ463" s="33"/>
    </row>
    <row r="464" spans="46:52" x14ac:dyDescent="0.35">
      <c r="AT464" s="33"/>
      <c r="AW464" s="33"/>
      <c r="AZ464" s="33"/>
    </row>
    <row r="465" spans="46:52" x14ac:dyDescent="0.35">
      <c r="AT465" s="33"/>
      <c r="AW465" s="33"/>
      <c r="AZ465" s="33"/>
    </row>
    <row r="466" spans="46:52" x14ac:dyDescent="0.35">
      <c r="AT466" s="33"/>
      <c r="AW466" s="33"/>
      <c r="AZ466" s="33"/>
    </row>
    <row r="467" spans="46:52" x14ac:dyDescent="0.35">
      <c r="AT467" s="33"/>
      <c r="AW467" s="33"/>
      <c r="AZ467" s="33"/>
    </row>
    <row r="468" spans="46:52" x14ac:dyDescent="0.35">
      <c r="AT468" s="33"/>
      <c r="AW468" s="33"/>
      <c r="AZ468" s="33"/>
    </row>
    <row r="469" spans="46:52" x14ac:dyDescent="0.35">
      <c r="AT469" s="33"/>
      <c r="AW469" s="33"/>
      <c r="AZ469" s="33"/>
    </row>
    <row r="470" spans="46:52" x14ac:dyDescent="0.35">
      <c r="AT470" s="33"/>
      <c r="AW470" s="33"/>
      <c r="AZ470" s="33"/>
    </row>
    <row r="471" spans="46:52" x14ac:dyDescent="0.35">
      <c r="AT471" s="33"/>
      <c r="AW471" s="33"/>
      <c r="AZ471" s="33"/>
    </row>
    <row r="472" spans="46:52" x14ac:dyDescent="0.35">
      <c r="AT472" s="33"/>
      <c r="AW472" s="33"/>
      <c r="AZ472" s="33"/>
    </row>
    <row r="473" spans="46:52" x14ac:dyDescent="0.35">
      <c r="AT473" s="33"/>
      <c r="AW473" s="33"/>
      <c r="AZ473" s="33"/>
    </row>
    <row r="474" spans="46:52" x14ac:dyDescent="0.35">
      <c r="AT474" s="33"/>
      <c r="AW474" s="33"/>
      <c r="AZ474" s="33"/>
    </row>
    <row r="475" spans="46:52" x14ac:dyDescent="0.35">
      <c r="AT475" s="33"/>
      <c r="AW475" s="33"/>
      <c r="AZ475" s="33"/>
    </row>
    <row r="476" spans="46:52" x14ac:dyDescent="0.35">
      <c r="AT476" s="33"/>
      <c r="AW476" s="33"/>
      <c r="AZ476" s="33"/>
    </row>
    <row r="477" spans="46:52" x14ac:dyDescent="0.35">
      <c r="AT477" s="33"/>
      <c r="AW477" s="33"/>
      <c r="AZ477" s="33"/>
    </row>
    <row r="478" spans="46:52" x14ac:dyDescent="0.35">
      <c r="AT478" s="33"/>
      <c r="AW478" s="33"/>
      <c r="AZ478" s="33"/>
    </row>
    <row r="479" spans="46:52" x14ac:dyDescent="0.35">
      <c r="AT479" s="33"/>
      <c r="AW479" s="33"/>
      <c r="AZ479" s="33"/>
    </row>
    <row r="480" spans="46:52" x14ac:dyDescent="0.35">
      <c r="AT480" s="33"/>
      <c r="AW480" s="33"/>
      <c r="AZ480" s="33"/>
    </row>
    <row r="481" spans="46:52" x14ac:dyDescent="0.35">
      <c r="AT481" s="33"/>
      <c r="AW481" s="33"/>
      <c r="AZ481" s="33"/>
    </row>
    <row r="482" spans="46:52" x14ac:dyDescent="0.35">
      <c r="AT482" s="33"/>
      <c r="AW482" s="33"/>
      <c r="AZ482" s="33"/>
    </row>
    <row r="483" spans="46:52" x14ac:dyDescent="0.35">
      <c r="AT483" s="33"/>
      <c r="AW483" s="33"/>
      <c r="AZ483" s="33"/>
    </row>
    <row r="484" spans="46:52" x14ac:dyDescent="0.35">
      <c r="AT484" s="33"/>
      <c r="AW484" s="33"/>
      <c r="AZ484" s="33"/>
    </row>
    <row r="485" spans="46:52" x14ac:dyDescent="0.35">
      <c r="AT485" s="33"/>
      <c r="AW485" s="33"/>
      <c r="AZ485" s="33"/>
    </row>
    <row r="486" spans="46:52" x14ac:dyDescent="0.35">
      <c r="AT486" s="33"/>
      <c r="AW486" s="33"/>
      <c r="AZ486" s="33"/>
    </row>
    <row r="487" spans="46:52" x14ac:dyDescent="0.35">
      <c r="AT487" s="33"/>
      <c r="AW487" s="33"/>
      <c r="AZ487" s="33"/>
    </row>
    <row r="488" spans="46:52" x14ac:dyDescent="0.35">
      <c r="AT488" s="33"/>
      <c r="AW488" s="33"/>
      <c r="AZ488" s="33"/>
    </row>
    <row r="489" spans="46:52" x14ac:dyDescent="0.35">
      <c r="AT489" s="33"/>
      <c r="AW489" s="33"/>
      <c r="AZ489" s="33"/>
    </row>
    <row r="490" spans="46:52" x14ac:dyDescent="0.35">
      <c r="AT490" s="33"/>
      <c r="AW490" s="33"/>
      <c r="AZ490" s="33"/>
    </row>
    <row r="491" spans="46:52" x14ac:dyDescent="0.35">
      <c r="AT491" s="33"/>
      <c r="AW491" s="33"/>
      <c r="AZ491" s="33"/>
    </row>
    <row r="492" spans="46:52" x14ac:dyDescent="0.35">
      <c r="AT492" s="33"/>
      <c r="AW492" s="33"/>
      <c r="AZ492" s="33"/>
    </row>
    <row r="493" spans="46:52" x14ac:dyDescent="0.35">
      <c r="AT493" s="33"/>
      <c r="AW493" s="33"/>
      <c r="AZ493" s="33"/>
    </row>
    <row r="494" spans="46:52" x14ac:dyDescent="0.35">
      <c r="AT494" s="33"/>
      <c r="AW494" s="33"/>
      <c r="AZ494" s="33"/>
    </row>
    <row r="495" spans="46:52" x14ac:dyDescent="0.35">
      <c r="AT495" s="33"/>
      <c r="AW495" s="33"/>
      <c r="AZ495" s="33"/>
    </row>
    <row r="496" spans="46:52" x14ac:dyDescent="0.35">
      <c r="AT496" s="33"/>
      <c r="AW496" s="33"/>
      <c r="AZ496" s="33"/>
    </row>
    <row r="497" spans="46:52" x14ac:dyDescent="0.35">
      <c r="AT497" s="33"/>
      <c r="AW497" s="33"/>
      <c r="AZ497" s="33"/>
    </row>
    <row r="498" spans="46:52" x14ac:dyDescent="0.35">
      <c r="AT498" s="33"/>
      <c r="AW498" s="33"/>
      <c r="AZ498" s="33"/>
    </row>
    <row r="499" spans="46:52" x14ac:dyDescent="0.35">
      <c r="AT499" s="33"/>
      <c r="AW499" s="33"/>
      <c r="AZ499" s="33"/>
    </row>
    <row r="500" spans="46:52" x14ac:dyDescent="0.35">
      <c r="AT500" s="33"/>
      <c r="AW500" s="33"/>
      <c r="AZ500" s="33"/>
    </row>
    <row r="501" spans="46:52" x14ac:dyDescent="0.35">
      <c r="AT501" s="33"/>
      <c r="AW501" s="33"/>
      <c r="AZ501" s="33"/>
    </row>
    <row r="502" spans="46:52" x14ac:dyDescent="0.35">
      <c r="AT502" s="33"/>
      <c r="AW502" s="33"/>
      <c r="AZ502" s="33"/>
    </row>
    <row r="503" spans="46:52" x14ac:dyDescent="0.35">
      <c r="AT503" s="33"/>
      <c r="AW503" s="33"/>
      <c r="AZ503" s="33"/>
    </row>
    <row r="504" spans="46:52" x14ac:dyDescent="0.35">
      <c r="AT504" s="33"/>
      <c r="AW504" s="33"/>
      <c r="AZ504" s="33"/>
    </row>
    <row r="505" spans="46:52" x14ac:dyDescent="0.35">
      <c r="AT505" s="33"/>
      <c r="AW505" s="33"/>
      <c r="AZ505" s="33"/>
    </row>
    <row r="506" spans="46:52" x14ac:dyDescent="0.35">
      <c r="AT506" s="33"/>
      <c r="AW506" s="33"/>
      <c r="AZ506" s="33"/>
    </row>
    <row r="507" spans="46:52" x14ac:dyDescent="0.35">
      <c r="AT507" s="33"/>
      <c r="AW507" s="33"/>
      <c r="AZ507" s="33"/>
    </row>
    <row r="508" spans="46:52" x14ac:dyDescent="0.35">
      <c r="AT508" s="33"/>
      <c r="AW508" s="33"/>
      <c r="AZ508" s="33"/>
    </row>
    <row r="509" spans="46:52" x14ac:dyDescent="0.35">
      <c r="AT509" s="33"/>
      <c r="AW509" s="33"/>
      <c r="AZ509" s="33"/>
    </row>
    <row r="510" spans="46:52" x14ac:dyDescent="0.35">
      <c r="AT510" s="33"/>
      <c r="AW510" s="33"/>
      <c r="AZ510" s="33"/>
    </row>
    <row r="511" spans="46:52" x14ac:dyDescent="0.35">
      <c r="AT511" s="33"/>
      <c r="AW511" s="33"/>
      <c r="AZ511" s="33"/>
    </row>
    <row r="512" spans="46:52" x14ac:dyDescent="0.35">
      <c r="AT512" s="33"/>
      <c r="AW512" s="33"/>
      <c r="AZ512" s="33"/>
    </row>
    <row r="513" spans="46:52" x14ac:dyDescent="0.35">
      <c r="AT513" s="33"/>
      <c r="AW513" s="33"/>
      <c r="AZ513" s="33"/>
    </row>
    <row r="514" spans="46:52" x14ac:dyDescent="0.35">
      <c r="AT514" s="33"/>
      <c r="AW514" s="33"/>
      <c r="AZ514" s="33"/>
    </row>
    <row r="515" spans="46:52" x14ac:dyDescent="0.35">
      <c r="AT515" s="33"/>
      <c r="AW515" s="33"/>
      <c r="AZ515" s="33"/>
    </row>
    <row r="516" spans="46:52" x14ac:dyDescent="0.35">
      <c r="AT516" s="33"/>
      <c r="AW516" s="33"/>
      <c r="AZ516" s="33"/>
    </row>
    <row r="517" spans="46:52" x14ac:dyDescent="0.35">
      <c r="AT517" s="33"/>
      <c r="AW517" s="33"/>
      <c r="AZ517" s="33"/>
    </row>
    <row r="518" spans="46:52" x14ac:dyDescent="0.35">
      <c r="AT518" s="33"/>
      <c r="AW518" s="33"/>
      <c r="AZ518" s="33"/>
    </row>
    <row r="519" spans="46:52" x14ac:dyDescent="0.35">
      <c r="AT519" s="33"/>
      <c r="AW519" s="33"/>
      <c r="AZ519" s="33"/>
    </row>
    <row r="520" spans="46:52" x14ac:dyDescent="0.35">
      <c r="AT520" s="33"/>
      <c r="AW520" s="33"/>
      <c r="AZ520" s="33"/>
    </row>
    <row r="521" spans="46:52" x14ac:dyDescent="0.35">
      <c r="AT521" s="33"/>
      <c r="AW521" s="33"/>
      <c r="AZ521" s="33"/>
    </row>
    <row r="522" spans="46:52" x14ac:dyDescent="0.35">
      <c r="AT522" s="33"/>
      <c r="AW522" s="33"/>
      <c r="AZ522" s="33"/>
    </row>
    <row r="523" spans="46:52" x14ac:dyDescent="0.35">
      <c r="AT523" s="33"/>
      <c r="AW523" s="33"/>
      <c r="AZ523" s="33"/>
    </row>
    <row r="524" spans="46:52" x14ac:dyDescent="0.35">
      <c r="AT524" s="33"/>
      <c r="AW524" s="33"/>
      <c r="AZ524" s="33"/>
    </row>
    <row r="525" spans="46:52" x14ac:dyDescent="0.35">
      <c r="AT525" s="33"/>
      <c r="AW525" s="33"/>
      <c r="AZ525" s="33"/>
    </row>
    <row r="526" spans="46:52" x14ac:dyDescent="0.35">
      <c r="AT526" s="33"/>
      <c r="AW526" s="33"/>
      <c r="AZ526" s="33"/>
    </row>
    <row r="527" spans="46:52" x14ac:dyDescent="0.35">
      <c r="AT527" s="33"/>
      <c r="AW527" s="33"/>
      <c r="AZ527" s="33"/>
    </row>
    <row r="528" spans="46:52" x14ac:dyDescent="0.35">
      <c r="AT528" s="33"/>
      <c r="AW528" s="33"/>
      <c r="AZ528" s="33"/>
    </row>
    <row r="529" spans="46:52" x14ac:dyDescent="0.35">
      <c r="AT529" s="33"/>
      <c r="AW529" s="33"/>
      <c r="AZ529" s="33"/>
    </row>
    <row r="530" spans="46:52" x14ac:dyDescent="0.35">
      <c r="AT530" s="33"/>
      <c r="AW530" s="33"/>
      <c r="AZ530" s="33"/>
    </row>
    <row r="531" spans="46:52" x14ac:dyDescent="0.35">
      <c r="AT531" s="33"/>
      <c r="AW531" s="33"/>
      <c r="AZ531" s="33"/>
    </row>
    <row r="532" spans="46:52" x14ac:dyDescent="0.35">
      <c r="AT532" s="33"/>
      <c r="AW532" s="33"/>
      <c r="AZ532" s="33"/>
    </row>
    <row r="533" spans="46:52" x14ac:dyDescent="0.35">
      <c r="AT533" s="33"/>
      <c r="AW533" s="33"/>
      <c r="AZ533" s="33"/>
    </row>
    <row r="534" spans="46:52" x14ac:dyDescent="0.35">
      <c r="AT534" s="33"/>
      <c r="AW534" s="33"/>
      <c r="AZ534" s="33"/>
    </row>
    <row r="535" spans="46:52" x14ac:dyDescent="0.35">
      <c r="AT535" s="33"/>
      <c r="AW535" s="33"/>
      <c r="AZ535" s="33"/>
    </row>
    <row r="536" spans="46:52" x14ac:dyDescent="0.35">
      <c r="AT536" s="33"/>
      <c r="AW536" s="33"/>
      <c r="AZ536" s="33"/>
    </row>
    <row r="537" spans="46:52" x14ac:dyDescent="0.35">
      <c r="AT537" s="33"/>
      <c r="AW537" s="33"/>
      <c r="AZ537" s="33"/>
    </row>
    <row r="538" spans="46:52" x14ac:dyDescent="0.35">
      <c r="AT538" s="33"/>
      <c r="AW538" s="33"/>
      <c r="AZ538" s="33"/>
    </row>
    <row r="539" spans="46:52" x14ac:dyDescent="0.35">
      <c r="AT539" s="33"/>
      <c r="AW539" s="33"/>
      <c r="AZ539" s="33"/>
    </row>
    <row r="540" spans="46:52" x14ac:dyDescent="0.35">
      <c r="AT540" s="33"/>
      <c r="AW540" s="33"/>
      <c r="AZ540" s="33"/>
    </row>
    <row r="541" spans="46:52" x14ac:dyDescent="0.35">
      <c r="AT541" s="33"/>
      <c r="AW541" s="33"/>
      <c r="AZ541" s="33"/>
    </row>
    <row r="542" spans="46:52" x14ac:dyDescent="0.35">
      <c r="AT542" s="33"/>
      <c r="AW542" s="33"/>
      <c r="AZ542" s="33"/>
    </row>
    <row r="543" spans="46:52" x14ac:dyDescent="0.35">
      <c r="AT543" s="33"/>
      <c r="AW543" s="33"/>
      <c r="AZ543" s="33"/>
    </row>
    <row r="544" spans="46:52" x14ac:dyDescent="0.35">
      <c r="AT544" s="33"/>
      <c r="AW544" s="33"/>
      <c r="AZ544" s="33"/>
    </row>
    <row r="545" spans="46:52" x14ac:dyDescent="0.35">
      <c r="AT545" s="33"/>
      <c r="AW545" s="33"/>
      <c r="AZ545" s="33"/>
    </row>
    <row r="546" spans="46:52" x14ac:dyDescent="0.35">
      <c r="AT546" s="33"/>
      <c r="AW546" s="33"/>
      <c r="AZ546" s="33"/>
    </row>
    <row r="547" spans="46:52" x14ac:dyDescent="0.35">
      <c r="AT547" s="33"/>
      <c r="AW547" s="33"/>
      <c r="AZ547" s="33"/>
    </row>
    <row r="548" spans="46:52" x14ac:dyDescent="0.35">
      <c r="AT548" s="33"/>
      <c r="AW548" s="33"/>
      <c r="AZ548" s="33"/>
    </row>
    <row r="549" spans="46:52" x14ac:dyDescent="0.35">
      <c r="AT549" s="33"/>
      <c r="AW549" s="33"/>
      <c r="AZ549" s="33"/>
    </row>
    <row r="550" spans="46:52" x14ac:dyDescent="0.35">
      <c r="AT550" s="33"/>
      <c r="AW550" s="33"/>
      <c r="AZ550" s="33"/>
    </row>
    <row r="551" spans="46:52" x14ac:dyDescent="0.35">
      <c r="AT551" s="33"/>
      <c r="AW551" s="33"/>
      <c r="AZ551" s="33"/>
    </row>
    <row r="552" spans="46:52" x14ac:dyDescent="0.35">
      <c r="AT552" s="33"/>
      <c r="AW552" s="33"/>
      <c r="AZ552" s="33"/>
    </row>
    <row r="553" spans="46:52" x14ac:dyDescent="0.35">
      <c r="AT553" s="33"/>
      <c r="AW553" s="33"/>
      <c r="AZ553" s="33"/>
    </row>
    <row r="554" spans="46:52" x14ac:dyDescent="0.35">
      <c r="AT554" s="33"/>
      <c r="AW554" s="33"/>
      <c r="AZ554" s="33"/>
    </row>
    <row r="555" spans="46:52" x14ac:dyDescent="0.35">
      <c r="AT555" s="33"/>
      <c r="AW555" s="33"/>
      <c r="AZ555" s="33"/>
    </row>
    <row r="556" spans="46:52" x14ac:dyDescent="0.35">
      <c r="AT556" s="33"/>
      <c r="AW556" s="33"/>
      <c r="AZ556" s="33"/>
    </row>
    <row r="557" spans="46:52" x14ac:dyDescent="0.35">
      <c r="AT557" s="33"/>
      <c r="AW557" s="33"/>
      <c r="AZ557" s="33"/>
    </row>
    <row r="558" spans="46:52" x14ac:dyDescent="0.35">
      <c r="AT558" s="33"/>
      <c r="AW558" s="33"/>
      <c r="AZ558" s="33"/>
    </row>
    <row r="559" spans="46:52" x14ac:dyDescent="0.35">
      <c r="AT559" s="33"/>
      <c r="AW559" s="33"/>
      <c r="AZ559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13A16-ADEF-4ABD-8FBB-4E864E507F9E}">
  <dimension ref="A1:AZ559"/>
  <sheetViews>
    <sheetView workbookViewId="0">
      <pane xSplit="1" ySplit="2" topLeftCell="B8" activePane="bottomRight" state="frozen"/>
      <selection pane="topRight" activeCell="B1" sqref="B1"/>
      <selection pane="bottomLeft" activeCell="A3" sqref="A3"/>
      <selection pane="bottomRight" activeCell="P3" sqref="P3"/>
    </sheetView>
  </sheetViews>
  <sheetFormatPr defaultRowHeight="14.5" x14ac:dyDescent="0.35"/>
  <cols>
    <col min="15" max="15" width="12" bestFit="1" customWidth="1"/>
    <col min="16" max="16" width="11.453125" customWidth="1"/>
  </cols>
  <sheetData>
    <row r="1" spans="1:52" x14ac:dyDescent="0.35">
      <c r="B1" t="s">
        <v>562</v>
      </c>
      <c r="I1" t="s">
        <v>563</v>
      </c>
      <c r="J1" t="s">
        <v>564</v>
      </c>
      <c r="K1" t="s">
        <v>565</v>
      </c>
      <c r="L1" t="s">
        <v>323</v>
      </c>
      <c r="M1" t="s">
        <v>566</v>
      </c>
      <c r="O1" t="s">
        <v>567</v>
      </c>
      <c r="P1" t="s">
        <v>725</v>
      </c>
    </row>
    <row r="2" spans="1:52" x14ac:dyDescent="0.35">
      <c r="B2" t="s">
        <v>27</v>
      </c>
      <c r="C2" t="s">
        <v>28</v>
      </c>
      <c r="D2" t="s">
        <v>29</v>
      </c>
      <c r="E2" t="s">
        <v>30</v>
      </c>
      <c r="F2" t="s">
        <v>31</v>
      </c>
      <c r="I2" s="11">
        <f>regressionsbasenl!$AD2</f>
        <v>0.14052625686136339</v>
      </c>
      <c r="J2" s="11">
        <f>regressionsbasenl!$AD3</f>
        <v>0.19626565849431438</v>
      </c>
      <c r="K2" s="11">
        <f>regressionsbasenl!$AD4</f>
        <v>0.14836940855337702</v>
      </c>
      <c r="L2" s="11">
        <f>regressionsbasenl!$AD8</f>
        <v>8.5041407266319022E-2</v>
      </c>
      <c r="M2" s="11">
        <f>regressionsbasenl!$AD6</f>
        <v>0.2503143121976294</v>
      </c>
      <c r="N2" s="11">
        <f>regressionsbasenl!$AD7</f>
        <v>9.133965041490083E-2</v>
      </c>
      <c r="O2" s="11">
        <f>regressionsbasenl!$AD5</f>
        <v>1.1667244092414832E-4</v>
      </c>
      <c r="P2" s="33">
        <f>regressionsbasenl!$AD9</f>
        <v>8.8026633771171786E-2</v>
      </c>
      <c r="Q2" s="56"/>
      <c r="R2" s="56"/>
      <c r="S2" s="56"/>
      <c r="T2" s="56"/>
      <c r="U2" s="56"/>
      <c r="V2" s="56"/>
      <c r="W2" s="56"/>
      <c r="X2" s="56"/>
      <c r="Y2" s="52"/>
      <c r="Z2" s="52"/>
      <c r="AA2" s="52"/>
      <c r="AB2" s="57"/>
      <c r="AC2" s="57"/>
      <c r="AD2" s="57"/>
      <c r="AE2" s="54"/>
      <c r="AF2" s="54"/>
      <c r="AG2" s="54"/>
      <c r="AH2" s="54"/>
      <c r="AI2" s="54"/>
      <c r="AJ2" s="54"/>
      <c r="AK2" s="54"/>
      <c r="AL2" s="54"/>
      <c r="AM2" s="54"/>
    </row>
    <row r="3" spans="1:52" x14ac:dyDescent="0.35">
      <c r="A3">
        <v>-2</v>
      </c>
      <c r="B3">
        <f>SUMPRODUCT(I$2:P$2,I3:P3)</f>
        <v>0.52204835630265878</v>
      </c>
      <c r="C3">
        <f>regressionsbasenl!$AR$1*$A3</f>
        <v>-2.1776974113639791</v>
      </c>
      <c r="D3">
        <f>regressionsbasenl!$AO$1*$A3</f>
        <v>-3.0742888704085547</v>
      </c>
      <c r="E3">
        <f>B3+2*C3</f>
        <v>-3.8333464664252994</v>
      </c>
      <c r="F3">
        <f>B3-2*D3</f>
        <v>6.6706260971197686</v>
      </c>
      <c r="G3" s="5">
        <f>B3-regressions!AA$7</f>
        <v>-3.1992402341622963</v>
      </c>
      <c r="H3" s="5">
        <f>B3+regressions!AA$7</f>
        <v>4.2433369467676139</v>
      </c>
      <c r="I3">
        <f>IF($A3&lt;=regressionsbasenl!$L$2,$A3*regressionsbasenl!$L$1,regressionsbasenl!$L$1*regressionsbasenl!$L$2+regressionsbasenl!$L$3*($A3-regressionsbasenl!$L$2))</f>
        <v>1.7887187844772585</v>
      </c>
      <c r="J3">
        <f>regressionsbasenl!$J$1*A3+regressionsbasenl!$J$2*A3^2</f>
        <v>0.88721341313561597</v>
      </c>
      <c r="K3">
        <f>regressionsbasenl!$V$1*A3</f>
        <v>1.788718784477261</v>
      </c>
      <c r="L3">
        <f>regressionsbasenl!$N$1*A3^2</f>
        <v>-0.69443004895361082</v>
      </c>
      <c r="M3">
        <f>regressionsbasenl!$R$1*A3^2+regressionsbasenl!$R$2*A3^6</f>
        <v>-0.47942583688603713</v>
      </c>
      <c r="N3">
        <f>regressionsbasenl!$P$1*A3^2+regressionsbasenl!$P$2*A3^7</f>
        <v>-0.72774615789151842</v>
      </c>
      <c r="O3">
        <f>regressionsbasenl!$T$2+regressionsbasenl!$T$1*EXP(A3)</f>
        <v>3.3334028003064167E-3</v>
      </c>
      <c r="P3" s="20">
        <f>(1-EXP(-2*regressionsbasenl!X$1*graphbasenl!A3))/2/EXP(-regressionsbasenl!X$1*A3)</f>
        <v>0.87132578787326587</v>
      </c>
    </row>
    <row r="4" spans="1:52" x14ac:dyDescent="0.35">
      <c r="A4">
        <f>0.1+A3</f>
        <v>-1.9</v>
      </c>
      <c r="B4">
        <f t="shared" ref="B4:B67" si="0">SUMPRODUCT(I$2:P$2,I4:P4)</f>
        <v>0.50941234929477064</v>
      </c>
      <c r="C4">
        <f>regressionsbasenl!$AR$1*$A4</f>
        <v>-2.06881254079578</v>
      </c>
      <c r="D4">
        <f>regressionsbasenl!$AO$1*$A4</f>
        <v>-2.9205744268881269</v>
      </c>
      <c r="E4">
        <f>B4+2*C4</f>
        <v>-3.6282127322967894</v>
      </c>
      <c r="F4">
        <f>B4-2*D4</f>
        <v>6.3505612030710239</v>
      </c>
      <c r="G4" s="5">
        <f>B4-regressions!AA$7</f>
        <v>-3.2118762411701844</v>
      </c>
      <c r="H4" s="5">
        <f>B4+regressions!AA$7</f>
        <v>4.2307009397597257</v>
      </c>
      <c r="I4">
        <f>IF($A4&lt;=regressionsbasenl!$L$2,$A4*regressionsbasenl!$L$1,regressionsbasenl!$L$1*regressionsbasenl!$L$2+regressionsbasenl!$L$3*($A4-regressionsbasenl!$L$2))</f>
        <v>1.6992828452533955</v>
      </c>
      <c r="J4">
        <f>regressionsbasenl!$J$1*A4+regressionsbasenl!$J$2*A4^2</f>
        <v>0.85559951873025253</v>
      </c>
      <c r="K4">
        <f>regressionsbasenl!$V$1*A4</f>
        <v>1.6992828452533979</v>
      </c>
      <c r="L4">
        <f>regressionsbasenl!$N$1*A4^2</f>
        <v>-0.62672311918063373</v>
      </c>
      <c r="M4">
        <f>regressionsbasenl!$R$1*A4^2+regressionsbasenl!$R$2*A4^6</f>
        <v>-0.43266736819211016</v>
      </c>
      <c r="N4">
        <f>regressionsbasenl!$P$1*A4^2+regressionsbasenl!$P$2*A4^7</f>
        <v>-0.65677447022999469</v>
      </c>
      <c r="O4">
        <f>regressionsbasenl!$T$2+regressionsbasenl!$T$1*EXP(A4)</f>
        <v>3.2785313095266069E-3</v>
      </c>
      <c r="P4" s="20">
        <f>(1-EXP(-2*regressionsbasenl!X$1*graphbasenl!A4))/2/EXP(-regressionsbasenl!X$1*A4)</f>
        <v>0.81976912718059269</v>
      </c>
      <c r="AT4" s="33"/>
      <c r="AW4" s="33"/>
      <c r="AZ4" s="33"/>
    </row>
    <row r="5" spans="1:52" x14ac:dyDescent="0.35">
      <c r="A5">
        <f>0.1+A4</f>
        <v>-1.7999999999999998</v>
      </c>
      <c r="B5">
        <f t="shared" si="0"/>
        <v>0.49539541230630124</v>
      </c>
      <c r="C5">
        <f>regressionsbasenl!$AR$1*$A5</f>
        <v>-1.959927670227581</v>
      </c>
      <c r="D5">
        <f>regressionsbasenl!$AO$1*$A5</f>
        <v>-2.766859983367699</v>
      </c>
      <c r="E5">
        <f>B5+2*C5</f>
        <v>-3.4244599281488606</v>
      </c>
      <c r="F5">
        <f>B5-2*D5</f>
        <v>6.0291153790416994</v>
      </c>
      <c r="G5" s="5">
        <f>B5-regressions!AA$7</f>
        <v>-3.2258931781586537</v>
      </c>
      <c r="H5" s="5">
        <f>B5+regressions!AA$7</f>
        <v>4.216684002771256</v>
      </c>
      <c r="I5">
        <f>IF($A5&lt;=regressionsbasenl!$L$2,$A5*regressionsbasenl!$L$1,regressionsbasenl!$L$1*regressionsbasenl!$L$2+regressionsbasenl!$L$3*($A5-regressionsbasenl!$L$2))</f>
        <v>1.6098469060295324</v>
      </c>
      <c r="J5">
        <f>regressionsbasenl!$J$1*A5+regressionsbasenl!$J$2*A5^2</f>
        <v>0.82264385840368737</v>
      </c>
      <c r="K5">
        <f>regressionsbasenl!$V$1*A5</f>
        <v>1.6098469060295346</v>
      </c>
      <c r="L5">
        <f>regressionsbasenl!$N$1*A5^2</f>
        <v>-0.56248833965242462</v>
      </c>
      <c r="M5">
        <f>regressionsbasenl!$R$1*A5^2+regressionsbasenl!$R$2*A5^6</f>
        <v>-0.38831088444600848</v>
      </c>
      <c r="N5">
        <f>regressionsbasenl!$P$1*A5^2+regressionsbasenl!$P$2*A5^7</f>
        <v>-0.58944768226789723</v>
      </c>
      <c r="O5">
        <f>regressionsbasenl!$T$2+regressionsbasenl!$T$1*EXP(A5)</f>
        <v>3.2178889336853052E-3</v>
      </c>
      <c r="P5" s="20">
        <f>(1-EXP(-2*regressionsbasenl!X$1*graphbasenl!A5))/2/EXP(-regressionsbasenl!X$1*A5)</f>
        <v>0.76948327371434211</v>
      </c>
      <c r="AT5" s="33"/>
      <c r="AW5" s="33"/>
      <c r="AZ5" s="33"/>
    </row>
    <row r="6" spans="1:52" x14ac:dyDescent="0.35">
      <c r="A6">
        <f>0.1+A5</f>
        <v>-1.6999999999999997</v>
      </c>
      <c r="B6">
        <f t="shared" si="0"/>
        <v>0.47999108230854048</v>
      </c>
      <c r="C6">
        <f>regressionsbasenl!$AR$1*$A6</f>
        <v>-1.8510427996593819</v>
      </c>
      <c r="D6">
        <f>regressionsbasenl!$AO$1*$A6</f>
        <v>-2.6131455398472712</v>
      </c>
      <c r="E6">
        <f>B6+2*C6</f>
        <v>-3.2220945170102233</v>
      </c>
      <c r="F6">
        <f>B6-2*D6</f>
        <v>5.7062821620030828</v>
      </c>
      <c r="G6" s="5">
        <f>B6-regressions!AA$7</f>
        <v>-3.2412975081564146</v>
      </c>
      <c r="H6" s="5">
        <f>B6+regressions!AA$7</f>
        <v>4.2012796727734951</v>
      </c>
      <c r="I6">
        <f>IF($A6&lt;=regressionsbasenl!$L$2,$A6*regressionsbasenl!$L$1,regressionsbasenl!$L$1*regressionsbasenl!$L$2+regressionsbasenl!$L$3*($A6-regressionsbasenl!$L$2))</f>
        <v>1.5204109668056696</v>
      </c>
      <c r="J6">
        <f>regressionsbasenl!$J$1*A6+regressionsbasenl!$J$2*A6^2</f>
        <v>0.78834643215592026</v>
      </c>
      <c r="K6">
        <f>regressionsbasenl!$V$1*A6</f>
        <v>1.5204109668056716</v>
      </c>
      <c r="L6">
        <f>regressionsbasenl!$N$1*A6^2</f>
        <v>-0.50172571036898372</v>
      </c>
      <c r="M6">
        <f>regressionsbasenl!$R$1*A6^2+regressionsbasenl!$R$2*A6^6</f>
        <v>-0.34635535870463591</v>
      </c>
      <c r="N6">
        <f>regressionsbasenl!$P$1*A6^2+regressionsbasenl!$P$2*A6^7</f>
        <v>-0.52576424001138922</v>
      </c>
      <c r="O6">
        <f>regressionsbasenl!$T$2+regressionsbasenl!$T$1*EXP(A6)</f>
        <v>3.1508687435024851E-3</v>
      </c>
      <c r="P6" s="20">
        <f>(1-EXP(-2*regressionsbasenl!X$1*graphbasenl!A6))/2/EXP(-regressionsbasenl!X$1*A6)</f>
        <v>0.72039027427543301</v>
      </c>
      <c r="AT6" s="33"/>
      <c r="AW6" s="33"/>
      <c r="AZ6" s="33"/>
    </row>
    <row r="7" spans="1:52" x14ac:dyDescent="0.35">
      <c r="A7">
        <f>0.1+A6</f>
        <v>-1.5999999999999996</v>
      </c>
      <c r="B7">
        <f t="shared" si="0"/>
        <v>0.46319299139267311</v>
      </c>
      <c r="C7">
        <f>regressionsbasenl!$AR$1*$A7</f>
        <v>-1.7421579290911828</v>
      </c>
      <c r="D7">
        <f>regressionsbasenl!$AO$1*$A7</f>
        <v>-2.4594310963268433</v>
      </c>
      <c r="E7">
        <f>B7+2*C7</f>
        <v>-3.0211228667896926</v>
      </c>
      <c r="F7">
        <f>B7-2*D7</f>
        <v>5.3820551840463597</v>
      </c>
      <c r="G7" s="5">
        <f>B7-regressions!AA$7</f>
        <v>-3.258095599072282</v>
      </c>
      <c r="H7" s="5">
        <f>B7+regressions!AA$7</f>
        <v>4.1844815818576286</v>
      </c>
      <c r="I7">
        <f>IF($A7&lt;=regressionsbasenl!$L$2,$A7*regressionsbasenl!$L$1,regressionsbasenl!$L$1*regressionsbasenl!$L$2+regressionsbasenl!$L$3*($A7-regressionsbasenl!$L$2))</f>
        <v>1.4309750275818065</v>
      </c>
      <c r="J7">
        <f>regressionsbasenl!$J$1*A7+regressionsbasenl!$J$2*A7^2</f>
        <v>0.75270723998695133</v>
      </c>
      <c r="K7">
        <f>regressionsbasenl!$V$1*A7</f>
        <v>1.4309750275818085</v>
      </c>
      <c r="L7">
        <f>regressionsbasenl!$N$1*A7^2</f>
        <v>-0.44443523133031071</v>
      </c>
      <c r="M7">
        <f>regressionsbasenl!$R$1*A7^2+regressionsbasenl!$R$2*A7^6</f>
        <v>-0.30679992149328006</v>
      </c>
      <c r="N7">
        <f>regressionsbasenl!$P$1*A7^2+regressionsbasenl!$P$2*A7^7</f>
        <v>-0.46572289855195831</v>
      </c>
      <c r="O7">
        <f>regressionsbasenl!$T$2+regressionsbasenl!$T$1*EXP(A7)</f>
        <v>3.0767999783885332E-3</v>
      </c>
      <c r="P7" s="20">
        <f>(1-EXP(-2*regressionsbasenl!X$1*graphbasenl!A7))/2/EXP(-regressionsbasenl!X$1*A7)</f>
        <v>0.67241402482873469</v>
      </c>
      <c r="AT7" s="33"/>
      <c r="AW7" s="33"/>
      <c r="AZ7" s="33"/>
    </row>
    <row r="8" spans="1:52" x14ac:dyDescent="0.35">
      <c r="A8">
        <f>0.1+A7</f>
        <v>-1.4999999999999996</v>
      </c>
      <c r="B8">
        <f t="shared" si="0"/>
        <v>0.44499486507736707</v>
      </c>
      <c r="C8">
        <f>regressionsbasenl!$AR$1*$A8</f>
        <v>-1.6332730585229838</v>
      </c>
      <c r="D8">
        <f>regressionsbasenl!$AO$1*$A8</f>
        <v>-2.3057166528064155</v>
      </c>
      <c r="E8">
        <f t="shared" ref="E8:E71" si="1">B8+2*C8</f>
        <v>-2.8215512519686006</v>
      </c>
      <c r="F8">
        <f t="shared" ref="F8:F71" si="2">B8-2*D8</f>
        <v>5.0564281706901983</v>
      </c>
      <c r="G8" s="5">
        <f>B8-regressions!AA$7</f>
        <v>-3.2762937253875881</v>
      </c>
      <c r="H8" s="5">
        <f>B8+regressions!AA$7</f>
        <v>4.166283455542322</v>
      </c>
      <c r="I8">
        <f>IF($A8&lt;=regressionsbasenl!$L$2,$A8*regressionsbasenl!$L$1,regressionsbasenl!$L$1*regressionsbasenl!$L$2+regressionsbasenl!$L$3*($A8-regressionsbasenl!$L$2))</f>
        <v>1.3415390883579434</v>
      </c>
      <c r="J8">
        <f>regressionsbasenl!$J$1*A8+regressionsbasenl!$J$2*A8^2</f>
        <v>0.71572628189678056</v>
      </c>
      <c r="K8">
        <f>regressionsbasenl!$V$1*A8</f>
        <v>1.3415390883579452</v>
      </c>
      <c r="L8">
        <f>regressionsbasenl!$N$1*A8^2</f>
        <v>-0.39061690253640585</v>
      </c>
      <c r="M8">
        <f>regressionsbasenl!$R$1*A8^2+regressionsbasenl!$R$2*A8^6</f>
        <v>-0.26964384381262224</v>
      </c>
      <c r="N8">
        <f>regressionsbasenl!$P$1*A8^2+regressionsbasenl!$P$2*A8^7</f>
        <v>-0.40932267345812751</v>
      </c>
      <c r="O8">
        <f>regressionsbasenl!$T$2+regressionsbasenl!$T$1*EXP(A8)</f>
        <v>2.9949413332468178E-3</v>
      </c>
      <c r="P8" s="20">
        <f>(1-EXP(-2*regressionsbasenl!X$1*graphbasenl!A8))/2/EXP(-regressionsbasenl!X$1*A8)</f>
        <v>0.62548015252648836</v>
      </c>
      <c r="AT8" s="33"/>
      <c r="AW8" s="33"/>
      <c r="AZ8" s="33"/>
    </row>
    <row r="9" spans="1:52" x14ac:dyDescent="0.35">
      <c r="A9">
        <f t="shared" ref="A9:A72" si="3">0.1+A8</f>
        <v>-1.3999999999999995</v>
      </c>
      <c r="B9">
        <f t="shared" si="0"/>
        <v>0.42539052011720818</v>
      </c>
      <c r="C9">
        <f>regressionsbasenl!$AR$1*$A9</f>
        <v>-1.5243881879547847</v>
      </c>
      <c r="D9">
        <f>regressionsbasenl!$AO$1*$A9</f>
        <v>-2.1520022092859876</v>
      </c>
      <c r="E9">
        <f t="shared" si="1"/>
        <v>-2.6233858557923613</v>
      </c>
      <c r="F9">
        <f t="shared" si="2"/>
        <v>4.7293949386891834</v>
      </c>
      <c r="G9" s="5">
        <f>B9-regressions!AA$7</f>
        <v>-3.295898070347747</v>
      </c>
      <c r="H9" s="5">
        <f>B9+regressions!AA$7</f>
        <v>4.1466791105821637</v>
      </c>
      <c r="I9">
        <f>IF($A9&lt;=regressionsbasenl!$L$2,$A9*regressionsbasenl!$L$1,regressionsbasenl!$L$1*regressionsbasenl!$L$2+regressionsbasenl!$L$3*($A9-regressionsbasenl!$L$2))</f>
        <v>1.2521031491340804</v>
      </c>
      <c r="J9">
        <f>regressionsbasenl!$J$1*A9+regressionsbasenl!$J$2*A9^2</f>
        <v>0.67740355788540796</v>
      </c>
      <c r="K9">
        <f>regressionsbasenl!$V$1*A9</f>
        <v>1.2521031491340822</v>
      </c>
      <c r="L9">
        <f>regressionsbasenl!$N$1*A9^2</f>
        <v>-0.34027072398726904</v>
      </c>
      <c r="M9">
        <f>regressionsbasenl!$R$1*A9^2+regressionsbasenl!$R$2*A9^6</f>
        <v>-0.23488652111677366</v>
      </c>
      <c r="N9">
        <f>regressionsbasenl!$P$1*A9^2+regressionsbasenl!$P$2*A9^7</f>
        <v>-0.35656279755634396</v>
      </c>
      <c r="O9">
        <f>regressionsbasenl!$T$2+regressionsbasenl!$T$1*EXP(A9)</f>
        <v>2.9044735392431192E-3</v>
      </c>
      <c r="P9" s="20">
        <f>(1-EXP(-2*regressionsbasenl!X$1*graphbasenl!A9))/2/EXP(-regressionsbasenl!X$1*A9)</f>
        <v>0.57951590041541512</v>
      </c>
      <c r="AT9" s="33"/>
      <c r="AW9" s="33"/>
      <c r="AZ9" s="33"/>
    </row>
    <row r="10" spans="1:52" x14ac:dyDescent="0.35">
      <c r="A10">
        <f t="shared" si="3"/>
        <v>-1.2999999999999994</v>
      </c>
      <c r="B10">
        <f t="shared" si="0"/>
        <v>0.40437386182519419</v>
      </c>
      <c r="C10">
        <f>regressionsbasenl!$AR$1*$A10</f>
        <v>-1.4155033173865856</v>
      </c>
      <c r="D10">
        <f>regressionsbasenl!$AO$1*$A10</f>
        <v>-1.9982877657655596</v>
      </c>
      <c r="E10">
        <f t="shared" si="1"/>
        <v>-2.4266327729479773</v>
      </c>
      <c r="F10">
        <f t="shared" si="2"/>
        <v>4.4009493933563135</v>
      </c>
      <c r="G10" s="5">
        <f>B10-regressions!AA$7</f>
        <v>-3.3169147286397607</v>
      </c>
      <c r="H10" s="5">
        <f>B10+regressions!AA$7</f>
        <v>4.1256624522901495</v>
      </c>
      <c r="I10">
        <f>IF($A10&lt;=regressionsbasenl!$L$2,$A10*regressionsbasenl!$L$1,regressionsbasenl!$L$1*regressionsbasenl!$L$2+regressionsbasenl!$L$3*($A10-regressionsbasenl!$L$2))</f>
        <v>1.1626672099102175</v>
      </c>
      <c r="J10">
        <f>regressionsbasenl!$J$1*A10+regressionsbasenl!$J$2*A10^2</f>
        <v>0.63773906795283353</v>
      </c>
      <c r="K10">
        <f>regressionsbasenl!$V$1*A10</f>
        <v>1.1626672099102191</v>
      </c>
      <c r="L10">
        <f>regressionsbasenl!$N$1*A10^2</f>
        <v>-0.29339669568290028</v>
      </c>
      <c r="M10">
        <f>regressionsbasenl!$R$1*A10^2+regressionsbasenl!$R$2*A10^6</f>
        <v>-0.20252745826234086</v>
      </c>
      <c r="N10">
        <f>regressionsbasenl!$P$1*A10^2+regressionsbasenl!$P$2*A10^7</f>
        <v>-0.30744268278403791</v>
      </c>
      <c r="O10">
        <f>regressionsbasenl!$T$2+regressionsbasenl!$T$1*EXP(A10)</f>
        <v>2.8044911642877736E-3</v>
      </c>
      <c r="P10" s="20">
        <f>(1-EXP(-2*regressionsbasenl!X$1*graphbasenl!A10))/2/EXP(-regressionsbasenl!X$1*A10)</f>
        <v>0.5344500146487875</v>
      </c>
      <c r="AT10" s="33"/>
      <c r="AW10" s="33"/>
      <c r="AZ10" s="33"/>
    </row>
    <row r="11" spans="1:52" x14ac:dyDescent="0.35">
      <c r="A11">
        <f t="shared" si="3"/>
        <v>-1.1999999999999993</v>
      </c>
      <c r="B11">
        <f t="shared" si="0"/>
        <v>0.38193888092284489</v>
      </c>
      <c r="C11">
        <f>regressionsbasenl!$AR$1*$A11</f>
        <v>-1.3066184468183868</v>
      </c>
      <c r="D11">
        <f>regressionsbasenl!$AO$1*$A11</f>
        <v>-1.8445733222451317</v>
      </c>
      <c r="E11">
        <f t="shared" si="1"/>
        <v>-2.2312980127139288</v>
      </c>
      <c r="F11">
        <f t="shared" si="2"/>
        <v>4.0710855254131086</v>
      </c>
      <c r="G11" s="5">
        <f>B11-regressions!AA$7</f>
        <v>-3.3393497095421103</v>
      </c>
      <c r="H11" s="5">
        <f>B11+regressions!AA$7</f>
        <v>4.1032274713878003</v>
      </c>
      <c r="I11">
        <f>IF($A11&lt;=regressionsbasenl!$L$2,$A11*regressionsbasenl!$L$1,regressionsbasenl!$L$1*regressionsbasenl!$L$2+regressionsbasenl!$L$3*($A11-regressionsbasenl!$L$2))</f>
        <v>1.0732312706863545</v>
      </c>
      <c r="J11">
        <f>regressionsbasenl!$J$1*A11+regressionsbasenl!$J$2*A11^2</f>
        <v>0.59673281209905726</v>
      </c>
      <c r="K11">
        <f>regressionsbasenl!$V$1*A11</f>
        <v>1.073231270686356</v>
      </c>
      <c r="L11">
        <f>regressionsbasenl!$N$1*A11^2</f>
        <v>-0.24999481762329961</v>
      </c>
      <c r="M11">
        <f>regressionsbasenl!$R$1*A11^2+regressionsbasenl!$R$2*A11^6</f>
        <v>-0.17256625542851853</v>
      </c>
      <c r="N11">
        <f>regressionsbasenl!$P$1*A11^2+regressionsbasenl!$P$2*A11^7</f>
        <v>-0.26196188679784094</v>
      </c>
      <c r="O11">
        <f>regressionsbasenl!$T$2+regressionsbasenl!$T$1*EXP(A11)</f>
        <v>2.6939935511669901E-3</v>
      </c>
      <c r="P11" s="20">
        <f>(1-EXP(-2*regressionsbasenl!X$1*graphbasenl!A11))/2/EXP(-regressionsbasenl!X$1*A11)</f>
        <v>0.49021263402861909</v>
      </c>
      <c r="AT11" s="33"/>
      <c r="AW11" s="33"/>
      <c r="AZ11" s="33"/>
    </row>
    <row r="12" spans="1:52" x14ac:dyDescent="0.35">
      <c r="A12">
        <f t="shared" si="3"/>
        <v>-1.0999999999999992</v>
      </c>
      <c r="B12">
        <f t="shared" si="0"/>
        <v>0.35807964993179703</v>
      </c>
      <c r="C12">
        <f>regressionsbasenl!$AR$1*$A12</f>
        <v>-1.1977335762501877</v>
      </c>
      <c r="D12">
        <f>regressionsbasenl!$AO$1*$A12</f>
        <v>-1.6908588787247039</v>
      </c>
      <c r="E12">
        <f t="shared" si="1"/>
        <v>-2.0373875025685786</v>
      </c>
      <c r="F12">
        <f t="shared" si="2"/>
        <v>3.7397974073812046</v>
      </c>
      <c r="G12" s="5">
        <f>B12-regressions!AA$7</f>
        <v>-3.3632089405331582</v>
      </c>
      <c r="H12" s="5">
        <f>B12+regressions!AA$7</f>
        <v>4.0793682403967519</v>
      </c>
      <c r="I12">
        <f>IF($A12&lt;=regressionsbasenl!$L$2,$A12*regressionsbasenl!$L$1,regressionsbasenl!$L$1*regressionsbasenl!$L$2+regressionsbasenl!$L$3*($A12-regressionsbasenl!$L$2))</f>
        <v>0.98379533146249143</v>
      </c>
      <c r="J12">
        <f>regressionsbasenl!$J$1*A12+regressionsbasenl!$J$2*A12^2</f>
        <v>0.55438479032407906</v>
      </c>
      <c r="K12">
        <f>regressionsbasenl!$V$1*A12</f>
        <v>0.98379533146249276</v>
      </c>
      <c r="L12">
        <f>regressionsbasenl!$N$1*A12^2</f>
        <v>-0.21006508980846697</v>
      </c>
      <c r="M12">
        <f>regressionsbasenl!$R$1*A12^2+regressionsbasenl!$R$2*A12^6</f>
        <v>-0.14500259500821081</v>
      </c>
      <c r="N12">
        <f>regressionsbasenl!$P$1*A12^2+regressionsbasenl!$P$2*A12^7</f>
        <v>-0.22012008401995198</v>
      </c>
      <c r="O12">
        <f>regressionsbasenl!$T$2+regressionsbasenl!$T$1*EXP(A12)</f>
        <v>2.5718748026291264E-3</v>
      </c>
      <c r="P12" s="20">
        <f>(1-EXP(-2*regressionsbasenl!X$1*graphbasenl!A12))/2/EXP(-regressionsbasenl!X$1*A12)</f>
        <v>0.44673518170673826</v>
      </c>
      <c r="AT12" s="33"/>
      <c r="AW12" s="33"/>
      <c r="AZ12" s="33"/>
    </row>
    <row r="13" spans="1:52" x14ac:dyDescent="0.35">
      <c r="A13">
        <f t="shared" si="3"/>
        <v>-0.99999999999999922</v>
      </c>
      <c r="B13">
        <f t="shared" si="0"/>
        <v>0.33279031912105578</v>
      </c>
      <c r="C13">
        <f>regressionsbasenl!$AR$1*$A13</f>
        <v>-1.0888487056819887</v>
      </c>
      <c r="D13">
        <f>regressionsbasenl!$AO$1*$A13</f>
        <v>-1.5371444352042762</v>
      </c>
      <c r="E13">
        <f t="shared" si="1"/>
        <v>-1.8449070922429216</v>
      </c>
      <c r="F13">
        <f t="shared" si="2"/>
        <v>3.4070791895296084</v>
      </c>
      <c r="G13" s="5">
        <f>B13-regressions!AA$7</f>
        <v>-3.3884982713438991</v>
      </c>
      <c r="H13" s="5">
        <f>B13+regressions!AA$7</f>
        <v>4.0540789095860106</v>
      </c>
      <c r="I13">
        <f>IF($A13&lt;=regressionsbasenl!$L$2,$A13*regressionsbasenl!$L$1,regressionsbasenl!$L$1*regressionsbasenl!$L$2+regressionsbasenl!$L$3*($A13-regressionsbasenl!$L$2))</f>
        <v>0.89435939223862859</v>
      </c>
      <c r="J13">
        <f>regressionsbasenl!$J$1*A13+regressionsbasenl!$J$2*A13^2</f>
        <v>0.51069500262789924</v>
      </c>
      <c r="K13">
        <f>regressionsbasenl!$V$1*A13</f>
        <v>0.89435939223862981</v>
      </c>
      <c r="L13">
        <f>regressionsbasenl!$N$1*A13^2</f>
        <v>-0.17360751223840243</v>
      </c>
      <c r="M13">
        <f>regressionsbasenl!$R$1*A13^2+regressionsbasenl!$R$2*A13^6</f>
        <v>-0.11983622947018051</v>
      </c>
      <c r="N13">
        <f>regressionsbasenl!$P$1*A13^2+regressionsbasenl!$P$2*A13^7</f>
        <v>-0.18191704080564103</v>
      </c>
      <c r="O13">
        <f>regressionsbasenl!$T$2+regressionsbasenl!$T$1*EXP(A13)</f>
        <v>2.436912713193286E-3</v>
      </c>
      <c r="P13" s="20">
        <f>(1-EXP(-2*regressionsbasenl!X$1*graphbasenl!A13))/2/EXP(-regressionsbasenl!X$1*A13)</f>
        <v>0.40395025887686542</v>
      </c>
      <c r="Q13" s="48"/>
      <c r="AO13" s="1"/>
      <c r="AP13" s="1"/>
      <c r="AT13" s="33"/>
      <c r="AW13" s="33"/>
      <c r="AZ13" s="33"/>
    </row>
    <row r="14" spans="1:52" x14ac:dyDescent="0.35">
      <c r="A14">
        <f t="shared" si="3"/>
        <v>-0.89999999999999925</v>
      </c>
      <c r="B14">
        <f t="shared" si="0"/>
        <v>0.30606511202433101</v>
      </c>
      <c r="C14">
        <f>regressionsbasenl!$AR$1*$A14</f>
        <v>-0.97996383511378982</v>
      </c>
      <c r="D14">
        <f>regressionsbasenl!$AO$1*$A14</f>
        <v>-1.3834299916838484</v>
      </c>
      <c r="E14">
        <f t="shared" si="1"/>
        <v>-1.6538625582032487</v>
      </c>
      <c r="F14">
        <f t="shared" si="2"/>
        <v>3.0729250953920277</v>
      </c>
      <c r="G14" s="5">
        <f>B14-regressions!AA$7</f>
        <v>-3.4152234784406241</v>
      </c>
      <c r="H14" s="5">
        <f>B14+regressions!AA$7</f>
        <v>4.027353702489286</v>
      </c>
      <c r="I14">
        <f>IF($A14&lt;=regressionsbasenl!$L$2,$A14*regressionsbasenl!$L$1,regressionsbasenl!$L$1*regressionsbasenl!$L$2+regressionsbasenl!$L$3*($A14-regressionsbasenl!$L$2))</f>
        <v>0.80492345301476564</v>
      </c>
      <c r="J14">
        <f>regressionsbasenl!$J$1*A14+regressionsbasenl!$J$2*A14^2</f>
        <v>0.46566344901051748</v>
      </c>
      <c r="K14">
        <f>regressionsbasenl!$V$1*A14</f>
        <v>0.80492345301476675</v>
      </c>
      <c r="L14">
        <f>regressionsbasenl!$N$1*A14^2</f>
        <v>-0.14062208491310596</v>
      </c>
      <c r="M14">
        <f>regressionsbasenl!$R$1*A14^2+regressionsbasenl!$R$2*A14^6</f>
        <v>-9.7066970192226168E-2</v>
      </c>
      <c r="N14">
        <f>regressionsbasenl!$P$1*A14^2+regressionsbasenl!$P$2*A14^7</f>
        <v>-0.14735259441487988</v>
      </c>
      <c r="O14">
        <f>regressionsbasenl!$T$2+regressionsbasenl!$T$1*EXP(A14)</f>
        <v>2.287756536906071E-3</v>
      </c>
      <c r="P14" s="20">
        <f>(1-EXP(-2*regressionsbasenl!X$1*graphbasenl!A14))/2/EXP(-regressionsbasenl!X$1*A14)</f>
        <v>0.36179154029288996</v>
      </c>
      <c r="AT14" s="33"/>
      <c r="AW14" s="33"/>
      <c r="AZ14" s="33"/>
    </row>
    <row r="15" spans="1:52" x14ac:dyDescent="0.35">
      <c r="A15">
        <f t="shared" si="3"/>
        <v>-0.79999999999999927</v>
      </c>
      <c r="B15">
        <f t="shared" si="0"/>
        <v>0.27789832054214819</v>
      </c>
      <c r="C15">
        <f>regressionsbasenl!$AR$1*$A15</f>
        <v>-0.87107896454559086</v>
      </c>
      <c r="D15">
        <f>regressionsbasenl!$AO$1*$A15</f>
        <v>-1.2297155481634208</v>
      </c>
      <c r="E15">
        <f t="shared" si="1"/>
        <v>-1.4642596085490336</v>
      </c>
      <c r="F15">
        <f t="shared" si="2"/>
        <v>2.7373294168689899</v>
      </c>
      <c r="G15" s="5">
        <f>B15-regressions!AA$7</f>
        <v>-3.4433902699228067</v>
      </c>
      <c r="H15" s="5">
        <f>B15+regressions!AA$7</f>
        <v>3.9991869110071034</v>
      </c>
      <c r="I15">
        <f>IF($A15&lt;=regressionsbasenl!$L$2,$A15*regressionsbasenl!$L$1,regressionsbasenl!$L$1*regressionsbasenl!$L$2+regressionsbasenl!$L$3*($A15-regressionsbasenl!$L$2))</f>
        <v>0.7154875137909027</v>
      </c>
      <c r="J15">
        <f>regressionsbasenl!$J$1*A15+regressionsbasenl!$J$2*A15^2</f>
        <v>0.419290129471934</v>
      </c>
      <c r="K15">
        <f>regressionsbasenl!$V$1*A15</f>
        <v>0.7154875137909037</v>
      </c>
      <c r="L15">
        <f>regressionsbasenl!$N$1*A15^2</f>
        <v>-0.11110880783257752</v>
      </c>
      <c r="M15">
        <f>regressionsbasenl!$R$1*A15^2+regressionsbasenl!$R$2*A15^6</f>
        <v>-7.6694677265387631E-2</v>
      </c>
      <c r="N15">
        <f>regressionsbasenl!$P$1*A15^2+regressionsbasenl!$P$2*A15^7</f>
        <v>-0.11642663547108979</v>
      </c>
      <c r="O15">
        <f>regressionsbasenl!$T$2+regressionsbasenl!$T$1*EXP(A15)</f>
        <v>2.1229134686220766E-3</v>
      </c>
      <c r="P15" s="20">
        <f>(1-EXP(-2*regressionsbasenl!X$1*graphbasenl!A15))/2/EXP(-regressionsbasenl!X$1*A15)</f>
        <v>0.32019367145138278</v>
      </c>
      <c r="AT15" s="33"/>
      <c r="AW15" s="33"/>
      <c r="AZ15" s="33"/>
    </row>
    <row r="16" spans="1:52" x14ac:dyDescent="0.35">
      <c r="A16">
        <f t="shared" si="3"/>
        <v>-0.69999999999999929</v>
      </c>
      <c r="B16">
        <f t="shared" si="0"/>
        <v>0.24828429964364199</v>
      </c>
      <c r="C16">
        <f>regressionsbasenl!$AR$1*$A16</f>
        <v>-0.76219409397739191</v>
      </c>
      <c r="D16">
        <f>regressionsbasenl!$AO$1*$A16</f>
        <v>-1.0760011046429931</v>
      </c>
      <c r="E16">
        <f t="shared" si="1"/>
        <v>-1.2761038883111417</v>
      </c>
      <c r="F16">
        <f t="shared" si="2"/>
        <v>2.4002865089296281</v>
      </c>
      <c r="G16" s="5">
        <f>B16-regressions!AA$7</f>
        <v>-3.4730042908213132</v>
      </c>
      <c r="H16" s="5">
        <f>B16+regressions!AA$7</f>
        <v>3.9695728901085969</v>
      </c>
      <c r="I16">
        <f>IF($A16&lt;=regressionsbasenl!$L$2,$A16*regressionsbasenl!$L$1,regressionsbasenl!$L$1*regressionsbasenl!$L$2+regressionsbasenl!$L$3*($A16-regressionsbasenl!$L$2))</f>
        <v>0.62605157456703986</v>
      </c>
      <c r="J16">
        <f>regressionsbasenl!$J$1*A16+regressionsbasenl!$J$2*A16^2</f>
        <v>0.37157504401214858</v>
      </c>
      <c r="K16">
        <f>regressionsbasenl!$V$1*A16</f>
        <v>0.62605157456704075</v>
      </c>
      <c r="L16">
        <f>regressionsbasenl!$N$1*A16^2</f>
        <v>-8.5067680996817149E-2</v>
      </c>
      <c r="M16">
        <f>regressionsbasenl!$R$1*A16^2+regressionsbasenl!$R$2*A16^6</f>
        <v>-5.8719250269179284E-2</v>
      </c>
      <c r="N16">
        <f>regressionsbasenl!$P$1*A16^2+regressionsbasenl!$P$2*A16^7</f>
        <v>-8.9139093589994528E-2</v>
      </c>
      <c r="O16">
        <f>regressionsbasenl!$T$2+regressionsbasenl!$T$1*EXP(A16)</f>
        <v>1.9407337035082476E-3</v>
      </c>
      <c r="P16" s="20">
        <f>(1-EXP(-2*regressionsbasenl!X$1*graphbasenl!A16))/2/EXP(-regressionsbasenl!X$1*A16)</f>
        <v>0.27909216727895592</v>
      </c>
      <c r="AT16" s="33"/>
      <c r="AW16" s="33"/>
      <c r="AZ16" s="33"/>
    </row>
    <row r="17" spans="1:52" x14ac:dyDescent="0.35">
      <c r="A17">
        <f t="shared" si="3"/>
        <v>-0.59999999999999931</v>
      </c>
      <c r="B17">
        <f t="shared" si="0"/>
        <v>0.21721746168314318</v>
      </c>
      <c r="C17">
        <f>regressionsbasenl!$AR$1*$A17</f>
        <v>-0.65330922340919295</v>
      </c>
      <c r="D17">
        <f>regressionsbasenl!$AO$1*$A17</f>
        <v>-0.9222866611225653</v>
      </c>
      <c r="E17">
        <f t="shared" si="1"/>
        <v>-1.0894009851352426</v>
      </c>
      <c r="F17">
        <f t="shared" si="2"/>
        <v>2.0617907839282736</v>
      </c>
      <c r="G17" s="5">
        <f>B17-regressions!AA$7</f>
        <v>-3.504071128781812</v>
      </c>
      <c r="H17" s="5">
        <f>B17+regressions!AA$7</f>
        <v>3.9385060521480981</v>
      </c>
      <c r="I17">
        <f>IF($A17&lt;=regressionsbasenl!$L$2,$A17*regressionsbasenl!$L$1,regressionsbasenl!$L$1*regressionsbasenl!$L$2+regressionsbasenl!$L$3*($A17-regressionsbasenl!$L$2))</f>
        <v>0.53661563534317691</v>
      </c>
      <c r="J17">
        <f>regressionsbasenl!$J$1*A17+regressionsbasenl!$J$2*A17^2</f>
        <v>0.32251819263116138</v>
      </c>
      <c r="K17">
        <f>regressionsbasenl!$V$1*A17</f>
        <v>0.53661563534317769</v>
      </c>
      <c r="L17">
        <f>regressionsbasenl!$N$1*A17^2</f>
        <v>-6.2498704405824827E-2</v>
      </c>
      <c r="M17">
        <f>regressionsbasenl!$R$1*A17^2+regressionsbasenl!$R$2*A17^6</f>
        <v>-4.3140620017851593E-2</v>
      </c>
      <c r="N17">
        <f>regressionsbasenl!$P$1*A17^2+regressionsbasenl!$P$2*A17^7</f>
        <v>-6.5489925861568959E-2</v>
      </c>
      <c r="O17">
        <f>regressionsbasenl!$T$2+regressionsbasenl!$T$1*EXP(A17)</f>
        <v>1.7393939252425914E-3</v>
      </c>
      <c r="P17" s="20">
        <f>(1-EXP(-2*regressionsbasenl!X$1*graphbasenl!A17))/2/EXP(-regressionsbasenl!X$1*A17)</f>
        <v>0.23842331216741261</v>
      </c>
      <c r="AT17" s="33"/>
      <c r="AW17" s="33"/>
      <c r="AZ17" s="33"/>
    </row>
    <row r="18" spans="1:52" x14ac:dyDescent="0.35">
      <c r="A18">
        <f t="shared" si="3"/>
        <v>-0.49999999999999933</v>
      </c>
      <c r="B18">
        <f t="shared" si="0"/>
        <v>0.18469227034685806</v>
      </c>
      <c r="C18">
        <f>regressionsbasenl!$AR$1*$A18</f>
        <v>-0.544424352840994</v>
      </c>
      <c r="D18">
        <f>regressionsbasenl!$AO$1*$A18</f>
        <v>-0.76857221760213768</v>
      </c>
      <c r="E18">
        <f t="shared" si="1"/>
        <v>-0.9041564353351299</v>
      </c>
      <c r="F18">
        <f t="shared" si="2"/>
        <v>1.7218367055511334</v>
      </c>
      <c r="G18" s="5">
        <f>B18-regressions!AA$7</f>
        <v>-3.5365963201180972</v>
      </c>
      <c r="H18" s="5">
        <f>B18+regressions!AA$7</f>
        <v>3.9059808608118129</v>
      </c>
      <c r="I18">
        <f>IF($A18&lt;=regressionsbasenl!$L$2,$A18*regressionsbasenl!$L$1,regressionsbasenl!$L$1*regressionsbasenl!$L$2+regressionsbasenl!$L$3*($A18-regressionsbasenl!$L$2))</f>
        <v>0.44717969611931402</v>
      </c>
      <c r="J18">
        <f>regressionsbasenl!$J$1*A18+regressionsbasenl!$J$2*A18^2</f>
        <v>0.27211957532897235</v>
      </c>
      <c r="K18">
        <f>regressionsbasenl!$V$1*A18</f>
        <v>0.44717969611931463</v>
      </c>
      <c r="L18">
        <f>regressionsbasenl!$N$1*A18^2</f>
        <v>-4.3401878059600559E-2</v>
      </c>
      <c r="M18">
        <f>regressionsbasenl!$R$1*A18^2+regressionsbasenl!$R$2*A18^6</f>
        <v>-2.995874127768058E-2</v>
      </c>
      <c r="N18">
        <f>regressionsbasenl!$P$1*A18^2+regressionsbasenl!$P$2*A18^7</f>
        <v>-4.547910786807241E-2</v>
      </c>
      <c r="O18">
        <f>regressionsbasenl!$T$2+regressionsbasenl!$T$1*EXP(A18)</f>
        <v>1.5168790576515889E-3</v>
      </c>
      <c r="P18" s="20">
        <f>(1-EXP(-2*regressionsbasenl!X$1*graphbasenl!A18))/2/EXP(-regressionsbasenl!X$1*A18)</f>
        <v>0.19812406120172443</v>
      </c>
      <c r="AT18" s="33"/>
      <c r="AW18" s="33"/>
      <c r="AZ18" s="33"/>
    </row>
    <row r="19" spans="1:52" x14ac:dyDescent="0.35">
      <c r="A19">
        <f t="shared" si="3"/>
        <v>-0.39999999999999936</v>
      </c>
      <c r="B19">
        <f t="shared" si="0"/>
        <v>0.15070323424509316</v>
      </c>
      <c r="C19">
        <f>regressionsbasenl!$AR$1*$A19</f>
        <v>-0.4355394822727951</v>
      </c>
      <c r="D19">
        <f>regressionsbasenl!$AO$1*$A19</f>
        <v>-0.61485777408170994</v>
      </c>
      <c r="E19">
        <f t="shared" si="1"/>
        <v>-0.72037573030049706</v>
      </c>
      <c r="F19">
        <f t="shared" si="2"/>
        <v>1.380418782408513</v>
      </c>
      <c r="G19" s="5">
        <f>B19-regressions!AA$7</f>
        <v>-3.5705853562198619</v>
      </c>
      <c r="H19" s="5">
        <f>B19+regressions!AA$7</f>
        <v>3.8719918247100482</v>
      </c>
      <c r="I19">
        <f>IF($A19&lt;=regressionsbasenl!$L$2,$A19*regressionsbasenl!$L$1,regressionsbasenl!$L$1*regressionsbasenl!$L$2+regressionsbasenl!$L$3*($A19-regressionsbasenl!$L$2))</f>
        <v>0.35774375689545113</v>
      </c>
      <c r="J19">
        <f>regressionsbasenl!$J$1*A19+regressionsbasenl!$J$2*A19^2</f>
        <v>0.22037919210558146</v>
      </c>
      <c r="K19">
        <f>regressionsbasenl!$V$1*A19</f>
        <v>0.35774375689545163</v>
      </c>
      <c r="L19">
        <f>regressionsbasenl!$N$1*A19^2</f>
        <v>-2.7777201958144343E-2</v>
      </c>
      <c r="M19">
        <f>regressionsbasenl!$R$1*A19^2+regressionsbasenl!$R$2*A19^6</f>
        <v>-1.9173586455285437E-2</v>
      </c>
      <c r="N19">
        <f>regressionsbasenl!$P$1*A19^2+regressionsbasenl!$P$2*A19^7</f>
        <v>-2.9106626921156006E-2</v>
      </c>
      <c r="O19">
        <f>regressionsbasenl!$T$2+regressionsbasenl!$T$1*EXP(A19)</f>
        <v>1.2709620971505593E-3</v>
      </c>
      <c r="P19" s="20">
        <f>(1-EXP(-2*regressionsbasenl!X$1*graphbasenl!A19))/2/EXP(-regressionsbasenl!X$1*A19)</f>
        <v>0.15813194242771716</v>
      </c>
      <c r="AT19" s="33"/>
      <c r="AW19" s="33"/>
      <c r="AZ19" s="33"/>
    </row>
    <row r="20" spans="1:52" x14ac:dyDescent="0.35">
      <c r="A20">
        <f t="shared" si="3"/>
        <v>-0.29999999999999938</v>
      </c>
      <c r="B20">
        <f t="shared" si="0"/>
        <v>0.11524490016562239</v>
      </c>
      <c r="C20">
        <f>regressionsbasenl!$AR$1*$A20</f>
        <v>-0.3266546117045962</v>
      </c>
      <c r="D20">
        <f>regressionsbasenl!$AO$1*$A20</f>
        <v>-0.46114333056128226</v>
      </c>
      <c r="E20">
        <f t="shared" si="1"/>
        <v>-0.53806432324357001</v>
      </c>
      <c r="F20">
        <f t="shared" si="2"/>
        <v>1.037531561288187</v>
      </c>
      <c r="G20" s="5">
        <f>B20-regressions!AA$7</f>
        <v>-3.6060436902993329</v>
      </c>
      <c r="H20" s="5">
        <f>B20+regressions!AA$7</f>
        <v>3.8365334906305772</v>
      </c>
      <c r="I20">
        <f>IF($A20&lt;=regressionsbasenl!$L$2,$A20*regressionsbasenl!$L$1,regressionsbasenl!$L$1*regressionsbasenl!$L$2+regressionsbasenl!$L$3*($A20-regressionsbasenl!$L$2))</f>
        <v>0.26830781767158823</v>
      </c>
      <c r="J20">
        <f>regressionsbasenl!$J$1*A20+regressionsbasenl!$J$2*A20^2</f>
        <v>0.16729704296098877</v>
      </c>
      <c r="K20">
        <f>regressionsbasenl!$V$1*A20</f>
        <v>0.26830781767158857</v>
      </c>
      <c r="L20">
        <f>regressionsbasenl!$N$1*A20^2</f>
        <v>-1.5624676101456177E-2</v>
      </c>
      <c r="M20">
        <f>regressionsbasenl!$R$1*A20^2+regressionsbasenl!$R$2*A20^6</f>
        <v>-1.0785140256974159E-2</v>
      </c>
      <c r="N20">
        <f>regressionsbasenl!$P$1*A20^2+regressionsbasenl!$P$2*A20^7</f>
        <v>-1.6372477201033683E-2</v>
      </c>
      <c r="O20">
        <f>regressionsbasenl!$T$2+regressionsbasenl!$T$1*EXP(A20)</f>
        <v>9.9918182414326408E-4</v>
      </c>
      <c r="P20" s="20">
        <f>(1-EXP(-2*regressionsbasenl!X$1*graphbasenl!A20))/2/EXP(-regressionsbasenl!X$1*A20)</f>
        <v>0.11838496000796186</v>
      </c>
      <c r="AT20" s="33"/>
      <c r="AW20" s="33"/>
      <c r="AZ20" s="33"/>
    </row>
    <row r="21" spans="1:52" x14ac:dyDescent="0.35">
      <c r="A21">
        <f t="shared" si="3"/>
        <v>-0.19999999999999937</v>
      </c>
      <c r="B21">
        <f t="shared" si="0"/>
        <v>7.8311846003911195E-2</v>
      </c>
      <c r="C21">
        <f>regressionsbasenl!$AR$1*$A21</f>
        <v>-0.21776974113639722</v>
      </c>
      <c r="D21">
        <f>regressionsbasenl!$AO$1*$A21</f>
        <v>-0.30742888704085453</v>
      </c>
      <c r="E21">
        <f t="shared" si="1"/>
        <v>-0.35722763626888321</v>
      </c>
      <c r="F21">
        <f t="shared" si="2"/>
        <v>0.69316962008562022</v>
      </c>
      <c r="G21" s="5">
        <f>B21-regressions!AA$7</f>
        <v>-3.6429767444610439</v>
      </c>
      <c r="H21" s="5">
        <f>B21+regressions!AA$7</f>
        <v>3.7996004364688662</v>
      </c>
      <c r="I21">
        <f>IF($A21&lt;=regressionsbasenl!$L$2,$A21*regressionsbasenl!$L$1,regressionsbasenl!$L$1*regressionsbasenl!$L$2+regressionsbasenl!$L$3*($A21-regressionsbasenl!$L$2))</f>
        <v>0.17887187844772529</v>
      </c>
      <c r="J21">
        <f>regressionsbasenl!$J$1*A21+regressionsbasenl!$J$2*A21^2</f>
        <v>0.11287312789519421</v>
      </c>
      <c r="K21">
        <f>regressionsbasenl!$V$1*A21</f>
        <v>0.17887187844772554</v>
      </c>
      <c r="L21">
        <f>regressionsbasenl!$N$1*A21^2</f>
        <v>-6.9443004895360649E-3</v>
      </c>
      <c r="M21">
        <f>regressionsbasenl!$R$1*A21^2+regressionsbasenl!$R$2*A21^6</f>
        <v>-4.7933953191172602E-3</v>
      </c>
      <c r="N21">
        <f>regressionsbasenl!$P$1*A21^2+regressionsbasenl!$P$2*A21^7</f>
        <v>-7.2766564807060395E-3</v>
      </c>
      <c r="O21">
        <f>regressionsbasenl!$T$2+regressionsbasenl!$T$1*EXP(A21)</f>
        <v>6.9881817030894092E-4</v>
      </c>
      <c r="P21" s="20">
        <f>(1-EXP(-2*regressionsbasenl!X$1*graphbasenl!A21))/2/EXP(-regressionsbasenl!X$1*A21)</f>
        <v>7.882149811574253E-2</v>
      </c>
      <c r="AT21" s="33"/>
      <c r="AW21" s="33"/>
      <c r="AZ21" s="33"/>
    </row>
    <row r="22" spans="1:52" x14ac:dyDescent="0.35">
      <c r="A22">
        <f t="shared" si="3"/>
        <v>-9.9999999999999367E-2</v>
      </c>
      <c r="B22">
        <f t="shared" si="0"/>
        <v>3.9898673386008825E-2</v>
      </c>
      <c r="C22">
        <f>regressionsbasenl!$AR$1*$A22</f>
        <v>-0.10888487056819826</v>
      </c>
      <c r="D22">
        <f>regressionsbasenl!$AO$1*$A22</f>
        <v>-0.15371444352042676</v>
      </c>
      <c r="E22">
        <f t="shared" si="1"/>
        <v>-0.17787106775038769</v>
      </c>
      <c r="F22">
        <f t="shared" si="2"/>
        <v>0.34732756042686236</v>
      </c>
      <c r="G22" s="5">
        <f>B22-regressions!AA$7</f>
        <v>-3.6813899170789464</v>
      </c>
      <c r="H22" s="5">
        <f>B22+regressions!AA$7</f>
        <v>3.7611872638509638</v>
      </c>
      <c r="I22">
        <f>IF($A22&lt;=regressionsbasenl!$L$2,$A22*regressionsbasenl!$L$1,regressionsbasenl!$L$1*regressionsbasenl!$L$2+regressionsbasenl!$L$3*($A22-regressionsbasenl!$L$2))</f>
        <v>8.9435939223862365E-2</v>
      </c>
      <c r="J22">
        <f>regressionsbasenl!$J$1*A22+regressionsbasenl!$J$2*A22^2</f>
        <v>5.7107446908197843E-2</v>
      </c>
      <c r="K22">
        <f>regressionsbasenl!$V$1*A22</f>
        <v>8.9435939223862476E-2</v>
      </c>
      <c r="L22">
        <f>regressionsbasenl!$N$1*A22^2</f>
        <v>-1.7360751223840052E-3</v>
      </c>
      <c r="M22">
        <f>regressionsbasenl!$R$1*A22^2+regressionsbasenl!$R$2*A22^6</f>
        <v>-1.198348809549556E-3</v>
      </c>
      <c r="N22">
        <f>regressionsbasenl!$P$1*A22^2+regressionsbasenl!$P$2*A22^7</f>
        <v>-1.8191641182266315E-3</v>
      </c>
      <c r="O22">
        <f>regressionsbasenl!$T$2+regressionsbasenl!$T$1*EXP(A22)</f>
        <v>3.6686499524430597E-4</v>
      </c>
      <c r="P22" s="20">
        <f>(1-EXP(-2*regressionsbasenl!X$1*graphbasenl!A22))/2/EXP(-regressionsbasenl!X$1*A22)</f>
        <v>3.9380225418116852E-2</v>
      </c>
      <c r="AT22" s="33"/>
      <c r="AW22" s="33"/>
      <c r="AZ22" s="33"/>
    </row>
    <row r="23" spans="1:52" x14ac:dyDescent="0.35">
      <c r="A23">
        <v>0</v>
      </c>
      <c r="B23">
        <f t="shared" si="0"/>
        <v>0</v>
      </c>
      <c r="C23">
        <f>regressionsbasenl!$AR$1*$A23</f>
        <v>0</v>
      </c>
      <c r="D23">
        <f>regressionsbasenl!$AO$1*$A23</f>
        <v>0</v>
      </c>
      <c r="E23">
        <f t="shared" si="1"/>
        <v>0</v>
      </c>
      <c r="F23">
        <f t="shared" si="2"/>
        <v>0</v>
      </c>
      <c r="G23" s="5">
        <f>B23-regressions!AA$7</f>
        <v>-3.7212885904649551</v>
      </c>
      <c r="H23" s="5">
        <f>B23+regressions!AA$7</f>
        <v>3.7212885904649551</v>
      </c>
      <c r="I23">
        <f>IF($A23&lt;=regressionsbasenl!$L$2,$A23*regressionsbasenl!$L$1,regressionsbasenl!$L$1*regressionsbasenl!$L$2+regressionsbasenl!$L$3*($A23-regressionsbasenl!$L$2))</f>
        <v>0</v>
      </c>
      <c r="J23">
        <f>regressionsbasenl!$J$1*A23+regressionsbasenl!$J$2*A23^2</f>
        <v>0</v>
      </c>
      <c r="K23">
        <f>regressionsbasenl!$V$1*A23</f>
        <v>0</v>
      </c>
      <c r="L23">
        <f>regressionsbasenl!$N$1*A23^2</f>
        <v>0</v>
      </c>
      <c r="M23">
        <f>regressionsbasenl!$R$1*A23^2+regressionsbasenl!$R$2*A23^6</f>
        <v>0</v>
      </c>
      <c r="N23">
        <f>regressionsbasenl!$P$1*A23^2+regressionsbasenl!$P$2*A23^7</f>
        <v>0</v>
      </c>
      <c r="O23">
        <f>regressionsbasenl!$T$2+regressionsbasenl!$T$1*EXP(A23)</f>
        <v>0</v>
      </c>
      <c r="P23" s="20">
        <f>(1-EXP(-2*regressionsbasenl!X$1*graphbasenl!A23))/2/EXP(-regressionsbasenl!X$1*A23)</f>
        <v>0</v>
      </c>
      <c r="AT23" s="33"/>
      <c r="AW23" s="33"/>
      <c r="AZ23" s="33"/>
    </row>
    <row r="24" spans="1:52" x14ac:dyDescent="0.35">
      <c r="A24">
        <f t="shared" si="3"/>
        <v>0.1</v>
      </c>
      <c r="B24">
        <f t="shared" si="0"/>
        <v>-4.1389548348039901E-2</v>
      </c>
      <c r="C24">
        <f>regressionsbasenl!$AR$1*$A24</f>
        <v>0.10888487056819895</v>
      </c>
      <c r="D24">
        <f>regressionsbasenl!$AO$1*$A24</f>
        <v>0.15371444352042773</v>
      </c>
      <c r="E24">
        <f t="shared" si="1"/>
        <v>0.17638019278835801</v>
      </c>
      <c r="F24">
        <f t="shared" si="2"/>
        <v>-0.34881843538889534</v>
      </c>
      <c r="G24" s="5">
        <f>B24-regressions!AA$7</f>
        <v>-3.7626781388129951</v>
      </c>
      <c r="H24" s="5">
        <f>B24+regressions!AA$7</f>
        <v>3.6798990421169151</v>
      </c>
      <c r="I24">
        <f>IF($A24&lt;=regressionsbasenl!$L$2,$A24*regressionsbasenl!$L$1,regressionsbasenl!$L$1*regressionsbasenl!$L$2+regressionsbasenl!$L$3*($A24-regressionsbasenl!$L$2))</f>
        <v>-8.9435939223862934E-2</v>
      </c>
      <c r="J24">
        <f>regressionsbasenl!$J$1*A24+regressionsbasenl!$J$2*A24^2</f>
        <v>-5.8449212829400035E-2</v>
      </c>
      <c r="K24">
        <f>regressionsbasenl!$V$1*A24</f>
        <v>-8.9435939223863059E-2</v>
      </c>
      <c r="L24">
        <f>regressionsbasenl!$N$1*A24^2</f>
        <v>-1.7360751223840273E-3</v>
      </c>
      <c r="M24">
        <f>regressionsbasenl!$R$1*A24^2+regressionsbasenl!$R$2*A24^6</f>
        <v>-1.1983488095495714E-3</v>
      </c>
      <c r="N24">
        <f>regressionsbasenl!$P$1*A24^2+regressionsbasenl!$P$2*A24^7</f>
        <v>-1.8191641181008569E-3</v>
      </c>
      <c r="O24">
        <f>regressionsbasenl!$T$2+regressionsbasenl!$T$1*EXP(A24)</f>
        <v>-4.0544852360397104E-4</v>
      </c>
      <c r="P24" s="20">
        <f>(1-EXP(-2*regressionsbasenl!X$1*graphbasenl!A24))/2/EXP(-regressionsbasenl!X$1*A24)</f>
        <v>-3.9380225418117074E-2</v>
      </c>
      <c r="AT24" s="33"/>
      <c r="AW24" s="33"/>
      <c r="AZ24" s="33"/>
    </row>
    <row r="25" spans="1:52" x14ac:dyDescent="0.35">
      <c r="A25">
        <f t="shared" si="3"/>
        <v>0.2</v>
      </c>
      <c r="B25">
        <f t="shared" si="0"/>
        <v>-8.4275345937598972E-2</v>
      </c>
      <c r="C25">
        <f>regressionsbasenl!$AR$1*$A25</f>
        <v>0.21776974113639791</v>
      </c>
      <c r="D25">
        <f>regressionsbasenl!$AO$1*$A25</f>
        <v>0.30742888704085547</v>
      </c>
      <c r="E25">
        <f t="shared" si="1"/>
        <v>0.35126413633519682</v>
      </c>
      <c r="F25">
        <f t="shared" si="2"/>
        <v>-0.69913312001930994</v>
      </c>
      <c r="G25" s="5">
        <f>B25-regressions!AA$7</f>
        <v>-3.805563936402554</v>
      </c>
      <c r="H25" s="5">
        <f>B25+regressions!AA$7</f>
        <v>3.6370132445273562</v>
      </c>
      <c r="I25">
        <f>IF($A25&lt;=regressionsbasenl!$L$2,$A25*regressionsbasenl!$L$1,regressionsbasenl!$L$1*regressionsbasenl!$L$2+regressionsbasenl!$L$3*($A25-regressionsbasenl!$L$2))</f>
        <v>-0.17887187844772587</v>
      </c>
      <c r="J25">
        <f>regressionsbasenl!$J$1*A25+regressionsbasenl!$J$2*A25^2</f>
        <v>-0.1182401915800019</v>
      </c>
      <c r="K25">
        <f>regressionsbasenl!$V$1*A25</f>
        <v>-0.17887187844772612</v>
      </c>
      <c r="L25">
        <f>regressionsbasenl!$N$1*A25^2</f>
        <v>-6.9443004895361092E-3</v>
      </c>
      <c r="M25">
        <f>regressionsbasenl!$R$1*A25^2+regressionsbasenl!$R$2*A25^6</f>
        <v>-4.7933953191172905E-3</v>
      </c>
      <c r="N25">
        <f>regressionsbasenl!$P$1*A25^2+regressionsbasenl!$P$2*A25^7</f>
        <v>-7.2766564646039606E-3</v>
      </c>
      <c r="O25">
        <f>regressionsbasenl!$T$2+regressionsbasenl!$T$1*EXP(A25)</f>
        <v>-8.5353844066778616E-4</v>
      </c>
      <c r="P25" s="20">
        <f>(1-EXP(-2*regressionsbasenl!X$1*graphbasenl!A25))/2/EXP(-regressionsbasenl!X$1*A25)</f>
        <v>-7.8821498115742752E-2</v>
      </c>
      <c r="AT25" s="33"/>
      <c r="AW25" s="33"/>
      <c r="AZ25" s="33"/>
    </row>
    <row r="26" spans="1:52" x14ac:dyDescent="0.35">
      <c r="A26">
        <f t="shared" si="3"/>
        <v>0.30000000000000004</v>
      </c>
      <c r="B26">
        <f t="shared" si="0"/>
        <v>-0.12866277558079869</v>
      </c>
      <c r="C26">
        <f>regressionsbasenl!$AR$1*$A26</f>
        <v>0.32665461170459692</v>
      </c>
      <c r="D26">
        <f>regressionsbasenl!$AO$1*$A26</f>
        <v>0.46114333056128326</v>
      </c>
      <c r="E26">
        <f t="shared" si="1"/>
        <v>0.5246464478283952</v>
      </c>
      <c r="F26">
        <f t="shared" si="2"/>
        <v>-1.0509494367033652</v>
      </c>
      <c r="G26" s="5">
        <f>B26-regressions!AA$7</f>
        <v>-3.8499513660457536</v>
      </c>
      <c r="H26" s="5">
        <f>B26+regressions!AA$7</f>
        <v>3.5926258148841566</v>
      </c>
      <c r="I26">
        <f>IF($A26&lt;=regressionsbasenl!$L$2,$A26*regressionsbasenl!$L$1,regressionsbasenl!$L$1*regressionsbasenl!$L$2+regressionsbasenl!$L$3*($A26-regressionsbasenl!$L$2))</f>
        <v>-0.26830781767158884</v>
      </c>
      <c r="J26">
        <f>regressionsbasenl!$J$1*A26+regressionsbasenl!$J$2*A26^2</f>
        <v>-0.17937293625180561</v>
      </c>
      <c r="K26">
        <f>regressionsbasenl!$V$1*A26</f>
        <v>-0.26830781767158918</v>
      </c>
      <c r="L26">
        <f>regressionsbasenl!$N$1*A26^2</f>
        <v>-1.5624676101456248E-2</v>
      </c>
      <c r="M26">
        <f>regressionsbasenl!$R$1*A26^2+regressionsbasenl!$R$2*A26^6</f>
        <v>-1.0785140256974208E-2</v>
      </c>
      <c r="N26">
        <f>regressionsbasenl!$P$1*A26^2+regressionsbasenl!$P$2*A26^7</f>
        <v>-1.6372476925913849E-2</v>
      </c>
      <c r="O26">
        <f>regressionsbasenl!$T$2+regressionsbasenl!$T$1*EXP(A26)</f>
        <v>-1.3487543856896449E-3</v>
      </c>
      <c r="P26" s="20">
        <f>(1-EXP(-2*regressionsbasenl!X$1*graphbasenl!A26))/2/EXP(-regressionsbasenl!X$1*A26)</f>
        <v>-0.1183849600079621</v>
      </c>
      <c r="AT26" s="33"/>
      <c r="AW26" s="33"/>
      <c r="AZ26" s="33"/>
    </row>
    <row r="27" spans="1:52" x14ac:dyDescent="0.35">
      <c r="A27">
        <f t="shared" si="3"/>
        <v>0.4</v>
      </c>
      <c r="B27">
        <f t="shared" si="0"/>
        <v>-0.17455723729698103</v>
      </c>
      <c r="C27">
        <f>regressionsbasenl!$AR$1*$A27</f>
        <v>0.43553948227279582</v>
      </c>
      <c r="D27">
        <f>regressionsbasenl!$AO$1*$A27</f>
        <v>0.61485777408171094</v>
      </c>
      <c r="E27">
        <f t="shared" si="1"/>
        <v>0.69652172724861061</v>
      </c>
      <c r="F27">
        <f t="shared" si="2"/>
        <v>-1.4042727854604029</v>
      </c>
      <c r="G27" s="5">
        <f>B27-regressions!AA$7</f>
        <v>-3.8958458277619359</v>
      </c>
      <c r="H27" s="5">
        <f>B27+regressions!AA$7</f>
        <v>3.5467313531679743</v>
      </c>
      <c r="I27">
        <f>IF($A27&lt;=regressionsbasenl!$L$2,$A27*regressionsbasenl!$L$1,regressionsbasenl!$L$1*regressionsbasenl!$L$2+regressionsbasenl!$L$3*($A27-regressionsbasenl!$L$2))</f>
        <v>-0.35774375689545174</v>
      </c>
      <c r="J27">
        <f>regressionsbasenl!$J$1*A27+regressionsbasenl!$J$2*A27^2</f>
        <v>-0.24184744684481113</v>
      </c>
      <c r="K27">
        <f>regressionsbasenl!$V$1*A27</f>
        <v>-0.35774375689545224</v>
      </c>
      <c r="L27">
        <f>regressionsbasenl!$N$1*A27^2</f>
        <v>-2.7777201958144437E-2</v>
      </c>
      <c r="M27">
        <f>regressionsbasenl!$R$1*A27^2+regressionsbasenl!$R$2*A27^6</f>
        <v>-1.9173586455285503E-2</v>
      </c>
      <c r="N27">
        <f>regressionsbasenl!$P$1*A27^2+regressionsbasenl!$P$2*A27^7</f>
        <v>-2.9106624860084078E-2</v>
      </c>
      <c r="O27">
        <f>regressionsbasenl!$T$2+regressionsbasenl!$T$1*EXP(A27)</f>
        <v>-1.8960526462951507E-3</v>
      </c>
      <c r="P27" s="20">
        <f>(1-EXP(-2*regressionsbasenl!X$1*graphbasenl!A27))/2/EXP(-regressionsbasenl!X$1*A27)</f>
        <v>-0.15813194242771744</v>
      </c>
      <c r="AT27" s="33"/>
      <c r="AW27" s="33"/>
      <c r="AZ27" s="33"/>
    </row>
    <row r="28" spans="1:52" x14ac:dyDescent="0.35">
      <c r="A28">
        <f t="shared" si="3"/>
        <v>0.5</v>
      </c>
      <c r="B28">
        <f t="shared" si="0"/>
        <v>-0.22196415719884593</v>
      </c>
      <c r="C28">
        <f>regressionsbasenl!$AR$1*$A28</f>
        <v>0.54442435284099477</v>
      </c>
      <c r="D28">
        <f>regressionsbasenl!$AO$1*$A28</f>
        <v>0.76857221760213867</v>
      </c>
      <c r="E28">
        <f t="shared" si="1"/>
        <v>0.86688454848314356</v>
      </c>
      <c r="F28">
        <f t="shared" si="2"/>
        <v>-1.7591085924031233</v>
      </c>
      <c r="G28" s="5">
        <f>B28-regressions!AA$7</f>
        <v>-3.9432527476638009</v>
      </c>
      <c r="H28" s="5">
        <f>B28+regressions!AA$7</f>
        <v>3.4993244332661093</v>
      </c>
      <c r="I28">
        <f>IF($A28&lt;=regressionsbasenl!$L$2,$A28*regressionsbasenl!$L$1,regressionsbasenl!$L$1*regressionsbasenl!$L$2+regressionsbasenl!$L$3*($A28-regressionsbasenl!$L$2))</f>
        <v>-0.44717969611931463</v>
      </c>
      <c r="J28">
        <f>regressionsbasenl!$J$1*A28+regressionsbasenl!$J$2*A28^2</f>
        <v>-0.30566372335901848</v>
      </c>
      <c r="K28">
        <f>regressionsbasenl!$V$1*A28</f>
        <v>-0.44717969611931524</v>
      </c>
      <c r="L28">
        <f>regressionsbasenl!$N$1*A28^2</f>
        <v>-4.3401878059600676E-2</v>
      </c>
      <c r="M28">
        <f>regressionsbasenl!$R$1*A28^2+regressionsbasenl!$R$2*A28^6</f>
        <v>-2.995874127768066E-2</v>
      </c>
      <c r="N28">
        <f>regressionsbasenl!$P$1*A28^2+regressionsbasenl!$P$2*A28^7</f>
        <v>-4.5479098040115247E-2</v>
      </c>
      <c r="O28">
        <f>regressionsbasenl!$T$2+regressionsbasenl!$T$1*EXP(A28)</f>
        <v>-2.5009107674297433E-3</v>
      </c>
      <c r="P28" s="20">
        <f>(1-EXP(-2*regressionsbasenl!X$1*graphbasenl!A28))/2/EXP(-regressionsbasenl!X$1*A28)</f>
        <v>-0.19812406120172468</v>
      </c>
      <c r="AT28" s="33"/>
      <c r="AW28" s="33"/>
      <c r="AZ28" s="33"/>
    </row>
    <row r="29" spans="1:52" x14ac:dyDescent="0.35">
      <c r="A29">
        <f t="shared" si="3"/>
        <v>0.6</v>
      </c>
      <c r="B29">
        <f t="shared" si="0"/>
        <v>-0.27088899657421389</v>
      </c>
      <c r="C29">
        <f>regressionsbasenl!$AR$1*$A29</f>
        <v>0.65330922340919373</v>
      </c>
      <c r="D29">
        <f>regressionsbasenl!$AO$1*$A29</f>
        <v>0.92228666112256641</v>
      </c>
      <c r="E29">
        <f t="shared" si="1"/>
        <v>1.0357294502441736</v>
      </c>
      <c r="F29">
        <f t="shared" si="2"/>
        <v>-2.1154623188193469</v>
      </c>
      <c r="G29" s="5">
        <f>B29-regressions!AA$7</f>
        <v>-3.9921775870391691</v>
      </c>
      <c r="H29" s="5">
        <f>B29+regressions!AA$7</f>
        <v>3.450399593890741</v>
      </c>
      <c r="I29">
        <f>IF($A29&lt;=regressionsbasenl!$L$2,$A29*regressionsbasenl!$L$1,regressionsbasenl!$L$1*regressionsbasenl!$L$2+regressionsbasenl!$L$3*($A29-regressionsbasenl!$L$2))</f>
        <v>-0.53661563534317758</v>
      </c>
      <c r="J29">
        <f>regressionsbasenl!$J$1*A29+regressionsbasenl!$J$2*A29^2</f>
        <v>-0.37082176579442766</v>
      </c>
      <c r="K29">
        <f>regressionsbasenl!$V$1*A29</f>
        <v>-0.53661563534317824</v>
      </c>
      <c r="L29">
        <f>regressionsbasenl!$N$1*A29^2</f>
        <v>-6.2498704405824973E-2</v>
      </c>
      <c r="M29">
        <f>regressionsbasenl!$R$1*A29^2+regressionsbasenl!$R$2*A29^6</f>
        <v>-4.314062001785169E-2</v>
      </c>
      <c r="N29">
        <f>regressionsbasenl!$P$1*A29^2+regressionsbasenl!$P$2*A29^7</f>
        <v>-6.548989064622128E-2</v>
      </c>
      <c r="O29">
        <f>regressionsbasenl!$T$2+regressionsbasenl!$T$1*EXP(A29)</f>
        <v>-3.1693823724695718E-3</v>
      </c>
      <c r="P29" s="20">
        <f>(1-EXP(-2*regressionsbasenl!X$1*graphbasenl!A29))/2/EXP(-regressionsbasenl!X$1*A29)</f>
        <v>-0.23842331216741289</v>
      </c>
      <c r="Q29" s="1"/>
      <c r="AE29" s="53"/>
      <c r="AO29" s="1"/>
      <c r="AP29" s="1"/>
      <c r="AT29" s="33"/>
      <c r="AW29" s="33"/>
      <c r="AZ29" s="33"/>
    </row>
    <row r="30" spans="1:52" x14ac:dyDescent="0.35">
      <c r="A30">
        <f t="shared" si="3"/>
        <v>0.7</v>
      </c>
      <c r="B30">
        <f t="shared" si="0"/>
        <v>-0.32133726114755706</v>
      </c>
      <c r="C30">
        <f>regressionsbasenl!$AR$1*$A30</f>
        <v>0.76219409397739268</v>
      </c>
      <c r="D30">
        <f>regressionsbasenl!$AO$1*$A30</f>
        <v>1.076001104642994</v>
      </c>
      <c r="E30">
        <f t="shared" si="1"/>
        <v>1.2030509268072282</v>
      </c>
      <c r="F30">
        <f t="shared" si="2"/>
        <v>-2.4733394704335452</v>
      </c>
      <c r="G30" s="5">
        <f>B30-regressions!AA$7</f>
        <v>-4.0426258516125122</v>
      </c>
      <c r="H30" s="5">
        <f>B30+regressions!AA$7</f>
        <v>3.399951329317398</v>
      </c>
      <c r="I30">
        <f>IF($A30&lt;=regressionsbasenl!$L$2,$A30*regressionsbasenl!$L$1,regressionsbasenl!$L$1*regressionsbasenl!$L$2+regressionsbasenl!$L$3*($A30-regressionsbasenl!$L$2))</f>
        <v>-0.62605157456704041</v>
      </c>
      <c r="J30">
        <f>regressionsbasenl!$J$1*A30+regressionsbasenl!$J$2*A30^2</f>
        <v>-0.43732157415103867</v>
      </c>
      <c r="K30">
        <f>regressionsbasenl!$V$1*A30</f>
        <v>-0.6260515745670413</v>
      </c>
      <c r="L30">
        <f>regressionsbasenl!$N$1*A30^2</f>
        <v>-8.5067680996817316E-2</v>
      </c>
      <c r="M30">
        <f>regressionsbasenl!$R$1*A30^2+regressionsbasenl!$R$2*A30^6</f>
        <v>-5.8719250269179395E-2</v>
      </c>
      <c r="N30">
        <f>regressionsbasenl!$P$1*A30^2+regressionsbasenl!$P$2*A30^7</f>
        <v>-8.9138989990053319E-2</v>
      </c>
      <c r="O30">
        <f>regressionsbasenl!$T$2+regressionsbasenl!$T$1*EXP(A30)</f>
        <v>-3.9081577499189418E-3</v>
      </c>
      <c r="P30" s="20">
        <f>(1-EXP(-2*regressionsbasenl!X$1*graphbasenl!A30))/2/EXP(-regressionsbasenl!X$1*A30)</f>
        <v>-0.27909216727895614</v>
      </c>
      <c r="AE30" s="54"/>
      <c r="AT30" s="33"/>
      <c r="AW30" s="33"/>
      <c r="AZ30" s="33"/>
    </row>
    <row r="31" spans="1:52" x14ac:dyDescent="0.35">
      <c r="A31">
        <f t="shared" si="3"/>
        <v>0.79999999999999993</v>
      </c>
      <c r="B31">
        <f t="shared" si="0"/>
        <v>-0.37331451050552816</v>
      </c>
      <c r="C31">
        <f>regressionsbasenl!$AR$1*$A31</f>
        <v>0.87107896454559153</v>
      </c>
      <c r="D31">
        <f>regressionsbasenl!$AO$1*$A31</f>
        <v>1.2297155481634219</v>
      </c>
      <c r="E31">
        <f t="shared" si="1"/>
        <v>1.3688434185856548</v>
      </c>
      <c r="F31">
        <f t="shared" si="2"/>
        <v>-2.832745606832372</v>
      </c>
      <c r="G31" s="5">
        <f>B31-regressions!AA$7</f>
        <v>-4.0946031009704829</v>
      </c>
      <c r="H31" s="5">
        <f>B31+regressions!AA$7</f>
        <v>3.3479740799594269</v>
      </c>
      <c r="I31">
        <f>IF($A31&lt;=regressionsbasenl!$L$2,$A31*regressionsbasenl!$L$1,regressionsbasenl!$L$1*regressionsbasenl!$L$2+regressionsbasenl!$L$3*($A31-regressionsbasenl!$L$2))</f>
        <v>-0.71548751379090336</v>
      </c>
      <c r="J31">
        <f>regressionsbasenl!$J$1*A31+regressionsbasenl!$J$2*A31^2</f>
        <v>-0.50516314842885146</v>
      </c>
      <c r="K31">
        <f>regressionsbasenl!$V$1*A31</f>
        <v>-0.71548751379090436</v>
      </c>
      <c r="L31">
        <f>regressionsbasenl!$N$1*A31^2</f>
        <v>-0.11110880783257772</v>
      </c>
      <c r="M31">
        <f>regressionsbasenl!$R$1*A31^2+regressionsbasenl!$R$2*A31^6</f>
        <v>-7.669467726538777E-2</v>
      </c>
      <c r="N31">
        <f>regressionsbasenl!$P$1*A31^2+regressionsbasenl!$P$2*A31^7</f>
        <v>-0.11642637165387068</v>
      </c>
      <c r="O31">
        <f>regressionsbasenl!$T$2+regressionsbasenl!$T$1*EXP(A31)</f>
        <v>-4.7246308120663426E-3</v>
      </c>
      <c r="P31" s="20">
        <f>(1-EXP(-2*regressionsbasenl!X$1*graphbasenl!A31))/2/EXP(-regressionsbasenl!X$1*A31)</f>
        <v>-0.320193671451383</v>
      </c>
      <c r="AE31" s="54"/>
      <c r="AT31" s="33"/>
      <c r="AW31" s="33"/>
      <c r="AZ31" s="33"/>
    </row>
    <row r="32" spans="1:52" x14ac:dyDescent="0.35">
      <c r="A32">
        <f t="shared" si="3"/>
        <v>0.89999999999999991</v>
      </c>
      <c r="B32">
        <f t="shared" si="0"/>
        <v>-0.42682636767082516</v>
      </c>
      <c r="C32">
        <f>regressionsbasenl!$AR$1*$A32</f>
        <v>0.97996383511379048</v>
      </c>
      <c r="D32">
        <f>regressionsbasenl!$AO$1*$A32</f>
        <v>1.3834299916838495</v>
      </c>
      <c r="E32">
        <f t="shared" si="1"/>
        <v>1.5331013025567559</v>
      </c>
      <c r="F32">
        <f t="shared" si="2"/>
        <v>-3.1936863510385241</v>
      </c>
      <c r="G32" s="5">
        <f>B32-regressions!AA$7</f>
        <v>-4.1481149581357801</v>
      </c>
      <c r="H32" s="5">
        <f>B32+regressions!AA$7</f>
        <v>3.29446222279413</v>
      </c>
      <c r="I32">
        <f>IF($A32&lt;=regressionsbasenl!$L$2,$A32*regressionsbasenl!$L$1,regressionsbasenl!$L$1*regressionsbasenl!$L$2+regressionsbasenl!$L$3*($A32-regressionsbasenl!$L$2))</f>
        <v>-0.8049234530147662</v>
      </c>
      <c r="J32">
        <f>regressionsbasenl!$J$1*A32+regressionsbasenl!$J$2*A32^2</f>
        <v>-0.57434648862786619</v>
      </c>
      <c r="K32">
        <f>regressionsbasenl!$V$1*A32</f>
        <v>-0.80492345301476731</v>
      </c>
      <c r="L32">
        <f>regressionsbasenl!$N$1*A32^2</f>
        <v>-0.14062208491310615</v>
      </c>
      <c r="M32">
        <f>regressionsbasenl!$R$1*A32^2+regressionsbasenl!$R$2*A32^6</f>
        <v>-9.7066970192226307E-2</v>
      </c>
      <c r="N32">
        <f>regressionsbasenl!$P$1*A32^2+regressionsbasenl!$P$2*A32^7</f>
        <v>-0.14735199272764823</v>
      </c>
      <c r="O32">
        <f>regressionsbasenl!$T$2+regressionsbasenl!$T$1*EXP(A32)</f>
        <v>-5.6269730957438239E-3</v>
      </c>
      <c r="P32" s="20">
        <f>(1-EXP(-2*regressionsbasenl!X$1*graphbasenl!A32))/2/EXP(-regressionsbasenl!X$1*A32)</f>
        <v>-0.36179154029289023</v>
      </c>
      <c r="AE32" s="54"/>
      <c r="AT32" s="33"/>
      <c r="AW32" s="33"/>
      <c r="AZ32" s="33"/>
    </row>
    <row r="33" spans="1:52" x14ac:dyDescent="0.35">
      <c r="A33">
        <f t="shared" si="3"/>
        <v>0.99999999999999989</v>
      </c>
      <c r="B33">
        <f t="shared" si="0"/>
        <v>-0.48187852880885901</v>
      </c>
      <c r="C33">
        <f>regressionsbasenl!$AR$1*$A33</f>
        <v>1.0888487056819893</v>
      </c>
      <c r="D33">
        <f>regressionsbasenl!$AO$1*$A33</f>
        <v>1.5371444352042771</v>
      </c>
      <c r="E33">
        <f t="shared" si="1"/>
        <v>1.6958188825551197</v>
      </c>
      <c r="F33">
        <f t="shared" si="2"/>
        <v>-3.5561673992174132</v>
      </c>
      <c r="G33" s="5">
        <f>B33-regressions!AA$7</f>
        <v>-4.2031671192738145</v>
      </c>
      <c r="H33" s="5">
        <f>B33+regressions!AA$7</f>
        <v>3.2394100616560961</v>
      </c>
      <c r="I33">
        <f>IF($A33&lt;=regressionsbasenl!$L$2,$A33*regressionsbasenl!$L$1,regressionsbasenl!$L$1*regressionsbasenl!$L$2+regressionsbasenl!$L$3*($A33-regressionsbasenl!$L$2))</f>
        <v>-0.89435939223862915</v>
      </c>
      <c r="J33">
        <f>regressionsbasenl!$J$1*A33+regressionsbasenl!$J$2*A33^2</f>
        <v>-0.64487159474808264</v>
      </c>
      <c r="K33">
        <f>regressionsbasenl!$V$1*A33</f>
        <v>-0.89435939223863037</v>
      </c>
      <c r="L33">
        <f>regressionsbasenl!$N$1*A33^2</f>
        <v>-0.17360751223840268</v>
      </c>
      <c r="M33">
        <f>regressionsbasenl!$R$1*A33^2+regressionsbasenl!$R$2*A33^6</f>
        <v>-0.11983622947018066</v>
      </c>
      <c r="N33">
        <f>regressionsbasenl!$P$1*A33^2+regressionsbasenl!$P$2*A33^7</f>
        <v>-0.18191578282710977</v>
      </c>
      <c r="O33">
        <f>regressionsbasenl!$T$2+regressionsbasenl!$T$1*EXP(A33)</f>
        <v>-6.6242155458141406E-3</v>
      </c>
      <c r="P33" s="20">
        <f>(1-EXP(-2*regressionsbasenl!X$1*graphbasenl!A33))/2/EXP(-regressionsbasenl!X$1*A33)</f>
        <v>-0.40395025887686575</v>
      </c>
      <c r="Q33" s="55"/>
      <c r="AB33" s="57"/>
      <c r="AC33" s="5"/>
      <c r="AD33" s="5"/>
      <c r="AE33" s="53"/>
      <c r="AF33" s="54"/>
      <c r="AG33" s="58"/>
      <c r="AH33" s="58"/>
      <c r="AI33" s="58"/>
      <c r="AO33" s="1"/>
      <c r="AP33" s="1"/>
      <c r="AT33" s="33"/>
      <c r="AW33" s="33"/>
      <c r="AZ33" s="33"/>
    </row>
    <row r="34" spans="1:52" x14ac:dyDescent="0.35">
      <c r="A34">
        <f t="shared" si="3"/>
        <v>1.0999999999999999</v>
      </c>
      <c r="B34">
        <f t="shared" si="0"/>
        <v>-0.53847677305184194</v>
      </c>
      <c r="C34">
        <f>regressionsbasenl!$AR$1*$A34</f>
        <v>1.1977335762501884</v>
      </c>
      <c r="D34">
        <f>regressionsbasenl!$AO$1*$A34</f>
        <v>1.690858878724705</v>
      </c>
      <c r="E34">
        <f t="shared" si="1"/>
        <v>1.856990379448535</v>
      </c>
      <c r="F34">
        <f t="shared" si="2"/>
        <v>-3.9201945305012518</v>
      </c>
      <c r="G34" s="5">
        <f>B34-regressions!AA$7</f>
        <v>-4.2597653635167969</v>
      </c>
      <c r="H34" s="5">
        <f>B34+regressions!AA$7</f>
        <v>3.1828118174131133</v>
      </c>
      <c r="I34">
        <f>IF($A34&lt;=regressionsbasenl!$L$2,$A34*regressionsbasenl!$L$1,regressionsbasenl!$L$1*regressionsbasenl!$L$2+regressionsbasenl!$L$3*($A34-regressionsbasenl!$L$2))</f>
        <v>-0.9837953314624921</v>
      </c>
      <c r="J34">
        <f>regressionsbasenl!$J$1*A34+regressionsbasenl!$J$2*A34^2</f>
        <v>-0.71673846678950104</v>
      </c>
      <c r="K34">
        <f>regressionsbasenl!$V$1*A34</f>
        <v>-0.98379533146249343</v>
      </c>
      <c r="L34">
        <f>regressionsbasenl!$N$1*A34^2</f>
        <v>-0.21006508980846722</v>
      </c>
      <c r="M34">
        <f>regressionsbasenl!$R$1*A34^2+regressionsbasenl!$R$2*A34^6</f>
        <v>-0.145002595008211</v>
      </c>
      <c r="N34">
        <f>regressionsbasenl!$P$1*A34^2+regressionsbasenl!$P$2*A34^7</f>
        <v>-0.22011763257567646</v>
      </c>
      <c r="O34">
        <f>regressionsbasenl!$T$2+regressionsbasenl!$T$1*EXP(A34)</f>
        <v>-7.7263388999023594E-3</v>
      </c>
      <c r="P34" s="20">
        <f>(1-EXP(-2*regressionsbasenl!X$1*graphbasenl!A34))/2/EXP(-regressionsbasenl!X$1*A34)</f>
        <v>-0.44673518170673859</v>
      </c>
      <c r="AT34" s="33"/>
      <c r="AW34" s="33"/>
      <c r="AZ34" s="33"/>
    </row>
    <row r="35" spans="1:52" x14ac:dyDescent="0.35">
      <c r="A35">
        <f t="shared" si="3"/>
        <v>1.2</v>
      </c>
      <c r="B35">
        <f t="shared" si="0"/>
        <v>-0.59662697242508844</v>
      </c>
      <c r="C35">
        <f>regressionsbasenl!$AR$1*$A35</f>
        <v>1.3066184468183875</v>
      </c>
      <c r="D35">
        <f>regressionsbasenl!$AO$1*$A35</f>
        <v>1.8445733222451328</v>
      </c>
      <c r="E35">
        <f t="shared" si="1"/>
        <v>2.0166099212116864</v>
      </c>
      <c r="F35">
        <f t="shared" si="2"/>
        <v>-4.2857736169153542</v>
      </c>
      <c r="G35" s="5">
        <f>B35-regressions!AA$7</f>
        <v>-4.3179155628900432</v>
      </c>
      <c r="H35" s="5">
        <f>B35+regressions!AA$7</f>
        <v>3.1246616180398665</v>
      </c>
      <c r="I35">
        <f>IF($A35&lt;=regressionsbasenl!$L$2,$A35*regressionsbasenl!$L$1,regressionsbasenl!$L$1*regressionsbasenl!$L$2+regressionsbasenl!$L$3*($A35-regressionsbasenl!$L$2))</f>
        <v>-1.0732312706863552</v>
      </c>
      <c r="J35">
        <f>regressionsbasenl!$J$1*A35+regressionsbasenl!$J$2*A35^2</f>
        <v>-0.78994710475212127</v>
      </c>
      <c r="K35">
        <f>regressionsbasenl!$V$1*A35</f>
        <v>-1.0732312706863565</v>
      </c>
      <c r="L35">
        <f>regressionsbasenl!$N$1*A35^2</f>
        <v>-0.24999481762329989</v>
      </c>
      <c r="M35">
        <f>regressionsbasenl!$R$1*A35^2+regressionsbasenl!$R$2*A35^6</f>
        <v>-0.17256625542851872</v>
      </c>
      <c r="N35">
        <f>regressionsbasenl!$P$1*A35^2+regressionsbasenl!$P$2*A35^7</f>
        <v>-0.26195737923332035</v>
      </c>
      <c r="O35">
        <f>regressionsbasenl!$T$2+regressionsbasenl!$T$1*EXP(A35)</f>
        <v>-8.9443735789726531E-3</v>
      </c>
      <c r="P35" s="20">
        <f>(1-EXP(-2*regressionsbasenl!X$1*graphbasenl!A35))/2/EXP(-regressionsbasenl!X$1*A35)</f>
        <v>-0.49021263402861925</v>
      </c>
      <c r="Q35" s="5"/>
      <c r="Y35" s="51"/>
      <c r="Z35" s="51"/>
      <c r="AA35" s="51"/>
      <c r="AO35" s="1"/>
      <c r="AP35" s="1"/>
      <c r="AT35" s="33"/>
      <c r="AW35" s="33"/>
      <c r="AZ35" s="33"/>
    </row>
    <row r="36" spans="1:52" x14ac:dyDescent="0.35">
      <c r="A36">
        <f t="shared" si="3"/>
        <v>1.3</v>
      </c>
      <c r="B36">
        <f t="shared" si="0"/>
        <v>-0.65633510186051469</v>
      </c>
      <c r="C36">
        <f>regressionsbasenl!$AR$1*$A36</f>
        <v>1.4155033173865865</v>
      </c>
      <c r="D36">
        <f>regressionsbasenl!$AO$1*$A36</f>
        <v>1.9982877657655607</v>
      </c>
      <c r="E36">
        <f t="shared" si="1"/>
        <v>2.1746715329126585</v>
      </c>
      <c r="F36">
        <f t="shared" si="2"/>
        <v>-4.6529106333916364</v>
      </c>
      <c r="G36" s="5">
        <f>B36-regressions!AA$7</f>
        <v>-4.3776236923254697</v>
      </c>
      <c r="H36" s="5">
        <f>B36+regressions!AA$7</f>
        <v>3.0649534886044405</v>
      </c>
      <c r="I36">
        <f>IF($A36&lt;=regressionsbasenl!$L$2,$A36*regressionsbasenl!$L$1,regressionsbasenl!$L$1*regressionsbasenl!$L$2+regressionsbasenl!$L$3*($A36-regressionsbasenl!$L$2))</f>
        <v>-1.162667209910218</v>
      </c>
      <c r="J36">
        <f>regressionsbasenl!$J$1*A36+regressionsbasenl!$J$2*A36^2</f>
        <v>-0.86449750863594332</v>
      </c>
      <c r="K36">
        <f>regressionsbasenl!$V$1*A36</f>
        <v>-1.1626672099102198</v>
      </c>
      <c r="L36">
        <f>regressionsbasenl!$N$1*A36^2</f>
        <v>-0.29339669568290061</v>
      </c>
      <c r="M36">
        <f>regressionsbasenl!$R$1*A36^2+regressionsbasenl!$R$2*A36^6</f>
        <v>-0.20252745826234106</v>
      </c>
      <c r="N36">
        <f>regressionsbasenl!$P$1*A36^2+regressionsbasenl!$P$2*A36^7</f>
        <v>-0.30743478915531119</v>
      </c>
      <c r="O36">
        <f>regressionsbasenl!$T$2+regressionsbasenl!$T$1*EXP(A36)</f>
        <v>-1.0290510083488746E-2</v>
      </c>
      <c r="P36" s="20">
        <f>(1-EXP(-2*regressionsbasenl!X$1*graphbasenl!A36))/2/EXP(-regressionsbasenl!X$1*A36)</f>
        <v>-0.53445001464878783</v>
      </c>
      <c r="AT36" s="33"/>
      <c r="AW36" s="33"/>
      <c r="AZ36" s="33"/>
    </row>
    <row r="37" spans="1:52" x14ac:dyDescent="0.35">
      <c r="A37">
        <f t="shared" si="3"/>
        <v>1.4000000000000001</v>
      </c>
      <c r="B37">
        <f t="shared" si="0"/>
        <v>-0.71760724928253861</v>
      </c>
      <c r="C37">
        <f>regressionsbasenl!$AR$1*$A37</f>
        <v>1.5243881879547856</v>
      </c>
      <c r="D37">
        <f>regressionsbasenl!$AO$1*$A37</f>
        <v>2.1520022092859885</v>
      </c>
      <c r="E37">
        <f t="shared" si="1"/>
        <v>2.3311691266270325</v>
      </c>
      <c r="F37">
        <f t="shared" si="2"/>
        <v>-5.0216116678545157</v>
      </c>
      <c r="G37" s="5">
        <f>B37-regressions!AA$7</f>
        <v>-4.4388958397474934</v>
      </c>
      <c r="H37" s="5">
        <f>B37+regressions!AA$7</f>
        <v>3.0036813411824164</v>
      </c>
      <c r="I37">
        <f>IF($A37&lt;=regressionsbasenl!$L$2,$A37*regressionsbasenl!$L$1,regressionsbasenl!$L$1*regressionsbasenl!$L$2+regressionsbasenl!$L$3*($A37-regressionsbasenl!$L$2))</f>
        <v>-1.2521031491340811</v>
      </c>
      <c r="J37">
        <f>regressionsbasenl!$J$1*A37+regressionsbasenl!$J$2*A37^2</f>
        <v>-0.94038967844096721</v>
      </c>
      <c r="K37">
        <f>regressionsbasenl!$V$1*A37</f>
        <v>-1.2521031491340828</v>
      </c>
      <c r="L37">
        <f>regressionsbasenl!$N$1*A37^2</f>
        <v>-0.34027072398726937</v>
      </c>
      <c r="M37">
        <f>regressionsbasenl!$R$1*A37^2+regressionsbasenl!$R$2*A37^6</f>
        <v>-0.23488652111677388</v>
      </c>
      <c r="N37">
        <f>regressionsbasenl!$P$1*A37^2+regressionsbasenl!$P$2*A37^7</f>
        <v>-0.35654953676384799</v>
      </c>
      <c r="O37">
        <f>regressionsbasenl!$T$2+regressionsbasenl!$T$1*EXP(A37)</f>
        <v>-1.1778221000039939E-2</v>
      </c>
      <c r="P37" s="20">
        <f>(1-EXP(-2*regressionsbasenl!X$1*graphbasenl!A37))/2/EXP(-regressionsbasenl!X$1*A37)</f>
        <v>-0.57951590041541545</v>
      </c>
      <c r="AT37" s="33"/>
      <c r="AW37" s="33"/>
      <c r="AZ37" s="33"/>
    </row>
    <row r="38" spans="1:52" x14ac:dyDescent="0.35">
      <c r="A38">
        <f t="shared" si="3"/>
        <v>1.5000000000000002</v>
      </c>
      <c r="B38">
        <f t="shared" si="0"/>
        <v>-0.78044962575182675</v>
      </c>
      <c r="C38">
        <f>regressionsbasenl!$AR$1*$A38</f>
        <v>1.6332730585229847</v>
      </c>
      <c r="D38">
        <f>regressionsbasenl!$AO$1*$A38</f>
        <v>2.3057166528064164</v>
      </c>
      <c r="E38">
        <f t="shared" si="1"/>
        <v>2.4860964912941426</v>
      </c>
      <c r="F38">
        <f t="shared" si="2"/>
        <v>-5.391882931364659</v>
      </c>
      <c r="G38" s="5">
        <f>B38-regressions!AA$7</f>
        <v>-4.5017382162167818</v>
      </c>
      <c r="H38" s="5">
        <f>B38+regressions!AA$7</f>
        <v>2.9408389647131283</v>
      </c>
      <c r="I38">
        <f>IF($A38&lt;=regressionsbasenl!$L$2,$A38*regressionsbasenl!$L$1,regressionsbasenl!$L$1*regressionsbasenl!$L$2+regressionsbasenl!$L$3*($A38-regressionsbasenl!$L$2))</f>
        <v>-1.3415390883579441</v>
      </c>
      <c r="J38">
        <f>regressionsbasenl!$J$1*A38+regressionsbasenl!$J$2*A38^2</f>
        <v>-1.017623614167193</v>
      </c>
      <c r="K38">
        <f>regressionsbasenl!$V$1*A38</f>
        <v>-1.3415390883579459</v>
      </c>
      <c r="L38">
        <f>regressionsbasenl!$N$1*A38^2</f>
        <v>-0.39061690253640624</v>
      </c>
      <c r="M38">
        <f>regressionsbasenl!$R$1*A38^2+regressionsbasenl!$R$2*A38^6</f>
        <v>-0.26964384381262252</v>
      </c>
      <c r="N38">
        <f>regressionsbasenl!$P$1*A38^2+regressionsbasenl!$P$2*A38^7</f>
        <v>-0.4093011797155624</v>
      </c>
      <c r="O38">
        <f>regressionsbasenl!$T$2+regressionsbasenl!$T$1*EXP(A38)</f>
        <v>-1.3422395839515978E-2</v>
      </c>
      <c r="P38" s="20">
        <f>(1-EXP(-2*regressionsbasenl!X$1*graphbasenl!A38))/2/EXP(-regressionsbasenl!X$1*A38)</f>
        <v>-0.6254801525264887</v>
      </c>
      <c r="AT38" s="33"/>
      <c r="AW38" s="33"/>
      <c r="AZ38" s="33"/>
    </row>
    <row r="39" spans="1:52" x14ac:dyDescent="0.35">
      <c r="A39">
        <f t="shared" si="3"/>
        <v>1.6000000000000003</v>
      </c>
      <c r="B39">
        <f t="shared" si="0"/>
        <v>-0.8448685756525961</v>
      </c>
      <c r="C39">
        <f>regressionsbasenl!$AR$1*$A39</f>
        <v>1.7421579290911837</v>
      </c>
      <c r="D39">
        <f>regressionsbasenl!$AO$1*$A39</f>
        <v>2.4594310963268442</v>
      </c>
      <c r="E39">
        <f t="shared" si="1"/>
        <v>2.6394472825297712</v>
      </c>
      <c r="F39">
        <f t="shared" si="2"/>
        <v>-5.7637307683062842</v>
      </c>
      <c r="G39" s="5">
        <f>B39-regressions!AA$7</f>
        <v>-4.5661571661175513</v>
      </c>
      <c r="H39" s="5">
        <f>B39+regressions!AA$7</f>
        <v>2.8764200148123589</v>
      </c>
      <c r="I39">
        <f>IF($A39&lt;=regressionsbasenl!$L$2,$A39*regressionsbasenl!$L$1,regressionsbasenl!$L$1*regressionsbasenl!$L$2+regressionsbasenl!$L$3*($A39-regressionsbasenl!$L$2))</f>
        <v>-1.4309750275818072</v>
      </c>
      <c r="J39">
        <f>regressionsbasenl!$J$1*A39+regressionsbasenl!$J$2*A39^2</f>
        <v>-1.0961993158146206</v>
      </c>
      <c r="K39">
        <f>regressionsbasenl!$V$1*A39</f>
        <v>-1.4309750275818089</v>
      </c>
      <c r="L39">
        <f>regressionsbasenl!$N$1*A39^2</f>
        <v>-0.4444352313303111</v>
      </c>
      <c r="M39">
        <f>regressionsbasenl!$R$1*A39^2+regressionsbasenl!$R$2*A39^6</f>
        <v>-0.30679992149328028</v>
      </c>
      <c r="N39">
        <f>regressionsbasenl!$P$1*A39^2+regressionsbasenl!$P$2*A39^7</f>
        <v>-0.46568912994788447</v>
      </c>
      <c r="O39">
        <f>regressionsbasenl!$T$2+regressionsbasenl!$T$1*EXP(A39)</f>
        <v>-1.5239490056336603E-2</v>
      </c>
      <c r="P39" s="20">
        <f>(1-EXP(-2*regressionsbasenl!X$1*graphbasenl!A39))/2/EXP(-regressionsbasenl!X$1*A39)</f>
        <v>-0.67241402482873514</v>
      </c>
      <c r="AT39" s="33"/>
      <c r="AW39" s="33"/>
      <c r="AZ39" s="33"/>
    </row>
    <row r="40" spans="1:52" x14ac:dyDescent="0.35">
      <c r="A40">
        <f t="shared" si="3"/>
        <v>1.7000000000000004</v>
      </c>
      <c r="B40">
        <f t="shared" si="0"/>
        <v>-0.91087058690946754</v>
      </c>
      <c r="C40">
        <f>regressionsbasenl!$AR$1*$A40</f>
        <v>1.8510427996593826</v>
      </c>
      <c r="D40">
        <f>regressionsbasenl!$AO$1*$A40</f>
        <v>2.613145539847272</v>
      </c>
      <c r="E40">
        <f t="shared" si="1"/>
        <v>2.7912150124092978</v>
      </c>
      <c r="F40">
        <f t="shared" si="2"/>
        <v>-6.1371616666040119</v>
      </c>
      <c r="G40" s="5">
        <f>B40-regressions!AA$7</f>
        <v>-4.6321591773744224</v>
      </c>
      <c r="H40" s="5">
        <f>B40+regressions!AA$7</f>
        <v>2.8104180035554878</v>
      </c>
      <c r="I40">
        <f>IF($A40&lt;=regressionsbasenl!$L$2,$A40*regressionsbasenl!$L$1,regressionsbasenl!$L$1*regressionsbasenl!$L$2+regressionsbasenl!$L$3*($A40-regressionsbasenl!$L$2))</f>
        <v>-1.52041096680567</v>
      </c>
      <c r="J40">
        <f>regressionsbasenl!$J$1*A40+regressionsbasenl!$J$2*A40^2</f>
        <v>-1.17611678338325</v>
      </c>
      <c r="K40">
        <f>regressionsbasenl!$V$1*A40</f>
        <v>-1.5204109668056722</v>
      </c>
      <c r="L40">
        <f>regressionsbasenl!$N$1*A40^2</f>
        <v>-0.50172571036898406</v>
      </c>
      <c r="M40">
        <f>regressionsbasenl!$R$1*A40^2+regressionsbasenl!$R$2*A40^6</f>
        <v>-0.34635535870463618</v>
      </c>
      <c r="N40">
        <f>regressionsbasenl!$P$1*A40^2+regressionsbasenl!$P$2*A40^7</f>
        <v>-0.52571262028726162</v>
      </c>
      <c r="O40">
        <f>regressionsbasenl!$T$2+regressionsbasenl!$T$1*EXP(A40)</f>
        <v>-1.7247689740170196E-2</v>
      </c>
      <c r="P40" s="20">
        <f>(1-EXP(-2*regressionsbasenl!X$1*graphbasenl!A40))/2/EXP(-regressionsbasenl!X$1*A40)</f>
        <v>-0.72039027427543334</v>
      </c>
      <c r="AT40" s="33"/>
      <c r="AW40" s="33"/>
      <c r="AZ40" s="33"/>
    </row>
    <row r="41" spans="1:52" x14ac:dyDescent="0.35">
      <c r="A41">
        <f t="shared" si="3"/>
        <v>1.8000000000000005</v>
      </c>
      <c r="B41">
        <f t="shared" si="0"/>
        <v>-0.97846230122017763</v>
      </c>
      <c r="C41">
        <f>regressionsbasenl!$AR$1*$A41</f>
        <v>1.9599276702275816</v>
      </c>
      <c r="D41">
        <f>regressionsbasenl!$AO$1*$A41</f>
        <v>2.7668599833676999</v>
      </c>
      <c r="E41">
        <f t="shared" si="1"/>
        <v>2.9413930392349856</v>
      </c>
      <c r="F41">
        <f t="shared" si="2"/>
        <v>-6.512182267955577</v>
      </c>
      <c r="G41" s="5">
        <f>B41-regressions!AA$7</f>
        <v>-4.6997508916851327</v>
      </c>
      <c r="H41" s="5">
        <f>B41+regressions!AA$7</f>
        <v>2.7428262892447774</v>
      </c>
      <c r="I41">
        <f>IF($A41&lt;=regressionsbasenl!$L$2,$A41*regressionsbasenl!$L$1,regressionsbasenl!$L$1*regressionsbasenl!$L$2+regressionsbasenl!$L$3*($A41-regressionsbasenl!$L$2))</f>
        <v>-1.6098469060295331</v>
      </c>
      <c r="J41">
        <f>regressionsbasenl!$J$1*A41+regressionsbasenl!$J$2*A41^2</f>
        <v>-1.2573760168730812</v>
      </c>
      <c r="K41">
        <f>regressionsbasenl!$V$1*A41</f>
        <v>-1.6098469060295353</v>
      </c>
      <c r="L41">
        <f>regressionsbasenl!$N$1*A41^2</f>
        <v>-0.56248833965242506</v>
      </c>
      <c r="M41">
        <f>regressionsbasenl!$R$1*A41^2+regressionsbasenl!$R$2*A41^6</f>
        <v>-0.38831088444600875</v>
      </c>
      <c r="N41">
        <f>regressionsbasenl!$P$1*A41^2+regressionsbasenl!$P$2*A41^7</f>
        <v>-0.58937066630221646</v>
      </c>
      <c r="O41">
        <f>regressionsbasenl!$T$2+regressionsbasenl!$T$1*EXP(A41)</f>
        <v>-1.9467093628431797E-2</v>
      </c>
      <c r="P41" s="20">
        <f>(1-EXP(-2*regressionsbasenl!X$1*graphbasenl!A41))/2/EXP(-regressionsbasenl!X$1*A41)</f>
        <v>-0.76948327371434244</v>
      </c>
      <c r="AT41" s="33"/>
      <c r="AW41" s="33"/>
      <c r="AZ41" s="33"/>
    </row>
    <row r="42" spans="1:52" x14ac:dyDescent="0.35">
      <c r="A42">
        <f t="shared" si="3"/>
        <v>1.9000000000000006</v>
      </c>
      <c r="B42">
        <f t="shared" si="0"/>
        <v>-1.0476505242908034</v>
      </c>
      <c r="C42">
        <f>regressionsbasenl!$AR$1*$A42</f>
        <v>2.0688125407957809</v>
      </c>
      <c r="D42">
        <f>regressionsbasenl!$AO$1*$A42</f>
        <v>2.9205744268881277</v>
      </c>
      <c r="E42">
        <f t="shared" si="1"/>
        <v>3.0899745573007582</v>
      </c>
      <c r="F42">
        <f t="shared" si="2"/>
        <v>-6.8887993780670591</v>
      </c>
      <c r="G42" s="5">
        <f>B42-regressions!AA$7</f>
        <v>-4.7689391147557583</v>
      </c>
      <c r="H42" s="5">
        <f>B42+regressions!AA$7</f>
        <v>2.6736380661741519</v>
      </c>
      <c r="I42">
        <f>IF($A42&lt;=regressionsbasenl!$L$2,$A42*regressionsbasenl!$L$1,regressionsbasenl!$L$1*regressionsbasenl!$L$2+regressionsbasenl!$L$3*($A42-regressionsbasenl!$L$2))</f>
        <v>-1.6992828452533961</v>
      </c>
      <c r="J42">
        <f>regressionsbasenl!$J$1*A42+regressionsbasenl!$J$2*A42^2</f>
        <v>-1.3399770162841143</v>
      </c>
      <c r="K42">
        <f>regressionsbasenl!$V$1*A42</f>
        <v>-1.6992828452533983</v>
      </c>
      <c r="L42">
        <f>regressionsbasenl!$N$1*A42^2</f>
        <v>-0.62672311918063417</v>
      </c>
      <c r="M42">
        <f>regressionsbasenl!$R$1*A42^2+regressionsbasenl!$R$2*A42^6</f>
        <v>-0.43266736819211038</v>
      </c>
      <c r="N42">
        <f>regressionsbasenl!$P$1*A42^2+regressionsbasenl!$P$2*A42^7</f>
        <v>-0.65666202308423716</v>
      </c>
      <c r="O42">
        <f>regressionsbasenl!$T$2+regressionsbasenl!$T$1*EXP(A42)</f>
        <v>-2.1919914261202531E-2</v>
      </c>
      <c r="P42" s="20">
        <f>(1-EXP(-2*regressionsbasenl!X$1*graphbasenl!A42))/2/EXP(-regressionsbasenl!X$1*A42)</f>
        <v>-0.81976912718059303</v>
      </c>
      <c r="Q42" s="1"/>
      <c r="AB42" s="59"/>
      <c r="AC42" s="60"/>
      <c r="AD42" s="60"/>
      <c r="AE42" s="5"/>
      <c r="AO42" s="1"/>
      <c r="AP42" s="1"/>
      <c r="AT42" s="33"/>
      <c r="AW42" s="33"/>
      <c r="AZ42" s="33"/>
    </row>
    <row r="43" spans="1:52" x14ac:dyDescent="0.35">
      <c r="A43">
        <f t="shared" si="3"/>
        <v>2.0000000000000004</v>
      </c>
      <c r="B43">
        <f t="shared" si="0"/>
        <v>-1.1184422360605031</v>
      </c>
      <c r="C43">
        <f>regressionsbasenl!$AR$1*$A43</f>
        <v>2.1776974113639795</v>
      </c>
      <c r="D43">
        <f>regressionsbasenl!$AO$1*$A43</f>
        <v>3.0742888704085556</v>
      </c>
      <c r="E43">
        <f t="shared" si="1"/>
        <v>3.236952586667456</v>
      </c>
      <c r="F43">
        <f t="shared" si="2"/>
        <v>-7.2670199768776147</v>
      </c>
      <c r="G43" s="5">
        <f>B43-regressions!AA$7</f>
        <v>-4.8397308265254582</v>
      </c>
      <c r="H43" s="5">
        <f>B43+regressions!AA$7</f>
        <v>2.602846354404452</v>
      </c>
      <c r="I43">
        <f>IF($A43&lt;=regressionsbasenl!$L$2,$A43*regressionsbasenl!$L$1,regressionsbasenl!$L$1*regressionsbasenl!$L$2+regressionsbasenl!$L$3*($A43-regressionsbasenl!$L$2))</f>
        <v>-1.788718784477259</v>
      </c>
      <c r="J43">
        <f>regressionsbasenl!$J$1*A43+regressionsbasenl!$J$2*A43^2</f>
        <v>-1.4239197816163489</v>
      </c>
      <c r="K43">
        <f>regressionsbasenl!$V$1*A43</f>
        <v>-1.7887187844772614</v>
      </c>
      <c r="L43">
        <f>regressionsbasenl!$N$1*A43^2</f>
        <v>-0.69443004895361116</v>
      </c>
      <c r="M43">
        <f>regressionsbasenl!$R$1*A43^2+regressionsbasenl!$R$2*A43^6</f>
        <v>-0.47942583688603735</v>
      </c>
      <c r="N43">
        <f>regressionsbasenl!$P$1*A43^2+regressionsbasenl!$P$2*A43^7</f>
        <v>-0.72758513663948632</v>
      </c>
      <c r="O43">
        <f>regressionsbasenl!$T$2+regressionsbasenl!$T$1*EXP(A43)</f>
        <v>-2.4630700291796648E-2</v>
      </c>
      <c r="P43" s="20">
        <f>(1-EXP(-2*regressionsbasenl!X$1*graphbasenl!A43))/2/EXP(-regressionsbasenl!X$1*A43)</f>
        <v>-0.87132578787326631</v>
      </c>
      <c r="Q43" s="5"/>
      <c r="AB43" s="60"/>
      <c r="AC43" s="60"/>
      <c r="AD43" s="60"/>
      <c r="AE43" s="5"/>
      <c r="AK43" s="1"/>
      <c r="AL43" s="1"/>
      <c r="AO43" s="1"/>
      <c r="AP43" s="1"/>
      <c r="AT43" s="33"/>
      <c r="AW43" s="33"/>
      <c r="AZ43" s="33"/>
    </row>
    <row r="44" spans="1:52" x14ac:dyDescent="0.35">
      <c r="A44">
        <f t="shared" si="3"/>
        <v>2.1000000000000005</v>
      </c>
      <c r="B44">
        <f t="shared" si="0"/>
        <v>-1.1908446009031861</v>
      </c>
      <c r="C44">
        <f>regressionsbasenl!$AR$1*$A44</f>
        <v>2.2865822819321786</v>
      </c>
      <c r="D44">
        <f>regressionsbasenl!$AO$1*$A44</f>
        <v>3.2280033139289834</v>
      </c>
      <c r="E44">
        <f t="shared" si="1"/>
        <v>3.3823199629611711</v>
      </c>
      <c r="F44">
        <f t="shared" si="2"/>
        <v>-7.646851228761153</v>
      </c>
      <c r="G44" s="5">
        <f>B44-regressions!AA$7</f>
        <v>-4.9121331913681416</v>
      </c>
      <c r="H44" s="5">
        <f>B44+regressions!AA$7</f>
        <v>2.530443989561769</v>
      </c>
      <c r="I44">
        <f>IF($A44&lt;=regressionsbasenl!$L$2,$A44*regressionsbasenl!$L$1,regressionsbasenl!$L$1*regressionsbasenl!$L$2+regressionsbasenl!$L$3*($A44-regressionsbasenl!$L$2))</f>
        <v>-1.878154723701122</v>
      </c>
      <c r="J44">
        <f>regressionsbasenl!$J$1*A44+regressionsbasenl!$J$2*A44^2</f>
        <v>-1.5092043128697858</v>
      </c>
      <c r="K44">
        <f>regressionsbasenl!$V$1*A44</f>
        <v>-1.8781547237011245</v>
      </c>
      <c r="L44">
        <f>regressionsbasenl!$N$1*A44^2</f>
        <v>-0.76560912897135625</v>
      </c>
      <c r="M44">
        <f>regressionsbasenl!$R$1*A44^2+regressionsbasenl!$R$2*A44^6</f>
        <v>-0.52858749290328966</v>
      </c>
      <c r="N44">
        <f>regressionsbasenl!$P$1*A44^2+regressionsbasenl!$P$2*A44^7</f>
        <v>-0.80213808957432087</v>
      </c>
      <c r="O44">
        <f>regressionsbasenl!$T$2+regressionsbasenl!$T$1*EXP(A44)</f>
        <v>-2.7626582177935E-2</v>
      </c>
      <c r="P44" s="20">
        <f>(1-EXP(-2*regressionsbasenl!X$1*graphbasenl!A44))/2/EXP(-regressionsbasenl!X$1*A44)</f>
        <v>-0.92423317899855029</v>
      </c>
      <c r="AT44" s="33"/>
      <c r="AW44" s="33"/>
      <c r="AZ44" s="33"/>
    </row>
    <row r="45" spans="1:52" x14ac:dyDescent="0.35">
      <c r="A45">
        <f t="shared" si="3"/>
        <v>2.2000000000000006</v>
      </c>
      <c r="B45">
        <f t="shared" si="0"/>
        <v>-1.2648649777939232</v>
      </c>
      <c r="C45">
        <f>regressionsbasenl!$AR$1*$A45</f>
        <v>2.3954671525003777</v>
      </c>
      <c r="D45">
        <f>regressionsbasenl!$AO$1*$A45</f>
        <v>3.3817177574494113</v>
      </c>
      <c r="E45">
        <f t="shared" si="1"/>
        <v>3.526069327206832</v>
      </c>
      <c r="F45">
        <f t="shared" si="2"/>
        <v>-8.028300492692745</v>
      </c>
      <c r="G45" s="5">
        <f>B45-regressions!AA$7</f>
        <v>-4.986153568258878</v>
      </c>
      <c r="H45" s="5">
        <f>B45+regressions!AA$7</f>
        <v>2.4564236126710322</v>
      </c>
      <c r="I45">
        <f>IF($A45&lt;=regressionsbasenl!$L$2,$A45*regressionsbasenl!$L$1,regressionsbasenl!$L$1*regressionsbasenl!$L$2+regressionsbasenl!$L$3*($A45-regressionsbasenl!$L$2))</f>
        <v>-1.9675906629249849</v>
      </c>
      <c r="J45">
        <f>regressionsbasenl!$J$1*A45+regressionsbasenl!$J$2*A45^2</f>
        <v>-1.5958306100444242</v>
      </c>
      <c r="K45">
        <f>regressionsbasenl!$V$1*A45</f>
        <v>-1.9675906629249875</v>
      </c>
      <c r="L45">
        <f>regressionsbasenl!$N$1*A45^2</f>
        <v>-0.84026035923386955</v>
      </c>
      <c r="M45">
        <f>regressionsbasenl!$R$1*A45^2+regressionsbasenl!$R$2*A45^6</f>
        <v>-0.58015373298681805</v>
      </c>
      <c r="N45">
        <f>regressionsbasenl!$P$1*A45^2+regressionsbasenl!$P$2*A45^7</f>
        <v>-0.88031854075760863</v>
      </c>
      <c r="O45">
        <f>regressionsbasenl!$T$2+regressionsbasenl!$T$1*EXP(A45)</f>
        <v>-3.0937543712484725E-2</v>
      </c>
      <c r="P45" s="20">
        <f>(1-EXP(-2*regressionsbasenl!X$1*graphbasenl!A45))/2/EXP(-regressionsbasenl!X$1*A45)</f>
        <v>-0.97857331766680478</v>
      </c>
      <c r="AT45" s="33"/>
      <c r="AW45" s="33"/>
      <c r="AZ45" s="33"/>
    </row>
    <row r="46" spans="1:52" x14ac:dyDescent="0.35">
      <c r="A46">
        <f t="shared" si="3"/>
        <v>2.3000000000000007</v>
      </c>
      <c r="B46">
        <f t="shared" si="0"/>
        <v>-1.3405109304283724</v>
      </c>
      <c r="C46">
        <f>regressionsbasenl!$AR$1*$A46</f>
        <v>2.5043520230685767</v>
      </c>
      <c r="D46">
        <f>regressionsbasenl!$AO$1*$A46</f>
        <v>3.5354322009698391</v>
      </c>
      <c r="E46">
        <f t="shared" si="1"/>
        <v>3.6681931157087808</v>
      </c>
      <c r="F46">
        <f t="shared" si="2"/>
        <v>-8.4113753323680509</v>
      </c>
      <c r="G46" s="5">
        <f>B46-regressions!AA$7</f>
        <v>-5.0617995208933273</v>
      </c>
      <c r="H46" s="5">
        <f>B46+regressions!AA$7</f>
        <v>2.3807776600365829</v>
      </c>
      <c r="I46">
        <f>IF($A46&lt;=regressionsbasenl!$L$2,$A46*regressionsbasenl!$L$1,regressionsbasenl!$L$1*regressionsbasenl!$L$2+regressionsbasenl!$L$3*($A46-regressionsbasenl!$L$2))</f>
        <v>-2.0570266021488481</v>
      </c>
      <c r="J46">
        <f>regressionsbasenl!$J$1*A46+regressionsbasenl!$J$2*A46^2</f>
        <v>-1.6837986731402648</v>
      </c>
      <c r="K46">
        <f>regressionsbasenl!$V$1*A46</f>
        <v>-2.0570266021488508</v>
      </c>
      <c r="L46">
        <f>regressionsbasenl!$N$1*A46^2</f>
        <v>-0.91838373974115095</v>
      </c>
      <c r="M46">
        <f>regressionsbasenl!$R$1*A46^2+regressionsbasenl!$R$2*A46^6</f>
        <v>-0.63412616815309952</v>
      </c>
      <c r="N46">
        <f>regressionsbasenl!$P$1*A46^2+regressionsbasenl!$P$2*A46^7</f>
        <v>-0.96212365864283522</v>
      </c>
      <c r="O46">
        <f>regressionsbasenl!$T$2+regressionsbasenl!$T$1*EXP(A46)</f>
        <v>-3.4596722111336194E-2</v>
      </c>
      <c r="P46" s="20">
        <f>(1-EXP(-2*regressionsbasenl!X$1*graphbasenl!A46))/2/EXP(-regressionsbasenl!X$1*A46)</f>
        <v>-1.0344304420355968</v>
      </c>
      <c r="AT46" s="33"/>
      <c r="AW46" s="33"/>
      <c r="AZ46" s="33"/>
    </row>
    <row r="47" spans="1:52" x14ac:dyDescent="0.35">
      <c r="A47">
        <f t="shared" si="3"/>
        <v>2.4000000000000008</v>
      </c>
      <c r="B47">
        <f t="shared" si="0"/>
        <v>-1.4177902372839633</v>
      </c>
      <c r="C47">
        <f>regressionsbasenl!$AR$1*$A47</f>
        <v>2.6132368936367758</v>
      </c>
      <c r="D47">
        <f>regressionsbasenl!$AO$1*$A47</f>
        <v>3.689146644490267</v>
      </c>
      <c r="E47">
        <f t="shared" si="1"/>
        <v>3.8086835499895884</v>
      </c>
      <c r="F47">
        <f t="shared" si="2"/>
        <v>-8.7960835262644963</v>
      </c>
      <c r="G47" s="5">
        <f>B47-regressions!AA$7</f>
        <v>-5.1390788277489179</v>
      </c>
      <c r="H47" s="5">
        <f>B47+regressions!AA$7</f>
        <v>2.3034983531809918</v>
      </c>
      <c r="I47">
        <f>IF($A47&lt;=regressionsbasenl!$L$2,$A47*regressionsbasenl!$L$1,regressionsbasenl!$L$1*regressionsbasenl!$L$2+regressionsbasenl!$L$3*($A47-regressionsbasenl!$L$2))</f>
        <v>-2.1464625413727108</v>
      </c>
      <c r="J47">
        <f>regressionsbasenl!$J$1*A47+regressionsbasenl!$J$2*A47^2</f>
        <v>-1.773108502157307</v>
      </c>
      <c r="K47">
        <f>regressionsbasenl!$V$1*A47</f>
        <v>-2.1464625413727139</v>
      </c>
      <c r="L47">
        <f>regressionsbasenl!$N$1*A47^2</f>
        <v>-0.99997927049320035</v>
      </c>
      <c r="M47">
        <f>regressionsbasenl!$R$1*A47^2+regressionsbasenl!$R$2*A47^6</f>
        <v>-0.69050664456924005</v>
      </c>
      <c r="N47">
        <f>regressionsbasenl!$P$1*A47^2+regressionsbasenl!$P$2*A47^7</f>
        <v>-1.0475500479329869</v>
      </c>
      <c r="O47">
        <f>regressionsbasenl!$T$2+regressionsbasenl!$T$1*EXP(A47)</f>
        <v>-3.8640739661797457E-2</v>
      </c>
      <c r="P47" s="20">
        <f>(1-EXP(-2*regressionsbasenl!X$1*graphbasenl!A47))/2/EXP(-regressionsbasenl!X$1*A47)</f>
        <v>-1.0918911418958099</v>
      </c>
      <c r="AT47" s="33"/>
      <c r="AW47" s="33"/>
      <c r="AZ47" s="33"/>
    </row>
    <row r="48" spans="1:52" x14ac:dyDescent="0.35">
      <c r="A48">
        <f t="shared" si="3"/>
        <v>2.5000000000000009</v>
      </c>
      <c r="B48">
        <f t="shared" si="0"/>
        <v>-1.4967109016120879</v>
      </c>
      <c r="C48">
        <f>regressionsbasenl!$AR$1*$A48</f>
        <v>2.7221217642049749</v>
      </c>
      <c r="D48">
        <f>regressionsbasenl!$AO$1*$A48</f>
        <v>3.8428610880106948</v>
      </c>
      <c r="E48">
        <f t="shared" si="1"/>
        <v>3.9475326267978619</v>
      </c>
      <c r="F48">
        <f t="shared" si="2"/>
        <v>-9.1824330776334779</v>
      </c>
      <c r="G48" s="5">
        <f>B48-regressions!AA$7</f>
        <v>-5.2179994920770429</v>
      </c>
      <c r="H48" s="5">
        <f>B48+regressions!AA$7</f>
        <v>2.2245776888528672</v>
      </c>
      <c r="I48">
        <f>IF($A48&lt;=regressionsbasenl!$L$2,$A48*regressionsbasenl!$L$1,regressionsbasenl!$L$1*regressionsbasenl!$L$2+regressionsbasenl!$L$3*($A48-regressionsbasenl!$L$2))</f>
        <v>-2.2358984805965738</v>
      </c>
      <c r="J48">
        <f>regressionsbasenl!$J$1*A48+regressionsbasenl!$J$2*A48^2</f>
        <v>-1.8637600970955512</v>
      </c>
      <c r="K48">
        <f>regressionsbasenl!$V$1*A48</f>
        <v>-2.2358984805965769</v>
      </c>
      <c r="L48">
        <f>regressionsbasenl!$N$1*A48^2</f>
        <v>-1.0850469514900176</v>
      </c>
      <c r="M48">
        <f>regressionsbasenl!$R$1*A48^2+regressionsbasenl!$R$2*A48^6</f>
        <v>-0.74929726540110686</v>
      </c>
      <c r="N48">
        <f>regressionsbasenl!$P$1*A48^2+regressionsbasenl!$P$2*A48^7</f>
        <v>-1.1365936692712009</v>
      </c>
      <c r="O48">
        <f>regressionsbasenl!$T$2+regressionsbasenl!$T$1*EXP(A48)</f>
        <v>-4.3110070250754758E-2</v>
      </c>
      <c r="P48" s="20">
        <f>(1-EXP(-2*regressionsbasenl!X$1*graphbasenl!A48))/2/EXP(-regressionsbasenl!X$1*A48)</f>
        <v>-1.1510444929032557</v>
      </c>
      <c r="Q48" s="62"/>
      <c r="R48" s="62"/>
      <c r="S48" s="62"/>
      <c r="T48" s="62"/>
      <c r="U48" s="62"/>
      <c r="V48" s="62"/>
      <c r="W48" s="62"/>
      <c r="X48" s="62"/>
      <c r="Y48" s="50"/>
      <c r="Z48" s="50"/>
      <c r="AA48" s="50"/>
      <c r="AB48" s="5"/>
      <c r="AC48" s="5"/>
      <c r="AD48" s="49"/>
      <c r="AE48" s="5"/>
      <c r="AF48" s="58"/>
      <c r="AG48" s="58"/>
      <c r="AH48" s="5"/>
      <c r="AI48" s="58"/>
      <c r="AJ48" s="5"/>
      <c r="AK48" s="5"/>
      <c r="AL48" s="5"/>
      <c r="AM48" s="1"/>
      <c r="AO48" s="1"/>
      <c r="AP48" s="1"/>
      <c r="AT48" s="33"/>
      <c r="AW48" s="33"/>
      <c r="AZ48" s="33"/>
    </row>
    <row r="49" spans="1:52" x14ac:dyDescent="0.35">
      <c r="A49">
        <f t="shared" si="3"/>
        <v>2.600000000000001</v>
      </c>
      <c r="B49">
        <f t="shared" si="0"/>
        <v>-1.5772811613510953</v>
      </c>
      <c r="C49">
        <f>regressionsbasenl!$AR$1*$A49</f>
        <v>2.8310066347731739</v>
      </c>
      <c r="D49">
        <f>regressionsbasenl!$AO$1*$A49</f>
        <v>3.9965755315311227</v>
      </c>
      <c r="E49">
        <f t="shared" si="1"/>
        <v>4.0847321081952526</v>
      </c>
      <c r="F49">
        <f t="shared" si="2"/>
        <v>-9.5704322244133415</v>
      </c>
      <c r="G49" s="5">
        <f>B49-regressions!AA$7</f>
        <v>-5.2985697518160499</v>
      </c>
      <c r="H49" s="5">
        <f>B49+regressions!AA$7</f>
        <v>2.1440074291138598</v>
      </c>
      <c r="I49">
        <f>IF($A49&lt;=regressionsbasenl!$L$2,$A49*regressionsbasenl!$L$1,regressionsbasenl!$L$1*regressionsbasenl!$L$2+regressionsbasenl!$L$3*($A49-regressionsbasenl!$L$2))</f>
        <v>-2.3253344198204369</v>
      </c>
      <c r="J49">
        <f>regressionsbasenl!$J$1*A49+regressionsbasenl!$J$2*A49^2</f>
        <v>-1.9557534579549969</v>
      </c>
      <c r="K49">
        <f>regressionsbasenl!$V$1*A49</f>
        <v>-2.32533441982044</v>
      </c>
      <c r="L49">
        <f>regressionsbasenl!$N$1*A49^2</f>
        <v>-1.1735867827316031</v>
      </c>
      <c r="M49">
        <f>regressionsbasenl!$R$1*A49^2+regressionsbasenl!$R$2*A49^6</f>
        <v>-0.81050041363248737</v>
      </c>
      <c r="N49">
        <f>regressionsbasenl!$P$1*A49^2+regressionsbasenl!$P$2*A49^7</f>
        <v>-1.2292497516401739</v>
      </c>
      <c r="O49">
        <f>regressionsbasenl!$T$2+regressionsbasenl!$T$1*EXP(A49)</f>
        <v>-4.8049444440936277E-2</v>
      </c>
      <c r="P49" s="20">
        <f>(1-EXP(-2*regressionsbasenl!X$1*graphbasenl!A49))/2/EXP(-regressionsbasenl!X$1*A49)</f>
        <v>-1.2119821946638776</v>
      </c>
      <c r="S49" s="64"/>
      <c r="T49" s="64"/>
      <c r="U49" s="64"/>
      <c r="V49" s="64"/>
      <c r="W49" s="64"/>
      <c r="X49" s="64"/>
      <c r="AM49" s="1"/>
      <c r="AT49" s="33"/>
      <c r="AW49" s="33"/>
      <c r="AZ49" s="33"/>
    </row>
    <row r="50" spans="1:52" x14ac:dyDescent="0.35">
      <c r="A50">
        <f t="shared" si="3"/>
        <v>2.7000000000000011</v>
      </c>
      <c r="B50">
        <f t="shared" si="0"/>
        <v>-1.6595094989504402</v>
      </c>
      <c r="C50">
        <f>regressionsbasenl!$AR$1*$A50</f>
        <v>2.939891505341373</v>
      </c>
      <c r="D50">
        <f>regressionsbasenl!$AO$1*$A50</f>
        <v>4.1502899750515505</v>
      </c>
      <c r="E50">
        <f t="shared" si="1"/>
        <v>4.220273511732306</v>
      </c>
      <c r="F50">
        <f t="shared" si="2"/>
        <v>-9.960089449053541</v>
      </c>
      <c r="G50" s="5">
        <f>B50-regressions!AA$7</f>
        <v>-5.3807980894153955</v>
      </c>
      <c r="H50" s="5">
        <f>B50+regressions!AA$7</f>
        <v>2.0617790915145147</v>
      </c>
      <c r="I50">
        <f>IF($A50&lt;=regressionsbasenl!$L$2,$A50*regressionsbasenl!$L$1,regressionsbasenl!$L$1*regressionsbasenl!$L$2+regressionsbasenl!$L$3*($A50-regressionsbasenl!$L$2))</f>
        <v>-2.4147703590442999</v>
      </c>
      <c r="J50">
        <f>regressionsbasenl!$J$1*A50+regressionsbasenl!$J$2*A50^2</f>
        <v>-2.0490885847356446</v>
      </c>
      <c r="K50">
        <f>regressionsbasenl!$V$1*A50</f>
        <v>-2.414770359044303</v>
      </c>
      <c r="L50">
        <f>regressionsbasenl!$N$1*A50^2</f>
        <v>-1.2655987642179567</v>
      </c>
      <c r="M50">
        <f>regressionsbasenl!$R$1*A50^2+regressionsbasenl!$R$2*A50^6</f>
        <v>-0.87411877585527697</v>
      </c>
      <c r="N50">
        <f>regressionsbasenl!$P$1*A50^2+regressionsbasenl!$P$2*A50^7</f>
        <v>-1.3255126971533131</v>
      </c>
      <c r="O50">
        <f>regressionsbasenl!$T$2+regressionsbasenl!$T$1*EXP(A50)</f>
        <v>-5.3508297149418342E-2</v>
      </c>
      <c r="P50" s="20">
        <f>(1-EXP(-2*regressionsbasenl!X$1*graphbasenl!A50))/2/EXP(-regressionsbasenl!X$1*A50)</f>
        <v>-1.274798712886607</v>
      </c>
      <c r="S50" s="64"/>
      <c r="T50" s="64"/>
      <c r="U50" s="64"/>
      <c r="V50" s="64"/>
      <c r="W50" s="64"/>
      <c r="X50" s="64"/>
      <c r="AT50" s="33"/>
      <c r="AW50" s="33"/>
      <c r="AZ50" s="33"/>
    </row>
    <row r="51" spans="1:52" x14ac:dyDescent="0.35">
      <c r="A51">
        <f t="shared" si="3"/>
        <v>2.8000000000000012</v>
      </c>
      <c r="B51">
        <f t="shared" si="0"/>
        <v>-1.7434046510969581</v>
      </c>
      <c r="C51">
        <f>regressionsbasenl!$AR$1*$A51</f>
        <v>3.0487763759095721</v>
      </c>
      <c r="D51">
        <f>regressionsbasenl!$AO$1*$A51</f>
        <v>4.3040044185719779</v>
      </c>
      <c r="E51">
        <f t="shared" si="1"/>
        <v>4.3541481007221865</v>
      </c>
      <c r="F51">
        <f t="shared" si="2"/>
        <v>-10.351413488240913</v>
      </c>
      <c r="G51" s="5">
        <f>B51-regressions!AA$7</f>
        <v>-5.4646932415619132</v>
      </c>
      <c r="H51" s="5">
        <f>B51+regressions!AA$7</f>
        <v>1.977883939367997</v>
      </c>
      <c r="I51">
        <f>IF($A51&lt;=regressionsbasenl!$L$2,$A51*regressionsbasenl!$L$1,regressionsbasenl!$L$1*regressionsbasenl!$L$2+regressionsbasenl!$L$3*($A51-regressionsbasenl!$L$2))</f>
        <v>-2.504206298268163</v>
      </c>
      <c r="J51">
        <f>regressionsbasenl!$J$1*A51+regressionsbasenl!$J$2*A51^2</f>
        <v>-2.1437654774374941</v>
      </c>
      <c r="K51">
        <f>regressionsbasenl!$V$1*A51</f>
        <v>-2.5042062982681665</v>
      </c>
      <c r="L51">
        <f>regressionsbasenl!$N$1*A51^2</f>
        <v>-1.3610828959490782</v>
      </c>
      <c r="M51">
        <f>regressionsbasenl!$R$1*A51^2+regressionsbasenl!$R$2*A51^6</f>
        <v>-0.94015536703069502</v>
      </c>
      <c r="N51">
        <f>regressionsbasenl!$P$1*A51^2+regressionsbasenl!$P$2*A51^7</f>
        <v>-1.4253759779206254</v>
      </c>
      <c r="O51">
        <f>regressionsbasenl!$T$2+regressionsbasenl!$T$1*EXP(A51)</f>
        <v>-5.9541262408891203E-2</v>
      </c>
      <c r="P51" s="20">
        <f>(1-EXP(-2*regressionsbasenl!X$1*graphbasenl!A51))/2/EXP(-regressionsbasenl!X$1*A51)</f>
        <v>-1.3395914258242343</v>
      </c>
      <c r="S51" s="64"/>
      <c r="T51" s="64"/>
      <c r="U51" s="64"/>
      <c r="V51" s="64"/>
      <c r="W51" s="64"/>
      <c r="X51" s="64"/>
      <c r="AT51" s="33"/>
      <c r="AW51" s="33"/>
      <c r="AZ51" s="33"/>
    </row>
    <row r="52" spans="1:52" x14ac:dyDescent="0.35">
      <c r="A52">
        <f t="shared" si="3"/>
        <v>2.9000000000000012</v>
      </c>
      <c r="B52">
        <f t="shared" si="0"/>
        <v>-1.8289756183348693</v>
      </c>
      <c r="C52">
        <f>regressionsbasenl!$AR$1*$A52</f>
        <v>3.1576612464777711</v>
      </c>
      <c r="D52">
        <f>regressionsbasenl!$AO$1*$A52</f>
        <v>4.4577188620924062</v>
      </c>
      <c r="E52">
        <f t="shared" si="1"/>
        <v>4.4863468746206729</v>
      </c>
      <c r="F52">
        <f t="shared" si="2"/>
        <v>-10.744413342519682</v>
      </c>
      <c r="G52" s="5">
        <f>B52-regressions!AA$7</f>
        <v>-5.550264208799824</v>
      </c>
      <c r="H52" s="5">
        <f>B52+regressions!AA$7</f>
        <v>1.8923129721300858</v>
      </c>
      <c r="I52">
        <f>IF($A52&lt;=regressionsbasenl!$L$2,$A52*regressionsbasenl!$L$1,regressionsbasenl!$L$1*regressionsbasenl!$L$2+regressionsbasenl!$L$3*($A52-regressionsbasenl!$L$2))</f>
        <v>-2.593642237492026</v>
      </c>
      <c r="J52">
        <f>regressionsbasenl!$J$1*A52+regressionsbasenl!$J$2*A52^2</f>
        <v>-2.2397841360605457</v>
      </c>
      <c r="K52">
        <f>regressionsbasenl!$V$1*A52</f>
        <v>-2.5936422374920296</v>
      </c>
      <c r="L52">
        <f>regressionsbasenl!$N$1*A52^2</f>
        <v>-1.460039177924968</v>
      </c>
      <c r="M52">
        <f>regressionsbasenl!$R$1*A52^2+regressionsbasenl!$R$2*A52^6</f>
        <v>-1.0086135562215275</v>
      </c>
      <c r="N52">
        <f>regressionsbasenl!$P$1*A52^2+regressionsbasenl!$P$2*A52^7</f>
        <v>-1.5288320246723295</v>
      </c>
      <c r="O52">
        <f>regressionsbasenl!$T$2+regressionsbasenl!$T$1*EXP(A52)</f>
        <v>-6.6208720163421317E-2</v>
      </c>
      <c r="P52" s="20">
        <f>(1-EXP(-2*regressionsbasenl!X$1*graphbasenl!A52))/2/EXP(-regressionsbasenl!X$1*A52)</f>
        <v>-1.4064607752293095</v>
      </c>
      <c r="Q52" s="55"/>
      <c r="S52" s="64"/>
      <c r="T52" s="64"/>
      <c r="U52" s="64"/>
      <c r="V52" s="64"/>
      <c r="W52" s="64"/>
      <c r="X52" s="64"/>
      <c r="AB52" s="59"/>
      <c r="AE52" s="1"/>
      <c r="AO52" s="1"/>
      <c r="AP52" s="1"/>
      <c r="AT52" s="33"/>
      <c r="AW52" s="33"/>
      <c r="AZ52" s="33"/>
    </row>
    <row r="53" spans="1:52" x14ac:dyDescent="0.35">
      <c r="A53">
        <f t="shared" si="3"/>
        <v>3.0000000000000013</v>
      </c>
      <c r="B53">
        <f t="shared" si="0"/>
        <v>-1.9162316745717964</v>
      </c>
      <c r="C53">
        <f>regressionsbasenl!$AR$1*$A53</f>
        <v>3.2665461170459702</v>
      </c>
      <c r="D53">
        <f>regressionsbasenl!$AO$1*$A53</f>
        <v>4.6114333056128345</v>
      </c>
      <c r="E53">
        <f t="shared" si="1"/>
        <v>4.616860559520144</v>
      </c>
      <c r="F53">
        <f t="shared" si="2"/>
        <v>-11.139098285797466</v>
      </c>
      <c r="G53" s="5">
        <f>B53-regressions!AA$7</f>
        <v>-5.637520265036752</v>
      </c>
      <c r="H53" s="5">
        <f>B53+regressions!AA$7</f>
        <v>1.8050569158931586</v>
      </c>
      <c r="I53">
        <f>IF($A53&lt;=regressionsbasenl!$L$2,$A53*regressionsbasenl!$L$1,regressionsbasenl!$L$1*regressionsbasenl!$L$2+regressionsbasenl!$L$3*($A53-regressionsbasenl!$L$2))</f>
        <v>-2.6830781767158891</v>
      </c>
      <c r="J53">
        <f>regressionsbasenl!$J$1*A53+regressionsbasenl!$J$2*A53^2</f>
        <v>-2.3371445606047989</v>
      </c>
      <c r="K53">
        <f>regressionsbasenl!$V$1*A53</f>
        <v>-2.6830781767158927</v>
      </c>
      <c r="L53">
        <f>regressionsbasenl!$N$1*A53^2</f>
        <v>-1.5624676101456256</v>
      </c>
      <c r="M53">
        <f>regressionsbasenl!$R$1*A53^2+regressionsbasenl!$R$2*A53^6</f>
        <v>-1.0794970932953996</v>
      </c>
      <c r="N53">
        <f>regressionsbasenl!$P$1*A53^2+regressionsbasenl!$P$2*A53^7</f>
        <v>-1.6358721068231825</v>
      </c>
      <c r="O53">
        <f>regressionsbasenl!$T$2+regressionsbasenl!$T$1*EXP(A53)</f>
        <v>-7.3577400571225943E-2</v>
      </c>
      <c r="P53" s="20">
        <f>(1-EXP(-2*regressionsbasenl!X$1*graphbasenl!A53))/2/EXP(-regressionsbasenl!X$1*A53)</f>
        <v>-1.4755104220590856</v>
      </c>
      <c r="Q53" s="55"/>
      <c r="R53" s="63"/>
      <c r="S53" s="62"/>
      <c r="T53" s="63"/>
      <c r="U53" s="63"/>
      <c r="V53" s="63"/>
      <c r="W53" s="63"/>
      <c r="X53" s="63"/>
      <c r="Y53" s="50"/>
      <c r="Z53" s="52"/>
      <c r="AA53" s="52"/>
      <c r="AB53" s="57"/>
      <c r="AC53" s="57"/>
      <c r="AD53" s="1"/>
      <c r="AE53" s="53"/>
      <c r="AF53" s="53"/>
      <c r="AK53" s="5"/>
      <c r="AL53" s="1"/>
      <c r="AM53" s="1"/>
      <c r="AO53" s="1"/>
      <c r="AP53" s="1"/>
      <c r="AT53" s="33"/>
      <c r="AW53" s="33"/>
      <c r="AZ53" s="33"/>
    </row>
    <row r="54" spans="1:52" x14ac:dyDescent="0.35">
      <c r="A54">
        <f t="shared" si="3"/>
        <v>3.1000000000000014</v>
      </c>
      <c r="B54">
        <f t="shared" si="0"/>
        <v>-2.0051823764637891</v>
      </c>
      <c r="C54">
        <f>regressionsbasenl!$AR$1*$A54</f>
        <v>3.3754309876141693</v>
      </c>
      <c r="D54">
        <f>regressionsbasenl!$AO$1*$A54</f>
        <v>4.7651477491332619</v>
      </c>
      <c r="E54">
        <f t="shared" si="1"/>
        <v>4.7456795987645499</v>
      </c>
      <c r="F54">
        <f t="shared" si="2"/>
        <v>-11.535477874730313</v>
      </c>
      <c r="G54" s="5">
        <f>B54-regressions!AA$7</f>
        <v>-5.7264709669287441</v>
      </c>
      <c r="H54" s="5">
        <f>B54+regressions!AA$7</f>
        <v>1.716106214001166</v>
      </c>
      <c r="I54">
        <f>IF($A54&lt;=regressionsbasenl!$L$2,$A54*regressionsbasenl!$L$1,regressionsbasenl!$L$1*regressionsbasenl!$L$2+regressionsbasenl!$L$3*($A54-regressionsbasenl!$L$2))</f>
        <v>-2.7725141159397522</v>
      </c>
      <c r="J54">
        <f>regressionsbasenl!$J$1*A54+regressionsbasenl!$J$2*A54^2</f>
        <v>-2.4358467510702542</v>
      </c>
      <c r="K54">
        <f>regressionsbasenl!$V$1*A54</f>
        <v>-2.7725141159397557</v>
      </c>
      <c r="L54">
        <f>regressionsbasenl!$N$1*A54^2</f>
        <v>-1.6683681926110514</v>
      </c>
      <c r="M54">
        <f>regressionsbasenl!$R$1*A54^2+regressionsbasenl!$R$2*A54^6</f>
        <v>-1.1528101365990757</v>
      </c>
      <c r="N54">
        <f>regressionsbasenl!$P$1*A54^2+regressionsbasenl!$P$2*A54^7</f>
        <v>-1.7464862036605122</v>
      </c>
      <c r="O54">
        <f>regressionsbasenl!$T$2+regressionsbasenl!$T$1*EXP(A54)</f>
        <v>-8.1721051862525429E-2</v>
      </c>
      <c r="P54" s="20">
        <f>(1-EXP(-2*regressionsbasenl!X$1*graphbasenl!A54))/2/EXP(-regressionsbasenl!X$1*A54)</f>
        <v>-1.5468474071708773</v>
      </c>
      <c r="AK54" s="1"/>
      <c r="AL54" s="1"/>
      <c r="AT54" s="33"/>
      <c r="AW54" s="33"/>
      <c r="AZ54" s="33"/>
    </row>
    <row r="55" spans="1:52" x14ac:dyDescent="0.35">
      <c r="A55">
        <f t="shared" si="3"/>
        <v>3.2000000000000015</v>
      </c>
      <c r="B55">
        <f t="shared" si="0"/>
        <v>-2.0958375726731084</v>
      </c>
      <c r="C55">
        <f>regressionsbasenl!$AR$1*$A55</f>
        <v>3.4843158581823683</v>
      </c>
      <c r="D55">
        <f>regressionsbasenl!$AO$1*$A55</f>
        <v>4.9188621926536902</v>
      </c>
      <c r="E55">
        <f t="shared" si="1"/>
        <v>4.8727941436916282</v>
      </c>
      <c r="F55">
        <f t="shared" si="2"/>
        <v>-11.933561957980489</v>
      </c>
      <c r="G55" s="5">
        <f>B55-regressions!AA$7</f>
        <v>-5.8171261631380631</v>
      </c>
      <c r="H55" s="5">
        <f>B55+regressions!AA$7</f>
        <v>1.6254510177918466</v>
      </c>
      <c r="I55">
        <f>IF($A55&lt;=regressionsbasenl!$L$2,$A55*regressionsbasenl!$L$1,regressionsbasenl!$L$1*regressionsbasenl!$L$2+regressionsbasenl!$L$3*($A55-regressionsbasenl!$L$2))</f>
        <v>-2.8619500551636148</v>
      </c>
      <c r="J55">
        <f>regressionsbasenl!$J$1*A55+regressionsbasenl!$J$2*A55^2</f>
        <v>-2.535890707456911</v>
      </c>
      <c r="K55">
        <f>regressionsbasenl!$V$1*A55</f>
        <v>-2.8619500551636188</v>
      </c>
      <c r="L55">
        <f>regressionsbasenl!$N$1*A55^2</f>
        <v>-1.7777409253212453</v>
      </c>
      <c r="M55">
        <f>regressionsbasenl!$R$1*A55^2+regressionsbasenl!$R$2*A55^6</f>
        <v>-1.2285572816037866</v>
      </c>
      <c r="N55">
        <f>regressionsbasenl!$P$1*A55^2+regressionsbasenl!$P$2*A55^7</f>
        <v>-1.8606628663389371</v>
      </c>
      <c r="O55">
        <f>regressionsbasenl!$T$2+regressionsbasenl!$T$1*EXP(A55)</f>
        <v>-9.0721178436618824E-2</v>
      </c>
      <c r="P55" s="20">
        <f>(1-EXP(-2*regressionsbasenl!X$1*graphbasenl!A55))/2/EXP(-regressionsbasenl!X$1*A55)</f>
        <v>-1.6205823172569436</v>
      </c>
      <c r="Q55" s="1"/>
      <c r="AE55" s="53"/>
      <c r="AO55" s="1"/>
      <c r="AP55" s="1"/>
      <c r="AT55" s="33"/>
      <c r="AW55" s="33"/>
      <c r="AZ55" s="33"/>
    </row>
    <row r="56" spans="1:52" x14ac:dyDescent="0.35">
      <c r="A56">
        <f t="shared" si="3"/>
        <v>3.3000000000000016</v>
      </c>
      <c r="B56">
        <f t="shared" si="0"/>
        <v>-2.1882074129933295</v>
      </c>
      <c r="C56">
        <f>regressionsbasenl!$AR$1*$A56</f>
        <v>3.5932007287505674</v>
      </c>
      <c r="D56">
        <f>regressionsbasenl!$AO$1*$A56</f>
        <v>5.0725766361741176</v>
      </c>
      <c r="E56">
        <f t="shared" si="1"/>
        <v>4.9981940445078052</v>
      </c>
      <c r="F56">
        <f t="shared" si="2"/>
        <v>-12.333360685341564</v>
      </c>
      <c r="G56" s="5">
        <f>B56-regressions!AA$7</f>
        <v>-5.9094960034582851</v>
      </c>
      <c r="H56" s="5">
        <f>B56+regressions!AA$7</f>
        <v>1.5330811774716255</v>
      </c>
      <c r="I56">
        <f>IF($A56&lt;=regressionsbasenl!$L$2,$A56*regressionsbasenl!$L$1,regressionsbasenl!$L$1*regressionsbasenl!$L$2+regressionsbasenl!$L$3*($A56-regressionsbasenl!$L$2))</f>
        <v>-2.9513859943874778</v>
      </c>
      <c r="J56">
        <f>regressionsbasenl!$J$1*A56+regressionsbasenl!$J$2*A56^2</f>
        <v>-2.6372764297647695</v>
      </c>
      <c r="K56">
        <f>regressionsbasenl!$V$1*A56</f>
        <v>-2.9513859943874818</v>
      </c>
      <c r="L56">
        <f>regressionsbasenl!$N$1*A56^2</f>
        <v>-1.8905858082762075</v>
      </c>
      <c r="M56">
        <f>regressionsbasenl!$R$1*A56^2+regressionsbasenl!$R$2*A56^6</f>
        <v>-1.3067435905215856</v>
      </c>
      <c r="N56">
        <f>regressionsbasenl!$P$1*A56^2+regressionsbasenl!$P$2*A56^7</f>
        <v>-1.9783890703647742</v>
      </c>
      <c r="O56">
        <f>regressionsbasenl!$T$2+regressionsbasenl!$T$1*EXP(A56)</f>
        <v>-0.10066785658530665</v>
      </c>
      <c r="P56" s="20">
        <f>(1-EXP(-2*regressionsbasenl!X$1*graphbasenl!A56))/2/EXP(-regressionsbasenl!X$1*A56)</f>
        <v>-1.6968294562761319</v>
      </c>
      <c r="AK56" s="1"/>
      <c r="AL56" s="1"/>
      <c r="AT56" s="33"/>
      <c r="AW56" s="33"/>
      <c r="AZ56" s="33"/>
    </row>
    <row r="57" spans="1:52" x14ac:dyDescent="0.35">
      <c r="A57">
        <f t="shared" si="3"/>
        <v>3.4000000000000017</v>
      </c>
      <c r="B57">
        <f t="shared" si="0"/>
        <v>-2.2823023573371342</v>
      </c>
      <c r="C57">
        <f>regressionsbasenl!$AR$1*$A57</f>
        <v>3.7020855993187665</v>
      </c>
      <c r="D57">
        <f>regressionsbasenl!$AO$1*$A57</f>
        <v>5.2262910796945459</v>
      </c>
      <c r="E57">
        <f t="shared" si="1"/>
        <v>5.1218688413003992</v>
      </c>
      <c r="F57">
        <f t="shared" si="2"/>
        <v>-12.734884516726225</v>
      </c>
      <c r="G57" s="5">
        <f>B57-regressions!AA$7</f>
        <v>-6.0035909478020892</v>
      </c>
      <c r="H57" s="5">
        <f>B57+regressions!AA$7</f>
        <v>1.4389862331278209</v>
      </c>
      <c r="I57">
        <f>IF($A57&lt;=regressionsbasenl!$L$2,$A57*regressionsbasenl!$L$1,regressionsbasenl!$L$1*regressionsbasenl!$L$2+regressionsbasenl!$L$3*($A57-regressionsbasenl!$L$2))</f>
        <v>-3.0408219336113409</v>
      </c>
      <c r="J57">
        <f>regressionsbasenl!$J$1*A57+regressionsbasenl!$J$2*A57^2</f>
        <v>-2.7400039179938305</v>
      </c>
      <c r="K57">
        <f>regressionsbasenl!$V$1*A57</f>
        <v>-3.0408219336113453</v>
      </c>
      <c r="L57">
        <f>regressionsbasenl!$N$1*A57^2</f>
        <v>-2.0069028414759371</v>
      </c>
      <c r="M57">
        <f>regressionsbasenl!$R$1*A57^2+regressionsbasenl!$R$2*A57^6</f>
        <v>-1.3873746228927326</v>
      </c>
      <c r="N57">
        <f>regressionsbasenl!$P$1*A57^2+regressionsbasenl!$P$2*A57^7</f>
        <v>-2.0996500582531152</v>
      </c>
      <c r="O57">
        <f>regressionsbasenl!$T$2+regressionsbasenl!$T$1*EXP(A57)</f>
        <v>-0.11166063600669497</v>
      </c>
      <c r="P57" s="20">
        <f>(1-EXP(-2*regressionsbasenl!X$1*graphbasenl!A57))/2/EXP(-regressionsbasenl!X$1*A57)</f>
        <v>-1.7757070226480287</v>
      </c>
      <c r="AT57" s="33"/>
      <c r="AW57" s="33"/>
      <c r="AZ57" s="33"/>
    </row>
    <row r="58" spans="1:52" x14ac:dyDescent="0.35">
      <c r="A58">
        <f t="shared" si="3"/>
        <v>3.5000000000000018</v>
      </c>
      <c r="B58">
        <f t="shared" si="0"/>
        <v>-2.3781331845830946</v>
      </c>
      <c r="C58">
        <f>regressionsbasenl!$AR$1*$A58</f>
        <v>3.8109704698869655</v>
      </c>
      <c r="D58">
        <f>regressionsbasenl!$AO$1*$A58</f>
        <v>5.3800055232149733</v>
      </c>
      <c r="E58">
        <f t="shared" si="1"/>
        <v>5.2438077551908364</v>
      </c>
      <c r="F58">
        <f t="shared" si="2"/>
        <v>-13.13814423101304</v>
      </c>
      <c r="G58" s="5">
        <f>B58-regressions!AA$7</f>
        <v>-6.0994217750480502</v>
      </c>
      <c r="H58" s="5">
        <f>B58+regressions!AA$7</f>
        <v>1.3431554058818604</v>
      </c>
      <c r="I58">
        <f>IF($A58&lt;=regressionsbasenl!$L$2,$A58*regressionsbasenl!$L$1,regressionsbasenl!$L$1*regressionsbasenl!$L$2+regressionsbasenl!$L$3*($A58-regressionsbasenl!$L$2))</f>
        <v>-3.130257872835204</v>
      </c>
      <c r="J58">
        <f>regressionsbasenl!$J$1*A58+regressionsbasenl!$J$2*A58^2</f>
        <v>-2.8440731721440926</v>
      </c>
      <c r="K58">
        <f>regressionsbasenl!$V$1*A58</f>
        <v>-3.1302578728352084</v>
      </c>
      <c r="L58">
        <f>regressionsbasenl!$N$1*A58^2</f>
        <v>-2.1266920249204353</v>
      </c>
      <c r="M58">
        <f>regressionsbasenl!$R$1*A58^2+regressionsbasenl!$R$2*A58^6</f>
        <v>-1.4704564671441072</v>
      </c>
      <c r="N58">
        <f>regressionsbasenl!$P$1*A58^2+regressionsbasenl!$P$2*A58^7</f>
        <v>-2.2244291720405656</v>
      </c>
      <c r="O58">
        <f>regressionsbasenl!$T$2+regressionsbasenl!$T$1*EXP(A58)</f>
        <v>-0.12380953613203378</v>
      </c>
      <c r="P58" s="20">
        <f>(1-EXP(-2*regressionsbasenl!X$1*graphbasenl!A58))/2/EXP(-regressionsbasenl!X$1*A58)</f>
        <v>-1.8573372924843168</v>
      </c>
      <c r="AT58" s="33"/>
      <c r="AW58" s="33"/>
      <c r="AZ58" s="33"/>
    </row>
    <row r="59" spans="1:52" x14ac:dyDescent="0.35">
      <c r="A59">
        <f t="shared" si="3"/>
        <v>3.6000000000000019</v>
      </c>
      <c r="B59">
        <f t="shared" si="0"/>
        <v>-2.4757110012786359</v>
      </c>
      <c r="C59">
        <f>regressionsbasenl!$AR$1*$A59</f>
        <v>3.9198553404551646</v>
      </c>
      <c r="D59">
        <f>regressionsbasenl!$AO$1*$A59</f>
        <v>5.5337199667354016</v>
      </c>
      <c r="E59">
        <f t="shared" si="1"/>
        <v>5.3639996796316929</v>
      </c>
      <c r="F59">
        <f t="shared" si="2"/>
        <v>-13.543150934749439</v>
      </c>
      <c r="G59" s="5">
        <f>B59-regressions!AA$7</f>
        <v>-6.1969995917435909</v>
      </c>
      <c r="H59" s="5">
        <f>B59+regressions!AA$7</f>
        <v>1.2455775891863192</v>
      </c>
      <c r="I59">
        <f>IF($A59&lt;=regressionsbasenl!$L$2,$A59*regressionsbasenl!$L$1,regressionsbasenl!$L$1*regressionsbasenl!$L$2+regressionsbasenl!$L$3*($A59-regressionsbasenl!$L$2))</f>
        <v>-3.219693812059067</v>
      </c>
      <c r="J59">
        <f>regressionsbasenl!$J$1*A59+regressionsbasenl!$J$2*A59^2</f>
        <v>-2.9494841922155572</v>
      </c>
      <c r="K59">
        <f>regressionsbasenl!$V$1*A59</f>
        <v>-3.2196938120590715</v>
      </c>
      <c r="L59">
        <f>regressionsbasenl!$N$1*A59^2</f>
        <v>-2.2499533586097016</v>
      </c>
      <c r="M59">
        <f>regressionsbasenl!$R$1*A59^2+regressionsbasenl!$R$2*A59^6</f>
        <v>-1.5559957731186462</v>
      </c>
      <c r="N59">
        <f>regressionsbasenl!$P$1*A59^2+regressionsbasenl!$P$2*A59^7</f>
        <v>-2.3527076753366321</v>
      </c>
      <c r="O59">
        <f>regressionsbasenl!$T$2+regressionsbasenl!$T$1*EXP(A59)</f>
        <v>-0.13723614723716385</v>
      </c>
      <c r="P59" s="20">
        <f>(1-EXP(-2*regressionsbasenl!X$1*graphbasenl!A59))/2/EXP(-regressionsbasenl!X$1*A59)</f>
        <v>-1.9418468091413663</v>
      </c>
      <c r="AT59" s="33"/>
      <c r="AW59" s="33"/>
      <c r="AZ59" s="33"/>
    </row>
    <row r="60" spans="1:52" x14ac:dyDescent="0.35">
      <c r="A60">
        <f t="shared" si="3"/>
        <v>3.700000000000002</v>
      </c>
      <c r="B60">
        <f t="shared" si="0"/>
        <v>-2.5750472501973887</v>
      </c>
      <c r="C60">
        <f>regressionsbasenl!$AR$1*$A60</f>
        <v>4.0287402110233632</v>
      </c>
      <c r="D60">
        <f>regressionsbasenl!$AO$1*$A60</f>
        <v>5.687434410255829</v>
      </c>
      <c r="E60">
        <f t="shared" si="1"/>
        <v>5.4824331718493378</v>
      </c>
      <c r="F60">
        <f t="shared" si="2"/>
        <v>-13.949916070709047</v>
      </c>
      <c r="G60" s="5">
        <f>B60-regressions!AA$7</f>
        <v>-6.2963358406623442</v>
      </c>
      <c r="H60" s="5">
        <f>B60+regressions!AA$7</f>
        <v>1.1462413402675664</v>
      </c>
      <c r="I60">
        <f>IF($A60&lt;=regressionsbasenl!$L$2,$A60*regressionsbasenl!$L$1,regressionsbasenl!$L$1*regressionsbasenl!$L$2+regressionsbasenl!$L$3*($A60-regressionsbasenl!$L$2))</f>
        <v>-3.3091297512829301</v>
      </c>
      <c r="J60">
        <f>regressionsbasenl!$J$1*A60+regressionsbasenl!$J$2*A60^2</f>
        <v>-3.056236978208223</v>
      </c>
      <c r="K60">
        <f>regressionsbasenl!$V$1*A60</f>
        <v>-3.3091297512829345</v>
      </c>
      <c r="L60">
        <f>regressionsbasenl!$N$1*A60^2</f>
        <v>-2.3766868425437355</v>
      </c>
      <c r="M60">
        <f>regressionsbasenl!$R$1*A60^2+regressionsbasenl!$R$2*A60^6</f>
        <v>-1.6439997855758148</v>
      </c>
      <c r="N60">
        <f>regressionsbasenl!$P$1*A60^2+regressionsbasenl!$P$2*A60^7</f>
        <v>-2.4844645645967542</v>
      </c>
      <c r="O60">
        <f>regressionsbasenl!$T$2+regressionsbasenl!$T$1*EXP(A60)</f>
        <v>-0.15207484735886509</v>
      </c>
      <c r="P60" s="20">
        <f>(1-EXP(-2*regressionsbasenl!X$1*graphbasenl!A60))/2/EXP(-regressionsbasenl!X$1*A60)</f>
        <v>-2.0293665793879225</v>
      </c>
      <c r="Q60" s="5"/>
      <c r="AE60" s="58"/>
      <c r="AO60" s="1"/>
      <c r="AP60" s="1"/>
      <c r="AT60" s="33"/>
      <c r="AW60" s="33"/>
      <c r="AZ60" s="33"/>
    </row>
    <row r="61" spans="1:52" x14ac:dyDescent="0.35">
      <c r="A61">
        <f t="shared" si="3"/>
        <v>3.800000000000002</v>
      </c>
      <c r="B61">
        <f t="shared" si="0"/>
        <v>-2.6761537187501667</v>
      </c>
      <c r="C61">
        <f>regressionsbasenl!$AR$1*$A61</f>
        <v>4.1376250815915627</v>
      </c>
      <c r="D61">
        <f>regressionsbasenl!$AO$1*$A61</f>
        <v>5.8411488537762573</v>
      </c>
      <c r="E61">
        <f t="shared" si="1"/>
        <v>5.5990964444329592</v>
      </c>
      <c r="F61">
        <f t="shared" si="2"/>
        <v>-14.358451426302681</v>
      </c>
      <c r="G61" s="5">
        <f>B61-regressions!AA$7</f>
        <v>-6.3974423092151218</v>
      </c>
      <c r="H61" s="5">
        <f>B61+regressions!AA$7</f>
        <v>1.0451348717147884</v>
      </c>
      <c r="I61">
        <f>IF($A61&lt;=regressionsbasenl!$L$2,$A61*regressionsbasenl!$L$1,regressionsbasenl!$L$1*regressionsbasenl!$L$2+regressionsbasenl!$L$3*($A61-regressionsbasenl!$L$2))</f>
        <v>-3.3985656905067931</v>
      </c>
      <c r="J61">
        <f>regressionsbasenl!$J$1*A61+regressionsbasenl!$J$2*A61^2</f>
        <v>-3.1643315301220909</v>
      </c>
      <c r="K61">
        <f>regressionsbasenl!$V$1*A61</f>
        <v>-3.3985656905067976</v>
      </c>
      <c r="L61">
        <f>regressionsbasenl!$N$1*A61^2</f>
        <v>-2.5068924767225376</v>
      </c>
      <c r="M61">
        <f>regressionsbasenl!$R$1*A61^2+regressionsbasenl!$R$2*A61^6</f>
        <v>-1.7344763786631017</v>
      </c>
      <c r="N61">
        <f>regressionsbasenl!$P$1*A61^2+regressionsbasenl!$P$2*A61^7</f>
        <v>-2.6196763692999583</v>
      </c>
      <c r="O61">
        <f>regressionsbasenl!$T$2+regressionsbasenl!$T$1*EXP(A61)</f>
        <v>-0.1684741471954149</v>
      </c>
      <c r="P61" s="20">
        <f>(1-EXP(-2*regressionsbasenl!X$1*graphbasenl!A61))/2/EXP(-regressionsbasenl!X$1*A61)</f>
        <v>-2.1200322764919792</v>
      </c>
      <c r="AT61" s="33"/>
      <c r="AW61" s="33"/>
      <c r="AZ61" s="33"/>
    </row>
    <row r="62" spans="1:52" x14ac:dyDescent="0.35">
      <c r="A62">
        <f t="shared" si="3"/>
        <v>3.9000000000000021</v>
      </c>
      <c r="B62">
        <f t="shared" si="0"/>
        <v>-2.7790425472498805</v>
      </c>
      <c r="C62">
        <f>regressionsbasenl!$AR$1*$A62</f>
        <v>4.2465099521597613</v>
      </c>
      <c r="D62">
        <f>regressionsbasenl!$AO$1*$A62</f>
        <v>5.9948632972966847</v>
      </c>
      <c r="E62">
        <f t="shared" si="1"/>
        <v>5.7139773570696422</v>
      </c>
      <c r="F62">
        <f t="shared" si="2"/>
        <v>-14.768769141843251</v>
      </c>
      <c r="G62" s="5">
        <f>B62-regressions!AA$7</f>
        <v>-6.5003311377148361</v>
      </c>
      <c r="H62" s="5">
        <f>B62+regressions!AA$7</f>
        <v>0.94224604321507455</v>
      </c>
      <c r="I62">
        <f>IF($A62&lt;=regressionsbasenl!$L$2,$A62*regressionsbasenl!$L$1,regressionsbasenl!$L$1*regressionsbasenl!$L$2+regressionsbasenl!$L$3*($A62-regressionsbasenl!$L$2))</f>
        <v>-3.4880016297306562</v>
      </c>
      <c r="J62">
        <f>regressionsbasenl!$J$1*A62+regressionsbasenl!$J$2*A62^2</f>
        <v>-3.2737678479571608</v>
      </c>
      <c r="K62">
        <f>regressionsbasenl!$V$1*A62</f>
        <v>-3.4880016297306606</v>
      </c>
      <c r="L62">
        <f>regressionsbasenl!$N$1*A62^2</f>
        <v>-2.6405702611461082</v>
      </c>
      <c r="M62">
        <f>regressionsbasenl!$R$1*A62^2+regressionsbasenl!$R$2*A62^6</f>
        <v>-1.8274340913585418</v>
      </c>
      <c r="N62">
        <f>regressionsbasenl!$P$1*A62^2+regressionsbasenl!$P$2*A62^7</f>
        <v>-2.7583169407141388</v>
      </c>
      <c r="O62">
        <f>regressionsbasenl!$T$2+regressionsbasenl!$T$1*EXP(A62)</f>
        <v>-0.18659817645157245</v>
      </c>
      <c r="P62" s="20">
        <f>(1-EXP(-2*regressionsbasenl!X$1*graphbasenl!A62))/2/EXP(-regressionsbasenl!X$1*A62)</f>
        <v>-2.2139844505416617</v>
      </c>
      <c r="AT62" s="33"/>
      <c r="AW62" s="33"/>
      <c r="AZ62" s="33"/>
    </row>
    <row r="63" spans="1:52" x14ac:dyDescent="0.35">
      <c r="A63">
        <f t="shared" si="3"/>
        <v>4.0000000000000018</v>
      </c>
      <c r="B63">
        <f t="shared" si="0"/>
        <v>-2.8837262370318903</v>
      </c>
      <c r="C63">
        <f>regressionsbasenl!$AR$1*$A63</f>
        <v>4.35539482272796</v>
      </c>
      <c r="D63">
        <f>regressionsbasenl!$AO$1*$A63</f>
        <v>6.1485777408171121</v>
      </c>
      <c r="E63">
        <f t="shared" si="1"/>
        <v>5.8270634084240296</v>
      </c>
      <c r="F63">
        <f t="shared" si="2"/>
        <v>-15.180881718666114</v>
      </c>
      <c r="G63" s="5">
        <f>B63-regressions!AA$7</f>
        <v>-6.605014827496845</v>
      </c>
      <c r="H63" s="5">
        <f>B63+regressions!AA$7</f>
        <v>0.83756235343306473</v>
      </c>
      <c r="I63">
        <f>IF($A63&lt;=regressionsbasenl!$L$2,$A63*regressionsbasenl!$L$1,regressionsbasenl!$L$1*regressionsbasenl!$L$2+regressionsbasenl!$L$3*($A63-regressionsbasenl!$L$2))</f>
        <v>-3.5774375689545188</v>
      </c>
      <c r="J63">
        <f>regressionsbasenl!$J$1*A63+regressionsbasenl!$J$2*A63^2</f>
        <v>-3.3845459317134319</v>
      </c>
      <c r="K63">
        <f>regressionsbasenl!$V$1*A63</f>
        <v>-3.5774375689545237</v>
      </c>
      <c r="L63">
        <f>regressionsbasenl!$N$1*A63^2</f>
        <v>-2.777720195814446</v>
      </c>
      <c r="M63">
        <f>regressionsbasenl!$R$1*A63^2+regressionsbasenl!$R$2*A63^6</f>
        <v>-1.9228821638842712</v>
      </c>
      <c r="N63">
        <f>regressionsbasenl!$P$1*A63^2+regressionsbasenl!$P$2*A63^7</f>
        <v>-2.9003572289319388</v>
      </c>
      <c r="O63">
        <f>regressionsbasenl!$T$2+regressionsbasenl!$T$1*EXP(A63)</f>
        <v>-0.20662832650382992</v>
      </c>
      <c r="P63" s="20">
        <f>(1-EXP(-2*regressionsbasenl!X$1*graphbasenl!A63))/2/EXP(-regressionsbasenl!X$1*A63)</f>
        <v>-2.3113687463261701</v>
      </c>
      <c r="Q63" s="5"/>
      <c r="AB63" s="61"/>
      <c r="AC63" s="49"/>
      <c r="AD63" s="61"/>
      <c r="AE63" s="58"/>
      <c r="AF63" s="58"/>
      <c r="AO63" s="1"/>
      <c r="AP63" s="1"/>
      <c r="AT63" s="33"/>
      <c r="AW63" s="33"/>
      <c r="AZ63" s="33"/>
    </row>
    <row r="64" spans="1:52" x14ac:dyDescent="0.35">
      <c r="A64">
        <f t="shared" si="3"/>
        <v>4.1000000000000014</v>
      </c>
      <c r="B64">
        <f t="shared" si="0"/>
        <v>-2.9902176584324778</v>
      </c>
      <c r="C64">
        <f>regressionsbasenl!$AR$1*$A64</f>
        <v>4.4642796932961586</v>
      </c>
      <c r="D64">
        <f>regressionsbasenl!$AO$1*$A64</f>
        <v>6.3022921843375395</v>
      </c>
      <c r="E64">
        <f t="shared" si="1"/>
        <v>5.9383417281598394</v>
      </c>
      <c r="F64">
        <f t="shared" si="2"/>
        <v>-15.594802027107557</v>
      </c>
      <c r="G64" s="5">
        <f>B64-regressions!AA$7</f>
        <v>-6.7115062488974324</v>
      </c>
      <c r="H64" s="5">
        <f>B64+regressions!AA$7</f>
        <v>0.73107093203247731</v>
      </c>
      <c r="I64">
        <f>IF($A64&lt;=regressionsbasenl!$L$2,$A64*regressionsbasenl!$L$1,regressionsbasenl!$L$1*regressionsbasenl!$L$2+regressionsbasenl!$L$3*($A64-regressionsbasenl!$L$2))</f>
        <v>-3.6668735081783814</v>
      </c>
      <c r="J64">
        <f>regressionsbasenl!$J$1*A64+regressionsbasenl!$J$2*A64^2</f>
        <v>-3.4966657813909046</v>
      </c>
      <c r="K64">
        <f>regressionsbasenl!$V$1*A64</f>
        <v>-3.6668735081783863</v>
      </c>
      <c r="L64">
        <f>regressionsbasenl!$N$1*A64^2</f>
        <v>-2.9183422807275519</v>
      </c>
      <c r="M64">
        <f>regressionsbasenl!$R$1*A64^2+regressionsbasenl!$R$2*A64^6</f>
        <v>-2.0208305750911064</v>
      </c>
      <c r="N64">
        <f>regressionsbasenl!$P$1*A64^2+regressionsbasenl!$P$2*A64^7</f>
        <v>-3.0457650478602378</v>
      </c>
      <c r="O64">
        <f>regressionsbasenl!$T$2+regressionsbasenl!$T$1*EXP(A64)</f>
        <v>-0.22876506582627629</v>
      </c>
      <c r="P64" s="20">
        <f>(1-EXP(-2*regressionsbasenl!X$1*graphbasenl!A64))/2/EXP(-regressionsbasenl!X$1*A64)</f>
        <v>-2.4123361291145287</v>
      </c>
      <c r="AT64" s="33"/>
      <c r="AW64" s="33"/>
      <c r="AZ64" s="33"/>
    </row>
    <row r="65" spans="1:52" x14ac:dyDescent="0.35">
      <c r="A65">
        <f t="shared" si="3"/>
        <v>4.2000000000000011</v>
      </c>
      <c r="B65">
        <f t="shared" si="0"/>
        <v>-3.0985300586294042</v>
      </c>
      <c r="C65">
        <f>regressionsbasenl!$AR$1*$A65</f>
        <v>4.5731645638643572</v>
      </c>
      <c r="D65">
        <f>regressionsbasenl!$AO$1*$A65</f>
        <v>6.4560066278579669</v>
      </c>
      <c r="E65">
        <f t="shared" si="1"/>
        <v>6.0477990690993106</v>
      </c>
      <c r="F65">
        <f t="shared" si="2"/>
        <v>-16.010543314345338</v>
      </c>
      <c r="G65" s="5">
        <f>B65-regressions!AA$7</f>
        <v>-6.8198186490943593</v>
      </c>
      <c r="H65" s="5">
        <f>B65+regressions!AA$7</f>
        <v>0.62275853183555085</v>
      </c>
      <c r="I65">
        <f>IF($A65&lt;=regressionsbasenl!$L$2,$A65*regressionsbasenl!$L$1,regressionsbasenl!$L$1*regressionsbasenl!$L$2+regressionsbasenl!$L$3*($A65-regressionsbasenl!$L$2))</f>
        <v>-3.756309447402244</v>
      </c>
      <c r="J65">
        <f>regressionsbasenl!$J$1*A65+regressionsbasenl!$J$2*A65^2</f>
        <v>-3.6101273969895793</v>
      </c>
      <c r="K65">
        <f>regressionsbasenl!$V$1*A65</f>
        <v>-3.7563094474022489</v>
      </c>
      <c r="L65">
        <f>regressionsbasenl!$N$1*A65^2</f>
        <v>-3.062436515885425</v>
      </c>
      <c r="M65">
        <f>regressionsbasenl!$R$1*A65^2+regressionsbasenl!$R$2*A65^6</f>
        <v>-2.1212900808141524</v>
      </c>
      <c r="N65">
        <f>regressionsbasenl!$P$1*A65^2+regressionsbasenl!$P$2*A65^7</f>
        <v>-3.1945048278462163</v>
      </c>
      <c r="O65">
        <f>regressionsbasenl!$T$2+regressionsbasenl!$T$1*EXP(A65)</f>
        <v>-0.25322994634646556</v>
      </c>
      <c r="P65" s="20">
        <f>(1-EXP(-2*regressionsbasenl!X$1*graphbasenl!A65))/2/EXP(-regressionsbasenl!X$1*A65)</f>
        <v>-2.5170431186821545</v>
      </c>
      <c r="AT65" s="33"/>
      <c r="AW65" s="33"/>
      <c r="AZ65" s="33"/>
    </row>
    <row r="66" spans="1:52" x14ac:dyDescent="0.35">
      <c r="A66">
        <f t="shared" si="3"/>
        <v>4.3000000000000007</v>
      </c>
      <c r="B66">
        <f t="shared" si="0"/>
        <v>-3.20867706934991</v>
      </c>
      <c r="C66">
        <f>regressionsbasenl!$AR$1*$A66</f>
        <v>4.6820494344325558</v>
      </c>
      <c r="D66">
        <f>regressionsbasenl!$AO$1*$A66</f>
        <v>6.6097210713783934</v>
      </c>
      <c r="E66">
        <f t="shared" si="1"/>
        <v>6.1554217995152012</v>
      </c>
      <c r="F66">
        <f t="shared" si="2"/>
        <v>-16.428119212106697</v>
      </c>
      <c r="G66" s="5">
        <f>B66-regressions!AA$7</f>
        <v>-6.9299656598148651</v>
      </c>
      <c r="H66" s="5">
        <f>B66+regressions!AA$7</f>
        <v>0.51261152111504504</v>
      </c>
      <c r="I66">
        <f>IF($A66&lt;=regressionsbasenl!$L$2,$A66*regressionsbasenl!$L$1,regressionsbasenl!$L$1*regressionsbasenl!$L$2+regressionsbasenl!$L$3*($A66-regressionsbasenl!$L$2))</f>
        <v>-3.8457453866261067</v>
      </c>
      <c r="J66">
        <f>regressionsbasenl!$J$1*A66+regressionsbasenl!$J$2*A66^2</f>
        <v>-3.7249307785094561</v>
      </c>
      <c r="K66">
        <f>regressionsbasenl!$V$1*A66</f>
        <v>-3.8457453866261115</v>
      </c>
      <c r="L66">
        <f>regressionsbasenl!$N$1*A66^2</f>
        <v>-3.2100029012880671</v>
      </c>
      <c r="M66">
        <f>regressionsbasenl!$R$1*A66^2+regressionsbasenl!$R$2*A66^6</f>
        <v>-2.2242722531994406</v>
      </c>
      <c r="N66">
        <f>regressionsbasenl!$P$1*A66^2+regressionsbasenl!$P$2*A66^7</f>
        <v>-3.3465373556230067</v>
      </c>
      <c r="O66">
        <f>regressionsbasenl!$T$2+regressionsbasenl!$T$1*EXP(A66)</f>
        <v>-0.2802678208115742</v>
      </c>
      <c r="P66" s="20">
        <f>(1-EXP(-2*regressionsbasenl!X$1*graphbasenl!A66))/2/EXP(-regressionsbasenl!X$1*A66)</f>
        <v>-2.6256520319480301</v>
      </c>
      <c r="Q66" s="5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O66" s="1"/>
      <c r="AP66" s="1"/>
      <c r="AT66" s="33"/>
      <c r="AW66" s="33"/>
      <c r="AZ66" s="33"/>
    </row>
    <row r="67" spans="1:52" x14ac:dyDescent="0.35">
      <c r="A67">
        <f t="shared" si="3"/>
        <v>4.4000000000000004</v>
      </c>
      <c r="B67">
        <f t="shared" si="0"/>
        <v>-3.3206727144528481</v>
      </c>
      <c r="C67">
        <f>regressionsbasenl!$AR$1*$A67</f>
        <v>4.7909343050007545</v>
      </c>
      <c r="D67">
        <f>regressionsbasenl!$AO$1*$A67</f>
        <v>6.7634355148988208</v>
      </c>
      <c r="E67">
        <f t="shared" si="1"/>
        <v>6.2611958955486609</v>
      </c>
      <c r="F67">
        <f t="shared" si="2"/>
        <v>-16.847543744250491</v>
      </c>
      <c r="G67" s="5">
        <f>B67-regressions!AA$7</f>
        <v>-7.0419613049178036</v>
      </c>
      <c r="H67" s="5">
        <f>B67+regressions!AA$7</f>
        <v>0.40061587601210702</v>
      </c>
      <c r="I67">
        <f>IF($A67&lt;=regressionsbasenl!$L$2,$A67*regressionsbasenl!$L$1,regressionsbasenl!$L$1*regressionsbasenl!$L$2+regressionsbasenl!$L$3*($A67-regressionsbasenl!$L$2))</f>
        <v>-3.9351813258499693</v>
      </c>
      <c r="J67">
        <f>regressionsbasenl!$J$1*A67+regressionsbasenl!$J$2*A67^2</f>
        <v>-3.8410759259505345</v>
      </c>
      <c r="K67">
        <f>regressionsbasenl!$V$1*A67</f>
        <v>-3.9351813258499746</v>
      </c>
      <c r="L67">
        <f>regressionsbasenl!$N$1*A67^2</f>
        <v>-3.3610414369354769</v>
      </c>
      <c r="M67">
        <f>regressionsbasenl!$R$1*A67^2+regressionsbasenl!$R$2*A67^6</f>
        <v>-2.3297895210015929</v>
      </c>
      <c r="N67">
        <f>regressionsbasenl!$P$1*A67^2+regressionsbasenl!$P$2*A67^7</f>
        <v>-3.5018195012579003</v>
      </c>
      <c r="O67">
        <f>regressionsbasenl!$T$2+regressionsbasenl!$T$1*EXP(A67)</f>
        <v>-0.31014929335699243</v>
      </c>
      <c r="P67" s="20">
        <f>(1-EXP(-2*regressionsbasenl!X$1*graphbasenl!A67))/2/EXP(-regressionsbasenl!X$1*A67)</f>
        <v>-2.7383312345986077</v>
      </c>
      <c r="AT67" s="33"/>
      <c r="AW67" s="33"/>
      <c r="AZ67" s="33"/>
    </row>
    <row r="68" spans="1:52" x14ac:dyDescent="0.35">
      <c r="A68">
        <f t="shared" si="3"/>
        <v>4.5</v>
      </c>
      <c r="B68">
        <f t="shared" ref="B68:B131" si="4">SUMPRODUCT(I$2:P$2,I68:P68)</f>
        <v>-3.4345314173932433</v>
      </c>
      <c r="C68">
        <f>regressionsbasenl!$AR$1*$A68</f>
        <v>4.8998191755689531</v>
      </c>
      <c r="D68">
        <f>regressionsbasenl!$AO$1*$A68</f>
        <v>6.9171499584192482</v>
      </c>
      <c r="E68">
        <f t="shared" si="1"/>
        <v>6.3651069337446629</v>
      </c>
      <c r="F68">
        <f t="shared" si="2"/>
        <v>-17.268831334231741</v>
      </c>
      <c r="G68" s="5">
        <f>B68-regressions!AA$7</f>
        <v>-7.1558200078581979</v>
      </c>
      <c r="H68" s="5">
        <f>B68+regressions!AA$7</f>
        <v>0.28675717307171178</v>
      </c>
      <c r="I68">
        <f>IF($A68&lt;=regressionsbasenl!$L$2,$A68*regressionsbasenl!$L$1,regressionsbasenl!$L$1*regressionsbasenl!$L$2+regressionsbasenl!$L$3*($A68-regressionsbasenl!$L$2))</f>
        <v>-4.0246172650738314</v>
      </c>
      <c r="J68">
        <f>regressionsbasenl!$J$1*A68+regressionsbasenl!$J$2*A68^2</f>
        <v>-3.9585628393128145</v>
      </c>
      <c r="K68">
        <f>regressionsbasenl!$V$1*A68</f>
        <v>-4.0246172650738368</v>
      </c>
      <c r="L68">
        <f>regressionsbasenl!$N$1*A68^2</f>
        <v>-3.5155521228276547</v>
      </c>
      <c r="M68">
        <f>regressionsbasenl!$R$1*A68^2+regressionsbasenl!$R$2*A68^6</f>
        <v>-2.4378552108525122</v>
      </c>
      <c r="N68">
        <f>regressionsbasenl!$P$1*A68^2+regressionsbasenl!$P$2*A68^7</f>
        <v>-3.6603039317861192</v>
      </c>
      <c r="O68">
        <f>regressionsbasenl!$T$2+regressionsbasenl!$T$1*EXP(A68)</f>
        <v>-0.34317342780346449</v>
      </c>
      <c r="P68" s="20">
        <f>(1-EXP(-2*regressionsbasenl!X$1*graphbasenl!A68))/2/EXP(-regressionsbasenl!X$1*A68)</f>
        <v>-2.8552554020885368</v>
      </c>
      <c r="AT68" s="33"/>
      <c r="AW68" s="33"/>
      <c r="AZ68" s="33"/>
    </row>
    <row r="69" spans="1:52" x14ac:dyDescent="0.35">
      <c r="A69">
        <f t="shared" si="3"/>
        <v>4.5999999999999996</v>
      </c>
      <c r="B69">
        <f t="shared" si="4"/>
        <v>-3.5502680085790668</v>
      </c>
      <c r="C69">
        <f>regressionsbasenl!$AR$1*$A69</f>
        <v>5.0087040461371517</v>
      </c>
      <c r="D69">
        <f>regressionsbasenl!$AO$1*$A69</f>
        <v>7.0708644019396756</v>
      </c>
      <c r="E69">
        <f t="shared" si="1"/>
        <v>6.4671400836952362</v>
      </c>
      <c r="F69">
        <f t="shared" si="2"/>
        <v>-17.691996812458417</v>
      </c>
      <c r="G69" s="5">
        <f>B69-regressions!AA$7</f>
        <v>-7.2715565990440219</v>
      </c>
      <c r="H69" s="5">
        <f>B69+regressions!AA$7</f>
        <v>0.17102058188588831</v>
      </c>
      <c r="I69">
        <f>IF($A69&lt;=regressionsbasenl!$L$2,$A69*regressionsbasenl!$L$1,regressionsbasenl!$L$1*regressionsbasenl!$L$2+regressionsbasenl!$L$3*($A69-regressionsbasenl!$L$2))</f>
        <v>-4.1140532042976945</v>
      </c>
      <c r="J69">
        <f>regressionsbasenl!$J$1*A69+regressionsbasenl!$J$2*A69^2</f>
        <v>-4.077391518596297</v>
      </c>
      <c r="K69">
        <f>regressionsbasenl!$V$1*A69</f>
        <v>-4.1140532042976998</v>
      </c>
      <c r="L69">
        <f>regressionsbasenl!$N$1*A69^2</f>
        <v>-3.6735349589646007</v>
      </c>
      <c r="M69">
        <f>regressionsbasenl!$R$1*A69^2+regressionsbasenl!$R$2*A69^6</f>
        <v>-2.5484835895011075</v>
      </c>
      <c r="N69">
        <f>regressionsbasenl!$P$1*A69^2+regressionsbasenl!$P$2*A69^7</f>
        <v>-3.8219388112131232</v>
      </c>
      <c r="O69">
        <f>regressionsbasenl!$T$2+regressionsbasenl!$T$1*EXP(A69)</f>
        <v>-0.37967074078832569</v>
      </c>
      <c r="P69" s="20">
        <f>(1-EXP(-2*regressionsbasenl!X$1*graphbasenl!A69))/2/EXP(-regressionsbasenl!X$1*A69)</f>
        <v>-2.9766057904227847</v>
      </c>
      <c r="Q69" s="5"/>
      <c r="AE69" s="58"/>
      <c r="AO69" s="1"/>
      <c r="AP69" s="1"/>
      <c r="AT69" s="33"/>
      <c r="AW69" s="33"/>
      <c r="AZ69" s="33"/>
    </row>
    <row r="70" spans="1:52" x14ac:dyDescent="0.35">
      <c r="A70">
        <f t="shared" si="3"/>
        <v>4.6999999999999993</v>
      </c>
      <c r="B70">
        <f t="shared" si="4"/>
        <v>-3.6678977326317312</v>
      </c>
      <c r="C70">
        <f>regressionsbasenl!$AR$1*$A70</f>
        <v>5.1175889167053503</v>
      </c>
      <c r="D70">
        <f>regressionsbasenl!$AO$1*$A70</f>
        <v>7.2245788454601021</v>
      </c>
      <c r="E70">
        <f t="shared" si="1"/>
        <v>6.5672801007789694</v>
      </c>
      <c r="F70">
        <f t="shared" si="2"/>
        <v>-18.117055423551935</v>
      </c>
      <c r="G70" s="5">
        <f>B70-regressions!AA$7</f>
        <v>-7.3891863230966859</v>
      </c>
      <c r="H70" s="5">
        <f>B70+regressions!AA$7</f>
        <v>5.3390857833223837E-2</v>
      </c>
      <c r="I70">
        <f>IF($A70&lt;=regressionsbasenl!$L$2,$A70*regressionsbasenl!$L$1,regressionsbasenl!$L$1*regressionsbasenl!$L$2+regressionsbasenl!$L$3*($A70-regressionsbasenl!$L$2))</f>
        <v>-4.2034891435215567</v>
      </c>
      <c r="J70">
        <f>regressionsbasenl!$J$1*A70+regressionsbasenl!$J$2*A70^2</f>
        <v>-4.1975619638009807</v>
      </c>
      <c r="K70">
        <f>regressionsbasenl!$V$1*A70</f>
        <v>-4.2034891435215629</v>
      </c>
      <c r="L70">
        <f>regressionsbasenl!$N$1*A70^2</f>
        <v>-3.8349899453463143</v>
      </c>
      <c r="M70">
        <f>regressionsbasenl!$R$1*A70^2+regressionsbasenl!$R$2*A70^6</f>
        <v>-2.661689907024039</v>
      </c>
      <c r="N70">
        <f>regressionsbasenl!$P$1*A70^2+regressionsbasenl!$P$2*A70^7</f>
        <v>-3.986667486568459</v>
      </c>
      <c r="O70">
        <f>regressionsbasenl!$T$2+regressionsbasenl!$T$1*EXP(A70)</f>
        <v>-0.42000650968709902</v>
      </c>
      <c r="P70" s="20">
        <f>(1-EXP(-2*regressionsbasenl!X$1*graphbasenl!A70))/2/EXP(-regressionsbasenl!X$1*A70)</f>
        <v>-3.1025705171399514</v>
      </c>
      <c r="AT70" s="33"/>
      <c r="AW70" s="33"/>
      <c r="AZ70" s="33"/>
    </row>
    <row r="71" spans="1:52" x14ac:dyDescent="0.35">
      <c r="A71">
        <f t="shared" si="3"/>
        <v>4.7999999999999989</v>
      </c>
      <c r="B71">
        <f t="shared" si="4"/>
        <v>-3.7874362555635535</v>
      </c>
      <c r="C71">
        <f>regressionsbasenl!$AR$1*$A71</f>
        <v>5.2264737872735489</v>
      </c>
      <c r="D71">
        <f>regressionsbasenl!$AO$1*$A71</f>
        <v>7.3782932889805295</v>
      </c>
      <c r="E71">
        <f t="shared" si="1"/>
        <v>6.665511318983544</v>
      </c>
      <c r="F71">
        <f t="shared" si="2"/>
        <v>-18.544022833524611</v>
      </c>
      <c r="G71" s="5">
        <f>B71-regressions!AA$7</f>
        <v>-7.5087248460285085</v>
      </c>
      <c r="H71" s="5">
        <f>B71+regressions!AA$7</f>
        <v>-6.6147665098598374E-2</v>
      </c>
      <c r="I71">
        <f>IF($A71&lt;=regressionsbasenl!$L$2,$A71*regressionsbasenl!$L$1,regressionsbasenl!$L$1*regressionsbasenl!$L$2+regressionsbasenl!$L$3*($A71-regressionsbasenl!$L$2))</f>
        <v>-4.2929250827454197</v>
      </c>
      <c r="J71">
        <f>regressionsbasenl!$J$1*A71+regressionsbasenl!$J$2*A71^2</f>
        <v>-4.3190741749268664</v>
      </c>
      <c r="K71">
        <f>regressionsbasenl!$V$1*A71</f>
        <v>-4.2929250827454251</v>
      </c>
      <c r="L71">
        <f>regressionsbasenl!$N$1*A71^2</f>
        <v>-3.9999170819727965</v>
      </c>
      <c r="M71">
        <f>regressionsbasenl!$R$1*A71^2+regressionsbasenl!$R$2*A71^6</f>
        <v>-2.7774904410074965</v>
      </c>
      <c r="N71">
        <f>regressionsbasenl!$P$1*A71^2+regressionsbasenl!$P$2*A71^7</f>
        <v>-4.1544281596941293</v>
      </c>
      <c r="O71">
        <f>regressionsbasenl!$T$2+regressionsbasenl!$T$1*EXP(A71)</f>
        <v>-0.4645844284322434</v>
      </c>
      <c r="P71" s="20">
        <f>(1-EXP(-2*regressionsbasenl!X$1*graphbasenl!A71))/2/EXP(-regressionsbasenl!X$1*A71)</f>
        <v>-3.2333448529323303</v>
      </c>
      <c r="AT71" s="33"/>
      <c r="AW71" s="33"/>
      <c r="AZ71" s="33"/>
    </row>
    <row r="72" spans="1:52" x14ac:dyDescent="0.35">
      <c r="A72">
        <f t="shared" si="3"/>
        <v>4.8999999999999986</v>
      </c>
      <c r="B72">
        <f t="shared" si="4"/>
        <v>-3.9088996718872915</v>
      </c>
      <c r="C72">
        <f>regressionsbasenl!$AR$1*$A72</f>
        <v>5.3353586578417476</v>
      </c>
      <c r="D72">
        <f>regressionsbasenl!$AO$1*$A72</f>
        <v>7.5320077325009569</v>
      </c>
      <c r="E72">
        <f t="shared" ref="E72:E135" si="5">B72+2*C72</f>
        <v>6.7618176437962036</v>
      </c>
      <c r="F72">
        <f t="shared" ref="F72:F135" si="6">B72-2*D72</f>
        <v>-18.972915136889206</v>
      </c>
      <c r="G72" s="5">
        <f>B72-regressions!AA$7</f>
        <v>-7.630188262352247</v>
      </c>
      <c r="H72" s="5">
        <f>B72+regressions!AA$7</f>
        <v>-0.1876110814223364</v>
      </c>
      <c r="I72">
        <f>IF($A72&lt;=regressionsbasenl!$L$2,$A72*regressionsbasenl!$L$1,regressionsbasenl!$L$1*regressionsbasenl!$L$2+regressionsbasenl!$L$3*($A72-regressionsbasenl!$L$2))</f>
        <v>-4.3823610219692819</v>
      </c>
      <c r="J72">
        <f>regressionsbasenl!$J$1*A72+regressionsbasenl!$J$2*A72^2</f>
        <v>-4.4419281519739542</v>
      </c>
      <c r="K72">
        <f>regressionsbasenl!$V$1*A72</f>
        <v>-4.3823610219692881</v>
      </c>
      <c r="L72">
        <f>regressionsbasenl!$N$1*A72^2</f>
        <v>-4.1683163688440468</v>
      </c>
      <c r="M72">
        <f>regressionsbasenl!$R$1*A72^2+regressionsbasenl!$R$2*A72^6</f>
        <v>-2.8959025417000053</v>
      </c>
      <c r="N72">
        <f>regressionsbasenl!$P$1*A72^2+regressionsbasenl!$P$2*A72^7</f>
        <v>-4.3251535444504734</v>
      </c>
      <c r="O72">
        <f>regressionsbasenl!$T$2+regressionsbasenl!$T$1*EXP(A72)</f>
        <v>-0.51385064781771617</v>
      </c>
      <c r="P72" s="20">
        <f>(1-EXP(-2*regressionsbasenl!X$1*graphbasenl!A72))/2/EXP(-regressionsbasenl!X$1*A72)</f>
        <v>-3.3691315243548083</v>
      </c>
      <c r="AT72" s="33"/>
      <c r="AW72" s="33"/>
      <c r="AZ72" s="33"/>
    </row>
    <row r="73" spans="1:52" x14ac:dyDescent="0.35">
      <c r="A73">
        <f t="shared" ref="A73:A136" si="7">0.1+A72</f>
        <v>4.9999999999999982</v>
      </c>
      <c r="B73">
        <f t="shared" si="4"/>
        <v>-4.032304511674818</v>
      </c>
      <c r="C73">
        <f>regressionsbasenl!$AR$1*$A73</f>
        <v>5.4442435284099462</v>
      </c>
      <c r="D73">
        <f>regressionsbasenl!$AO$1*$A73</f>
        <v>7.6857221760213843</v>
      </c>
      <c r="E73">
        <f t="shared" si="5"/>
        <v>6.8561825451450744</v>
      </c>
      <c r="F73">
        <f t="shared" si="6"/>
        <v>-19.403748863717588</v>
      </c>
      <c r="G73" s="5">
        <f>B73-regressions!AA$7</f>
        <v>-7.7535931021397726</v>
      </c>
      <c r="H73" s="5">
        <f>B73+regressions!AA$7</f>
        <v>-0.31101592120986288</v>
      </c>
      <c r="I73">
        <f>IF($A73&lt;=regressionsbasenl!$L$2,$A73*regressionsbasenl!$L$1,regressionsbasenl!$L$1*regressionsbasenl!$L$2+regressionsbasenl!$L$3*($A73-regressionsbasenl!$L$2))</f>
        <v>-4.471796961193145</v>
      </c>
      <c r="J73">
        <f>regressionsbasenl!$J$1*A73+regressionsbasenl!$J$2*A73^2</f>
        <v>-4.5661238949422431</v>
      </c>
      <c r="K73">
        <f>regressionsbasenl!$V$1*A73</f>
        <v>-4.4717969611931512</v>
      </c>
      <c r="L73">
        <f>regressionsbasenl!$N$1*A73^2</f>
        <v>-4.3401878059600643</v>
      </c>
      <c r="M73">
        <f>regressionsbasenl!$R$1*A73^2+regressionsbasenl!$R$2*A73^6</f>
        <v>-3.0169446781362561</v>
      </c>
      <c r="N73">
        <f>regressionsbasenl!$P$1*A73^2+regressionsbasenl!$P$2*A73^7</f>
        <v>-4.4987705090225498</v>
      </c>
      <c r="O73">
        <f>regressionsbasenl!$T$2+regressionsbasenl!$T$1*EXP(A73)</f>
        <v>-0.56829824072607549</v>
      </c>
      <c r="P73" s="20">
        <f>(1-EXP(-2*regressionsbasenl!X$1*graphbasenl!A73))/2/EXP(-regressionsbasenl!X$1*A73)</f>
        <v>-3.5101410280918475</v>
      </c>
      <c r="Q73" s="5"/>
      <c r="Y73" s="51"/>
      <c r="Z73" s="51"/>
      <c r="AA73" s="51"/>
      <c r="AO73" s="1"/>
      <c r="AP73" s="1"/>
      <c r="AT73" s="33"/>
      <c r="AW73" s="33"/>
      <c r="AZ73" s="33"/>
    </row>
    <row r="74" spans="1:52" x14ac:dyDescent="0.35">
      <c r="A74">
        <f t="shared" si="7"/>
        <v>5.0999999999999979</v>
      </c>
      <c r="B74">
        <f t="shared" si="4"/>
        <v>-4.1576677475840933</v>
      </c>
      <c r="C74">
        <f>regressionsbasenl!$AR$1*$A74</f>
        <v>5.5531283989781448</v>
      </c>
      <c r="D74">
        <f>regressionsbasenl!$AO$1*$A74</f>
        <v>7.8394366195418108</v>
      </c>
      <c r="E74">
        <f t="shared" si="5"/>
        <v>6.9485890503721963</v>
      </c>
      <c r="F74">
        <f t="shared" si="6"/>
        <v>-19.836540986667714</v>
      </c>
      <c r="G74" s="5">
        <f>B74-regressions!AA$7</f>
        <v>-7.8789563380490488</v>
      </c>
      <c r="H74" s="5">
        <f>B74+regressions!AA$7</f>
        <v>-0.43637915711913822</v>
      </c>
      <c r="I74">
        <f>IF($A74&lt;=regressionsbasenl!$L$2,$A74*regressionsbasenl!$L$1,regressionsbasenl!$L$1*regressionsbasenl!$L$2+regressionsbasenl!$L$3*($A74-regressionsbasenl!$L$2))</f>
        <v>-4.5612329004170071</v>
      </c>
      <c r="J74">
        <f>regressionsbasenl!$J$1*A74+regressionsbasenl!$J$2*A74^2</f>
        <v>-4.6916614038317341</v>
      </c>
      <c r="K74">
        <f>regressionsbasenl!$V$1*A74</f>
        <v>-4.5612329004170133</v>
      </c>
      <c r="L74">
        <f>regressionsbasenl!$N$1*A74^2</f>
        <v>-4.5155313933208507</v>
      </c>
      <c r="M74">
        <f>regressionsbasenl!$R$1*A74^2+regressionsbasenl!$R$2*A74^6</f>
        <v>-3.1406364852319704</v>
      </c>
      <c r="N74">
        <f>regressionsbasenl!$P$1*A74^2+regressionsbasenl!$P$2*A74^7</f>
        <v>-4.6751997030100183</v>
      </c>
      <c r="O74">
        <f>regressionsbasenl!$T$2+regressionsbasenl!$T$1*EXP(A74)</f>
        <v>-0.62847213696761595</v>
      </c>
      <c r="P74" s="20">
        <f>(1-EXP(-2*regressionsbasenl!X$1*graphbasenl!A74))/2/EXP(-regressionsbasenl!X$1*A74)</f>
        <v>-3.6565919572697347</v>
      </c>
      <c r="AT74" s="33"/>
      <c r="AW74" s="33"/>
      <c r="AZ74" s="33"/>
    </row>
    <row r="75" spans="1:52" x14ac:dyDescent="0.35">
      <c r="A75">
        <f t="shared" si="7"/>
        <v>5.1999999999999975</v>
      </c>
      <c r="B75">
        <f t="shared" si="4"/>
        <v>-4.2850068018757499</v>
      </c>
      <c r="C75">
        <f>regressionsbasenl!$AR$1*$A75</f>
        <v>5.6620132695463425</v>
      </c>
      <c r="D75">
        <f>regressionsbasenl!$AO$1*$A75</f>
        <v>7.9931510630622382</v>
      </c>
      <c r="E75">
        <f t="shared" si="5"/>
        <v>7.0390197372169352</v>
      </c>
      <c r="F75">
        <f t="shared" si="6"/>
        <v>-20.271308928000227</v>
      </c>
      <c r="G75" s="5">
        <f>B75-regressions!AA$7</f>
        <v>-8.0062953923407054</v>
      </c>
      <c r="H75" s="5">
        <f>B75+regressions!AA$7</f>
        <v>-0.56371821141079481</v>
      </c>
      <c r="I75">
        <f>IF($A75&lt;=regressionsbasenl!$L$2,$A75*regressionsbasenl!$L$1,regressionsbasenl!$L$1*regressionsbasenl!$L$2+regressionsbasenl!$L$3*($A75-regressionsbasenl!$L$2))</f>
        <v>-4.6506688396408702</v>
      </c>
      <c r="J75">
        <f>regressionsbasenl!$J$1*A75+regressionsbasenl!$J$2*A75^2</f>
        <v>-4.8185406786424272</v>
      </c>
      <c r="K75">
        <f>regressionsbasenl!$V$1*A75</f>
        <v>-4.6506688396408764</v>
      </c>
      <c r="L75">
        <f>regressionsbasenl!$N$1*A75^2</f>
        <v>-4.6943471309264044</v>
      </c>
      <c r="M75">
        <f>regressionsbasenl!$R$1*A75^2+regressionsbasenl!$R$2*A75^6</f>
        <v>-3.2669988118497866</v>
      </c>
      <c r="N75">
        <f>regressionsbasenl!$P$1*A75^2+regressionsbasenl!$P$2*A75^7</f>
        <v>-4.854355168983493</v>
      </c>
      <c r="O75">
        <f>regressionsbasenl!$T$2+regressionsbasenl!$T$1*EXP(A75)</f>
        <v>-0.69497457712106803</v>
      </c>
      <c r="P75" s="20">
        <f>(1-EXP(-2*regressionsbasenl!X$1*graphbasenl!A75))/2/EXP(-regressionsbasenl!X$1*A75)</f>
        <v>-3.8087113403199422</v>
      </c>
      <c r="Q75" s="5"/>
      <c r="AE75" s="58"/>
      <c r="AF75" s="58"/>
      <c r="AO75" s="1"/>
      <c r="AP75" s="1"/>
      <c r="AT75" s="33"/>
      <c r="AW75" s="33"/>
      <c r="AZ75" s="33"/>
    </row>
    <row r="76" spans="1:52" x14ac:dyDescent="0.35">
      <c r="A76">
        <f t="shared" si="7"/>
        <v>5.2999999999999972</v>
      </c>
      <c r="B76">
        <f t="shared" si="4"/>
        <v>-4.4143395534429564</v>
      </c>
      <c r="C76">
        <f>regressionsbasenl!$AR$1*$A76</f>
        <v>5.7708981401145412</v>
      </c>
      <c r="D76">
        <f>regressionsbasenl!$AO$1*$A76</f>
        <v>8.1468655065826656</v>
      </c>
      <c r="E76">
        <f t="shared" si="5"/>
        <v>7.127456726786126</v>
      </c>
      <c r="F76">
        <f t="shared" si="6"/>
        <v>-20.708070566608288</v>
      </c>
      <c r="G76" s="5">
        <f>B76-regressions!AA$7</f>
        <v>-8.1356281439079119</v>
      </c>
      <c r="H76" s="5">
        <f>B76+regressions!AA$7</f>
        <v>-0.69305096297800128</v>
      </c>
      <c r="I76">
        <f>IF($A76&lt;=regressionsbasenl!$L$2,$A76*regressionsbasenl!$L$1,regressionsbasenl!$L$1*regressionsbasenl!$L$2+regressionsbasenl!$L$3*($A76-regressionsbasenl!$L$2))</f>
        <v>-4.7401047788647324</v>
      </c>
      <c r="J76">
        <f>regressionsbasenl!$J$1*A76+regressionsbasenl!$J$2*A76^2</f>
        <v>-4.9467617193743223</v>
      </c>
      <c r="K76">
        <f>regressionsbasenl!$V$1*A76</f>
        <v>-4.7401047788647386</v>
      </c>
      <c r="L76">
        <f>regressionsbasenl!$N$1*A76^2</f>
        <v>-4.8766350187767271</v>
      </c>
      <c r="M76">
        <f>regressionsbasenl!$R$1*A76^2+regressionsbasenl!$R$2*A76^6</f>
        <v>-3.3960537698361772</v>
      </c>
      <c r="N76">
        <f>regressionsbasenl!$P$1*A76^2+regressionsbasenl!$P$2*A76^7</f>
        <v>-5.0361439381903672</v>
      </c>
      <c r="O76">
        <f>regressionsbasenl!$T$2+regressionsbasenl!$T$1*EXP(A76)</f>
        <v>-0.76847113995972949</v>
      </c>
      <c r="P76" s="20">
        <f>(1-EXP(-2*regressionsbasenl!X$1*graphbasenl!A76))/2/EXP(-regressionsbasenl!X$1*A76)</f>
        <v>-3.9667349929189237</v>
      </c>
      <c r="AT76" s="33"/>
      <c r="AW76" s="33"/>
      <c r="AZ76" s="33"/>
    </row>
    <row r="77" spans="1:52" x14ac:dyDescent="0.35">
      <c r="A77">
        <f t="shared" si="7"/>
        <v>5.3999999999999968</v>
      </c>
      <c r="B77">
        <f t="shared" si="4"/>
        <v>-4.5456843448806588</v>
      </c>
      <c r="C77">
        <f>regressionsbasenl!$AR$1*$A77</f>
        <v>5.8797830106827398</v>
      </c>
      <c r="D77">
        <f>regressionsbasenl!$AO$1*$A77</f>
        <v>8.3005799501030921</v>
      </c>
      <c r="E77">
        <f t="shared" si="5"/>
        <v>7.2138816764848208</v>
      </c>
      <c r="F77">
        <f t="shared" si="6"/>
        <v>-21.146844245086843</v>
      </c>
      <c r="G77" s="5">
        <f>B77-regressions!AA$7</f>
        <v>-8.2669729353456134</v>
      </c>
      <c r="H77" s="5">
        <f>B77+regressions!AA$7</f>
        <v>-0.82439575441570367</v>
      </c>
      <c r="I77">
        <f>IF($A77&lt;=regressionsbasenl!$L$2,$A77*regressionsbasenl!$L$1,regressionsbasenl!$L$1*regressionsbasenl!$L$2+regressionsbasenl!$L$3*($A77-regressionsbasenl!$L$2))</f>
        <v>-4.8295407180885954</v>
      </c>
      <c r="J77">
        <f>regressionsbasenl!$J$1*A77+regressionsbasenl!$J$2*A77^2</f>
        <v>-5.0763245260274186</v>
      </c>
      <c r="K77">
        <f>regressionsbasenl!$V$1*A77</f>
        <v>-4.8295407180886016</v>
      </c>
      <c r="L77">
        <f>regressionsbasenl!$N$1*A77^2</f>
        <v>-5.062395056871817</v>
      </c>
      <c r="M77">
        <f>regressionsbasenl!$R$1*A77^2+regressionsbasenl!$R$2*A77^6</f>
        <v>-3.5278247840293955</v>
      </c>
      <c r="N77">
        <f>regressionsbasenl!$P$1*A77^2+regressionsbasenl!$P$2*A77^7</f>
        <v>-5.2204656100931048</v>
      </c>
      <c r="O77">
        <f>regressionsbasenl!$T$2+regressionsbasenl!$T$1*EXP(A77)</f>
        <v>-0.84969740378753733</v>
      </c>
      <c r="P77" s="20">
        <f>(1-EXP(-2*regressionsbasenl!X$1*graphbasenl!A77))/2/EXP(-regressionsbasenl!X$1*A77)</f>
        <v>-4.130907883549888</v>
      </c>
      <c r="Q77" s="1"/>
      <c r="AB77" s="59"/>
      <c r="AO77" s="1"/>
      <c r="AP77" s="1"/>
      <c r="AT77" s="33"/>
      <c r="AW77" s="33"/>
      <c r="AZ77" s="33"/>
    </row>
    <row r="78" spans="1:52" x14ac:dyDescent="0.35">
      <c r="A78">
        <f t="shared" si="7"/>
        <v>5.4999999999999964</v>
      </c>
      <c r="B78">
        <f t="shared" si="4"/>
        <v>-4.6790599896229281</v>
      </c>
      <c r="C78">
        <f>regressionsbasenl!$AR$1*$A78</f>
        <v>5.9886678812509384</v>
      </c>
      <c r="D78">
        <f>regressionsbasenl!$AO$1*$A78</f>
        <v>8.4542943936235204</v>
      </c>
      <c r="E78">
        <f t="shared" si="5"/>
        <v>7.2982757728789487</v>
      </c>
      <c r="F78">
        <f t="shared" si="6"/>
        <v>-21.587648776869969</v>
      </c>
      <c r="G78" s="5">
        <f>B78-regressions!AA$7</f>
        <v>-8.4003485800878828</v>
      </c>
      <c r="H78" s="5">
        <f>B78+regressions!AA$7</f>
        <v>-0.95777139915797305</v>
      </c>
      <c r="I78">
        <f>IF($A78&lt;=regressionsbasenl!$L$2,$A78*regressionsbasenl!$L$1,regressionsbasenl!$L$1*regressionsbasenl!$L$2+regressionsbasenl!$L$3*($A78-regressionsbasenl!$L$2))</f>
        <v>-4.9189766573124576</v>
      </c>
      <c r="J78">
        <f>regressionsbasenl!$J$1*A78+regressionsbasenl!$J$2*A78^2</f>
        <v>-5.2072290986017169</v>
      </c>
      <c r="K78">
        <f>regressionsbasenl!$V$1*A78</f>
        <v>-4.9189766573124647</v>
      </c>
      <c r="L78">
        <f>regressionsbasenl!$N$1*A78^2</f>
        <v>-5.251627245211675</v>
      </c>
      <c r="M78">
        <f>regressionsbasenl!$R$1*A78^2+regressionsbasenl!$R$2*A78^6</f>
        <v>-3.6623366432384494</v>
      </c>
      <c r="N78">
        <f>regressionsbasenl!$P$1*A78^2+regressionsbasenl!$P$2*A78^7</f>
        <v>-5.4072119154229803</v>
      </c>
      <c r="O78">
        <f>regressionsbasenl!$T$2+regressionsbasenl!$T$1*EXP(A78)</f>
        <v>-0.9394663083539706</v>
      </c>
      <c r="P78" s="20">
        <f>(1-EXP(-2*regressionsbasenl!X$1*graphbasenl!A78))/2/EXP(-regressionsbasenl!X$1*A78)</f>
        <v>-4.3014845132532873</v>
      </c>
      <c r="AK78" s="1"/>
      <c r="AL78" s="1"/>
      <c r="AT78" s="33"/>
      <c r="AW78" s="33"/>
      <c r="AZ78" s="33"/>
    </row>
    <row r="79" spans="1:52" x14ac:dyDescent="0.35">
      <c r="A79">
        <f t="shared" si="7"/>
        <v>5.5999999999999961</v>
      </c>
      <c r="B79">
        <f t="shared" si="4"/>
        <v>-4.8144857791798357</v>
      </c>
      <c r="C79">
        <f>regressionsbasenl!$AR$1*$A79</f>
        <v>6.097552751819137</v>
      </c>
      <c r="D79">
        <f>regressionsbasenl!$AO$1*$A79</f>
        <v>8.6080088371439469</v>
      </c>
      <c r="E79">
        <f t="shared" si="5"/>
        <v>7.3806197244584384</v>
      </c>
      <c r="F79">
        <f t="shared" si="6"/>
        <v>-22.03050345346773</v>
      </c>
      <c r="G79" s="5">
        <f>B79-regressions!AA$7</f>
        <v>-8.5357743696447912</v>
      </c>
      <c r="H79" s="5">
        <f>B79+regressions!AA$7</f>
        <v>-1.0931971887148806</v>
      </c>
      <c r="I79">
        <f>IF($A79&lt;=regressionsbasenl!$L$2,$A79*regressionsbasenl!$L$1,regressionsbasenl!$L$1*regressionsbasenl!$L$2+regressionsbasenl!$L$3*($A79-regressionsbasenl!$L$2))</f>
        <v>-5.0084125965363206</v>
      </c>
      <c r="J79">
        <f>regressionsbasenl!$J$1*A79+regressionsbasenl!$J$2*A79^2</f>
        <v>-5.3394754370972173</v>
      </c>
      <c r="K79">
        <f>regressionsbasenl!$V$1*A79</f>
        <v>-5.0084125965363269</v>
      </c>
      <c r="L79">
        <f>regressionsbasenl!$N$1*A79^2</f>
        <v>-5.4443315837963011</v>
      </c>
      <c r="M79">
        <f>regressionsbasenl!$R$1*A79^2+regressionsbasenl!$R$2*A79^6</f>
        <v>-3.7996155521931003</v>
      </c>
      <c r="N79">
        <f>regressionsbasenl!$P$1*A79^2+regressionsbasenl!$P$2*A79^7</f>
        <v>-5.5962662624322457</v>
      </c>
      <c r="O79">
        <f>regressionsbasenl!$T$2+regressionsbasenl!$T$1*EXP(A79)</f>
        <v>-1.0386762910283007</v>
      </c>
      <c r="P79" s="20">
        <f>(1-EXP(-2*regressionsbasenl!X$1*graphbasenl!A79))/2/EXP(-regressionsbasenl!X$1*A79)</f>
        <v>-4.4787293101546712</v>
      </c>
      <c r="AT79" s="33"/>
      <c r="AW79" s="33"/>
      <c r="AZ79" s="33"/>
    </row>
    <row r="80" spans="1:52" x14ac:dyDescent="0.35">
      <c r="A80">
        <f t="shared" si="7"/>
        <v>5.6999999999999957</v>
      </c>
      <c r="B80">
        <f t="shared" si="4"/>
        <v>-4.9519814905082837</v>
      </c>
      <c r="C80">
        <f>regressionsbasenl!$AR$1*$A80</f>
        <v>6.2064376223873357</v>
      </c>
      <c r="D80">
        <f>regressionsbasenl!$AO$1*$A80</f>
        <v>8.7617232806643734</v>
      </c>
      <c r="E80">
        <f t="shared" si="5"/>
        <v>7.4608937542663876</v>
      </c>
      <c r="F80">
        <f t="shared" si="6"/>
        <v>-22.475428051837032</v>
      </c>
      <c r="G80" s="5">
        <f>B80-regressions!AA$7</f>
        <v>-8.6732700809732393</v>
      </c>
      <c r="H80" s="5">
        <f>B80+regressions!AA$7</f>
        <v>-1.2306929000433287</v>
      </c>
      <c r="I80">
        <f>IF($A80&lt;=regressionsbasenl!$L$2,$A80*regressionsbasenl!$L$1,regressionsbasenl!$L$1*regressionsbasenl!$L$2+regressionsbasenl!$L$3*($A80-regressionsbasenl!$L$2))</f>
        <v>-5.0978485357601828</v>
      </c>
      <c r="J80">
        <f>regressionsbasenl!$J$1*A80+regressionsbasenl!$J$2*A80^2</f>
        <v>-5.4730635415139197</v>
      </c>
      <c r="K80">
        <f>regressionsbasenl!$V$1*A80</f>
        <v>-5.0978485357601899</v>
      </c>
      <c r="L80">
        <f>regressionsbasenl!$N$1*A80^2</f>
        <v>-5.6405080726256953</v>
      </c>
      <c r="M80">
        <f>regressionsbasenl!$R$1*A80^2+regressionsbasenl!$R$2*A80^6</f>
        <v>-3.9396891844648949</v>
      </c>
      <c r="N80">
        <f>regressionsbasenl!$P$1*A80^2+regressionsbasenl!$P$2*A80^7</f>
        <v>-5.787503266027743</v>
      </c>
      <c r="O80">
        <f>regressionsbasenl!$T$2+regressionsbasenl!$T$1*EXP(A80)</f>
        <v>-1.1483202786627593</v>
      </c>
      <c r="P80" s="20">
        <f>(1-EXP(-2*regressionsbasenl!X$1*graphbasenl!A80))/2/EXP(-regressionsbasenl!X$1*A80)</f>
        <v>-4.6629170393815391</v>
      </c>
      <c r="AT80" s="33"/>
      <c r="AW80" s="33"/>
      <c r="AZ80" s="33"/>
    </row>
    <row r="81" spans="1:52" x14ac:dyDescent="0.35">
      <c r="A81">
        <f t="shared" si="7"/>
        <v>5.7999999999999954</v>
      </c>
      <c r="B81">
        <f t="shared" si="4"/>
        <v>-5.0915673935542403</v>
      </c>
      <c r="C81">
        <f>regressionsbasenl!$AR$1*$A81</f>
        <v>6.3153224929555343</v>
      </c>
      <c r="D81">
        <f>regressionsbasenl!$AO$1*$A81</f>
        <v>8.9154377241848017</v>
      </c>
      <c r="E81">
        <f t="shared" si="5"/>
        <v>7.5390775923568283</v>
      </c>
      <c r="F81">
        <f t="shared" si="6"/>
        <v>-22.922442841923843</v>
      </c>
      <c r="G81" s="5">
        <f>B81-regressions!AA$7</f>
        <v>-8.8128559840191958</v>
      </c>
      <c r="H81" s="5">
        <f>B81+regressions!AA$7</f>
        <v>-1.3702788030892852</v>
      </c>
      <c r="I81">
        <f>IF($A81&lt;=regressionsbasenl!$L$2,$A81*regressionsbasenl!$L$1,regressionsbasenl!$L$1*regressionsbasenl!$L$2+regressionsbasenl!$L$3*($A81-regressionsbasenl!$L$2))</f>
        <v>-5.1872844749840459</v>
      </c>
      <c r="J81">
        <f>regressionsbasenl!$J$1*A81+regressionsbasenl!$J$2*A81^2</f>
        <v>-5.6079934118518224</v>
      </c>
      <c r="K81">
        <f>regressionsbasenl!$V$1*A81</f>
        <v>-5.187284474984053</v>
      </c>
      <c r="L81">
        <f>regressionsbasenl!$N$1*A81^2</f>
        <v>-5.8401567116998576</v>
      </c>
      <c r="M81">
        <f>regressionsbasenl!$R$1*A81^2+regressionsbasenl!$R$2*A81^6</f>
        <v>-4.0825867363592216</v>
      </c>
      <c r="N81">
        <f>regressionsbasenl!$P$1*A81^2+regressionsbasenl!$P$2*A81^7</f>
        <v>-5.9807882594689179</v>
      </c>
      <c r="O81">
        <f>regressionsbasenl!$T$2+regressionsbasenl!$T$1*EXP(A81)</f>
        <v>-1.2694956251382088</v>
      </c>
      <c r="P81" s="20">
        <f>(1-EXP(-2*regressionsbasenl!X$1*graphbasenl!A81))/2/EXP(-regressionsbasenl!X$1*A81)</f>
        <v>-4.8543332290046095</v>
      </c>
      <c r="AT81" s="33"/>
      <c r="AW81" s="33"/>
      <c r="AZ81" s="33"/>
    </row>
    <row r="82" spans="1:52" x14ac:dyDescent="0.35">
      <c r="A82">
        <f t="shared" si="7"/>
        <v>5.899999999999995</v>
      </c>
      <c r="B82">
        <f t="shared" si="4"/>
        <v>-5.2332642590071572</v>
      </c>
      <c r="C82">
        <f>regressionsbasenl!$AR$1*$A82</f>
        <v>6.4242073635237329</v>
      </c>
      <c r="D82">
        <f>regressionsbasenl!$AO$1*$A82</f>
        <v>9.0691521677052283</v>
      </c>
      <c r="E82">
        <f t="shared" si="5"/>
        <v>7.6151504680403086</v>
      </c>
      <c r="F82">
        <f t="shared" si="6"/>
        <v>-23.371568594417614</v>
      </c>
      <c r="G82" s="5">
        <f>B82-regressions!AA$7</f>
        <v>-8.9545528494721118</v>
      </c>
      <c r="H82" s="5">
        <f>B82+regressions!AA$7</f>
        <v>-1.5119756685422021</v>
      </c>
      <c r="I82">
        <f>IF($A82&lt;=regressionsbasenl!$L$2,$A82*regressionsbasenl!$L$1,regressionsbasenl!$L$1*regressionsbasenl!$L$2+regressionsbasenl!$L$3*($A82-regressionsbasenl!$L$2))</f>
        <v>-5.276720414207908</v>
      </c>
      <c r="J82">
        <f>regressionsbasenl!$J$1*A82+regressionsbasenl!$J$2*A82^2</f>
        <v>-5.744265048110929</v>
      </c>
      <c r="K82">
        <f>regressionsbasenl!$V$1*A82</f>
        <v>-5.2767204142079152</v>
      </c>
      <c r="L82">
        <f>regressionsbasenl!$N$1*A82^2</f>
        <v>-6.0432775010187871</v>
      </c>
      <c r="M82">
        <f>regressionsbasenl!$R$1*A82^2+regressionsbasenl!$R$2*A82^6</f>
        <v>-4.2283389817783963</v>
      </c>
      <c r="N82">
        <f>regressionsbasenl!$P$1*A82^2+regressionsbasenl!$P$2*A82^7</f>
        <v>-6.175976788313255</v>
      </c>
      <c r="O82">
        <f>regressionsbasenl!$T$2+regressionsbasenl!$T$1*EXP(A82)</f>
        <v>-1.4034150940506158</v>
      </c>
      <c r="P82" s="20">
        <f>(1-EXP(-2*regressionsbasenl!X$1*graphbasenl!A82))/2/EXP(-regressionsbasenl!X$1*A82)</f>
        <v>-5.0532746126638353</v>
      </c>
      <c r="AT82" s="33"/>
      <c r="AW82" s="33"/>
      <c r="AZ82" s="33"/>
    </row>
    <row r="83" spans="1:52" x14ac:dyDescent="0.35">
      <c r="A83">
        <f t="shared" si="7"/>
        <v>5.9999999999999947</v>
      </c>
      <c r="B83">
        <f t="shared" si="4"/>
        <v>-5.3770933663108487</v>
      </c>
      <c r="C83">
        <f>regressionsbasenl!$AR$1*$A83</f>
        <v>6.5330922340919315</v>
      </c>
      <c r="D83">
        <f>regressionsbasenl!$AO$1*$A83</f>
        <v>9.2228666112256565</v>
      </c>
      <c r="E83">
        <f t="shared" si="5"/>
        <v>7.6890911018730144</v>
      </c>
      <c r="F83">
        <f t="shared" si="6"/>
        <v>-23.822826588762162</v>
      </c>
      <c r="G83" s="5">
        <f>B83-regressions!AA$7</f>
        <v>-9.0983819567758033</v>
      </c>
      <c r="H83" s="5">
        <f>B83+regressions!AA$7</f>
        <v>-1.6558047758458936</v>
      </c>
      <c r="I83">
        <f>IF($A83&lt;=regressionsbasenl!$L$2,$A83*regressionsbasenl!$L$1,regressionsbasenl!$L$1*regressionsbasenl!$L$2+regressionsbasenl!$L$3*($A83-regressionsbasenl!$L$2))</f>
        <v>-5.3661563534317711</v>
      </c>
      <c r="J83">
        <f>regressionsbasenl!$J$1*A83+regressionsbasenl!$J$2*A83^2</f>
        <v>-5.8818784502912358</v>
      </c>
      <c r="K83">
        <f>regressionsbasenl!$V$1*A83</f>
        <v>-5.3661563534317782</v>
      </c>
      <c r="L83">
        <f>regressionsbasenl!$N$1*A83^2</f>
        <v>-6.2498704405824865</v>
      </c>
      <c r="M83">
        <f>regressionsbasenl!$R$1*A83^2+regressionsbasenl!$R$2*A83^6</f>
        <v>-4.3769783280557775</v>
      </c>
      <c r="N83">
        <f>regressionsbasenl!$P$1*A83^2+regressionsbasenl!$P$2*A83^7</f>
        <v>-6.3729140862920985</v>
      </c>
      <c r="O83">
        <f>regressionsbasenl!$T$2+regressionsbasenl!$T$1*EXP(A83)</f>
        <v>-1.5514189964567437</v>
      </c>
      <c r="P83" s="20">
        <f>(1-EXP(-2*regressionsbasenl!X$1*graphbasenl!A83))/2/EXP(-regressionsbasenl!X$1*A83)</f>
        <v>-5.2600495895652895</v>
      </c>
      <c r="Q83" s="1"/>
      <c r="Y83" s="50"/>
      <c r="Z83" s="50"/>
      <c r="AA83" s="50"/>
      <c r="AB83" s="60"/>
      <c r="AE83" s="5"/>
      <c r="AO83" s="1"/>
      <c r="AP83" s="1"/>
      <c r="AT83" s="33"/>
      <c r="AW83" s="33"/>
      <c r="AZ83" s="33"/>
    </row>
    <row r="84" spans="1:52" x14ac:dyDescent="0.35">
      <c r="A84">
        <f t="shared" si="7"/>
        <v>6.0999999999999943</v>
      </c>
      <c r="B84">
        <f t="shared" si="4"/>
        <v>-5.5230765119788146</v>
      </c>
      <c r="C84">
        <f>regressionsbasenl!$AR$1*$A84</f>
        <v>6.6419771046601301</v>
      </c>
      <c r="D84">
        <f>regressionsbasenl!$AO$1*$A84</f>
        <v>9.3765810547460831</v>
      </c>
      <c r="E84">
        <f t="shared" si="5"/>
        <v>7.7608776973414457</v>
      </c>
      <c r="F84">
        <f t="shared" si="6"/>
        <v>-24.276238621470981</v>
      </c>
      <c r="G84" s="5">
        <f>B84-regressions!AA$7</f>
        <v>-9.2443651024437692</v>
      </c>
      <c r="H84" s="5">
        <f>B84+regressions!AA$7</f>
        <v>-1.8017879215138595</v>
      </c>
      <c r="I84">
        <f>IF($A84&lt;=regressionsbasenl!$L$2,$A84*regressionsbasenl!$L$1,regressionsbasenl!$L$1*regressionsbasenl!$L$2+regressionsbasenl!$L$3*($A84-regressionsbasenl!$L$2))</f>
        <v>-5.4555922926556333</v>
      </c>
      <c r="J84">
        <f>regressionsbasenl!$J$1*A84+regressionsbasenl!$J$2*A84^2</f>
        <v>-6.0208336183927456</v>
      </c>
      <c r="K84">
        <f>regressionsbasenl!$V$1*A84</f>
        <v>-5.4555922926556413</v>
      </c>
      <c r="L84">
        <f>regressionsbasenl!$N$1*A84^2</f>
        <v>-6.4599355303909523</v>
      </c>
      <c r="M84">
        <f>regressionsbasenl!$R$1*A84^2+regressionsbasenl!$R$2*A84^6</f>
        <v>-4.5285388727609037</v>
      </c>
      <c r="N84">
        <f>regressionsbasenl!$P$1*A84^2+regressionsbasenl!$P$2*A84^7</f>
        <v>-6.5714345327998602</v>
      </c>
      <c r="O84">
        <f>regressionsbasenl!$T$2+regressionsbasenl!$T$1*EXP(A84)</f>
        <v>-1.7149886051577028</v>
      </c>
      <c r="P84" s="20">
        <f>(1-EXP(-2*regressionsbasenl!X$1*graphbasenl!A84))/2/EXP(-regressionsbasenl!X$1*A84)</f>
        <v>-5.4749787025620504</v>
      </c>
      <c r="AT84" s="33"/>
      <c r="AW84" s="33"/>
      <c r="AZ84" s="33"/>
    </row>
    <row r="85" spans="1:52" x14ac:dyDescent="0.35">
      <c r="A85">
        <f t="shared" si="7"/>
        <v>6.199999999999994</v>
      </c>
      <c r="B85">
        <f t="shared" si="4"/>
        <v>-5.6712360182659536</v>
      </c>
      <c r="C85">
        <f>regressionsbasenl!$AR$1*$A85</f>
        <v>6.7508619752283288</v>
      </c>
      <c r="D85">
        <f>regressionsbasenl!$AO$1*$A85</f>
        <v>9.5302954982665096</v>
      </c>
      <c r="E85">
        <f t="shared" si="5"/>
        <v>7.8304879321907039</v>
      </c>
      <c r="F85">
        <f t="shared" si="6"/>
        <v>-24.731827014798974</v>
      </c>
      <c r="G85" s="5">
        <f>B85-regressions!AA$7</f>
        <v>-9.3925246087309091</v>
      </c>
      <c r="H85" s="5">
        <f>B85+regressions!AA$7</f>
        <v>-1.9499474278009985</v>
      </c>
      <c r="I85">
        <f>IF($A85&lt;=regressionsbasenl!$L$2,$A85*regressionsbasenl!$L$1,regressionsbasenl!$L$1*regressionsbasenl!$L$2+regressionsbasenl!$L$3*($A85-regressionsbasenl!$L$2))</f>
        <v>-5.5450282318794963</v>
      </c>
      <c r="J85">
        <f>regressionsbasenl!$J$1*A85+regressionsbasenl!$J$2*A85^2</f>
        <v>-6.1611305524154574</v>
      </c>
      <c r="K85">
        <f>regressionsbasenl!$V$1*A85</f>
        <v>-5.5450282318795034</v>
      </c>
      <c r="L85">
        <f>regressionsbasenl!$N$1*A85^2</f>
        <v>-6.673472770444187</v>
      </c>
      <c r="M85">
        <f>regressionsbasenl!$R$1*A85^2+regressionsbasenl!$R$2*A85^6</f>
        <v>-4.6830564614756689</v>
      </c>
      <c r="N85">
        <f>regressionsbasenl!$P$1*A85^2+regressionsbasenl!$P$2*A85^7</f>
        <v>-6.771361091679613</v>
      </c>
      <c r="O85">
        <f>regressionsbasenl!$T$2+regressionsbasenl!$T$1*EXP(A85)</f>
        <v>-1.8957609797750159</v>
      </c>
      <c r="P85" s="20">
        <f>(1-EXP(-2*regressionsbasenl!X$1*graphbasenl!A85))/2/EXP(-regressionsbasenl!X$1*A85)</f>
        <v>-5.6983951350601636</v>
      </c>
      <c r="AT85" s="33"/>
      <c r="AW85" s="33"/>
      <c r="AZ85" s="33"/>
    </row>
    <row r="86" spans="1:52" x14ac:dyDescent="0.35">
      <c r="A86">
        <f t="shared" si="7"/>
        <v>6.2999999999999936</v>
      </c>
      <c r="B86">
        <f t="shared" si="4"/>
        <v>-5.8215947422528203</v>
      </c>
      <c r="C86">
        <f>regressionsbasenl!$AR$1*$A86</f>
        <v>6.8597468457965274</v>
      </c>
      <c r="D86">
        <f>regressionsbasenl!$AO$1*$A86</f>
        <v>9.6840099417869379</v>
      </c>
      <c r="E86">
        <f t="shared" si="5"/>
        <v>7.8978989493402345</v>
      </c>
      <c r="F86">
        <f t="shared" si="6"/>
        <v>-25.189614625826696</v>
      </c>
      <c r="G86" s="5">
        <f>B86-regressions!AA$7</f>
        <v>-9.5428833327177749</v>
      </c>
      <c r="H86" s="5">
        <f>B86+regressions!AA$7</f>
        <v>-2.1003061517878652</v>
      </c>
      <c r="I86">
        <f>IF($A86&lt;=regressionsbasenl!$L$2,$A86*regressionsbasenl!$L$1,regressionsbasenl!$L$1*regressionsbasenl!$L$2+regressionsbasenl!$L$3*($A86-regressionsbasenl!$L$2))</f>
        <v>-5.6344641711033585</v>
      </c>
      <c r="J86">
        <f>regressionsbasenl!$J$1*A86+regressionsbasenl!$J$2*A86^2</f>
        <v>-6.3027692523593704</v>
      </c>
      <c r="K86">
        <f>regressionsbasenl!$V$1*A86</f>
        <v>-5.6344641711033665</v>
      </c>
      <c r="L86">
        <f>regressionsbasenl!$N$1*A86^2</f>
        <v>-6.8904821607421898</v>
      </c>
      <c r="M86">
        <f>regressionsbasenl!$R$1*A86^2+regressionsbasenl!$R$2*A86^6</f>
        <v>-4.8405687465415168</v>
      </c>
      <c r="N86">
        <f>regressionsbasenl!$P$1*A86^2+regressionsbasenl!$P$2*A86^7</f>
        <v>-6.9725047309880317</v>
      </c>
      <c r="O86">
        <f>regressionsbasenl!$T$2+regressionsbasenl!$T$1*EXP(A86)</f>
        <v>-2.0955453509935471</v>
      </c>
      <c r="P86" s="20">
        <f>(1-EXP(-2*regressionsbasenl!X$1*graphbasenl!A86))/2/EXP(-regressionsbasenl!X$1*A86)</f>
        <v>-5.9306452275200163</v>
      </c>
      <c r="AT86" s="33"/>
      <c r="AW86" s="33"/>
      <c r="AZ86" s="33"/>
    </row>
    <row r="87" spans="1:52" x14ac:dyDescent="0.35">
      <c r="A87">
        <f t="shared" si="7"/>
        <v>6.3999999999999932</v>
      </c>
      <c r="B87">
        <f t="shared" si="4"/>
        <v>-5.974176085403113</v>
      </c>
      <c r="C87">
        <f>regressionsbasenl!$AR$1*$A87</f>
        <v>6.968631716364726</v>
      </c>
      <c r="D87">
        <f>regressionsbasenl!$AO$1*$A87</f>
        <v>9.8377243853073644</v>
      </c>
      <c r="E87">
        <f t="shared" si="5"/>
        <v>7.963087347326339</v>
      </c>
      <c r="F87">
        <f t="shared" si="6"/>
        <v>-25.649624856017841</v>
      </c>
      <c r="G87" s="5">
        <f>B87-regressions!AA$7</f>
        <v>-9.6954646758680685</v>
      </c>
      <c r="H87" s="5">
        <f>B87+regressions!AA$7</f>
        <v>-2.2528874949381579</v>
      </c>
      <c r="I87">
        <f>IF($A87&lt;=regressionsbasenl!$L$2,$A87*regressionsbasenl!$L$1,regressionsbasenl!$L$1*regressionsbasenl!$L$2+regressionsbasenl!$L$3*($A87-regressionsbasenl!$L$2))</f>
        <v>-5.7239001103272216</v>
      </c>
      <c r="J87">
        <f>regressionsbasenl!$J$1*A87+regressionsbasenl!$J$2*A87^2</f>
        <v>-6.4457497182244854</v>
      </c>
      <c r="K87">
        <f>regressionsbasenl!$V$1*A87</f>
        <v>-5.7239001103272287</v>
      </c>
      <c r="L87">
        <f>regressionsbasenl!$N$1*A87^2</f>
        <v>-7.1109637012849598</v>
      </c>
      <c r="M87">
        <f>regressionsbasenl!$R$1*A87^2+regressionsbasenl!$R$2*A87^6</f>
        <v>-5.0011152467776689</v>
      </c>
      <c r="N87">
        <f>regressionsbasenl!$P$1*A87^2+regressionsbasenl!$P$2*A87^7</f>
        <v>-7.1746638234227067</v>
      </c>
      <c r="O87">
        <f>regressionsbasenl!$T$2+regressionsbasenl!$T$1*EXP(A87)</f>
        <v>-2.3163412279502968</v>
      </c>
      <c r="P87" s="20">
        <f>(1-EXP(-2*regressionsbasenl!X$1*graphbasenl!A87))/2/EXP(-regressionsbasenl!X$1*A87)</f>
        <v>-6.1720890143537952</v>
      </c>
      <c r="AT87" s="33"/>
      <c r="AW87" s="33"/>
      <c r="AZ87" s="33"/>
    </row>
    <row r="88" spans="1:52" x14ac:dyDescent="0.35">
      <c r="A88">
        <f t="shared" si="7"/>
        <v>6.4999999999999929</v>
      </c>
      <c r="B88">
        <f t="shared" si="4"/>
        <v>-6.1290040036597979</v>
      </c>
      <c r="C88">
        <f>regressionsbasenl!$AR$1*$A88</f>
        <v>7.0775165869329246</v>
      </c>
      <c r="D88">
        <f>regressionsbasenl!$AO$1*$A88</f>
        <v>9.9914388288277927</v>
      </c>
      <c r="E88">
        <f t="shared" si="5"/>
        <v>8.0260291702060513</v>
      </c>
      <c r="F88">
        <f t="shared" si="6"/>
        <v>-26.111881661315383</v>
      </c>
      <c r="G88" s="5">
        <f>B88-regressions!AA$7</f>
        <v>-9.8502925941247526</v>
      </c>
      <c r="H88" s="5">
        <f>B88+regressions!AA$7</f>
        <v>-2.4077154131948428</v>
      </c>
      <c r="I88">
        <f>IF($A88&lt;=regressionsbasenl!$L$2,$A88*regressionsbasenl!$L$1,regressionsbasenl!$L$1*regressionsbasenl!$L$2+regressionsbasenl!$L$3*($A88-regressionsbasenl!$L$2))</f>
        <v>-5.8133360495510837</v>
      </c>
      <c r="J88">
        <f>regressionsbasenl!$J$1*A88+regressionsbasenl!$J$2*A88^2</f>
        <v>-6.5900719500108007</v>
      </c>
      <c r="K88">
        <f>regressionsbasenl!$V$1*A88</f>
        <v>-5.8133360495510917</v>
      </c>
      <c r="L88">
        <f>regressionsbasenl!$N$1*A88^2</f>
        <v>-7.3349173920724979</v>
      </c>
      <c r="M88">
        <f>regressionsbasenl!$R$1*A88^2+regressionsbasenl!$R$2*A88^6</f>
        <v>-5.1647374081703754</v>
      </c>
      <c r="N88">
        <f>regressionsbasenl!$P$1*A88^2+regressionsbasenl!$P$2*A88^7</f>
        <v>-7.3776235270947801</v>
      </c>
      <c r="O88">
        <f>regressionsbasenl!$T$2+regressionsbasenl!$T$1*EXP(A88)</f>
        <v>-2.5603584099939054</v>
      </c>
      <c r="P88" s="20">
        <f>(1-EXP(-2*regressionsbasenl!X$1*graphbasenl!A88))/2/EXP(-regressionsbasenl!X$1*A88)</f>
        <v>-6.4231007820513364</v>
      </c>
      <c r="AT88" s="33"/>
      <c r="AW88" s="33"/>
      <c r="AZ88" s="33"/>
    </row>
    <row r="89" spans="1:52" x14ac:dyDescent="0.35">
      <c r="A89">
        <f t="shared" si="7"/>
        <v>6.5999999999999925</v>
      </c>
      <c r="B89">
        <f t="shared" si="4"/>
        <v>-6.2861030181504969</v>
      </c>
      <c r="C89">
        <f>regressionsbasenl!$AR$1*$A89</f>
        <v>7.1864014575011232</v>
      </c>
      <c r="D89">
        <f>regressionsbasenl!$AO$1*$A89</f>
        <v>10.145153272348219</v>
      </c>
      <c r="E89">
        <f t="shared" si="5"/>
        <v>8.0866998968517496</v>
      </c>
      <c r="F89">
        <f t="shared" si="6"/>
        <v>-26.576409562846933</v>
      </c>
      <c r="G89" s="5">
        <f>B89-regressions!AA$7</f>
        <v>-10.007391608615452</v>
      </c>
      <c r="H89" s="5">
        <f>B89+regressions!AA$7</f>
        <v>-2.5648144276855418</v>
      </c>
      <c r="I89">
        <f>IF($A89&lt;=regressionsbasenl!$L$2,$A89*regressionsbasenl!$L$1,regressionsbasenl!$L$1*regressionsbasenl!$L$2+regressionsbasenl!$L$3*($A89-regressionsbasenl!$L$2))</f>
        <v>-5.9027719887749468</v>
      </c>
      <c r="J89">
        <f>regressionsbasenl!$J$1*A89+regressionsbasenl!$J$2*A89^2</f>
        <v>-6.7357359477183198</v>
      </c>
      <c r="K89">
        <f>regressionsbasenl!$V$1*A89</f>
        <v>-5.9027719887749548</v>
      </c>
      <c r="L89">
        <f>regressionsbasenl!$N$1*A89^2</f>
        <v>-7.5623432331048051</v>
      </c>
      <c r="M89">
        <f>regressionsbasenl!$R$1*A89^2+regressionsbasenl!$R$2*A89^6</f>
        <v>-5.3314786655331998</v>
      </c>
      <c r="N89">
        <f>regressionsbasenl!$P$1*A89^2+regressionsbasenl!$P$2*A89^7</f>
        <v>-7.5811551463299409</v>
      </c>
      <c r="O89">
        <f>regressionsbasenl!$T$2+regressionsbasenl!$T$1*EXP(A89)</f>
        <v>-2.8300391030992729</v>
      </c>
      <c r="P89" s="20">
        <f>(1-EXP(-2*regressionsbasenl!X$1*graphbasenl!A89))/2/EXP(-regressionsbasenl!X$1*A89)</f>
        <v>-6.6840696493995368</v>
      </c>
      <c r="AT89" s="33"/>
      <c r="AW89" s="33"/>
      <c r="AZ89" s="33"/>
    </row>
    <row r="90" spans="1:52" x14ac:dyDescent="0.35">
      <c r="A90">
        <f t="shared" si="7"/>
        <v>6.6999999999999922</v>
      </c>
      <c r="B90">
        <f t="shared" si="4"/>
        <v>-6.4454982265781338</v>
      </c>
      <c r="C90">
        <f>regressionsbasenl!$AR$1*$A90</f>
        <v>7.2952863280693219</v>
      </c>
      <c r="D90">
        <f>regressionsbasenl!$AO$1*$A90</f>
        <v>10.298867715868646</v>
      </c>
      <c r="E90">
        <f t="shared" si="5"/>
        <v>8.1450744295605091</v>
      </c>
      <c r="F90">
        <f t="shared" si="6"/>
        <v>-27.043233658315426</v>
      </c>
      <c r="G90" s="5">
        <f>B90-regressions!AA$7</f>
        <v>-10.166786817043089</v>
      </c>
      <c r="H90" s="5">
        <f>B90+regressions!AA$7</f>
        <v>-2.7242096361131787</v>
      </c>
      <c r="I90">
        <f>IF($A90&lt;=regressionsbasenl!$L$2,$A90*regressionsbasenl!$L$1,regressionsbasenl!$L$1*regressionsbasenl!$L$2+regressionsbasenl!$L$3*($A90-regressionsbasenl!$L$2))</f>
        <v>-5.992207927998809</v>
      </c>
      <c r="J90">
        <f>regressionsbasenl!$J$1*A90+regressionsbasenl!$J$2*A90^2</f>
        <v>-6.8827417113470393</v>
      </c>
      <c r="K90">
        <f>regressionsbasenl!$V$1*A90</f>
        <v>-5.992207927998817</v>
      </c>
      <c r="L90">
        <f>regressionsbasenl!$N$1*A90^2</f>
        <v>-7.7932412243818794</v>
      </c>
      <c r="M90">
        <f>regressionsbasenl!$R$1*A90^2+regressionsbasenl!$R$2*A90^6</f>
        <v>-5.5013845051383274</v>
      </c>
      <c r="N90">
        <f>regressionsbasenl!$P$1*A90^2+regressionsbasenl!$P$2*A90^7</f>
        <v>-7.7850154721807137</v>
      </c>
      <c r="O90">
        <f>regressionsbasenl!$T$2+regressionsbasenl!$T$1*EXP(A90)</f>
        <v>-3.1280823622858085</v>
      </c>
      <c r="P90" s="20">
        <f>(1-EXP(-2*regressionsbasenl!X$1*graphbasenl!A90))/2/EXP(-regressionsbasenl!X$1*A90)</f>
        <v>-6.9554001706948458</v>
      </c>
      <c r="AT90" s="33"/>
      <c r="AW90" s="33"/>
      <c r="AZ90" s="33"/>
    </row>
    <row r="91" spans="1:52" x14ac:dyDescent="0.35">
      <c r="A91">
        <f t="shared" si="7"/>
        <v>6.7999999999999918</v>
      </c>
      <c r="B91">
        <f t="shared" si="4"/>
        <v>-6.6072153153787907</v>
      </c>
      <c r="C91">
        <f>regressionsbasenl!$AR$1*$A91</f>
        <v>7.4041711986375196</v>
      </c>
      <c r="D91">
        <f>regressionsbasenl!$AO$1*$A91</f>
        <v>10.452582159389074</v>
      </c>
      <c r="E91">
        <f t="shared" si="5"/>
        <v>8.2011270818962494</v>
      </c>
      <c r="F91">
        <f t="shared" si="6"/>
        <v>-27.51237963415694</v>
      </c>
      <c r="G91" s="5">
        <f>B91-regressions!AA$7</f>
        <v>-10.328503905843746</v>
      </c>
      <c r="H91" s="5">
        <f>B91+regressions!AA$7</f>
        <v>-2.8859267249138356</v>
      </c>
      <c r="I91">
        <f>IF($A91&lt;=regressionsbasenl!$L$2,$A91*regressionsbasenl!$L$1,regressionsbasenl!$L$1*regressionsbasenl!$L$2+regressionsbasenl!$L$3*($A91-regressionsbasenl!$L$2))</f>
        <v>-6.081643867222672</v>
      </c>
      <c r="J91">
        <f>regressionsbasenl!$J$1*A91+regressionsbasenl!$J$2*A91^2</f>
        <v>-7.0310892408969625</v>
      </c>
      <c r="K91">
        <f>regressionsbasenl!$V$1*A91</f>
        <v>-6.08164386722268</v>
      </c>
      <c r="L91">
        <f>regressionsbasenl!$N$1*A91^2</f>
        <v>-8.0276113659037218</v>
      </c>
      <c r="M91">
        <f>regressionsbasenl!$R$1*A91^2+regressionsbasenl!$R$2*A91^6</f>
        <v>-5.6745025283189072</v>
      </c>
      <c r="N91">
        <f>regressionsbasenl!$P$1*A91^2+regressionsbasenl!$P$2*A91^7</f>
        <v>-7.9889461023330828</v>
      </c>
      <c r="O91">
        <f>regressionsbasenl!$T$2+regressionsbasenl!$T$1*EXP(A91)</f>
        <v>-3.4574711046672504</v>
      </c>
      <c r="P91" s="20">
        <f>(1-EXP(-2*regressionsbasenl!X$1*graphbasenl!A91))/2/EXP(-regressionsbasenl!X$1*A91)</f>
        <v>-7.2375129628838879</v>
      </c>
      <c r="AT91" s="33"/>
      <c r="AW91" s="33"/>
      <c r="AZ91" s="33"/>
    </row>
    <row r="92" spans="1:52" x14ac:dyDescent="0.35">
      <c r="A92">
        <f t="shared" si="7"/>
        <v>6.8999999999999915</v>
      </c>
      <c r="B92">
        <f t="shared" si="4"/>
        <v>-6.771280572734879</v>
      </c>
      <c r="C92">
        <f>regressionsbasenl!$AR$1*$A92</f>
        <v>7.5130560692057182</v>
      </c>
      <c r="D92">
        <f>regressionsbasenl!$AO$1*$A92</f>
        <v>10.6062966029095</v>
      </c>
      <c r="E92">
        <f t="shared" si="5"/>
        <v>8.2548315656765574</v>
      </c>
      <c r="F92">
        <f t="shared" si="6"/>
        <v>-27.983873778553878</v>
      </c>
      <c r="G92" s="5">
        <f>B92-regressions!AA$7</f>
        <v>-10.492569163199834</v>
      </c>
      <c r="H92" s="5">
        <f>B92+regressions!AA$7</f>
        <v>-3.049991982269924</v>
      </c>
      <c r="I92">
        <f>IF($A92&lt;=regressionsbasenl!$L$2,$A92*regressionsbasenl!$L$1,regressionsbasenl!$L$1*regressionsbasenl!$L$2+regressionsbasenl!$L$3*($A92-regressionsbasenl!$L$2))</f>
        <v>-6.1710798064465342</v>
      </c>
      <c r="J92">
        <f>regressionsbasenl!$J$1*A92+regressionsbasenl!$J$2*A92^2</f>
        <v>-7.1807785363680861</v>
      </c>
      <c r="K92">
        <f>regressionsbasenl!$V$1*A92</f>
        <v>-6.1710798064465431</v>
      </c>
      <c r="L92">
        <f>regressionsbasenl!$N$1*A92^2</f>
        <v>-8.2654536576703332</v>
      </c>
      <c r="M92">
        <f>regressionsbasenl!$R$1*A92^2+regressionsbasenl!$R$2*A92^6</f>
        <v>-5.8508825160424136</v>
      </c>
      <c r="N92">
        <f>regressionsbasenl!$P$1*A92^2+regressionsbasenl!$P$2*A92^7</f>
        <v>-8.1926727400904014</v>
      </c>
      <c r="O92">
        <f>regressionsbasenl!$T$2+regressionsbasenl!$T$1*EXP(A92)</f>
        <v>-3.8215019634887311</v>
      </c>
      <c r="P92" s="20">
        <f>(1-EXP(-2*regressionsbasenl!X$1*graphbasenl!A92))/2/EXP(-regressionsbasenl!X$1*A92)</f>
        <v>-7.5308453576044299</v>
      </c>
      <c r="AT92" s="33"/>
      <c r="AW92" s="33"/>
      <c r="AZ92" s="33"/>
    </row>
    <row r="93" spans="1:52" x14ac:dyDescent="0.35">
      <c r="A93">
        <f t="shared" si="7"/>
        <v>6.9999999999999911</v>
      </c>
      <c r="B93">
        <f t="shared" si="4"/>
        <v>-6.937720902538568</v>
      </c>
      <c r="C93">
        <f>regressionsbasenl!$AR$1*$A93</f>
        <v>7.6219409397739168</v>
      </c>
      <c r="D93">
        <f>regressionsbasenl!$AO$1*$A93</f>
        <v>10.760011046429927</v>
      </c>
      <c r="E93">
        <f t="shared" si="5"/>
        <v>8.3061609770092666</v>
      </c>
      <c r="F93">
        <f t="shared" si="6"/>
        <v>-28.457742995398423</v>
      </c>
      <c r="G93" s="5">
        <f>B93-regressions!AA$7</f>
        <v>-10.659009493003524</v>
      </c>
      <c r="H93" s="5">
        <f>B93+regressions!AA$7</f>
        <v>-3.2164323120736129</v>
      </c>
      <c r="I93">
        <f>IF($A93&lt;=regressionsbasenl!$L$2,$A93*regressionsbasenl!$L$1,regressionsbasenl!$L$1*regressionsbasenl!$L$2+regressionsbasenl!$L$3*($A93-regressionsbasenl!$L$2))</f>
        <v>-6.2605157456703973</v>
      </c>
      <c r="J93">
        <f>regressionsbasenl!$J$1*A93+regressionsbasenl!$J$2*A93^2</f>
        <v>-7.3318095977604116</v>
      </c>
      <c r="K93">
        <f>regressionsbasenl!$V$1*A93</f>
        <v>-6.2605157456704053</v>
      </c>
      <c r="L93">
        <f>regressionsbasenl!$N$1*A93^2</f>
        <v>-8.506768099681711</v>
      </c>
      <c r="M93">
        <f>regressionsbasenl!$R$1*A93^2+regressionsbasenl!$R$2*A93^6</f>
        <v>-6.0305764944550404</v>
      </c>
      <c r="N93">
        <f>regressionsbasenl!$P$1*A93^2+regressionsbasenl!$P$2*A93^7</f>
        <v>-8.3959044721175982</v>
      </c>
      <c r="O93">
        <f>regressionsbasenl!$T$2+regressionsbasenl!$T$1*EXP(A93)</f>
        <v>-4.2238182819403338</v>
      </c>
      <c r="P93" s="20">
        <f>(1-EXP(-2*regressionsbasenl!X$1*graphbasenl!A93))/2/EXP(-regressionsbasenl!X$1*A93)</f>
        <v>-7.8358520791374833</v>
      </c>
      <c r="Q93" s="5"/>
      <c r="Y93" s="51"/>
      <c r="Z93" s="51"/>
      <c r="AA93" s="51"/>
      <c r="AO93" s="1"/>
      <c r="AP93" s="1"/>
      <c r="AT93" s="33"/>
      <c r="AW93" s="33"/>
      <c r="AZ93" s="33"/>
    </row>
    <row r="94" spans="1:52" x14ac:dyDescent="0.35">
      <c r="A94">
        <f t="shared" si="7"/>
        <v>7.0999999999999908</v>
      </c>
      <c r="B94">
        <f t="shared" si="4"/>
        <v>-7.1065638394075172</v>
      </c>
      <c r="C94">
        <f>regressionsbasenl!$AR$1*$A94</f>
        <v>7.7308258103421155</v>
      </c>
      <c r="D94">
        <f>regressionsbasenl!$AO$1*$A94</f>
        <v>10.913725489950355</v>
      </c>
      <c r="E94">
        <f t="shared" si="5"/>
        <v>8.3550877812767137</v>
      </c>
      <c r="F94">
        <f t="shared" si="6"/>
        <v>-28.934014819308228</v>
      </c>
      <c r="G94" s="5">
        <f>B94-regressions!AA$7</f>
        <v>-10.827852429872472</v>
      </c>
      <c r="H94" s="5">
        <f>B94+regressions!AA$7</f>
        <v>-3.3852752489425622</v>
      </c>
      <c r="I94">
        <f>IF($A94&lt;=regressionsbasenl!$L$2,$A94*regressionsbasenl!$L$1,regressionsbasenl!$L$1*regressionsbasenl!$L$2+regressionsbasenl!$L$3*($A94-regressionsbasenl!$L$2))</f>
        <v>-6.3499516848942594</v>
      </c>
      <c r="J94">
        <f>regressionsbasenl!$J$1*A94+regressionsbasenl!$J$2*A94^2</f>
        <v>-7.4841824250739393</v>
      </c>
      <c r="K94">
        <f>regressionsbasenl!$V$1*A94</f>
        <v>-6.3499516848942683</v>
      </c>
      <c r="L94">
        <f>regressionsbasenl!$N$1*A94^2</f>
        <v>-8.7515546919378568</v>
      </c>
      <c r="M94">
        <f>regressionsbasenl!$R$1*A94^2+regressionsbasenl!$R$2*A94^6</f>
        <v>-6.2136388013971295</v>
      </c>
      <c r="N94">
        <f>regressionsbasenl!$P$1*A94^2+regressionsbasenl!$P$2*A94^7</f>
        <v>-8.5983330246286744</v>
      </c>
      <c r="O94">
        <f>regressionsbasenl!$T$2+regressionsbasenl!$T$1*EXP(A94)</f>
        <v>-4.6684465769603047</v>
      </c>
      <c r="P94" s="20">
        <f>(1-EXP(-2*regressionsbasenl!X$1*graphbasenl!A94))/2/EXP(-regressionsbasenl!X$1*A94)</f>
        <v>-8.1530059493215159</v>
      </c>
      <c r="Q94" s="5"/>
      <c r="AT94" s="33"/>
      <c r="AW94" s="33"/>
      <c r="AZ94" s="33"/>
    </row>
    <row r="95" spans="1:52" x14ac:dyDescent="0.35">
      <c r="A95">
        <f t="shared" si="7"/>
        <v>7.1999999999999904</v>
      </c>
      <c r="B95">
        <f t="shared" si="4"/>
        <v>-7.2778375648627334</v>
      </c>
      <c r="C95">
        <f>regressionsbasenl!$AR$1*$A95</f>
        <v>7.8397106809103141</v>
      </c>
      <c r="D95">
        <f>regressionsbasenl!$AO$1*$A95</f>
        <v>11.067439933470782</v>
      </c>
      <c r="E95">
        <f t="shared" si="5"/>
        <v>8.4015837969578939</v>
      </c>
      <c r="F95">
        <f t="shared" si="6"/>
        <v>-29.412717431804296</v>
      </c>
      <c r="G95" s="5">
        <f>B95-regressions!AA$7</f>
        <v>-10.999126155327689</v>
      </c>
      <c r="H95" s="5">
        <f>B95+regressions!AA$7</f>
        <v>-3.5565489743977783</v>
      </c>
      <c r="I95">
        <f>IF($A95&lt;=regressionsbasenl!$L$2,$A95*regressionsbasenl!$L$1,regressionsbasenl!$L$1*regressionsbasenl!$L$2+regressionsbasenl!$L$3*($A95-regressionsbasenl!$L$2))</f>
        <v>-6.4393876241181225</v>
      </c>
      <c r="J95">
        <f>regressionsbasenl!$J$1*A95+regressionsbasenl!$J$2*A95^2</f>
        <v>-7.637897018308669</v>
      </c>
      <c r="K95">
        <f>regressionsbasenl!$V$1*A95</f>
        <v>-6.4393876241181305</v>
      </c>
      <c r="L95">
        <f>regressionsbasenl!$N$1*A95^2</f>
        <v>-8.9998134344387726</v>
      </c>
      <c r="M95">
        <f>regressionsbasenl!$R$1*A95^2+regressionsbasenl!$R$2*A95^6</f>
        <v>-6.4001261538896133</v>
      </c>
      <c r="N95">
        <f>regressionsbasenl!$P$1*A95^2+regressionsbasenl!$P$2*A95^7</f>
        <v>-8.7996319977004376</v>
      </c>
      <c r="O95">
        <f>regressionsbasenl!$T$2+regressionsbasenl!$T$1*EXP(A95)</f>
        <v>-5.1598368379699373</v>
      </c>
      <c r="P95" s="20">
        <f>(1-EXP(-2*regressionsbasenl!X$1*graphbasenl!A95))/2/EXP(-regressionsbasenl!X$1*A95)</f>
        <v>-8.4827986205215105</v>
      </c>
      <c r="Q95" s="5"/>
      <c r="AE95" s="58"/>
      <c r="AO95" s="1"/>
      <c r="AP95" s="1"/>
      <c r="AT95" s="33"/>
      <c r="AW95" s="33"/>
      <c r="AZ95" s="33"/>
    </row>
    <row r="96" spans="1:52" x14ac:dyDescent="0.35">
      <c r="A96">
        <f t="shared" si="7"/>
        <v>7.2999999999999901</v>
      </c>
      <c r="B96">
        <f t="shared" si="4"/>
        <v>-7.451570924786691</v>
      </c>
      <c r="C96">
        <f>regressionsbasenl!$AR$1*$A96</f>
        <v>7.9485955514785127</v>
      </c>
      <c r="D96">
        <f>regressionsbasenl!$AO$1*$A96</f>
        <v>11.22115437699121</v>
      </c>
      <c r="E96">
        <f t="shared" si="5"/>
        <v>8.4456201781703335</v>
      </c>
      <c r="F96">
        <f t="shared" si="6"/>
        <v>-29.89387967876911</v>
      </c>
      <c r="G96" s="5">
        <f>B96-regressions!AA$7</f>
        <v>-11.172859515251647</v>
      </c>
      <c r="H96" s="5">
        <f>B96+regressions!AA$7</f>
        <v>-3.7302823343217359</v>
      </c>
      <c r="I96">
        <f>IF($A96&lt;=regressionsbasenl!$L$2,$A96*regressionsbasenl!$L$1,regressionsbasenl!$L$1*regressionsbasenl!$L$2+regressionsbasenl!$L$3*($A96-regressionsbasenl!$L$2))</f>
        <v>-6.5288235633419847</v>
      </c>
      <c r="J96">
        <f>regressionsbasenl!$J$1*A96+regressionsbasenl!$J$2*A96^2</f>
        <v>-7.7929533774645998</v>
      </c>
      <c r="K96">
        <f>regressionsbasenl!$V$1*A96</f>
        <v>-6.5288235633419935</v>
      </c>
      <c r="L96">
        <f>regressionsbasenl!$N$1*A96^2</f>
        <v>-9.2515443271844546</v>
      </c>
      <c r="M96">
        <f>regressionsbasenl!$R$1*A96^2+regressionsbasenl!$R$2*A96^6</f>
        <v>-6.5900977165915</v>
      </c>
      <c r="N96">
        <f>regressionsbasenl!$P$1*A96^2+regressionsbasenl!$P$2*A96^7</f>
        <v>-8.9994560773955339</v>
      </c>
      <c r="O96">
        <f>regressionsbasenl!$T$2+regressionsbasenl!$T$1*EXP(A96)</f>
        <v>-5.7029070638633836</v>
      </c>
      <c r="P96" s="20">
        <f>(1-EXP(-2*regressionsbasenl!X$1*graphbasenl!A96))/2/EXP(-regressionsbasenl!X$1*A96)</f>
        <v>-8.8257413377891378</v>
      </c>
      <c r="Q96" s="5"/>
      <c r="AT96" s="33"/>
      <c r="AW96" s="33"/>
      <c r="AZ96" s="33"/>
    </row>
    <row r="97" spans="1:52" x14ac:dyDescent="0.35">
      <c r="A97">
        <f t="shared" si="7"/>
        <v>7.3999999999999897</v>
      </c>
      <c r="B97">
        <f t="shared" si="4"/>
        <v>-7.6277934482887346</v>
      </c>
      <c r="C97">
        <f>regressionsbasenl!$AR$1*$A97</f>
        <v>8.0574804220467122</v>
      </c>
      <c r="D97">
        <f>regressionsbasenl!$AO$1*$A97</f>
        <v>11.374868820511637</v>
      </c>
      <c r="E97">
        <f t="shared" si="5"/>
        <v>8.4871673958046898</v>
      </c>
      <c r="F97">
        <f t="shared" si="6"/>
        <v>-30.377531089312008</v>
      </c>
      <c r="G97" s="5">
        <f>B97-regressions!AA$7</f>
        <v>-11.349082038753689</v>
      </c>
      <c r="H97" s="5">
        <f>B97+regressions!AA$7</f>
        <v>-3.9065048578237795</v>
      </c>
      <c r="I97">
        <f>IF($A97&lt;=regressionsbasenl!$L$2,$A97*regressionsbasenl!$L$1,regressionsbasenl!$L$1*regressionsbasenl!$L$2+regressionsbasenl!$L$3*($A97-regressionsbasenl!$L$2))</f>
        <v>-6.6182595025658477</v>
      </c>
      <c r="J97">
        <f>regressionsbasenl!$J$1*A97+regressionsbasenl!$J$2*A97^2</f>
        <v>-7.9493515025417327</v>
      </c>
      <c r="K97">
        <f>regressionsbasenl!$V$1*A97</f>
        <v>-6.6182595025658566</v>
      </c>
      <c r="L97">
        <f>regressionsbasenl!$N$1*A97^2</f>
        <v>-9.5067473701749066</v>
      </c>
      <c r="M97">
        <f>regressionsbasenl!$R$1*A97^2+regressionsbasenl!$R$2*A97^6</f>
        <v>-6.783615171228373</v>
      </c>
      <c r="N97">
        <f>regressionsbasenl!$P$1*A97^2+regressionsbasenl!$P$2*A97^7</f>
        <v>-9.1974402253777043</v>
      </c>
      <c r="O97">
        <f>regressionsbasenl!$T$2+regressionsbasenl!$T$1*EXP(A97)</f>
        <v>-6.303092483993594</v>
      </c>
      <c r="P97" s="20">
        <f>(1-EXP(-2*regressionsbasenl!X$1*graphbasenl!A97))/2/EXP(-regressionsbasenl!X$1*A97)</f>
        <v>-9.1823657313955316</v>
      </c>
      <c r="Q97" s="5"/>
      <c r="AT97" s="33"/>
      <c r="AW97" s="33"/>
      <c r="AZ97" s="33"/>
    </row>
    <row r="98" spans="1:52" x14ac:dyDescent="0.35">
      <c r="A98">
        <f t="shared" si="7"/>
        <v>7.4999999999999893</v>
      </c>
      <c r="B98">
        <f t="shared" si="4"/>
        <v>-7.8065353681144751</v>
      </c>
      <c r="C98">
        <f>regressionsbasenl!$AR$1*$A98</f>
        <v>8.1663652926149108</v>
      </c>
      <c r="D98">
        <f>regressionsbasenl!$AO$1*$A98</f>
        <v>11.528583264032063</v>
      </c>
      <c r="E98">
        <f t="shared" si="5"/>
        <v>8.5261952171153474</v>
      </c>
      <c r="F98">
        <f t="shared" si="6"/>
        <v>-30.8637018961786</v>
      </c>
      <c r="G98" s="5">
        <f>B98-regressions!AA$7</f>
        <v>-11.527823958579431</v>
      </c>
      <c r="H98" s="5">
        <f>B98+regressions!AA$7</f>
        <v>-4.0852467776495196</v>
      </c>
      <c r="I98">
        <f>IF($A98&lt;=regressionsbasenl!$L$2,$A98*regressionsbasenl!$L$1,regressionsbasenl!$L$1*regressionsbasenl!$L$2+regressionsbasenl!$L$3*($A98-regressionsbasenl!$L$2))</f>
        <v>-6.7076954417897099</v>
      </c>
      <c r="J98">
        <f>regressionsbasenl!$J$1*A98+regressionsbasenl!$J$2*A98^2</f>
        <v>-8.1070913935400668</v>
      </c>
      <c r="K98">
        <f>regressionsbasenl!$V$1*A98</f>
        <v>-6.7076954417897188</v>
      </c>
      <c r="L98">
        <f>regressionsbasenl!$N$1*A98^2</f>
        <v>-9.7654225634101248</v>
      </c>
      <c r="M98">
        <f>regressionsbasenl!$R$1*A98^2+regressionsbasenl!$R$2*A98^6</f>
        <v>-6.980742786991935</v>
      </c>
      <c r="N98">
        <f>regressionsbasenl!$P$1*A98^2+regressionsbasenl!$P$2*A98^7</f>
        <v>-9.3931988457022815</v>
      </c>
      <c r="O98">
        <f>regressionsbasenl!$T$2+regressionsbasenl!$T$1*EXP(A98)</f>
        <v>-6.9663999557745155</v>
      </c>
      <c r="P98" s="20">
        <f>(1-EXP(-2*regressionsbasenl!X$1*graphbasenl!A98))/2/EXP(-regressionsbasenl!X$1*A98)</f>
        <v>-9.5532246409652704</v>
      </c>
      <c r="Q98" s="5"/>
      <c r="AT98" s="33"/>
      <c r="AW98" s="33"/>
      <c r="AZ98" s="33"/>
    </row>
    <row r="99" spans="1:52" x14ac:dyDescent="0.35">
      <c r="A99">
        <f t="shared" si="7"/>
        <v>7.599999999999989</v>
      </c>
      <c r="B99">
        <f t="shared" si="4"/>
        <v>-7.9878276427461774</v>
      </c>
      <c r="C99">
        <f>regressionsbasenl!$AR$1*$A99</f>
        <v>8.2752501631831077</v>
      </c>
      <c r="D99">
        <f>regressionsbasenl!$AO$1*$A99</f>
        <v>11.682297707552491</v>
      </c>
      <c r="E99">
        <f t="shared" si="5"/>
        <v>8.562672683620038</v>
      </c>
      <c r="F99">
        <f t="shared" si="6"/>
        <v>-31.352423057851162</v>
      </c>
      <c r="G99" s="5">
        <f>B99-regressions!AA$7</f>
        <v>-11.709116233211132</v>
      </c>
      <c r="H99" s="5">
        <f>B99+regressions!AA$7</f>
        <v>-4.2665390522812228</v>
      </c>
      <c r="I99">
        <f>IF($A99&lt;=regressionsbasenl!$L$2,$A99*regressionsbasenl!$L$1,regressionsbasenl!$L$1*regressionsbasenl!$L$2+regressionsbasenl!$L$3*($A99-regressionsbasenl!$L$2))</f>
        <v>-6.7971313810135729</v>
      </c>
      <c r="J99">
        <f>regressionsbasenl!$J$1*A99+regressionsbasenl!$J$2*A99^2</f>
        <v>-8.2661730504596047</v>
      </c>
      <c r="K99">
        <f>regressionsbasenl!$V$1*A99</f>
        <v>-6.7971313810135818</v>
      </c>
      <c r="L99">
        <f>regressionsbasenl!$N$1*A99^2</f>
        <v>-10.027569906890111</v>
      </c>
      <c r="M99">
        <f>regressionsbasenl!$R$1*A99^2+regressionsbasenl!$R$2*A99^6</f>
        <v>-7.1815474919105604</v>
      </c>
      <c r="N99">
        <f>regressionsbasenl!$P$1*A99^2+regressionsbasenl!$P$2*A99^7</f>
        <v>-9.5863249284649132</v>
      </c>
      <c r="O99">
        <f>regressionsbasenl!$T$2+regressionsbasenl!$T$1*EXP(A99)</f>
        <v>-7.6994680833290747</v>
      </c>
      <c r="P99" s="20">
        <f>(1-EXP(-2*regressionsbasenl!X$1*graphbasenl!A99))/2/EXP(-regressionsbasenl!X$1*A99)</f>
        <v>-9.9388929724891302</v>
      </c>
      <c r="Q99" s="5"/>
      <c r="AT99" s="33"/>
      <c r="AW99" s="33"/>
      <c r="AZ99" s="33"/>
    </row>
    <row r="100" spans="1:52" x14ac:dyDescent="0.35">
      <c r="A100">
        <f t="shared" si="7"/>
        <v>7.6999999999999886</v>
      </c>
      <c r="B100">
        <f t="shared" si="4"/>
        <v>-8.1717019803523225</v>
      </c>
      <c r="C100">
        <f>regressionsbasenl!$AR$1*$A100</f>
        <v>8.3841350337513063</v>
      </c>
      <c r="D100">
        <f>regressionsbasenl!$AO$1*$A100</f>
        <v>11.836012151072918</v>
      </c>
      <c r="E100">
        <f t="shared" si="5"/>
        <v>8.5965680871502901</v>
      </c>
      <c r="F100">
        <f t="shared" si="6"/>
        <v>-31.84372628249816</v>
      </c>
      <c r="G100" s="5">
        <f>B100-regressions!AA$7</f>
        <v>-11.892990570817277</v>
      </c>
      <c r="H100" s="5">
        <f>B100+regressions!AA$7</f>
        <v>-4.4504133898873679</v>
      </c>
      <c r="I100">
        <f>IF($A100&lt;=regressionsbasenl!$L$2,$A100*regressionsbasenl!$L$1,regressionsbasenl!$L$1*regressionsbasenl!$L$2+regressionsbasenl!$L$3*($A100-regressionsbasenl!$L$2))</f>
        <v>-6.8865673202374351</v>
      </c>
      <c r="J100">
        <f>regressionsbasenl!$J$1*A100+regressionsbasenl!$J$2*A100^2</f>
        <v>-8.4265964733003429</v>
      </c>
      <c r="K100">
        <f>regressionsbasenl!$V$1*A100</f>
        <v>-6.8865673202374449</v>
      </c>
      <c r="L100">
        <f>regressionsbasenl!$N$1*A100^2</f>
        <v>-10.293189400614866</v>
      </c>
      <c r="M100">
        <f>regressionsbasenl!$R$1*A100^2+regressionsbasenl!$R$2*A100^6</f>
        <v>-7.3860989451908949</v>
      </c>
      <c r="N100">
        <f>regressionsbasenl!$P$1*A100^2+regressionsbasenl!$P$2*A100^7</f>
        <v>-9.7763891699915177</v>
      </c>
      <c r="O100">
        <f>regressionsbasenl!$T$2+regressionsbasenl!$T$1*EXP(A100)</f>
        <v>-8.5096336588705412</v>
      </c>
      <c r="P100" s="20">
        <f>(1-EXP(-2*regressionsbasenl!X$1*graphbasenl!A100))/2/EXP(-regressionsbasenl!X$1*A100)</f>
        <v>-10.339968589544126</v>
      </c>
      <c r="Q100" s="5"/>
      <c r="AT100" s="33"/>
      <c r="AW100" s="33"/>
      <c r="AZ100" s="33"/>
    </row>
    <row r="101" spans="1:52" x14ac:dyDescent="0.35">
      <c r="A101">
        <f t="shared" si="7"/>
        <v>7.7999999999999883</v>
      </c>
      <c r="B101">
        <f t="shared" si="4"/>
        <v>-8.3581908647566117</v>
      </c>
      <c r="C101">
        <f>regressionsbasenl!$AR$1*$A101</f>
        <v>8.4930199043195049</v>
      </c>
      <c r="D101">
        <f>regressionsbasenl!$AO$1*$A101</f>
        <v>11.989726594593344</v>
      </c>
      <c r="E101">
        <f t="shared" si="5"/>
        <v>8.6278489438823982</v>
      </c>
      <c r="F101">
        <f t="shared" si="6"/>
        <v>-32.337644053943301</v>
      </c>
      <c r="G101" s="5">
        <f>B101-regressions!AA$7</f>
        <v>-12.079479455221566</v>
      </c>
      <c r="H101" s="5">
        <f>B101+regressions!AA$7</f>
        <v>-4.636902274291657</v>
      </c>
      <c r="I101">
        <f>IF($A101&lt;=regressionsbasenl!$L$2,$A101*regressionsbasenl!$L$1,regressionsbasenl!$L$1*regressionsbasenl!$L$2+regressionsbasenl!$L$3*($A101-regressionsbasenl!$L$2))</f>
        <v>-6.9760032594612973</v>
      </c>
      <c r="J101">
        <f>regressionsbasenl!$J$1*A101+regressionsbasenl!$J$2*A101^2</f>
        <v>-8.5883616620622831</v>
      </c>
      <c r="K101">
        <f>regressionsbasenl!$V$1*A101</f>
        <v>-6.9760032594613071</v>
      </c>
      <c r="L101">
        <f>regressionsbasenl!$N$1*A101^2</f>
        <v>-10.56228104458439</v>
      </c>
      <c r="M101">
        <f>regressionsbasenl!$R$1*A101^2+regressionsbasenl!$R$2*A101^6</f>
        <v>-7.5944696105304681</v>
      </c>
      <c r="N101">
        <f>regressionsbasenl!$P$1*A101^2+regressionsbasenl!$P$2*A101^7</f>
        <v>-9.9629390692524229</v>
      </c>
      <c r="O101">
        <f>regressionsbasenl!$T$2+regressionsbasenl!$T$1*EXP(A101)</f>
        <v>-9.4050050917849877</v>
      </c>
      <c r="P101" s="20">
        <f>(1-EXP(-2*regressionsbasenl!X$1*graphbasenl!A101))/2/EXP(-regressionsbasenl!X$1*A101)</f>
        <v>-10.757073240102455</v>
      </c>
      <c r="Q101" s="5"/>
      <c r="AT101" s="33"/>
      <c r="AW101" s="33"/>
      <c r="AZ101" s="33"/>
    </row>
    <row r="102" spans="1:52" x14ac:dyDescent="0.35">
      <c r="A102">
        <f t="shared" si="7"/>
        <v>7.8999999999999879</v>
      </c>
      <c r="B102">
        <f t="shared" si="4"/>
        <v>-8.5473275836096718</v>
      </c>
      <c r="C102">
        <f>regressionsbasenl!$AR$1*$A102</f>
        <v>8.6019047748877036</v>
      </c>
      <c r="D102">
        <f>regressionsbasenl!$AO$1*$A102</f>
        <v>12.143441038113773</v>
      </c>
      <c r="E102">
        <f t="shared" si="5"/>
        <v>8.6564819661657353</v>
      </c>
      <c r="F102">
        <f t="shared" si="6"/>
        <v>-32.834209659837214</v>
      </c>
      <c r="G102" s="5">
        <f>B102-regressions!AA$7</f>
        <v>-12.268616174074626</v>
      </c>
      <c r="H102" s="5">
        <f>B102+regressions!AA$7</f>
        <v>-4.8260389931447172</v>
      </c>
      <c r="I102">
        <f>IF($A102&lt;=regressionsbasenl!$L$2,$A102*regressionsbasenl!$L$1,regressionsbasenl!$L$1*regressionsbasenl!$L$2+regressionsbasenl!$L$3*($A102-regressionsbasenl!$L$2))</f>
        <v>-7.0654391986851603</v>
      </c>
      <c r="J102">
        <f>regressionsbasenl!$J$1*A102+regressionsbasenl!$J$2*A102^2</f>
        <v>-8.7514686167454272</v>
      </c>
      <c r="K102">
        <f>regressionsbasenl!$V$1*A102</f>
        <v>-7.0654391986851701</v>
      </c>
      <c r="L102">
        <f>regressionsbasenl!$N$1*A102^2</f>
        <v>-10.834844838798681</v>
      </c>
      <c r="M102">
        <f>regressionsbasenl!$R$1*A102^2+regressionsbasenl!$R$2*A102^6</f>
        <v>-7.806734830401342</v>
      </c>
      <c r="N102">
        <f>regressionsbasenl!$P$1*A102^2+regressionsbasenl!$P$2*A102^7</f>
        <v>-10.145498000183705</v>
      </c>
      <c r="O102">
        <f>regressionsbasenl!$T$2+regressionsbasenl!$T$1*EXP(A102)</f>
        <v>-10.394543560317755</v>
      </c>
      <c r="P102" s="20">
        <f>(1-EXP(-2*regressionsbasenl!X$1*graphbasenl!A102))/2/EXP(-regressionsbasenl!X$1*A102)</f>
        <v>-11.190853520366057</v>
      </c>
      <c r="Q102" s="5"/>
      <c r="AT102" s="33"/>
      <c r="AW102" s="33"/>
      <c r="AZ102" s="33"/>
    </row>
    <row r="103" spans="1:52" x14ac:dyDescent="0.35">
      <c r="A103">
        <f t="shared" si="7"/>
        <v>7.9999999999999876</v>
      </c>
      <c r="B103">
        <f t="shared" si="4"/>
        <v>-8.7391462589607514</v>
      </c>
      <c r="C103">
        <f>regressionsbasenl!$AR$1*$A103</f>
        <v>8.7107896454559022</v>
      </c>
      <c r="D103">
        <f>regressionsbasenl!$AO$1*$A103</f>
        <v>12.297155481634199</v>
      </c>
      <c r="E103">
        <f t="shared" si="5"/>
        <v>8.682433031951053</v>
      </c>
      <c r="F103">
        <f t="shared" si="6"/>
        <v>-33.33345722222915</v>
      </c>
      <c r="G103" s="5">
        <f>B103-regressions!AA$7</f>
        <v>-12.460434849425706</v>
      </c>
      <c r="H103" s="5">
        <f>B103+regressions!AA$7</f>
        <v>-5.0178576684957967</v>
      </c>
      <c r="I103">
        <f>IF($A103&lt;=regressionsbasenl!$L$2,$A103*regressionsbasenl!$L$1,regressionsbasenl!$L$1*regressionsbasenl!$L$2+regressionsbasenl!$L$3*($A103-regressionsbasenl!$L$2))</f>
        <v>-7.1548751379090225</v>
      </c>
      <c r="J103">
        <f>regressionsbasenl!$J$1*A103+regressionsbasenl!$J$2*A103^2</f>
        <v>-8.9159173373497698</v>
      </c>
      <c r="K103">
        <f>regressionsbasenl!$V$1*A103</f>
        <v>-7.1548751379090323</v>
      </c>
      <c r="L103">
        <f>regressionsbasenl!$N$1*A103^2</f>
        <v>-11.110880783257739</v>
      </c>
      <c r="M103">
        <f>regressionsbasenl!$R$1*A103^2+regressionsbasenl!$R$2*A103^6</f>
        <v>-8.0229729013047884</v>
      </c>
      <c r="N103">
        <f>regressionsbasenl!$P$1*A103^2+regressionsbasenl!$P$2*A103^7</f>
        <v>-10.323564259598733</v>
      </c>
      <c r="O103">
        <f>regressionsbasenl!$T$2+regressionsbasenl!$T$1*EXP(A103)</f>
        <v>-11.488152698057284</v>
      </c>
      <c r="P103" s="20">
        <f>(1-EXP(-2*regressionsbasenl!X$1*graphbasenl!A103))/2/EXP(-regressionsbasenl!X$1*A103)</f>
        <v>-11.641981877120935</v>
      </c>
      <c r="Q103" s="5"/>
      <c r="AT103" s="33"/>
      <c r="AW103" s="33"/>
      <c r="AZ103" s="33"/>
    </row>
    <row r="104" spans="1:52" x14ac:dyDescent="0.35">
      <c r="A104">
        <f t="shared" si="7"/>
        <v>8.0999999999999872</v>
      </c>
      <c r="B104">
        <f t="shared" si="4"/>
        <v>-8.9336818804420126</v>
      </c>
      <c r="C104">
        <f>regressionsbasenl!$AR$1*$A104</f>
        <v>8.8196745160241008</v>
      </c>
      <c r="D104">
        <f>regressionsbasenl!$AO$1*$A104</f>
        <v>12.450869925154628</v>
      </c>
      <c r="E104">
        <f t="shared" si="5"/>
        <v>8.705667151606189</v>
      </c>
      <c r="F104">
        <f t="shared" si="6"/>
        <v>-33.835421730751264</v>
      </c>
      <c r="G104" s="5">
        <f>B104-regressions!AA$7</f>
        <v>-12.654970470906967</v>
      </c>
      <c r="H104" s="5">
        <f>B104+regressions!AA$7</f>
        <v>-5.212393289977058</v>
      </c>
      <c r="I104">
        <f>IF($A104&lt;=regressionsbasenl!$L$2,$A104*regressionsbasenl!$L$1,regressionsbasenl!$L$1*regressionsbasenl!$L$2+regressionsbasenl!$L$3*($A104-regressionsbasenl!$L$2))</f>
        <v>-7.2443110771328856</v>
      </c>
      <c r="J104">
        <f>regressionsbasenl!$J$1*A104+regressionsbasenl!$J$2*A104^2</f>
        <v>-9.0817078238753162</v>
      </c>
      <c r="K104">
        <f>regressionsbasenl!$V$1*A104</f>
        <v>-7.2443110771328953</v>
      </c>
      <c r="L104">
        <f>regressionsbasenl!$N$1*A104^2</f>
        <v>-11.390388877961565</v>
      </c>
      <c r="M104">
        <f>regressionsbasenl!$R$1*A104^2+regressionsbasenl!$R$2*A104^6</f>
        <v>-8.24326514999699</v>
      </c>
      <c r="N104">
        <f>regressionsbasenl!$P$1*A104^2+regressionsbasenl!$P$2*A104^7</f>
        <v>-10.496610090372849</v>
      </c>
      <c r="O104">
        <f>regressionsbasenl!$T$2+regressionsbasenl!$T$1*EXP(A104)</f>
        <v>-12.696777712828798</v>
      </c>
      <c r="P104" s="20">
        <f>(1-EXP(-2*regressionsbasenl!X$1*graphbasenl!A104))/2/EXP(-regressionsbasenl!X$1*A104)</f>
        <v>-12.111157650165095</v>
      </c>
      <c r="Q104" s="5"/>
      <c r="AT104" s="33"/>
      <c r="AW104" s="33"/>
      <c r="AZ104" s="33"/>
    </row>
    <row r="105" spans="1:52" x14ac:dyDescent="0.35">
      <c r="A105">
        <f t="shared" si="7"/>
        <v>8.1999999999999869</v>
      </c>
      <c r="B105">
        <f t="shared" si="4"/>
        <v>-9.1309703412944128</v>
      </c>
      <c r="C105">
        <f>regressionsbasenl!$AR$1*$A105</f>
        <v>8.9285593865922994</v>
      </c>
      <c r="D105">
        <f>regressionsbasenl!$AO$1*$A105</f>
        <v>12.604584368675054</v>
      </c>
      <c r="E105">
        <f t="shared" si="5"/>
        <v>8.7261484318901861</v>
      </c>
      <c r="F105">
        <f t="shared" si="6"/>
        <v>-34.340139078644519</v>
      </c>
      <c r="G105" s="5">
        <f>B105-regressions!AA$7</f>
        <v>-12.852258931759367</v>
      </c>
      <c r="H105" s="5">
        <f>B105+regressions!AA$7</f>
        <v>-5.4096817508294581</v>
      </c>
      <c r="I105">
        <f>IF($A105&lt;=regressionsbasenl!$L$2,$A105*regressionsbasenl!$L$1,regressionsbasenl!$L$1*regressionsbasenl!$L$2+regressionsbasenl!$L$3*($A105-regressionsbasenl!$L$2))</f>
        <v>-7.3337470163567477</v>
      </c>
      <c r="J105">
        <f>regressionsbasenl!$J$1*A105+regressionsbasenl!$J$2*A105^2</f>
        <v>-9.2488400763220628</v>
      </c>
      <c r="K105">
        <f>regressionsbasenl!$V$1*A105</f>
        <v>-7.3337470163567584</v>
      </c>
      <c r="L105">
        <f>regressionsbasenl!$N$1*A105^2</f>
        <v>-11.673369122910159</v>
      </c>
      <c r="M105">
        <f>regressionsbasenl!$R$1*A105^2+regressionsbasenl!$R$2*A105^6</f>
        <v>-8.4676960106857706</v>
      </c>
      <c r="N105">
        <f>regressionsbasenl!$P$1*A105^2+regressionsbasenl!$P$2*A105^7</f>
        <v>-10.664080679584258</v>
      </c>
      <c r="O105">
        <f>regressionsbasenl!$T$2+regressionsbasenl!$T$1*EXP(A105)</f>
        <v>-14.032514930013022</v>
      </c>
      <c r="P105" s="20">
        <f>(1-EXP(-2*regressionsbasenl!X$1*graphbasenl!A105))/2/EXP(-regressionsbasenl!X$1*A105)</f>
        <v>-12.599108156426039</v>
      </c>
      <c r="Q105" s="5"/>
      <c r="AT105" s="33"/>
      <c r="AW105" s="33"/>
      <c r="AZ105" s="33"/>
    </row>
    <row r="106" spans="1:52" x14ac:dyDescent="0.35">
      <c r="A106">
        <f t="shared" si="7"/>
        <v>8.2999999999999865</v>
      </c>
      <c r="B106">
        <f t="shared" si="4"/>
        <v>-9.331048477482085</v>
      </c>
      <c r="C106">
        <f>regressionsbasenl!$AR$1*$A106</f>
        <v>9.037444257160498</v>
      </c>
      <c r="D106">
        <f>regressionsbasenl!$AO$1*$A106</f>
        <v>12.758298812195481</v>
      </c>
      <c r="E106">
        <f t="shared" si="5"/>
        <v>8.7438400368389111</v>
      </c>
      <c r="F106">
        <f t="shared" si="6"/>
        <v>-34.847646101873046</v>
      </c>
      <c r="G106" s="5">
        <f>B106-regressions!AA$7</f>
        <v>-13.05233706794704</v>
      </c>
      <c r="H106" s="5">
        <f>B106+regressions!AA$7</f>
        <v>-5.6097598870171304</v>
      </c>
      <c r="I106">
        <f>IF($A106&lt;=regressionsbasenl!$L$2,$A106*regressionsbasenl!$L$1,regressionsbasenl!$L$1*regressionsbasenl!$L$2+regressionsbasenl!$L$3*($A106-regressionsbasenl!$L$2))</f>
        <v>-7.4231829555806108</v>
      </c>
      <c r="J106">
        <f>regressionsbasenl!$J$1*A106+regressionsbasenl!$J$2*A106^2</f>
        <v>-9.4173140946900133</v>
      </c>
      <c r="K106">
        <f>regressionsbasenl!$V$1*A106</f>
        <v>-7.4231829555806206</v>
      </c>
      <c r="L106">
        <f>regressionsbasenl!$N$1*A106^2</f>
        <v>-11.959821518103523</v>
      </c>
      <c r="M106">
        <f>regressionsbasenl!$R$1*A106^2+regressionsbasenl!$R$2*A106^6</f>
        <v>-8.696353103198355</v>
      </c>
      <c r="N106">
        <f>regressionsbasenl!$P$1*A106^2+regressionsbasenl!$P$2*A106^7</f>
        <v>-10.825393131294026</v>
      </c>
      <c r="O106">
        <f>regressionsbasenl!$T$2+regressionsbasenl!$T$1*EXP(A106)</f>
        <v>-15.508732856636323</v>
      </c>
      <c r="P106" s="20">
        <f>(1-EXP(-2*regressionsbasenl!X$1*graphbasenl!A106))/2/EXP(-regressionsbasenl!X$1*A106)</f>
        <v>-13.106589817448487</v>
      </c>
      <c r="Q106" s="5"/>
      <c r="AT106" s="33"/>
      <c r="AW106" s="33"/>
      <c r="AZ106" s="33"/>
    </row>
    <row r="107" spans="1:52" x14ac:dyDescent="0.35">
      <c r="A107">
        <f t="shared" si="7"/>
        <v>8.3999999999999861</v>
      </c>
      <c r="B107">
        <f t="shared" si="4"/>
        <v>-9.5339541101614973</v>
      </c>
      <c r="C107">
        <f>regressionsbasenl!$AR$1*$A107</f>
        <v>9.1463291277286967</v>
      </c>
      <c r="D107">
        <f>regressionsbasenl!$AO$1*$A107</f>
        <v>12.912013255715909</v>
      </c>
      <c r="E107">
        <f t="shared" si="5"/>
        <v>8.758704145295896</v>
      </c>
      <c r="F107">
        <f t="shared" si="6"/>
        <v>-35.357980621593313</v>
      </c>
      <c r="G107" s="5">
        <f>B107-regressions!AA$7</f>
        <v>-13.255242700626452</v>
      </c>
      <c r="H107" s="5">
        <f>B107+regressions!AA$7</f>
        <v>-5.8126655196965427</v>
      </c>
      <c r="I107">
        <f>IF($A107&lt;=regressionsbasenl!$L$2,$A107*regressionsbasenl!$L$1,regressionsbasenl!$L$1*regressionsbasenl!$L$2+regressionsbasenl!$L$3*($A107-regressionsbasenl!$L$2))</f>
        <v>-7.512618894804473</v>
      </c>
      <c r="J107">
        <f>regressionsbasenl!$J$1*A107+regressionsbasenl!$J$2*A107^2</f>
        <v>-9.5871298789791624</v>
      </c>
      <c r="K107">
        <f>regressionsbasenl!$V$1*A107</f>
        <v>-7.5126188948044836</v>
      </c>
      <c r="L107">
        <f>regressionsbasenl!$N$1*A107^2</f>
        <v>-12.249746063541654</v>
      </c>
      <c r="M107">
        <f>regressionsbasenl!$R$1*A107^2+regressionsbasenl!$R$2*A107^6</f>
        <v>-8.9293273121201597</v>
      </c>
      <c r="N107">
        <f>regressionsbasenl!$P$1*A107^2+regressionsbasenl!$P$2*A107^7</f>
        <v>-10.979935413648251</v>
      </c>
      <c r="O107">
        <f>regressionsbasenl!$T$2+regressionsbasenl!$T$1*EXP(A107)</f>
        <v>-17.140205977882324</v>
      </c>
      <c r="P107" s="20">
        <f>(1-EXP(-2*regressionsbasenl!X$1*graphbasenl!A107))/2/EXP(-regressionsbasenl!X$1*A107)</f>
        <v>-13.634389332000078</v>
      </c>
      <c r="Q107" s="5"/>
      <c r="AT107" s="33"/>
      <c r="AW107" s="33"/>
      <c r="AZ107" s="33"/>
    </row>
    <row r="108" spans="1:52" x14ac:dyDescent="0.35">
      <c r="A108">
        <f t="shared" si="7"/>
        <v>8.4999999999999858</v>
      </c>
      <c r="B108">
        <f t="shared" si="4"/>
        <v>-9.7397260917926509</v>
      </c>
      <c r="C108">
        <f>regressionsbasenl!$AR$1*$A108</f>
        <v>9.2552139982968953</v>
      </c>
      <c r="D108">
        <f>regressionsbasenl!$AO$1*$A108</f>
        <v>13.065727699236335</v>
      </c>
      <c r="E108">
        <f t="shared" si="5"/>
        <v>8.7707019048011396</v>
      </c>
      <c r="F108">
        <f t="shared" si="6"/>
        <v>-35.871181490265322</v>
      </c>
      <c r="G108" s="5">
        <f>B108-regressions!AA$7</f>
        <v>-13.461014682257606</v>
      </c>
      <c r="H108" s="5">
        <f>B108+regressions!AA$7</f>
        <v>-6.0184375013276963</v>
      </c>
      <c r="I108">
        <f>IF($A108&lt;=regressionsbasenl!$L$2,$A108*regressionsbasenl!$L$1,regressionsbasenl!$L$1*regressionsbasenl!$L$2+regressionsbasenl!$L$3*($A108-regressionsbasenl!$L$2))</f>
        <v>-7.602054834028336</v>
      </c>
      <c r="J108">
        <f>regressionsbasenl!$J$1*A108+regressionsbasenl!$J$2*A108^2</f>
        <v>-9.7582874291895152</v>
      </c>
      <c r="K108">
        <f>regressionsbasenl!$V$1*A108</f>
        <v>-7.6020548340283467</v>
      </c>
      <c r="L108">
        <f>regressionsbasenl!$N$1*A108^2</f>
        <v>-12.543142759224553</v>
      </c>
      <c r="M108">
        <f>regressionsbasenl!$R$1*A108^2+regressionsbasenl!$R$2*A108^6</f>
        <v>-9.1667128669046001</v>
      </c>
      <c r="N108">
        <f>regressionsbasenl!$P$1*A108^2+regressionsbasenl!$P$2*A108^7</f>
        <v>-11.127065279985354</v>
      </c>
      <c r="O108">
        <f>regressionsbasenl!$T$2+regressionsbasenl!$T$1*EXP(A108)</f>
        <v>-18.943262625105508</v>
      </c>
      <c r="P108" s="20">
        <f>(1-EXP(-2*regressionsbasenl!X$1*graphbasenl!A108))/2/EXP(-regressionsbasenl!X$1*A108)</f>
        <v>-14.183324895612895</v>
      </c>
      <c r="Q108" s="5"/>
      <c r="AT108" s="33"/>
      <c r="AW108" s="33"/>
      <c r="AZ108" s="33"/>
    </row>
    <row r="109" spans="1:52" x14ac:dyDescent="0.35">
      <c r="A109">
        <f t="shared" si="7"/>
        <v>8.5999999999999854</v>
      </c>
      <c r="B109">
        <f t="shared" si="4"/>
        <v>-9.9484043562024773</v>
      </c>
      <c r="C109">
        <f>regressionsbasenl!$AR$1*$A109</f>
        <v>9.3640988688650939</v>
      </c>
      <c r="D109">
        <f>regressionsbasenl!$AO$1*$A109</f>
        <v>13.219442142756764</v>
      </c>
      <c r="E109">
        <f t="shared" si="5"/>
        <v>8.7797933815277105</v>
      </c>
      <c r="F109">
        <f t="shared" si="6"/>
        <v>-36.387288641716005</v>
      </c>
      <c r="G109" s="5">
        <f>B109-regressions!AA$7</f>
        <v>-13.669692946667432</v>
      </c>
      <c r="H109" s="5">
        <f>B109+regressions!AA$7</f>
        <v>-6.2271157657375227</v>
      </c>
      <c r="I109">
        <f>IF($A109&lt;=regressionsbasenl!$L$2,$A109*regressionsbasenl!$L$1,regressionsbasenl!$L$1*regressionsbasenl!$L$2+regressionsbasenl!$L$3*($A109-regressionsbasenl!$L$2))</f>
        <v>-7.6914907732521982</v>
      </c>
      <c r="J109">
        <f>regressionsbasenl!$J$1*A109+regressionsbasenl!$J$2*A109^2</f>
        <v>-9.9307867453210719</v>
      </c>
      <c r="K109">
        <f>regressionsbasenl!$V$1*A109</f>
        <v>-7.6914907732522089</v>
      </c>
      <c r="L109">
        <f>regressionsbasenl!$N$1*A109^2</f>
        <v>-12.84001160515222</v>
      </c>
      <c r="M109">
        <f>regressionsbasenl!$R$1*A109^2+regressionsbasenl!$R$2*A109^6</f>
        <v>-9.4086074229539403</v>
      </c>
      <c r="N109">
        <f>regressionsbasenl!$P$1*A109^2+regressionsbasenl!$P$2*A109^7</f>
        <v>-11.266109163631491</v>
      </c>
      <c r="O109">
        <f>regressionsbasenl!$T$2+regressionsbasenl!$T$1*EXP(A109)</f>
        <v>-20.935948395259555</v>
      </c>
      <c r="P109" s="20">
        <f>(1-EXP(-2*regressionsbasenl!X$1*graphbasenl!A109))/2/EXP(-regressionsbasenl!X$1*A109)</f>
        <v>-14.754247468951274</v>
      </c>
      <c r="Q109" s="5"/>
      <c r="AT109" s="33"/>
      <c r="AW109" s="33"/>
      <c r="AZ109" s="33"/>
    </row>
    <row r="110" spans="1:52" x14ac:dyDescent="0.35">
      <c r="A110">
        <f t="shared" si="7"/>
        <v>8.6999999999999851</v>
      </c>
      <c r="B110">
        <f t="shared" si="4"/>
        <v>-10.160029972935355</v>
      </c>
      <c r="C110">
        <f>regressionsbasenl!$AR$1*$A110</f>
        <v>9.4729837394332925</v>
      </c>
      <c r="D110">
        <f>regressionsbasenl!$AO$1*$A110</f>
        <v>13.37315658627719</v>
      </c>
      <c r="E110">
        <f t="shared" si="5"/>
        <v>8.7859375059312299</v>
      </c>
      <c r="F110">
        <f t="shared" si="6"/>
        <v>-36.906343145489735</v>
      </c>
      <c r="G110" s="5">
        <f>B110-regressions!AA$7</f>
        <v>-13.88131856340031</v>
      </c>
      <c r="H110" s="5">
        <f>B110+regressions!AA$7</f>
        <v>-6.4387413824704005</v>
      </c>
      <c r="I110">
        <f>IF($A110&lt;=regressionsbasenl!$L$2,$A110*regressionsbasenl!$L$1,regressionsbasenl!$L$1*regressionsbasenl!$L$2+regressionsbasenl!$L$3*($A110-regressionsbasenl!$L$2))</f>
        <v>-7.7809267124760613</v>
      </c>
      <c r="J110">
        <f>regressionsbasenl!$J$1*A110+regressionsbasenl!$J$2*A110^2</f>
        <v>-10.104627827373829</v>
      </c>
      <c r="K110">
        <f>regressionsbasenl!$V$1*A110</f>
        <v>-7.7809267124760719</v>
      </c>
      <c r="L110">
        <f>regressionsbasenl!$N$1*A110^2</f>
        <v>-13.140352601324656</v>
      </c>
      <c r="M110">
        <f>regressionsbasenl!$R$1*A110^2+regressionsbasenl!$R$2*A110^6</f>
        <v>-9.6551121436711647</v>
      </c>
      <c r="N110">
        <f>regressionsbasenl!$P$1*A110^2+regressionsbasenl!$P$2*A110^7</f>
        <v>-11.396361046067071</v>
      </c>
      <c r="O110">
        <f>regressionsbasenl!$T$2+regressionsbasenl!$T$1*EXP(A110)</f>
        <v>-23.138206757296981</v>
      </c>
      <c r="P110" s="20">
        <f>(1-EXP(-2*regressionsbasenl!X$1*graphbasenl!A110))/2/EXP(-regressionsbasenl!X$1*A110)</f>
        <v>-15.34804209697225</v>
      </c>
      <c r="Q110" s="5"/>
      <c r="AT110" s="33"/>
      <c r="AW110" s="33"/>
      <c r="AZ110" s="33"/>
    </row>
    <row r="111" spans="1:52" x14ac:dyDescent="0.35">
      <c r="A111">
        <f t="shared" si="7"/>
        <v>8.7999999999999847</v>
      </c>
      <c r="B111">
        <f t="shared" si="4"/>
        <v>-10.374645206252708</v>
      </c>
      <c r="C111">
        <f>regressionsbasenl!$AR$1*$A111</f>
        <v>9.5818686100014911</v>
      </c>
      <c r="D111">
        <f>regressionsbasenl!$AO$1*$A111</f>
        <v>13.526871029797617</v>
      </c>
      <c r="E111">
        <f t="shared" si="5"/>
        <v>8.7890920137502739</v>
      </c>
      <c r="F111">
        <f t="shared" si="6"/>
        <v>-37.428387265847945</v>
      </c>
      <c r="G111" s="5">
        <f>B111-regressions!AA$7</f>
        <v>-14.095933796717663</v>
      </c>
      <c r="H111" s="5">
        <f>B111+regressions!AA$7</f>
        <v>-6.6533566157877537</v>
      </c>
      <c r="I111">
        <f>IF($A111&lt;=regressionsbasenl!$L$2,$A111*regressionsbasenl!$L$1,regressionsbasenl!$L$1*regressionsbasenl!$L$2+regressionsbasenl!$L$3*($A111-regressionsbasenl!$L$2))</f>
        <v>-7.8703626516999234</v>
      </c>
      <c r="J111">
        <f>regressionsbasenl!$J$1*A111+regressionsbasenl!$J$2*A111^2</f>
        <v>-10.279810675347786</v>
      </c>
      <c r="K111">
        <f>regressionsbasenl!$V$1*A111</f>
        <v>-7.870362651699935</v>
      </c>
      <c r="L111">
        <f>regressionsbasenl!$N$1*A111^2</f>
        <v>-13.444165747741858</v>
      </c>
      <c r="M111">
        <f>regressionsbasenl!$R$1*A111^2+regressionsbasenl!$R$2*A111^6</f>
        <v>-9.9063317834828695</v>
      </c>
      <c r="N111">
        <f>regressionsbasenl!$P$1*A111^2+regressionsbasenl!$P$2*A111^7</f>
        <v>-11.517081298147398</v>
      </c>
      <c r="O111">
        <f>regressionsbasenl!$T$2+regressionsbasenl!$T$1*EXP(A111)</f>
        <v>-25.572078653109653</v>
      </c>
      <c r="P111" s="20">
        <f>(1-EXP(-2*regressionsbasenl!X$1*graphbasenl!A111))/2/EXP(-regressionsbasenl!X$1*A111)</f>
        <v>-15.965629280923395</v>
      </c>
      <c r="Q111" s="5"/>
      <c r="AT111" s="33"/>
      <c r="AW111" s="33"/>
      <c r="AZ111" s="33"/>
    </row>
    <row r="112" spans="1:52" x14ac:dyDescent="0.35">
      <c r="A112">
        <f t="shared" si="7"/>
        <v>8.8999999999999844</v>
      </c>
      <c r="B112">
        <f t="shared" si="4"/>
        <v>-10.592293579173042</v>
      </c>
      <c r="C112">
        <f>regressionsbasenl!$AR$1*$A112</f>
        <v>9.6907534805696898</v>
      </c>
      <c r="D112">
        <f>regressionsbasenl!$AO$1*$A112</f>
        <v>13.680585473318045</v>
      </c>
      <c r="E112">
        <f t="shared" si="5"/>
        <v>8.7892133819663378</v>
      </c>
      <c r="F112">
        <f t="shared" si="6"/>
        <v>-37.953464525809132</v>
      </c>
      <c r="G112" s="5">
        <f>B112-regressions!AA$7</f>
        <v>-14.313582169637996</v>
      </c>
      <c r="H112" s="5">
        <f>B112+regressions!AA$7</f>
        <v>-6.8710049887080871</v>
      </c>
      <c r="I112">
        <f>IF($A112&lt;=regressionsbasenl!$L$2,$A112*regressionsbasenl!$L$1,regressionsbasenl!$L$1*regressionsbasenl!$L$2+regressionsbasenl!$L$3*($A112-regressionsbasenl!$L$2))</f>
        <v>-7.9597985909237865</v>
      </c>
      <c r="J112">
        <f>regressionsbasenl!$J$1*A112+regressionsbasenl!$J$2*A112^2</f>
        <v>-10.456335289242947</v>
      </c>
      <c r="K112">
        <f>regressionsbasenl!$V$1*A112</f>
        <v>-7.9597985909237972</v>
      </c>
      <c r="L112">
        <f>regressionsbasenl!$N$1*A112^2</f>
        <v>-13.751451044403831</v>
      </c>
      <c r="M112">
        <f>regressionsbasenl!$R$1*A112^2+regressionsbasenl!$R$2*A112^6</f>
        <v>-10.162374771833209</v>
      </c>
      <c r="N112">
        <f>regressionsbasenl!$P$1*A112^2+regressionsbasenl!$P$2*A112^7</f>
        <v>-11.62749549406036</v>
      </c>
      <c r="O112">
        <f>regressionsbasenl!$T$2+regressionsbasenl!$T$1*EXP(A112)</f>
        <v>-28.261923090683457</v>
      </c>
      <c r="P112" s="20">
        <f>(1-EXP(-2*regressionsbasenl!X$1*graphbasenl!A112))/2/EXP(-regressionsbasenl!X$1*A112)</f>
        <v>-16.607966405305159</v>
      </c>
      <c r="Q112" s="5"/>
      <c r="AT112" s="33"/>
      <c r="AW112" s="33"/>
      <c r="AZ112" s="33"/>
    </row>
    <row r="113" spans="1:52" x14ac:dyDescent="0.35">
      <c r="A113">
        <f t="shared" si="7"/>
        <v>8.999999999999984</v>
      </c>
      <c r="B113">
        <f t="shared" si="4"/>
        <v>-10.813019942975728</v>
      </c>
      <c r="C113">
        <f>regressionsbasenl!$AR$1*$A113</f>
        <v>9.7996383511378884</v>
      </c>
      <c r="D113">
        <f>regressionsbasenl!$AO$1*$A113</f>
        <v>13.834299916838471</v>
      </c>
      <c r="E113">
        <f t="shared" si="5"/>
        <v>8.7862567593000485</v>
      </c>
      <c r="F113">
        <f t="shared" si="6"/>
        <v>-38.481619776652671</v>
      </c>
      <c r="G113" s="5">
        <f>B113-regressions!AA$7</f>
        <v>-14.534308533440683</v>
      </c>
      <c r="H113" s="5">
        <f>B113+regressions!AA$7</f>
        <v>-7.0917313525107737</v>
      </c>
      <c r="I113">
        <f>IF($A113&lt;=regressionsbasenl!$L$2,$A113*regressionsbasenl!$L$1,regressionsbasenl!$L$1*regressionsbasenl!$L$2+regressionsbasenl!$L$3*($A113-regressionsbasenl!$L$2))</f>
        <v>-8.0492345301476487</v>
      </c>
      <c r="J113">
        <f>regressionsbasenl!$J$1*A113+regressionsbasenl!$J$2*A113^2</f>
        <v>-10.63420166905931</v>
      </c>
      <c r="K113">
        <f>regressionsbasenl!$V$1*A113</f>
        <v>-8.0492345301476593</v>
      </c>
      <c r="L113">
        <f>regressionsbasenl!$N$1*A113^2</f>
        <v>-14.062208491310569</v>
      </c>
      <c r="M113">
        <f>regressionsbasenl!$R$1*A113^2+regressionsbasenl!$R$2*A113^6</f>
        <v>-10.423353298148825</v>
      </c>
      <c r="N113">
        <f>regressionsbasenl!$P$1*A113^2+regressionsbasenl!$P$2*A113^7</f>
        <v>-11.726793197704239</v>
      </c>
      <c r="O113">
        <f>regressionsbasenl!$T$2+regressionsbasenl!$T$1*EXP(A113)</f>
        <v>-31.234660937237575</v>
      </c>
      <c r="P113" s="20">
        <f>(1-EXP(-2*regressionsbasenl!X$1*graphbasenl!A113))/2/EXP(-regressionsbasenl!X$1*A113)</f>
        <v>-17.276049222009629</v>
      </c>
      <c r="Q113" s="5"/>
      <c r="AT113" s="33"/>
      <c r="AW113" s="33"/>
      <c r="AZ113" s="33"/>
    </row>
    <row r="114" spans="1:52" x14ac:dyDescent="0.35">
      <c r="A114">
        <f t="shared" si="7"/>
        <v>9.0999999999999837</v>
      </c>
      <c r="B114">
        <f t="shared" si="4"/>
        <v>-11.036870552626828</v>
      </c>
      <c r="C114">
        <f>regressionsbasenl!$AR$1*$A114</f>
        <v>9.908523221706087</v>
      </c>
      <c r="D114">
        <f>regressionsbasenl!$AO$1*$A114</f>
        <v>13.988014360358898</v>
      </c>
      <c r="E114">
        <f t="shared" si="5"/>
        <v>8.7801758907853458</v>
      </c>
      <c r="F114">
        <f t="shared" si="6"/>
        <v>-39.012899273344622</v>
      </c>
      <c r="G114" s="5">
        <f>B114-regressions!AA$7</f>
        <v>-14.758159143091783</v>
      </c>
      <c r="H114" s="5">
        <f>B114+regressions!AA$7</f>
        <v>-7.3155819621618736</v>
      </c>
      <c r="I114">
        <f>IF($A114&lt;=regressionsbasenl!$L$2,$A114*regressionsbasenl!$L$1,regressionsbasenl!$L$1*regressionsbasenl!$L$2+regressionsbasenl!$L$3*($A114-regressionsbasenl!$L$2))</f>
        <v>-8.1386704693715117</v>
      </c>
      <c r="J114">
        <f>regressionsbasenl!$J$1*A114+regressionsbasenl!$J$2*A114^2</f>
        <v>-10.813409814796874</v>
      </c>
      <c r="K114">
        <f>regressionsbasenl!$V$1*A114</f>
        <v>-8.1386704693715224</v>
      </c>
      <c r="L114">
        <f>regressionsbasenl!$N$1*A114^2</f>
        <v>-14.376438088462077</v>
      </c>
      <c r="M114">
        <f>regressionsbasenl!$R$1*A114^2+regressionsbasenl!$R$2*A114^6</f>
        <v>-10.689383397774851</v>
      </c>
      <c r="N114">
        <f>regressionsbasenl!$P$1*A114^2+regressionsbasenl!$P$2*A114^7</f>
        <v>-11.814126721168556</v>
      </c>
      <c r="O114">
        <f>regressionsbasenl!$T$2+regressionsbasenl!$T$1*EXP(A114)</f>
        <v>-34.520044352312013</v>
      </c>
      <c r="P114" s="20">
        <f>(1-EXP(-2*regressionsbasenl!X$1*graphbasenl!A114))/2/EXP(-regressionsbasenl!X$1*A114)</f>
        <v>-17.970913393936478</v>
      </c>
      <c r="Q114" s="5"/>
      <c r="AT114" s="33"/>
      <c r="AW114" s="33"/>
      <c r="AZ114" s="33"/>
    </row>
    <row r="115" spans="1:52" x14ac:dyDescent="0.35">
      <c r="A115">
        <f t="shared" si="7"/>
        <v>9.1999999999999833</v>
      </c>
      <c r="B115">
        <f t="shared" si="4"/>
        <v>-11.263893148623218</v>
      </c>
      <c r="C115">
        <f>regressionsbasenl!$AR$1*$A115</f>
        <v>10.017408092274286</v>
      </c>
      <c r="D115">
        <f>regressionsbasenl!$AO$1*$A115</f>
        <v>14.141728803879326</v>
      </c>
      <c r="E115">
        <f t="shared" si="5"/>
        <v>8.7709230359253532</v>
      </c>
      <c r="F115">
        <f t="shared" si="6"/>
        <v>-39.547350756381874</v>
      </c>
      <c r="G115" s="5">
        <f>B115-regressions!AA$7</f>
        <v>-14.985181739088173</v>
      </c>
      <c r="H115" s="5">
        <f>B115+regressions!AA$7</f>
        <v>-7.5426045581582635</v>
      </c>
      <c r="I115">
        <f>IF($A115&lt;=regressionsbasenl!$L$2,$A115*regressionsbasenl!$L$1,regressionsbasenl!$L$1*regressionsbasenl!$L$2+regressionsbasenl!$L$3*($A115-regressionsbasenl!$L$2))</f>
        <v>-8.2281064085953748</v>
      </c>
      <c r="J115">
        <f>regressionsbasenl!$J$1*A115+regressionsbasenl!$J$2*A115^2</f>
        <v>-10.993959726455639</v>
      </c>
      <c r="K115">
        <f>regressionsbasenl!$V$1*A115</f>
        <v>-8.2281064085953854</v>
      </c>
      <c r="L115">
        <f>regressionsbasenl!$N$1*A115^2</f>
        <v>-14.694139835858351</v>
      </c>
      <c r="M115">
        <f>regressionsbasenl!$R$1*A115^2+regressionsbasenl!$R$2*A115^6</f>
        <v>-10.960585038881911</v>
      </c>
      <c r="N115">
        <f>regressionsbasenl!$P$1*A115^2+regressionsbasenl!$P$2*A115^7</f>
        <v>-11.888609855001004</v>
      </c>
      <c r="O115">
        <f>regressionsbasenl!$T$2+regressionsbasenl!$T$1*EXP(A115)</f>
        <v>-38.150954557380331</v>
      </c>
      <c r="P115" s="20">
        <f>(1-EXP(-2*regressionsbasenl!X$1*graphbasenl!A115))/2/EXP(-regressionsbasenl!X$1*A115)</f>
        <v>-18.693636100479011</v>
      </c>
      <c r="Q115" s="5"/>
      <c r="AT115" s="33"/>
      <c r="AW115" s="33"/>
      <c r="AZ115" s="33"/>
    </row>
    <row r="116" spans="1:52" x14ac:dyDescent="0.35">
      <c r="A116">
        <f t="shared" si="7"/>
        <v>9.2999999999999829</v>
      </c>
      <c r="B116">
        <f t="shared" si="4"/>
        <v>-11.494137045792883</v>
      </c>
      <c r="C116">
        <f>regressionsbasenl!$AR$1*$A116</f>
        <v>10.126292962842484</v>
      </c>
      <c r="D116">
        <f>regressionsbasenl!$AO$1*$A116</f>
        <v>14.295443247399753</v>
      </c>
      <c r="E116">
        <f t="shared" si="5"/>
        <v>8.7584488798920859</v>
      </c>
      <c r="F116">
        <f t="shared" si="6"/>
        <v>-40.085023540592388</v>
      </c>
      <c r="G116" s="5">
        <f>B116-regressions!AA$7</f>
        <v>-15.215425636257837</v>
      </c>
      <c r="H116" s="5">
        <f>B116+regressions!AA$7</f>
        <v>-7.772848455327928</v>
      </c>
      <c r="I116">
        <f>IF($A116&lt;=regressionsbasenl!$L$2,$A116*regressionsbasenl!$L$1,regressionsbasenl!$L$1*regressionsbasenl!$L$2+regressionsbasenl!$L$3*($A116-regressionsbasenl!$L$2))</f>
        <v>-8.3175423478192361</v>
      </c>
      <c r="J116">
        <f>regressionsbasenl!$J$1*A116+regressionsbasenl!$J$2*A116^2</f>
        <v>-11.175851404035608</v>
      </c>
      <c r="K116">
        <f>regressionsbasenl!$V$1*A116</f>
        <v>-8.3175423478192485</v>
      </c>
      <c r="L116">
        <f>regressionsbasenl!$N$1*A116^2</f>
        <v>-15.015313733499395</v>
      </c>
      <c r="M116">
        <f>regressionsbasenl!$R$1*A116^2+regressionsbasenl!$R$2*A116^6</f>
        <v>-11.237082210344173</v>
      </c>
      <c r="N116">
        <f>regressionsbasenl!$P$1*A116^2+regressionsbasenl!$P$2*A116^7</f>
        <v>-11.949316569943399</v>
      </c>
      <c r="O116">
        <f>regressionsbasenl!$T$2+regressionsbasenl!$T$1*EXP(A116)</f>
        <v>-42.163730922165918</v>
      </c>
      <c r="P116" s="20">
        <f>(1-EXP(-2*regressionsbasenl!X$1*graphbasenl!A116))/2/EXP(-regressionsbasenl!X$1*A116)</f>
        <v>-19.445337707369138</v>
      </c>
      <c r="Q116" s="5"/>
      <c r="AE116" s="58"/>
      <c r="AO116" s="1"/>
      <c r="AP116" s="1"/>
      <c r="AT116" s="33"/>
      <c r="AW116" s="33"/>
      <c r="AZ116" s="33"/>
    </row>
    <row r="117" spans="1:52" x14ac:dyDescent="0.35">
      <c r="A117">
        <f t="shared" si="7"/>
        <v>9.3999999999999826</v>
      </c>
      <c r="B117">
        <f t="shared" si="4"/>
        <v>-11.727653229634518</v>
      </c>
      <c r="C117">
        <f>regressionsbasenl!$AR$1*$A117</f>
        <v>10.235177833410683</v>
      </c>
      <c r="D117">
        <f>regressionsbasenl!$AO$1*$A117</f>
        <v>14.449157690920181</v>
      </c>
      <c r="E117">
        <f t="shared" si="5"/>
        <v>8.742702437186848</v>
      </c>
      <c r="F117">
        <f t="shared" si="6"/>
        <v>-40.625968611474882</v>
      </c>
      <c r="G117" s="5">
        <f>B117-regressions!AA$7</f>
        <v>-15.448941820099472</v>
      </c>
      <c r="H117" s="5">
        <f>B117+regressions!AA$7</f>
        <v>-8.0063646391695631</v>
      </c>
      <c r="I117">
        <f>IF($A117&lt;=regressionsbasenl!$L$2,$A117*regressionsbasenl!$L$1,regressionsbasenl!$L$1*regressionsbasenl!$L$2+regressionsbasenl!$L$3*($A117-regressionsbasenl!$L$2))</f>
        <v>-8.4069782870430991</v>
      </c>
      <c r="J117">
        <f>regressionsbasenl!$J$1*A117+regressionsbasenl!$J$2*A117^2</f>
        <v>-11.359084847536776</v>
      </c>
      <c r="K117">
        <f>regressionsbasenl!$V$1*A117</f>
        <v>-8.4069782870431116</v>
      </c>
      <c r="L117">
        <f>regressionsbasenl!$N$1*A117^2</f>
        <v>-15.339959781385206</v>
      </c>
      <c r="M117">
        <f>regressionsbasenl!$R$1*A117^2+regressionsbasenl!$R$2*A117^6</f>
        <v>-11.519003010588406</v>
      </c>
      <c r="N117">
        <f>regressionsbasenl!$P$1*A117^2+regressionsbasenl!$P$2*A117^7</f>
        <v>-11.995279689819686</v>
      </c>
      <c r="O117">
        <f>regressionsbasenl!$T$2+regressionsbasenl!$T$1*EXP(A117)</f>
        <v>-46.598534661268268</v>
      </c>
      <c r="P117" s="20">
        <f>(1-EXP(-2*regressionsbasenl!X$1*graphbasenl!A117))/2/EXP(-regressionsbasenl!X$1*A117)</f>
        <v>-20.227183503469888</v>
      </c>
      <c r="Q117" s="5"/>
      <c r="AT117" s="33"/>
      <c r="AW117" s="33"/>
      <c r="AZ117" s="33"/>
    </row>
    <row r="118" spans="1:52" x14ac:dyDescent="0.35">
      <c r="A118">
        <f t="shared" si="7"/>
        <v>9.4999999999999822</v>
      </c>
      <c r="B118">
        <f t="shared" si="4"/>
        <v>-11.964494460829227</v>
      </c>
      <c r="C118">
        <f>regressionsbasenl!$AR$1*$A118</f>
        <v>10.344062703978882</v>
      </c>
      <c r="D118">
        <f>regressionsbasenl!$AO$1*$A118</f>
        <v>14.602872134440608</v>
      </c>
      <c r="E118">
        <f t="shared" si="5"/>
        <v>8.7236309471285356</v>
      </c>
      <c r="F118">
        <f t="shared" si="6"/>
        <v>-41.170238729710441</v>
      </c>
      <c r="G118" s="5">
        <f>B118-regressions!AA$7</f>
        <v>-15.685783051294182</v>
      </c>
      <c r="H118" s="5">
        <f>B118+regressions!AA$7</f>
        <v>-8.2432058703642728</v>
      </c>
      <c r="I118">
        <f>IF($A118&lt;=regressionsbasenl!$L$2,$A118*regressionsbasenl!$L$1,regressionsbasenl!$L$1*regressionsbasenl!$L$2+regressionsbasenl!$L$3*($A118-regressionsbasenl!$L$2))</f>
        <v>-8.4964142262669622</v>
      </c>
      <c r="J118">
        <f>regressionsbasenl!$J$1*A118+regressionsbasenl!$J$2*A118^2</f>
        <v>-11.543660056959148</v>
      </c>
      <c r="K118">
        <f>regressionsbasenl!$V$1*A118</f>
        <v>-8.4964142262669728</v>
      </c>
      <c r="L118">
        <f>regressionsbasenl!$N$1*A118^2</f>
        <v>-15.668077979515784</v>
      </c>
      <c r="M118">
        <f>regressionsbasenl!$R$1*A118^2+regressionsbasenl!$R$2*A118^6</f>
        <v>-11.806479737414074</v>
      </c>
      <c r="N118">
        <f>regressionsbasenl!$P$1*A118^2+regressionsbasenl!$P$2*A118^7</f>
        <v>-12.025489535258963</v>
      </c>
      <c r="O118">
        <f>regressionsbasenl!$T$2+regressionsbasenl!$T$1*EXP(A118)</f>
        <v>-51.499750781097326</v>
      </c>
      <c r="P118" s="20">
        <f>(1-EXP(-2*regressionsbasenl!X$1*graphbasenl!A118))/2/EXP(-regressionsbasenl!X$1*A118)</f>
        <v>-21.040385507207763</v>
      </c>
      <c r="Q118" s="5"/>
      <c r="AT118" s="33"/>
      <c r="AW118" s="33"/>
      <c r="AZ118" s="33"/>
    </row>
    <row r="119" spans="1:52" x14ac:dyDescent="0.35">
      <c r="A119">
        <f t="shared" si="7"/>
        <v>9.5999999999999819</v>
      </c>
      <c r="B119">
        <f t="shared" si="4"/>
        <v>-12.20471538861117</v>
      </c>
      <c r="C119">
        <f>regressionsbasenl!$AR$1*$A119</f>
        <v>10.45294757454708</v>
      </c>
      <c r="D119">
        <f>regressionsbasenl!$AO$1*$A119</f>
        <v>14.756586577961034</v>
      </c>
      <c r="E119">
        <f t="shared" si="5"/>
        <v>8.7011797604829901</v>
      </c>
      <c r="F119">
        <f t="shared" si="6"/>
        <v>-41.717888544533238</v>
      </c>
      <c r="G119" s="5">
        <f>B119-regressions!AA$7</f>
        <v>-15.926003979076125</v>
      </c>
      <c r="H119" s="5">
        <f>B119+regressions!AA$7</f>
        <v>-8.4834267981462155</v>
      </c>
      <c r="I119">
        <f>IF($A119&lt;=regressionsbasenl!$L$2,$A119*regressionsbasenl!$L$1,regressionsbasenl!$L$1*regressionsbasenl!$L$2+regressionsbasenl!$L$3*($A119-regressionsbasenl!$L$2))</f>
        <v>-8.5858501654908252</v>
      </c>
      <c r="J119">
        <f>regressionsbasenl!$J$1*A119+regressionsbasenl!$J$2*A119^2</f>
        <v>-11.729577032302721</v>
      </c>
      <c r="K119">
        <f>regressionsbasenl!$V$1*A119</f>
        <v>-8.5858501654908359</v>
      </c>
      <c r="L119">
        <f>regressionsbasenl!$N$1*A119^2</f>
        <v>-15.999668327891133</v>
      </c>
      <c r="M119">
        <f>regressionsbasenl!$R$1*A119^2+regressionsbasenl!$R$2*A119^6</f>
        <v>-12.099648978784472</v>
      </c>
      <c r="N119">
        <f>regressionsbasenl!$P$1*A119^2+regressionsbasenl!$P$2*A119^7</f>
        <v>-12.038892537936524</v>
      </c>
      <c r="O119">
        <f>regressionsbasenl!$T$2+regressionsbasenl!$T$1*EXP(A119)</f>
        <v>-56.91643229993597</v>
      </c>
      <c r="P119" s="20">
        <f>(1-EXP(-2*regressionsbasenl!X$1*graphbasenl!A119))/2/EXP(-regressionsbasenl!X$1*A119)</f>
        <v>-21.886204345445414</v>
      </c>
      <c r="Q119" s="5"/>
      <c r="AT119" s="33"/>
      <c r="AW119" s="33"/>
      <c r="AZ119" s="33"/>
    </row>
    <row r="120" spans="1:52" x14ac:dyDescent="0.35">
      <c r="A120">
        <f t="shared" si="7"/>
        <v>9.6999999999999815</v>
      </c>
      <c r="B120">
        <f t="shared" si="4"/>
        <v>-12.44837267374332</v>
      </c>
      <c r="C120">
        <f>regressionsbasenl!$AR$1*$A120</f>
        <v>10.561832445115279</v>
      </c>
      <c r="D120">
        <f>regressionsbasenl!$AO$1*$A120</f>
        <v>14.910301021481462</v>
      </c>
      <c r="E120">
        <f t="shared" si="5"/>
        <v>8.6752922164872377</v>
      </c>
      <c r="F120">
        <f t="shared" si="6"/>
        <v>-42.268974716706246</v>
      </c>
      <c r="G120" s="5">
        <f>B120-regressions!AA$7</f>
        <v>-16.169661264208276</v>
      </c>
      <c r="H120" s="5">
        <f>B120+regressions!AA$7</f>
        <v>-8.7270840832783652</v>
      </c>
      <c r="I120">
        <f>IF($A120&lt;=regressionsbasenl!$L$2,$A120*regressionsbasenl!$L$1,regressionsbasenl!$L$1*regressionsbasenl!$L$2+regressionsbasenl!$L$3*($A120-regressionsbasenl!$L$2))</f>
        <v>-8.6752861047146865</v>
      </c>
      <c r="J120">
        <f>regressionsbasenl!$J$1*A120+regressionsbasenl!$J$2*A120^2</f>
        <v>-11.916835773567497</v>
      </c>
      <c r="K120">
        <f>regressionsbasenl!$V$1*A120</f>
        <v>-8.675286104714699</v>
      </c>
      <c r="L120">
        <f>regressionsbasenl!$N$1*A120^2</f>
        <v>-16.334730826511251</v>
      </c>
      <c r="M120">
        <f>regressionsbasenl!$R$1*A120^2+regressionsbasenl!$R$2*A120^6</f>
        <v>-12.398651704588866</v>
      </c>
      <c r="N120">
        <f>regressionsbasenl!$P$1*A120^2+regressionsbasenl!$P$2*A120^7</f>
        <v>-12.0343898250159</v>
      </c>
      <c r="O120">
        <f>regressionsbasenl!$T$2+regressionsbasenl!$T$1*EXP(A120)</f>
        <v>-62.902791187034261</v>
      </c>
      <c r="P120" s="20">
        <f>(1-EXP(-2*regressionsbasenl!X$1*graphbasenl!A120))/2/EXP(-regressionsbasenl!X$1*A120)</f>
        <v>-22.765951207707104</v>
      </c>
      <c r="Q120" s="5"/>
      <c r="AT120" s="33"/>
      <c r="AW120" s="33"/>
      <c r="AZ120" s="33"/>
    </row>
    <row r="121" spans="1:52" x14ac:dyDescent="0.35">
      <c r="A121">
        <f t="shared" si="7"/>
        <v>9.7999999999999812</v>
      </c>
      <c r="B121">
        <f t="shared" si="4"/>
        <v>-12.695525121909338</v>
      </c>
      <c r="C121">
        <f>regressionsbasenl!$AR$1*$A121</f>
        <v>10.670717315683477</v>
      </c>
      <c r="D121">
        <f>regressionsbasenl!$AO$1*$A121</f>
        <v>15.064015465001889</v>
      </c>
      <c r="E121">
        <f t="shared" si="5"/>
        <v>8.645909509457617</v>
      </c>
      <c r="F121">
        <f t="shared" si="6"/>
        <v>-42.823556051913116</v>
      </c>
      <c r="G121" s="5">
        <f>B121-regressions!AA$7</f>
        <v>-16.416813712374292</v>
      </c>
      <c r="H121" s="5">
        <f>B121+regressions!AA$7</f>
        <v>-8.974236531444383</v>
      </c>
      <c r="I121">
        <f>IF($A121&lt;=regressionsbasenl!$L$2,$A121*regressionsbasenl!$L$1,regressionsbasenl!$L$1*regressionsbasenl!$L$2+regressionsbasenl!$L$3*($A121-regressionsbasenl!$L$2))</f>
        <v>-8.7647220439385496</v>
      </c>
      <c r="J121">
        <f>regressionsbasenl!$J$1*A121+regressionsbasenl!$J$2*A121^2</f>
        <v>-12.105436280753473</v>
      </c>
      <c r="K121">
        <f>regressionsbasenl!$V$1*A121</f>
        <v>-8.764722043938562</v>
      </c>
      <c r="L121">
        <f>regressionsbasenl!$N$1*A121^2</f>
        <v>-16.673265475376134</v>
      </c>
      <c r="M121">
        <f>regressionsbasenl!$R$1*A121^2+regressionsbasenl!$R$2*A121^6</f>
        <v>-12.703633359375678</v>
      </c>
      <c r="N121">
        <f>regressionsbasenl!$P$1*A121^2+regressionsbasenl!$P$2*A121^7</f>
        <v>-12.010835773474913</v>
      </c>
      <c r="O121">
        <f>regressionsbasenl!$T$2+regressionsbasenl!$T$1*EXP(A121)</f>
        <v>-69.518740934218997</v>
      </c>
      <c r="P121" s="20">
        <f>(1-EXP(-2*regressionsbasenl!X$1*graphbasenl!A121))/2/EXP(-regressionsbasenl!X$1*A121)</f>
        <v>-23.680989878786541</v>
      </c>
      <c r="Q121" s="5"/>
      <c r="AT121" s="33"/>
      <c r="AW121" s="33"/>
      <c r="AZ121" s="33"/>
    </row>
    <row r="122" spans="1:52" x14ac:dyDescent="0.35">
      <c r="A122">
        <f t="shared" si="7"/>
        <v>9.8999999999999808</v>
      </c>
      <c r="B122">
        <f t="shared" si="4"/>
        <v>-12.946233828403505</v>
      </c>
      <c r="C122">
        <f>regressionsbasenl!$AR$1*$A122</f>
        <v>10.779602186251676</v>
      </c>
      <c r="D122">
        <f>regressionsbasenl!$AO$1*$A122</f>
        <v>15.217729908522315</v>
      </c>
      <c r="E122">
        <f t="shared" si="5"/>
        <v>8.6129705440998467</v>
      </c>
      <c r="F122">
        <f t="shared" si="6"/>
        <v>-43.381693645448138</v>
      </c>
      <c r="G122" s="5">
        <f>B122-regressions!AA$7</f>
        <v>-16.667522418868462</v>
      </c>
      <c r="H122" s="5">
        <f>B122+regressions!AA$7</f>
        <v>-9.2249452379385506</v>
      </c>
      <c r="I122">
        <f>IF($A122&lt;=regressionsbasenl!$L$2,$A122*regressionsbasenl!$L$1,regressionsbasenl!$L$1*regressionsbasenl!$L$2+regressionsbasenl!$L$3*($A122-regressionsbasenl!$L$2))</f>
        <v>-8.8541579831624126</v>
      </c>
      <c r="J122">
        <f>regressionsbasenl!$J$1*A122+regressionsbasenl!$J$2*A122^2</f>
        <v>-12.295378553860651</v>
      </c>
      <c r="K122">
        <f>regressionsbasenl!$V$1*A122</f>
        <v>-8.8541579831624251</v>
      </c>
      <c r="L122">
        <f>regressionsbasenl!$N$1*A122^2</f>
        <v>-17.015272274485785</v>
      </c>
      <c r="M122">
        <f>regressionsbasenl!$R$1*A122^2+regressionsbasenl!$R$2*A122^6</f>
        <v>-13.014743956056693</v>
      </c>
      <c r="N122">
        <f>regressionsbasenl!$P$1*A122^2+regressionsbasenl!$P$2*A122^7</f>
        <v>-11.967036533998675</v>
      </c>
      <c r="O122">
        <f>regressionsbasenl!$T$2+regressionsbasenl!$T$1*EXP(A122)</f>
        <v>-76.830496190257492</v>
      </c>
      <c r="P122" s="20">
        <f>(1-EXP(-2*regressionsbasenl!X$1*graphbasenl!A122))/2/EXP(-regressionsbasenl!X$1*A122)</f>
        <v>-24.632738852887879</v>
      </c>
      <c r="Q122" s="5"/>
      <c r="AT122" s="33"/>
      <c r="AW122" s="33"/>
      <c r="AZ122" s="33"/>
    </row>
    <row r="123" spans="1:52" x14ac:dyDescent="0.35">
      <c r="A123">
        <f t="shared" si="7"/>
        <v>9.9999999999999805</v>
      </c>
      <c r="B123">
        <f t="shared" si="4"/>
        <v>-13.200562335078448</v>
      </c>
      <c r="C123">
        <f>regressionsbasenl!$AR$1*$A123</f>
        <v>10.888487056819875</v>
      </c>
      <c r="D123">
        <f>regressionsbasenl!$AO$1*$A123</f>
        <v>15.371444352042744</v>
      </c>
      <c r="E123">
        <f t="shared" si="5"/>
        <v>8.576411778561301</v>
      </c>
      <c r="F123">
        <f t="shared" si="6"/>
        <v>-43.943451039163932</v>
      </c>
      <c r="G123" s="5">
        <f>B123-regressions!AA$7</f>
        <v>-16.921850925543403</v>
      </c>
      <c r="H123" s="5">
        <f>B123+regressions!AA$7</f>
        <v>-9.4792737446134936</v>
      </c>
      <c r="I123">
        <f>IF($A123&lt;=regressionsbasenl!$L$2,$A123*regressionsbasenl!$L$1,regressionsbasenl!$L$1*regressionsbasenl!$L$2+regressionsbasenl!$L$3*($A123-regressionsbasenl!$L$2))</f>
        <v>-8.9435939223862757</v>
      </c>
      <c r="J123">
        <f>regressionsbasenl!$J$1*A123+regressionsbasenl!$J$2*A123^2</f>
        <v>-12.486662592889031</v>
      </c>
      <c r="K123">
        <f>regressionsbasenl!$V$1*A123</f>
        <v>-8.9435939223862881</v>
      </c>
      <c r="L123">
        <f>regressionsbasenl!$N$1*A123^2</f>
        <v>-17.3607512238402</v>
      </c>
      <c r="M123">
        <f>regressionsbasenl!$R$1*A123^2+regressionsbasenl!$R$2*A123^6</f>
        <v>-13.332138170582301</v>
      </c>
      <c r="N123">
        <f>regressionsbasenl!$P$1*A123^2+regressionsbasenl!$P$2*A123^7</f>
        <v>-11.901748524122613</v>
      </c>
      <c r="O123">
        <f>regressionsbasenl!$T$2+regressionsbasenl!$T$1*EXP(A123)</f>
        <v>-84.911235459317993</v>
      </c>
      <c r="P123" s="20">
        <f>(1-EXP(-2*regressionsbasenl!X$1*graphbasenl!A123))/2/EXP(-regressionsbasenl!X$1*A123)</f>
        <v>-25.622673532577437</v>
      </c>
      <c r="Q123" s="5"/>
      <c r="AT123" s="33"/>
      <c r="AW123" s="33"/>
      <c r="AZ123" s="33"/>
    </row>
    <row r="124" spans="1:52" x14ac:dyDescent="0.35">
      <c r="A124">
        <f t="shared" si="7"/>
        <v>10.09999999999998</v>
      </c>
      <c r="B124">
        <f t="shared" si="4"/>
        <v>-13.458576800595633</v>
      </c>
      <c r="C124">
        <f>regressionsbasenl!$AR$1*$A124</f>
        <v>10.997371927388073</v>
      </c>
      <c r="D124">
        <f>regressionsbasenl!$AO$1*$A124</f>
        <v>15.52515879556317</v>
      </c>
      <c r="E124">
        <f t="shared" si="5"/>
        <v>8.5361670541805132</v>
      </c>
      <c r="F124">
        <f t="shared" si="6"/>
        <v>-44.508894391721974</v>
      </c>
      <c r="G124" s="5">
        <f>B124-regressions!AA$7</f>
        <v>-17.179865391060588</v>
      </c>
      <c r="H124" s="5">
        <f>B124+regressions!AA$7</f>
        <v>-9.7372882101306786</v>
      </c>
      <c r="I124">
        <f>IF($A124&lt;=regressionsbasenl!$L$2,$A124*regressionsbasenl!$L$1,regressionsbasenl!$L$1*regressionsbasenl!$L$2+regressionsbasenl!$L$3*($A124-regressionsbasenl!$L$2))</f>
        <v>-9.033029861610137</v>
      </c>
      <c r="J124">
        <f>regressionsbasenl!$J$1*A124+regressionsbasenl!$J$2*A124^2</f>
        <v>-12.679288397838615</v>
      </c>
      <c r="K124">
        <f>regressionsbasenl!$V$1*A124</f>
        <v>-9.0330298616101494</v>
      </c>
      <c r="L124">
        <f>regressionsbasenl!$N$1*A124^2</f>
        <v>-17.709702323439391</v>
      </c>
      <c r="M124">
        <f>regressionsbasenl!$R$1*A124^2+regressionsbasenl!$R$2*A124^6</f>
        <v>-13.655975437587756</v>
      </c>
      <c r="N124">
        <f>regressionsbasenl!$P$1*A124^2+regressionsbasenl!$P$2*A124^7</f>
        <v>-11.813676890308393</v>
      </c>
      <c r="O124">
        <f>regressionsbasenl!$T$2+regressionsbasenl!$T$1*EXP(A124)</f>
        <v>-93.84183349603552</v>
      </c>
      <c r="P124" s="20">
        <f>(1-EXP(-2*regressionsbasenl!X$1*graphbasenl!A124))/2/EXP(-regressionsbasenl!X$1*A124)</f>
        <v>-26.652328515954757</v>
      </c>
      <c r="Q124" s="5"/>
      <c r="AT124" s="33"/>
      <c r="AW124" s="33"/>
      <c r="AZ124" s="33"/>
    </row>
    <row r="125" spans="1:52" x14ac:dyDescent="0.35">
      <c r="A125">
        <f t="shared" si="7"/>
        <v>10.19999999999998</v>
      </c>
      <c r="B125">
        <f t="shared" si="4"/>
        <v>-13.720346185116934</v>
      </c>
      <c r="C125">
        <f>regressionsbasenl!$AR$1*$A125</f>
        <v>11.106256797956272</v>
      </c>
      <c r="D125">
        <f>regressionsbasenl!$AO$1*$A125</f>
        <v>15.678873239083599</v>
      </c>
      <c r="E125">
        <f t="shared" si="5"/>
        <v>8.4921674107956093</v>
      </c>
      <c r="F125">
        <f t="shared" si="6"/>
        <v>-45.078092663284131</v>
      </c>
      <c r="G125" s="5">
        <f>B125-regressions!AA$7</f>
        <v>-17.441634775581889</v>
      </c>
      <c r="H125" s="5">
        <f>B125+regressions!AA$7</f>
        <v>-9.9990575946519797</v>
      </c>
      <c r="I125">
        <f>IF($A125&lt;=regressionsbasenl!$L$2,$A125*regressionsbasenl!$L$1,regressionsbasenl!$L$1*regressionsbasenl!$L$2+regressionsbasenl!$L$3*($A125-regressionsbasenl!$L$2))</f>
        <v>-9.122465800834</v>
      </c>
      <c r="J125">
        <f>regressionsbasenl!$J$1*A125+regressionsbasenl!$J$2*A125^2</f>
        <v>-12.873255968709397</v>
      </c>
      <c r="K125">
        <f>regressionsbasenl!$V$1*A125</f>
        <v>-9.1224658008340125</v>
      </c>
      <c r="L125">
        <f>regressionsbasenl!$N$1*A125^2</f>
        <v>-18.062125573283346</v>
      </c>
      <c r="M125">
        <f>regressionsbasenl!$R$1*A125^2+regressionsbasenl!$R$2*A125^6</f>
        <v>-13.986420047010467</v>
      </c>
      <c r="N125">
        <f>regressionsbasenl!$P$1*A125^2+regressionsbasenl!$P$2*A125^7</f>
        <v>-11.701473938635864</v>
      </c>
      <c r="O125">
        <f>regressionsbasenl!$T$2+regressionsbasenl!$T$1*EXP(A125)</f>
        <v>-103.71167072723921</v>
      </c>
      <c r="P125" s="20">
        <f>(1-EXP(-2*regressionsbasenl!X$1*graphbasenl!A125))/2/EXP(-regressionsbasenl!X$1*A125)</f>
        <v>-27.723299975588688</v>
      </c>
      <c r="Q125" s="5"/>
      <c r="AT125" s="33"/>
      <c r="AW125" s="33"/>
      <c r="AZ125" s="33"/>
    </row>
    <row r="126" spans="1:52" x14ac:dyDescent="0.35">
      <c r="A126">
        <f t="shared" si="7"/>
        <v>10.299999999999979</v>
      </c>
      <c r="B126">
        <f t="shared" si="4"/>
        <v>-13.985942450678152</v>
      </c>
      <c r="C126">
        <f>regressionsbasenl!$AR$1*$A126</f>
        <v>11.21514166852447</v>
      </c>
      <c r="D126">
        <f>regressionsbasenl!$AO$1*$A126</f>
        <v>15.832587682604025</v>
      </c>
      <c r="E126">
        <f t="shared" si="5"/>
        <v>8.4443408863707887</v>
      </c>
      <c r="F126">
        <f t="shared" si="6"/>
        <v>-45.651117815886202</v>
      </c>
      <c r="G126" s="5">
        <f>B126-regressions!AA$7</f>
        <v>-17.707231041143107</v>
      </c>
      <c r="H126" s="5">
        <f>B126+regressions!AA$7</f>
        <v>-10.264653860213198</v>
      </c>
      <c r="I126">
        <f>IF($A126&lt;=regressionsbasenl!$L$2,$A126*regressionsbasenl!$L$1,regressionsbasenl!$L$1*regressionsbasenl!$L$2+regressionsbasenl!$L$3*($A126-regressionsbasenl!$L$2))</f>
        <v>-9.2119017400578631</v>
      </c>
      <c r="J126">
        <f>regressionsbasenl!$J$1*A126+regressionsbasenl!$J$2*A126^2</f>
        <v>-13.068565305501384</v>
      </c>
      <c r="K126">
        <f>regressionsbasenl!$V$1*A126</f>
        <v>-9.2119017400578755</v>
      </c>
      <c r="L126">
        <f>regressionsbasenl!$N$1*A126^2</f>
        <v>-18.418020973372069</v>
      </c>
      <c r="M126">
        <f>regressionsbasenl!$R$1*A126^2+regressionsbasenl!$R$2*A126^6</f>
        <v>-14.323641241678317</v>
      </c>
      <c r="N126">
        <f>regressionsbasenl!$P$1*A126^2+regressionsbasenl!$P$2*A126^7</f>
        <v>-11.563737533793883</v>
      </c>
      <c r="O126">
        <f>regressionsbasenl!$T$2+regressionsbasenl!$T$1*EXP(A126)</f>
        <v>-114.61952780130579</v>
      </c>
      <c r="P126" s="20">
        <f>(1-EXP(-2*regressionsbasenl!X$1*graphbasenl!A126))/2/EXP(-regressionsbasenl!X$1*A126)</f>
        <v>-28.837248132906311</v>
      </c>
      <c r="Q126" s="5"/>
      <c r="AT126" s="33"/>
      <c r="AW126" s="33"/>
      <c r="AZ126" s="33"/>
    </row>
    <row r="127" spans="1:52" x14ac:dyDescent="0.35">
      <c r="A127">
        <f t="shared" si="7"/>
        <v>10.399999999999979</v>
      </c>
      <c r="B127">
        <f t="shared" si="4"/>
        <v>-14.255440778597745</v>
      </c>
      <c r="C127">
        <f>regressionsbasenl!$AR$1*$A127</f>
        <v>11.324026539092669</v>
      </c>
      <c r="D127">
        <f>regressionsbasenl!$AO$1*$A127</f>
        <v>15.986302126124452</v>
      </c>
      <c r="E127">
        <f t="shared" si="5"/>
        <v>8.3926122995875936</v>
      </c>
      <c r="F127">
        <f t="shared" si="6"/>
        <v>-46.228045030846644</v>
      </c>
      <c r="G127" s="5">
        <f>B127-regressions!AA$7</f>
        <v>-17.976729369062699</v>
      </c>
      <c r="H127" s="5">
        <f>B127+regressions!AA$7</f>
        <v>-10.53415218813279</v>
      </c>
      <c r="I127">
        <f>IF($A127&lt;=regressionsbasenl!$L$2,$A127*regressionsbasenl!$L$1,regressionsbasenl!$L$1*regressionsbasenl!$L$2+regressionsbasenl!$L$3*($A127-regressionsbasenl!$L$2))</f>
        <v>-9.3013376792817262</v>
      </c>
      <c r="J127">
        <f>regressionsbasenl!$J$1*A127+regressionsbasenl!$J$2*A127^2</f>
        <v>-13.265216408214572</v>
      </c>
      <c r="K127">
        <f>regressionsbasenl!$V$1*A127</f>
        <v>-9.3013376792817386</v>
      </c>
      <c r="L127">
        <f>regressionsbasenl!$N$1*A127^2</f>
        <v>-18.777388523705561</v>
      </c>
      <c r="M127">
        <f>regressionsbasenl!$R$1*A127^2+regressionsbasenl!$R$2*A127^6</f>
        <v>-14.667813315869019</v>
      </c>
      <c r="N127">
        <f>regressionsbasenl!$P$1*A127^2+regressionsbasenl!$P$2*A127^7</f>
        <v>-11.399009466053112</v>
      </c>
      <c r="O127">
        <f>regressionsbasenl!$T$2+regressionsbasenl!$T$1*EXP(A127)</f>
        <v>-126.67457421808987</v>
      </c>
      <c r="P127" s="20">
        <f>(1-EXP(-2*regressionsbasenl!X$1*graphbasenl!A127))/2/EXP(-regressionsbasenl!X$1*A127)</f>
        <v>-29.995899831870442</v>
      </c>
      <c r="Q127" s="5"/>
      <c r="AT127" s="33"/>
      <c r="AW127" s="33"/>
      <c r="AZ127" s="33"/>
    </row>
    <row r="128" spans="1:52" x14ac:dyDescent="0.35">
      <c r="A128">
        <f t="shared" si="7"/>
        <v>10.499999999999979</v>
      </c>
      <c r="B128">
        <f t="shared" si="4"/>
        <v>-14.52891980539739</v>
      </c>
      <c r="C128">
        <f>regressionsbasenl!$AR$1*$A128</f>
        <v>11.432911409660868</v>
      </c>
      <c r="D128">
        <f>regressionsbasenl!$AO$1*$A128</f>
        <v>16.140016569644878</v>
      </c>
      <c r="E128">
        <f t="shared" si="5"/>
        <v>8.3369030139243456</v>
      </c>
      <c r="F128">
        <f t="shared" si="6"/>
        <v>-46.80895294468715</v>
      </c>
      <c r="G128" s="5">
        <f>B128-regressions!AA$7</f>
        <v>-18.250208395862344</v>
      </c>
      <c r="H128" s="5">
        <f>B128+regressions!AA$7</f>
        <v>-10.807631214932435</v>
      </c>
      <c r="I128">
        <f>IF($A128&lt;=regressionsbasenl!$L$2,$A128*regressionsbasenl!$L$1,regressionsbasenl!$L$1*regressionsbasenl!$L$2+regressionsbasenl!$L$3*($A128-regressionsbasenl!$L$2))</f>
        <v>-9.3907736185055875</v>
      </c>
      <c r="J128">
        <f>regressionsbasenl!$J$1*A128+regressionsbasenl!$J$2*A128^2</f>
        <v>-13.463209276848961</v>
      </c>
      <c r="K128">
        <f>regressionsbasenl!$V$1*A128</f>
        <v>-9.3907736185056017</v>
      </c>
      <c r="L128">
        <f>regressionsbasenl!$N$1*A128^2</f>
        <v>-19.14022822428382</v>
      </c>
      <c r="M128">
        <f>regressionsbasenl!$R$1*A128^2+regressionsbasenl!$R$2*A128^6</f>
        <v>-15.019115714840483</v>
      </c>
      <c r="N128">
        <f>regressionsbasenl!$P$1*A128^2+regressionsbasenl!$P$2*A128^7</f>
        <v>-11.205773785903705</v>
      </c>
      <c r="O128">
        <f>regressionsbasenl!$T$2+regressionsbasenl!$T$1*EXP(A128)</f>
        <v>-139.99746093397169</v>
      </c>
      <c r="P128" s="20">
        <f>(1-EXP(-2*regressionsbasenl!X$1*graphbasenl!A128))/2/EXP(-regressionsbasenl!X$1*A128)</f>
        <v>-31.201051215935543</v>
      </c>
      <c r="Q128" s="5"/>
      <c r="AT128" s="33"/>
      <c r="AW128" s="33"/>
      <c r="AZ128" s="33"/>
    </row>
    <row r="129" spans="1:52" x14ac:dyDescent="0.35">
      <c r="A129">
        <f t="shared" si="7"/>
        <v>10.599999999999978</v>
      </c>
      <c r="B129">
        <f t="shared" si="4"/>
        <v>-14.806461878846619</v>
      </c>
      <c r="C129">
        <f>regressionsbasenl!$AR$1*$A129</f>
        <v>11.541796280229066</v>
      </c>
      <c r="D129">
        <f>regressionsbasenl!$AO$1*$A129</f>
        <v>16.293731013165306</v>
      </c>
      <c r="E129">
        <f t="shared" si="5"/>
        <v>8.2771306816115136</v>
      </c>
      <c r="F129">
        <f t="shared" si="6"/>
        <v>-47.393923905177232</v>
      </c>
      <c r="G129" s="5">
        <f>B129-regressions!AA$7</f>
        <v>-18.527750469311574</v>
      </c>
      <c r="H129" s="5">
        <f>B129+regressions!AA$7</f>
        <v>-11.085173288381664</v>
      </c>
      <c r="I129">
        <f>IF($A129&lt;=regressionsbasenl!$L$2,$A129*regressionsbasenl!$L$1,regressionsbasenl!$L$1*regressionsbasenl!$L$2+regressionsbasenl!$L$3*($A129-regressionsbasenl!$L$2))</f>
        <v>-9.4802095577294505</v>
      </c>
      <c r="J129">
        <f>regressionsbasenl!$J$1*A129+regressionsbasenl!$J$2*A129^2</f>
        <v>-13.662543911404551</v>
      </c>
      <c r="K129">
        <f>regressionsbasenl!$V$1*A129</f>
        <v>-9.4802095577294629</v>
      </c>
      <c r="L129">
        <f>regressionsbasenl!$N$1*A129^2</f>
        <v>-19.506540075106848</v>
      </c>
      <c r="M129">
        <f>regressionsbasenl!$R$1*A129^2+regressionsbasenl!$R$2*A129^6</f>
        <v>-15.377733135332239</v>
      </c>
      <c r="N129">
        <f>regressionsbasenl!$P$1*A129^2+regressionsbasenl!$P$2*A129^7</f>
        <v>-10.982455106040938</v>
      </c>
      <c r="O129">
        <f>regressionsbasenl!$T$2+regressionsbasenl!$T$1*EXP(A129)</f>
        <v>-154.72152787718068</v>
      </c>
      <c r="P129" s="20">
        <f>(1-EXP(-2*regressionsbasenl!X$1*graphbasenl!A129))/2/EXP(-regressionsbasenl!X$1*A129)</f>
        <v>-32.454570512431737</v>
      </c>
      <c r="Q129" s="5"/>
      <c r="AT129" s="33"/>
      <c r="AW129" s="33"/>
      <c r="AZ129" s="33"/>
    </row>
    <row r="130" spans="1:52" x14ac:dyDescent="0.35">
      <c r="A130">
        <f t="shared" si="7"/>
        <v>10.699999999999978</v>
      </c>
      <c r="B130">
        <f t="shared" si="4"/>
        <v>-15.088153335892461</v>
      </c>
      <c r="C130">
        <f>regressionsbasenl!$AR$1*$A130</f>
        <v>11.650681150797265</v>
      </c>
      <c r="D130">
        <f>regressionsbasenl!$AO$1*$A130</f>
        <v>16.447445456685735</v>
      </c>
      <c r="E130">
        <f t="shared" si="5"/>
        <v>8.2132089657020693</v>
      </c>
      <c r="F130">
        <f t="shared" si="6"/>
        <v>-47.983044249263926</v>
      </c>
      <c r="G130" s="5">
        <f>B130-regressions!AA$7</f>
        <v>-18.809441926357415</v>
      </c>
      <c r="H130" s="5">
        <f>B130+regressions!AA$7</f>
        <v>-11.366864745427506</v>
      </c>
      <c r="I130">
        <f>IF($A130&lt;=regressionsbasenl!$L$2,$A130*regressionsbasenl!$L$1,regressionsbasenl!$L$1*regressionsbasenl!$L$2+regressionsbasenl!$L$3*($A130-regressionsbasenl!$L$2))</f>
        <v>-9.5696454969533136</v>
      </c>
      <c r="J130">
        <f>regressionsbasenl!$J$1*A130+regressionsbasenl!$J$2*A130^2</f>
        <v>-13.863220311881346</v>
      </c>
      <c r="K130">
        <f>regressionsbasenl!$V$1*A130</f>
        <v>-9.569645496953326</v>
      </c>
      <c r="L130">
        <f>regressionsbasenl!$N$1*A130^2</f>
        <v>-19.876324076174644</v>
      </c>
      <c r="M130">
        <f>regressionsbasenl!$R$1*A130^2+regressionsbasenl!$R$2*A130^6</f>
        <v>-15.743855627037838</v>
      </c>
      <c r="N130">
        <f>regressionsbasenl!$P$1*A130^2+regressionsbasenl!$P$2*A130^7</f>
        <v>-10.727416870381692</v>
      </c>
      <c r="O130">
        <f>regressionsbasenl!$T$2+regressionsbasenl!$T$1*EXP(A130)</f>
        <v>-170.99413845861423</v>
      </c>
      <c r="P130" s="20">
        <f>(1-EXP(-2*regressionsbasenl!X$1*graphbasenl!A130))/2/EXP(-regressionsbasenl!X$1*A130)</f>
        <v>-33.758400928693433</v>
      </c>
      <c r="Q130" s="5"/>
      <c r="AT130" s="33"/>
      <c r="AW130" s="33"/>
      <c r="AZ130" s="33"/>
    </row>
    <row r="131" spans="1:52" x14ac:dyDescent="0.35">
      <c r="A131">
        <f t="shared" si="7"/>
        <v>10.799999999999978</v>
      </c>
      <c r="B131">
        <f t="shared" si="4"/>
        <v>-15.374084804398699</v>
      </c>
      <c r="C131">
        <f>regressionsbasenl!$AR$1*$A131</f>
        <v>11.759566021365464</v>
      </c>
      <c r="D131">
        <f>regressionsbasenl!$AO$1*$A131</f>
        <v>16.601159900206159</v>
      </c>
      <c r="E131">
        <f t="shared" si="5"/>
        <v>8.1450472383322285</v>
      </c>
      <c r="F131">
        <f t="shared" si="6"/>
        <v>-48.576404604811017</v>
      </c>
      <c r="G131" s="5">
        <f>B131-regressions!AA$7</f>
        <v>-19.095373394863653</v>
      </c>
      <c r="H131" s="5">
        <f>B131+regressions!AA$7</f>
        <v>-11.652796213933744</v>
      </c>
      <c r="I131">
        <f>IF($A131&lt;=regressionsbasenl!$L$2,$A131*regressionsbasenl!$L$1,regressionsbasenl!$L$1*regressionsbasenl!$L$2+regressionsbasenl!$L$3*($A131-regressionsbasenl!$L$2))</f>
        <v>-9.6590814361771766</v>
      </c>
      <c r="J131">
        <f>regressionsbasenl!$J$1*A131+regressionsbasenl!$J$2*A131^2</f>
        <v>-14.06523847827934</v>
      </c>
      <c r="K131">
        <f>regressionsbasenl!$V$1*A131</f>
        <v>-9.6590814361771891</v>
      </c>
      <c r="L131">
        <f>regressionsbasenl!$N$1*A131^2</f>
        <v>-20.249580227487208</v>
      </c>
      <c r="M131">
        <f>regressionsbasenl!$R$1*A131^2+regressionsbasenl!$R$2*A131^6</f>
        <v>-16.117678695048351</v>
      </c>
      <c r="N131">
        <f>regressionsbasenl!$P$1*A131^2+regressionsbasenl!$P$2*A131^7</f>
        <v>-10.438959589794868</v>
      </c>
      <c r="O131">
        <f>regressionsbasenl!$T$2+regressionsbasenl!$T$1*EXP(A131)</f>
        <v>-188.97815443438461</v>
      </c>
      <c r="P131" s="20">
        <f>(1-EXP(-2*regressionsbasenl!X$1*graphbasenl!A131))/2/EXP(-regressionsbasenl!X$1*A131)</f>
        <v>-35.114563664421958</v>
      </c>
      <c r="Q131" s="5"/>
      <c r="AT131" s="33"/>
      <c r="AW131" s="33"/>
      <c r="AZ131" s="33"/>
    </row>
    <row r="132" spans="1:52" x14ac:dyDescent="0.35">
      <c r="A132">
        <f t="shared" si="7"/>
        <v>10.899999999999977</v>
      </c>
      <c r="B132">
        <f t="shared" ref="B132:B195" si="8">SUMPRODUCT(I$2:P$2,I132:P132)</f>
        <v>-15.664351530799035</v>
      </c>
      <c r="C132">
        <f>regressionsbasenl!$AR$1*$A132</f>
        <v>11.868450891933662</v>
      </c>
      <c r="D132">
        <f>regressionsbasenl!$AO$1*$A132</f>
        <v>16.754874343726588</v>
      </c>
      <c r="E132">
        <f t="shared" si="5"/>
        <v>8.0725502530682895</v>
      </c>
      <c r="F132">
        <f t="shared" si="6"/>
        <v>-49.174100218252207</v>
      </c>
      <c r="G132" s="5">
        <f>B132-regressions!AA$7</f>
        <v>-19.385640121263989</v>
      </c>
      <c r="H132" s="5">
        <f>B132+regressions!AA$7</f>
        <v>-11.94306294033408</v>
      </c>
      <c r="I132">
        <f>IF($A132&lt;=regressionsbasenl!$L$2,$A132*regressionsbasenl!$L$1,regressionsbasenl!$L$1*regressionsbasenl!$L$2+regressionsbasenl!$L$3*($A132-regressionsbasenl!$L$2))</f>
        <v>-9.7485173754010379</v>
      </c>
      <c r="J132">
        <f>regressionsbasenl!$J$1*A132+regressionsbasenl!$J$2*A132^2</f>
        <v>-14.268598410598539</v>
      </c>
      <c r="K132">
        <f>regressionsbasenl!$V$1*A132</f>
        <v>-9.7485173754010521</v>
      </c>
      <c r="L132">
        <f>regressionsbasenl!$N$1*A132^2</f>
        <v>-20.62630852904454</v>
      </c>
      <c r="M132">
        <f>regressionsbasenl!$R$1*A132^2+regressionsbasenl!$R$2*A132^6</f>
        <v>-16.499403403266818</v>
      </c>
      <c r="N132">
        <f>regressionsbasenl!$P$1*A132^2+regressionsbasenl!$P$2*A132^7</f>
        <v>-10.115319044228659</v>
      </c>
      <c r="O132">
        <f>regressionsbasenl!$T$2+regressionsbasenl!$T$1*EXP(A132)</f>
        <v>-208.85356588101388</v>
      </c>
      <c r="P132" s="20">
        <f>(1-EXP(-2*regressionsbasenl!X$1*graphbasenl!A132))/2/EXP(-regressionsbasenl!X$1*A132)</f>
        <v>-36.525161044952114</v>
      </c>
      <c r="Q132" s="5"/>
      <c r="AT132" s="33"/>
      <c r="AW132" s="33"/>
      <c r="AZ132" s="33"/>
    </row>
    <row r="133" spans="1:52" x14ac:dyDescent="0.35">
      <c r="A133">
        <f t="shared" si="7"/>
        <v>10.999999999999977</v>
      </c>
      <c r="B133">
        <f t="shared" si="8"/>
        <v>-15.959053735966044</v>
      </c>
      <c r="C133">
        <f>regressionsbasenl!$AR$1*$A133</f>
        <v>11.977335762501859</v>
      </c>
      <c r="D133">
        <f>regressionsbasenl!$AO$1*$A133</f>
        <v>16.908588787247016</v>
      </c>
      <c r="E133">
        <f t="shared" si="5"/>
        <v>7.9956177890376736</v>
      </c>
      <c r="F133">
        <f t="shared" si="6"/>
        <v>-49.776231310460076</v>
      </c>
      <c r="G133" s="5">
        <f>B133-regressions!AA$7</f>
        <v>-19.680342326430999</v>
      </c>
      <c r="H133" s="5">
        <f>B133+regressions!AA$7</f>
        <v>-12.23776514550109</v>
      </c>
      <c r="I133">
        <f>IF($A133&lt;=regressionsbasenl!$L$2,$A133*regressionsbasenl!$L$1,regressionsbasenl!$L$1*regressionsbasenl!$L$2+regressionsbasenl!$L$3*($A133-regressionsbasenl!$L$2))</f>
        <v>-9.837953314624901</v>
      </c>
      <c r="J133">
        <f>regressionsbasenl!$J$1*A133+regressionsbasenl!$J$2*A133^2</f>
        <v>-14.473300108838934</v>
      </c>
      <c r="K133">
        <f>regressionsbasenl!$V$1*A133</f>
        <v>-9.8379533146249152</v>
      </c>
      <c r="L133">
        <f>regressionsbasenl!$N$1*A133^2</f>
        <v>-21.00650898084664</v>
      </c>
      <c r="M133">
        <f>regressionsbasenl!$R$1*A133^2+regressionsbasenl!$R$2*A133^6</f>
        <v>-16.889236478793798</v>
      </c>
      <c r="N133">
        <f>regressionsbasenl!$P$1*A133^2+regressionsbasenl!$P$2*A133^7</f>
        <v>-9.7546644509176872</v>
      </c>
      <c r="O133">
        <f>regressionsbasenl!$T$2+regressionsbasenl!$T$1*EXP(A133)</f>
        <v>-230.81929259661641</v>
      </c>
      <c r="P133" s="20">
        <f>(1-EXP(-2*regressionsbasenl!X$1*graphbasenl!A133))/2/EXP(-regressionsbasenl!X$1*A133)</f>
        <v>-37.992379780279833</v>
      </c>
      <c r="Q133" s="5"/>
      <c r="AT133" s="33"/>
      <c r="AW133" s="33"/>
      <c r="AZ133" s="33"/>
    </row>
    <row r="134" spans="1:52" x14ac:dyDescent="0.35">
      <c r="A134">
        <f t="shared" si="7"/>
        <v>11.099999999999977</v>
      </c>
      <c r="B134">
        <f t="shared" si="8"/>
        <v>-16.258297001815261</v>
      </c>
      <c r="C134">
        <f>regressionsbasenl!$AR$1*$A134</f>
        <v>12.086220633070058</v>
      </c>
      <c r="D134">
        <f>regressionsbasenl!$AO$1*$A134</f>
        <v>17.062303230767444</v>
      </c>
      <c r="E134">
        <f t="shared" si="5"/>
        <v>7.9141442643248539</v>
      </c>
      <c r="F134">
        <f t="shared" si="6"/>
        <v>-50.382903463350146</v>
      </c>
      <c r="G134" s="5">
        <f>B134-regressions!AA$7</f>
        <v>-19.979585592280216</v>
      </c>
      <c r="H134" s="5">
        <f>B134+regressions!AA$7</f>
        <v>-12.537008411350307</v>
      </c>
      <c r="I134">
        <f>IF($A134&lt;=regressionsbasenl!$L$2,$A134*regressionsbasenl!$L$1,regressionsbasenl!$L$1*regressionsbasenl!$L$2+regressionsbasenl!$L$3*($A134-regressionsbasenl!$L$2))</f>
        <v>-9.927389253848764</v>
      </c>
      <c r="J134">
        <f>regressionsbasenl!$J$1*A134+regressionsbasenl!$J$2*A134^2</f>
        <v>-14.679343573000537</v>
      </c>
      <c r="K134">
        <f>regressionsbasenl!$V$1*A134</f>
        <v>-9.9273892538487782</v>
      </c>
      <c r="L134">
        <f>regressionsbasenl!$N$1*A134^2</f>
        <v>-21.390181582893508</v>
      </c>
      <c r="M134">
        <f>regressionsbasenl!$R$1*A134^2+regressionsbasenl!$R$2*A134^6</f>
        <v>-17.287390417283902</v>
      </c>
      <c r="N134">
        <f>regressionsbasenl!$P$1*A134^2+regressionsbasenl!$P$2*A134^7</f>
        <v>-9.3550965983530023</v>
      </c>
      <c r="O134">
        <f>regressionsbasenl!$T$2+regressionsbasenl!$T$1*EXP(A134)</f>
        <v>-255.09517495709758</v>
      </c>
      <c r="P134" s="20">
        <f>(1-EXP(-2*regressionsbasenl!X$1*graphbasenl!A134))/2/EXP(-regressionsbasenl!X$1*A134)</f>
        <v>-39.518494354902955</v>
      </c>
      <c r="Q134" s="5"/>
      <c r="AT134" s="33"/>
      <c r="AW134" s="33"/>
      <c r="AZ134" s="33"/>
    </row>
    <row r="135" spans="1:52" x14ac:dyDescent="0.35">
      <c r="A135">
        <f t="shared" si="7"/>
        <v>11.199999999999976</v>
      </c>
      <c r="B135">
        <f t="shared" si="8"/>
        <v>-16.56219269140259</v>
      </c>
      <c r="C135">
        <f>regressionsbasenl!$AR$1*$A135</f>
        <v>12.195105503638256</v>
      </c>
      <c r="D135">
        <f>regressionsbasenl!$AO$1*$A135</f>
        <v>17.216017674287869</v>
      </c>
      <c r="E135">
        <f t="shared" si="5"/>
        <v>7.8280183158739227</v>
      </c>
      <c r="F135">
        <f t="shared" si="6"/>
        <v>-50.994228039978324</v>
      </c>
      <c r="G135" s="5">
        <f>B135-regressions!AA$7</f>
        <v>-20.283481281867545</v>
      </c>
      <c r="H135" s="5">
        <f>B135+regressions!AA$7</f>
        <v>-12.840904100937635</v>
      </c>
      <c r="I135">
        <f>IF($A135&lt;=regressionsbasenl!$L$2,$A135*regressionsbasenl!$L$1,regressionsbasenl!$L$1*regressionsbasenl!$L$2+regressionsbasenl!$L$3*($A135-regressionsbasenl!$L$2))</f>
        <v>-10.016825193072627</v>
      </c>
      <c r="J135">
        <f>regressionsbasenl!$J$1*A135+regressionsbasenl!$J$2*A135^2</f>
        <v>-14.88672880308334</v>
      </c>
      <c r="K135">
        <f>regressionsbasenl!$V$1*A135</f>
        <v>-10.01682519307264</v>
      </c>
      <c r="L135">
        <f>regressionsbasenl!$N$1*A135^2</f>
        <v>-21.777326335185144</v>
      </c>
      <c r="M135">
        <f>regressionsbasenl!$R$1*A135^2+regressionsbasenl!$R$2*A135^6</f>
        <v>-17.694083589273362</v>
      </c>
      <c r="N135">
        <f>regressionsbasenl!$P$1*A135^2+regressionsbasenl!$P$2*A135^7</f>
        <v>-8.9146459456979219</v>
      </c>
      <c r="O135">
        <f>regressionsbasenl!$T$2+regressionsbasenl!$T$1*EXP(A135)</f>
        <v>-281.92417415252703</v>
      </c>
      <c r="P135" s="20">
        <f>(1-EXP(-2*regressionsbasenl!X$1*graphbasenl!A135))/2/EXP(-regressionsbasenl!X$1*A135)</f>
        <v>-41.105870553730291</v>
      </c>
      <c r="Q135" s="5"/>
      <c r="AT135" s="33"/>
      <c r="AW135" s="33"/>
      <c r="AZ135" s="33"/>
    </row>
    <row r="136" spans="1:52" x14ac:dyDescent="0.35">
      <c r="A136">
        <f t="shared" si="7"/>
        <v>11.299999999999976</v>
      </c>
      <c r="B136">
        <f t="shared" si="8"/>
        <v>-16.870858405536652</v>
      </c>
      <c r="C136">
        <f>regressionsbasenl!$AR$1*$A136</f>
        <v>12.303990374206455</v>
      </c>
      <c r="D136">
        <f>regressionsbasenl!$AO$1*$A136</f>
        <v>17.369732117808297</v>
      </c>
      <c r="E136">
        <f t="shared" ref="E136:E199" si="9">B136+2*C136</f>
        <v>7.7371223428762583</v>
      </c>
      <c r="F136">
        <f t="shared" ref="F136:F199" si="10">B136-2*D136</f>
        <v>-51.610322641153246</v>
      </c>
      <c r="G136" s="5">
        <f>B136-regressions!AA$7</f>
        <v>-20.592146996001606</v>
      </c>
      <c r="H136" s="5">
        <f>B136+regressions!AA$7</f>
        <v>-13.149569815071697</v>
      </c>
      <c r="I136">
        <f>IF($A136&lt;=regressionsbasenl!$L$2,$A136*regressionsbasenl!$L$1,regressionsbasenl!$L$1*regressionsbasenl!$L$2+regressionsbasenl!$L$3*($A136-regressionsbasenl!$L$2))</f>
        <v>-10.106261132296488</v>
      </c>
      <c r="J136">
        <f>regressionsbasenl!$J$1*A136+regressionsbasenl!$J$2*A136^2</f>
        <v>-15.095455799087343</v>
      </c>
      <c r="K136">
        <f>regressionsbasenl!$V$1*A136</f>
        <v>-10.106261132296503</v>
      </c>
      <c r="L136">
        <f>regressionsbasenl!$N$1*A136^2</f>
        <v>-22.167943237721548</v>
      </c>
      <c r="M136">
        <f>regressionsbasenl!$R$1*A136^2+regressionsbasenl!$R$2*A136^6</f>
        <v>-18.109540347478621</v>
      </c>
      <c r="N136">
        <f>regressionsbasenl!$P$1*A136^2+regressionsbasenl!$P$2*A136^7</f>
        <v>-8.4312706873327201</v>
      </c>
      <c r="O136">
        <f>regressionsbasenl!$T$2+regressionsbasenl!$T$1*EXP(A136)</f>
        <v>-311.57480382439053</v>
      </c>
      <c r="P136" s="20">
        <f>(1-EXP(-2*regressionsbasenl!X$1*graphbasenl!A136))/2/EXP(-regressionsbasenl!X$1*A136)</f>
        <v>-42.756969129524578</v>
      </c>
      <c r="Q136" s="5"/>
      <c r="AT136" s="33"/>
      <c r="AW136" s="33"/>
      <c r="AZ136" s="33"/>
    </row>
    <row r="137" spans="1:52" x14ac:dyDescent="0.35">
      <c r="A137">
        <f t="shared" ref="A137:A200" si="11">0.1+A136</f>
        <v>11.399999999999975</v>
      </c>
      <c r="B137">
        <f t="shared" si="8"/>
        <v>-17.184418479216745</v>
      </c>
      <c r="C137">
        <f>regressionsbasenl!$AR$1*$A137</f>
        <v>12.412875244774654</v>
      </c>
      <c r="D137">
        <f>regressionsbasenl!$AO$1*$A137</f>
        <v>17.523446561328726</v>
      </c>
      <c r="E137">
        <f t="shared" si="9"/>
        <v>7.6413320103325617</v>
      </c>
      <c r="F137">
        <f t="shared" si="10"/>
        <v>-52.231311601874197</v>
      </c>
      <c r="G137" s="5">
        <f>B137-regressions!AA$7</f>
        <v>-20.9057070696817</v>
      </c>
      <c r="H137" s="5">
        <f>B137+regressions!AA$7</f>
        <v>-13.463129888751791</v>
      </c>
      <c r="I137">
        <f>IF($A137&lt;=regressionsbasenl!$L$2,$A137*regressionsbasenl!$L$1,regressionsbasenl!$L$1*regressionsbasenl!$L$2+regressionsbasenl!$L$3*($A137-regressionsbasenl!$L$2))</f>
        <v>-10.195697071520351</v>
      </c>
      <c r="J137">
        <f>regressionsbasenl!$J$1*A137+regressionsbasenl!$J$2*A137^2</f>
        <v>-15.30552456101255</v>
      </c>
      <c r="K137">
        <f>regressionsbasenl!$V$1*A137</f>
        <v>-10.195697071520366</v>
      </c>
      <c r="L137">
        <f>regressionsbasenl!$N$1*A137^2</f>
        <v>-22.562032290502717</v>
      </c>
      <c r="M137">
        <f>regressionsbasenl!$R$1*A137^2+regressionsbasenl!$R$2*A137^6</f>
        <v>-18.533991135066</v>
      </c>
      <c r="N137">
        <f>regressionsbasenl!$P$1*A137^2+regressionsbasenl!$P$2*A137^7</f>
        <v>-7.9028547822111204</v>
      </c>
      <c r="O137">
        <f>regressionsbasenl!$T$2+regressionsbasenl!$T$1*EXP(A137)</f>
        <v>-344.343817440365</v>
      </c>
      <c r="P137" s="20">
        <f>(1-EXP(-2*regressionsbasenl!X$1*graphbasenl!A137))/2/EXP(-regressionsbasenl!X$1*A137)</f>
        <v>-44.474349617564833</v>
      </c>
      <c r="Q137" s="5"/>
      <c r="AT137" s="33"/>
      <c r="AW137" s="33"/>
      <c r="AZ137" s="33"/>
    </row>
    <row r="138" spans="1:52" x14ac:dyDescent="0.35">
      <c r="A138">
        <f t="shared" si="11"/>
        <v>11.499999999999975</v>
      </c>
      <c r="B138">
        <f t="shared" si="8"/>
        <v>-17.503004521526222</v>
      </c>
      <c r="C138">
        <f>regressionsbasenl!$AR$1*$A138</f>
        <v>12.521760115342852</v>
      </c>
      <c r="D138">
        <f>regressionsbasenl!$AO$1*$A138</f>
        <v>17.67716100484915</v>
      </c>
      <c r="E138">
        <f t="shared" si="9"/>
        <v>7.5405157091594823</v>
      </c>
      <c r="F138">
        <f t="shared" si="10"/>
        <v>-52.857326531224523</v>
      </c>
      <c r="G138" s="5">
        <f>B138-regressions!AA$7</f>
        <v>-21.224293111991177</v>
      </c>
      <c r="H138" s="5">
        <f>B138+regressions!AA$7</f>
        <v>-13.781715931061267</v>
      </c>
      <c r="I138">
        <f>IF($A138&lt;=regressionsbasenl!$L$2,$A138*regressionsbasenl!$L$1,regressionsbasenl!$L$1*regressionsbasenl!$L$2+regressionsbasenl!$L$3*($A138-regressionsbasenl!$L$2))</f>
        <v>-10.285133010744214</v>
      </c>
      <c r="J138">
        <f>regressionsbasenl!$J$1*A138+regressionsbasenl!$J$2*A138^2</f>
        <v>-15.516935088858956</v>
      </c>
      <c r="K138">
        <f>regressionsbasenl!$V$1*A138</f>
        <v>-10.285133010744229</v>
      </c>
      <c r="L138">
        <f>regressionsbasenl!$N$1*A138^2</f>
        <v>-22.959593493528658</v>
      </c>
      <c r="M138">
        <f>regressionsbasenl!$R$1*A138^2+regressionsbasenl!$R$2*A138^6</f>
        <v>-18.967672594892317</v>
      </c>
      <c r="N138">
        <f>regressionsbasenl!$P$1*A138^2+regressionsbasenl!$P$2*A138^7</f>
        <v>-7.327205947711608</v>
      </c>
      <c r="O138">
        <f>regressionsbasenl!$T$2+regressionsbasenl!$T$1*EXP(A138)</f>
        <v>-380.55917830276491</v>
      </c>
      <c r="P138" s="20">
        <f>(1-EXP(-2*regressionsbasenl!X$1*graphbasenl!A138))/2/EXP(-regressionsbasenl!X$1*A138)</f>
        <v>-46.260674303441391</v>
      </c>
      <c r="Q138" s="5"/>
      <c r="AT138" s="33"/>
      <c r="AW138" s="33"/>
      <c r="AZ138" s="33"/>
    </row>
    <row r="139" spans="1:52" x14ac:dyDescent="0.35">
      <c r="A139">
        <f t="shared" si="11"/>
        <v>11.599999999999975</v>
      </c>
      <c r="B139">
        <f t="shared" si="8"/>
        <v>-17.826756002961758</v>
      </c>
      <c r="C139">
        <f>regressionsbasenl!$AR$1*$A139</f>
        <v>12.630644985911051</v>
      </c>
      <c r="D139">
        <f>regressionsbasenl!$AO$1*$A139</f>
        <v>17.830875448369579</v>
      </c>
      <c r="E139">
        <f t="shared" si="9"/>
        <v>7.4345339688603431</v>
      </c>
      <c r="F139">
        <f t="shared" si="10"/>
        <v>-53.488506899700916</v>
      </c>
      <c r="G139" s="5">
        <f>B139-regressions!AA$7</f>
        <v>-21.548044593426713</v>
      </c>
      <c r="H139" s="5">
        <f>B139+regressions!AA$7</f>
        <v>-14.105467412496804</v>
      </c>
      <c r="I139">
        <f>IF($A139&lt;=regressionsbasenl!$L$2,$A139*regressionsbasenl!$L$1,regressionsbasenl!$L$1*regressionsbasenl!$L$2+regressionsbasenl!$L$3*($A139-regressionsbasenl!$L$2))</f>
        <v>-10.374568949968078</v>
      </c>
      <c r="J139">
        <f>regressionsbasenl!$J$1*A139+regressionsbasenl!$J$2*A139^2</f>
        <v>-15.729687382626565</v>
      </c>
      <c r="K139">
        <f>regressionsbasenl!$V$1*A139</f>
        <v>-10.374568949968092</v>
      </c>
      <c r="L139">
        <f>regressionsbasenl!$N$1*A139^2</f>
        <v>-23.360626846799367</v>
      </c>
      <c r="M139">
        <f>regressionsbasenl!$R$1*A139^2+regressionsbasenl!$R$2*A139^6</f>
        <v>-19.410827679716583</v>
      </c>
      <c r="N139">
        <f>regressionsbasenl!$P$1*A139^2+regressionsbasenl!$P$2*A139^7</f>
        <v>-6.7020536176665679</v>
      </c>
      <c r="O139">
        <f>regressionsbasenl!$T$2+regressionsbasenl!$T$1*EXP(A139)</f>
        <v>-420.58334191550415</v>
      </c>
      <c r="P139" s="20">
        <f>(1-EXP(-2*regressionsbasenl!X$1*graphbasenl!A139))/2/EXP(-regressionsbasenl!X$1*A139)</f>
        <v>-48.118712350134793</v>
      </c>
      <c r="Q139" s="5"/>
      <c r="AT139" s="33"/>
      <c r="AW139" s="33"/>
      <c r="AZ139" s="33"/>
    </row>
    <row r="140" spans="1:52" x14ac:dyDescent="0.35">
      <c r="A140">
        <f t="shared" si="11"/>
        <v>11.699999999999974</v>
      </c>
      <c r="B140">
        <f t="shared" si="8"/>
        <v>-18.15582089456559</v>
      </c>
      <c r="C140">
        <f>regressionsbasenl!$AR$1*$A140</f>
        <v>12.739529856479249</v>
      </c>
      <c r="D140">
        <f>regressionsbasenl!$AO$1*$A140</f>
        <v>17.984589891890007</v>
      </c>
      <c r="E140">
        <f t="shared" si="9"/>
        <v>7.3232388183929089</v>
      </c>
      <c r="F140">
        <f t="shared" si="10"/>
        <v>-54.1250006783456</v>
      </c>
      <c r="G140" s="5">
        <f>B140-regressions!AA$7</f>
        <v>-21.877109485030545</v>
      </c>
      <c r="H140" s="5">
        <f>B140+regressions!AA$7</f>
        <v>-14.434532304100635</v>
      </c>
      <c r="I140">
        <f>IF($A140&lt;=regressionsbasenl!$L$2,$A140*regressionsbasenl!$L$1,regressionsbasenl!$L$1*regressionsbasenl!$L$2+regressionsbasenl!$L$3*($A140-regressionsbasenl!$L$2))</f>
        <v>-10.464004889191939</v>
      </c>
      <c r="J140">
        <f>regressionsbasenl!$J$1*A140+regressionsbasenl!$J$2*A140^2</f>
        <v>-15.943781442315377</v>
      </c>
      <c r="K140">
        <f>regressionsbasenl!$V$1*A140</f>
        <v>-10.464004889191953</v>
      </c>
      <c r="L140">
        <f>regressionsbasenl!$N$1*A140^2</f>
        <v>-23.76513235031484</v>
      </c>
      <c r="M140">
        <f>regressionsbasenl!$R$1*A140^2+regressionsbasenl!$R$2*A140^6</f>
        <v>-19.863705763382736</v>
      </c>
      <c r="N140">
        <f>regressionsbasenl!$P$1*A140^2+regressionsbasenl!$P$2*A140^7</f>
        <v>-6.0250468642521788</v>
      </c>
      <c r="O140">
        <f>regressionsbasenl!$T$2+regressionsbasenl!$T$1*EXP(A140)</f>
        <v>-464.81688356060516</v>
      </c>
      <c r="P140" s="20">
        <f>(1-EXP(-2*regressionsbasenl!X$1*graphbasenl!A140))/2/EXP(-regressionsbasenl!X$1*A140)</f>
        <v>-50.051344090775906</v>
      </c>
      <c r="Q140" s="5"/>
      <c r="AT140" s="33"/>
      <c r="AW140" s="33"/>
      <c r="AZ140" s="33"/>
    </row>
    <row r="141" spans="1:52" x14ac:dyDescent="0.35">
      <c r="A141">
        <f t="shared" si="11"/>
        <v>11.799999999999974</v>
      </c>
      <c r="B141">
        <f t="shared" si="8"/>
        <v>-18.490356363653376</v>
      </c>
      <c r="C141">
        <f>regressionsbasenl!$AR$1*$A141</f>
        <v>12.848414727047448</v>
      </c>
      <c r="D141">
        <f>regressionsbasenl!$AO$1*$A141</f>
        <v>18.138304335410432</v>
      </c>
      <c r="E141">
        <f t="shared" si="9"/>
        <v>7.20647309044152</v>
      </c>
      <c r="F141">
        <f t="shared" si="10"/>
        <v>-54.766965034474239</v>
      </c>
      <c r="G141" s="5">
        <f>B141-regressions!AA$7</f>
        <v>-22.211644954118331</v>
      </c>
      <c r="H141" s="5">
        <f>B141+regressions!AA$7</f>
        <v>-14.769067773188421</v>
      </c>
      <c r="I141">
        <f>IF($A141&lt;=regressionsbasenl!$L$2,$A141*regressionsbasenl!$L$1,regressionsbasenl!$L$1*regressionsbasenl!$L$2+regressionsbasenl!$L$3*($A141-regressionsbasenl!$L$2))</f>
        <v>-10.553440828415802</v>
      </c>
      <c r="J141">
        <f>regressionsbasenl!$J$1*A141+regressionsbasenl!$J$2*A141^2</f>
        <v>-16.159217267925388</v>
      </c>
      <c r="K141">
        <f>regressionsbasenl!$V$1*A141</f>
        <v>-10.553440828415816</v>
      </c>
      <c r="L141">
        <f>regressionsbasenl!$N$1*A141^2</f>
        <v>-24.173110004075085</v>
      </c>
      <c r="M141">
        <f>regressionsbasenl!$R$1*A141^2+regressionsbasenl!$R$2*A141^6</f>
        <v>-20.326562752973349</v>
      </c>
      <c r="N141">
        <f>regressionsbasenl!$P$1*A141^2+regressionsbasenl!$P$2*A141^7</f>
        <v>-5.2937522834221227</v>
      </c>
      <c r="O141">
        <f>regressionsbasenl!$T$2+regressionsbasenl!$T$1*EXP(A141)</f>
        <v>-513.70250739025892</v>
      </c>
      <c r="P141" s="20">
        <f>(1-EXP(-2*regressionsbasenl!X$1*graphbasenl!A141))/2/EXP(-regressionsbasenl!X$1*A141)</f>
        <v>-52.061565493742414</v>
      </c>
      <c r="Q141" s="5"/>
      <c r="AT141" s="33"/>
      <c r="AW141" s="33"/>
      <c r="AZ141" s="33"/>
    </row>
    <row r="142" spans="1:52" x14ac:dyDescent="0.35">
      <c r="A142">
        <f t="shared" si="11"/>
        <v>11.899999999999974</v>
      </c>
      <c r="B142">
        <f t="shared" si="8"/>
        <v>-18.830529531399563</v>
      </c>
      <c r="C142">
        <f>regressionsbasenl!$AR$1*$A142</f>
        <v>12.957299597615647</v>
      </c>
      <c r="D142">
        <f>regressionsbasenl!$AO$1*$A142</f>
        <v>18.29201877893086</v>
      </c>
      <c r="E142">
        <f t="shared" si="9"/>
        <v>7.0840696638317304</v>
      </c>
      <c r="F142">
        <f t="shared" si="10"/>
        <v>-55.414567089261283</v>
      </c>
      <c r="G142" s="5">
        <f>B142-regressions!AA$7</f>
        <v>-22.551818121864518</v>
      </c>
      <c r="H142" s="5">
        <f>B142+regressions!AA$7</f>
        <v>-15.109240940934608</v>
      </c>
      <c r="I142">
        <f>IF($A142&lt;=regressionsbasenl!$L$2,$A142*regressionsbasenl!$L$1,regressionsbasenl!$L$1*regressionsbasenl!$L$2+regressionsbasenl!$L$3*($A142-regressionsbasenl!$L$2))</f>
        <v>-10.642876767639665</v>
      </c>
      <c r="J142">
        <f>regressionsbasenl!$J$1*A142+regressionsbasenl!$J$2*A142^2</f>
        <v>-16.375994859456608</v>
      </c>
      <c r="K142">
        <f>regressionsbasenl!$V$1*A142</f>
        <v>-10.642876767639679</v>
      </c>
      <c r="L142">
        <f>regressionsbasenl!$N$1*A142^2</f>
        <v>-24.584559808080101</v>
      </c>
      <c r="M142">
        <f>regressionsbasenl!$R$1*A142^2+regressionsbasenl!$R$2*A142^6</f>
        <v>-20.799661201934416</v>
      </c>
      <c r="N142">
        <f>regressionsbasenl!$P$1*A142^2+regressionsbasenl!$P$2*A142^7</f>
        <v>-4.5056518435680246</v>
      </c>
      <c r="O142">
        <f>regressionsbasenl!$T$2+regressionsbasenl!$T$1*EXP(A142)</f>
        <v>-567.72947715877785</v>
      </c>
      <c r="P142" s="20">
        <f>(1-EXP(-2*regressionsbasenl!X$1*graphbasenl!A142))/2/EXP(-regressionsbasenl!X$1*A142)</f>
        <v>-54.152492807013033</v>
      </c>
      <c r="Q142" s="5"/>
      <c r="AT142" s="33"/>
      <c r="AW142" s="33"/>
      <c r="AZ142" s="33"/>
    </row>
    <row r="143" spans="1:52" x14ac:dyDescent="0.35">
      <c r="A143">
        <f t="shared" si="11"/>
        <v>11.999999999999973</v>
      </c>
      <c r="B143">
        <f t="shared" si="8"/>
        <v>-19.176518298058703</v>
      </c>
      <c r="C143">
        <f>regressionsbasenl!$AR$1*$A143</f>
        <v>13.066184468183845</v>
      </c>
      <c r="D143">
        <f>regressionsbasenl!$AO$1*$A143</f>
        <v>18.445733222451288</v>
      </c>
      <c r="E143">
        <f t="shared" si="9"/>
        <v>6.9558506383089878</v>
      </c>
      <c r="F143">
        <f t="shared" si="10"/>
        <v>-56.067984742961279</v>
      </c>
      <c r="G143" s="5">
        <f>B143-regressions!AA$7</f>
        <v>-22.897806888523657</v>
      </c>
      <c r="H143" s="5">
        <f>B143+regressions!AA$7</f>
        <v>-15.455229707593748</v>
      </c>
      <c r="I143">
        <f>IF($A143&lt;=regressionsbasenl!$L$2,$A143*regressionsbasenl!$L$1,regressionsbasenl!$L$1*regressionsbasenl!$L$2+regressionsbasenl!$L$3*($A143-regressionsbasenl!$L$2))</f>
        <v>-10.732312706863528</v>
      </c>
      <c r="J143">
        <f>regressionsbasenl!$J$1*A143+regressionsbasenl!$J$2*A143^2</f>
        <v>-16.594114216909023</v>
      </c>
      <c r="K143">
        <f>regressionsbasenl!$V$1*A143</f>
        <v>-10.732312706863542</v>
      </c>
      <c r="L143">
        <f>regressionsbasenl!$N$1*A143^2</f>
        <v>-24.999481762329882</v>
      </c>
      <c r="M143">
        <f>regressionsbasenl!$R$1*A143^2+regressionsbasenl!$R$2*A143^6</f>
        <v>-21.28327042417116</v>
      </c>
      <c r="N143">
        <f>regressionsbasenl!$P$1*A143^2+regressionsbasenl!$P$2*A143^7</f>
        <v>-3.6581406970897383</v>
      </c>
      <c r="O143">
        <f>regressionsbasenl!$T$2+regressionsbasenl!$T$1*EXP(A143)</f>
        <v>-627.43851293869739</v>
      </c>
      <c r="P143" s="20">
        <f>(1-EXP(-2*regressionsbasenl!X$1*graphbasenl!A143))/2/EXP(-regressionsbasenl!X$1*A143)</f>
        <v>-56.327367388979454</v>
      </c>
      <c r="Q143" s="5"/>
      <c r="AT143" s="33"/>
      <c r="AW143" s="33"/>
      <c r="AZ143" s="33"/>
    </row>
    <row r="144" spans="1:52" x14ac:dyDescent="0.35">
      <c r="A144">
        <f t="shared" si="11"/>
        <v>12.099999999999973</v>
      </c>
      <c r="B144">
        <f t="shared" si="8"/>
        <v>-19.528512242170905</v>
      </c>
      <c r="C144">
        <f>regressionsbasenl!$AR$1*$A144</f>
        <v>13.175069338752044</v>
      </c>
      <c r="D144">
        <f>regressionsbasenl!$AO$1*$A144</f>
        <v>18.599447665971713</v>
      </c>
      <c r="E144">
        <f t="shared" si="9"/>
        <v>6.821626435333183</v>
      </c>
      <c r="F144">
        <f t="shared" si="10"/>
        <v>-56.727407574114331</v>
      </c>
      <c r="G144" s="5">
        <f>B144-regressions!AA$7</f>
        <v>-23.249800832635859</v>
      </c>
      <c r="H144" s="5">
        <f>B144+regressions!AA$7</f>
        <v>-15.80722365170595</v>
      </c>
      <c r="I144">
        <f>IF($A144&lt;=regressionsbasenl!$L$2,$A144*regressionsbasenl!$L$1,regressionsbasenl!$L$1*regressionsbasenl!$L$2+regressionsbasenl!$L$3*($A144-regressionsbasenl!$L$2))</f>
        <v>-10.821748646087389</v>
      </c>
      <c r="J144">
        <f>regressionsbasenl!$J$1*A144+regressionsbasenl!$J$2*A144^2</f>
        <v>-16.81357534028264</v>
      </c>
      <c r="K144">
        <f>regressionsbasenl!$V$1*A144</f>
        <v>-10.821748646087405</v>
      </c>
      <c r="L144">
        <f>regressionsbasenl!$N$1*A144^2</f>
        <v>-25.417875866824428</v>
      </c>
      <c r="M144">
        <f>regressionsbasenl!$R$1*A144^2+regressionsbasenl!$R$2*A144^6</f>
        <v>-21.777666609114828</v>
      </c>
      <c r="N144">
        <f>regressionsbasenl!$P$1*A144^2+regressionsbasenl!$P$2*A144^7</f>
        <v>-2.7485249545582491</v>
      </c>
      <c r="O144">
        <f>regressionsbasenl!$T$2+regressionsbasenl!$T$1*EXP(A144)</f>
        <v>-693.42720282900268</v>
      </c>
      <c r="P144" s="20">
        <f>(1-EXP(-2*regressionsbasenl!X$1*graphbasenl!A144))/2/EXP(-regressionsbasenl!X$1*A144)</f>
        <v>-58.589560733204529</v>
      </c>
      <c r="Q144" s="5"/>
      <c r="AT144" s="33"/>
      <c r="AW144" s="33"/>
      <c r="AZ144" s="33"/>
    </row>
    <row r="145" spans="1:52" x14ac:dyDescent="0.35">
      <c r="A145">
        <f t="shared" si="11"/>
        <v>12.199999999999973</v>
      </c>
      <c r="B145">
        <f t="shared" si="8"/>
        <v>-19.886713600727404</v>
      </c>
      <c r="C145">
        <f>regressionsbasenl!$AR$1*$A145</f>
        <v>13.283954209320243</v>
      </c>
      <c r="D145">
        <f>regressionsbasenl!$AO$1*$A145</f>
        <v>18.753162109492141</v>
      </c>
      <c r="E145">
        <f t="shared" si="9"/>
        <v>6.6811948179130809</v>
      </c>
      <c r="F145">
        <f t="shared" si="10"/>
        <v>-57.393037819711687</v>
      </c>
      <c r="G145" s="5">
        <f>B145-regressions!AA$7</f>
        <v>-23.608002191192359</v>
      </c>
      <c r="H145" s="5">
        <f>B145+regressions!AA$7</f>
        <v>-16.165425010262449</v>
      </c>
      <c r="I145">
        <f>IF($A145&lt;=regressionsbasenl!$L$2,$A145*regressionsbasenl!$L$1,regressionsbasenl!$L$1*regressionsbasenl!$L$2+regressionsbasenl!$L$3*($A145-regressionsbasenl!$L$2))</f>
        <v>-10.911184585311252</v>
      </c>
      <c r="J145">
        <f>regressionsbasenl!$J$1*A145+regressionsbasenl!$J$2*A145^2</f>
        <v>-17.034378229577463</v>
      </c>
      <c r="K145">
        <f>regressionsbasenl!$V$1*A145</f>
        <v>-10.911184585311267</v>
      </c>
      <c r="L145">
        <f>regressionsbasenl!$N$1*A145^2</f>
        <v>-25.839742121563742</v>
      </c>
      <c r="M145">
        <f>regressionsbasenl!$R$1*A145^2+regressionsbasenl!$R$2*A145^6</f>
        <v>-22.283132937760591</v>
      </c>
      <c r="N145">
        <f>regressionsbasenl!$P$1*A145^2+regressionsbasenl!$P$2*A145^7</f>
        <v>-1.7740194211544491</v>
      </c>
      <c r="O145">
        <f>regressionsbasenl!$T$2+regressionsbasenl!$T$1*EXP(A145)</f>
        <v>-766.35598381768045</v>
      </c>
      <c r="P145" s="20">
        <f>(1-EXP(-2*regressionsbasenl!X$1*graphbasenl!A145))/2/EXP(-regressionsbasenl!X$1*A145)</f>
        <v>-60.942579694916283</v>
      </c>
      <c r="Q145" s="5"/>
      <c r="AT145" s="33"/>
      <c r="AW145" s="33"/>
      <c r="AZ145" s="33"/>
    </row>
    <row r="146" spans="1:52" x14ac:dyDescent="0.35">
      <c r="A146">
        <f t="shared" si="11"/>
        <v>12.299999999999972</v>
      </c>
      <c r="B146">
        <f t="shared" si="8"/>
        <v>-20.251338337964228</v>
      </c>
      <c r="C146">
        <f>regressionsbasenl!$AR$1*$A146</f>
        <v>13.392839079888441</v>
      </c>
      <c r="D146">
        <f>regressionsbasenl!$AO$1*$A146</f>
        <v>18.90687655301257</v>
      </c>
      <c r="E146">
        <f t="shared" si="9"/>
        <v>6.5343398218126545</v>
      </c>
      <c r="F146">
        <f t="shared" si="10"/>
        <v>-58.065091443989367</v>
      </c>
      <c r="G146" s="5">
        <f>B146-regressions!AA$7</f>
        <v>-23.972626928429182</v>
      </c>
      <c r="H146" s="5">
        <f>B146+regressions!AA$7</f>
        <v>-16.530049747499273</v>
      </c>
      <c r="I146">
        <f>IF($A146&lt;=regressionsbasenl!$L$2,$A146*regressionsbasenl!$L$1,regressionsbasenl!$L$1*regressionsbasenl!$L$2+regressionsbasenl!$L$3*($A146-regressionsbasenl!$L$2))</f>
        <v>-11.000620524535115</v>
      </c>
      <c r="J146">
        <f>regressionsbasenl!$J$1*A146+regressionsbasenl!$J$2*A146^2</f>
        <v>-17.256522884793483</v>
      </c>
      <c r="K146">
        <f>regressionsbasenl!$V$1*A146</f>
        <v>-11.00062052453513</v>
      </c>
      <c r="L146">
        <f>regressionsbasenl!$N$1*A146^2</f>
        <v>-26.265080526547827</v>
      </c>
      <c r="M146">
        <f>regressionsbasenl!$R$1*A146^2+regressionsbasenl!$R$2*A146^6</f>
        <v>-22.799959699676378</v>
      </c>
      <c r="N146">
        <f>regressionsbasenl!$P$1*A146^2+regressionsbasenl!$P$2*A146^7</f>
        <v>-0.73174529506654906</v>
      </c>
      <c r="O146">
        <f>regressionsbasenl!$T$2+regressionsbasenl!$T$1*EXP(A146)</f>
        <v>-846.95475165707535</v>
      </c>
      <c r="P146" s="20">
        <f>(1-EXP(-2*regressionsbasenl!X$1*graphbasenl!A146))/2/EXP(-regressionsbasenl!X$1*A146)</f>
        <v>-63.390071927339626</v>
      </c>
      <c r="Q146" s="5"/>
      <c r="AT146" s="33"/>
      <c r="AW146" s="33"/>
      <c r="AZ146" s="33"/>
    </row>
    <row r="147" spans="1:52" x14ac:dyDescent="0.35">
      <c r="A147">
        <f t="shared" si="11"/>
        <v>12.399999999999972</v>
      </c>
      <c r="B147">
        <f t="shared" si="8"/>
        <v>-20.622617311215311</v>
      </c>
      <c r="C147">
        <f>regressionsbasenl!$AR$1*$A147</f>
        <v>13.50172395045664</v>
      </c>
      <c r="D147">
        <f>regressionsbasenl!$AO$1*$A147</f>
        <v>19.060590996532994</v>
      </c>
      <c r="E147">
        <f t="shared" si="9"/>
        <v>6.3808305896979682</v>
      </c>
      <c r="F147">
        <f t="shared" si="10"/>
        <v>-58.743799304281296</v>
      </c>
      <c r="G147" s="5">
        <f>B147-regressions!AA$7</f>
        <v>-24.343905901680266</v>
      </c>
      <c r="H147" s="5">
        <f>B147+regressions!AA$7</f>
        <v>-16.901328720750357</v>
      </c>
      <c r="I147">
        <f>IF($A147&lt;=regressionsbasenl!$L$2,$A147*regressionsbasenl!$L$1,regressionsbasenl!$L$1*regressionsbasenl!$L$2+regressionsbasenl!$L$3*($A147-regressionsbasenl!$L$2))</f>
        <v>-11.090056463758978</v>
      </c>
      <c r="J147">
        <f>regressionsbasenl!$J$1*A147+regressionsbasenl!$J$2*A147^2</f>
        <v>-17.480009305930707</v>
      </c>
      <c r="K147">
        <f>regressionsbasenl!$V$1*A147</f>
        <v>-11.090056463758993</v>
      </c>
      <c r="L147">
        <f>regressionsbasenl!$N$1*A147^2</f>
        <v>-26.69389108177668</v>
      </c>
      <c r="M147">
        <f>regressionsbasenl!$R$1*A147^2+regressionsbasenl!$R$2*A147^6</f>
        <v>-23.328444410982826</v>
      </c>
      <c r="N147">
        <f>regressionsbasenl!$P$1*A147^2+regressionsbasenl!$P$2*A147^7</f>
        <v>0.38127217247074086</v>
      </c>
      <c r="O147">
        <f>regressionsbasenl!$T$2+regressionsbasenl!$T$1*EXP(A147)</f>
        <v>-936.03016590590539</v>
      </c>
      <c r="P147" s="20">
        <f>(1-EXP(-2*regressionsbasenl!X$1*graphbasenl!A147))/2/EXP(-regressionsbasenl!X$1*A147)</f>
        <v>-65.935831536293449</v>
      </c>
      <c r="Q147" s="5"/>
      <c r="AT147" s="33"/>
      <c r="AW147" s="33"/>
      <c r="AZ147" s="33"/>
    </row>
    <row r="148" spans="1:52" x14ac:dyDescent="0.35">
      <c r="A148">
        <f t="shared" si="11"/>
        <v>12.499999999999972</v>
      </c>
      <c r="B148">
        <f t="shared" si="8"/>
        <v>-21.000797543097651</v>
      </c>
      <c r="C148">
        <f>regressionsbasenl!$AR$1*$A148</f>
        <v>13.610608821024838</v>
      </c>
      <c r="D148">
        <f>regressionsbasenl!$AO$1*$A148</f>
        <v>19.214305440053423</v>
      </c>
      <c r="E148">
        <f t="shared" si="9"/>
        <v>6.220420098952026</v>
      </c>
      <c r="F148">
        <f t="shared" si="10"/>
        <v>-59.429408423204492</v>
      </c>
      <c r="G148" s="5">
        <f>B148-regressions!AA$7</f>
        <v>-24.722086133562605</v>
      </c>
      <c r="H148" s="5">
        <f>B148+regressions!AA$7</f>
        <v>-17.279508952632696</v>
      </c>
      <c r="I148">
        <f>IF($A148&lt;=regressionsbasenl!$L$2,$A148*regressionsbasenl!$L$1,regressionsbasenl!$L$1*regressionsbasenl!$L$2+regressionsbasenl!$L$3*($A148-regressionsbasenl!$L$2))</f>
        <v>-11.17949240298284</v>
      </c>
      <c r="J148">
        <f>regressionsbasenl!$J$1*A148+regressionsbasenl!$J$2*A148^2</f>
        <v>-17.704837492989135</v>
      </c>
      <c r="K148">
        <f>regressionsbasenl!$V$1*A148</f>
        <v>-11.179492402982856</v>
      </c>
      <c r="L148">
        <f>regressionsbasenl!$N$1*A148^2</f>
        <v>-27.126173787250298</v>
      </c>
      <c r="M148">
        <f>regressionsbasenl!$R$1*A148^2+regressionsbasenl!$R$2*A148^6</f>
        <v>-23.868891933304166</v>
      </c>
      <c r="N148">
        <f>regressionsbasenl!$P$1*A148^2+regressionsbasenl!$P$2*A148^7</f>
        <v>1.5681060558123185</v>
      </c>
      <c r="O148">
        <f>regressionsbasenl!$T$2+regressionsbasenl!$T$1*EXP(A148)</f>
        <v>-1034.4737232492537</v>
      </c>
      <c r="P148" s="20">
        <f>(1-EXP(-2*regressionsbasenl!X$1*graphbasenl!A148))/2/EXP(-regressionsbasenl!X$1*A148)</f>
        <v>-68.583804961818544</v>
      </c>
      <c r="Q148" s="5"/>
      <c r="AT148" s="33"/>
      <c r="AW148" s="33"/>
      <c r="AZ148" s="33"/>
    </row>
    <row r="149" spans="1:52" x14ac:dyDescent="0.35">
      <c r="A149">
        <f t="shared" si="11"/>
        <v>12.599999999999971</v>
      </c>
      <c r="B149">
        <f t="shared" si="8"/>
        <v>-21.386143610229528</v>
      </c>
      <c r="C149">
        <f>regressionsbasenl!$AR$1*$A149</f>
        <v>13.719493691593037</v>
      </c>
      <c r="D149">
        <f>regressionsbasenl!$AO$1*$A149</f>
        <v>19.368019883573851</v>
      </c>
      <c r="E149">
        <f t="shared" si="9"/>
        <v>6.0528437729565461</v>
      </c>
      <c r="F149">
        <f t="shared" si="10"/>
        <v>-60.122183377377226</v>
      </c>
      <c r="G149" s="5">
        <f>B149-regressions!AA$7</f>
        <v>-25.107432200694483</v>
      </c>
      <c r="H149" s="5">
        <f>B149+regressions!AA$7</f>
        <v>-17.664855019764573</v>
      </c>
      <c r="I149">
        <f>IF($A149&lt;=regressionsbasenl!$L$2,$A149*regressionsbasenl!$L$1,regressionsbasenl!$L$1*regressionsbasenl!$L$2+regressionsbasenl!$L$3*($A149-regressionsbasenl!$L$2))</f>
        <v>-11.268928342206703</v>
      </c>
      <c r="J149">
        <f>regressionsbasenl!$J$1*A149+regressionsbasenl!$J$2*A149^2</f>
        <v>-17.93100744596876</v>
      </c>
      <c r="K149">
        <f>regressionsbasenl!$V$1*A149</f>
        <v>-11.268928342206719</v>
      </c>
      <c r="L149">
        <f>regressionsbasenl!$N$1*A149^2</f>
        <v>-27.561928642968688</v>
      </c>
      <c r="M149">
        <f>regressionsbasenl!$R$1*A149^2+regressionsbasenl!$R$2*A149^6</f>
        <v>-24.421614593690251</v>
      </c>
      <c r="N149">
        <f>regressionsbasenl!$P$1*A149^2+regressionsbasenl!$P$2*A149^7</f>
        <v>2.831930172531159</v>
      </c>
      <c r="O149">
        <f>regressionsbasenl!$T$2+regressionsbasenl!$T$1*EXP(A149)</f>
        <v>-1143.2706798970341</v>
      </c>
      <c r="P149" s="20">
        <f>(1-EXP(-2*regressionsbasenl!X$1*graphbasenl!A149))/2/EXP(-regressionsbasenl!X$1*A149)</f>
        <v>-71.338097095954751</v>
      </c>
      <c r="Q149" s="5"/>
      <c r="AT149" s="33"/>
      <c r="AW149" s="33"/>
      <c r="AZ149" s="33"/>
    </row>
    <row r="150" spans="1:52" x14ac:dyDescent="0.35">
      <c r="A150">
        <f t="shared" si="11"/>
        <v>12.699999999999971</v>
      </c>
      <c r="B150">
        <f t="shared" si="8"/>
        <v>-21.778939159706074</v>
      </c>
      <c r="C150">
        <f>regressionsbasenl!$AR$1*$A150</f>
        <v>13.828378562161236</v>
      </c>
      <c r="D150">
        <f>regressionsbasenl!$AO$1*$A150</f>
        <v>19.521734327094279</v>
      </c>
      <c r="E150">
        <f t="shared" si="9"/>
        <v>5.8778179646163977</v>
      </c>
      <c r="F150">
        <f t="shared" si="10"/>
        <v>-60.822407813894628</v>
      </c>
      <c r="G150" s="5">
        <f>B150-regressions!AA$7</f>
        <v>-25.500227750171028</v>
      </c>
      <c r="H150" s="5">
        <f>B150+regressions!AA$7</f>
        <v>-18.057650569241119</v>
      </c>
      <c r="I150">
        <f>IF($A150&lt;=regressionsbasenl!$L$2,$A150*regressionsbasenl!$L$1,regressionsbasenl!$L$1*regressionsbasenl!$L$2+regressionsbasenl!$L$3*($A150-regressionsbasenl!$L$2))</f>
        <v>-11.358364281430566</v>
      </c>
      <c r="J150">
        <f>regressionsbasenl!$J$1*A150+regressionsbasenl!$J$2*A150^2</f>
        <v>-18.158519164869592</v>
      </c>
      <c r="K150">
        <f>regressionsbasenl!$V$1*A150</f>
        <v>-11.358364281430582</v>
      </c>
      <c r="L150">
        <f>regressionsbasenl!$N$1*A150^2</f>
        <v>-28.001155648931842</v>
      </c>
      <c r="M150">
        <f>regressionsbasenl!$R$1*A150^2+regressionsbasenl!$R$2*A150^6</f>
        <v>-24.986932305509505</v>
      </c>
      <c r="N150">
        <f>regressionsbasenl!$P$1*A150^2+regressionsbasenl!$P$2*A150^7</f>
        <v>4.1760215403560252</v>
      </c>
      <c r="O150">
        <f>regressionsbasenl!$T$2+regressionsbasenl!$T$1*EXP(A150)</f>
        <v>-1263.5099123592984</v>
      </c>
      <c r="P150" s="20">
        <f>(1-EXP(-2*regressionsbasenl!X$1*graphbasenl!A150))/2/EXP(-regressionsbasenl!X$1*A150)</f>
        <v>-74.202977646149733</v>
      </c>
      <c r="Q150" s="5"/>
      <c r="AT150" s="33"/>
      <c r="AW150" s="33"/>
      <c r="AZ150" s="33"/>
    </row>
    <row r="151" spans="1:52" x14ac:dyDescent="0.35">
      <c r="A151">
        <f t="shared" si="11"/>
        <v>12.799999999999971</v>
      </c>
      <c r="B151">
        <f t="shared" si="8"/>
        <v>-22.179488565686196</v>
      </c>
      <c r="C151">
        <f>regressionsbasenl!$AR$1*$A151</f>
        <v>13.937263432729434</v>
      </c>
      <c r="D151">
        <f>regressionsbasenl!$AO$1*$A151</f>
        <v>19.675448770614704</v>
      </c>
      <c r="E151">
        <f t="shared" si="9"/>
        <v>5.6950382997726727</v>
      </c>
      <c r="F151">
        <f t="shared" si="10"/>
        <v>-61.5303861069156</v>
      </c>
      <c r="G151" s="5">
        <f>B151-regressions!AA$7</f>
        <v>-25.90077715615115</v>
      </c>
      <c r="H151" s="5">
        <f>B151+regressions!AA$7</f>
        <v>-18.458199975221241</v>
      </c>
      <c r="I151">
        <f>IF($A151&lt;=regressionsbasenl!$L$2,$A151*regressionsbasenl!$L$1,regressionsbasenl!$L$1*regressionsbasenl!$L$2+regressionsbasenl!$L$3*($A151-regressionsbasenl!$L$2))</f>
        <v>-11.447800220654429</v>
      </c>
      <c r="J151">
        <f>regressionsbasenl!$J$1*A151+regressionsbasenl!$J$2*A151^2</f>
        <v>-18.387372649691621</v>
      </c>
      <c r="K151">
        <f>regressionsbasenl!$V$1*A151</f>
        <v>-11.447800220654443</v>
      </c>
      <c r="L151">
        <f>regressionsbasenl!$N$1*A151^2</f>
        <v>-28.443854805139768</v>
      </c>
      <c r="M151">
        <f>regressionsbasenl!$R$1*A151^2+regressionsbasenl!$R$2*A151^6</f>
        <v>-25.565172690312981</v>
      </c>
      <c r="N151">
        <f>regressionsbasenl!$P$1*A151^2+regressionsbasenl!$P$2*A151^7</f>
        <v>5.6037628737355796</v>
      </c>
      <c r="O151">
        <f>regressionsbasenl!$T$2+regressionsbasenl!$T$1*EXP(A151)</f>
        <v>-1396.3948152883299</v>
      </c>
      <c r="P151" s="20">
        <f>(1-EXP(-2*regressionsbasenl!X$1*graphbasenl!A151))/2/EXP(-regressionsbasenl!X$1*A151)</f>
        <v>-77.182887754165591</v>
      </c>
      <c r="Q151" s="5"/>
      <c r="AT151" s="33"/>
      <c r="AW151" s="33"/>
      <c r="AZ151" s="33"/>
    </row>
    <row r="152" spans="1:52" x14ac:dyDescent="0.35">
      <c r="A152">
        <f t="shared" si="11"/>
        <v>12.89999999999997</v>
      </c>
      <c r="B152">
        <f t="shared" si="8"/>
        <v>-22.73918817585059</v>
      </c>
      <c r="C152">
        <f>regressionsbasenl!$AR$1*$A152</f>
        <v>14.046148303297633</v>
      </c>
      <c r="D152">
        <f>regressionsbasenl!$AO$1*$A152</f>
        <v>19.829163214135132</v>
      </c>
      <c r="E152">
        <f t="shared" si="9"/>
        <v>5.3531084307446761</v>
      </c>
      <c r="F152">
        <f t="shared" si="10"/>
        <v>-62.397514604120857</v>
      </c>
      <c r="G152" s="5">
        <f>B152-regressions!AA$7</f>
        <v>-26.460476766315544</v>
      </c>
      <c r="H152" s="5">
        <f>B152+regressions!AA$7</f>
        <v>-19.017899585385635</v>
      </c>
      <c r="I152">
        <f>IF($A152&lt;=regressionsbasenl!$L$2,$A152*regressionsbasenl!$L$1,regressionsbasenl!$L$1*regressionsbasenl!$L$2+regressionsbasenl!$L$3*($A152-regressionsbasenl!$L$2))</f>
        <v>-12.612262560881982</v>
      </c>
      <c r="J152">
        <f>regressionsbasenl!$J$1*A152+regressionsbasenl!$J$2*A152^2</f>
        <v>-18.617567900434857</v>
      </c>
      <c r="K152">
        <f>regressionsbasenl!$V$1*A152</f>
        <v>-11.537236159878306</v>
      </c>
      <c r="L152">
        <f>regressionsbasenl!$N$1*A152^2</f>
        <v>-28.890026111592462</v>
      </c>
      <c r="M152">
        <f>regressionsbasenl!$R$1*A152^2+regressionsbasenl!$R$2*A152^6</f>
        <v>-26.156671200669361</v>
      </c>
      <c r="N152">
        <f>regressionsbasenl!$P$1*A152^2+regressionsbasenl!$P$2*A152^7</f>
        <v>7.1186451203456969</v>
      </c>
      <c r="O152">
        <f>regressionsbasenl!$T$2+regressionsbasenl!$T$1*EXP(A152)</f>
        <v>-1543.2553454568008</v>
      </c>
      <c r="P152" s="20">
        <f>(1-EXP(-2*regressionsbasenl!X$1*graphbasenl!A152))/2/EXP(-regressionsbasenl!X$1*A152)</f>
        <v>-80.282446880742924</v>
      </c>
      <c r="Q152" s="5"/>
      <c r="AT152" s="33"/>
      <c r="AW152" s="33"/>
      <c r="AZ152" s="33"/>
    </row>
    <row r="153" spans="1:52" x14ac:dyDescent="0.35">
      <c r="A153">
        <f t="shared" si="11"/>
        <v>12.99999999999997</v>
      </c>
      <c r="B153">
        <f t="shared" si="8"/>
        <v>-23.394204285708113</v>
      </c>
      <c r="C153">
        <f>regressionsbasenl!$AR$1*$A153</f>
        <v>14.155033173865831</v>
      </c>
      <c r="D153">
        <f>regressionsbasenl!$AO$1*$A153</f>
        <v>19.98287765765556</v>
      </c>
      <c r="E153">
        <f t="shared" si="9"/>
        <v>4.9158620620235496</v>
      </c>
      <c r="F153">
        <f t="shared" si="10"/>
        <v>-63.359959601019234</v>
      </c>
      <c r="G153" s="5">
        <f>B153-regressions!AA$7</f>
        <v>-27.115492876173068</v>
      </c>
      <c r="H153" s="5">
        <f>B153+regressions!AA$7</f>
        <v>-19.672915695243159</v>
      </c>
      <c r="I153">
        <f>IF($A153&lt;=regressionsbasenl!$L$2,$A153*regressionsbasenl!$L$1,regressionsbasenl!$L$1*regressionsbasenl!$L$2+regressionsbasenl!$L$3*($A153-regressionsbasenl!$L$2))</f>
        <v>-14.395002977709478</v>
      </c>
      <c r="J153">
        <f>regressionsbasenl!$J$1*A153+regressionsbasenl!$J$2*A153^2</f>
        <v>-18.849104917099289</v>
      </c>
      <c r="K153">
        <f>regressionsbasenl!$V$1*A153</f>
        <v>-11.626672099102169</v>
      </c>
      <c r="L153">
        <f>regressionsbasenl!$N$1*A153^2</f>
        <v>-29.339669568289921</v>
      </c>
      <c r="M153">
        <f>regressionsbasenl!$R$1*A153^2+regressionsbasenl!$R$2*A153^6</f>
        <v>-26.761771243971076</v>
      </c>
      <c r="N153">
        <f>regressionsbasenl!$P$1*A153^2+regressionsbasenl!$P$2*A153^7</f>
        <v>8.7242700378572771</v>
      </c>
      <c r="O153">
        <f>regressionsbasenl!$T$2+regressionsbasenl!$T$1*EXP(A153)</f>
        <v>-1705.5613324121664</v>
      </c>
      <c r="P153" s="20">
        <f>(1-EXP(-2*regressionsbasenl!X$1*graphbasenl!A153))/2/EXP(-regressionsbasenl!X$1*A153)</f>
        <v>-83.506459966695175</v>
      </c>
      <c r="Q153" s="5"/>
      <c r="AT153" s="33"/>
      <c r="AW153" s="33"/>
      <c r="AZ153" s="33"/>
    </row>
    <row r="154" spans="1:52" x14ac:dyDescent="0.35">
      <c r="A154">
        <f t="shared" si="11"/>
        <v>13.099999999999969</v>
      </c>
      <c r="B154">
        <f t="shared" si="8"/>
        <v>-24.058030699823409</v>
      </c>
      <c r="C154">
        <f>regressionsbasenl!$AR$1*$A154</f>
        <v>14.26391804443403</v>
      </c>
      <c r="D154">
        <f>regressionsbasenl!$AO$1*$A154</f>
        <v>20.136592101175985</v>
      </c>
      <c r="E154">
        <f t="shared" si="9"/>
        <v>4.4698053890446516</v>
      </c>
      <c r="F154">
        <f t="shared" si="10"/>
        <v>-64.331214902175375</v>
      </c>
      <c r="G154" s="5">
        <f>B154-regressions!AA$7</f>
        <v>-27.779319290288363</v>
      </c>
      <c r="H154" s="5">
        <f>B154+regressions!AA$7</f>
        <v>-20.336742109358454</v>
      </c>
      <c r="I154">
        <f>IF($A154&lt;=regressionsbasenl!$L$2,$A154*regressionsbasenl!$L$1,regressionsbasenl!$L$1*regressionsbasenl!$L$2+regressionsbasenl!$L$3*($A154-regressionsbasenl!$L$2))</f>
        <v>-16.177743394536972</v>
      </c>
      <c r="J154">
        <f>regressionsbasenl!$J$1*A154+regressionsbasenl!$J$2*A154^2</f>
        <v>-19.081983699684926</v>
      </c>
      <c r="K154">
        <f>regressionsbasenl!$V$1*A154</f>
        <v>-11.716108038326032</v>
      </c>
      <c r="L154">
        <f>regressionsbasenl!$N$1*A154^2</f>
        <v>-29.792785175232147</v>
      </c>
      <c r="M154">
        <f>regressionsbasenl!$R$1*A154^2+regressionsbasenl!$R$2*A154^6</f>
        <v>-27.380824307211416</v>
      </c>
      <c r="N154">
        <f>regressionsbasenl!$P$1*A154^2+regressionsbasenl!$P$2*A154^7</f>
        <v>10.424352811281377</v>
      </c>
      <c r="O154">
        <f>regressionsbasenl!$T$2+regressionsbasenl!$T$1*EXP(A154)</f>
        <v>-1884.9371890248017</v>
      </c>
      <c r="P154" s="20">
        <f>(1-EXP(-2*regressionsbasenl!X$1*graphbasenl!A154))/2/EXP(-regressionsbasenl!X$1*A154)</f>
        <v>-86.85992488153444</v>
      </c>
      <c r="Q154" s="5"/>
      <c r="AT154" s="33"/>
      <c r="AW154" s="33"/>
      <c r="AZ154" s="33"/>
    </row>
    <row r="155" spans="1:52" x14ac:dyDescent="0.35">
      <c r="A155">
        <f t="shared" si="11"/>
        <v>13.199999999999969</v>
      </c>
      <c r="B155">
        <f t="shared" si="8"/>
        <v>-24.731074574569043</v>
      </c>
      <c r="C155">
        <f>regressionsbasenl!$AR$1*$A155</f>
        <v>14.372802915002229</v>
      </c>
      <c r="D155">
        <f>regressionsbasenl!$AO$1*$A155</f>
        <v>20.290306544696413</v>
      </c>
      <c r="E155">
        <f t="shared" si="9"/>
        <v>4.0145312554354149</v>
      </c>
      <c r="F155">
        <f t="shared" si="10"/>
        <v>-65.311687663961862</v>
      </c>
      <c r="G155" s="5">
        <f>B155-regressions!AA$7</f>
        <v>-28.452363165033997</v>
      </c>
      <c r="H155" s="5">
        <f>B155+regressions!AA$7</f>
        <v>-21.009785984104088</v>
      </c>
      <c r="I155">
        <f>IF($A155&lt;=regressionsbasenl!$L$2,$A155*regressionsbasenl!$L$1,regressionsbasenl!$L$1*regressionsbasenl!$L$2+regressionsbasenl!$L$3*($A155-regressionsbasenl!$L$2))</f>
        <v>-17.960483811364469</v>
      </c>
      <c r="J155">
        <f>regressionsbasenl!$J$1*A155+regressionsbasenl!$J$2*A155^2</f>
        <v>-19.316204248191767</v>
      </c>
      <c r="K155">
        <f>regressionsbasenl!$V$1*A155</f>
        <v>-11.805543977549895</v>
      </c>
      <c r="L155">
        <f>regressionsbasenl!$N$1*A155^2</f>
        <v>-30.249372932419146</v>
      </c>
      <c r="M155">
        <f>regressionsbasenl!$R$1*A155^2+regressionsbasenl!$R$2*A155^6</f>
        <v>-28.014190082732618</v>
      </c>
      <c r="N155">
        <f>regressionsbasenl!$P$1*A155^2+regressionsbasenl!$P$2*A155^7</f>
        <v>12.222724711208606</v>
      </c>
      <c r="O155">
        <f>regressionsbasenl!$T$2+regressionsbasenl!$T$1*EXP(A155)</f>
        <v>-2083.1781691579936</v>
      </c>
      <c r="P155" s="20">
        <f>(1-EXP(-2*regressionsbasenl!X$1*graphbasenl!A155))/2/EXP(-regressionsbasenl!X$1*A155)</f>
        <v>-90.348040171175711</v>
      </c>
      <c r="Q155" s="5"/>
      <c r="AT155" s="33"/>
      <c r="AW155" s="33"/>
      <c r="AZ155" s="33"/>
    </row>
    <row r="156" spans="1:52" x14ac:dyDescent="0.35">
      <c r="A156">
        <f t="shared" si="11"/>
        <v>13.299999999999969</v>
      </c>
      <c r="B156">
        <f t="shared" si="8"/>
        <v>-25.413774705175182</v>
      </c>
      <c r="C156">
        <f>regressionsbasenl!$AR$1*$A156</f>
        <v>14.481687785570427</v>
      </c>
      <c r="D156">
        <f>regressionsbasenl!$AO$1*$A156</f>
        <v>20.444020988216842</v>
      </c>
      <c r="E156">
        <f t="shared" si="9"/>
        <v>3.5496008659656724</v>
      </c>
      <c r="F156">
        <f t="shared" si="10"/>
        <v>-66.301816681608869</v>
      </c>
      <c r="G156" s="5">
        <f>B156-regressions!AA$7</f>
        <v>-29.135063295640137</v>
      </c>
      <c r="H156" s="5">
        <f>B156+regressions!AA$7</f>
        <v>-21.692486114710228</v>
      </c>
      <c r="I156">
        <f>IF($A156&lt;=regressionsbasenl!$L$2,$A156*regressionsbasenl!$L$1,regressionsbasenl!$L$1*regressionsbasenl!$L$2+regressionsbasenl!$L$3*($A156-regressionsbasenl!$L$2))</f>
        <v>-19.743224228191963</v>
      </c>
      <c r="J156">
        <f>regressionsbasenl!$J$1*A156+regressionsbasenl!$J$2*A156^2</f>
        <v>-19.551766562619807</v>
      </c>
      <c r="K156">
        <f>regressionsbasenl!$V$1*A156</f>
        <v>-11.894979916773757</v>
      </c>
      <c r="L156">
        <f>regressionsbasenl!$N$1*A156^2</f>
        <v>-30.709432839850908</v>
      </c>
      <c r="M156">
        <f>regressionsbasenl!$R$1*A156^2+regressionsbasenl!$R$2*A156^6</f>
        <v>-28.662236594945078</v>
      </c>
      <c r="N156">
        <f>regressionsbasenl!$P$1*A156^2+regressionsbasenl!$P$2*A156^7</f>
        <v>14.12333579325994</v>
      </c>
      <c r="O156">
        <f>regressionsbasenl!$T$2+regressionsbasenl!$T$1*EXP(A156)</f>
        <v>-2302.2683351720093</v>
      </c>
      <c r="P156" s="20">
        <f>(1-EXP(-2*regressionsbasenl!X$1*graphbasenl!A156))/2/EXP(-regressionsbasenl!X$1*A156)</f>
        <v>-93.976213116729838</v>
      </c>
      <c r="Q156" s="5"/>
      <c r="AT156" s="33"/>
      <c r="AW156" s="33"/>
      <c r="AZ156" s="33"/>
    </row>
    <row r="157" spans="1:52" x14ac:dyDescent="0.35">
      <c r="A157">
        <f t="shared" si="11"/>
        <v>13.399999999999968</v>
      </c>
      <c r="B157">
        <f t="shared" si="8"/>
        <v>-26.106604361988119</v>
      </c>
      <c r="C157">
        <f>regressionsbasenl!$AR$1*$A157</f>
        <v>14.590572656138626</v>
      </c>
      <c r="D157">
        <f>regressionsbasenl!$AO$1*$A157</f>
        <v>20.597735431737267</v>
      </c>
      <c r="E157">
        <f t="shared" si="9"/>
        <v>3.0745409502891334</v>
      </c>
      <c r="F157">
        <f t="shared" si="10"/>
        <v>-67.302075225462659</v>
      </c>
      <c r="G157" s="5">
        <f>B157-regressions!AA$7</f>
        <v>-29.827892952453073</v>
      </c>
      <c r="H157" s="5">
        <f>B157+regressions!AA$7</f>
        <v>-22.385315771523164</v>
      </c>
      <c r="I157">
        <f>IF($A157&lt;=regressionsbasenl!$L$2,$A157*regressionsbasenl!$L$1,regressionsbasenl!$L$1*regressionsbasenl!$L$2+regressionsbasenl!$L$3*($A157-regressionsbasenl!$L$2))</f>
        <v>-21.525964645019457</v>
      </c>
      <c r="J157">
        <f>regressionsbasenl!$J$1*A157+regressionsbasenl!$J$2*A157^2</f>
        <v>-19.788670642969048</v>
      </c>
      <c r="K157">
        <f>regressionsbasenl!$V$1*A157</f>
        <v>-11.98441585599762</v>
      </c>
      <c r="L157">
        <f>regressionsbasenl!$N$1*A157^2</f>
        <v>-31.172964897527443</v>
      </c>
      <c r="M157">
        <f>regressionsbasenl!$R$1*A157^2+regressionsbasenl!$R$2*A157^6</f>
        <v>-29.325340328017518</v>
      </c>
      <c r="N157">
        <f>regressionsbasenl!$P$1*A157^2+regressionsbasenl!$P$2*A157^7</f>
        <v>16.130257639066109</v>
      </c>
      <c r="O157">
        <f>regressionsbasenl!$T$2+regressionsbasenl!$T$1*EXP(A157)</f>
        <v>-2544.4004150870651</v>
      </c>
      <c r="P157" s="20">
        <f>(1-EXP(-2*regressionsbasenl!X$1*graphbasenl!A157))/2/EXP(-regressionsbasenl!X$1*A157)</f>
        <v>-97.750068116878182</v>
      </c>
      <c r="Q157" s="5"/>
      <c r="AT157" s="33"/>
      <c r="AW157" s="33"/>
      <c r="AZ157" s="33"/>
    </row>
    <row r="158" spans="1:52" x14ac:dyDescent="0.35">
      <c r="A158">
        <f t="shared" si="11"/>
        <v>13.499999999999968</v>
      </c>
      <c r="B158">
        <f t="shared" si="8"/>
        <v>-26.810074396435532</v>
      </c>
      <c r="C158">
        <f>regressionsbasenl!$AR$1*$A158</f>
        <v>14.699457526706825</v>
      </c>
      <c r="D158">
        <f>regressionsbasenl!$AO$1*$A158</f>
        <v>20.751449875257695</v>
      </c>
      <c r="E158">
        <f t="shared" si="9"/>
        <v>2.5888406569781175</v>
      </c>
      <c r="F158">
        <f t="shared" si="10"/>
        <v>-68.312974146950921</v>
      </c>
      <c r="G158" s="5">
        <f>B158-regressions!AA$7</f>
        <v>-30.531362986900486</v>
      </c>
      <c r="H158" s="5">
        <f>B158+regressions!AA$7</f>
        <v>-23.088785805970577</v>
      </c>
      <c r="I158">
        <f>IF($A158&lt;=regressionsbasenl!$L$2,$A158*regressionsbasenl!$L$1,regressionsbasenl!$L$1*regressionsbasenl!$L$2+regressionsbasenl!$L$3*($A158-regressionsbasenl!$L$2))</f>
        <v>-23.30870506184695</v>
      </c>
      <c r="J158">
        <f>regressionsbasenl!$J$1*A158+regressionsbasenl!$J$2*A158^2</f>
        <v>-20.026916489239497</v>
      </c>
      <c r="K158">
        <f>regressionsbasenl!$V$1*A158</f>
        <v>-12.073851795221483</v>
      </c>
      <c r="L158">
        <f>regressionsbasenl!$N$1*A158^2</f>
        <v>-31.639969105448746</v>
      </c>
      <c r="M158">
        <f>regressionsbasenl!$R$1*A158^2+regressionsbasenl!$R$2*A158^6</f>
        <v>-30.003886354538206</v>
      </c>
      <c r="N158">
        <f>regressionsbasenl!$P$1*A158^2+regressionsbasenl!$P$2*A158^7</f>
        <v>18.247686139092039</v>
      </c>
      <c r="O158">
        <f>regressionsbasenl!$T$2+regressionsbasenl!$T$1*EXP(A158)</f>
        <v>-2811.997748142353</v>
      </c>
      <c r="P158" s="20">
        <f>(1-EXP(-2*regressionsbasenl!X$1*graphbasenl!A158))/2/EXP(-regressionsbasenl!X$1*A158)</f>
        <v>-101.67545540682313</v>
      </c>
      <c r="Q158" s="5"/>
      <c r="AT158" s="33"/>
      <c r="AW158" s="33"/>
      <c r="AZ158" s="33"/>
    </row>
    <row r="159" spans="1:52" x14ac:dyDescent="0.35">
      <c r="A159">
        <f t="shared" si="11"/>
        <v>13.599999999999968</v>
      </c>
      <c r="B159">
        <f t="shared" si="8"/>
        <v>-27.524736643485269</v>
      </c>
      <c r="C159">
        <f>regressionsbasenl!$AR$1*$A159</f>
        <v>14.808342397275023</v>
      </c>
      <c r="D159">
        <f>regressionsbasenl!$AO$1*$A159</f>
        <v>20.905164318778123</v>
      </c>
      <c r="E159">
        <f t="shared" si="9"/>
        <v>2.0919481510647771</v>
      </c>
      <c r="F159">
        <f t="shared" si="10"/>
        <v>-69.335065281041523</v>
      </c>
      <c r="G159" s="5">
        <f>B159-regressions!AA$7</f>
        <v>-31.246025233950224</v>
      </c>
      <c r="H159" s="5">
        <f>B159+regressions!AA$7</f>
        <v>-23.803448053020315</v>
      </c>
      <c r="I159">
        <f>IF($A159&lt;=regressionsbasenl!$L$2,$A159*regressionsbasenl!$L$1,regressionsbasenl!$L$1*regressionsbasenl!$L$2+regressionsbasenl!$L$3*($A159-regressionsbasenl!$L$2))</f>
        <v>-25.091445478674448</v>
      </c>
      <c r="J159">
        <f>regressionsbasenl!$J$1*A159+regressionsbasenl!$J$2*A159^2</f>
        <v>-20.266504101431142</v>
      </c>
      <c r="K159">
        <f>regressionsbasenl!$V$1*A159</f>
        <v>-12.163287734445346</v>
      </c>
      <c r="L159">
        <f>regressionsbasenl!$N$1*A159^2</f>
        <v>-32.110445463614816</v>
      </c>
      <c r="M159">
        <f>regressionsbasenl!$R$1*A159^2+regressionsbasenl!$R$2*A159^6</f>
        <v>-30.698268465147208</v>
      </c>
      <c r="N159">
        <f>regressionsbasenl!$P$1*A159^2+regressionsbasenl!$P$2*A159^7</f>
        <v>20.47994431762401</v>
      </c>
      <c r="O159">
        <f>regressionsbasenl!$T$2+regressionsbasenl!$T$1*EXP(A159)</f>
        <v>-3107.7385383896603</v>
      </c>
      <c r="P159" s="20">
        <f>(1-EXP(-2*regressionsbasenl!X$1*graphbasenl!A159))/2/EXP(-regressionsbasenl!X$1*A159)</f>
        <v>-105.75846012733072</v>
      </c>
      <c r="Q159" s="5"/>
      <c r="AE159" s="58"/>
      <c r="AO159" s="1"/>
      <c r="AP159" s="1"/>
      <c r="AT159" s="33"/>
      <c r="AW159" s="33"/>
      <c r="AZ159" s="33"/>
    </row>
    <row r="160" spans="1:52" x14ac:dyDescent="0.35">
      <c r="A160">
        <f t="shared" si="11"/>
        <v>13.699999999999967</v>
      </c>
      <c r="B160">
        <f t="shared" si="8"/>
        <v>-28.251187650126951</v>
      </c>
      <c r="C160">
        <f>regressionsbasenl!$AR$1*$A160</f>
        <v>14.917227267843222</v>
      </c>
      <c r="D160">
        <f>regressionsbasenl!$AO$1*$A160</f>
        <v>21.058878762298548</v>
      </c>
      <c r="E160">
        <f t="shared" si="9"/>
        <v>1.5832668855594925</v>
      </c>
      <c r="F160">
        <f t="shared" si="10"/>
        <v>-70.368945174724047</v>
      </c>
      <c r="G160" s="5">
        <f>B160-regressions!AA$7</f>
        <v>-31.972476240591906</v>
      </c>
      <c r="H160" s="5">
        <f>B160+regressions!AA$7</f>
        <v>-24.529899059661997</v>
      </c>
      <c r="I160">
        <f>IF($A160&lt;=regressionsbasenl!$L$2,$A160*regressionsbasenl!$L$1,regressionsbasenl!$L$1*regressionsbasenl!$L$2+regressionsbasenl!$L$3*($A160-regressionsbasenl!$L$2))</f>
        <v>-26.874185895501942</v>
      </c>
      <c r="J160">
        <f>regressionsbasenl!$J$1*A160+regressionsbasenl!$J$2*A160^2</f>
        <v>-20.507433479543991</v>
      </c>
      <c r="K160">
        <f>regressionsbasenl!$V$1*A160</f>
        <v>-12.252723673669209</v>
      </c>
      <c r="L160">
        <f>regressionsbasenl!$N$1*A160^2</f>
        <v>-32.584393972025651</v>
      </c>
      <c r="M160">
        <f>regressionsbasenl!$R$1*A160^2+regressionsbasenl!$R$2*A160^6</f>
        <v>-31.408889299139652</v>
      </c>
      <c r="N160">
        <f>regressionsbasenl!$P$1*A160^2+regressionsbasenl!$P$2*A160^7</f>
        <v>22.831485200236109</v>
      </c>
      <c r="O160">
        <f>regressionsbasenl!$T$2+regressionsbasenl!$T$1*EXP(A160)</f>
        <v>-3434.5826590596948</v>
      </c>
      <c r="P160" s="20">
        <f>(1-EXP(-2*regressionsbasenl!X$1*graphbasenl!A160))/2/EXP(-regressionsbasenl!X$1*A160)</f>
        <v>-110.00541175792429</v>
      </c>
      <c r="Q160" s="5"/>
      <c r="AT160" s="33"/>
      <c r="AW160" s="33"/>
      <c r="AZ160" s="33"/>
    </row>
    <row r="161" spans="1:52" x14ac:dyDescent="0.35">
      <c r="A161">
        <f t="shared" si="11"/>
        <v>13.799999999999967</v>
      </c>
      <c r="B161">
        <f t="shared" si="8"/>
        <v>-28.990072762434096</v>
      </c>
      <c r="C161">
        <f>regressionsbasenl!$AR$1*$A161</f>
        <v>15.02611213841142</v>
      </c>
      <c r="D161">
        <f>regressionsbasenl!$AO$1*$A161</f>
        <v>21.212593205818976</v>
      </c>
      <c r="E161">
        <f t="shared" si="9"/>
        <v>1.062151514388745</v>
      </c>
      <c r="F161">
        <f t="shared" si="10"/>
        <v>-71.415259174072048</v>
      </c>
      <c r="G161" s="5">
        <f>B161-regressions!AA$7</f>
        <v>-32.711361352899054</v>
      </c>
      <c r="H161" s="5">
        <f>B161+regressions!AA$7</f>
        <v>-25.268784171969141</v>
      </c>
      <c r="I161">
        <f>IF($A161&lt;=regressionsbasenl!$L$2,$A161*regressionsbasenl!$L$1,regressionsbasenl!$L$1*regressionsbasenl!$L$2+regressionsbasenl!$L$3*($A161-regressionsbasenl!$L$2))</f>
        <v>-28.656926312329439</v>
      </c>
      <c r="J161">
        <f>regressionsbasenl!$J$1*A161+regressionsbasenl!$J$2*A161^2</f>
        <v>-20.749704623578037</v>
      </c>
      <c r="K161">
        <f>regressionsbasenl!$V$1*A161</f>
        <v>-12.342159612893072</v>
      </c>
      <c r="L161">
        <f>regressionsbasenl!$N$1*A161^2</f>
        <v>-33.061814630681255</v>
      </c>
      <c r="M161">
        <f>regressionsbasenl!$R$1*A161^2+regressionsbasenl!$R$2*A161^6</f>
        <v>-32.13616047604004</v>
      </c>
      <c r="N161">
        <f>regressionsbasenl!$P$1*A161^2+regressionsbasenl!$P$2*A161^7</f>
        <v>25.306894724052988</v>
      </c>
      <c r="O161">
        <f>regressionsbasenl!$T$2+regressionsbasenl!$T$1*EXP(A161)</f>
        <v>-3795.8012759682242</v>
      </c>
      <c r="P161" s="20">
        <f>(1-EXP(-2*regressionsbasenl!X$1*graphbasenl!A161))/2/EXP(-regressionsbasenl!X$1*A161)</f>
        <v>-114.42289392885226</v>
      </c>
      <c r="Q161" s="5"/>
      <c r="AT161" s="33"/>
      <c r="AW161" s="33"/>
      <c r="AZ161" s="33"/>
    </row>
    <row r="162" spans="1:52" x14ac:dyDescent="0.35">
      <c r="A162">
        <f t="shared" si="11"/>
        <v>13.899999999999967</v>
      </c>
      <c r="B162">
        <f t="shared" si="8"/>
        <v>-29.742090607107937</v>
      </c>
      <c r="C162">
        <f>regressionsbasenl!$AR$1*$A162</f>
        <v>15.134997008979619</v>
      </c>
      <c r="D162">
        <f>regressionsbasenl!$AO$1*$A162</f>
        <v>21.366307649339404</v>
      </c>
      <c r="E162">
        <f t="shared" si="9"/>
        <v>0.52790341085130166</v>
      </c>
      <c r="F162">
        <f t="shared" si="10"/>
        <v>-72.474705905786749</v>
      </c>
      <c r="G162" s="5">
        <f>B162-regressions!AA$7</f>
        <v>-33.463379197572891</v>
      </c>
      <c r="H162" s="5">
        <f>B162+regressions!AA$7</f>
        <v>-26.020802016642982</v>
      </c>
      <c r="I162">
        <f>IF($A162&lt;=regressionsbasenl!$L$2,$A162*regressionsbasenl!$L$1,regressionsbasenl!$L$1*regressionsbasenl!$L$2+regressionsbasenl!$L$3*($A162-regressionsbasenl!$L$2))</f>
        <v>-30.439666729156933</v>
      </c>
      <c r="J162">
        <f>regressionsbasenl!$J$1*A162+regressionsbasenl!$J$2*A162^2</f>
        <v>-20.993317533533286</v>
      </c>
      <c r="K162">
        <f>regressionsbasenl!$V$1*A162</f>
        <v>-12.431595552116933</v>
      </c>
      <c r="L162">
        <f>regressionsbasenl!$N$1*A162^2</f>
        <v>-33.542707439581626</v>
      </c>
      <c r="M162">
        <f>regressionsbasenl!$R$1*A162^2+regressionsbasenl!$R$2*A162^6</f>
        <v>-32.880502728147576</v>
      </c>
      <c r="N162">
        <f>regressionsbasenl!$P$1*A162^2+regressionsbasenl!$P$2*A162^7</f>
        <v>27.910894691126401</v>
      </c>
      <c r="O162">
        <f>regressionsbasenl!$T$2+regressionsbasenl!$T$1*EXP(A162)</f>
        <v>-4195.0095864430396</v>
      </c>
      <c r="P162" s="20">
        <f>(1-EXP(-2*regressionsbasenl!X$1*graphbasenl!A162))/2/EXP(-regressionsbasenl!X$1*A162)</f>
        <v>-119.01775462704079</v>
      </c>
      <c r="Q162" s="5"/>
      <c r="AT162" s="33"/>
      <c r="AW162" s="33"/>
      <c r="AZ162" s="33"/>
    </row>
    <row r="163" spans="1:52" x14ac:dyDescent="0.35">
      <c r="A163">
        <f t="shared" si="11"/>
        <v>13.999999999999966</v>
      </c>
      <c r="B163">
        <f t="shared" si="8"/>
        <v>-30.507998007095818</v>
      </c>
      <c r="C163">
        <f>regressionsbasenl!$AR$1*$A163</f>
        <v>15.243881879547818</v>
      </c>
      <c r="D163">
        <f>regressionsbasenl!$AO$1*$A163</f>
        <v>21.520022092859833</v>
      </c>
      <c r="E163">
        <f t="shared" si="9"/>
        <v>-2.0234248000182475E-2</v>
      </c>
      <c r="F163">
        <f t="shared" si="10"/>
        <v>-73.548042192815487</v>
      </c>
      <c r="G163" s="5">
        <f>B163-regressions!AA$7</f>
        <v>-34.229286597560773</v>
      </c>
      <c r="H163" s="5">
        <f>B163+regressions!AA$7</f>
        <v>-26.786709416630863</v>
      </c>
      <c r="I163">
        <f>IF($A163&lt;=regressionsbasenl!$L$2,$A163*regressionsbasenl!$L$1,regressionsbasenl!$L$1*regressionsbasenl!$L$2+regressionsbasenl!$L$3*($A163-regressionsbasenl!$L$2))</f>
        <v>-32.222407145984427</v>
      </c>
      <c r="J163">
        <f>regressionsbasenl!$J$1*A163+regressionsbasenl!$J$2*A163^2</f>
        <v>-21.238272209409743</v>
      </c>
      <c r="K163">
        <f>regressionsbasenl!$V$1*A163</f>
        <v>-12.521031491340796</v>
      </c>
      <c r="L163">
        <f>regressionsbasenl!$N$1*A163^2</f>
        <v>-34.027072398726766</v>
      </c>
      <c r="M163">
        <f>regressionsbasenl!$R$1*A163^2+regressionsbasenl!$R$2*A163^6</f>
        <v>-33.642346034052551</v>
      </c>
      <c r="N163">
        <f>regressionsbasenl!$P$1*A163^2+regressionsbasenl!$P$2*A163^7</f>
        <v>30.648345765241821</v>
      </c>
      <c r="O163">
        <f>regressionsbasenl!$T$2+regressionsbasenl!$T$1*EXP(A163)</f>
        <v>-4636.2030014339189</v>
      </c>
      <c r="P163" s="20">
        <f>(1-EXP(-2*regressionsbasenl!X$1*graphbasenl!A163))/2/EXP(-regressionsbasenl!X$1*A163)</f>
        <v>-123.79711681185255</v>
      </c>
      <c r="Q163" s="5"/>
      <c r="AT163" s="33"/>
      <c r="AW163" s="33"/>
      <c r="AZ163" s="33"/>
    </row>
    <row r="164" spans="1:52" x14ac:dyDescent="0.35">
      <c r="A164">
        <f t="shared" si="11"/>
        <v>14.099999999999966</v>
      </c>
      <c r="B164">
        <f t="shared" si="8"/>
        <v>-31.288615374953451</v>
      </c>
      <c r="C164">
        <f>regressionsbasenl!$AR$1*$A164</f>
        <v>15.352766750116016</v>
      </c>
      <c r="D164">
        <f>regressionsbasenl!$AO$1*$A164</f>
        <v>21.673736536380257</v>
      </c>
      <c r="E164">
        <f t="shared" si="9"/>
        <v>-0.58308187472141881</v>
      </c>
      <c r="F164">
        <f t="shared" si="10"/>
        <v>-74.636088447713973</v>
      </c>
      <c r="G164" s="5">
        <f>B164-regressions!AA$7</f>
        <v>-35.00990396541841</v>
      </c>
      <c r="H164" s="5">
        <f>B164+regressions!AA$7</f>
        <v>-27.567326784488497</v>
      </c>
      <c r="I164">
        <f>IF($A164&lt;=regressionsbasenl!$L$2,$A164*regressionsbasenl!$L$1,regressionsbasenl!$L$1*regressionsbasenl!$L$2+regressionsbasenl!$L$3*($A164-regressionsbasenl!$L$2))</f>
        <v>-34.005147562811921</v>
      </c>
      <c r="J164">
        <f>regressionsbasenl!$J$1*A164+regressionsbasenl!$J$2*A164^2</f>
        <v>-21.484568651207397</v>
      </c>
      <c r="K164">
        <f>regressionsbasenl!$V$1*A164</f>
        <v>-12.610467430564659</v>
      </c>
      <c r="L164">
        <f>regressionsbasenl!$N$1*A164^2</f>
        <v>-34.514909508116673</v>
      </c>
      <c r="M164">
        <f>regressionsbasenl!$R$1*A164^2+regressionsbasenl!$R$2*A164^6</f>
        <v>-34.422129753123656</v>
      </c>
      <c r="N164">
        <f>regressionsbasenl!$P$1*A164^2+regressionsbasenl!$P$2*A164^7</f>
        <v>33.524250512472669</v>
      </c>
      <c r="O164">
        <f>regressionsbasenl!$T$2+regressionsbasenl!$T$1*EXP(A164)</f>
        <v>-5123.7971329283191</v>
      </c>
      <c r="P164" s="20">
        <f>(1-EXP(-2*regressionsbasenl!X$1*graphbasenl!A164))/2/EXP(-regressionsbasenl!X$1*A164)</f>
        <v>-128.76838945710804</v>
      </c>
      <c r="Q164" s="5"/>
      <c r="AT164" s="33"/>
      <c r="AW164" s="33"/>
      <c r="AZ164" s="33"/>
    </row>
    <row r="165" spans="1:52" x14ac:dyDescent="0.35">
      <c r="A165">
        <f t="shared" si="11"/>
        <v>14.199999999999966</v>
      </c>
      <c r="B165">
        <f t="shared" si="8"/>
        <v>-32.084832632122271</v>
      </c>
      <c r="C165">
        <f>regressionsbasenl!$AR$1*$A165</f>
        <v>15.461651620684215</v>
      </c>
      <c r="D165">
        <f>regressionsbasenl!$AO$1*$A165</f>
        <v>21.827450979900686</v>
      </c>
      <c r="E165">
        <f t="shared" si="9"/>
        <v>-1.1615293907538415</v>
      </c>
      <c r="F165">
        <f t="shared" si="10"/>
        <v>-75.73973459192365</v>
      </c>
      <c r="G165" s="5">
        <f>B165-regressions!AA$7</f>
        <v>-35.80612122258723</v>
      </c>
      <c r="H165" s="5">
        <f>B165+regressions!AA$7</f>
        <v>-28.363544041657317</v>
      </c>
      <c r="I165">
        <f>IF($A165&lt;=regressionsbasenl!$L$2,$A165*regressionsbasenl!$L$1,regressionsbasenl!$L$1*regressionsbasenl!$L$2+regressionsbasenl!$L$3*($A165-regressionsbasenl!$L$2))</f>
        <v>-35.787887979639414</v>
      </c>
      <c r="J165">
        <f>regressionsbasenl!$J$1*A165+regressionsbasenl!$J$2*A165^2</f>
        <v>-21.732206858926254</v>
      </c>
      <c r="K165">
        <f>regressionsbasenl!$V$1*A165</f>
        <v>-12.699903369788522</v>
      </c>
      <c r="L165">
        <f>regressionsbasenl!$N$1*A165^2</f>
        <v>-35.006218767751349</v>
      </c>
      <c r="M165">
        <f>regressionsbasenl!$R$1*A165^2+regressionsbasenl!$R$2*A165^6</f>
        <v>-35.220302760966483</v>
      </c>
      <c r="N165">
        <f>regressionsbasenl!$P$1*A165^2+regressionsbasenl!$P$2*A165^7</f>
        <v>36.543756485799157</v>
      </c>
      <c r="O165">
        <f>regressionsbasenl!$T$2+regressionsbasenl!$T$1*EXP(A165)</f>
        <v>-5662.671986880282</v>
      </c>
      <c r="P165" s="20">
        <f>(1-EXP(-2*regressionsbasenl!X$1*graphbasenl!A165))/2/EXP(-regressionsbasenl!X$1*A165)</f>
        <v>-133.93927903648702</v>
      </c>
      <c r="Q165" s="5"/>
      <c r="AT165" s="33"/>
      <c r="AW165" s="33"/>
      <c r="AZ165" s="33"/>
    </row>
    <row r="166" spans="1:52" x14ac:dyDescent="0.35">
      <c r="A166">
        <f t="shared" si="11"/>
        <v>14.299999999999965</v>
      </c>
      <c r="B166">
        <f t="shared" si="8"/>
        <v>-32.897615707263967</v>
      </c>
      <c r="C166">
        <f>regressionsbasenl!$AR$1*$A166</f>
        <v>15.570536491252412</v>
      </c>
      <c r="D166">
        <f>regressionsbasenl!$AO$1*$A166</f>
        <v>21.981165423421114</v>
      </c>
      <c r="E166">
        <f t="shared" si="9"/>
        <v>-1.756542724759143</v>
      </c>
      <c r="F166">
        <f t="shared" si="10"/>
        <v>-76.859946554106187</v>
      </c>
      <c r="G166" s="5">
        <f>B166-regressions!AA$7</f>
        <v>-36.618904297728925</v>
      </c>
      <c r="H166" s="5">
        <f>B166+regressions!AA$7</f>
        <v>-29.176327116799012</v>
      </c>
      <c r="I166">
        <f>IF($A166&lt;=regressionsbasenl!$L$2,$A166*regressionsbasenl!$L$1,regressionsbasenl!$L$1*regressionsbasenl!$L$2+regressionsbasenl!$L$3*($A166-regressionsbasenl!$L$2))</f>
        <v>-37.570628396466915</v>
      </c>
      <c r="J166">
        <f>regressionsbasenl!$J$1*A166+regressionsbasenl!$J$2*A166^2</f>
        <v>-21.981186832566316</v>
      </c>
      <c r="K166">
        <f>regressionsbasenl!$V$1*A166</f>
        <v>-12.789339309012385</v>
      </c>
      <c r="L166">
        <f>regressionsbasenl!$N$1*A166^2</f>
        <v>-35.5010001776308</v>
      </c>
      <c r="M166">
        <f>regressionsbasenl!$R$1*A166^2+regressionsbasenl!$R$2*A166^6</f>
        <v>-36.03732358585291</v>
      </c>
      <c r="N166">
        <f>regressionsbasenl!$P$1*A166^2+regressionsbasenl!$P$2*A166^7</f>
        <v>39.712159354108366</v>
      </c>
      <c r="O166">
        <f>regressionsbasenl!$T$2+regressionsbasenl!$T$1*EXP(A166)</f>
        <v>-6258.2208039502548</v>
      </c>
      <c r="P166" s="20">
        <f>(1-EXP(-2*regressionsbasenl!X$1*graphbasenl!A166))/2/EXP(-regressionsbasenl!X$1*A166)</f>
        <v>-139.31780147011463</v>
      </c>
      <c r="Q166" s="5"/>
      <c r="AT166" s="33"/>
      <c r="AW166" s="33"/>
      <c r="AZ166" s="33"/>
    </row>
    <row r="167" spans="1:52" x14ac:dyDescent="0.35">
      <c r="A167">
        <f t="shared" si="11"/>
        <v>14.399999999999965</v>
      </c>
      <c r="B167">
        <f t="shared" si="8"/>
        <v>-33.728013672284682</v>
      </c>
      <c r="C167">
        <f>regressionsbasenl!$AR$1*$A167</f>
        <v>15.67942136182061</v>
      </c>
      <c r="D167">
        <f>regressionsbasenl!$AO$1*$A167</f>
        <v>22.134879866941539</v>
      </c>
      <c r="E167">
        <f t="shared" si="9"/>
        <v>-2.3691709486434611</v>
      </c>
      <c r="F167">
        <f t="shared" si="10"/>
        <v>-77.997773406167767</v>
      </c>
      <c r="G167" s="5">
        <f>B167-regressions!AA$7</f>
        <v>-37.44930226274964</v>
      </c>
      <c r="H167" s="5">
        <f>B167+regressions!AA$7</f>
        <v>-30.006725081819727</v>
      </c>
      <c r="I167">
        <f>IF($A167&lt;=regressionsbasenl!$L$2,$A167*regressionsbasenl!$L$1,regressionsbasenl!$L$1*regressionsbasenl!$L$2+regressionsbasenl!$L$3*($A167-regressionsbasenl!$L$2))</f>
        <v>-39.353368813294409</v>
      </c>
      <c r="J167">
        <f>regressionsbasenl!$J$1*A167+regressionsbasenl!$J$2*A167^2</f>
        <v>-22.231508572127574</v>
      </c>
      <c r="K167">
        <f>regressionsbasenl!$V$1*A167</f>
        <v>-12.878775248236247</v>
      </c>
      <c r="L167">
        <f>regressionsbasenl!$N$1*A167^2</f>
        <v>-35.999253737755012</v>
      </c>
      <c r="M167">
        <f>regressionsbasenl!$R$1*A167^2+regressionsbasenl!$R$2*A167^6</f>
        <v>-36.873660546121599</v>
      </c>
      <c r="N167">
        <f>regressionsbasenl!$P$1*A167^2+regressionsbasenl!$P$2*A167^7</f>
        <v>43.034906075892955</v>
      </c>
      <c r="O167">
        <f>regressionsbasenl!$T$2+regressionsbasenl!$T$1*EXP(A167)</f>
        <v>-6916.4040368703418</v>
      </c>
      <c r="P167" s="20">
        <f>(1-EXP(-2*regressionsbasenl!X$1*graphbasenl!A167))/2/EXP(-regressionsbasenl!X$1*A167)</f>
        <v>-144.91229455085164</v>
      </c>
      <c r="Q167" s="5"/>
      <c r="AT167" s="33"/>
      <c r="AW167" s="33"/>
      <c r="AZ167" s="33"/>
    </row>
    <row r="168" spans="1:52" x14ac:dyDescent="0.35">
      <c r="A168">
        <f t="shared" si="11"/>
        <v>14.499999999999964</v>
      </c>
      <c r="B168">
        <f t="shared" si="8"/>
        <v>-34.577166580744986</v>
      </c>
      <c r="C168">
        <f>regressionsbasenl!$AR$1*$A168</f>
        <v>15.788306232388809</v>
      </c>
      <c r="D168">
        <f>regressionsbasenl!$AO$1*$A168</f>
        <v>22.288594310461967</v>
      </c>
      <c r="E168">
        <f t="shared" si="9"/>
        <v>-3.0005541159673683</v>
      </c>
      <c r="F168">
        <f t="shared" si="10"/>
        <v>-79.15435520166892</v>
      </c>
      <c r="G168" s="5">
        <f>B168-regressions!AA$7</f>
        <v>-38.298455171209945</v>
      </c>
      <c r="H168" s="5">
        <f>B168+regressions!AA$7</f>
        <v>-30.855877990280032</v>
      </c>
      <c r="I168">
        <f>IF($A168&lt;=regressionsbasenl!$L$2,$A168*regressionsbasenl!$L$1,regressionsbasenl!$L$1*regressionsbasenl!$L$2+regressionsbasenl!$L$3*($A168-regressionsbasenl!$L$2))</f>
        <v>-41.136109230121903</v>
      </c>
      <c r="J168">
        <f>regressionsbasenl!$J$1*A168+regressionsbasenl!$J$2*A168^2</f>
        <v>-22.483172077610035</v>
      </c>
      <c r="K168">
        <f>regressionsbasenl!$V$1*A168</f>
        <v>-12.96821118746011</v>
      </c>
      <c r="L168">
        <f>regressionsbasenl!$N$1*A168^2</f>
        <v>-36.500979448123992</v>
      </c>
      <c r="M168">
        <f>regressionsbasenl!$R$1*A168^2+regressionsbasenl!$R$2*A168^6</f>
        <v>-37.729791888549499</v>
      </c>
      <c r="N168">
        <f>regressionsbasenl!$P$1*A168^2+regressionsbasenl!$P$2*A168^7</f>
        <v>46.51759811796542</v>
      </c>
      <c r="O168">
        <f>regressionsbasenl!$T$2+regressionsbasenl!$T$1*EXP(A168)</f>
        <v>-7643.8090046586321</v>
      </c>
      <c r="P168" s="20">
        <f>(1-EXP(-2*regressionsbasenl!X$1*graphbasenl!A168))/2/EXP(-regressionsbasenl!X$1*A168)</f>
        <v>-150.73143086955258</v>
      </c>
      <c r="Q168" s="5"/>
      <c r="AT168" s="33"/>
      <c r="AW168" s="33"/>
      <c r="AZ168" s="33"/>
    </row>
    <row r="169" spans="1:52" x14ac:dyDescent="0.35">
      <c r="A169">
        <f t="shared" si="11"/>
        <v>14.599999999999964</v>
      </c>
      <c r="B169">
        <f t="shared" si="8"/>
        <v>-35.446314080048182</v>
      </c>
      <c r="C169">
        <f>regressionsbasenl!$AR$1*$A169</f>
        <v>15.897191102957008</v>
      </c>
      <c r="D169">
        <f>regressionsbasenl!$AO$1*$A169</f>
        <v>22.442308753982395</v>
      </c>
      <c r="E169">
        <f t="shared" si="9"/>
        <v>-3.6519318741341671</v>
      </c>
      <c r="F169">
        <f t="shared" si="10"/>
        <v>-80.330931588012973</v>
      </c>
      <c r="G169" s="5">
        <f>B169-regressions!AA$7</f>
        <v>-39.167602670513141</v>
      </c>
      <c r="H169" s="5">
        <f>B169+regressions!AA$7</f>
        <v>-31.725025489583228</v>
      </c>
      <c r="I169">
        <f>IF($A169&lt;=regressionsbasenl!$L$2,$A169*regressionsbasenl!$L$1,regressionsbasenl!$L$1*regressionsbasenl!$L$2+regressionsbasenl!$L$3*($A169-regressionsbasenl!$L$2))</f>
        <v>-42.918849646949397</v>
      </c>
      <c r="J169">
        <f>regressionsbasenl!$J$1*A169+regressionsbasenl!$J$2*A169^2</f>
        <v>-22.736177349013701</v>
      </c>
      <c r="K169">
        <f>regressionsbasenl!$V$1*A169</f>
        <v>-13.057647126683973</v>
      </c>
      <c r="L169">
        <f>regressionsbasenl!$N$1*A169^2</f>
        <v>-37.00617730873774</v>
      </c>
      <c r="M169">
        <f>regressionsbasenl!$R$1*A169^2+regressionsbasenl!$R$2*A169^6</f>
        <v>-38.606205927694333</v>
      </c>
      <c r="N169">
        <f>regressionsbasenl!$P$1*A169^2+regressionsbasenl!$P$2*A169^7</f>
        <v>50.165994719504646</v>
      </c>
      <c r="O169">
        <f>regressionsbasenl!$T$2+regressionsbasenl!$T$1*EXP(A169)</f>
        <v>-8447.7158207220036</v>
      </c>
      <c r="P169" s="20">
        <f>(1-EXP(-2*regressionsbasenl!X$1*graphbasenl!A169))/2/EXP(-regressionsbasenl!X$1*A169)</f>
        <v>-156.78423125932787</v>
      </c>
      <c r="Q169" s="5"/>
      <c r="AT169" s="33"/>
      <c r="AW169" s="33"/>
      <c r="AZ169" s="33"/>
    </row>
    <row r="170" spans="1:52" x14ac:dyDescent="0.35">
      <c r="A170">
        <f t="shared" si="11"/>
        <v>14.699999999999964</v>
      </c>
      <c r="B170">
        <f t="shared" si="8"/>
        <v>-36.336804876196865</v>
      </c>
      <c r="C170">
        <f>regressionsbasenl!$AR$1*$A170</f>
        <v>16.006075973525206</v>
      </c>
      <c r="D170">
        <f>regressionsbasenl!$AO$1*$A170</f>
        <v>22.59602319750282</v>
      </c>
      <c r="E170">
        <f t="shared" si="9"/>
        <v>-4.3246529291464526</v>
      </c>
      <c r="F170">
        <f t="shared" si="10"/>
        <v>-81.528851271202512</v>
      </c>
      <c r="G170" s="5">
        <f>B170-regressions!AA$7</f>
        <v>-40.058093466661823</v>
      </c>
      <c r="H170" s="5">
        <f>B170+regressions!AA$7</f>
        <v>-32.615516285731907</v>
      </c>
      <c r="I170">
        <f>IF($A170&lt;=regressionsbasenl!$L$2,$A170*regressionsbasenl!$L$1,regressionsbasenl!$L$1*regressionsbasenl!$L$2+regressionsbasenl!$L$3*($A170-regressionsbasenl!$L$2))</f>
        <v>-44.701590063776891</v>
      </c>
      <c r="J170">
        <f>regressionsbasenl!$J$1*A170+regressionsbasenl!$J$2*A170^2</f>
        <v>-22.990524386338567</v>
      </c>
      <c r="K170">
        <f>regressionsbasenl!$V$1*A170</f>
        <v>-13.147083065907836</v>
      </c>
      <c r="L170">
        <f>regressionsbasenl!$N$1*A170^2</f>
        <v>-37.514847319596257</v>
      </c>
      <c r="M170">
        <f>regressionsbasenl!$R$1*A170^2+regressionsbasenl!$R$2*A170^6</f>
        <v>-39.503401186208215</v>
      </c>
      <c r="N170">
        <f>regressionsbasenl!$P$1*A170^2+regressionsbasenl!$P$2*A170^7</f>
        <v>53.986016201752335</v>
      </c>
      <c r="O170">
        <f>regressionsbasenl!$T$2+regressionsbasenl!$T$1*EXP(A170)</f>
        <v>-9336.1702546780307</v>
      </c>
      <c r="P170" s="20">
        <f>(1-EXP(-2*regressionsbasenl!X$1*graphbasenl!A170))/2/EXP(-regressionsbasenl!X$1*A170)</f>
        <v>-163.08007877965142</v>
      </c>
      <c r="Q170" s="5"/>
      <c r="AT170" s="33"/>
      <c r="AW170" s="33"/>
      <c r="AZ170" s="33"/>
    </row>
    <row r="171" spans="1:52" x14ac:dyDescent="0.35">
      <c r="A171">
        <f t="shared" si="11"/>
        <v>14.799999999999963</v>
      </c>
      <c r="B171">
        <f t="shared" si="8"/>
        <v>-37.250107138077503</v>
      </c>
      <c r="C171">
        <f>regressionsbasenl!$AR$1*$A171</f>
        <v>16.114960844093407</v>
      </c>
      <c r="D171">
        <f>regressionsbasenl!$AO$1*$A171</f>
        <v>22.749737641023248</v>
      </c>
      <c r="E171">
        <f t="shared" si="9"/>
        <v>-5.0201854498906897</v>
      </c>
      <c r="F171">
        <f t="shared" si="10"/>
        <v>-82.749582420124</v>
      </c>
      <c r="G171" s="5">
        <f>B171-regressions!AA$7</f>
        <v>-40.971395728542461</v>
      </c>
      <c r="H171" s="5">
        <f>B171+regressions!AA$7</f>
        <v>-33.528818547612545</v>
      </c>
      <c r="I171">
        <f>IF($A171&lt;=regressionsbasenl!$L$2,$A171*regressionsbasenl!$L$1,regressionsbasenl!$L$1*regressionsbasenl!$L$2+regressionsbasenl!$L$3*($A171-regressionsbasenl!$L$2))</f>
        <v>-46.484330480604385</v>
      </c>
      <c r="J171">
        <f>regressionsbasenl!$J$1*A171+regressionsbasenl!$J$2*A171^2</f>
        <v>-23.246213189584633</v>
      </c>
      <c r="K171">
        <f>regressionsbasenl!$V$1*A171</f>
        <v>-13.236519005131699</v>
      </c>
      <c r="L171">
        <f>regressionsbasenl!$N$1*A171^2</f>
        <v>-38.026989480699541</v>
      </c>
      <c r="M171">
        <f>regressionsbasenl!$R$1*A171^2+regressionsbasenl!$R$2*A171^6</f>
        <v>-40.421886536122187</v>
      </c>
      <c r="N171">
        <f>regressionsbasenl!$P$1*A171^2+regressionsbasenl!$P$2*A171^7</f>
        <v>57.983747323675608</v>
      </c>
      <c r="O171">
        <f>regressionsbasenl!$T$2+regressionsbasenl!$T$1*EXP(A171)</f>
        <v>-10318.06425712159</v>
      </c>
      <c r="P171" s="20">
        <f>(1-EXP(-2*regressionsbasenl!X$1*graphbasenl!A171))/2/EXP(-regressionsbasenl!X$1*A171)</f>
        <v>-169.62873326199323</v>
      </c>
      <c r="Q171" s="5"/>
      <c r="AT171" s="33"/>
      <c r="AW171" s="33"/>
      <c r="AZ171" s="33"/>
    </row>
    <row r="172" spans="1:52" x14ac:dyDescent="0.35">
      <c r="A172">
        <f t="shared" si="11"/>
        <v>14.899999999999963</v>
      </c>
      <c r="B172">
        <f t="shared" si="8"/>
        <v>-38.187819937257409</v>
      </c>
      <c r="C172">
        <f>regressionsbasenl!$AR$1*$A172</f>
        <v>16.223845714661604</v>
      </c>
      <c r="D172">
        <f>regressionsbasenl!$AO$1*$A172</f>
        <v>22.903452084543677</v>
      </c>
      <c r="E172">
        <f t="shared" si="9"/>
        <v>-5.7401285079342017</v>
      </c>
      <c r="F172">
        <f t="shared" si="10"/>
        <v>-83.994724106344762</v>
      </c>
      <c r="G172" s="5">
        <f>B172-regressions!AA$7</f>
        <v>-41.909108527722367</v>
      </c>
      <c r="H172" s="5">
        <f>B172+regressions!AA$7</f>
        <v>-34.466531346792451</v>
      </c>
      <c r="I172">
        <f>IF($A172&lt;=regressionsbasenl!$L$2,$A172*regressionsbasenl!$L$1,regressionsbasenl!$L$1*regressionsbasenl!$L$2+regressionsbasenl!$L$3*($A172-regressionsbasenl!$L$2))</f>
        <v>-48.267070897431879</v>
      </c>
      <c r="J172">
        <f>regressionsbasenl!$J$1*A172+regressionsbasenl!$J$2*A172^2</f>
        <v>-23.503243758751907</v>
      </c>
      <c r="K172">
        <f>regressionsbasenl!$V$1*A172</f>
        <v>-13.32595494435556</v>
      </c>
      <c r="L172">
        <f>regressionsbasenl!$N$1*A172^2</f>
        <v>-38.542603792047593</v>
      </c>
      <c r="M172">
        <f>regressionsbasenl!$R$1*A172^2+regressionsbasenl!$R$2*A172^6</f>
        <v>-41.362181341101838</v>
      </c>
      <c r="N172">
        <f>regressionsbasenl!$P$1*A172^2+regressionsbasenl!$P$2*A172^7</f>
        <v>62.165440683913438</v>
      </c>
      <c r="O172">
        <f>regressionsbasenl!$T$2+regressionsbasenl!$T$1*EXP(A172)</f>
        <v>-11403.224953255114</v>
      </c>
      <c r="P172" s="20">
        <f>(1-EXP(-2*regressionsbasenl!X$1*graphbasenl!A172))/2/EXP(-regressionsbasenl!X$1*A172)</f>
        <v>-176.44034643952236</v>
      </c>
      <c r="Q172" s="5"/>
      <c r="AT172" s="33"/>
      <c r="AW172" s="33"/>
      <c r="AZ172" s="33"/>
    </row>
    <row r="173" spans="1:52" x14ac:dyDescent="0.35">
      <c r="A173">
        <f t="shared" si="11"/>
        <v>14.999999999999963</v>
      </c>
      <c r="B173">
        <f t="shared" si="8"/>
        <v>-39.151685829247526</v>
      </c>
      <c r="C173">
        <f>regressionsbasenl!$AR$1*$A173</f>
        <v>16.332730585229804</v>
      </c>
      <c r="D173">
        <f>regressionsbasenl!$AO$1*$A173</f>
        <v>23.057166528064101</v>
      </c>
      <c r="E173">
        <f t="shared" si="9"/>
        <v>-6.4862246587879184</v>
      </c>
      <c r="F173">
        <f t="shared" si="10"/>
        <v>-85.266018885375729</v>
      </c>
      <c r="G173" s="5">
        <f>B173-regressions!AA$7</f>
        <v>-42.872974419712484</v>
      </c>
      <c r="H173" s="5">
        <f>B173+regressions!AA$7</f>
        <v>-35.430397238782568</v>
      </c>
      <c r="I173">
        <f>IF($A173&lt;=regressionsbasenl!$L$2,$A173*regressionsbasenl!$L$1,regressionsbasenl!$L$1*regressionsbasenl!$L$2+regressionsbasenl!$L$3*($A173-regressionsbasenl!$L$2))</f>
        <v>-50.049811314259372</v>
      </c>
      <c r="J173">
        <f>regressionsbasenl!$J$1*A173+regressionsbasenl!$J$2*A173^2</f>
        <v>-23.761616093840374</v>
      </c>
      <c r="K173">
        <f>regressionsbasenl!$V$1*A173</f>
        <v>-13.415390883579423</v>
      </c>
      <c r="L173">
        <f>regressionsbasenl!$N$1*A173^2</f>
        <v>-39.061690253640414</v>
      </c>
      <c r="M173">
        <f>regressionsbasenl!$R$1*A173^2+regressionsbasenl!$R$2*A173^6</f>
        <v>-42.324815599673954</v>
      </c>
      <c r="N173">
        <f>regressionsbasenl!$P$1*A173^2+regressionsbasenl!$P$2*A173^7</f>
        <v>66.537520169323329</v>
      </c>
      <c r="O173">
        <f>regressionsbasenl!$T$2+regressionsbasenl!$T$1*EXP(A173)</f>
        <v>-12602.512996060608</v>
      </c>
      <c r="P173" s="20">
        <f>(1-EXP(-2*regressionsbasenl!X$1*graphbasenl!A173))/2/EXP(-regressionsbasenl!X$1*A173)</f>
        <v>-183.52547768433828</v>
      </c>
      <c r="Q173" s="5"/>
      <c r="AT173" s="33"/>
      <c r="AW173" s="33"/>
      <c r="AZ173" s="33"/>
    </row>
    <row r="174" spans="1:52" x14ac:dyDescent="0.35">
      <c r="A174">
        <f t="shared" si="11"/>
        <v>15.099999999999962</v>
      </c>
      <c r="B174">
        <f t="shared" si="8"/>
        <v>-40.143604693195982</v>
      </c>
      <c r="C174">
        <f>regressionsbasenl!$AR$1*$A174</f>
        <v>16.441615455798001</v>
      </c>
      <c r="D174">
        <f>regressionsbasenl!$AO$1*$A174</f>
        <v>23.21088097158453</v>
      </c>
      <c r="E174">
        <f t="shared" si="9"/>
        <v>-7.2603737815999807</v>
      </c>
      <c r="F174">
        <f t="shared" si="10"/>
        <v>-86.565366636365042</v>
      </c>
      <c r="G174" s="5">
        <f>B174-regressions!AA$7</f>
        <v>-43.86489328366094</v>
      </c>
      <c r="H174" s="5">
        <f>B174+regressions!AA$7</f>
        <v>-36.422316102731024</v>
      </c>
      <c r="I174">
        <f>IF($A174&lt;=regressionsbasenl!$L$2,$A174*regressionsbasenl!$L$1,regressionsbasenl!$L$1*regressionsbasenl!$L$2+regressionsbasenl!$L$3*($A174-regressionsbasenl!$L$2))</f>
        <v>-51.832551731086873</v>
      </c>
      <c r="J174">
        <f>regressionsbasenl!$J$1*A174+regressionsbasenl!$J$2*A174^2</f>
        <v>-24.021330194850048</v>
      </c>
      <c r="K174">
        <f>regressionsbasenl!$V$1*A174</f>
        <v>-13.504826822803286</v>
      </c>
      <c r="L174">
        <f>regressionsbasenl!$N$1*A174^2</f>
        <v>-39.584248865478003</v>
      </c>
      <c r="M174">
        <f>regressionsbasenl!$R$1*A174^2+regressionsbasenl!$R$2*A174^6</f>
        <v>-43.310330089424177</v>
      </c>
      <c r="N174">
        <f>regressionsbasenl!$P$1*A174^2+regressionsbasenl!$P$2*A174^7</f>
        <v>71.106584450445979</v>
      </c>
      <c r="O174">
        <f>regressionsbasenl!$T$2+regressionsbasenl!$T$1*EXP(A174)</f>
        <v>-13927.931263365101</v>
      </c>
      <c r="P174" s="20">
        <f>(1-EXP(-2*regressionsbasenl!X$1*graphbasenl!A174))/2/EXP(-regressionsbasenl!X$1*A174)</f>
        <v>-190.89511037662405</v>
      </c>
      <c r="Q174" s="5"/>
      <c r="AT174" s="33"/>
      <c r="AW174" s="33"/>
      <c r="AZ174" s="33"/>
    </row>
    <row r="175" spans="1:52" x14ac:dyDescent="0.35">
      <c r="A175">
        <f t="shared" si="11"/>
        <v>15.199999999999962</v>
      </c>
      <c r="B175">
        <f t="shared" si="8"/>
        <v>-41.165648959142686</v>
      </c>
      <c r="C175">
        <f>regressionsbasenl!$AR$1*$A175</f>
        <v>16.550500326366201</v>
      </c>
      <c r="D175">
        <f>regressionsbasenl!$AO$1*$A175</f>
        <v>23.364595415104958</v>
      </c>
      <c r="E175">
        <f t="shared" si="9"/>
        <v>-8.0646483064102839</v>
      </c>
      <c r="F175">
        <f t="shared" si="10"/>
        <v>-87.894839789352602</v>
      </c>
      <c r="G175" s="5">
        <f>B175-regressions!AA$7</f>
        <v>-44.886937549607644</v>
      </c>
      <c r="H175" s="5">
        <f>B175+regressions!AA$7</f>
        <v>-37.444360368677728</v>
      </c>
      <c r="I175">
        <f>IF($A175&lt;=regressionsbasenl!$L$2,$A175*regressionsbasenl!$L$1,regressionsbasenl!$L$1*regressionsbasenl!$L$2+regressionsbasenl!$L$3*($A175-regressionsbasenl!$L$2))</f>
        <v>-53.615292147914367</v>
      </c>
      <c r="J175">
        <f>regressionsbasenl!$J$1*A175+regressionsbasenl!$J$2*A175^2</f>
        <v>-24.282386061780926</v>
      </c>
      <c r="K175">
        <f>regressionsbasenl!$V$1*A175</f>
        <v>-13.594262762027149</v>
      </c>
      <c r="L175">
        <f>regressionsbasenl!$N$1*A175^2</f>
        <v>-40.110279627560359</v>
      </c>
      <c r="M175">
        <f>regressionsbasenl!$R$1*A175^2+regressionsbasenl!$R$2*A175^6</f>
        <v>-44.319276512165722</v>
      </c>
      <c r="N175">
        <f>regressionsbasenl!$P$1*A175^2+regressionsbasenl!$P$2*A175^7</f>
        <v>75.879410524204246</v>
      </c>
      <c r="O175">
        <f>regressionsbasenl!$T$2+regressionsbasenl!$T$1*EXP(A175)</f>
        <v>-15392.744986676242</v>
      </c>
      <c r="P175" s="20">
        <f>(1-EXP(-2*regressionsbasenl!X$1*graphbasenl!A175))/2/EXP(-regressionsbasenl!X$1*A175)</f>
        <v>-198.56066893109696</v>
      </c>
      <c r="Q175" s="5"/>
      <c r="AT175" s="33"/>
      <c r="AW175" s="33"/>
      <c r="AZ175" s="33"/>
    </row>
    <row r="176" spans="1:52" x14ac:dyDescent="0.35">
      <c r="A176">
        <f t="shared" si="11"/>
        <v>15.299999999999962</v>
      </c>
      <c r="B176">
        <f t="shared" si="8"/>
        <v>-42.220080365403376</v>
      </c>
      <c r="C176">
        <f>regressionsbasenl!$AR$1*$A176</f>
        <v>16.659385196934398</v>
      </c>
      <c r="D176">
        <f>regressionsbasenl!$AO$1*$A176</f>
        <v>23.518309858625383</v>
      </c>
      <c r="E176">
        <f t="shared" si="9"/>
        <v>-8.9013099715345803</v>
      </c>
      <c r="F176">
        <f t="shared" si="10"/>
        <v>-89.256700082654135</v>
      </c>
      <c r="G176" s="5">
        <f>B176-regressions!AA$7</f>
        <v>-45.941368955868334</v>
      </c>
      <c r="H176" s="5">
        <f>B176+regressions!AA$7</f>
        <v>-38.498791774938418</v>
      </c>
      <c r="I176">
        <f>IF($A176&lt;=regressionsbasenl!$L$2,$A176*regressionsbasenl!$L$1,regressionsbasenl!$L$1*regressionsbasenl!$L$2+regressionsbasenl!$L$3*($A176-regressionsbasenl!$L$2))</f>
        <v>-55.398032564741861</v>
      </c>
      <c r="J176">
        <f>regressionsbasenl!$J$1*A176+regressionsbasenl!$J$2*A176^2</f>
        <v>-24.544783694633004</v>
      </c>
      <c r="K176">
        <f>regressionsbasenl!$V$1*A176</f>
        <v>-13.683698701251013</v>
      </c>
      <c r="L176">
        <f>regressionsbasenl!$N$1*A176^2</f>
        <v>-40.639782539887484</v>
      </c>
      <c r="M176">
        <f>regressionsbasenl!$R$1*A176^2+regressionsbasenl!$R$2*A176^6</f>
        <v>-45.352217640079068</v>
      </c>
      <c r="N176">
        <f>regressionsbasenl!$P$1*A176^2+regressionsbasenl!$P$2*A176^7</f>
        <v>80.862957304153554</v>
      </c>
      <c r="O176">
        <f>regressionsbasenl!$T$2+regressionsbasenl!$T$1*EXP(A176)</f>
        <v>-17011.614514077824</v>
      </c>
      <c r="P176" s="20">
        <f>(1-EXP(-2*regressionsbasenl!X$1*graphbasenl!A176))/2/EXP(-regressionsbasenl!X$1*A176)</f>
        <v>-206.53403650715228</v>
      </c>
      <c r="Q176" s="5"/>
      <c r="AT176" s="33"/>
      <c r="AW176" s="33"/>
      <c r="AZ176" s="33"/>
    </row>
    <row r="177" spans="1:52" x14ac:dyDescent="0.35">
      <c r="A177">
        <f t="shared" si="11"/>
        <v>15.399999999999961</v>
      </c>
      <c r="B177">
        <f t="shared" si="8"/>
        <v>-43.309368403497643</v>
      </c>
      <c r="C177">
        <f>regressionsbasenl!$AR$1*$A177</f>
        <v>16.768270067502598</v>
      </c>
      <c r="D177">
        <f>regressionsbasenl!$AO$1*$A177</f>
        <v>23.672024302145811</v>
      </c>
      <c r="E177">
        <f t="shared" si="9"/>
        <v>-9.7728282684924466</v>
      </c>
      <c r="F177">
        <f t="shared" si="10"/>
        <v>-90.653417007789272</v>
      </c>
      <c r="G177" s="5">
        <f>B177-regressions!AA$7</f>
        <v>-47.030656993962602</v>
      </c>
      <c r="H177" s="5">
        <f>B177+regressions!AA$7</f>
        <v>-39.588079813032685</v>
      </c>
      <c r="I177">
        <f>IF($A177&lt;=regressionsbasenl!$L$2,$A177*regressionsbasenl!$L$1,regressionsbasenl!$L$1*regressionsbasenl!$L$2+regressionsbasenl!$L$3*($A177-regressionsbasenl!$L$2))</f>
        <v>-57.180772981569355</v>
      </c>
      <c r="J177">
        <f>regressionsbasenl!$J$1*A177+regressionsbasenl!$J$2*A177^2</f>
        <v>-24.808523093406279</v>
      </c>
      <c r="K177">
        <f>regressionsbasenl!$V$1*A177</f>
        <v>-13.773134640474876</v>
      </c>
      <c r="L177">
        <f>regressionsbasenl!$N$1*A177^2</f>
        <v>-41.172757602459377</v>
      </c>
      <c r="M177">
        <f>regressionsbasenl!$R$1*A177^2+regressionsbasenl!$R$2*A177^6</f>
        <v>-46.409727462822715</v>
      </c>
      <c r="N177">
        <f>regressionsbasenl!$P$1*A177^2+regressionsbasenl!$P$2*A177^7</f>
        <v>86.064369258601232</v>
      </c>
      <c r="O177">
        <f>regressionsbasenl!$T$2+regressionsbasenl!$T$1*EXP(A177)</f>
        <v>-18800.742035920914</v>
      </c>
      <c r="P177" s="20">
        <f>(1-EXP(-2*regressionsbasenl!X$1*graphbasenl!A177))/2/EXP(-regressionsbasenl!X$1*A177)</f>
        <v>-214.82757343015317</v>
      </c>
      <c r="Q177" s="5"/>
      <c r="AT177" s="33"/>
      <c r="AW177" s="33"/>
      <c r="AZ177" s="33"/>
    </row>
    <row r="178" spans="1:52" x14ac:dyDescent="0.35">
      <c r="A178">
        <f t="shared" si="11"/>
        <v>15.499999999999961</v>
      </c>
      <c r="B178">
        <f t="shared" si="8"/>
        <v>-44.436210624437003</v>
      </c>
      <c r="C178">
        <f>regressionsbasenl!$AR$1*$A178</f>
        <v>16.877154938070795</v>
      </c>
      <c r="D178">
        <f>regressionsbasenl!$AO$1*$A178</f>
        <v>23.825738745666239</v>
      </c>
      <c r="E178">
        <f t="shared" si="9"/>
        <v>-10.681900748295412</v>
      </c>
      <c r="F178">
        <f t="shared" si="10"/>
        <v>-92.087688115769481</v>
      </c>
      <c r="G178" s="5">
        <f>B178-regressions!AA$7</f>
        <v>-48.157499214901961</v>
      </c>
      <c r="H178" s="5">
        <f>B178+regressions!AA$7</f>
        <v>-40.714922033972044</v>
      </c>
      <c r="I178">
        <f>IF($A178&lt;=regressionsbasenl!$L$2,$A178*regressionsbasenl!$L$1,regressionsbasenl!$L$1*regressionsbasenl!$L$2+regressionsbasenl!$L$3*($A178-regressionsbasenl!$L$2))</f>
        <v>-58.963513398396849</v>
      </c>
      <c r="J178">
        <f>regressionsbasenl!$J$1*A178+regressionsbasenl!$J$2*A178^2</f>
        <v>-25.073604258100758</v>
      </c>
      <c r="K178">
        <f>regressionsbasenl!$V$1*A178</f>
        <v>-13.862570579698737</v>
      </c>
      <c r="L178">
        <f>regressionsbasenl!$N$1*A178^2</f>
        <v>-41.709204815276038</v>
      </c>
      <c r="M178">
        <f>regressionsbasenl!$R$1*A178^2+regressionsbasenl!$R$2*A178^6</f>
        <v>-47.492391335614982</v>
      </c>
      <c r="N178">
        <f>regressionsbasenl!$P$1*A178^2+regressionsbasenl!$P$2*A178^7</f>
        <v>91.4909800969115</v>
      </c>
      <c r="O178">
        <f>regressionsbasenl!$T$2+regressionsbasenl!$T$1*EXP(A178)</f>
        <v>-20778.033741790652</v>
      </c>
      <c r="P178" s="20">
        <f>(1-EXP(-2*regressionsbasenl!X$1*graphbasenl!A178))/2/EXP(-regressionsbasenl!X$1*A178)</f>
        <v>-223.45413635242389</v>
      </c>
      <c r="Q178" s="5"/>
      <c r="AT178" s="33"/>
      <c r="AW178" s="33"/>
      <c r="AZ178" s="33"/>
    </row>
    <row r="179" spans="1:52" x14ac:dyDescent="0.35">
      <c r="A179">
        <f t="shared" si="11"/>
        <v>15.599999999999961</v>
      </c>
      <c r="B179">
        <f t="shared" si="8"/>
        <v>-45.603554998308915</v>
      </c>
      <c r="C179">
        <f>regressionsbasenl!$AR$1*$A179</f>
        <v>16.986039808638996</v>
      </c>
      <c r="D179">
        <f>regressionsbasenl!$AO$1*$A179</f>
        <v>23.979453189186668</v>
      </c>
      <c r="E179">
        <f t="shared" si="9"/>
        <v>-11.631475381030924</v>
      </c>
      <c r="F179">
        <f t="shared" si="10"/>
        <v>-93.562461376682251</v>
      </c>
      <c r="G179" s="5">
        <f>B179-regressions!AA$7</f>
        <v>-49.324843588773874</v>
      </c>
      <c r="H179" s="5">
        <f>B179+regressions!AA$7</f>
        <v>-41.882266407843957</v>
      </c>
      <c r="I179">
        <f>IF($A179&lt;=regressionsbasenl!$L$2,$A179*regressionsbasenl!$L$1,regressionsbasenl!$L$1*regressionsbasenl!$L$2+regressionsbasenl!$L$3*($A179-regressionsbasenl!$L$2))</f>
        <v>-60.746253815224343</v>
      </c>
      <c r="J179">
        <f>regressionsbasenl!$J$1*A179+regressionsbasenl!$J$2*A179^2</f>
        <v>-25.340027188716441</v>
      </c>
      <c r="K179">
        <f>regressionsbasenl!$V$1*A179</f>
        <v>-13.9520065189226</v>
      </c>
      <c r="L179">
        <f>regressionsbasenl!$N$1*A179^2</f>
        <v>-42.249124178337468</v>
      </c>
      <c r="M179">
        <f>regressionsbasenl!$R$1*A179^2+regressionsbasenl!$R$2*A179^6</f>
        <v>-48.600806128286841</v>
      </c>
      <c r="N179">
        <f>regressionsbasenl!$P$1*A179^2+regressionsbasenl!$P$2*A179^7</f>
        <v>97.150316504312599</v>
      </c>
      <c r="O179">
        <f>regressionsbasenl!$T$2+regressionsbasenl!$T$1*EXP(A179)</f>
        <v>-22963.279031670074</v>
      </c>
      <c r="P179" s="20">
        <f>(1-EXP(-2*regressionsbasenl!X$1*graphbasenl!A179))/2/EXP(-regressionsbasenl!X$1*A179)</f>
        <v>-232.42709818364997</v>
      </c>
      <c r="Q179" s="5"/>
      <c r="AT179" s="33"/>
      <c r="AW179" s="33"/>
      <c r="AZ179" s="33"/>
    </row>
    <row r="180" spans="1:52" x14ac:dyDescent="0.35">
      <c r="A180">
        <f t="shared" si="11"/>
        <v>15.69999999999996</v>
      </c>
      <c r="B180">
        <f t="shared" si="8"/>
        <v>-46.81462453911179</v>
      </c>
      <c r="C180">
        <f>regressionsbasenl!$AR$1*$A180</f>
        <v>17.094924679207192</v>
      </c>
      <c r="D180">
        <f>regressionsbasenl!$AO$1*$A180</f>
        <v>24.133167632707092</v>
      </c>
      <c r="E180">
        <f t="shared" si="9"/>
        <v>-12.624775180697405</v>
      </c>
      <c r="F180">
        <f t="shared" si="10"/>
        <v>-95.080959804525975</v>
      </c>
      <c r="G180" s="5">
        <f>B180-regressions!AA$7</f>
        <v>-50.535913129576748</v>
      </c>
      <c r="H180" s="5">
        <f>B180+regressions!AA$7</f>
        <v>-43.093335948646832</v>
      </c>
      <c r="I180">
        <f>IF($A180&lt;=regressionsbasenl!$L$2,$A180*regressionsbasenl!$L$1,regressionsbasenl!$L$1*regressionsbasenl!$L$2+regressionsbasenl!$L$3*($A180-regressionsbasenl!$L$2))</f>
        <v>-62.528994232051836</v>
      </c>
      <c r="J180">
        <f>regressionsbasenl!$J$1*A180+regressionsbasenl!$J$2*A180^2</f>
        <v>-25.607791885253327</v>
      </c>
      <c r="K180">
        <f>regressionsbasenl!$V$1*A180</f>
        <v>-14.041442458146463</v>
      </c>
      <c r="L180">
        <f>regressionsbasenl!$N$1*A180^2</f>
        <v>-42.792515691643665</v>
      </c>
      <c r="M180">
        <f>regressionsbasenl!$R$1*A180^2+regressionsbasenl!$R$2*A180^6</f>
        <v>-49.735580375305666</v>
      </c>
      <c r="N180">
        <f>regressionsbasenl!$P$1*A180^2+regressionsbasenl!$P$2*A180^7</f>
        <v>103.05010192552405</v>
      </c>
      <c r="O180">
        <f>regressionsbasenl!$T$2+regressionsbasenl!$T$1*EXP(A180)</f>
        <v>-25378.348574906602</v>
      </c>
      <c r="P180" s="20">
        <f>(1-EXP(-2*regressionsbasenl!X$1*graphbasenl!A180))/2/EXP(-regressionsbasenl!X$1*A180)</f>
        <v>-241.7603688215813</v>
      </c>
      <c r="Q180" s="5"/>
      <c r="AT180" s="33"/>
      <c r="AW180" s="33"/>
      <c r="AZ180" s="33"/>
    </row>
    <row r="181" spans="1:52" x14ac:dyDescent="0.35">
      <c r="A181">
        <f t="shared" si="11"/>
        <v>15.79999999999996</v>
      </c>
      <c r="B181">
        <f t="shared" si="8"/>
        <v>-48.072944428913779</v>
      </c>
      <c r="C181">
        <f>regressionsbasenl!$AR$1*$A181</f>
        <v>17.203809549775393</v>
      </c>
      <c r="D181">
        <f>regressionsbasenl!$AO$1*$A181</f>
        <v>24.286882076227521</v>
      </c>
      <c r="E181">
        <f t="shared" si="9"/>
        <v>-13.665325329362993</v>
      </c>
      <c r="F181">
        <f t="shared" si="10"/>
        <v>-96.646708581368813</v>
      </c>
      <c r="G181" s="5">
        <f>B181-regressions!AA$7</f>
        <v>-51.794233019378737</v>
      </c>
      <c r="H181" s="5">
        <f>B181+regressions!AA$7</f>
        <v>-44.351655838448821</v>
      </c>
      <c r="I181">
        <f>IF($A181&lt;=regressionsbasenl!$L$2,$A181*regressionsbasenl!$L$1,regressionsbasenl!$L$1*regressionsbasenl!$L$2+regressionsbasenl!$L$3*($A181-regressionsbasenl!$L$2))</f>
        <v>-64.311734648879337</v>
      </c>
      <c r="J181">
        <f>regressionsbasenl!$J$1*A181+regressionsbasenl!$J$2*A181^2</f>
        <v>-25.876898347711414</v>
      </c>
      <c r="K181">
        <f>regressionsbasenl!$V$1*A181</f>
        <v>-14.130878397370326</v>
      </c>
      <c r="L181">
        <f>regressionsbasenl!$N$1*A181^2</f>
        <v>-43.33937935519463</v>
      </c>
      <c r="M181">
        <f>regressionsbasenl!$R$1*A181^2+regressionsbasenl!$R$2*A181^6</f>
        <v>-50.897334426770165</v>
      </c>
      <c r="N181">
        <f>regressionsbasenl!$P$1*A181^2+regressionsbasenl!$P$2*A181^7</f>
        <v>109.19826039752007</v>
      </c>
      <c r="O181">
        <f>regressionsbasenl!$T$2+regressionsbasenl!$T$1*EXP(A181)</f>
        <v>-28047.413199221846</v>
      </c>
      <c r="P181" s="20">
        <f>(1-EXP(-2*regressionsbasenl!X$1*graphbasenl!A181))/2/EXP(-regressionsbasenl!X$1*A181)</f>
        <v>-251.46841671517447</v>
      </c>
      <c r="Q181" s="5"/>
      <c r="AT181" s="33"/>
      <c r="AW181" s="33"/>
      <c r="AZ181" s="33"/>
    </row>
    <row r="182" spans="1:52" x14ac:dyDescent="0.35">
      <c r="A182">
        <f t="shared" si="11"/>
        <v>15.899999999999959</v>
      </c>
      <c r="B182">
        <f t="shared" si="8"/>
        <v>-49.382371899844927</v>
      </c>
      <c r="C182">
        <f>regressionsbasenl!$AR$1*$A182</f>
        <v>17.31269442034359</v>
      </c>
      <c r="D182">
        <f>regressionsbasenl!$AO$1*$A182</f>
        <v>24.440596519747949</v>
      </c>
      <c r="E182">
        <f t="shared" si="9"/>
        <v>-14.756983059157747</v>
      </c>
      <c r="F182">
        <f t="shared" si="10"/>
        <v>-98.263564939340824</v>
      </c>
      <c r="G182" s="5">
        <f>B182-regressions!AA$7</f>
        <v>-53.103660490309885</v>
      </c>
      <c r="H182" s="5">
        <f>B182+regressions!AA$7</f>
        <v>-45.661083309379968</v>
      </c>
      <c r="I182">
        <f>IF($A182&lt;=regressionsbasenl!$L$2,$A182*regressionsbasenl!$L$1,regressionsbasenl!$L$1*regressionsbasenl!$L$2+regressionsbasenl!$L$3*($A182-regressionsbasenl!$L$2))</f>
        <v>-66.094475065706831</v>
      </c>
      <c r="J182">
        <f>regressionsbasenl!$J$1*A182+regressionsbasenl!$J$2*A182^2</f>
        <v>-26.147346576090705</v>
      </c>
      <c r="K182">
        <f>regressionsbasenl!$V$1*A182</f>
        <v>-14.220314336594189</v>
      </c>
      <c r="L182">
        <f>regressionsbasenl!$N$1*A182^2</f>
        <v>-43.889715168990364</v>
      </c>
      <c r="M182">
        <f>regressionsbasenl!$R$1*A182^2+regressionsbasenl!$R$2*A182^6</f>
        <v>-52.086700600376275</v>
      </c>
      <c r="N182">
        <f>regressionsbasenl!$P$1*A182^2+regressionsbasenl!$P$2*A182^7</f>
        <v>115.60292043174749</v>
      </c>
      <c r="O182">
        <f>regressionsbasenl!$T$2+regressionsbasenl!$T$1*EXP(A182)</f>
        <v>-30997.185800479558</v>
      </c>
      <c r="P182" s="20">
        <f>(1-EXP(-2*regressionsbasenl!X$1*graphbasenl!A182))/2/EXP(-regressionsbasenl!X$1*A182)</f>
        <v>-261.56629129360232</v>
      </c>
      <c r="Q182" s="5"/>
      <c r="AT182" s="33"/>
      <c r="AW182" s="33"/>
      <c r="AZ182" s="33"/>
    </row>
    <row r="183" spans="1:52" x14ac:dyDescent="0.35">
      <c r="A183">
        <f t="shared" si="11"/>
        <v>15.999999999999959</v>
      </c>
      <c r="B183">
        <f t="shared" si="8"/>
        <v>-50.747129159431765</v>
      </c>
      <c r="C183">
        <f>regressionsbasenl!$AR$1*$A183</f>
        <v>17.421579290911787</v>
      </c>
      <c r="D183">
        <f>regressionsbasenl!$AO$1*$A183</f>
        <v>24.594310963268374</v>
      </c>
      <c r="E183">
        <f t="shared" si="9"/>
        <v>-15.903970577608192</v>
      </c>
      <c r="F183">
        <f t="shared" si="10"/>
        <v>-99.935751085968519</v>
      </c>
      <c r="G183" s="5">
        <f>B183-regressions!AA$7</f>
        <v>-54.468417749896723</v>
      </c>
      <c r="H183" s="5">
        <f>B183+regressions!AA$7</f>
        <v>-47.025840568966807</v>
      </c>
      <c r="I183">
        <f>IF($A183&lt;=regressionsbasenl!$L$2,$A183*regressionsbasenl!$L$1,regressionsbasenl!$L$1*regressionsbasenl!$L$2+regressionsbasenl!$L$3*($A183-regressionsbasenl!$L$2))</f>
        <v>-67.877215482534325</v>
      </c>
      <c r="J183">
        <f>regressionsbasenl!$J$1*A183+regressionsbasenl!$J$2*A183^2</f>
        <v>-26.419136570391188</v>
      </c>
      <c r="K183">
        <f>regressionsbasenl!$V$1*A183</f>
        <v>-14.30975027581805</v>
      </c>
      <c r="L183">
        <f>regressionsbasenl!$N$1*A183^2</f>
        <v>-44.443523133030865</v>
      </c>
      <c r="M183">
        <f>regressionsbasenl!$R$1*A183^2+regressionsbasenl!$R$2*A183^6</f>
        <v>-53.304323334354024</v>
      </c>
      <c r="N183">
        <f>regressionsbasenl!$P$1*A183^2+regressionsbasenl!$P$2*A183^7</f>
        <v>122.27241894611305</v>
      </c>
      <c r="O183">
        <f>regressionsbasenl!$T$2+regressionsbasenl!$T$1*EXP(A183)</f>
        <v>-34257.188694325931</v>
      </c>
      <c r="P183" s="20">
        <f>(1-EXP(-2*regressionsbasenl!X$1*graphbasenl!A183))/2/EXP(-regressionsbasenl!X$1*A183)</f>
        <v>-272.06964629589999</v>
      </c>
      <c r="Q183" s="5"/>
      <c r="AT183" s="33"/>
      <c r="AW183" s="33"/>
      <c r="AZ183" s="33"/>
    </row>
    <row r="184" spans="1:52" x14ac:dyDescent="0.35">
      <c r="A184">
        <f t="shared" si="11"/>
        <v>16.099999999999959</v>
      </c>
      <c r="B184">
        <f t="shared" si="8"/>
        <v>-52.171839674614418</v>
      </c>
      <c r="C184">
        <f>regressionsbasenl!$AR$1*$A184</f>
        <v>17.530464161479987</v>
      </c>
      <c r="D184">
        <f>regressionsbasenl!$AO$1*$A184</f>
        <v>24.748025406788802</v>
      </c>
      <c r="E184">
        <f t="shared" si="9"/>
        <v>-17.110911351654444</v>
      </c>
      <c r="F184">
        <f t="shared" si="10"/>
        <v>-101.66789048819203</v>
      </c>
      <c r="G184" s="5">
        <f>B184-regressions!AA$7</f>
        <v>-55.893128265079376</v>
      </c>
      <c r="H184" s="5">
        <f>B184+regressions!AA$7</f>
        <v>-48.45055108414946</v>
      </c>
      <c r="I184">
        <f>IF($A184&lt;=regressionsbasenl!$L$2,$A184*regressionsbasenl!$L$1,regressionsbasenl!$L$1*regressionsbasenl!$L$2+regressionsbasenl!$L$3*($A184-regressionsbasenl!$L$2))</f>
        <v>-69.659955899361819</v>
      </c>
      <c r="J184">
        <f>regressionsbasenl!$J$1*A184+regressionsbasenl!$J$2*A184^2</f>
        <v>-26.692268330612883</v>
      </c>
      <c r="K184">
        <f>regressionsbasenl!$V$1*A184</f>
        <v>-14.399186215041913</v>
      </c>
      <c r="L184">
        <f>regressionsbasenl!$N$1*A184^2</f>
        <v>-45.000803247316135</v>
      </c>
      <c r="M184">
        <f>regressionsbasenl!$R$1*A184^2+regressionsbasenl!$R$2*A184^6</f>
        <v>-54.550859341375563</v>
      </c>
      <c r="N184">
        <f>regressionsbasenl!$P$1*A184^2+regressionsbasenl!$P$2*A184^7</f>
        <v>129.2153052470598</v>
      </c>
      <c r="O184">
        <f>regressionsbasenl!$T$2+regressionsbasenl!$T$1*EXP(A184)</f>
        <v>-37860.049085447397</v>
      </c>
      <c r="P184" s="20">
        <f>(1-EXP(-2*regressionsbasenl!X$1*graphbasenl!A184))/2/EXP(-regressionsbasenl!X$1*A184)</f>
        <v>-282.99476403741198</v>
      </c>
      <c r="Q184" s="5"/>
      <c r="AT184" s="33"/>
      <c r="AW184" s="33"/>
      <c r="AZ184" s="33"/>
    </row>
    <row r="185" spans="1:52" x14ac:dyDescent="0.35">
      <c r="A185">
        <f t="shared" si="11"/>
        <v>16.19999999999996</v>
      </c>
      <c r="B185">
        <f t="shared" si="8"/>
        <v>-53.661568162747528</v>
      </c>
      <c r="C185">
        <f>regressionsbasenl!$AR$1*$A185</f>
        <v>17.639349032048187</v>
      </c>
      <c r="D185">
        <f>regressionsbasenl!$AO$1*$A185</f>
        <v>24.90173985030923</v>
      </c>
      <c r="E185">
        <f t="shared" si="9"/>
        <v>-18.382870098651154</v>
      </c>
      <c r="F185">
        <f t="shared" si="10"/>
        <v>-103.46504786336598</v>
      </c>
      <c r="G185" s="5">
        <f>B185-regressions!AA$7</f>
        <v>-57.382856753212486</v>
      </c>
      <c r="H185" s="5">
        <f>B185+regressions!AA$7</f>
        <v>-49.94027957228257</v>
      </c>
      <c r="I185">
        <f>IF($A185&lt;=regressionsbasenl!$L$2,$A185*regressionsbasenl!$L$1,regressionsbasenl!$L$1*regressionsbasenl!$L$2+regressionsbasenl!$L$3*($A185-regressionsbasenl!$L$2))</f>
        <v>-71.442696316189355</v>
      </c>
      <c r="J185">
        <f>regressionsbasenl!$J$1*A185+regressionsbasenl!$J$2*A185^2</f>
        <v>-26.966741856755778</v>
      </c>
      <c r="K185">
        <f>regressionsbasenl!$V$1*A185</f>
        <v>-14.488622154265778</v>
      </c>
      <c r="L185">
        <f>regressionsbasenl!$N$1*A185^2</f>
        <v>-45.56155551184618</v>
      </c>
      <c r="M185">
        <f>regressionsbasenl!$R$1*A185^2+regressionsbasenl!$R$2*A185^6</f>
        <v>-55.826977763434087</v>
      </c>
      <c r="N185">
        <f>regressionsbasenl!$P$1*A185^2+regressionsbasenl!$P$2*A185^7</f>
        <v>136.44034506204702</v>
      </c>
      <c r="O185">
        <f>regressionsbasenl!$T$2+regressionsbasenl!$T$1*EXP(A185)</f>
        <v>-41841.825611601562</v>
      </c>
      <c r="P185" s="20">
        <f>(1-EXP(-2*regressionsbasenl!X$1*graphbasenl!A185))/2/EXP(-regressionsbasenl!X$1*A185)</f>
        <v>-294.35858065066071</v>
      </c>
      <c r="Q185" s="5"/>
      <c r="AT185" s="33"/>
      <c r="AW185" s="33"/>
      <c r="AZ185" s="33"/>
    </row>
    <row r="186" spans="1:52" x14ac:dyDescent="0.35">
      <c r="A186">
        <f t="shared" si="11"/>
        <v>16.299999999999962</v>
      </c>
      <c r="B186">
        <f t="shared" si="8"/>
        <v>-55.221864674304527</v>
      </c>
      <c r="C186">
        <f>regressionsbasenl!$AR$1*$A186</f>
        <v>17.748233902616388</v>
      </c>
      <c r="D186">
        <f>regressionsbasenl!$AO$1*$A186</f>
        <v>25.055454293829662</v>
      </c>
      <c r="E186">
        <f t="shared" si="9"/>
        <v>-19.725396869071751</v>
      </c>
      <c r="F186">
        <f t="shared" si="10"/>
        <v>-105.33277326196385</v>
      </c>
      <c r="G186" s="5">
        <f>B186-regressions!AA$7</f>
        <v>-58.943153264769485</v>
      </c>
      <c r="H186" s="5">
        <f>B186+regressions!AA$7</f>
        <v>-51.500576083839569</v>
      </c>
      <c r="I186">
        <f>IF($A186&lt;=regressionsbasenl!$L$2,$A186*regressionsbasenl!$L$1,regressionsbasenl!$L$1*regressionsbasenl!$L$2+regressionsbasenl!$L$3*($A186-regressionsbasenl!$L$2))</f>
        <v>-73.225436733016878</v>
      </c>
      <c r="J186">
        <f>regressionsbasenl!$J$1*A186+regressionsbasenl!$J$2*A186^2</f>
        <v>-27.242557148819884</v>
      </c>
      <c r="K186">
        <f>regressionsbasenl!$V$1*A186</f>
        <v>-14.578058093489643</v>
      </c>
      <c r="L186">
        <f>regressionsbasenl!$N$1*A186^2</f>
        <v>-46.125779926621</v>
      </c>
      <c r="M186">
        <f>regressionsbasenl!$R$1*A186^2+regressionsbasenl!$R$2*A186^6</f>
        <v>-57.13336032769385</v>
      </c>
      <c r="N186">
        <f>regressionsbasenl!$P$1*A186^2+regressionsbasenl!$P$2*A186^7</f>
        <v>143.95652462275234</v>
      </c>
      <c r="O186">
        <f>regressionsbasenl!$T$2+regressionsbasenl!$T$1*EXP(A186)</f>
        <v>-46242.369230583434</v>
      </c>
      <c r="P186" s="20">
        <f>(1-EXP(-2*regressionsbasenl!X$1*graphbasenl!A186))/2/EXP(-regressionsbasenl!X$1*A186)</f>
        <v>-306.17871233976092</v>
      </c>
      <c r="Q186" s="5"/>
      <c r="AT186" s="33"/>
      <c r="AW186" s="33"/>
      <c r="AZ186" s="33"/>
    </row>
    <row r="187" spans="1:52" x14ac:dyDescent="0.35">
      <c r="A187">
        <f t="shared" si="11"/>
        <v>16.399999999999963</v>
      </c>
      <c r="B187">
        <f t="shared" si="8"/>
        <v>-56.858813192245904</v>
      </c>
      <c r="C187">
        <f>regressionsbasenl!$AR$1*$A187</f>
        <v>17.857118773184588</v>
      </c>
      <c r="D187">
        <f>regressionsbasenl!$AO$1*$A187</f>
        <v>25.20916873735009</v>
      </c>
      <c r="E187">
        <f t="shared" si="9"/>
        <v>-21.144575645876728</v>
      </c>
      <c r="F187">
        <f t="shared" si="10"/>
        <v>-107.27715066694608</v>
      </c>
      <c r="G187" s="5">
        <f>B187-regressions!AA$7</f>
        <v>-60.580101782710862</v>
      </c>
      <c r="H187" s="5">
        <f>B187+regressions!AA$7</f>
        <v>-53.137524601780946</v>
      </c>
      <c r="I187">
        <f>IF($A187&lt;=regressionsbasenl!$L$2,$A187*regressionsbasenl!$L$1,regressionsbasenl!$L$1*regressionsbasenl!$L$2+regressionsbasenl!$L$3*($A187-regressionsbasenl!$L$2))</f>
        <v>-75.0081771498444</v>
      </c>
      <c r="J187">
        <f>regressionsbasenl!$J$1*A187+regressionsbasenl!$J$2*A187^2</f>
        <v>-27.519714206805183</v>
      </c>
      <c r="K187">
        <f>regressionsbasenl!$V$1*A187</f>
        <v>-14.667494032713506</v>
      </c>
      <c r="L187">
        <f>regressionsbasenl!$N$1*A187^2</f>
        <v>-46.693476491640581</v>
      </c>
      <c r="M187">
        <f>regressionsbasenl!$R$1*A187^2+regressionsbasenl!$R$2*A187^6</f>
        <v>-58.470701503311147</v>
      </c>
      <c r="N187">
        <f>regressionsbasenl!$P$1*A187^2+regressionsbasenl!$P$2*A187^7</f>
        <v>151.77305479931258</v>
      </c>
      <c r="O187">
        <f>regressionsbasenl!$T$2+regressionsbasenl!$T$1*EXP(A187)</f>
        <v>-51105.722062005574</v>
      </c>
      <c r="P187" s="20">
        <f>(1-EXP(-2*regressionsbasenl!X$1*graphbasenl!A187))/2/EXP(-regressionsbasenl!X$1*A187)</f>
        <v>-318.47348268908564</v>
      </c>
      <c r="Q187" s="5"/>
      <c r="AT187" s="33"/>
      <c r="AW187" s="33"/>
      <c r="AZ187" s="33"/>
    </row>
    <row r="188" spans="1:52" x14ac:dyDescent="0.35">
      <c r="A188">
        <f t="shared" si="11"/>
        <v>16.499999999999964</v>
      </c>
      <c r="B188">
        <f t="shared" si="8"/>
        <v>-58.579085217475146</v>
      </c>
      <c r="C188">
        <f>regressionsbasenl!$AR$1*$A188</f>
        <v>17.966003643752789</v>
      </c>
      <c r="D188">
        <f>regressionsbasenl!$AO$1*$A188</f>
        <v>25.362883180870522</v>
      </c>
      <c r="E188">
        <f t="shared" si="9"/>
        <v>-22.647077929969569</v>
      </c>
      <c r="F188">
        <f t="shared" si="10"/>
        <v>-109.30485157921619</v>
      </c>
      <c r="G188" s="5">
        <f>B188-regressions!AA$7</f>
        <v>-62.300373807940105</v>
      </c>
      <c r="H188" s="5">
        <f>B188+regressions!AA$7</f>
        <v>-54.857796627010188</v>
      </c>
      <c r="I188">
        <f>IF($A188&lt;=regressionsbasenl!$L$2,$A188*regressionsbasenl!$L$1,regressionsbasenl!$L$1*regressionsbasenl!$L$2+regressionsbasenl!$L$3*($A188-regressionsbasenl!$L$2))</f>
        <v>-76.790917566671936</v>
      </c>
      <c r="J188">
        <f>regressionsbasenl!$J$1*A188+regressionsbasenl!$J$2*A188^2</f>
        <v>-27.798213030711686</v>
      </c>
      <c r="K188">
        <f>regressionsbasenl!$V$1*A188</f>
        <v>-14.756929971937371</v>
      </c>
      <c r="L188">
        <f>regressionsbasenl!$N$1*A188^2</f>
        <v>-47.26464520690493</v>
      </c>
      <c r="M188">
        <f>regressionsbasenl!$R$1*A188^2+regressionsbasenl!$R$2*A188^6</f>
        <v>-59.839708659226474</v>
      </c>
      <c r="N188">
        <f>regressionsbasenl!$P$1*A188^2+regressionsbasenl!$P$2*A188^7</f>
        <v>159.8993752859202</v>
      </c>
      <c r="O188">
        <f>regressionsbasenl!$T$2+regressionsbasenl!$T$1*EXP(A188)</f>
        <v>-56480.558175634178</v>
      </c>
      <c r="P188" s="20">
        <f>(1-EXP(-2*regressionsbasenl!X$1*graphbasenl!A188))/2/EXP(-regressionsbasenl!X$1*A188)</f>
        <v>-331.26195106850957</v>
      </c>
      <c r="Q188" s="5"/>
      <c r="AT188" s="33"/>
      <c r="AW188" s="33"/>
      <c r="AZ188" s="33"/>
    </row>
    <row r="189" spans="1:52" x14ac:dyDescent="0.35">
      <c r="A189">
        <f t="shared" si="11"/>
        <v>16.599999999999966</v>
      </c>
      <c r="B189">
        <f t="shared" si="8"/>
        <v>-60.389998858936849</v>
      </c>
      <c r="C189">
        <f>regressionsbasenl!$AR$1*$A189</f>
        <v>18.074888514320989</v>
      </c>
      <c r="D189">
        <f>regressionsbasenl!$AO$1*$A189</f>
        <v>25.51659762439095</v>
      </c>
      <c r="E189">
        <f t="shared" si="9"/>
        <v>-24.240221830294871</v>
      </c>
      <c r="F189">
        <f t="shared" si="10"/>
        <v>-111.42319410771876</v>
      </c>
      <c r="G189" s="5">
        <f>B189-regressions!AA$7</f>
        <v>-64.1112874494018</v>
      </c>
      <c r="H189" s="5">
        <f>B189+regressions!AA$7</f>
        <v>-56.668710268471891</v>
      </c>
      <c r="I189">
        <f>IF($A189&lt;=regressionsbasenl!$L$2,$A189*regressionsbasenl!$L$1,regressionsbasenl!$L$1*regressionsbasenl!$L$2+regressionsbasenl!$L$3*($A189-regressionsbasenl!$L$2))</f>
        <v>-78.573657983499459</v>
      </c>
      <c r="J189">
        <f>regressionsbasenl!$J$1*A189+regressionsbasenl!$J$2*A189^2</f>
        <v>-28.078053620539393</v>
      </c>
      <c r="K189">
        <f>regressionsbasenl!$V$1*A189</f>
        <v>-14.846365911161236</v>
      </c>
      <c r="L189">
        <f>regressionsbasenl!$N$1*A189^2</f>
        <v>-47.839286072414055</v>
      </c>
      <c r="M189">
        <f>regressionsbasenl!$R$1*A189^2+regressionsbasenl!$R$2*A189^6</f>
        <v>-61.241102222927587</v>
      </c>
      <c r="N189">
        <f>regressionsbasenl!$P$1*A189^2+regressionsbasenl!$P$2*A189^7</f>
        <v>168.3451588380928</v>
      </c>
      <c r="O189">
        <f>regressionsbasenl!$T$2+regressionsbasenl!$T$1*EXP(A189)</f>
        <v>-62420.670737839268</v>
      </c>
      <c r="P189" s="20">
        <f>(1-EXP(-2*regressionsbasenl!X$1*graphbasenl!A189))/2/EXP(-regressionsbasenl!X$1*A189)</f>
        <v>-344.56394217927203</v>
      </c>
      <c r="Q189" s="5"/>
      <c r="AT189" s="33"/>
      <c r="AW189" s="33"/>
      <c r="AZ189" s="33"/>
    </row>
    <row r="190" spans="1:52" x14ac:dyDescent="0.35">
      <c r="A190">
        <f t="shared" si="11"/>
        <v>16.699999999999967</v>
      </c>
      <c r="B190">
        <f t="shared" si="8"/>
        <v>-62.299584001199278</v>
      </c>
      <c r="C190">
        <f>regressionsbasenl!$AR$1*$A190</f>
        <v>18.183773384889189</v>
      </c>
      <c r="D190">
        <f>regressionsbasenl!$AO$1*$A190</f>
        <v>25.670312067911382</v>
      </c>
      <c r="E190">
        <f t="shared" si="9"/>
        <v>-25.9320372314209</v>
      </c>
      <c r="F190">
        <f t="shared" si="10"/>
        <v>-113.64020813702204</v>
      </c>
      <c r="G190" s="5">
        <f>B190-regressions!AA$7</f>
        <v>-66.020872591664229</v>
      </c>
      <c r="H190" s="5">
        <f>B190+regressions!AA$7</f>
        <v>-58.57829541073432</v>
      </c>
      <c r="I190">
        <f>IF($A190&lt;=regressionsbasenl!$L$2,$A190*regressionsbasenl!$L$1,regressionsbasenl!$L$1*regressionsbasenl!$L$2+regressionsbasenl!$L$3*($A190-regressionsbasenl!$L$2))</f>
        <v>-80.356398400326981</v>
      </c>
      <c r="J190">
        <f>regressionsbasenl!$J$1*A190+regressionsbasenl!$J$2*A190^2</f>
        <v>-28.359235976288296</v>
      </c>
      <c r="K190">
        <f>regressionsbasenl!$V$1*A190</f>
        <v>-14.935801850385101</v>
      </c>
      <c r="L190">
        <f>regressionsbasenl!$N$1*A190^2</f>
        <v>-48.41739908816794</v>
      </c>
      <c r="M190">
        <f>regressionsbasenl!$R$1*A190^2+regressionsbasenl!$R$2*A190^6</f>
        <v>-62.675615840183532</v>
      </c>
      <c r="N190">
        <f>regressionsbasenl!$P$1*A190^2+regressionsbasenl!$P$2*A190^7</f>
        <v>177.12031556193148</v>
      </c>
      <c r="O190">
        <f>regressionsbasenl!$T$2+regressionsbasenl!$T$1*EXP(A190)</f>
        <v>-68985.510391684147</v>
      </c>
      <c r="P190" s="20">
        <f>(1-EXP(-2*regressionsbasenl!X$1*graphbasenl!A190))/2/EXP(-regressionsbasenl!X$1*A190)</f>
        <v>-358.40007678625489</v>
      </c>
      <c r="Q190" s="5"/>
      <c r="AE190" s="58"/>
      <c r="AO190" s="1"/>
      <c r="AP190" s="1"/>
      <c r="AT190" s="33"/>
      <c r="AW190" s="33"/>
      <c r="AZ190" s="33"/>
    </row>
    <row r="191" spans="1:52" x14ac:dyDescent="0.35">
      <c r="A191">
        <f t="shared" si="11"/>
        <v>16.799999999999969</v>
      </c>
      <c r="B191">
        <f t="shared" si="8"/>
        <v>-64.31665418235113</v>
      </c>
      <c r="C191">
        <f>regressionsbasenl!$AR$1*$A191</f>
        <v>18.29265825545739</v>
      </c>
      <c r="D191">
        <f>regressionsbasenl!$AO$1*$A191</f>
        <v>25.824026511431811</v>
      </c>
      <c r="E191">
        <f t="shared" si="9"/>
        <v>-27.73133767143635</v>
      </c>
      <c r="F191">
        <f t="shared" si="10"/>
        <v>-115.96470720521475</v>
      </c>
      <c r="G191" s="5">
        <f>B191-regressions!AA$7</f>
        <v>-68.037942772816081</v>
      </c>
      <c r="H191" s="5">
        <f>B191+regressions!AA$7</f>
        <v>-60.595365591886171</v>
      </c>
      <c r="I191">
        <f>IF($A191&lt;=regressionsbasenl!$L$2,$A191*regressionsbasenl!$L$1,regressionsbasenl!$L$1*regressionsbasenl!$L$2+regressionsbasenl!$L$3*($A191-regressionsbasenl!$L$2))</f>
        <v>-82.139138817154517</v>
      </c>
      <c r="J191">
        <f>regressionsbasenl!$J$1*A191+regressionsbasenl!$J$2*A191^2</f>
        <v>-28.641760097958411</v>
      </c>
      <c r="K191">
        <f>regressionsbasenl!$V$1*A191</f>
        <v>-15.025237789608964</v>
      </c>
      <c r="L191">
        <f>regressionsbasenl!$N$1*A191^2</f>
        <v>-48.998984254166594</v>
      </c>
      <c r="M191">
        <f>regressionsbasenl!$R$1*A191^2+regressionsbasenl!$R$2*A191^6</f>
        <v>-64.143996535749892</v>
      </c>
      <c r="N191">
        <f>regressionsbasenl!$P$1*A191^2+regressionsbasenl!$P$2*A191^7</f>
        <v>186.23499725568706</v>
      </c>
      <c r="O191">
        <f>regressionsbasenl!$T$2+regressionsbasenl!$T$1*EXP(A191)</f>
        <v>-76240.780258943341</v>
      </c>
      <c r="P191" s="20">
        <f>(1-EXP(-2*regressionsbasenl!X$1*graphbasenl!A191))/2/EXP(-regressionsbasenl!X$1*A191)</f>
        <v>-372.79180368432242</v>
      </c>
      <c r="Q191" s="5"/>
      <c r="AT191" s="33"/>
      <c r="AW191" s="33"/>
      <c r="AZ191" s="33"/>
    </row>
    <row r="192" spans="1:52" x14ac:dyDescent="0.35">
      <c r="A192">
        <f t="shared" si="11"/>
        <v>16.89999999999997</v>
      </c>
      <c r="B192">
        <f t="shared" si="8"/>
        <v>-66.450885881327139</v>
      </c>
      <c r="C192">
        <f>regressionsbasenl!$AR$1*$A192</f>
        <v>18.40154312602559</v>
      </c>
      <c r="D192">
        <f>regressionsbasenl!$AO$1*$A192</f>
        <v>25.977740954952242</v>
      </c>
      <c r="E192">
        <f t="shared" si="9"/>
        <v>-29.647799629275958</v>
      </c>
      <c r="F192">
        <f t="shared" si="10"/>
        <v>-118.40636779123162</v>
      </c>
      <c r="G192" s="5">
        <f>B192-regressions!AA$7</f>
        <v>-70.17217447179209</v>
      </c>
      <c r="H192" s="5">
        <f>B192+regressions!AA$7</f>
        <v>-62.729597290862181</v>
      </c>
      <c r="I192">
        <f>IF($A192&lt;=regressionsbasenl!$L$2,$A192*regressionsbasenl!$L$1,regressionsbasenl!$L$1*regressionsbasenl!$L$2+regressionsbasenl!$L$3*($A192-regressionsbasenl!$L$2))</f>
        <v>-83.92187923398204</v>
      </c>
      <c r="J192">
        <f>regressionsbasenl!$J$1*A192+regressionsbasenl!$J$2*A192^2</f>
        <v>-28.925625985549722</v>
      </c>
      <c r="K192">
        <f>regressionsbasenl!$V$1*A192</f>
        <v>-15.114673728832829</v>
      </c>
      <c r="L192">
        <f>regressionsbasenl!$N$1*A192^2</f>
        <v>-49.584041570410022</v>
      </c>
      <c r="M192">
        <f>regressionsbasenl!$R$1*A192^2+regressionsbasenl!$R$2*A192^6</f>
        <v>-65.647004875044956</v>
      </c>
      <c r="N192">
        <f>regressionsbasenl!$P$1*A192^2+regressionsbasenl!$P$2*A192^7</f>
        <v>195.69960180394952</v>
      </c>
      <c r="O192">
        <f>regressionsbasenl!$T$2+regressionsbasenl!$T$1*EXP(A192)</f>
        <v>-84259.093519028756</v>
      </c>
      <c r="P192" s="20">
        <f>(1-EXP(-2*regressionsbasenl!X$1*graphbasenl!A192))/2/EXP(-regressionsbasenl!X$1*A192)</f>
        <v>-387.76143294826994</v>
      </c>
      <c r="Q192" s="5"/>
      <c r="AT192" s="33"/>
      <c r="AW192" s="33"/>
      <c r="AZ192" s="33"/>
    </row>
    <row r="193" spans="1:52" x14ac:dyDescent="0.35">
      <c r="A193">
        <f t="shared" si="11"/>
        <v>16.999999999999972</v>
      </c>
      <c r="B193">
        <f t="shared" si="8"/>
        <v>-68.712905987024598</v>
      </c>
      <c r="C193">
        <f>regressionsbasenl!$AR$1*$A193</f>
        <v>18.510427996593791</v>
      </c>
      <c r="D193">
        <f>regressionsbasenl!$AO$1*$A193</f>
        <v>26.131455398472671</v>
      </c>
      <c r="E193">
        <f t="shared" si="9"/>
        <v>-31.692049993837017</v>
      </c>
      <c r="F193">
        <f t="shared" si="10"/>
        <v>-120.97581678396995</v>
      </c>
      <c r="G193" s="5">
        <f>B193-regressions!AA$7</f>
        <v>-72.434194577489549</v>
      </c>
      <c r="H193" s="5">
        <f>B193+regressions!AA$7</f>
        <v>-64.991617396559647</v>
      </c>
      <c r="I193">
        <f>IF($A193&lt;=regressionsbasenl!$L$2,$A193*regressionsbasenl!$L$1,regressionsbasenl!$L$1*regressionsbasenl!$L$2+regressionsbasenl!$L$3*($A193-regressionsbasenl!$L$2))</f>
        <v>-85.704619650809562</v>
      </c>
      <c r="J193">
        <f>regressionsbasenl!$J$1*A193+regressionsbasenl!$J$2*A193^2</f>
        <v>-29.21083363906223</v>
      </c>
      <c r="K193">
        <f>regressionsbasenl!$V$1*A193</f>
        <v>-15.204109668056693</v>
      </c>
      <c r="L193">
        <f>regressionsbasenl!$N$1*A193^2</f>
        <v>-50.172571036898212</v>
      </c>
      <c r="M193">
        <f>regressionsbasenl!$R$1*A193^2+regressionsbasenl!$R$2*A193^6</f>
        <v>-67.185415126796812</v>
      </c>
      <c r="N193">
        <f>regressionsbasenl!$P$1*A193^2+regressionsbasenl!$P$2*A193^7</f>
        <v>205.52477762477778</v>
      </c>
      <c r="O193">
        <f>regressionsbasenl!$T$2+regressionsbasenl!$T$1*EXP(A193)</f>
        <v>-93120.700146095536</v>
      </c>
      <c r="P193" s="20">
        <f>(1-EXP(-2*regressionsbasenl!X$1*graphbasenl!A193))/2/EXP(-regressionsbasenl!X$1*A193)</f>
        <v>-403.33217051793468</v>
      </c>
      <c r="Q193" s="5"/>
      <c r="AT193" s="33"/>
      <c r="AW193" s="33"/>
      <c r="AZ193" s="33"/>
    </row>
    <row r="194" spans="1:52" x14ac:dyDescent="0.35">
      <c r="A194">
        <f t="shared" si="11"/>
        <v>17.099999999999973</v>
      </c>
      <c r="B194">
        <f t="shared" si="8"/>
        <v>-71.114388302509212</v>
      </c>
      <c r="C194">
        <f>regressionsbasenl!$AR$1*$A194</f>
        <v>18.619312867161991</v>
      </c>
      <c r="D194">
        <f>regressionsbasenl!$AO$1*$A194</f>
        <v>26.285169841993103</v>
      </c>
      <c r="E194">
        <f t="shared" si="9"/>
        <v>-33.87576256818523</v>
      </c>
      <c r="F194">
        <f t="shared" si="10"/>
        <v>-123.68472798649542</v>
      </c>
      <c r="G194" s="5">
        <f>B194-regressions!AA$7</f>
        <v>-74.835676892974163</v>
      </c>
      <c r="H194" s="5">
        <f>B194+regressions!AA$7</f>
        <v>-67.393099712044261</v>
      </c>
      <c r="I194">
        <f>IF($A194&lt;=regressionsbasenl!$L$2,$A194*regressionsbasenl!$L$1,regressionsbasenl!$L$1*regressionsbasenl!$L$2+regressionsbasenl!$L$3*($A194-regressionsbasenl!$L$2))</f>
        <v>-87.487360067637098</v>
      </c>
      <c r="J194">
        <f>regressionsbasenl!$J$1*A194+regressionsbasenl!$J$2*A194^2</f>
        <v>-29.497383058495949</v>
      </c>
      <c r="K194">
        <f>regressionsbasenl!$V$1*A194</f>
        <v>-15.293545607280556</v>
      </c>
      <c r="L194">
        <f>regressionsbasenl!$N$1*A194^2</f>
        <v>-50.76457265363117</v>
      </c>
      <c r="M194">
        <f>regressionsbasenl!$R$1*A194^2+regressionsbasenl!$R$2*A194^6</f>
        <v>-68.760015426661695</v>
      </c>
      <c r="N194">
        <f>regressionsbasenl!$P$1*A194^2+regressionsbasenl!$P$2*A194^7</f>
        <v>215.72142817008807</v>
      </c>
      <c r="O194">
        <f>regressionsbasenl!$T$2+regressionsbasenl!$T$1*EXP(A194)</f>
        <v>-102914.29007775616</v>
      </c>
      <c r="P194" s="20">
        <f>(1-EXP(-2*regressionsbasenl!X$1*graphbasenl!A194))/2/EXP(-regressionsbasenl!X$1*A194)</f>
        <v>-419.52815417207364</v>
      </c>
      <c r="AT194" s="33"/>
      <c r="AW194" s="33"/>
      <c r="AZ194" s="33"/>
    </row>
    <row r="195" spans="1:52" x14ac:dyDescent="0.35">
      <c r="A195">
        <f t="shared" si="11"/>
        <v>17.199999999999974</v>
      </c>
      <c r="B195">
        <f t="shared" si="8"/>
        <v>-73.668160027048799</v>
      </c>
      <c r="C195">
        <f>regressionsbasenl!$AR$1*$A195</f>
        <v>18.728197737730191</v>
      </c>
      <c r="D195">
        <f>regressionsbasenl!$AO$1*$A195</f>
        <v>26.438884285513531</v>
      </c>
      <c r="E195">
        <f t="shared" si="9"/>
        <v>-36.211764551588416</v>
      </c>
      <c r="F195">
        <f t="shared" si="10"/>
        <v>-126.54592859807586</v>
      </c>
      <c r="G195" s="5">
        <f>B195-regressions!AA$7</f>
        <v>-77.38944861751375</v>
      </c>
      <c r="H195" s="5">
        <f>B195+regressions!AA$7</f>
        <v>-69.946871436583848</v>
      </c>
      <c r="I195">
        <f>IF($A195&lt;=regressionsbasenl!$L$2,$A195*regressionsbasenl!$L$1,regressionsbasenl!$L$1*regressionsbasenl!$L$2+regressionsbasenl!$L$3*($A195-regressionsbasenl!$L$2))</f>
        <v>-89.270100484464621</v>
      </c>
      <c r="J195">
        <f>regressionsbasenl!$J$1*A195+regressionsbasenl!$J$2*A195^2</f>
        <v>-29.785274243850868</v>
      </c>
      <c r="K195">
        <f>regressionsbasenl!$V$1*A195</f>
        <v>-15.382981546504421</v>
      </c>
      <c r="L195">
        <f>regressionsbasenl!$N$1*A195^2</f>
        <v>-51.360046420608903</v>
      </c>
      <c r="M195">
        <f>regressionsbasenl!$R$1*A195^2+regressionsbasenl!$R$2*A195^6</f>
        <v>-70.371607941813238</v>
      </c>
      <c r="N195">
        <f>regressionsbasenl!$P$1*A195^2+regressionsbasenl!$P$2*A195^7</f>
        <v>226.30071647961694</v>
      </c>
      <c r="O195">
        <f>regressionsbasenl!$T$2+regressionsbasenl!$T$1*EXP(A195)</f>
        <v>-113737.88085378597</v>
      </c>
      <c r="P195" s="20">
        <f>(1-EXP(-2*regressionsbasenl!X$1*graphbasenl!A195))/2/EXP(-regressionsbasenl!X$1*A195)</f>
        <v>-436.37449094678396</v>
      </c>
      <c r="AT195" s="33"/>
      <c r="AW195" s="33"/>
      <c r="AZ195" s="33"/>
    </row>
    <row r="196" spans="1:52" x14ac:dyDescent="0.35">
      <c r="A196">
        <f t="shared" si="11"/>
        <v>17.299999999999976</v>
      </c>
      <c r="B196">
        <f t="shared" ref="B196:B203" si="12">SUMPRODUCT(I$2:P$2,I196:P196)</f>
        <v>-76.388319257544069</v>
      </c>
      <c r="C196">
        <f>regressionsbasenl!$AR$1*$A196</f>
        <v>18.837082608298392</v>
      </c>
      <c r="D196">
        <f>regressionsbasenl!$AO$1*$A196</f>
        <v>26.592598729033963</v>
      </c>
      <c r="E196">
        <f t="shared" si="9"/>
        <v>-38.714154040947285</v>
      </c>
      <c r="F196">
        <f t="shared" si="10"/>
        <v>-129.57351671561199</v>
      </c>
      <c r="G196" s="5">
        <f>B196-regressions!AA$7</f>
        <v>-80.10960784800902</v>
      </c>
      <c r="H196" s="5">
        <f>B196+regressions!AA$7</f>
        <v>-72.667030667079118</v>
      </c>
      <c r="I196">
        <f>IF($A196&lt;=regressionsbasenl!$L$2,$A196*regressionsbasenl!$L$1,regressionsbasenl!$L$1*regressionsbasenl!$L$2+regressionsbasenl!$L$3*($A196-regressionsbasenl!$L$2))</f>
        <v>-91.052840901292143</v>
      </c>
      <c r="J196">
        <f>regressionsbasenl!$J$1*A196+regressionsbasenl!$J$2*A196^2</f>
        <v>-30.074507195126987</v>
      </c>
      <c r="K196">
        <f>regressionsbasenl!$V$1*A196</f>
        <v>-15.472417485728286</v>
      </c>
      <c r="L196">
        <f>regressionsbasenl!$N$1*A196^2</f>
        <v>-51.958992337831404</v>
      </c>
      <c r="M196">
        <f>regressionsbasenl!$R$1*A196^2+regressionsbasenl!$R$2*A196^6</f>
        <v>-72.021009036502647</v>
      </c>
      <c r="N196">
        <f>regressionsbasenl!$P$1*A196^2+regressionsbasenl!$P$2*A196^7</f>
        <v>237.27406978877505</v>
      </c>
      <c r="O196">
        <f>regressionsbasenl!$T$2+regressionsbasenl!$T$1*EXP(A196)</f>
        <v>-125699.79860860597</v>
      </c>
      <c r="P196" s="20">
        <f>(1-EXP(-2*regressionsbasenl!X$1*graphbasenl!A196))/2/EXP(-regressionsbasenl!X$1*A196)</f>
        <v>-453.89729605646181</v>
      </c>
      <c r="AT196" s="33"/>
      <c r="AW196" s="33"/>
      <c r="AZ196" s="33"/>
    </row>
    <row r="197" spans="1:52" x14ac:dyDescent="0.35">
      <c r="A197">
        <f t="shared" si="11"/>
        <v>17.399999999999977</v>
      </c>
      <c r="B197">
        <f t="shared" si="12"/>
        <v>-79.290364660141478</v>
      </c>
      <c r="C197">
        <f>regressionsbasenl!$AR$1*$A197</f>
        <v>18.945967478866592</v>
      </c>
      <c r="D197">
        <f>regressionsbasenl!$AO$1*$A197</f>
        <v>26.746313172554391</v>
      </c>
      <c r="E197">
        <f t="shared" si="9"/>
        <v>-41.398429702408293</v>
      </c>
      <c r="F197">
        <f t="shared" si="10"/>
        <v>-132.78299100525027</v>
      </c>
      <c r="G197" s="5">
        <f>B197-regressions!AA$7</f>
        <v>-83.011653250606429</v>
      </c>
      <c r="H197" s="5">
        <f>B197+regressions!AA$7</f>
        <v>-75.569076069676527</v>
      </c>
      <c r="I197">
        <f>IF($A197&lt;=regressionsbasenl!$L$2,$A197*regressionsbasenl!$L$1,regressionsbasenl!$L$1*regressionsbasenl!$L$2+regressionsbasenl!$L$3*($A197-regressionsbasenl!$L$2))</f>
        <v>-92.835581318119679</v>
      </c>
      <c r="J197">
        <f>regressionsbasenl!$J$1*A197+regressionsbasenl!$J$2*A197^2</f>
        <v>-30.365081912324303</v>
      </c>
      <c r="K197">
        <f>regressionsbasenl!$V$1*A197</f>
        <v>-15.561853424952149</v>
      </c>
      <c r="L197">
        <f>regressionsbasenl!$N$1*A197^2</f>
        <v>-52.561410405298666</v>
      </c>
      <c r="M197">
        <f>regressionsbasenl!$R$1*A197^2+regressionsbasenl!$R$2*A197^6</f>
        <v>-73.709049438590114</v>
      </c>
      <c r="N197">
        <f>regressionsbasenl!$P$1*A197^2+regressionsbasenl!$P$2*A197^7</f>
        <v>248.65318419071147</v>
      </c>
      <c r="O197">
        <f>regressionsbasenl!$T$2+regressionsbasenl!$T$1*EXP(A197)</f>
        <v>-138919.76223564579</v>
      </c>
      <c r="P197" s="20">
        <f>(1-EXP(-2*regressionsbasenl!X$1*graphbasenl!A197))/2/EXP(-regressionsbasenl!X$1*A197)</f>
        <v>-472.12373337764512</v>
      </c>
      <c r="AT197" s="33"/>
      <c r="AW197" s="33"/>
      <c r="AZ197" s="33"/>
    </row>
    <row r="198" spans="1:52" x14ac:dyDescent="0.35">
      <c r="A198">
        <f t="shared" si="11"/>
        <v>17.499999999999979</v>
      </c>
      <c r="B198">
        <f t="shared" si="12"/>
        <v>-82.391338583498836</v>
      </c>
      <c r="C198">
        <f>regressionsbasenl!$AR$1*$A198</f>
        <v>19.054852349434793</v>
      </c>
      <c r="D198">
        <f>regressionsbasenl!$AO$1*$A198</f>
        <v>26.900027616074819</v>
      </c>
      <c r="E198">
        <f t="shared" si="9"/>
        <v>-44.281633884629251</v>
      </c>
      <c r="F198">
        <f t="shared" si="10"/>
        <v>-136.19139381564847</v>
      </c>
      <c r="G198" s="5">
        <f>B198-regressions!AA$7</f>
        <v>-86.112627173963787</v>
      </c>
      <c r="H198" s="5">
        <f>B198+regressions!AA$7</f>
        <v>-78.670049993033885</v>
      </c>
      <c r="I198">
        <f>IF($A198&lt;=regressionsbasenl!$L$2,$A198*regressionsbasenl!$L$1,regressionsbasenl!$L$1*regressionsbasenl!$L$2+regressionsbasenl!$L$3*($A198-regressionsbasenl!$L$2))</f>
        <v>-94.618321734947202</v>
      </c>
      <c r="J198">
        <f>regressionsbasenl!$J$1*A198+regressionsbasenl!$J$2*A198^2</f>
        <v>-30.65699839544283</v>
      </c>
      <c r="K198">
        <f>regressionsbasenl!$V$1*A198</f>
        <v>-15.651289364176014</v>
      </c>
      <c r="L198">
        <f>regressionsbasenl!$N$1*A198^2</f>
        <v>-53.167300623010703</v>
      </c>
      <c r="M198">
        <f>regressionsbasenl!$R$1*A198^2+regressionsbasenl!$R$2*A198^6</f>
        <v>-75.436574407047146</v>
      </c>
      <c r="N198">
        <f>regressionsbasenl!$P$1*A198^2+regressionsbasenl!$P$2*A198^7</f>
        <v>260.45002935290245</v>
      </c>
      <c r="O198">
        <f>regressionsbasenl!$T$2+regressionsbasenl!$T$1*EXP(A198)</f>
        <v>-153530.08157426809</v>
      </c>
      <c r="P198" s="20">
        <f>(1-EXP(-2*regressionsbasenl!X$1*graphbasenl!A198))/2/EXP(-regressionsbasenl!X$1*A198)</f>
        <v>-491.08205755849309</v>
      </c>
      <c r="AT198" s="33"/>
      <c r="AW198" s="33"/>
      <c r="AZ198" s="33"/>
    </row>
    <row r="199" spans="1:52" x14ac:dyDescent="0.35">
      <c r="A199">
        <f t="shared" si="11"/>
        <v>17.59999999999998</v>
      </c>
      <c r="B199">
        <f t="shared" si="12"/>
        <v>-85.709985018539641</v>
      </c>
      <c r="C199">
        <f>regressionsbasenl!$AR$1*$A199</f>
        <v>19.163737220002993</v>
      </c>
      <c r="D199">
        <f>regressionsbasenl!$AO$1*$A199</f>
        <v>27.053742059595251</v>
      </c>
      <c r="E199">
        <f t="shared" si="9"/>
        <v>-47.382510578533655</v>
      </c>
      <c r="F199">
        <f t="shared" si="10"/>
        <v>-139.81746913773014</v>
      </c>
      <c r="G199" s="5">
        <f>B199-regressions!AA$7</f>
        <v>-89.431273609004592</v>
      </c>
      <c r="H199" s="5">
        <f>B199+regressions!AA$7</f>
        <v>-81.988696428074689</v>
      </c>
      <c r="I199">
        <f>IF($A199&lt;=regressionsbasenl!$L$2,$A199*regressionsbasenl!$L$1,regressionsbasenl!$L$1*regressionsbasenl!$L$2+regressionsbasenl!$L$3*($A199-regressionsbasenl!$L$2))</f>
        <v>-96.401062151774724</v>
      </c>
      <c r="J199">
        <f>regressionsbasenl!$J$1*A199+regressionsbasenl!$J$2*A199^2</f>
        <v>-30.950256644482554</v>
      </c>
      <c r="K199">
        <f>regressionsbasenl!$V$1*A199</f>
        <v>-15.740725303399879</v>
      </c>
      <c r="L199">
        <f>regressionsbasenl!$N$1*A199^2</f>
        <v>-53.776662990967502</v>
      </c>
      <c r="M199">
        <f>regressionsbasenl!$R$1*A199^2+regressionsbasenl!$R$2*A199^6</f>
        <v>-77.204443900429879</v>
      </c>
      <c r="N199">
        <f>regressionsbasenl!$P$1*A199^2+regressionsbasenl!$P$2*A199^7</f>
        <v>272.67685328858352</v>
      </c>
      <c r="O199">
        <f>regressionsbasenl!$T$2+regressionsbasenl!$T$1*EXP(A199)</f>
        <v>-169676.9816111117</v>
      </c>
      <c r="P199" s="20">
        <f>(1-EXP(-2*regressionsbasenl!X$1*graphbasenl!A199))/2/EXP(-regressionsbasenl!X$1*A199)</f>
        <v>-510.8016578191785</v>
      </c>
      <c r="AT199" s="33"/>
      <c r="AW199" s="33"/>
      <c r="AZ199" s="33"/>
    </row>
    <row r="200" spans="1:52" x14ac:dyDescent="0.35">
      <c r="A200">
        <f t="shared" si="11"/>
        <v>17.699999999999982</v>
      </c>
      <c r="B200">
        <f t="shared" si="12"/>
        <v>-89.266923956911029</v>
      </c>
      <c r="C200">
        <f>regressionsbasenl!$AR$1*$A200</f>
        <v>19.272622090571193</v>
      </c>
      <c r="D200">
        <f>regressionsbasenl!$AO$1*$A200</f>
        <v>27.207456503115679</v>
      </c>
      <c r="E200">
        <f t="shared" ref="E200:E203" si="13">B200+2*C200</f>
        <v>-50.721679775768642</v>
      </c>
      <c r="F200">
        <f t="shared" ref="F200:F203" si="14">B200-2*D200</f>
        <v>-143.68183696314239</v>
      </c>
      <c r="G200" s="5">
        <f>B200-regressions!AA$7</f>
        <v>-92.98821254737598</v>
      </c>
      <c r="H200" s="5">
        <f>B200+regressions!AA$7</f>
        <v>-85.545635366446078</v>
      </c>
      <c r="I200">
        <f>IF($A200&lt;=regressionsbasenl!$L$2,$A200*regressionsbasenl!$L$1,regressionsbasenl!$L$1*regressionsbasenl!$L$2+regressionsbasenl!$L$3*($A200-regressionsbasenl!$L$2))</f>
        <v>-98.183802568602246</v>
      </c>
      <c r="J200">
        <f>regressionsbasenl!$J$1*A200+regressionsbasenl!$J$2*A200^2</f>
        <v>-31.244856659443478</v>
      </c>
      <c r="K200">
        <f>regressionsbasenl!$V$1*A200</f>
        <v>-15.830161242623744</v>
      </c>
      <c r="L200">
        <f>regressionsbasenl!$N$1*A200^2</f>
        <v>-54.389497509169068</v>
      </c>
      <c r="M200">
        <f>regressionsbasenl!$R$1*A200^2+regressionsbasenl!$R$2*A200^6</f>
        <v>-79.013532746323534</v>
      </c>
      <c r="N200">
        <f>regressionsbasenl!$P$1*A200^2+regressionsbasenl!$P$2*A200^7</f>
        <v>285.34618718334133</v>
      </c>
      <c r="O200">
        <f>regressionsbasenl!$T$2+regressionsbasenl!$T$1*EXP(A200)</f>
        <v>-187522.06594890586</v>
      </c>
      <c r="P200" s="20">
        <f>(1-EXP(-2*regressionsbasenl!X$1*graphbasenl!A200))/2/EXP(-regressionsbasenl!X$1*A200)</f>
        <v>-531.3131035110988</v>
      </c>
      <c r="AT200" s="33"/>
      <c r="AW200" s="33"/>
      <c r="AZ200" s="33"/>
    </row>
    <row r="201" spans="1:52" x14ac:dyDescent="0.35">
      <c r="A201">
        <f t="shared" ref="A201:A203" si="15">0.1+A200</f>
        <v>17.799999999999983</v>
      </c>
      <c r="B201">
        <f t="shared" si="12"/>
        <v>-93.08484386322074</v>
      </c>
      <c r="C201">
        <f>regressionsbasenl!$AR$1*$A201</f>
        <v>19.381506961139394</v>
      </c>
      <c r="D201">
        <f>regressionsbasenl!$AO$1*$A201</f>
        <v>27.361170946636111</v>
      </c>
      <c r="E201">
        <f t="shared" si="13"/>
        <v>-54.321829940941953</v>
      </c>
      <c r="F201">
        <f t="shared" si="14"/>
        <v>-147.80718575649297</v>
      </c>
      <c r="G201" s="5">
        <f>B201-regressions!AA$7</f>
        <v>-96.806132453685692</v>
      </c>
      <c r="H201" s="5">
        <f>B201+regressions!AA$7</f>
        <v>-89.363555272755789</v>
      </c>
      <c r="I201">
        <f>IF($A201&lt;=regressionsbasenl!$L$2,$A201*regressionsbasenl!$L$1,regressionsbasenl!$L$1*regressionsbasenl!$L$2+regressionsbasenl!$L$3*($A201-regressionsbasenl!$L$2))</f>
        <v>-99.966542985429783</v>
      </c>
      <c r="J201">
        <f>regressionsbasenl!$J$1*A201+regressionsbasenl!$J$2*A201^2</f>
        <v>-31.540798440325606</v>
      </c>
      <c r="K201">
        <f>regressionsbasenl!$V$1*A201</f>
        <v>-15.919597181847607</v>
      </c>
      <c r="L201">
        <f>regressionsbasenl!$N$1*A201^2</f>
        <v>-55.00580417761541</v>
      </c>
      <c r="M201">
        <f>regressionsbasenl!$R$1*A201^2+regressionsbasenl!$R$2*A201^6</f>
        <v>-80.86473081175788</v>
      </c>
      <c r="N201">
        <f>regressionsbasenl!$P$1*A201^2+regressionsbasenl!$P$2*A201^7</f>
        <v>298.47085027718288</v>
      </c>
      <c r="O201">
        <f>regressionsbasenl!$T$2+regressionsbasenl!$T$1*EXP(A201)</f>
        <v>-207243.93418964325</v>
      </c>
      <c r="P201" s="20">
        <f>(1-EXP(-2*regressionsbasenl!X$1*graphbasenl!A201))/2/EXP(-regressionsbasenl!X$1*A201)</f>
        <v>-552.64819150552523</v>
      </c>
      <c r="AT201" s="33"/>
      <c r="AW201" s="33"/>
      <c r="AZ201" s="33"/>
    </row>
    <row r="202" spans="1:52" x14ac:dyDescent="0.35">
      <c r="A202">
        <f t="shared" si="15"/>
        <v>17.899999999999984</v>
      </c>
      <c r="B202">
        <f t="shared" si="12"/>
        <v>-97.188714156104794</v>
      </c>
      <c r="C202">
        <f>regressionsbasenl!$AR$1*$A202</f>
        <v>19.490391831707594</v>
      </c>
      <c r="D202">
        <f>regressionsbasenl!$AO$1*$A202</f>
        <v>27.51488539015654</v>
      </c>
      <c r="E202">
        <f t="shared" si="13"/>
        <v>-58.207930492689606</v>
      </c>
      <c r="F202">
        <f t="shared" si="14"/>
        <v>-152.21848493641787</v>
      </c>
      <c r="G202" s="5">
        <f>B202-regressions!AA$7</f>
        <v>-100.91000274656975</v>
      </c>
      <c r="H202" s="5">
        <f>B202+regressions!AA$7</f>
        <v>-93.467425565639843</v>
      </c>
      <c r="I202">
        <f>IF($A202&lt;=regressionsbasenl!$L$2,$A202*regressionsbasenl!$L$1,regressionsbasenl!$L$1*regressionsbasenl!$L$2+regressionsbasenl!$L$3*($A202-regressionsbasenl!$L$2))</f>
        <v>-101.7492834022573</v>
      </c>
      <c r="J202">
        <f>regressionsbasenl!$J$1*A202+regressionsbasenl!$J$2*A202^2</f>
        <v>-31.838081987128938</v>
      </c>
      <c r="K202">
        <f>regressionsbasenl!$V$1*A202</f>
        <v>-16.009033121071472</v>
      </c>
      <c r="L202">
        <f>regressionsbasenl!$N$1*A202^2</f>
        <v>-55.62558299630652</v>
      </c>
      <c r="M202">
        <f>regressionsbasenl!$R$1*A202^2+regressionsbasenl!$R$2*A202^6</f>
        <v>-82.758943174593526</v>
      </c>
      <c r="N202">
        <f>regressionsbasenl!$P$1*A202^2+regressionsbasenl!$P$2*A202^7</f>
        <v>312.06395480239712</v>
      </c>
      <c r="O202">
        <f>regressionsbasenl!$T$2+regressionsbasenl!$T$1*EXP(A202)</f>
        <v>-229039.96941942599</v>
      </c>
      <c r="P202" s="20">
        <f>(1-EXP(-2*regressionsbasenl!X$1*graphbasenl!A202))/2/EXP(-regressionsbasenl!X$1*A202)</f>
        <v>-574.83999548515908</v>
      </c>
      <c r="AT202" s="33"/>
      <c r="AW202" s="33"/>
      <c r="AZ202" s="33"/>
    </row>
    <row r="203" spans="1:52" x14ac:dyDescent="0.35">
      <c r="A203">
        <f t="shared" si="15"/>
        <v>17.999999999999986</v>
      </c>
      <c r="B203">
        <f t="shared" si="12"/>
        <v>-101.60601979206302</v>
      </c>
      <c r="C203">
        <f>regressionsbasenl!$AR$1*$A203</f>
        <v>19.599276702275798</v>
      </c>
      <c r="D203">
        <f>regressionsbasenl!$AO$1*$A203</f>
        <v>27.668599833676971</v>
      </c>
      <c r="E203">
        <f t="shared" si="13"/>
        <v>-62.407466387511427</v>
      </c>
      <c r="F203">
        <f t="shared" si="14"/>
        <v>-156.94321945941698</v>
      </c>
      <c r="G203" s="5">
        <f>B203-regressions!AA$7</f>
        <v>-105.32730838252797</v>
      </c>
      <c r="H203" s="5">
        <f>B203+regressions!AA$7</f>
        <v>-97.884731201598072</v>
      </c>
      <c r="I203">
        <f>IF($A203&lt;=regressionsbasenl!$L$2,$A203*regressionsbasenl!$L$1,regressionsbasenl!$L$1*regressionsbasenl!$L$2+regressionsbasenl!$L$3*($A203-regressionsbasenl!$L$2))</f>
        <v>-103.53202381908483</v>
      </c>
      <c r="J203">
        <f>regressionsbasenl!$J$1*A203+regressionsbasenl!$J$2*A203^2</f>
        <v>-32.13670729985347</v>
      </c>
      <c r="K203">
        <f>regressionsbasenl!$V$1*A203</f>
        <v>-16.098469060295336</v>
      </c>
      <c r="L203">
        <f>regressionsbasenl!$N$1*A203^2</f>
        <v>-56.24883396524239</v>
      </c>
      <c r="M203">
        <f>regressionsbasenl!$R$1*A203^2+regressionsbasenl!$R$2*A203^6</f>
        <v>-84.697090295879534</v>
      </c>
      <c r="N203">
        <f>regressionsbasenl!$P$1*A203^2+regressionsbasenl!$P$2*A203^7</f>
        <v>326.13891097752958</v>
      </c>
      <c r="O203">
        <f>regressionsbasenl!$T$2+regressionsbasenl!$T$1*EXP(A203)</f>
        <v>-253128.31368473417</v>
      </c>
      <c r="P203" s="20">
        <f>(1-EXP(-2*regressionsbasenl!X$1*graphbasenl!A203))/2/EXP(-regressionsbasenl!X$1*A203)</f>
        <v>-597.922917214996</v>
      </c>
      <c r="AT203" s="33"/>
      <c r="AW203" s="33"/>
      <c r="AZ203" s="33"/>
    </row>
    <row r="204" spans="1:52" x14ac:dyDescent="0.35">
      <c r="P204" s="20"/>
      <c r="AT204" s="33"/>
      <c r="AW204" s="33"/>
      <c r="AZ204" s="33"/>
    </row>
    <row r="205" spans="1:52" x14ac:dyDescent="0.35">
      <c r="P205" s="20"/>
      <c r="AT205" s="33"/>
      <c r="AW205" s="33"/>
      <c r="AZ205" s="33"/>
    </row>
    <row r="206" spans="1:52" x14ac:dyDescent="0.35">
      <c r="P206" s="20"/>
      <c r="AT206" s="33"/>
      <c r="AW206" s="33"/>
      <c r="AZ206" s="33"/>
    </row>
    <row r="207" spans="1:52" x14ac:dyDescent="0.35">
      <c r="P207" s="20"/>
      <c r="AT207" s="33"/>
      <c r="AW207" s="33"/>
      <c r="AZ207" s="33"/>
    </row>
    <row r="208" spans="1:52" x14ac:dyDescent="0.35">
      <c r="P208" s="20"/>
      <c r="AT208" s="33"/>
      <c r="AW208" s="33"/>
      <c r="AZ208" s="33"/>
    </row>
    <row r="209" spans="16:52" x14ac:dyDescent="0.35">
      <c r="P209" s="20"/>
      <c r="AT209" s="33"/>
      <c r="AW209" s="33"/>
      <c r="AZ209" s="33"/>
    </row>
    <row r="210" spans="16:52" x14ac:dyDescent="0.35">
      <c r="P210" s="20"/>
      <c r="AT210" s="33"/>
      <c r="AW210" s="33"/>
      <c r="AZ210" s="33"/>
    </row>
    <row r="211" spans="16:52" x14ac:dyDescent="0.35">
      <c r="P211" s="20"/>
      <c r="AT211" s="33"/>
      <c r="AW211" s="33"/>
      <c r="AZ211" s="33"/>
    </row>
    <row r="212" spans="16:52" x14ac:dyDescent="0.35">
      <c r="P212" s="20"/>
      <c r="AT212" s="33"/>
      <c r="AW212" s="33"/>
      <c r="AZ212" s="33"/>
    </row>
    <row r="213" spans="16:52" x14ac:dyDescent="0.35">
      <c r="P213" s="20"/>
      <c r="AT213" s="33"/>
      <c r="AW213" s="33"/>
      <c r="AZ213" s="33"/>
    </row>
    <row r="214" spans="16:52" x14ac:dyDescent="0.35">
      <c r="P214" s="20"/>
      <c r="AT214" s="33"/>
      <c r="AW214" s="33"/>
      <c r="AZ214" s="33"/>
    </row>
    <row r="215" spans="16:52" x14ac:dyDescent="0.35">
      <c r="P215" s="20"/>
      <c r="AT215" s="33"/>
      <c r="AW215" s="33"/>
      <c r="AZ215" s="33"/>
    </row>
    <row r="216" spans="16:52" x14ac:dyDescent="0.35">
      <c r="P216" s="20"/>
      <c r="AT216" s="33"/>
      <c r="AW216" s="33"/>
      <c r="AZ216" s="33"/>
    </row>
    <row r="217" spans="16:52" x14ac:dyDescent="0.35">
      <c r="P217" s="20"/>
      <c r="AT217" s="33"/>
      <c r="AW217" s="33"/>
      <c r="AZ217" s="33"/>
    </row>
    <row r="218" spans="16:52" x14ac:dyDescent="0.35">
      <c r="P218" s="20"/>
      <c r="AT218" s="33"/>
      <c r="AW218" s="33"/>
      <c r="AZ218" s="33"/>
    </row>
    <row r="219" spans="16:52" x14ac:dyDescent="0.35">
      <c r="P219" s="20"/>
      <c r="AT219" s="33"/>
      <c r="AW219" s="33"/>
      <c r="AZ219" s="33"/>
    </row>
    <row r="220" spans="16:52" x14ac:dyDescent="0.35">
      <c r="P220" s="20"/>
      <c r="AT220" s="33"/>
      <c r="AW220" s="33"/>
      <c r="AZ220" s="33"/>
    </row>
    <row r="221" spans="16:52" x14ac:dyDescent="0.35">
      <c r="P221" s="20"/>
      <c r="AT221" s="33"/>
      <c r="AW221" s="33"/>
      <c r="AZ221" s="33"/>
    </row>
    <row r="222" spans="16:52" x14ac:dyDescent="0.35">
      <c r="P222" s="20"/>
      <c r="AT222" s="33"/>
      <c r="AW222" s="33"/>
      <c r="AZ222" s="33"/>
    </row>
    <row r="223" spans="16:52" x14ac:dyDescent="0.35">
      <c r="P223" s="20"/>
      <c r="AT223" s="33"/>
      <c r="AW223" s="33"/>
      <c r="AZ223" s="33"/>
    </row>
    <row r="224" spans="16:52" x14ac:dyDescent="0.35">
      <c r="P224" s="20"/>
      <c r="AT224" s="33"/>
      <c r="AW224" s="33"/>
      <c r="AZ224" s="33"/>
    </row>
    <row r="225" spans="16:52" x14ac:dyDescent="0.35">
      <c r="P225" s="20"/>
      <c r="AT225" s="33"/>
      <c r="AW225" s="33"/>
      <c r="AZ225" s="33"/>
    </row>
    <row r="226" spans="16:52" x14ac:dyDescent="0.35">
      <c r="P226" s="20"/>
      <c r="AT226" s="33"/>
      <c r="AW226" s="33"/>
      <c r="AZ226" s="33"/>
    </row>
    <row r="227" spans="16:52" x14ac:dyDescent="0.35">
      <c r="P227" s="20"/>
      <c r="AT227" s="33"/>
      <c r="AW227" s="33"/>
      <c r="AZ227" s="33"/>
    </row>
    <row r="228" spans="16:52" x14ac:dyDescent="0.35">
      <c r="P228" s="20"/>
      <c r="AT228" s="33"/>
      <c r="AW228" s="33"/>
      <c r="AZ228" s="33"/>
    </row>
    <row r="229" spans="16:52" x14ac:dyDescent="0.35">
      <c r="P229" s="20"/>
      <c r="AT229" s="33"/>
      <c r="AW229" s="33"/>
      <c r="AZ229" s="33"/>
    </row>
    <row r="230" spans="16:52" x14ac:dyDescent="0.35">
      <c r="P230" s="20"/>
      <c r="AT230" s="33"/>
      <c r="AW230" s="33"/>
      <c r="AZ230" s="33"/>
    </row>
    <row r="231" spans="16:52" x14ac:dyDescent="0.35">
      <c r="P231" s="20"/>
      <c r="AT231" s="33"/>
      <c r="AW231" s="33"/>
      <c r="AZ231" s="33"/>
    </row>
    <row r="232" spans="16:52" x14ac:dyDescent="0.35">
      <c r="P232" s="20"/>
      <c r="AT232" s="33"/>
      <c r="AW232" s="33"/>
      <c r="AZ232" s="33"/>
    </row>
    <row r="233" spans="16:52" x14ac:dyDescent="0.35">
      <c r="P233" s="20"/>
      <c r="AT233" s="33"/>
      <c r="AW233" s="33"/>
      <c r="AZ233" s="33"/>
    </row>
    <row r="234" spans="16:52" x14ac:dyDescent="0.35">
      <c r="P234" s="20"/>
      <c r="AT234" s="33"/>
      <c r="AW234" s="33"/>
      <c r="AZ234" s="33"/>
    </row>
    <row r="235" spans="16:52" x14ac:dyDescent="0.35">
      <c r="P235" s="20"/>
      <c r="AT235" s="33"/>
      <c r="AW235" s="33"/>
      <c r="AZ235" s="33"/>
    </row>
    <row r="236" spans="16:52" x14ac:dyDescent="0.35">
      <c r="P236" s="20"/>
      <c r="AT236" s="33"/>
      <c r="AW236" s="33"/>
      <c r="AZ236" s="33"/>
    </row>
    <row r="237" spans="16:52" x14ac:dyDescent="0.35">
      <c r="P237" s="20"/>
      <c r="AT237" s="33"/>
      <c r="AW237" s="33"/>
      <c r="AZ237" s="33"/>
    </row>
    <row r="238" spans="16:52" x14ac:dyDescent="0.35">
      <c r="P238" s="20"/>
      <c r="AT238" s="33"/>
      <c r="AW238" s="33"/>
      <c r="AZ238" s="33"/>
    </row>
    <row r="239" spans="16:52" x14ac:dyDescent="0.35">
      <c r="P239" s="20"/>
      <c r="AT239" s="33"/>
      <c r="AW239" s="33"/>
      <c r="AZ239" s="33"/>
    </row>
    <row r="240" spans="16:52" x14ac:dyDescent="0.35">
      <c r="P240" s="20"/>
      <c r="AT240" s="33"/>
      <c r="AW240" s="33"/>
      <c r="AZ240" s="33"/>
    </row>
    <row r="241" spans="16:52" x14ac:dyDescent="0.35">
      <c r="P241" s="20"/>
      <c r="AT241" s="33"/>
      <c r="AW241" s="33"/>
      <c r="AZ241" s="33"/>
    </row>
    <row r="242" spans="16:52" x14ac:dyDescent="0.35">
      <c r="P242" s="20"/>
      <c r="AT242" s="33"/>
      <c r="AW242" s="33"/>
      <c r="AZ242" s="33"/>
    </row>
    <row r="243" spans="16:52" x14ac:dyDescent="0.35">
      <c r="P243" s="20"/>
      <c r="AT243" s="33"/>
      <c r="AW243" s="33"/>
      <c r="AZ243" s="33"/>
    </row>
    <row r="244" spans="16:52" x14ac:dyDescent="0.35">
      <c r="P244" s="20"/>
      <c r="AT244" s="33"/>
      <c r="AW244" s="33"/>
      <c r="AZ244" s="33"/>
    </row>
    <row r="245" spans="16:52" x14ac:dyDescent="0.35">
      <c r="P245" s="20"/>
      <c r="AT245" s="33"/>
      <c r="AW245" s="33"/>
      <c r="AZ245" s="33"/>
    </row>
    <row r="246" spans="16:52" x14ac:dyDescent="0.35">
      <c r="P246" s="20"/>
      <c r="AT246" s="33"/>
      <c r="AW246" s="33"/>
      <c r="AZ246" s="33"/>
    </row>
    <row r="247" spans="16:52" x14ac:dyDescent="0.35">
      <c r="P247" s="20"/>
      <c r="AT247" s="33"/>
      <c r="AW247" s="33"/>
      <c r="AZ247" s="33"/>
    </row>
    <row r="248" spans="16:52" x14ac:dyDescent="0.35">
      <c r="P248" s="20"/>
      <c r="AT248" s="33"/>
      <c r="AW248" s="33"/>
      <c r="AZ248" s="33"/>
    </row>
    <row r="249" spans="16:52" x14ac:dyDescent="0.35">
      <c r="P249" s="20"/>
      <c r="AT249" s="33"/>
      <c r="AW249" s="33"/>
      <c r="AZ249" s="33"/>
    </row>
    <row r="250" spans="16:52" x14ac:dyDescent="0.35">
      <c r="P250" s="20"/>
      <c r="AT250" s="33"/>
      <c r="AW250" s="33"/>
      <c r="AZ250" s="33"/>
    </row>
    <row r="251" spans="16:52" x14ac:dyDescent="0.35">
      <c r="P251" s="20"/>
      <c r="AT251" s="33"/>
      <c r="AW251" s="33"/>
      <c r="AZ251" s="33"/>
    </row>
    <row r="252" spans="16:52" x14ac:dyDescent="0.35">
      <c r="P252" s="20"/>
      <c r="AT252" s="33"/>
      <c r="AW252" s="33"/>
      <c r="AZ252" s="33"/>
    </row>
    <row r="253" spans="16:52" x14ac:dyDescent="0.35">
      <c r="P253" s="20"/>
      <c r="AT253" s="33"/>
      <c r="AW253" s="33"/>
      <c r="AZ253" s="33"/>
    </row>
    <row r="254" spans="16:52" x14ac:dyDescent="0.35">
      <c r="P254" s="20"/>
      <c r="AT254" s="33"/>
      <c r="AW254" s="33"/>
      <c r="AZ254" s="33"/>
    </row>
    <row r="255" spans="16:52" x14ac:dyDescent="0.35">
      <c r="P255" s="20"/>
      <c r="AT255" s="33"/>
      <c r="AW255" s="33"/>
      <c r="AZ255" s="33"/>
    </row>
    <row r="256" spans="16:52" x14ac:dyDescent="0.35">
      <c r="P256" s="20"/>
      <c r="AT256" s="33"/>
      <c r="AW256" s="33"/>
      <c r="AZ256" s="33"/>
    </row>
    <row r="257" spans="16:52" x14ac:dyDescent="0.35">
      <c r="P257" s="20"/>
      <c r="AT257" s="33"/>
      <c r="AW257" s="33"/>
      <c r="AZ257" s="33"/>
    </row>
    <row r="258" spans="16:52" x14ac:dyDescent="0.35">
      <c r="P258" s="20"/>
      <c r="AT258" s="33"/>
      <c r="AW258" s="33"/>
      <c r="AZ258" s="33"/>
    </row>
    <row r="259" spans="16:52" x14ac:dyDescent="0.35">
      <c r="P259" s="20"/>
      <c r="AT259" s="33"/>
      <c r="AW259" s="33"/>
      <c r="AZ259" s="33"/>
    </row>
    <row r="260" spans="16:52" x14ac:dyDescent="0.35">
      <c r="P260" s="20"/>
      <c r="AT260" s="33"/>
      <c r="AW260" s="33"/>
      <c r="AZ260" s="33"/>
    </row>
    <row r="261" spans="16:52" x14ac:dyDescent="0.35">
      <c r="P261" s="20"/>
      <c r="AT261" s="33"/>
      <c r="AW261" s="33"/>
      <c r="AZ261" s="33"/>
    </row>
    <row r="262" spans="16:52" x14ac:dyDescent="0.35">
      <c r="P262" s="20"/>
      <c r="AT262" s="33"/>
      <c r="AW262" s="33"/>
      <c r="AZ262" s="33"/>
    </row>
    <row r="263" spans="16:52" x14ac:dyDescent="0.35">
      <c r="P263" s="20"/>
      <c r="AT263" s="33"/>
      <c r="AW263" s="33"/>
      <c r="AZ263" s="33"/>
    </row>
    <row r="264" spans="16:52" x14ac:dyDescent="0.35">
      <c r="P264" s="20"/>
      <c r="AT264" s="33"/>
      <c r="AW264" s="33"/>
      <c r="AZ264" s="33"/>
    </row>
    <row r="265" spans="16:52" x14ac:dyDescent="0.35">
      <c r="P265" s="20"/>
      <c r="AT265" s="33"/>
      <c r="AW265" s="33"/>
      <c r="AZ265" s="33"/>
    </row>
    <row r="266" spans="16:52" x14ac:dyDescent="0.35">
      <c r="P266" s="20"/>
      <c r="AT266" s="33"/>
      <c r="AW266" s="33"/>
      <c r="AZ266" s="33"/>
    </row>
    <row r="267" spans="16:52" x14ac:dyDescent="0.35">
      <c r="P267" s="20"/>
      <c r="AT267" s="33"/>
      <c r="AW267" s="33"/>
      <c r="AZ267" s="33"/>
    </row>
    <row r="268" spans="16:52" x14ac:dyDescent="0.35">
      <c r="P268" s="20"/>
      <c r="AT268" s="33"/>
      <c r="AW268" s="33"/>
      <c r="AZ268" s="33"/>
    </row>
    <row r="269" spans="16:52" x14ac:dyDescent="0.35">
      <c r="P269" s="20"/>
      <c r="AT269" s="33"/>
      <c r="AW269" s="33"/>
      <c r="AZ269" s="33"/>
    </row>
    <row r="270" spans="16:52" x14ac:dyDescent="0.35">
      <c r="P270" s="20"/>
      <c r="AT270" s="33"/>
      <c r="AW270" s="33"/>
      <c r="AZ270" s="33"/>
    </row>
    <row r="271" spans="16:52" x14ac:dyDescent="0.35">
      <c r="P271" s="20"/>
      <c r="AT271" s="33"/>
      <c r="AW271" s="33"/>
      <c r="AZ271" s="33"/>
    </row>
    <row r="272" spans="16:52" x14ac:dyDescent="0.35">
      <c r="P272" s="20"/>
      <c r="AT272" s="33"/>
      <c r="AW272" s="33"/>
      <c r="AZ272" s="33"/>
    </row>
    <row r="273" spans="16:52" x14ac:dyDescent="0.35">
      <c r="P273" s="20"/>
      <c r="AT273" s="33"/>
      <c r="AW273" s="33"/>
      <c r="AZ273" s="33"/>
    </row>
    <row r="274" spans="16:52" x14ac:dyDescent="0.35">
      <c r="P274" s="20"/>
      <c r="AT274" s="33"/>
      <c r="AW274" s="33"/>
      <c r="AZ274" s="33"/>
    </row>
    <row r="275" spans="16:52" x14ac:dyDescent="0.35">
      <c r="P275" s="20"/>
      <c r="AT275" s="33"/>
      <c r="AW275" s="33"/>
      <c r="AZ275" s="33"/>
    </row>
    <row r="276" spans="16:52" x14ac:dyDescent="0.35">
      <c r="P276" s="20"/>
      <c r="AT276" s="33"/>
      <c r="AW276" s="33"/>
      <c r="AZ276" s="33"/>
    </row>
    <row r="277" spans="16:52" x14ac:dyDescent="0.35">
      <c r="P277" s="20"/>
      <c r="AT277" s="33"/>
      <c r="AW277" s="33"/>
      <c r="AZ277" s="33"/>
    </row>
    <row r="278" spans="16:52" x14ac:dyDescent="0.35">
      <c r="P278" s="20"/>
      <c r="AT278" s="33"/>
      <c r="AW278" s="33"/>
      <c r="AZ278" s="33"/>
    </row>
    <row r="279" spans="16:52" x14ac:dyDescent="0.35">
      <c r="P279" s="20"/>
      <c r="AT279" s="33"/>
      <c r="AW279" s="33"/>
      <c r="AZ279" s="33"/>
    </row>
    <row r="280" spans="16:52" x14ac:dyDescent="0.35">
      <c r="P280" s="20"/>
      <c r="AT280" s="33"/>
      <c r="AW280" s="33"/>
      <c r="AZ280" s="33"/>
    </row>
    <row r="281" spans="16:52" x14ac:dyDescent="0.35">
      <c r="P281" s="20"/>
      <c r="AT281" s="33"/>
      <c r="AW281" s="33"/>
      <c r="AZ281" s="33"/>
    </row>
    <row r="282" spans="16:52" x14ac:dyDescent="0.35">
      <c r="P282" s="20"/>
      <c r="AT282" s="33"/>
      <c r="AW282" s="33"/>
      <c r="AZ282" s="33"/>
    </row>
    <row r="283" spans="16:52" x14ac:dyDescent="0.35">
      <c r="P283" s="20"/>
      <c r="AT283" s="33"/>
      <c r="AW283" s="33"/>
      <c r="AZ283" s="33"/>
    </row>
    <row r="284" spans="16:52" x14ac:dyDescent="0.35">
      <c r="P284" s="20"/>
      <c r="AT284" s="33"/>
      <c r="AW284" s="33"/>
      <c r="AZ284" s="33"/>
    </row>
    <row r="285" spans="16:52" x14ac:dyDescent="0.35">
      <c r="P285" s="20"/>
      <c r="AT285" s="33"/>
      <c r="AW285" s="33"/>
      <c r="AZ285" s="33"/>
    </row>
    <row r="286" spans="16:52" x14ac:dyDescent="0.35">
      <c r="P286" s="20"/>
      <c r="AT286" s="33"/>
      <c r="AW286" s="33"/>
      <c r="AZ286" s="33"/>
    </row>
    <row r="287" spans="16:52" x14ac:dyDescent="0.35">
      <c r="P287" s="20"/>
      <c r="AT287" s="33"/>
      <c r="AW287" s="33"/>
      <c r="AZ287" s="33"/>
    </row>
    <row r="288" spans="16:52" x14ac:dyDescent="0.35">
      <c r="P288" s="20"/>
      <c r="AT288" s="33"/>
      <c r="AW288" s="33"/>
      <c r="AZ288" s="33"/>
    </row>
    <row r="289" spans="16:52" x14ac:dyDescent="0.35">
      <c r="P289" s="20"/>
      <c r="AT289" s="33"/>
      <c r="AW289" s="33"/>
      <c r="AZ289" s="33"/>
    </row>
    <row r="290" spans="16:52" x14ac:dyDescent="0.35">
      <c r="P290" s="20"/>
      <c r="AT290" s="33"/>
      <c r="AW290" s="33"/>
      <c r="AZ290" s="33"/>
    </row>
    <row r="291" spans="16:52" x14ac:dyDescent="0.35">
      <c r="P291" s="20"/>
      <c r="AT291" s="33"/>
      <c r="AW291" s="33"/>
      <c r="AZ291" s="33"/>
    </row>
    <row r="292" spans="16:52" x14ac:dyDescent="0.35">
      <c r="P292" s="20"/>
      <c r="AT292" s="33"/>
      <c r="AW292" s="33"/>
      <c r="AZ292" s="33"/>
    </row>
    <row r="293" spans="16:52" x14ac:dyDescent="0.35">
      <c r="P293" s="20"/>
      <c r="AT293" s="33"/>
      <c r="AW293" s="33"/>
      <c r="AZ293" s="33"/>
    </row>
    <row r="294" spans="16:52" x14ac:dyDescent="0.35">
      <c r="P294" s="20"/>
      <c r="AT294" s="33"/>
      <c r="AW294" s="33"/>
      <c r="AZ294" s="33"/>
    </row>
    <row r="295" spans="16:52" x14ac:dyDescent="0.35">
      <c r="P295" s="20"/>
      <c r="AT295" s="33"/>
      <c r="AW295" s="33"/>
      <c r="AZ295" s="33"/>
    </row>
    <row r="296" spans="16:52" x14ac:dyDescent="0.35">
      <c r="P296" s="20"/>
      <c r="AT296" s="33"/>
      <c r="AW296" s="33"/>
      <c r="AZ296" s="33"/>
    </row>
    <row r="297" spans="16:52" x14ac:dyDescent="0.35">
      <c r="P297" s="20"/>
      <c r="AT297" s="33"/>
      <c r="AW297" s="33"/>
      <c r="AZ297" s="33"/>
    </row>
    <row r="298" spans="16:52" x14ac:dyDescent="0.35">
      <c r="P298" s="20"/>
      <c r="AT298" s="33"/>
      <c r="AW298" s="33"/>
      <c r="AZ298" s="33"/>
    </row>
    <row r="299" spans="16:52" x14ac:dyDescent="0.35">
      <c r="P299" s="20"/>
      <c r="AT299" s="33"/>
      <c r="AW299" s="33"/>
      <c r="AZ299" s="33"/>
    </row>
    <row r="300" spans="16:52" x14ac:dyDescent="0.35">
      <c r="P300" s="20"/>
      <c r="AT300" s="33"/>
      <c r="AW300" s="33"/>
      <c r="AZ300" s="33"/>
    </row>
    <row r="301" spans="16:52" x14ac:dyDescent="0.35">
      <c r="P301" s="20"/>
      <c r="AT301" s="33"/>
      <c r="AW301" s="33"/>
      <c r="AZ301" s="33"/>
    </row>
    <row r="302" spans="16:52" x14ac:dyDescent="0.35">
      <c r="P302" s="20"/>
      <c r="AT302" s="33"/>
      <c r="AW302" s="33"/>
      <c r="AZ302" s="33"/>
    </row>
    <row r="303" spans="16:52" x14ac:dyDescent="0.35">
      <c r="P303" s="20"/>
      <c r="AT303" s="33"/>
      <c r="AW303" s="33"/>
      <c r="AZ303" s="33"/>
    </row>
    <row r="304" spans="16:52" x14ac:dyDescent="0.35">
      <c r="P304" s="20"/>
      <c r="AT304" s="33"/>
      <c r="AW304" s="33"/>
      <c r="AZ304" s="33"/>
    </row>
    <row r="305" spans="16:52" x14ac:dyDescent="0.35">
      <c r="P305" s="20"/>
      <c r="AT305" s="33"/>
      <c r="AW305" s="33"/>
      <c r="AZ305" s="33"/>
    </row>
    <row r="306" spans="16:52" x14ac:dyDescent="0.35">
      <c r="P306" s="20"/>
      <c r="AT306" s="33"/>
      <c r="AW306" s="33"/>
      <c r="AZ306" s="33"/>
    </row>
    <row r="307" spans="16:52" x14ac:dyDescent="0.35">
      <c r="P307" s="20"/>
      <c r="AT307" s="33"/>
      <c r="AW307" s="33"/>
      <c r="AZ307" s="33"/>
    </row>
    <row r="308" spans="16:52" x14ac:dyDescent="0.35">
      <c r="P308" s="20"/>
      <c r="AT308" s="33"/>
      <c r="AW308" s="33"/>
      <c r="AZ308" s="33"/>
    </row>
    <row r="309" spans="16:52" x14ac:dyDescent="0.35">
      <c r="P309" s="20"/>
      <c r="AT309" s="33"/>
      <c r="AW309" s="33"/>
      <c r="AZ309" s="33"/>
    </row>
    <row r="310" spans="16:52" x14ac:dyDescent="0.35">
      <c r="P310" s="20"/>
      <c r="AT310" s="33"/>
      <c r="AW310" s="33"/>
      <c r="AZ310" s="33"/>
    </row>
    <row r="311" spans="16:52" x14ac:dyDescent="0.35">
      <c r="P311" s="20"/>
      <c r="AT311" s="33"/>
      <c r="AW311" s="33"/>
      <c r="AZ311" s="33"/>
    </row>
    <row r="312" spans="16:52" x14ac:dyDescent="0.35">
      <c r="P312" s="20"/>
      <c r="AT312" s="33"/>
      <c r="AW312" s="33"/>
      <c r="AZ312" s="33"/>
    </row>
    <row r="313" spans="16:52" x14ac:dyDescent="0.35">
      <c r="P313" s="20"/>
      <c r="AT313" s="33"/>
      <c r="AW313" s="33"/>
      <c r="AZ313" s="33"/>
    </row>
    <row r="314" spans="16:52" x14ac:dyDescent="0.35">
      <c r="P314" s="20"/>
      <c r="AT314" s="33"/>
      <c r="AW314" s="33"/>
      <c r="AZ314" s="33"/>
    </row>
    <row r="315" spans="16:52" x14ac:dyDescent="0.35">
      <c r="P315" s="20"/>
      <c r="AT315" s="33"/>
      <c r="AW315" s="33"/>
      <c r="AZ315" s="33"/>
    </row>
    <row r="316" spans="16:52" x14ac:dyDescent="0.35">
      <c r="P316" s="20"/>
      <c r="AT316" s="33"/>
      <c r="AW316" s="33"/>
      <c r="AZ316" s="33"/>
    </row>
    <row r="317" spans="16:52" x14ac:dyDescent="0.35">
      <c r="P317" s="20"/>
      <c r="AT317" s="33"/>
      <c r="AW317" s="33"/>
      <c r="AZ317" s="33"/>
    </row>
    <row r="318" spans="16:52" x14ac:dyDescent="0.35">
      <c r="P318" s="20"/>
      <c r="AT318" s="33"/>
      <c r="AW318" s="33"/>
      <c r="AZ318" s="33"/>
    </row>
    <row r="319" spans="16:52" x14ac:dyDescent="0.35">
      <c r="P319" s="20"/>
      <c r="AT319" s="33"/>
      <c r="AW319" s="33"/>
      <c r="AZ319" s="33"/>
    </row>
    <row r="320" spans="16:52" x14ac:dyDescent="0.35">
      <c r="P320" s="20"/>
      <c r="AT320" s="33"/>
      <c r="AW320" s="33"/>
      <c r="AZ320" s="33"/>
    </row>
    <row r="321" spans="16:52" x14ac:dyDescent="0.35">
      <c r="P321" s="20"/>
      <c r="AT321" s="33"/>
      <c r="AW321" s="33"/>
      <c r="AZ321" s="33"/>
    </row>
    <row r="322" spans="16:52" x14ac:dyDescent="0.35">
      <c r="P322" s="20"/>
      <c r="AT322" s="33"/>
      <c r="AW322" s="33"/>
      <c r="AZ322" s="33"/>
    </row>
    <row r="323" spans="16:52" x14ac:dyDescent="0.35">
      <c r="P323" s="20"/>
      <c r="AT323" s="33"/>
      <c r="AW323" s="33"/>
      <c r="AZ323" s="33"/>
    </row>
    <row r="324" spans="16:52" x14ac:dyDescent="0.35">
      <c r="P324" s="20"/>
      <c r="AT324" s="33"/>
      <c r="AW324" s="33"/>
      <c r="AZ324" s="33"/>
    </row>
    <row r="325" spans="16:52" x14ac:dyDescent="0.35">
      <c r="P325" s="20"/>
      <c r="AT325" s="33"/>
      <c r="AW325" s="33"/>
      <c r="AZ325" s="33"/>
    </row>
    <row r="326" spans="16:52" x14ac:dyDescent="0.35">
      <c r="P326" s="20"/>
      <c r="AT326" s="33"/>
      <c r="AW326" s="33"/>
      <c r="AZ326" s="33"/>
    </row>
    <row r="327" spans="16:52" x14ac:dyDescent="0.35">
      <c r="P327" s="20"/>
      <c r="AT327" s="33"/>
      <c r="AW327" s="33"/>
      <c r="AZ327" s="33"/>
    </row>
    <row r="328" spans="16:52" x14ac:dyDescent="0.35">
      <c r="P328" s="20"/>
      <c r="AT328" s="33"/>
      <c r="AW328" s="33"/>
      <c r="AZ328" s="33"/>
    </row>
    <row r="329" spans="16:52" x14ac:dyDescent="0.35">
      <c r="P329" s="20"/>
      <c r="AT329" s="33"/>
      <c r="AW329" s="33"/>
      <c r="AZ329" s="33"/>
    </row>
    <row r="330" spans="16:52" x14ac:dyDescent="0.35">
      <c r="P330" s="20"/>
      <c r="AT330" s="33"/>
      <c r="AW330" s="33"/>
      <c r="AZ330" s="33"/>
    </row>
    <row r="331" spans="16:52" x14ac:dyDescent="0.35">
      <c r="P331" s="20"/>
      <c r="AT331" s="33"/>
      <c r="AW331" s="33"/>
      <c r="AZ331" s="33"/>
    </row>
    <row r="332" spans="16:52" x14ac:dyDescent="0.35">
      <c r="P332" s="20"/>
      <c r="AT332" s="33"/>
      <c r="AW332" s="33"/>
      <c r="AZ332" s="33"/>
    </row>
    <row r="333" spans="16:52" x14ac:dyDescent="0.35">
      <c r="P333" s="20"/>
      <c r="AT333" s="33"/>
      <c r="AW333" s="33"/>
      <c r="AZ333" s="33"/>
    </row>
    <row r="334" spans="16:52" x14ac:dyDescent="0.35">
      <c r="P334" s="20"/>
      <c r="AT334" s="33"/>
      <c r="AW334" s="33"/>
      <c r="AZ334" s="33"/>
    </row>
    <row r="335" spans="16:52" x14ac:dyDescent="0.35">
      <c r="P335" s="20"/>
      <c r="AT335" s="33"/>
      <c r="AW335" s="33"/>
      <c r="AZ335" s="33"/>
    </row>
    <row r="336" spans="16:52" x14ac:dyDescent="0.35">
      <c r="P336" s="20"/>
      <c r="AT336" s="33"/>
      <c r="AW336" s="33"/>
      <c r="AZ336" s="33"/>
    </row>
    <row r="337" spans="16:52" x14ac:dyDescent="0.35">
      <c r="P337" s="20"/>
      <c r="AT337" s="33"/>
      <c r="AW337" s="33"/>
      <c r="AZ337" s="33"/>
    </row>
    <row r="338" spans="16:52" x14ac:dyDescent="0.35">
      <c r="P338" s="20"/>
      <c r="AT338" s="33"/>
      <c r="AW338" s="33"/>
      <c r="AZ338" s="33"/>
    </row>
    <row r="339" spans="16:52" x14ac:dyDescent="0.35">
      <c r="P339" s="20"/>
      <c r="AT339" s="33"/>
      <c r="AW339" s="33"/>
      <c r="AZ339" s="33"/>
    </row>
    <row r="340" spans="16:52" x14ac:dyDescent="0.35">
      <c r="P340" s="20"/>
      <c r="AT340" s="33"/>
      <c r="AW340" s="33"/>
      <c r="AZ340" s="33"/>
    </row>
    <row r="341" spans="16:52" x14ac:dyDescent="0.35">
      <c r="P341" s="20"/>
      <c r="AT341" s="33"/>
      <c r="AW341" s="33"/>
      <c r="AZ341" s="33"/>
    </row>
    <row r="342" spans="16:52" x14ac:dyDescent="0.35">
      <c r="P342" s="20"/>
      <c r="AT342" s="33"/>
      <c r="AW342" s="33"/>
      <c r="AZ342" s="33"/>
    </row>
    <row r="343" spans="16:52" x14ac:dyDescent="0.35">
      <c r="P343" s="20"/>
      <c r="AT343" s="33"/>
      <c r="AW343" s="33"/>
      <c r="AZ343" s="33"/>
    </row>
    <row r="344" spans="16:52" x14ac:dyDescent="0.35">
      <c r="P344" s="20"/>
      <c r="AT344" s="33"/>
      <c r="AW344" s="33"/>
      <c r="AZ344" s="33"/>
    </row>
    <row r="345" spans="16:52" x14ac:dyDescent="0.35">
      <c r="P345" s="20"/>
      <c r="AT345" s="33"/>
      <c r="AW345" s="33"/>
      <c r="AZ345" s="33"/>
    </row>
    <row r="346" spans="16:52" x14ac:dyDescent="0.35">
      <c r="P346" s="20"/>
      <c r="AT346" s="33"/>
      <c r="AW346" s="33"/>
      <c r="AZ346" s="33"/>
    </row>
    <row r="347" spans="16:52" x14ac:dyDescent="0.35">
      <c r="P347" s="20"/>
      <c r="AT347" s="33"/>
      <c r="AW347" s="33"/>
      <c r="AZ347" s="33"/>
    </row>
    <row r="348" spans="16:52" x14ac:dyDescent="0.35">
      <c r="P348" s="20"/>
      <c r="AT348" s="33"/>
      <c r="AW348" s="33"/>
      <c r="AZ348" s="33"/>
    </row>
    <row r="349" spans="16:52" x14ac:dyDescent="0.35">
      <c r="P349" s="20"/>
      <c r="AT349" s="33"/>
      <c r="AW349" s="33"/>
      <c r="AZ349" s="33"/>
    </row>
    <row r="350" spans="16:52" x14ac:dyDescent="0.35">
      <c r="P350" s="20"/>
      <c r="AT350" s="33"/>
      <c r="AW350" s="33"/>
      <c r="AZ350" s="33"/>
    </row>
    <row r="351" spans="16:52" x14ac:dyDescent="0.35">
      <c r="P351" s="20"/>
      <c r="AT351" s="33"/>
      <c r="AW351" s="33"/>
      <c r="AZ351" s="33"/>
    </row>
    <row r="352" spans="16:52" x14ac:dyDescent="0.35">
      <c r="P352" s="20"/>
      <c r="AT352" s="33"/>
      <c r="AW352" s="33"/>
      <c r="AZ352" s="33"/>
    </row>
    <row r="353" spans="16:52" x14ac:dyDescent="0.35">
      <c r="P353" s="20"/>
      <c r="AT353" s="33"/>
      <c r="AW353" s="33"/>
      <c r="AZ353" s="33"/>
    </row>
    <row r="354" spans="16:52" x14ac:dyDescent="0.35">
      <c r="P354" s="20"/>
      <c r="AT354" s="33"/>
      <c r="AW354" s="33"/>
      <c r="AZ354" s="33"/>
    </row>
    <row r="355" spans="16:52" x14ac:dyDescent="0.35">
      <c r="P355" s="20"/>
      <c r="AT355" s="33"/>
      <c r="AW355" s="33"/>
      <c r="AZ355" s="33"/>
    </row>
    <row r="356" spans="16:52" x14ac:dyDescent="0.35">
      <c r="P356" s="20"/>
      <c r="AT356" s="33"/>
      <c r="AW356" s="33"/>
      <c r="AZ356" s="33"/>
    </row>
    <row r="357" spans="16:52" x14ac:dyDescent="0.35">
      <c r="P357" s="20"/>
      <c r="AT357" s="33"/>
      <c r="AW357" s="33"/>
      <c r="AZ357" s="33"/>
    </row>
    <row r="358" spans="16:52" x14ac:dyDescent="0.35">
      <c r="P358" s="20"/>
      <c r="AT358" s="33"/>
      <c r="AW358" s="33"/>
      <c r="AZ358" s="33"/>
    </row>
    <row r="359" spans="16:52" x14ac:dyDescent="0.35">
      <c r="P359" s="20"/>
      <c r="AT359" s="33"/>
      <c r="AW359" s="33"/>
      <c r="AZ359" s="33"/>
    </row>
    <row r="360" spans="16:52" x14ac:dyDescent="0.35">
      <c r="P360" s="20"/>
      <c r="AT360" s="33"/>
      <c r="AW360" s="33"/>
      <c r="AZ360" s="33"/>
    </row>
    <row r="361" spans="16:52" x14ac:dyDescent="0.35">
      <c r="P361" s="20"/>
      <c r="AT361" s="33"/>
      <c r="AW361" s="33"/>
      <c r="AZ361" s="33"/>
    </row>
    <row r="362" spans="16:52" x14ac:dyDescent="0.35">
      <c r="P362" s="20"/>
      <c r="AT362" s="33"/>
      <c r="AW362" s="33"/>
      <c r="AZ362" s="33"/>
    </row>
    <row r="363" spans="16:52" x14ac:dyDescent="0.35">
      <c r="P363" s="20"/>
      <c r="AT363" s="33"/>
      <c r="AW363" s="33"/>
      <c r="AZ363" s="33"/>
    </row>
    <row r="364" spans="16:52" x14ac:dyDescent="0.35">
      <c r="P364" s="20"/>
      <c r="AT364" s="33"/>
      <c r="AW364" s="33"/>
      <c r="AZ364" s="33"/>
    </row>
    <row r="365" spans="16:52" x14ac:dyDescent="0.35">
      <c r="P365" s="20"/>
      <c r="AT365" s="33"/>
      <c r="AW365" s="33"/>
      <c r="AZ365" s="33"/>
    </row>
    <row r="366" spans="16:52" x14ac:dyDescent="0.35">
      <c r="P366" s="20"/>
      <c r="AT366" s="33"/>
      <c r="AW366" s="33"/>
      <c r="AZ366" s="33"/>
    </row>
    <row r="367" spans="16:52" x14ac:dyDescent="0.35">
      <c r="P367" s="20"/>
      <c r="AT367" s="33"/>
      <c r="AW367" s="33"/>
      <c r="AZ367" s="33"/>
    </row>
    <row r="368" spans="16:52" x14ac:dyDescent="0.35">
      <c r="P368" s="20"/>
      <c r="AT368" s="33"/>
      <c r="AW368" s="33"/>
      <c r="AZ368" s="33"/>
    </row>
    <row r="369" spans="16:52" x14ac:dyDescent="0.35">
      <c r="P369" s="20"/>
      <c r="AT369" s="33"/>
      <c r="AW369" s="33"/>
      <c r="AZ369" s="33"/>
    </row>
    <row r="370" spans="16:52" x14ac:dyDescent="0.35">
      <c r="P370" s="20"/>
      <c r="AT370" s="33"/>
      <c r="AW370" s="33"/>
      <c r="AZ370" s="33"/>
    </row>
    <row r="371" spans="16:52" x14ac:dyDescent="0.35">
      <c r="P371" s="20"/>
      <c r="AT371" s="33"/>
      <c r="AW371" s="33"/>
      <c r="AZ371" s="33"/>
    </row>
    <row r="372" spans="16:52" x14ac:dyDescent="0.35">
      <c r="P372" s="20"/>
      <c r="AT372" s="33"/>
      <c r="AW372" s="33"/>
      <c r="AZ372" s="33"/>
    </row>
    <row r="373" spans="16:52" x14ac:dyDescent="0.35">
      <c r="P373" s="20"/>
      <c r="AT373" s="33"/>
      <c r="AW373" s="33"/>
      <c r="AZ373" s="33"/>
    </row>
    <row r="374" spans="16:52" x14ac:dyDescent="0.35">
      <c r="P374" s="20"/>
      <c r="AT374" s="33"/>
      <c r="AW374" s="33"/>
      <c r="AZ374" s="33"/>
    </row>
    <row r="375" spans="16:52" x14ac:dyDescent="0.35">
      <c r="P375" s="20"/>
      <c r="AT375" s="33"/>
      <c r="AW375" s="33"/>
      <c r="AZ375" s="33"/>
    </row>
    <row r="376" spans="16:52" x14ac:dyDescent="0.35">
      <c r="P376" s="20"/>
      <c r="AT376" s="33"/>
      <c r="AW376" s="33"/>
      <c r="AZ376" s="33"/>
    </row>
    <row r="377" spans="16:52" x14ac:dyDescent="0.35">
      <c r="P377" s="20"/>
      <c r="AT377" s="33"/>
      <c r="AW377" s="33"/>
      <c r="AZ377" s="33"/>
    </row>
    <row r="378" spans="16:52" x14ac:dyDescent="0.35">
      <c r="P378" s="20"/>
      <c r="AT378" s="33"/>
      <c r="AW378" s="33"/>
      <c r="AZ378" s="33"/>
    </row>
    <row r="379" spans="16:52" x14ac:dyDescent="0.35">
      <c r="P379" s="20"/>
      <c r="AT379" s="33"/>
      <c r="AW379" s="33"/>
      <c r="AZ379" s="33"/>
    </row>
    <row r="380" spans="16:52" x14ac:dyDescent="0.35">
      <c r="P380" s="20"/>
      <c r="AT380" s="33"/>
      <c r="AW380" s="33"/>
      <c r="AZ380" s="33"/>
    </row>
    <row r="381" spans="16:52" x14ac:dyDescent="0.35">
      <c r="P381" s="20"/>
      <c r="AT381" s="33"/>
      <c r="AW381" s="33"/>
      <c r="AZ381" s="33"/>
    </row>
    <row r="382" spans="16:52" x14ac:dyDescent="0.35">
      <c r="P382" s="20"/>
      <c r="AT382" s="33"/>
      <c r="AW382" s="33"/>
      <c r="AZ382" s="33"/>
    </row>
    <row r="383" spans="16:52" x14ac:dyDescent="0.35">
      <c r="P383" s="20"/>
      <c r="AT383" s="33"/>
      <c r="AW383" s="33"/>
      <c r="AZ383" s="33"/>
    </row>
    <row r="384" spans="16:52" x14ac:dyDescent="0.35">
      <c r="P384" s="20"/>
      <c r="AT384" s="33"/>
      <c r="AW384" s="33"/>
      <c r="AZ384" s="33"/>
    </row>
    <row r="385" spans="16:52" x14ac:dyDescent="0.35">
      <c r="P385" s="20"/>
      <c r="AT385" s="33"/>
      <c r="AW385" s="33"/>
      <c r="AZ385" s="33"/>
    </row>
    <row r="386" spans="16:52" x14ac:dyDescent="0.35">
      <c r="P386" s="20"/>
      <c r="AT386" s="33"/>
      <c r="AW386" s="33"/>
      <c r="AZ386" s="33"/>
    </row>
    <row r="387" spans="16:52" x14ac:dyDescent="0.35">
      <c r="P387" s="20"/>
      <c r="AT387" s="33"/>
      <c r="AW387" s="33"/>
      <c r="AZ387" s="33"/>
    </row>
    <row r="388" spans="16:52" x14ac:dyDescent="0.35">
      <c r="P388" s="20"/>
      <c r="AT388" s="33"/>
      <c r="AW388" s="33"/>
      <c r="AZ388" s="33"/>
    </row>
    <row r="389" spans="16:52" x14ac:dyDescent="0.35">
      <c r="P389" s="20"/>
      <c r="AT389" s="33"/>
      <c r="AW389" s="33"/>
      <c r="AZ389" s="33"/>
    </row>
    <row r="390" spans="16:52" x14ac:dyDescent="0.35">
      <c r="P390" s="20"/>
      <c r="AT390" s="33"/>
      <c r="AW390" s="33"/>
      <c r="AZ390" s="33"/>
    </row>
    <row r="391" spans="16:52" x14ac:dyDescent="0.35">
      <c r="P391" s="20"/>
      <c r="AT391" s="33"/>
      <c r="AW391" s="33"/>
      <c r="AZ391" s="33"/>
    </row>
    <row r="392" spans="16:52" x14ac:dyDescent="0.35">
      <c r="P392" s="20"/>
      <c r="AT392" s="33"/>
      <c r="AW392" s="33"/>
      <c r="AZ392" s="33"/>
    </row>
    <row r="393" spans="16:52" x14ac:dyDescent="0.35">
      <c r="AT393" s="33"/>
      <c r="AW393" s="33"/>
      <c r="AZ393" s="33"/>
    </row>
    <row r="394" spans="16:52" x14ac:dyDescent="0.35">
      <c r="AT394" s="33"/>
      <c r="AW394" s="33"/>
      <c r="AZ394" s="33"/>
    </row>
    <row r="395" spans="16:52" x14ac:dyDescent="0.35">
      <c r="AT395" s="33"/>
      <c r="AW395" s="33"/>
      <c r="AZ395" s="33"/>
    </row>
    <row r="396" spans="16:52" x14ac:dyDescent="0.35">
      <c r="AT396" s="33"/>
      <c r="AW396" s="33"/>
      <c r="AZ396" s="33"/>
    </row>
    <row r="397" spans="16:52" x14ac:dyDescent="0.35">
      <c r="AT397" s="33"/>
      <c r="AW397" s="33"/>
      <c r="AZ397" s="33"/>
    </row>
    <row r="398" spans="16:52" x14ac:dyDescent="0.35">
      <c r="AT398" s="33"/>
      <c r="AW398" s="33"/>
      <c r="AZ398" s="33"/>
    </row>
    <row r="399" spans="16:52" x14ac:dyDescent="0.35">
      <c r="AT399" s="33"/>
      <c r="AW399" s="33"/>
      <c r="AZ399" s="33"/>
    </row>
    <row r="400" spans="16:52" x14ac:dyDescent="0.35">
      <c r="AT400" s="33"/>
      <c r="AW400" s="33"/>
      <c r="AZ400" s="33"/>
    </row>
    <row r="401" spans="46:52" x14ac:dyDescent="0.35">
      <c r="AT401" s="33"/>
      <c r="AW401" s="33"/>
      <c r="AZ401" s="33"/>
    </row>
    <row r="402" spans="46:52" x14ac:dyDescent="0.35">
      <c r="AT402" s="33"/>
      <c r="AW402" s="33"/>
      <c r="AZ402" s="33"/>
    </row>
    <row r="403" spans="46:52" x14ac:dyDescent="0.35">
      <c r="AT403" s="33"/>
      <c r="AW403" s="33"/>
      <c r="AZ403" s="33"/>
    </row>
    <row r="404" spans="46:52" x14ac:dyDescent="0.35">
      <c r="AT404" s="33"/>
      <c r="AW404" s="33"/>
      <c r="AZ404" s="33"/>
    </row>
    <row r="405" spans="46:52" x14ac:dyDescent="0.35">
      <c r="AT405" s="33"/>
      <c r="AW405" s="33"/>
      <c r="AZ405" s="33"/>
    </row>
    <row r="406" spans="46:52" x14ac:dyDescent="0.35">
      <c r="AT406" s="33"/>
      <c r="AW406" s="33"/>
      <c r="AZ406" s="33"/>
    </row>
    <row r="407" spans="46:52" x14ac:dyDescent="0.35">
      <c r="AT407" s="33"/>
      <c r="AW407" s="33"/>
      <c r="AZ407" s="33"/>
    </row>
    <row r="408" spans="46:52" x14ac:dyDescent="0.35">
      <c r="AT408" s="33"/>
      <c r="AW408" s="33"/>
      <c r="AZ408" s="33"/>
    </row>
    <row r="409" spans="46:52" x14ac:dyDescent="0.35">
      <c r="AT409" s="33"/>
      <c r="AW409" s="33"/>
      <c r="AZ409" s="33"/>
    </row>
    <row r="410" spans="46:52" x14ac:dyDescent="0.35">
      <c r="AT410" s="33"/>
      <c r="AW410" s="33"/>
      <c r="AZ410" s="33"/>
    </row>
    <row r="411" spans="46:52" x14ac:dyDescent="0.35">
      <c r="AT411" s="33"/>
      <c r="AW411" s="33"/>
      <c r="AZ411" s="33"/>
    </row>
    <row r="412" spans="46:52" x14ac:dyDescent="0.35">
      <c r="AT412" s="33"/>
      <c r="AW412" s="33"/>
      <c r="AZ412" s="33"/>
    </row>
    <row r="413" spans="46:52" x14ac:dyDescent="0.35">
      <c r="AT413" s="33"/>
      <c r="AW413" s="33"/>
      <c r="AZ413" s="33"/>
    </row>
    <row r="414" spans="46:52" x14ac:dyDescent="0.35">
      <c r="AT414" s="33"/>
      <c r="AW414" s="33"/>
      <c r="AZ414" s="33"/>
    </row>
    <row r="415" spans="46:52" x14ac:dyDescent="0.35">
      <c r="AT415" s="33"/>
      <c r="AW415" s="33"/>
      <c r="AZ415" s="33"/>
    </row>
    <row r="416" spans="46:52" x14ac:dyDescent="0.35">
      <c r="AT416" s="33"/>
      <c r="AW416" s="33"/>
      <c r="AZ416" s="33"/>
    </row>
    <row r="417" spans="46:52" x14ac:dyDescent="0.35">
      <c r="AT417" s="33"/>
      <c r="AW417" s="33"/>
      <c r="AZ417" s="33"/>
    </row>
    <row r="418" spans="46:52" x14ac:dyDescent="0.35">
      <c r="AT418" s="33"/>
      <c r="AW418" s="33"/>
      <c r="AZ418" s="33"/>
    </row>
    <row r="419" spans="46:52" x14ac:dyDescent="0.35">
      <c r="AT419" s="33"/>
      <c r="AW419" s="33"/>
      <c r="AZ419" s="33"/>
    </row>
    <row r="420" spans="46:52" x14ac:dyDescent="0.35">
      <c r="AT420" s="33"/>
      <c r="AW420" s="33"/>
      <c r="AZ420" s="33"/>
    </row>
    <row r="421" spans="46:52" x14ac:dyDescent="0.35">
      <c r="AT421" s="33"/>
      <c r="AW421" s="33"/>
      <c r="AZ421" s="33"/>
    </row>
    <row r="422" spans="46:52" x14ac:dyDescent="0.35">
      <c r="AT422" s="33"/>
      <c r="AW422" s="33"/>
      <c r="AZ422" s="33"/>
    </row>
    <row r="423" spans="46:52" x14ac:dyDescent="0.35">
      <c r="AT423" s="33"/>
      <c r="AW423" s="33"/>
      <c r="AZ423" s="33"/>
    </row>
    <row r="424" spans="46:52" x14ac:dyDescent="0.35">
      <c r="AT424" s="33"/>
      <c r="AW424" s="33"/>
      <c r="AZ424" s="33"/>
    </row>
    <row r="425" spans="46:52" x14ac:dyDescent="0.35">
      <c r="AT425" s="33"/>
      <c r="AW425" s="33"/>
      <c r="AZ425" s="33"/>
    </row>
    <row r="426" spans="46:52" x14ac:dyDescent="0.35">
      <c r="AT426" s="33"/>
      <c r="AW426" s="33"/>
      <c r="AZ426" s="33"/>
    </row>
    <row r="427" spans="46:52" x14ac:dyDescent="0.35">
      <c r="AT427" s="33"/>
      <c r="AW427" s="33"/>
      <c r="AZ427" s="33"/>
    </row>
    <row r="428" spans="46:52" x14ac:dyDescent="0.35">
      <c r="AT428" s="33"/>
      <c r="AW428" s="33"/>
      <c r="AZ428" s="33"/>
    </row>
    <row r="429" spans="46:52" x14ac:dyDescent="0.35">
      <c r="AT429" s="33"/>
      <c r="AW429" s="33"/>
      <c r="AZ429" s="33"/>
    </row>
    <row r="430" spans="46:52" x14ac:dyDescent="0.35">
      <c r="AT430" s="33"/>
      <c r="AW430" s="33"/>
      <c r="AZ430" s="33"/>
    </row>
    <row r="431" spans="46:52" x14ac:dyDescent="0.35">
      <c r="AT431" s="33"/>
      <c r="AW431" s="33"/>
      <c r="AZ431" s="33"/>
    </row>
    <row r="432" spans="46:52" x14ac:dyDescent="0.35">
      <c r="AT432" s="33"/>
      <c r="AW432" s="33"/>
      <c r="AZ432" s="33"/>
    </row>
    <row r="433" spans="40:52" x14ac:dyDescent="0.35">
      <c r="AT433" s="33"/>
      <c r="AW433" s="33"/>
      <c r="AZ433" s="33"/>
    </row>
    <row r="434" spans="40:52" x14ac:dyDescent="0.35">
      <c r="AT434" s="33"/>
      <c r="AW434" s="33"/>
      <c r="AZ434" s="33"/>
    </row>
    <row r="435" spans="40:52" x14ac:dyDescent="0.35">
      <c r="AT435" s="33"/>
      <c r="AW435" s="33"/>
      <c r="AZ435" s="33"/>
    </row>
    <row r="436" spans="40:52" x14ac:dyDescent="0.35">
      <c r="AT436" s="33"/>
      <c r="AW436" s="33"/>
      <c r="AZ436" s="33"/>
    </row>
    <row r="437" spans="40:52" x14ac:dyDescent="0.35">
      <c r="AN437" s="5"/>
      <c r="AT437" s="33"/>
      <c r="AW437" s="33"/>
      <c r="AZ437" s="33"/>
    </row>
    <row r="438" spans="40:52" x14ac:dyDescent="0.35">
      <c r="AT438" s="33"/>
      <c r="AW438" s="33"/>
      <c r="AZ438" s="33"/>
    </row>
    <row r="439" spans="40:52" x14ac:dyDescent="0.35">
      <c r="AT439" s="33"/>
      <c r="AW439" s="33"/>
      <c r="AZ439" s="33"/>
    </row>
    <row r="440" spans="40:52" x14ac:dyDescent="0.35">
      <c r="AT440" s="33"/>
      <c r="AW440" s="33"/>
      <c r="AZ440" s="33"/>
    </row>
    <row r="441" spans="40:52" x14ac:dyDescent="0.35">
      <c r="AT441" s="33"/>
      <c r="AW441" s="33"/>
      <c r="AZ441" s="33"/>
    </row>
    <row r="442" spans="40:52" x14ac:dyDescent="0.35">
      <c r="AT442" s="33"/>
      <c r="AW442" s="33"/>
      <c r="AZ442" s="33"/>
    </row>
    <row r="443" spans="40:52" x14ac:dyDescent="0.35">
      <c r="AT443" s="33"/>
      <c r="AW443" s="33"/>
      <c r="AZ443" s="33"/>
    </row>
    <row r="444" spans="40:52" x14ac:dyDescent="0.35">
      <c r="AT444" s="33"/>
      <c r="AW444" s="33"/>
      <c r="AZ444" s="33"/>
    </row>
    <row r="445" spans="40:52" x14ac:dyDescent="0.35">
      <c r="AT445" s="33"/>
      <c r="AW445" s="33"/>
      <c r="AZ445" s="33"/>
    </row>
    <row r="446" spans="40:52" x14ac:dyDescent="0.35">
      <c r="AT446" s="33"/>
      <c r="AW446" s="33"/>
      <c r="AZ446" s="33"/>
    </row>
    <row r="447" spans="40:52" x14ac:dyDescent="0.35">
      <c r="AT447" s="33"/>
      <c r="AW447" s="33"/>
      <c r="AZ447" s="33"/>
    </row>
    <row r="448" spans="40:52" x14ac:dyDescent="0.35">
      <c r="AT448" s="33"/>
      <c r="AW448" s="33"/>
      <c r="AZ448" s="33"/>
    </row>
    <row r="449" spans="46:52" x14ac:dyDescent="0.35">
      <c r="AT449" s="33"/>
      <c r="AW449" s="33"/>
      <c r="AZ449" s="33"/>
    </row>
    <row r="450" spans="46:52" x14ac:dyDescent="0.35">
      <c r="AT450" s="33"/>
      <c r="AW450" s="33"/>
      <c r="AZ450" s="33"/>
    </row>
    <row r="451" spans="46:52" x14ac:dyDescent="0.35">
      <c r="AT451" s="33"/>
      <c r="AW451" s="33"/>
      <c r="AZ451" s="33"/>
    </row>
    <row r="452" spans="46:52" x14ac:dyDescent="0.35">
      <c r="AT452" s="33"/>
      <c r="AW452" s="33"/>
      <c r="AZ452" s="33"/>
    </row>
    <row r="453" spans="46:52" x14ac:dyDescent="0.35">
      <c r="AT453" s="33"/>
      <c r="AW453" s="33"/>
      <c r="AZ453" s="33"/>
    </row>
    <row r="454" spans="46:52" x14ac:dyDescent="0.35">
      <c r="AT454" s="33"/>
      <c r="AW454" s="33"/>
      <c r="AZ454" s="33"/>
    </row>
    <row r="455" spans="46:52" x14ac:dyDescent="0.35">
      <c r="AT455" s="33"/>
      <c r="AW455" s="33"/>
      <c r="AZ455" s="33"/>
    </row>
    <row r="456" spans="46:52" x14ac:dyDescent="0.35">
      <c r="AT456" s="33"/>
      <c r="AW456" s="33"/>
      <c r="AZ456" s="33"/>
    </row>
    <row r="457" spans="46:52" x14ac:dyDescent="0.35">
      <c r="AT457" s="33"/>
      <c r="AW457" s="33"/>
      <c r="AZ457" s="33"/>
    </row>
    <row r="458" spans="46:52" x14ac:dyDescent="0.35">
      <c r="AT458" s="33"/>
      <c r="AW458" s="33"/>
      <c r="AZ458" s="33"/>
    </row>
    <row r="459" spans="46:52" x14ac:dyDescent="0.35">
      <c r="AT459" s="33"/>
      <c r="AW459" s="33"/>
      <c r="AZ459" s="33"/>
    </row>
    <row r="460" spans="46:52" x14ac:dyDescent="0.35">
      <c r="AT460" s="33"/>
      <c r="AW460" s="33"/>
      <c r="AZ460" s="33"/>
    </row>
    <row r="461" spans="46:52" x14ac:dyDescent="0.35">
      <c r="AT461" s="33"/>
      <c r="AW461" s="33"/>
      <c r="AZ461" s="33"/>
    </row>
    <row r="462" spans="46:52" x14ac:dyDescent="0.35">
      <c r="AT462" s="33"/>
      <c r="AW462" s="33"/>
      <c r="AZ462" s="33"/>
    </row>
    <row r="463" spans="46:52" x14ac:dyDescent="0.35">
      <c r="AT463" s="33"/>
      <c r="AW463" s="33"/>
      <c r="AZ463" s="33"/>
    </row>
    <row r="464" spans="46:52" x14ac:dyDescent="0.35">
      <c r="AT464" s="33"/>
      <c r="AW464" s="33"/>
      <c r="AZ464" s="33"/>
    </row>
    <row r="465" spans="46:52" x14ac:dyDescent="0.35">
      <c r="AT465" s="33"/>
      <c r="AW465" s="33"/>
      <c r="AZ465" s="33"/>
    </row>
    <row r="466" spans="46:52" x14ac:dyDescent="0.35">
      <c r="AT466" s="33"/>
      <c r="AW466" s="33"/>
      <c r="AZ466" s="33"/>
    </row>
    <row r="467" spans="46:52" x14ac:dyDescent="0.35">
      <c r="AT467" s="33"/>
      <c r="AW467" s="33"/>
      <c r="AZ467" s="33"/>
    </row>
    <row r="468" spans="46:52" x14ac:dyDescent="0.35">
      <c r="AT468" s="33"/>
      <c r="AW468" s="33"/>
      <c r="AZ468" s="33"/>
    </row>
    <row r="469" spans="46:52" x14ac:dyDescent="0.35">
      <c r="AT469" s="33"/>
      <c r="AW469" s="33"/>
      <c r="AZ469" s="33"/>
    </row>
    <row r="470" spans="46:52" x14ac:dyDescent="0.35">
      <c r="AT470" s="33"/>
      <c r="AW470" s="33"/>
      <c r="AZ470" s="33"/>
    </row>
    <row r="471" spans="46:52" x14ac:dyDescent="0.35">
      <c r="AT471" s="33"/>
      <c r="AW471" s="33"/>
      <c r="AZ471" s="33"/>
    </row>
    <row r="472" spans="46:52" x14ac:dyDescent="0.35">
      <c r="AT472" s="33"/>
      <c r="AW472" s="33"/>
      <c r="AZ472" s="33"/>
    </row>
    <row r="473" spans="46:52" x14ac:dyDescent="0.35">
      <c r="AT473" s="33"/>
      <c r="AW473" s="33"/>
      <c r="AZ473" s="33"/>
    </row>
    <row r="474" spans="46:52" x14ac:dyDescent="0.35">
      <c r="AT474" s="33"/>
      <c r="AW474" s="33"/>
      <c r="AZ474" s="33"/>
    </row>
    <row r="475" spans="46:52" x14ac:dyDescent="0.35">
      <c r="AT475" s="33"/>
      <c r="AW475" s="33"/>
      <c r="AZ475" s="33"/>
    </row>
    <row r="476" spans="46:52" x14ac:dyDescent="0.35">
      <c r="AT476" s="33"/>
      <c r="AW476" s="33"/>
      <c r="AZ476" s="33"/>
    </row>
    <row r="477" spans="46:52" x14ac:dyDescent="0.35">
      <c r="AT477" s="33"/>
      <c r="AW477" s="33"/>
      <c r="AZ477" s="33"/>
    </row>
    <row r="478" spans="46:52" x14ac:dyDescent="0.35">
      <c r="AT478" s="33"/>
      <c r="AW478" s="33"/>
      <c r="AZ478" s="33"/>
    </row>
    <row r="479" spans="46:52" x14ac:dyDescent="0.35">
      <c r="AT479" s="33"/>
      <c r="AW479" s="33"/>
      <c r="AZ479" s="33"/>
    </row>
    <row r="480" spans="46:52" x14ac:dyDescent="0.35">
      <c r="AT480" s="33"/>
      <c r="AW480" s="33"/>
      <c r="AZ480" s="33"/>
    </row>
    <row r="481" spans="46:52" x14ac:dyDescent="0.35">
      <c r="AT481" s="33"/>
      <c r="AW481" s="33"/>
      <c r="AZ481" s="33"/>
    </row>
    <row r="482" spans="46:52" x14ac:dyDescent="0.35">
      <c r="AT482" s="33"/>
      <c r="AW482" s="33"/>
      <c r="AZ482" s="33"/>
    </row>
    <row r="483" spans="46:52" x14ac:dyDescent="0.35">
      <c r="AT483" s="33"/>
      <c r="AW483" s="33"/>
      <c r="AZ483" s="33"/>
    </row>
    <row r="484" spans="46:52" x14ac:dyDescent="0.35">
      <c r="AT484" s="33"/>
      <c r="AW484" s="33"/>
      <c r="AZ484" s="33"/>
    </row>
    <row r="485" spans="46:52" x14ac:dyDescent="0.35">
      <c r="AT485" s="33"/>
      <c r="AW485" s="33"/>
      <c r="AZ485" s="33"/>
    </row>
    <row r="486" spans="46:52" x14ac:dyDescent="0.35">
      <c r="AT486" s="33"/>
      <c r="AW486" s="33"/>
      <c r="AZ486" s="33"/>
    </row>
    <row r="487" spans="46:52" x14ac:dyDescent="0.35">
      <c r="AT487" s="33"/>
      <c r="AW487" s="33"/>
      <c r="AZ487" s="33"/>
    </row>
    <row r="488" spans="46:52" x14ac:dyDescent="0.35">
      <c r="AT488" s="33"/>
      <c r="AW488" s="33"/>
      <c r="AZ488" s="33"/>
    </row>
    <row r="489" spans="46:52" x14ac:dyDescent="0.35">
      <c r="AT489" s="33"/>
      <c r="AW489" s="33"/>
      <c r="AZ489" s="33"/>
    </row>
    <row r="490" spans="46:52" x14ac:dyDescent="0.35">
      <c r="AT490" s="33"/>
      <c r="AW490" s="33"/>
      <c r="AZ490" s="33"/>
    </row>
    <row r="491" spans="46:52" x14ac:dyDescent="0.35">
      <c r="AT491" s="33"/>
      <c r="AW491" s="33"/>
      <c r="AZ491" s="33"/>
    </row>
    <row r="492" spans="46:52" x14ac:dyDescent="0.35">
      <c r="AT492" s="33"/>
      <c r="AW492" s="33"/>
      <c r="AZ492" s="33"/>
    </row>
    <row r="493" spans="46:52" x14ac:dyDescent="0.35">
      <c r="AT493" s="33"/>
      <c r="AW493" s="33"/>
      <c r="AZ493" s="33"/>
    </row>
    <row r="494" spans="46:52" x14ac:dyDescent="0.35">
      <c r="AT494" s="33"/>
      <c r="AW494" s="33"/>
      <c r="AZ494" s="33"/>
    </row>
    <row r="495" spans="46:52" x14ac:dyDescent="0.35">
      <c r="AT495" s="33"/>
      <c r="AW495" s="33"/>
      <c r="AZ495" s="33"/>
    </row>
    <row r="496" spans="46:52" x14ac:dyDescent="0.35">
      <c r="AT496" s="33"/>
      <c r="AW496" s="33"/>
      <c r="AZ496" s="33"/>
    </row>
    <row r="497" spans="46:52" x14ac:dyDescent="0.35">
      <c r="AT497" s="33"/>
      <c r="AW497" s="33"/>
      <c r="AZ497" s="33"/>
    </row>
    <row r="498" spans="46:52" x14ac:dyDescent="0.35">
      <c r="AT498" s="33"/>
      <c r="AW498" s="33"/>
      <c r="AZ498" s="33"/>
    </row>
    <row r="499" spans="46:52" x14ac:dyDescent="0.35">
      <c r="AT499" s="33"/>
      <c r="AW499" s="33"/>
      <c r="AZ499" s="33"/>
    </row>
    <row r="500" spans="46:52" x14ac:dyDescent="0.35">
      <c r="AT500" s="33"/>
      <c r="AW500" s="33"/>
      <c r="AZ500" s="33"/>
    </row>
    <row r="501" spans="46:52" x14ac:dyDescent="0.35">
      <c r="AT501" s="33"/>
      <c r="AW501" s="33"/>
      <c r="AZ501" s="33"/>
    </row>
    <row r="502" spans="46:52" x14ac:dyDescent="0.35">
      <c r="AT502" s="33"/>
      <c r="AW502" s="33"/>
      <c r="AZ502" s="33"/>
    </row>
    <row r="503" spans="46:52" x14ac:dyDescent="0.35">
      <c r="AT503" s="33"/>
      <c r="AW503" s="33"/>
      <c r="AZ503" s="33"/>
    </row>
    <row r="504" spans="46:52" x14ac:dyDescent="0.35">
      <c r="AT504" s="33"/>
      <c r="AW504" s="33"/>
      <c r="AZ504" s="33"/>
    </row>
    <row r="505" spans="46:52" x14ac:dyDescent="0.35">
      <c r="AT505" s="33"/>
      <c r="AW505" s="33"/>
      <c r="AZ505" s="33"/>
    </row>
    <row r="506" spans="46:52" x14ac:dyDescent="0.35">
      <c r="AT506" s="33"/>
      <c r="AW506" s="33"/>
      <c r="AZ506" s="33"/>
    </row>
    <row r="507" spans="46:52" x14ac:dyDescent="0.35">
      <c r="AT507" s="33"/>
      <c r="AW507" s="33"/>
      <c r="AZ507" s="33"/>
    </row>
    <row r="508" spans="46:52" x14ac:dyDescent="0.35">
      <c r="AT508" s="33"/>
      <c r="AW508" s="33"/>
      <c r="AZ508" s="33"/>
    </row>
    <row r="509" spans="46:52" x14ac:dyDescent="0.35">
      <c r="AT509" s="33"/>
      <c r="AW509" s="33"/>
      <c r="AZ509" s="33"/>
    </row>
    <row r="510" spans="46:52" x14ac:dyDescent="0.35">
      <c r="AT510" s="33"/>
      <c r="AW510" s="33"/>
      <c r="AZ510" s="33"/>
    </row>
    <row r="511" spans="46:52" x14ac:dyDescent="0.35">
      <c r="AT511" s="33"/>
      <c r="AW511" s="33"/>
      <c r="AZ511" s="33"/>
    </row>
    <row r="512" spans="46:52" x14ac:dyDescent="0.35">
      <c r="AT512" s="33"/>
      <c r="AW512" s="33"/>
      <c r="AZ512" s="33"/>
    </row>
    <row r="513" spans="46:52" x14ac:dyDescent="0.35">
      <c r="AT513" s="33"/>
      <c r="AW513" s="33"/>
      <c r="AZ513" s="33"/>
    </row>
    <row r="514" spans="46:52" x14ac:dyDescent="0.35">
      <c r="AT514" s="33"/>
      <c r="AW514" s="33"/>
      <c r="AZ514" s="33"/>
    </row>
    <row r="515" spans="46:52" x14ac:dyDescent="0.35">
      <c r="AT515" s="33"/>
      <c r="AW515" s="33"/>
      <c r="AZ515" s="33"/>
    </row>
    <row r="516" spans="46:52" x14ac:dyDescent="0.35">
      <c r="AT516" s="33"/>
      <c r="AW516" s="33"/>
      <c r="AZ516" s="33"/>
    </row>
    <row r="517" spans="46:52" x14ac:dyDescent="0.35">
      <c r="AT517" s="33"/>
      <c r="AW517" s="33"/>
      <c r="AZ517" s="33"/>
    </row>
    <row r="518" spans="46:52" x14ac:dyDescent="0.35">
      <c r="AT518" s="33"/>
      <c r="AW518" s="33"/>
      <c r="AZ518" s="33"/>
    </row>
    <row r="519" spans="46:52" x14ac:dyDescent="0.35">
      <c r="AT519" s="33"/>
      <c r="AW519" s="33"/>
      <c r="AZ519" s="33"/>
    </row>
    <row r="520" spans="46:52" x14ac:dyDescent="0.35">
      <c r="AT520" s="33"/>
      <c r="AW520" s="33"/>
      <c r="AZ520" s="33"/>
    </row>
    <row r="521" spans="46:52" x14ac:dyDescent="0.35">
      <c r="AT521" s="33"/>
      <c r="AW521" s="33"/>
      <c r="AZ521" s="33"/>
    </row>
    <row r="522" spans="46:52" x14ac:dyDescent="0.35">
      <c r="AT522" s="33"/>
      <c r="AW522" s="33"/>
      <c r="AZ522" s="33"/>
    </row>
    <row r="523" spans="46:52" x14ac:dyDescent="0.35">
      <c r="AT523" s="33"/>
      <c r="AW523" s="33"/>
      <c r="AZ523" s="33"/>
    </row>
    <row r="524" spans="46:52" x14ac:dyDescent="0.35">
      <c r="AT524" s="33"/>
      <c r="AW524" s="33"/>
      <c r="AZ524" s="33"/>
    </row>
    <row r="525" spans="46:52" x14ac:dyDescent="0.35">
      <c r="AT525" s="33"/>
      <c r="AW525" s="33"/>
      <c r="AZ525" s="33"/>
    </row>
    <row r="526" spans="46:52" x14ac:dyDescent="0.35">
      <c r="AT526" s="33"/>
      <c r="AW526" s="33"/>
      <c r="AZ526" s="33"/>
    </row>
    <row r="527" spans="46:52" x14ac:dyDescent="0.35">
      <c r="AT527" s="33"/>
      <c r="AW527" s="33"/>
      <c r="AZ527" s="33"/>
    </row>
    <row r="528" spans="46:52" x14ac:dyDescent="0.35">
      <c r="AT528" s="33"/>
      <c r="AW528" s="33"/>
      <c r="AZ528" s="33"/>
    </row>
    <row r="529" spans="46:52" x14ac:dyDescent="0.35">
      <c r="AT529" s="33"/>
      <c r="AW529" s="33"/>
      <c r="AZ529" s="33"/>
    </row>
    <row r="530" spans="46:52" x14ac:dyDescent="0.35">
      <c r="AT530" s="33"/>
      <c r="AW530" s="33"/>
      <c r="AZ530" s="33"/>
    </row>
    <row r="531" spans="46:52" x14ac:dyDescent="0.35">
      <c r="AT531" s="33"/>
      <c r="AW531" s="33"/>
      <c r="AZ531" s="33"/>
    </row>
    <row r="532" spans="46:52" x14ac:dyDescent="0.35">
      <c r="AT532" s="33"/>
      <c r="AW532" s="33"/>
      <c r="AZ532" s="33"/>
    </row>
    <row r="533" spans="46:52" x14ac:dyDescent="0.35">
      <c r="AT533" s="33"/>
      <c r="AW533" s="33"/>
      <c r="AZ533" s="33"/>
    </row>
    <row r="534" spans="46:52" x14ac:dyDescent="0.35">
      <c r="AT534" s="33"/>
      <c r="AW534" s="33"/>
      <c r="AZ534" s="33"/>
    </row>
    <row r="535" spans="46:52" x14ac:dyDescent="0.35">
      <c r="AT535" s="33"/>
      <c r="AW535" s="33"/>
      <c r="AZ535" s="33"/>
    </row>
    <row r="536" spans="46:52" x14ac:dyDescent="0.35">
      <c r="AT536" s="33"/>
      <c r="AW536" s="33"/>
      <c r="AZ536" s="33"/>
    </row>
    <row r="537" spans="46:52" x14ac:dyDescent="0.35">
      <c r="AT537" s="33"/>
      <c r="AW537" s="33"/>
      <c r="AZ537" s="33"/>
    </row>
    <row r="538" spans="46:52" x14ac:dyDescent="0.35">
      <c r="AT538" s="33"/>
      <c r="AW538" s="33"/>
      <c r="AZ538" s="33"/>
    </row>
    <row r="539" spans="46:52" x14ac:dyDescent="0.35">
      <c r="AT539" s="33"/>
      <c r="AW539" s="33"/>
      <c r="AZ539" s="33"/>
    </row>
    <row r="540" spans="46:52" x14ac:dyDescent="0.35">
      <c r="AT540" s="33"/>
      <c r="AW540" s="33"/>
      <c r="AZ540" s="33"/>
    </row>
    <row r="541" spans="46:52" x14ac:dyDescent="0.35">
      <c r="AT541" s="33"/>
      <c r="AW541" s="33"/>
      <c r="AZ541" s="33"/>
    </row>
    <row r="542" spans="46:52" x14ac:dyDescent="0.35">
      <c r="AT542" s="33"/>
      <c r="AW542" s="33"/>
      <c r="AZ542" s="33"/>
    </row>
    <row r="543" spans="46:52" x14ac:dyDescent="0.35">
      <c r="AT543" s="33"/>
      <c r="AW543" s="33"/>
      <c r="AZ543" s="33"/>
    </row>
    <row r="544" spans="46:52" x14ac:dyDescent="0.35">
      <c r="AT544" s="33"/>
      <c r="AW544" s="33"/>
      <c r="AZ544" s="33"/>
    </row>
    <row r="545" spans="46:52" x14ac:dyDescent="0.35">
      <c r="AT545" s="33"/>
      <c r="AW545" s="33"/>
      <c r="AZ545" s="33"/>
    </row>
    <row r="546" spans="46:52" x14ac:dyDescent="0.35">
      <c r="AT546" s="33"/>
      <c r="AW546" s="33"/>
      <c r="AZ546" s="33"/>
    </row>
    <row r="547" spans="46:52" x14ac:dyDescent="0.35">
      <c r="AT547" s="33"/>
      <c r="AW547" s="33"/>
      <c r="AZ547" s="33"/>
    </row>
    <row r="548" spans="46:52" x14ac:dyDescent="0.35">
      <c r="AT548" s="33"/>
      <c r="AW548" s="33"/>
      <c r="AZ548" s="33"/>
    </row>
    <row r="549" spans="46:52" x14ac:dyDescent="0.35">
      <c r="AT549" s="33"/>
      <c r="AW549" s="33"/>
      <c r="AZ549" s="33"/>
    </row>
    <row r="550" spans="46:52" x14ac:dyDescent="0.35">
      <c r="AT550" s="33"/>
      <c r="AW550" s="33"/>
      <c r="AZ550" s="33"/>
    </row>
    <row r="551" spans="46:52" x14ac:dyDescent="0.35">
      <c r="AT551" s="33"/>
      <c r="AW551" s="33"/>
      <c r="AZ551" s="33"/>
    </row>
    <row r="552" spans="46:52" x14ac:dyDescent="0.35">
      <c r="AT552" s="33"/>
      <c r="AW552" s="33"/>
      <c r="AZ552" s="33"/>
    </row>
    <row r="553" spans="46:52" x14ac:dyDescent="0.35">
      <c r="AT553" s="33"/>
      <c r="AW553" s="33"/>
      <c r="AZ553" s="33"/>
    </row>
    <row r="554" spans="46:52" x14ac:dyDescent="0.35">
      <c r="AT554" s="33"/>
      <c r="AW554" s="33"/>
      <c r="AZ554" s="33"/>
    </row>
    <row r="555" spans="46:52" x14ac:dyDescent="0.35">
      <c r="AT555" s="33"/>
      <c r="AW555" s="33"/>
      <c r="AZ555" s="33"/>
    </row>
    <row r="556" spans="46:52" x14ac:dyDescent="0.35">
      <c r="AT556" s="33"/>
      <c r="AW556" s="33"/>
      <c r="AZ556" s="33"/>
    </row>
    <row r="557" spans="46:52" x14ac:dyDescent="0.35">
      <c r="AT557" s="33"/>
      <c r="AW557" s="33"/>
      <c r="AZ557" s="33"/>
    </row>
    <row r="558" spans="46:52" x14ac:dyDescent="0.35">
      <c r="AT558" s="33"/>
      <c r="AW558" s="33"/>
      <c r="AZ558" s="33"/>
    </row>
    <row r="559" spans="46:52" x14ac:dyDescent="0.35">
      <c r="AT559" s="33"/>
      <c r="AW559" s="33"/>
      <c r="AZ55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993C5-6C2C-4937-A32C-6C1F046B76BC}">
  <dimension ref="A1:AZ55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P3" sqref="P3"/>
    </sheetView>
  </sheetViews>
  <sheetFormatPr defaultRowHeight="14.5" x14ac:dyDescent="0.35"/>
  <cols>
    <col min="13" max="13" width="9" bestFit="1" customWidth="1"/>
    <col min="15" max="15" width="12" bestFit="1" customWidth="1"/>
    <col min="16" max="16" width="11.453125" customWidth="1"/>
  </cols>
  <sheetData>
    <row r="1" spans="1:52" x14ac:dyDescent="0.35">
      <c r="B1" t="s">
        <v>562</v>
      </c>
      <c r="I1" t="s">
        <v>563</v>
      </c>
      <c r="J1" t="s">
        <v>564</v>
      </c>
      <c r="K1" t="s">
        <v>565</v>
      </c>
      <c r="L1" t="s">
        <v>323</v>
      </c>
      <c r="M1" t="s">
        <v>566</v>
      </c>
      <c r="O1" t="s">
        <v>567</v>
      </c>
      <c r="P1" t="s">
        <v>725</v>
      </c>
    </row>
    <row r="2" spans="1:52" x14ac:dyDescent="0.35">
      <c r="B2" t="s">
        <v>27</v>
      </c>
      <c r="C2" t="s">
        <v>28</v>
      </c>
      <c r="D2" t="s">
        <v>29</v>
      </c>
      <c r="E2" t="s">
        <v>30</v>
      </c>
      <c r="F2" t="s">
        <v>31</v>
      </c>
      <c r="I2" s="11">
        <f>regressionssens!$AD2</f>
        <v>0.1126093839088998</v>
      </c>
      <c r="J2" s="11">
        <f>regressionssens!$AD3</f>
        <v>0.18356924537526911</v>
      </c>
      <c r="K2" s="11">
        <f>regressionssens!$AD4</f>
        <v>0.11889441917325808</v>
      </c>
      <c r="L2" s="11">
        <f>regressionssens!$AD8</f>
        <v>0.10131151368891428</v>
      </c>
      <c r="M2" s="11">
        <f>regressionssens!$AD6</f>
        <v>0.2295117115762868</v>
      </c>
      <c r="N2" s="11">
        <f>regressionssens!$AD7</f>
        <v>0.21125062646662732</v>
      </c>
      <c r="O2" s="11">
        <f>regressionssens!$AD5</f>
        <v>6.0018144861791955E-5</v>
      </c>
      <c r="P2" s="33">
        <f>regressionssens!$AD9</f>
        <v>4.2793081665882762E-2</v>
      </c>
      <c r="Q2" s="56"/>
      <c r="R2" s="56"/>
      <c r="S2" s="56"/>
      <c r="T2" s="56"/>
      <c r="U2" s="56"/>
      <c r="V2" s="56"/>
      <c r="W2" s="56"/>
      <c r="X2" s="56"/>
      <c r="Y2" s="52"/>
      <c r="Z2" s="52"/>
      <c r="AA2" s="52"/>
      <c r="AB2" s="57"/>
      <c r="AC2" s="57"/>
      <c r="AD2" s="57"/>
      <c r="AE2" s="54"/>
      <c r="AF2" s="54"/>
      <c r="AG2" s="54"/>
      <c r="AH2" s="54"/>
      <c r="AI2" s="54"/>
      <c r="AJ2" s="54"/>
      <c r="AK2" s="54"/>
      <c r="AL2" s="54"/>
      <c r="AM2" s="54"/>
    </row>
    <row r="3" spans="1:52" x14ac:dyDescent="0.35">
      <c r="A3">
        <v>-2</v>
      </c>
      <c r="B3">
        <f>SUMPRODUCT(I$2:P$2,I3:P3)</f>
        <v>6.9791588203775651E-2</v>
      </c>
      <c r="C3">
        <f>regressionssens!$AR$1*$A3</f>
        <v>-1.5729612425117492</v>
      </c>
      <c r="D3">
        <f>regressionssens!$AO$1*$A3</f>
        <v>-2.6527693625991557</v>
      </c>
      <c r="E3">
        <f>B3+2*C3</f>
        <v>-3.0761308968197225</v>
      </c>
      <c r="F3">
        <f>B3-2*D3</f>
        <v>5.3753303134020873</v>
      </c>
      <c r="G3" s="5">
        <f>B3-regressions!AA$7</f>
        <v>-3.6514970022611792</v>
      </c>
      <c r="H3" s="5">
        <f>B3+regressions!AA$7</f>
        <v>3.7910801786687309</v>
      </c>
      <c r="I3">
        <f>IF($A3&lt;=regressionssens!$L$2,$A3*regressionssens!$L$1,regressionssens!$L$1*regressionssens!$L$2+regressionssens!$L$3*($A3-regressionssens!$L$2))</f>
        <v>2.0006971676418188</v>
      </c>
      <c r="J3">
        <f>regressionssens!$J$1*A3+regressionssens!$J$2*A3^2</f>
        <v>0.68801183007304623</v>
      </c>
      <c r="K3">
        <f>regressionssens!$V$1*A3</f>
        <v>2.0006971828623175</v>
      </c>
      <c r="L3">
        <f>regressionssens!$N$1*A3^2</f>
        <v>-0.88230913304385283</v>
      </c>
      <c r="M3" s="20">
        <f>regressionssens!$R$1*A3^2+regressionssens!$R$2*A3^6</f>
        <v>-1.1236348044803206</v>
      </c>
      <c r="N3">
        <f>regressionssens!$P$1*A3^2+regressionssens!$P$2*A3^7</f>
        <v>-1.0159168718577249</v>
      </c>
      <c r="O3">
        <f>regressionssens!$T$2+regressionssens!$T$1*EXP(A3)</f>
        <v>7.5926975174927967E-3</v>
      </c>
      <c r="P3" s="20">
        <f>(1-EXP(-2*regressionssens!X$1*graphsens!A3))/2/EXP(-regressionssens!X$1*A3)</f>
        <v>0.98644009876906646</v>
      </c>
    </row>
    <row r="4" spans="1:52" x14ac:dyDescent="0.35">
      <c r="A4">
        <f>0.1+A3</f>
        <v>-1.9</v>
      </c>
      <c r="B4">
        <f t="shared" ref="B4:B67" si="0">SUMPRODUCT(I$2:P$2,I4:P4)</f>
        <v>9.6115396068170364E-2</v>
      </c>
      <c r="C4">
        <f>regressionssens!$AR$1*$A4</f>
        <v>-1.4943131803861616</v>
      </c>
      <c r="D4">
        <f>regressionssens!$AO$1*$A4</f>
        <v>-2.5201308944691978</v>
      </c>
      <c r="E4">
        <f>B4+2*C4</f>
        <v>-2.8925109647041527</v>
      </c>
      <c r="F4">
        <f>B4-2*D4</f>
        <v>5.136377185006566</v>
      </c>
      <c r="G4" s="5">
        <f>B4-regressions!AA$7</f>
        <v>-3.6251731943967846</v>
      </c>
      <c r="H4" s="5">
        <f>B4+regressions!AA$7</f>
        <v>3.8174039865331255</v>
      </c>
      <c r="I4">
        <f>IF($A4&lt;=regressionssens!$L$2,$A4*regressionssens!$L$1,regressionssens!$L$1*regressionssens!$L$2+regressionssens!$L$3*($A4-regressionssens!$L$2))</f>
        <v>1.9006623092597277</v>
      </c>
      <c r="J4">
        <f>regressionssens!$J$1*A4+regressionssens!$J$2*A4^2</f>
        <v>0.67367816206092002</v>
      </c>
      <c r="K4">
        <f>regressionssens!$V$1*A4</f>
        <v>1.9006623237192015</v>
      </c>
      <c r="L4">
        <f>regressionssens!$N$1*A4^2</f>
        <v>-0.79628399257207716</v>
      </c>
      <c r="M4" s="20">
        <f>regressionssens!$R$1*A4^2+regressionssens!$R$2*A4^6</f>
        <v>-1.0145876751421239</v>
      </c>
      <c r="N4">
        <f>regressionssens!$P$1*A4^2+regressionssens!$P$2*A4^7</f>
        <v>-0.91673933554665854</v>
      </c>
      <c r="O4">
        <f>regressionssens!$T$2+regressionssens!$T$1*EXP(A4)</f>
        <v>7.4677133326272018E-3</v>
      </c>
      <c r="P4" s="20">
        <f>(1-EXP(-2*regressionssens!X$1*graphsens!A4))/2/EXP(-regressionssens!X$1*A4)</f>
        <v>0.92613219765115595</v>
      </c>
      <c r="AT4" s="33"/>
      <c r="AW4" s="33"/>
      <c r="AZ4" s="33"/>
    </row>
    <row r="5" spans="1:52" x14ac:dyDescent="0.35">
      <c r="A5">
        <f>0.1+A4</f>
        <v>-1.7999999999999998</v>
      </c>
      <c r="B5">
        <f t="shared" si="0"/>
        <v>0.11934647669363603</v>
      </c>
      <c r="C5">
        <f>regressionssens!$AR$1*$A5</f>
        <v>-1.4156651182605742</v>
      </c>
      <c r="D5">
        <f>regressionssens!$AO$1*$A5</f>
        <v>-2.3874924263392399</v>
      </c>
      <c r="E5">
        <f>B5+2*C5</f>
        <v>-2.7119837598275125</v>
      </c>
      <c r="F5">
        <f>B5-2*D5</f>
        <v>4.8943313293721156</v>
      </c>
      <c r="G5" s="5">
        <f>B5-regressions!AA$7</f>
        <v>-3.6019421137713192</v>
      </c>
      <c r="H5" s="5">
        <f>B5+regressions!AA$7</f>
        <v>3.8406350671585909</v>
      </c>
      <c r="I5">
        <f>IF($A5&lt;=regressionssens!$L$2,$A5*regressionssens!$L$1,regressionssens!$L$1*regressionssens!$L$2+regressionssens!$L$3*($A5-regressionssens!$L$2))</f>
        <v>1.8006274508776368</v>
      </c>
      <c r="J5">
        <f>regressionssens!$J$1*A5+regressionssens!$J$2*A5^2</f>
        <v>0.65723218631284341</v>
      </c>
      <c r="K5">
        <f>regressionssens!$V$1*A5</f>
        <v>1.8006274645760856</v>
      </c>
      <c r="L5">
        <f>regressionssens!$N$1*A5^2</f>
        <v>-0.71467039776552066</v>
      </c>
      <c r="M5" s="20">
        <f>regressionssens!$R$1*A5^2+regressionssens!$R$2*A5^6</f>
        <v>-0.91098825456351995</v>
      </c>
      <c r="N5">
        <f>regressionssens!$P$1*A5^2+regressionssens!$P$2*A5^7</f>
        <v>-0.8226885368043394</v>
      </c>
      <c r="O5">
        <f>regressionssens!$T$2+regressionssens!$T$1*EXP(A5)</f>
        <v>7.3295844462943549E-3</v>
      </c>
      <c r="P5" s="20">
        <f>(1-EXP(-2*regressionssens!X$1*graphsens!A5))/2/EXP(-regressionssens!X$1*A5)</f>
        <v>0.86758411699746063</v>
      </c>
      <c r="AT5" s="33"/>
      <c r="AW5" s="33"/>
      <c r="AZ5" s="33"/>
    </row>
    <row r="6" spans="1:52" x14ac:dyDescent="0.35">
      <c r="A6">
        <f>0.1+A5</f>
        <v>-1.6999999999999997</v>
      </c>
      <c r="B6">
        <f t="shared" si="0"/>
        <v>0.13947430419623399</v>
      </c>
      <c r="C6">
        <f>regressionssens!$AR$1*$A6</f>
        <v>-1.3370170561349866</v>
      </c>
      <c r="D6">
        <f>regressionssens!$AO$1*$A6</f>
        <v>-2.2548539582092819</v>
      </c>
      <c r="E6">
        <f>B6+2*C6</f>
        <v>-2.5345598080737393</v>
      </c>
      <c r="F6">
        <f>B6-2*D6</f>
        <v>4.6491822206147981</v>
      </c>
      <c r="G6" s="5">
        <f>B6-regressions!AA$7</f>
        <v>-3.5818142862687212</v>
      </c>
      <c r="H6" s="5">
        <f>B6+regressions!AA$7</f>
        <v>3.8607628946611889</v>
      </c>
      <c r="I6">
        <f>IF($A6&lt;=regressionssens!$L$2,$A6*regressionssens!$L$1,regressionssens!$L$1*regressionssens!$L$2+regressionssens!$L$3*($A6-regressionssens!$L$2))</f>
        <v>1.7005925924955456</v>
      </c>
      <c r="J6">
        <f>regressionssens!$J$1*A6+regressionssens!$J$2*A6^2</f>
        <v>0.63867390282881686</v>
      </c>
      <c r="K6">
        <f>regressionssens!$V$1*A6</f>
        <v>1.7005926054329696</v>
      </c>
      <c r="L6">
        <f>regressionssens!$N$1*A6^2</f>
        <v>-0.63746834862418356</v>
      </c>
      <c r="M6" s="20">
        <f>regressionssens!$R$1*A6^2+regressionssens!$R$2*A6^6</f>
        <v>-0.81287259436205672</v>
      </c>
      <c r="N6">
        <f>regressionssens!$P$1*A6^2+regressionssens!$P$2*A6^7</f>
        <v>-0.7337525973901593</v>
      </c>
      <c r="O6">
        <f>regressionssens!$T$2+regressionssens!$T$1*EXP(A6)</f>
        <v>7.1769284181731159E-3</v>
      </c>
      <c r="P6" s="20">
        <f>(1-EXP(-2*regressionssens!X$1*graphsens!A6))/2/EXP(-regressionssens!X$1*A6)</f>
        <v>0.81068460475267345</v>
      </c>
      <c r="AT6" s="33"/>
      <c r="AW6" s="33"/>
      <c r="AZ6" s="33"/>
    </row>
    <row r="7" spans="1:52" x14ac:dyDescent="0.35">
      <c r="A7">
        <f>0.1+A6</f>
        <v>-1.5999999999999996</v>
      </c>
      <c r="B7">
        <f t="shared" si="0"/>
        <v>0.15648925639729475</v>
      </c>
      <c r="C7">
        <f>regressionssens!$AR$1*$A7</f>
        <v>-1.2583689940093992</v>
      </c>
      <c r="D7">
        <f>regressionssens!$AO$1*$A7</f>
        <v>-2.122215490079324</v>
      </c>
      <c r="E7">
        <f>B7+2*C7</f>
        <v>-2.3602487316215037</v>
      </c>
      <c r="F7">
        <f>B7-2*D7</f>
        <v>4.400920236555943</v>
      </c>
      <c r="G7" s="5">
        <f>B7-regressions!AA$7</f>
        <v>-3.5647993340676605</v>
      </c>
      <c r="H7" s="5">
        <f>B7+regressions!AA$7</f>
        <v>3.8777778468622497</v>
      </c>
      <c r="I7">
        <f>IF($A7&lt;=regressionssens!$L$2,$A7*regressionssens!$L$1,regressionssens!$L$1*regressionssens!$L$2+regressionssens!$L$3*($A7-regressionssens!$L$2))</f>
        <v>1.6005577341134547</v>
      </c>
      <c r="J7">
        <f>regressionssens!$J$1*A7+regressionssens!$J$2*A7^2</f>
        <v>0.61800331160884026</v>
      </c>
      <c r="K7">
        <f>regressionssens!$V$1*A7</f>
        <v>1.6005577462898537</v>
      </c>
      <c r="L7">
        <f>regressionssens!$N$1*A7^2</f>
        <v>-0.56467784514806552</v>
      </c>
      <c r="M7" s="20">
        <f>regressionssens!$R$1*A7^2+regressionssens!$R$2*A7^6</f>
        <v>-0.72027121810802353</v>
      </c>
      <c r="N7">
        <f>regressionssens!$P$1*A7^2+regressionssens!$P$2*A7^7</f>
        <v>-0.64992200161461722</v>
      </c>
      <c r="O7">
        <f>regressionssens!$T$2+regressionssens!$T$1*EXP(A7)</f>
        <v>7.0082174154245842E-3</v>
      </c>
      <c r="P7" s="20">
        <f>(1-EXP(-2*regressionssens!X$1*graphsens!A7))/2/EXP(-regressionssens!X$1*A7)</f>
        <v>0.75532554144280784</v>
      </c>
      <c r="AT7" s="33"/>
      <c r="AW7" s="33"/>
      <c r="AZ7" s="33"/>
    </row>
    <row r="8" spans="1:52" x14ac:dyDescent="0.35">
      <c r="A8">
        <f>0.1+A7</f>
        <v>-1.4999999999999996</v>
      </c>
      <c r="B8">
        <f t="shared" si="0"/>
        <v>0.17038254760458976</v>
      </c>
      <c r="C8">
        <f>regressionssens!$AR$1*$A8</f>
        <v>-1.1797209318838116</v>
      </c>
      <c r="D8">
        <f>regressionssens!$AO$1*$A8</f>
        <v>-1.9895770219493663</v>
      </c>
      <c r="E8">
        <f t="shared" ref="E8:E71" si="1">B8+2*C8</f>
        <v>-2.1890593161630334</v>
      </c>
      <c r="F8">
        <f t="shared" ref="F8:F71" si="2">B8-2*D8</f>
        <v>4.1495365915033222</v>
      </c>
      <c r="G8" s="5">
        <f>B8-regressions!AA$7</f>
        <v>-3.5509060428603654</v>
      </c>
      <c r="H8" s="5">
        <f>B8+regressions!AA$7</f>
        <v>3.8916711380695448</v>
      </c>
      <c r="I8">
        <f>IF($A8&lt;=regressionssens!$L$2,$A8*regressionssens!$L$1,regressionssens!$L$1*regressionssens!$L$2+regressionssens!$L$3*($A8-regressionssens!$L$2))</f>
        <v>1.5005228757313636</v>
      </c>
      <c r="J8">
        <f>regressionssens!$J$1*A8+regressionssens!$J$2*A8^2</f>
        <v>0.59522041265291348</v>
      </c>
      <c r="K8">
        <f>regressionssens!$V$1*A8</f>
        <v>1.5005228871467375</v>
      </c>
      <c r="L8">
        <f>regressionssens!$N$1*A8^2</f>
        <v>-0.49629888733716693</v>
      </c>
      <c r="M8" s="20">
        <f>regressionssens!$R$1*A8^2+regressionssens!$R$2*A8^6</f>
        <v>-0.63320971787631519</v>
      </c>
      <c r="N8">
        <f>regressionssens!$P$1*A8^2+regressionssens!$P$2*A8^7</f>
        <v>-0.57118922479282142</v>
      </c>
      <c r="O8">
        <f>regressionssens!$T$2+regressionssens!$T$1*EXP(A8)</f>
        <v>6.8217629216275263E-3</v>
      </c>
      <c r="P8" s="20">
        <f>(1-EXP(-2*regressionssens!X$1*graphsens!A8))/2/EXP(-regressionssens!X$1*A8)</f>
        <v>0.70140173472843337</v>
      </c>
      <c r="AT8" s="33"/>
      <c r="AW8" s="33"/>
      <c r="AZ8" s="33"/>
    </row>
    <row r="9" spans="1:52" x14ac:dyDescent="0.35">
      <c r="A9">
        <f t="shared" ref="A9:A72" si="3">0.1+A8</f>
        <v>-1.3999999999999995</v>
      </c>
      <c r="B9">
        <f t="shared" si="0"/>
        <v>0.18114616075309187</v>
      </c>
      <c r="C9">
        <f>regressionssens!$AR$1*$A9</f>
        <v>-1.1010728697582239</v>
      </c>
      <c r="D9">
        <f>regressionssens!$AO$1*$A9</f>
        <v>-1.8569385538194083</v>
      </c>
      <c r="E9">
        <f t="shared" si="1"/>
        <v>-2.0209995787633561</v>
      </c>
      <c r="F9">
        <f t="shared" si="2"/>
        <v>3.8950232683919084</v>
      </c>
      <c r="G9" s="5">
        <f>B9-regressions!AA$7</f>
        <v>-3.5401424297118633</v>
      </c>
      <c r="H9" s="5">
        <f>B9+regressions!AA$7</f>
        <v>3.9024347512180468</v>
      </c>
      <c r="I9">
        <f>IF($A9&lt;=regressionssens!$L$2,$A9*regressionssens!$L$1,regressionssens!$L$1*regressionssens!$L$2+regressionssens!$L$3*($A9-regressionssens!$L$2))</f>
        <v>1.4004880173492726</v>
      </c>
      <c r="J9">
        <f>regressionssens!$J$1*A9+regressionssens!$J$2*A9^2</f>
        <v>0.57032520596103664</v>
      </c>
      <c r="K9">
        <f>regressionssens!$V$1*A9</f>
        <v>1.4004880280036216</v>
      </c>
      <c r="L9">
        <f>regressionssens!$N$1*A9^2</f>
        <v>-0.43233147519148751</v>
      </c>
      <c r="M9" s="20">
        <f>regressionssens!$R$1*A9^2+regressionssens!$R$2*A9^6</f>
        <v>-0.55170931670961498</v>
      </c>
      <c r="N9">
        <f>regressionssens!$P$1*A9^2+regressionssens!$P$2*A9^7</f>
        <v>-0.49754840289118796</v>
      </c>
      <c r="O9">
        <f>regressionssens!$T$2+regressionssens!$T$1*EXP(A9)</f>
        <v>6.6156988375385018E-3</v>
      </c>
      <c r="P9" s="20">
        <f>(1-EXP(-2*regressionssens!X$1*graphsens!A9))/2/EXP(-regressionssens!X$1*A9)</f>
        <v>0.64881071952000313</v>
      </c>
      <c r="AT9" s="33"/>
      <c r="AW9" s="33"/>
      <c r="AZ9" s="33"/>
    </row>
    <row r="10" spans="1:52" x14ac:dyDescent="0.35">
      <c r="A10">
        <f t="shared" si="3"/>
        <v>-1.2999999999999994</v>
      </c>
      <c r="B10">
        <f t="shared" si="0"/>
        <v>0.18877277940093964</v>
      </c>
      <c r="C10">
        <f>regressionssens!$AR$1*$A10</f>
        <v>-1.0224248076326365</v>
      </c>
      <c r="D10">
        <f>regressionssens!$AO$1*$A10</f>
        <v>-1.7243000856894504</v>
      </c>
      <c r="E10">
        <f t="shared" si="1"/>
        <v>-1.8560768358643334</v>
      </c>
      <c r="F10">
        <f t="shared" si="2"/>
        <v>3.6373729507798402</v>
      </c>
      <c r="G10" s="5">
        <f>B10-regressions!AA$7</f>
        <v>-3.5325158110640156</v>
      </c>
      <c r="H10" s="5">
        <f>B10+regressions!AA$7</f>
        <v>3.9100613698658946</v>
      </c>
      <c r="I10">
        <f>IF($A10&lt;=regressionssens!$L$2,$A10*regressionssens!$L$1,regressionssens!$L$1*regressionssens!$L$2+regressionssens!$L$3*($A10-regressionssens!$L$2))</f>
        <v>1.3004531589671815</v>
      </c>
      <c r="J10">
        <f>regressionssens!$J$1*A10+regressionssens!$J$2*A10^2</f>
        <v>0.54331769153320963</v>
      </c>
      <c r="K10">
        <f>regressionssens!$V$1*A10</f>
        <v>1.3004531688605057</v>
      </c>
      <c r="L10">
        <f>regressionssens!$N$1*A10^2</f>
        <v>-0.3727756087110275</v>
      </c>
      <c r="M10" s="20">
        <f>regressionssens!$R$1*A10^2+regressionssens!$R$2*A10^6</f>
        <v>-0.47578739699290257</v>
      </c>
      <c r="N10">
        <f>regressionssens!$P$1*A10^2+regressionssens!$P$2*A10^7</f>
        <v>-0.42899504094421087</v>
      </c>
      <c r="O10">
        <f>regressionssens!$T$2+regressionssens!$T$1*EXP(A10)</f>
        <v>6.3879628045434176E-3</v>
      </c>
      <c r="P10" s="20">
        <f>(1-EXP(-2*regressionssens!X$1*graphsens!A10))/2/EXP(-regressionssens!X$1*A10)</f>
        <v>0.59745256327545493</v>
      </c>
      <c r="AT10" s="33"/>
      <c r="AW10" s="33"/>
      <c r="AZ10" s="33"/>
    </row>
    <row r="11" spans="1:52" x14ac:dyDescent="0.35">
      <c r="A11">
        <f t="shared" si="3"/>
        <v>-1.1999999999999993</v>
      </c>
      <c r="B11">
        <f t="shared" si="0"/>
        <v>0.19325572007665653</v>
      </c>
      <c r="C11">
        <f>regressionssens!$AR$1*$A11</f>
        <v>-0.94377674550704893</v>
      </c>
      <c r="D11">
        <f>regressionssens!$AO$1*$A11</f>
        <v>-1.5916616175594924</v>
      </c>
      <c r="E11">
        <f t="shared" si="1"/>
        <v>-1.6942977709374414</v>
      </c>
      <c r="F11">
        <f t="shared" si="2"/>
        <v>3.3765789551956416</v>
      </c>
      <c r="G11" s="5">
        <f>B11-regressions!AA$7</f>
        <v>-3.5280328703882984</v>
      </c>
      <c r="H11" s="5">
        <f>B11+regressions!AA$7</f>
        <v>3.9145443105416118</v>
      </c>
      <c r="I11">
        <f>IF($A11&lt;=regressionssens!$L$2,$A11*regressionssens!$L$1,regressionssens!$L$1*regressionssens!$L$2+regressionssens!$L$3*($A11-regressionssens!$L$2))</f>
        <v>1.2004183005850906</v>
      </c>
      <c r="J11">
        <f>regressionssens!$J$1*A11+regressionssens!$J$2*A11^2</f>
        <v>0.51419786936943246</v>
      </c>
      <c r="K11">
        <f>regressionssens!$V$1*A11</f>
        <v>1.2004183097173897</v>
      </c>
      <c r="L11">
        <f>regressionssens!$N$1*A11^2</f>
        <v>-0.31763128789578665</v>
      </c>
      <c r="M11" s="20">
        <f>regressionssens!$R$1*A11^2+regressionssens!$R$2*A11^6</f>
        <v>-0.40545799473928168</v>
      </c>
      <c r="N11">
        <f>regressionssens!$P$1*A11^2+regressionssens!$P$2*A11^7</f>
        <v>-0.36552575781817143</v>
      </c>
      <c r="O11">
        <f>regressionssens!$T$2+regressionssens!$T$1*EXP(A11)</f>
        <v>6.1362755638793339E-3</v>
      </c>
      <c r="P11" s="20">
        <f>(1-EXP(-2*regressionssens!X$1*graphsens!A11))/2/EXP(-regressionssens!X$1*A11)</f>
        <v>0.54722967611011197</v>
      </c>
      <c r="AT11" s="33"/>
      <c r="AW11" s="33"/>
      <c r="AZ11" s="33"/>
    </row>
    <row r="12" spans="1:52" x14ac:dyDescent="0.35">
      <c r="A12">
        <f t="shared" si="3"/>
        <v>-1.0999999999999992</v>
      </c>
      <c r="B12">
        <f t="shared" si="0"/>
        <v>0.19458886547405588</v>
      </c>
      <c r="C12">
        <f>regressionssens!$AR$1*$A12</f>
        <v>-0.86512868338146143</v>
      </c>
      <c r="D12">
        <f>regressionssens!$AO$1*$A12</f>
        <v>-1.4590231494295347</v>
      </c>
      <c r="E12">
        <f t="shared" si="1"/>
        <v>-1.5356685012888669</v>
      </c>
      <c r="F12">
        <f t="shared" si="2"/>
        <v>3.1126351643331254</v>
      </c>
      <c r="G12" s="5">
        <f>B12-regressions!AA$7</f>
        <v>-3.5266997249908991</v>
      </c>
      <c r="H12" s="5">
        <f>B12+regressions!AA$7</f>
        <v>3.915877455939011</v>
      </c>
      <c r="I12">
        <f>IF($A12&lt;=regressionssens!$L$2,$A12*regressionssens!$L$1,regressionssens!$L$1*regressionssens!$L$2+regressionssens!$L$3*($A12-regressionssens!$L$2))</f>
        <v>1.1003834422029994</v>
      </c>
      <c r="J12">
        <f>regressionssens!$J$1*A12+regressionssens!$J$2*A12^2</f>
        <v>0.48296573946970539</v>
      </c>
      <c r="K12">
        <f>regressionssens!$V$1*A12</f>
        <v>1.1003834505742738</v>
      </c>
      <c r="L12">
        <f>regressionssens!$N$1*A12^2</f>
        <v>-0.26689851274576509</v>
      </c>
      <c r="M12" s="20">
        <f>regressionssens!$R$1*A12^2+regressionssens!$R$2*A12^6</f>
        <v>-0.34073225978713179</v>
      </c>
      <c r="N12">
        <f>regressionssens!$P$1*A12^2+regressionssens!$P$2*A12^7</f>
        <v>-0.30713806489865791</v>
      </c>
      <c r="O12">
        <f>regressionssens!$T$2+regressionssens!$T$1*EXP(A12)</f>
        <v>5.858118145046682E-3</v>
      </c>
      <c r="P12" s="20">
        <f>(1-EXP(-2*regressionssens!X$1*graphsens!A12))/2/EXP(-regressionssens!X$1*A12)</f>
        <v>0.49804662535806632</v>
      </c>
      <c r="AT12" s="33"/>
      <c r="AW12" s="33"/>
      <c r="AZ12" s="33"/>
    </row>
    <row r="13" spans="1:52" x14ac:dyDescent="0.35">
      <c r="A13">
        <f t="shared" si="3"/>
        <v>-0.99999999999999922</v>
      </c>
      <c r="B13">
        <f t="shared" si="0"/>
        <v>0.19276659899162818</v>
      </c>
      <c r="C13">
        <f>regressionssens!$AR$1*$A13</f>
        <v>-0.78648062125587392</v>
      </c>
      <c r="D13">
        <f>regressionssens!$AO$1*$A13</f>
        <v>-1.3263846812995768</v>
      </c>
      <c r="E13">
        <f t="shared" si="1"/>
        <v>-1.3801946435201198</v>
      </c>
      <c r="F13">
        <f t="shared" si="2"/>
        <v>2.8455359615907816</v>
      </c>
      <c r="G13" s="5">
        <f>B13-regressions!AA$7</f>
        <v>-3.528521991473327</v>
      </c>
      <c r="H13" s="5">
        <f>B13+regressions!AA$7</f>
        <v>3.9140551894565832</v>
      </c>
      <c r="I13">
        <f>IF($A13&lt;=regressionssens!$L$2,$A13*regressionssens!$L$1,regressionssens!$L$1*regressionssens!$L$2+regressionssens!$L$3*($A13-regressionssens!$L$2))</f>
        <v>1.0003485838209085</v>
      </c>
      <c r="J13">
        <f>regressionssens!$J$1*A13+regressionssens!$J$2*A13^2</f>
        <v>0.44962130183402804</v>
      </c>
      <c r="K13">
        <f>regressionssens!$V$1*A13</f>
        <v>1.0003485914311578</v>
      </c>
      <c r="L13">
        <f>regressionssens!$N$1*A13^2</f>
        <v>-0.22057728326096288</v>
      </c>
      <c r="M13" s="20">
        <f>regressionssens!$R$1*A13^2+regressionssens!$R$2*A13^6</f>
        <v>-0.28161888190858114</v>
      </c>
      <c r="N13">
        <f>regressionssens!$P$1*A13^2+regressionssens!$P$2*A13^7</f>
        <v>-0.25383017627876786</v>
      </c>
      <c r="O13">
        <f>regressionssens!$T$2+regressionssens!$T$1*EXP(A13)</f>
        <v>5.5507066551058488E-3</v>
      </c>
      <c r="P13" s="20">
        <f>(1-EXP(-2*regressionssens!X$1*graphsens!A13))/2/EXP(-regressionssens!X$1*A13)</f>
        <v>0.44980995423266723</v>
      </c>
      <c r="Q13" s="48"/>
      <c r="AO13" s="1"/>
      <c r="AP13" s="1"/>
      <c r="AT13" s="33"/>
      <c r="AW13" s="33"/>
      <c r="AZ13" s="33"/>
    </row>
    <row r="14" spans="1:52" x14ac:dyDescent="0.35">
      <c r="A14">
        <f t="shared" si="3"/>
        <v>-0.89999999999999925</v>
      </c>
      <c r="B14">
        <f t="shared" si="0"/>
        <v>0.18778374111353546</v>
      </c>
      <c r="C14">
        <f>regressionssens!$AR$1*$A14</f>
        <v>-0.70783255913028653</v>
      </c>
      <c r="D14">
        <f>regressionssens!$AO$1*$A14</f>
        <v>-1.193746213169619</v>
      </c>
      <c r="E14">
        <f t="shared" si="1"/>
        <v>-1.2278813771470376</v>
      </c>
      <c r="F14">
        <f t="shared" si="2"/>
        <v>2.5752761674527735</v>
      </c>
      <c r="G14" s="5">
        <f>B14-regressions!AA$7</f>
        <v>-3.5335048493514196</v>
      </c>
      <c r="H14" s="5">
        <f>B14+regressions!AA$7</f>
        <v>3.9090723315784905</v>
      </c>
      <c r="I14">
        <f>IF($A14&lt;=regressionssens!$L$2,$A14*regressionssens!$L$1,regressionssens!$L$1*regressionssens!$L$2+regressionssens!$L$3*($A14-regressionssens!$L$2))</f>
        <v>0.90031372543881771</v>
      </c>
      <c r="J14">
        <f>regressionssens!$J$1*A14+regressionssens!$J$2*A14^2</f>
        <v>0.41416455646240069</v>
      </c>
      <c r="K14">
        <f>regressionssens!$V$1*A14</f>
        <v>0.90031373228804212</v>
      </c>
      <c r="L14">
        <f>regressionssens!$N$1*A14^2</f>
        <v>-0.17866759944137989</v>
      </c>
      <c r="M14" s="20">
        <f>regressionssens!$R$1*A14^2+regressionssens!$R$2*A14^6</f>
        <v>-0.22812448282930164</v>
      </c>
      <c r="N14">
        <f>regressionssens!$P$1*A14^2+regressionssens!$P$2*A14^7</f>
        <v>-0.20560084802486114</v>
      </c>
      <c r="O14">
        <f>regressionssens!$T$2+regressionssens!$T$1*EXP(A14)</f>
        <v>5.2109644165409339E-3</v>
      </c>
      <c r="P14" s="20">
        <f>(1-EXP(-2*regressionssens!X$1*graphsens!A14))/2/EXP(-regressionssens!X$1*A14)</f>
        <v>0.40242800424154473</v>
      </c>
      <c r="AT14" s="33"/>
      <c r="AW14" s="33"/>
      <c r="AZ14" s="33"/>
    </row>
    <row r="15" spans="1:52" x14ac:dyDescent="0.35">
      <c r="A15">
        <f t="shared" si="3"/>
        <v>-0.79999999999999927</v>
      </c>
      <c r="B15">
        <f t="shared" si="0"/>
        <v>0.17963548812964691</v>
      </c>
      <c r="C15">
        <f>regressionssens!$AR$1*$A15</f>
        <v>-0.62918449700469914</v>
      </c>
      <c r="D15">
        <f>regressionssens!$AO$1*$A15</f>
        <v>-1.0611077450396613</v>
      </c>
      <c r="E15">
        <f t="shared" si="1"/>
        <v>-1.0787335058797514</v>
      </c>
      <c r="F15">
        <f t="shared" si="2"/>
        <v>2.3018509782089698</v>
      </c>
      <c r="G15" s="5">
        <f>B15-regressions!AA$7</f>
        <v>-3.5416531023353084</v>
      </c>
      <c r="H15" s="5">
        <f>B15+regressions!AA$7</f>
        <v>3.9009240785946018</v>
      </c>
      <c r="I15">
        <f>IF($A15&lt;=regressionssens!$L$2,$A15*regressionssens!$L$1,regressionssens!$L$1*regressionssens!$L$2+regressionssens!$L$3*($A15-regressionssens!$L$2))</f>
        <v>0.80027886705672679</v>
      </c>
      <c r="J15">
        <f>regressionssens!$J$1*A15+regressionssens!$J$2*A15^2</f>
        <v>0.37659550335482322</v>
      </c>
      <c r="K15">
        <f>regressionssens!$V$1*A15</f>
        <v>0.80027887314492629</v>
      </c>
      <c r="L15">
        <f>regressionssens!$N$1*A15^2</f>
        <v>-0.14116946128701618</v>
      </c>
      <c r="M15" s="20">
        <f>regressionssens!$R$1*A15^2+regressionssens!$R$2*A15^6</f>
        <v>-0.18025397415962657</v>
      </c>
      <c r="N15">
        <f>regressionssens!$P$1*A15^2+regressionssens!$P$2*A15^7</f>
        <v>-0.16244924409673692</v>
      </c>
      <c r="O15">
        <f>regressionssens!$T$2+regressionssens!$T$1*EXP(A15)</f>
        <v>4.8354911748370727E-3</v>
      </c>
      <c r="P15" s="20">
        <f>(1-EXP(-2*regressionssens!X$1*graphsens!A15))/2/EXP(-regressionssens!X$1*A15)</f>
        <v>0.35581074101871912</v>
      </c>
      <c r="AT15" s="33"/>
      <c r="AW15" s="33"/>
      <c r="AZ15" s="33"/>
    </row>
    <row r="16" spans="1:52" x14ac:dyDescent="0.35">
      <c r="A16">
        <f t="shared" si="3"/>
        <v>-0.69999999999999929</v>
      </c>
      <c r="B16">
        <f t="shared" si="0"/>
        <v>0.16831735369231812</v>
      </c>
      <c r="C16">
        <f>regressionssens!$AR$1*$A16</f>
        <v>-0.55053643487911164</v>
      </c>
      <c r="D16">
        <f>regressionssens!$AO$1*$A16</f>
        <v>-0.9284692769097036</v>
      </c>
      <c r="E16">
        <f t="shared" si="1"/>
        <v>-0.93275551606590512</v>
      </c>
      <c r="F16">
        <f t="shared" si="2"/>
        <v>2.0252559075117254</v>
      </c>
      <c r="G16" s="5">
        <f>B16-regressions!AA$7</f>
        <v>-3.5529712367726369</v>
      </c>
      <c r="H16" s="5">
        <f>B16+regressions!AA$7</f>
        <v>3.8896059441572732</v>
      </c>
      <c r="I16">
        <f>IF($A16&lt;=regressionssens!$L$2,$A16*regressionssens!$L$1,regressionssens!$L$1*regressionssens!$L$2+regressionssens!$L$3*($A16-regressionssens!$L$2))</f>
        <v>0.70024400867463588</v>
      </c>
      <c r="J16">
        <f>regressionssens!$J$1*A16+regressionssens!$J$2*A16^2</f>
        <v>0.33691414251129564</v>
      </c>
      <c r="K16">
        <f>regressionssens!$V$1*A16</f>
        <v>0.70024401400181036</v>
      </c>
      <c r="L16">
        <f>regressionssens!$N$1*A16^2</f>
        <v>-0.10808286879787175</v>
      </c>
      <c r="M16" s="20">
        <f>regressionssens!$R$1*A16^2+regressionssens!$R$2*A16^6</f>
        <v>-0.13801088123698999</v>
      </c>
      <c r="N16">
        <f>regressionssens!$P$1*A16^2+regressionssens!$P$2*A16^7</f>
        <v>-0.12437482649910322</v>
      </c>
      <c r="O16">
        <f>regressionssens!$T$2+regressionssens!$T$1*EXP(A16)</f>
        <v>4.4205290675903763E-3</v>
      </c>
      <c r="P16" s="20">
        <f>(1-EXP(-2*regressionssens!X$1*graphsens!A16))/2/EXP(-regressionssens!X$1*A16)</f>
        <v>0.30986958324284858</v>
      </c>
      <c r="AT16" s="33"/>
      <c r="AW16" s="33"/>
      <c r="AZ16" s="33"/>
    </row>
    <row r="17" spans="1:52" x14ac:dyDescent="0.35">
      <c r="A17">
        <f t="shared" si="3"/>
        <v>-0.59999999999999931</v>
      </c>
      <c r="B17">
        <f t="shared" si="0"/>
        <v>0.15382511370787402</v>
      </c>
      <c r="C17">
        <f>regressionssens!$AR$1*$A17</f>
        <v>-0.47188837275352419</v>
      </c>
      <c r="D17">
        <f>regressionssens!$AO$1*$A17</f>
        <v>-0.79583080877974577</v>
      </c>
      <c r="E17">
        <f t="shared" si="1"/>
        <v>-0.78995163179917438</v>
      </c>
      <c r="F17">
        <f t="shared" si="2"/>
        <v>1.7454867312673656</v>
      </c>
      <c r="G17" s="5">
        <f>B17-regressions!AA$7</f>
        <v>-3.567463476757081</v>
      </c>
      <c r="H17" s="5">
        <f>B17+regressions!AA$7</f>
        <v>3.8751137041728292</v>
      </c>
      <c r="I17">
        <f>IF($A17&lt;=regressionssens!$L$2,$A17*regressionssens!$L$1,regressionssens!$L$1*regressionssens!$L$2+regressionssens!$L$3*($A17-regressionssens!$L$2))</f>
        <v>0.60020915029254496</v>
      </c>
      <c r="J17">
        <f>regressionssens!$J$1*A17+regressionssens!$J$2*A17^2</f>
        <v>0.29512047393181795</v>
      </c>
      <c r="K17">
        <f>regressionssens!$V$1*A17</f>
        <v>0.60020915485869453</v>
      </c>
      <c r="L17">
        <f>regressionssens!$N$1*A17^2</f>
        <v>-7.9407821973946566E-2</v>
      </c>
      <c r="M17" s="20">
        <f>regressionssens!$R$1*A17^2+regressionssens!$R$2*A17^6</f>
        <v>-0.10139763287968863</v>
      </c>
      <c r="N17">
        <f>regressionssens!$P$1*A17^2+regressionssens!$P$2*A17^7</f>
        <v>-9.1377267241210966E-2</v>
      </c>
      <c r="O17">
        <f>regressionssens!$T$2+regressionssens!$T$1*EXP(A17)</f>
        <v>3.9619250145579389E-3</v>
      </c>
      <c r="P17" s="20">
        <f>(1-EXP(-2*regressionssens!X$1*graphsens!A17))/2/EXP(-regressionssens!X$1*A17)</f>
        <v>0.26451723431652641</v>
      </c>
      <c r="AT17" s="33"/>
      <c r="AW17" s="33"/>
      <c r="AZ17" s="33"/>
    </row>
    <row r="18" spans="1:52" x14ac:dyDescent="0.35">
      <c r="A18">
        <f t="shared" si="3"/>
        <v>-0.49999999999999933</v>
      </c>
      <c r="B18">
        <f t="shared" si="0"/>
        <v>0.13615475506096947</v>
      </c>
      <c r="C18">
        <f>regressionssens!$AR$1*$A18</f>
        <v>-0.3932403106279368</v>
      </c>
      <c r="D18">
        <f>regressionssens!$AO$1*$A18</f>
        <v>-0.66319234064978805</v>
      </c>
      <c r="E18">
        <f t="shared" si="1"/>
        <v>-0.65032586619490407</v>
      </c>
      <c r="F18">
        <f t="shared" si="2"/>
        <v>1.4625394363605455</v>
      </c>
      <c r="G18" s="5">
        <f>B18-regressions!AA$7</f>
        <v>-3.5851338354039854</v>
      </c>
      <c r="H18" s="5">
        <f>B18+regressions!AA$7</f>
        <v>3.8574433455259247</v>
      </c>
      <c r="I18">
        <f>IF($A18&lt;=regressionssens!$L$2,$A18*regressionssens!$L$1,regressionssens!$L$1*regressionssens!$L$2+regressionssens!$L$3*($A18-regressionssens!$L$2))</f>
        <v>0.50017429191045404</v>
      </c>
      <c r="J18">
        <f>regressionssens!$J$1*A18+regressionssens!$J$2*A18^2</f>
        <v>0.25121449761639014</v>
      </c>
      <c r="K18">
        <f>regressionssens!$V$1*A18</f>
        <v>0.5001742957155787</v>
      </c>
      <c r="L18">
        <f>regressionssens!$N$1*A18^2</f>
        <v>-5.5144320815240656E-2</v>
      </c>
      <c r="M18" s="20">
        <f>regressionssens!$R$1*A18^2+regressionssens!$R$2*A18^6</f>
        <v>-7.0415817051965549E-2</v>
      </c>
      <c r="N18">
        <f>regressionssens!$P$1*A18^2+regressionssens!$P$2*A18^7</f>
        <v>-6.3456379681522651E-2</v>
      </c>
      <c r="O18">
        <f>regressionssens!$T$2+regressionssens!$T$1*EXP(A18)</f>
        <v>3.4550891522348668E-3</v>
      </c>
      <c r="P18" s="20">
        <f>(1-EXP(-2*regressionssens!X$1*graphsens!A18))/2/EXP(-regressionssens!X$1*A18)</f>
        <v>0.21966751648678895</v>
      </c>
      <c r="AT18" s="33"/>
      <c r="AW18" s="33"/>
      <c r="AZ18" s="33"/>
    </row>
    <row r="19" spans="1:52" x14ac:dyDescent="0.35">
      <c r="A19">
        <f t="shared" si="3"/>
        <v>-0.39999999999999936</v>
      </c>
      <c r="B19">
        <f t="shared" si="0"/>
        <v>0.11530242867020483</v>
      </c>
      <c r="C19">
        <f>regressionssens!$AR$1*$A19</f>
        <v>-0.31459224850234935</v>
      </c>
      <c r="D19">
        <f>regressionssens!$AO$1*$A19</f>
        <v>-0.53055387251983033</v>
      </c>
      <c r="E19">
        <f t="shared" si="1"/>
        <v>-0.5138820683344939</v>
      </c>
      <c r="F19">
        <f t="shared" si="2"/>
        <v>1.1764101737098656</v>
      </c>
      <c r="G19" s="5">
        <f>B19-regressions!AA$7</f>
        <v>-3.6059861617947502</v>
      </c>
      <c r="H19" s="5">
        <f>B19+regressions!AA$7</f>
        <v>3.83659101913516</v>
      </c>
      <c r="I19">
        <f>IF($A19&lt;=regressionssens!$L$2,$A19*regressionssens!$L$1,regressionssens!$L$1*regressionssens!$L$2+regressionssens!$L$3*($A19-regressionssens!$L$2))</f>
        <v>0.40013943352836312</v>
      </c>
      <c r="J19">
        <f>regressionssens!$J$1*A19+regressionssens!$J$2*A19^2</f>
        <v>0.20519621356501228</v>
      </c>
      <c r="K19">
        <f>regressionssens!$V$1*A19</f>
        <v>0.40013943657246287</v>
      </c>
      <c r="L19">
        <f>regressionssens!$N$1*A19^2</f>
        <v>-3.5292365321753998E-2</v>
      </c>
      <c r="M19" s="20">
        <f>regressionssens!$R$1*A19^2+regressionssens!$R$2*A19^6</f>
        <v>-4.5066402440416278E-2</v>
      </c>
      <c r="N19">
        <f>regressionssens!$P$1*A19^2+regressionssens!$P$2*A19^7</f>
        <v>-4.0612066834286385E-2</v>
      </c>
      <c r="O19">
        <f>regressionssens!$T$2+regressionssens!$T$1*EXP(A19)</f>
        <v>2.8949488969576163E-3</v>
      </c>
      <c r="P19" s="20">
        <f>(1-EXP(-2*regressionssens!X$1*graphsens!A19))/2/EXP(-regressionssens!X$1*A19)</f>
        <v>0.17523520709163271</v>
      </c>
      <c r="AT19" s="33"/>
      <c r="AW19" s="33"/>
      <c r="AZ19" s="33"/>
    </row>
    <row r="20" spans="1:52" x14ac:dyDescent="0.35">
      <c r="A20">
        <f t="shared" si="3"/>
        <v>-0.29999999999999938</v>
      </c>
      <c r="B20">
        <f t="shared" si="0"/>
        <v>9.1264407373539261E-2</v>
      </c>
      <c r="C20">
        <f>regressionssens!$AR$1*$A20</f>
        <v>-0.2359441863767619</v>
      </c>
      <c r="D20">
        <f>regressionssens!$AO$1*$A20</f>
        <v>-0.39791540438987255</v>
      </c>
      <c r="E20">
        <f t="shared" si="1"/>
        <v>-0.38062396537998455</v>
      </c>
      <c r="F20">
        <f t="shared" si="2"/>
        <v>0.88709521615328435</v>
      </c>
      <c r="G20" s="5">
        <f>B20-regressions!AA$7</f>
        <v>-3.6300241830914159</v>
      </c>
      <c r="H20" s="5">
        <f>B20+regressions!AA$7</f>
        <v>3.8125529978384942</v>
      </c>
      <c r="I20">
        <f>IF($A20&lt;=regressionssens!$L$2,$A20*regressionssens!$L$1,regressionssens!$L$1*regressionssens!$L$2+regressionssens!$L$3*($A20-regressionssens!$L$2))</f>
        <v>0.3001045751462722</v>
      </c>
      <c r="J20">
        <f>regressionssens!$J$1*A20+regressionssens!$J$2*A20^2</f>
        <v>0.15706562177768429</v>
      </c>
      <c r="K20">
        <f>regressionssens!$V$1*A20</f>
        <v>0.30010457742934699</v>
      </c>
      <c r="L20">
        <f>regressionssens!$N$1*A20^2</f>
        <v>-1.9851955493486607E-2</v>
      </c>
      <c r="M20" s="20">
        <f>regressionssens!$R$1*A20^2+regressionssens!$R$2*A20^6</f>
        <v>-2.5349925941716926E-2</v>
      </c>
      <c r="N20">
        <f>regressionssens!$P$1*A20^2+regressionssens!$P$2*A20^7</f>
        <v>-2.2844284214886046E-2</v>
      </c>
      <c r="O20">
        <f>regressionssens!$T$2+regressionssens!$T$1*EXP(A20)</f>
        <v>2.2758981767817292E-3</v>
      </c>
      <c r="P20" s="20">
        <f>(1-EXP(-2*regressionssens!X$1*graphsens!A20))/2/EXP(-regressionssens!X$1*A20)</f>
        <v>0.13113587662137829</v>
      </c>
      <c r="AT20" s="33"/>
      <c r="AW20" s="33"/>
      <c r="AZ20" s="33"/>
    </row>
    <row r="21" spans="1:52" x14ac:dyDescent="0.35">
      <c r="A21">
        <f t="shared" si="3"/>
        <v>-0.19999999999999937</v>
      </c>
      <c r="B21">
        <f t="shared" si="0"/>
        <v>6.4037049142191549E-2</v>
      </c>
      <c r="C21">
        <f>regressionssens!$AR$1*$A21</f>
        <v>-0.15729612425117442</v>
      </c>
      <c r="D21">
        <f>regressionssens!$AO$1*$A21</f>
        <v>-0.26527693625991472</v>
      </c>
      <c r="E21">
        <f t="shared" si="1"/>
        <v>-0.2505551993601573</v>
      </c>
      <c r="F21">
        <f t="shared" si="2"/>
        <v>0.59459092166202099</v>
      </c>
      <c r="G21" s="5">
        <f>B21-regressions!AA$7</f>
        <v>-3.6572515413227635</v>
      </c>
      <c r="H21" s="5">
        <f>B21+regressions!AA$7</f>
        <v>3.7853256396071466</v>
      </c>
      <c r="I21">
        <f>IF($A21&lt;=regressionssens!$L$2,$A21*regressionssens!$L$1,regressionssens!$L$1*regressionssens!$L$2+regressionssens!$L$3*($A21-regressionssens!$L$2))</f>
        <v>0.20006971676418125</v>
      </c>
      <c r="J21">
        <f>regressionssens!$J$1*A21+regressionssens!$J$2*A21^2</f>
        <v>0.10682272225440617</v>
      </c>
      <c r="K21">
        <f>regressionssens!$V$1*A21</f>
        <v>0.20006971828623113</v>
      </c>
      <c r="L21">
        <f>regressionssens!$N$1*A21^2</f>
        <v>-8.8230913304384734E-3</v>
      </c>
      <c r="M21" s="20">
        <f>regressionssens!$R$1*A21^2+regressionssens!$R$2*A21^6</f>
        <v>-1.1266646061674501E-2</v>
      </c>
      <c r="N21">
        <f>regressionssens!$P$1*A21^2+regressionssens!$P$2*A21^7</f>
        <v>-1.015301480083799E-2</v>
      </c>
      <c r="O21">
        <f>regressionssens!$T$2+regressionssens!$T$1*EXP(A21)</f>
        <v>1.5917413240295521E-3</v>
      </c>
      <c r="P21" s="20">
        <f>(1-EXP(-2*regressionssens!X$1*graphsens!A21))/2/EXP(-regressionssens!X$1*A21)</f>
        <v>8.7285728287169281E-2</v>
      </c>
      <c r="AT21" s="33"/>
      <c r="AW21" s="33"/>
      <c r="AZ21" s="33"/>
    </row>
    <row r="22" spans="1:52" x14ac:dyDescent="0.35">
      <c r="A22">
        <f t="shared" si="3"/>
        <v>-9.9999999999999367E-2</v>
      </c>
      <c r="B22">
        <f t="shared" si="0"/>
        <v>3.3616766121836471E-2</v>
      </c>
      <c r="C22">
        <f>regressionssens!$AR$1*$A22</f>
        <v>-7.8648062125586962E-2</v>
      </c>
      <c r="D22">
        <f>regressionssens!$AO$1*$A22</f>
        <v>-0.13263846812995694</v>
      </c>
      <c r="E22">
        <f t="shared" si="1"/>
        <v>-0.12367935812933745</v>
      </c>
      <c r="F22">
        <f t="shared" si="2"/>
        <v>0.29889370238175034</v>
      </c>
      <c r="G22" s="5">
        <f>B22-regressions!AA$7</f>
        <v>-3.6876718243431186</v>
      </c>
      <c r="H22" s="5">
        <f>B22+regressions!AA$7</f>
        <v>3.7549053565867916</v>
      </c>
      <c r="I22">
        <f>IF($A22&lt;=regressionssens!$L$2,$A22*regressionssens!$L$1,regressionssens!$L$1*regressionssens!$L$2+regressionssens!$L$3*($A22-regressionssens!$L$2))</f>
        <v>0.10003485838209031</v>
      </c>
      <c r="J22">
        <f>regressionssens!$J$1*A22+regressionssens!$J$2*A22^2</f>
        <v>5.4467514995177962E-2</v>
      </c>
      <c r="K22">
        <f>regressionssens!$V$1*A22</f>
        <v>0.10003485914311525</v>
      </c>
      <c r="L22">
        <f>regressionssens!$N$1*A22^2</f>
        <v>-2.205772832609604E-3</v>
      </c>
      <c r="M22" s="20">
        <f>regressionssens!$R$1*A22^2+regressionssens!$R$2*A22^6</f>
        <v>-2.8166622255993957E-3</v>
      </c>
      <c r="N22">
        <f>regressionssens!$P$1*A22^2+regressionssens!$P$2*A22^7</f>
        <v>-2.5382536853053124E-3</v>
      </c>
      <c r="O22">
        <f>regressionssens!$T$2+regressionssens!$T$1*EXP(A22)</f>
        <v>8.3563106696568287E-4</v>
      </c>
      <c r="P22" s="20">
        <f>(1-EXP(-2*regressionssens!X$1*graphsens!A22))/2/EXP(-regressionssens!X$1*A22)</f>
        <v>4.3601438791755889E-2</v>
      </c>
      <c r="AT22" s="33"/>
      <c r="AW22" s="33"/>
      <c r="AZ22" s="33"/>
    </row>
    <row r="23" spans="1:52" x14ac:dyDescent="0.35">
      <c r="A23">
        <v>0</v>
      </c>
      <c r="B23">
        <f t="shared" si="0"/>
        <v>0</v>
      </c>
      <c r="C23">
        <f>regressionssens!$AR$1*$A23</f>
        <v>0</v>
      </c>
      <c r="D23">
        <f>regressionssens!$AO$1*$A23</f>
        <v>0</v>
      </c>
      <c r="E23">
        <f t="shared" si="1"/>
        <v>0</v>
      </c>
      <c r="F23">
        <f t="shared" si="2"/>
        <v>0</v>
      </c>
      <c r="G23" s="5">
        <f>B23-regressions!AA$7</f>
        <v>-3.7212885904649551</v>
      </c>
      <c r="H23" s="5">
        <f>B23+regressions!AA$7</f>
        <v>3.7212885904649551</v>
      </c>
      <c r="I23">
        <f>IF($A23&lt;=regressionssens!$L$2,$A23*regressionssens!$L$1,regressionssens!$L$1*regressionssens!$L$2+regressionssens!$L$3*($A23-regressionssens!$L$2))</f>
        <v>0</v>
      </c>
      <c r="J23">
        <f>regressionssens!$J$1*A23+regressionssens!$J$2*A23^2</f>
        <v>0</v>
      </c>
      <c r="K23">
        <f>regressionssens!$V$1*A23</f>
        <v>0</v>
      </c>
      <c r="L23">
        <f>regressionssens!$N$1*A23^2</f>
        <v>0</v>
      </c>
      <c r="M23" s="20">
        <f>regressionssens!$R$1*A23^2+regressionssens!$R$2*A23^6</f>
        <v>0</v>
      </c>
      <c r="N23">
        <f>regressionssens!$P$1*A23^2+regressionssens!$P$2*A23^7</f>
        <v>0</v>
      </c>
      <c r="O23">
        <f>regressionssens!$T$2+regressionssens!$T$1*EXP(A23)</f>
        <v>0</v>
      </c>
      <c r="P23" s="20">
        <f>(1-EXP(-2*regressionssens!X$1*graphsens!A23))/2/EXP(-regressionssens!X$1*A23)</f>
        <v>0</v>
      </c>
      <c r="AT23" s="33"/>
      <c r="AW23" s="33"/>
      <c r="AZ23" s="33"/>
    </row>
    <row r="24" spans="1:52" x14ac:dyDescent="0.35">
      <c r="A24">
        <f t="shared" si="3"/>
        <v>0.1</v>
      </c>
      <c r="B24">
        <f t="shared" si="0"/>
        <v>-3.6816795801376374E-2</v>
      </c>
      <c r="C24">
        <f>regressionssens!$AR$1*$A24</f>
        <v>7.8648062125587462E-2</v>
      </c>
      <c r="D24">
        <f>regressionssens!$AO$1*$A24</f>
        <v>0.1326384681299578</v>
      </c>
      <c r="E24">
        <f t="shared" si="1"/>
        <v>0.12047932844979856</v>
      </c>
      <c r="F24">
        <f t="shared" si="2"/>
        <v>-0.30209373206129198</v>
      </c>
      <c r="G24" s="5">
        <f>B24-regressions!AA$7</f>
        <v>-3.7581053862663314</v>
      </c>
      <c r="H24" s="5">
        <f>B24+regressions!AA$7</f>
        <v>3.6844717946635788</v>
      </c>
      <c r="I24">
        <f>IF($A24&lt;=regressionssens!$L$2,$A24*regressionssens!$L$1,regressionssens!$L$1*regressionssens!$L$2+regressionssens!$L$3*($A24-regressionssens!$L$2))</f>
        <v>-0.10003485838209095</v>
      </c>
      <c r="J24">
        <f>regressionssens!$J$1*A24+regressionssens!$J$2*A24^2</f>
        <v>-5.6579822731128403E-2</v>
      </c>
      <c r="K24">
        <f>regressionssens!$V$1*A24</f>
        <v>-0.10003485914311588</v>
      </c>
      <c r="L24">
        <f>regressionssens!$N$1*A24^2</f>
        <v>-2.2057728326096327E-3</v>
      </c>
      <c r="M24" s="20">
        <f>regressionssens!$R$1*A24^2+regressionssens!$R$2*A24^6</f>
        <v>-2.8166622255994317E-3</v>
      </c>
      <c r="N24">
        <f>regressionssens!$P$1*A24^2+regressionssens!$P$2*A24^7</f>
        <v>-2.5382536843437864E-3</v>
      </c>
      <c r="O24">
        <f>regressionssens!$T$2+regressionssens!$T$1*EXP(A24)</f>
        <v>-9.2351515345100339E-4</v>
      </c>
      <c r="P24" s="20">
        <f>(1-EXP(-2*regressionssens!X$1*graphsens!A24))/2/EXP(-regressionssens!X$1*A24)</f>
        <v>-4.3601438791756153E-2</v>
      </c>
      <c r="AT24" s="33"/>
      <c r="AW24" s="33"/>
      <c r="AZ24" s="33"/>
    </row>
    <row r="25" spans="1:52" x14ac:dyDescent="0.35">
      <c r="A25">
        <f t="shared" si="3"/>
        <v>0.2</v>
      </c>
      <c r="B25">
        <f t="shared" si="0"/>
        <v>-7.6837166609182425E-2</v>
      </c>
      <c r="C25">
        <f>regressionssens!$AR$1*$A25</f>
        <v>0.15729612425117492</v>
      </c>
      <c r="D25">
        <f>regressionssens!$AO$1*$A25</f>
        <v>0.26527693625991561</v>
      </c>
      <c r="E25">
        <f t="shared" si="1"/>
        <v>0.23775508189316741</v>
      </c>
      <c r="F25">
        <f t="shared" si="2"/>
        <v>-0.6073910391290136</v>
      </c>
      <c r="G25" s="5">
        <f>B25-regressions!AA$7</f>
        <v>-3.7981257570741374</v>
      </c>
      <c r="H25" s="5">
        <f>B25+regressions!AA$7</f>
        <v>3.6444514238557728</v>
      </c>
      <c r="I25">
        <f>IF($A25&lt;=regressionssens!$L$2,$A25*regressionssens!$L$1,regressionssens!$L$1*regressionssens!$L$2+regressionssens!$L$3*($A25-regressionssens!$L$2))</f>
        <v>-0.20006971676418189</v>
      </c>
      <c r="J25">
        <f>regressionssens!$J$1*A25+regressionssens!$J$2*A25^2</f>
        <v>-0.11527195319820692</v>
      </c>
      <c r="K25">
        <f>regressionssens!$V$1*A25</f>
        <v>-0.20006971828623177</v>
      </c>
      <c r="L25">
        <f>regressionssens!$N$1*A25^2</f>
        <v>-8.8230913304385306E-3</v>
      </c>
      <c r="M25" s="20">
        <f>regressionssens!$R$1*A25^2+regressionssens!$R$2*A25^6</f>
        <v>-1.1266646061674572E-2</v>
      </c>
      <c r="N25">
        <f>regressionssens!$P$1*A25^2+regressionssens!$P$2*A25^7</f>
        <v>-1.0153014677758471E-2</v>
      </c>
      <c r="O25">
        <f>regressionssens!$T$2+regressionssens!$T$1*EXP(A25)</f>
        <v>-1.9441572434472209E-3</v>
      </c>
      <c r="P25" s="20">
        <f>(1-EXP(-2*regressionssens!X$1*graphsens!A25))/2/EXP(-regressionssens!X$1*A25)</f>
        <v>-8.7285728287169545E-2</v>
      </c>
      <c r="AT25" s="33"/>
      <c r="AW25" s="33"/>
      <c r="AZ25" s="33"/>
    </row>
    <row r="26" spans="1:52" x14ac:dyDescent="0.35">
      <c r="A26">
        <f t="shared" si="3"/>
        <v>0.30000000000000004</v>
      </c>
      <c r="B26">
        <f t="shared" si="0"/>
        <v>-0.12006465915916567</v>
      </c>
      <c r="C26">
        <f>regressionssens!$AR$1*$A26</f>
        <v>0.2359441863767624</v>
      </c>
      <c r="D26">
        <f>regressionssens!$AO$1*$A26</f>
        <v>0.39791540438987344</v>
      </c>
      <c r="E26">
        <f t="shared" si="1"/>
        <v>0.35182371359435916</v>
      </c>
      <c r="F26">
        <f t="shared" si="2"/>
        <v>-0.91589546793891252</v>
      </c>
      <c r="G26" s="5">
        <f>B26-regressions!AA$7</f>
        <v>-3.8413532496241207</v>
      </c>
      <c r="H26" s="5">
        <f>B26+regressions!AA$7</f>
        <v>3.6012239313057894</v>
      </c>
      <c r="I26">
        <f>IF($A26&lt;=regressionssens!$L$2,$A26*regressionssens!$L$1,regressionssens!$L$1*regressionssens!$L$2+regressionssens!$L$3*($A26-regressionssens!$L$2))</f>
        <v>-0.30010457514627287</v>
      </c>
      <c r="J26">
        <f>regressionssens!$J$1*A26+regressionssens!$J$2*A26^2</f>
        <v>-0.17607639140123554</v>
      </c>
      <c r="K26">
        <f>regressionssens!$V$1*A26</f>
        <v>-0.30010457742934765</v>
      </c>
      <c r="L26">
        <f>regressionssens!$N$1*A26^2</f>
        <v>-1.9851955493486693E-2</v>
      </c>
      <c r="M26" s="20">
        <f>regressionssens!$R$1*A26^2+regressionssens!$R$2*A26^6</f>
        <v>-2.534992594171704E-2</v>
      </c>
      <c r="N26">
        <f>regressionssens!$P$1*A26^2+regressionssens!$P$2*A26^7</f>
        <v>-2.2844282111956039E-2</v>
      </c>
      <c r="O26">
        <f>regressionssens!$T$2+regressionssens!$T$1*EXP(A26)</f>
        <v>-3.0721411990749896E-3</v>
      </c>
      <c r="P26" s="20">
        <f>(1-EXP(-2*regressionssens!X$1*graphsens!A26))/2/EXP(-regressionssens!X$1*A26)</f>
        <v>-0.13113587662137863</v>
      </c>
      <c r="AT26" s="33"/>
      <c r="AW26" s="33"/>
      <c r="AZ26" s="33"/>
    </row>
    <row r="27" spans="1:52" x14ac:dyDescent="0.35">
      <c r="A27">
        <f t="shared" si="3"/>
        <v>0.4</v>
      </c>
      <c r="B27">
        <f t="shared" si="0"/>
        <v>-0.16650281593370378</v>
      </c>
      <c r="C27">
        <f>regressionssens!$AR$1*$A27</f>
        <v>0.31459224850234985</v>
      </c>
      <c r="D27">
        <f>regressionssens!$AO$1*$A27</f>
        <v>0.53055387251983122</v>
      </c>
      <c r="E27">
        <f t="shared" si="1"/>
        <v>0.46268168107099594</v>
      </c>
      <c r="F27">
        <f t="shared" si="2"/>
        <v>-1.2276105609733663</v>
      </c>
      <c r="G27" s="5">
        <f>B27-regressions!AA$7</f>
        <v>-3.8877914063986587</v>
      </c>
      <c r="H27" s="5">
        <f>B27+regressions!AA$7</f>
        <v>3.5547857745312514</v>
      </c>
      <c r="I27">
        <f>IF($A27&lt;=regressionssens!$L$2,$A27*regressionssens!$L$1,regressionssens!$L$1*regressionssens!$L$2+regressionssens!$L$3*($A27-regressionssens!$L$2))</f>
        <v>-0.40013943352836379</v>
      </c>
      <c r="J27">
        <f>regressionssens!$J$1*A27+regressionssens!$J$2*A27^2</f>
        <v>-0.23899313734021424</v>
      </c>
      <c r="K27">
        <f>regressionssens!$V$1*A27</f>
        <v>-0.40013943657246354</v>
      </c>
      <c r="L27">
        <f>regressionssens!$N$1*A27^2</f>
        <v>-3.5292365321754122E-2</v>
      </c>
      <c r="M27" s="20">
        <f>regressionssens!$R$1*A27^2+regressionssens!$R$2*A27^6</f>
        <v>-4.5066402440416431E-2</v>
      </c>
      <c r="N27">
        <f>regressionssens!$P$1*A27^2+regressionssens!$P$2*A27^7</f>
        <v>-4.0612051080099576E-2</v>
      </c>
      <c r="O27">
        <f>regressionssens!$T$2+regressionssens!$T$1*EXP(A27)</f>
        <v>-4.3187562628907317E-3</v>
      </c>
      <c r="P27" s="20">
        <f>(1-EXP(-2*regressionssens!X$1*graphsens!A27))/2/EXP(-regressionssens!X$1*A27)</f>
        <v>-0.17523520709163301</v>
      </c>
      <c r="AT27" s="33"/>
      <c r="AW27" s="33"/>
      <c r="AZ27" s="33"/>
    </row>
    <row r="28" spans="1:52" x14ac:dyDescent="0.35">
      <c r="A28">
        <f t="shared" si="3"/>
        <v>0.5</v>
      </c>
      <c r="B28">
        <f t="shared" si="0"/>
        <v>-0.21615516067832413</v>
      </c>
      <c r="C28">
        <f>regressionssens!$AR$1*$A28</f>
        <v>0.3932403106279373</v>
      </c>
      <c r="D28">
        <f>regressionssens!$AO$1*$A28</f>
        <v>0.66319234064978894</v>
      </c>
      <c r="E28">
        <f t="shared" si="1"/>
        <v>0.57032546057755051</v>
      </c>
      <c r="F28">
        <f t="shared" si="2"/>
        <v>-1.5425398419779019</v>
      </c>
      <c r="G28" s="5">
        <f>B28-regressions!AA$7</f>
        <v>-3.9374437511432792</v>
      </c>
      <c r="H28" s="5">
        <f>B28+regressions!AA$7</f>
        <v>3.505133429786631</v>
      </c>
      <c r="I28">
        <f>IF($A28&lt;=regressionssens!$L$2,$A28*regressionssens!$L$1,regressionssens!$L$1*regressionssens!$L$2+regressionssens!$L$3*($A28-regressionssens!$L$2))</f>
        <v>-0.5001742919104547</v>
      </c>
      <c r="J28">
        <f>regressionssens!$J$1*A28+regressionssens!$J$2*A28^2</f>
        <v>-0.30402219101514305</v>
      </c>
      <c r="K28">
        <f>regressionssens!$V$1*A28</f>
        <v>-0.50017429571557936</v>
      </c>
      <c r="L28">
        <f>regressionssens!$N$1*A28^2</f>
        <v>-5.5144320815240802E-2</v>
      </c>
      <c r="M28" s="20">
        <f>regressionssens!$R$1*A28^2+regressionssens!$R$2*A28^6</f>
        <v>-7.0415817051965743E-2</v>
      </c>
      <c r="N28">
        <f>regressionssens!$P$1*A28^2+regressionssens!$P$2*A28^7</f>
        <v>-6.345630455970544E-2</v>
      </c>
      <c r="O28">
        <f>regressionssens!$T$2+regressionssens!$T$1*EXP(A28)</f>
        <v>-5.6964789774549048E-3</v>
      </c>
      <c r="P28" s="20">
        <f>(1-EXP(-2*regressionssens!X$1*graphsens!A28))/2/EXP(-regressionssens!X$1*A28)</f>
        <v>-0.21966751648678923</v>
      </c>
      <c r="AT28" s="33"/>
      <c r="AW28" s="33"/>
      <c r="AZ28" s="33"/>
    </row>
    <row r="29" spans="1:52" x14ac:dyDescent="0.35">
      <c r="A29">
        <f t="shared" si="3"/>
        <v>0.6</v>
      </c>
      <c r="B29">
        <f t="shared" si="0"/>
        <v>-0.26902517459802416</v>
      </c>
      <c r="C29">
        <f>regressionssens!$AR$1*$A29</f>
        <v>0.47188837275352474</v>
      </c>
      <c r="D29">
        <f>regressionssens!$AO$1*$A29</f>
        <v>0.79583080877974666</v>
      </c>
      <c r="E29">
        <f t="shared" si="1"/>
        <v>0.67475157090902527</v>
      </c>
      <c r="F29">
        <f t="shared" si="2"/>
        <v>-1.8606867921575174</v>
      </c>
      <c r="G29" s="5">
        <f>B29-regressions!AA$7</f>
        <v>-3.9903137650629792</v>
      </c>
      <c r="H29" s="5">
        <f>B29+regressions!AA$7</f>
        <v>3.452263415866931</v>
      </c>
      <c r="I29">
        <f>IF($A29&lt;=regressionssens!$L$2,$A29*regressionssens!$L$1,regressionssens!$L$1*regressionssens!$L$2+regressionssens!$L$3*($A29-regressionssens!$L$2))</f>
        <v>-0.60020915029254562</v>
      </c>
      <c r="J29">
        <f>regressionssens!$J$1*A29+regressionssens!$J$2*A29^2</f>
        <v>-0.371163552426022</v>
      </c>
      <c r="K29">
        <f>regressionssens!$V$1*A29</f>
        <v>-0.60020915485869519</v>
      </c>
      <c r="L29">
        <f>regressionssens!$N$1*A29^2</f>
        <v>-7.9407821973946746E-2</v>
      </c>
      <c r="M29" s="20">
        <f>regressionssens!$R$1*A29^2+regressionssens!$R$2*A29^6</f>
        <v>-0.10139763287968886</v>
      </c>
      <c r="N29">
        <f>regressionssens!$P$1*A29^2+regressionssens!$P$2*A29^7</f>
        <v>-9.1376998066157511E-2</v>
      </c>
      <c r="O29">
        <f>regressionssens!$T$2+regressionssens!$T$1*EXP(A29)</f>
        <v>-7.2190980547634682E-3</v>
      </c>
      <c r="P29" s="20">
        <f>(1-EXP(-2*regressionssens!X$1*graphsens!A29))/2/EXP(-regressionssens!X$1*A29)</f>
        <v>-0.26451723431652668</v>
      </c>
      <c r="Q29" s="1"/>
      <c r="AE29" s="53"/>
      <c r="AO29" s="1"/>
      <c r="AP29" s="1"/>
      <c r="AT29" s="33"/>
      <c r="AW29" s="33"/>
      <c r="AZ29" s="33"/>
    </row>
    <row r="30" spans="1:52" x14ac:dyDescent="0.35">
      <c r="A30">
        <f t="shared" si="3"/>
        <v>0.7</v>
      </c>
      <c r="B30">
        <f t="shared" si="0"/>
        <v>-0.32511626273452893</v>
      </c>
      <c r="C30">
        <f>regressionssens!$AR$1*$A30</f>
        <v>0.55053643487911219</v>
      </c>
      <c r="D30">
        <f>regressionssens!$AO$1*$A30</f>
        <v>0.92846927690970449</v>
      </c>
      <c r="E30">
        <f t="shared" si="1"/>
        <v>0.7759566070236954</v>
      </c>
      <c r="F30">
        <f t="shared" si="2"/>
        <v>-2.1820548165539377</v>
      </c>
      <c r="G30" s="5">
        <f>B30-regressions!AA$7</f>
        <v>-4.0464048531994843</v>
      </c>
      <c r="H30" s="5">
        <f>B30+regressions!AA$7</f>
        <v>3.3961723277304263</v>
      </c>
      <c r="I30">
        <f>IF($A30&lt;=regressionssens!$L$2,$A30*regressionssens!$L$1,regressionssens!$L$1*regressionssens!$L$2+regressionssens!$L$3*($A30-regressionssens!$L$2))</f>
        <v>-0.70024400867463654</v>
      </c>
      <c r="J30">
        <f>regressionssens!$J$1*A30+regressionssens!$J$2*A30^2</f>
        <v>-0.44041722157285101</v>
      </c>
      <c r="K30">
        <f>regressionssens!$V$1*A30</f>
        <v>-0.70024401400181102</v>
      </c>
      <c r="L30">
        <f>regressionssens!$N$1*A30^2</f>
        <v>-0.10808286879787196</v>
      </c>
      <c r="M30" s="20">
        <f>regressionssens!$R$1*A30^2+regressionssens!$R$2*A30^6</f>
        <v>-0.13801088123699026</v>
      </c>
      <c r="N30">
        <f>regressionssens!$P$1*A30^2+regressionssens!$P$2*A30^7</f>
        <v>-0.12437403461370389</v>
      </c>
      <c r="O30">
        <f>regressionssens!$T$2+regressionssens!$T$1*EXP(A30)</f>
        <v>-8.9018523783120675E-3</v>
      </c>
      <c r="P30" s="20">
        <f>(1-EXP(-2*regressionssens!X$1*graphsens!A30))/2/EXP(-regressionssens!X$1*A30)</f>
        <v>-0.30986958324284891</v>
      </c>
      <c r="AE30" s="54"/>
      <c r="AT30" s="33"/>
      <c r="AW30" s="33"/>
      <c r="AZ30" s="33"/>
    </row>
    <row r="31" spans="1:52" x14ac:dyDescent="0.35">
      <c r="A31">
        <f t="shared" si="3"/>
        <v>0.79999999999999993</v>
      </c>
      <c r="B31">
        <f t="shared" si="0"/>
        <v>-0.38443171002572574</v>
      </c>
      <c r="C31">
        <f>regressionssens!$AR$1*$A31</f>
        <v>0.62918449700469958</v>
      </c>
      <c r="D31">
        <f>regressionssens!$AO$1*$A31</f>
        <v>1.0611077450396622</v>
      </c>
      <c r="E31">
        <f t="shared" si="1"/>
        <v>0.87393728398367343</v>
      </c>
      <c r="F31">
        <f t="shared" si="2"/>
        <v>-2.5066472001050499</v>
      </c>
      <c r="G31" s="5">
        <f>B31-regressions!AA$7</f>
        <v>-4.105720300490681</v>
      </c>
      <c r="H31" s="5">
        <f>B31+regressions!AA$7</f>
        <v>3.3368568804392291</v>
      </c>
      <c r="I31">
        <f>IF($A31&lt;=regressionssens!$L$2,$A31*regressionssens!$L$1,regressionssens!$L$1*regressionssens!$L$2+regressionssens!$L$3*($A31-regressionssens!$L$2))</f>
        <v>-0.80027886705672746</v>
      </c>
      <c r="J31">
        <f>regressionssens!$J$1*A31+regressionssens!$J$2*A31^2</f>
        <v>-0.51178319845563003</v>
      </c>
      <c r="K31">
        <f>regressionssens!$V$1*A31</f>
        <v>-0.80027887314492696</v>
      </c>
      <c r="L31">
        <f>regressionssens!$N$1*A31^2</f>
        <v>-0.14116946128701643</v>
      </c>
      <c r="M31" s="20">
        <f>regressionssens!$R$1*A31^2+regressionssens!$R$2*A31^6</f>
        <v>-0.18025397415962688</v>
      </c>
      <c r="N31">
        <f>regressionssens!$P$1*A31^2+regressionssens!$P$2*A31^7</f>
        <v>-0.16244722756080709</v>
      </c>
      <c r="O31">
        <f>regressionssens!$T$2+regressionssens!$T$1*EXP(A31)</f>
        <v>-1.0761583518964037E-2</v>
      </c>
      <c r="P31" s="20">
        <f>(1-EXP(-2*regressionssens!X$1*graphsens!A31))/2/EXP(-regressionssens!X$1*A31)</f>
        <v>-0.35581074101871951</v>
      </c>
      <c r="AE31" s="54"/>
      <c r="AT31" s="33"/>
      <c r="AW31" s="33"/>
      <c r="AZ31" s="33"/>
    </row>
    <row r="32" spans="1:52" x14ac:dyDescent="0.35">
      <c r="A32">
        <f t="shared" si="3"/>
        <v>0.89999999999999991</v>
      </c>
      <c r="B32">
        <f t="shared" si="0"/>
        <v>-0.44697462654864728</v>
      </c>
      <c r="C32">
        <f>regressionssens!$AR$1*$A32</f>
        <v>0.70783255913028709</v>
      </c>
      <c r="D32">
        <f>regressionssens!$AO$1*$A32</f>
        <v>1.1937462131696199</v>
      </c>
      <c r="E32">
        <f t="shared" si="1"/>
        <v>0.96869049171192689</v>
      </c>
      <c r="F32">
        <f t="shared" si="2"/>
        <v>-2.834467052887887</v>
      </c>
      <c r="G32" s="5">
        <f>B32-regressions!AA$7</f>
        <v>-4.1682632170136023</v>
      </c>
      <c r="H32" s="5">
        <f>B32+regressions!AA$7</f>
        <v>3.2743139639163079</v>
      </c>
      <c r="I32">
        <f>IF($A32&lt;=regressionssens!$L$2,$A32*regressionssens!$L$1,regressionssens!$L$1*regressionssens!$L$2+regressionssens!$L$3*($A32-regressionssens!$L$2))</f>
        <v>-0.90031372543881838</v>
      </c>
      <c r="J32">
        <f>regressionssens!$J$1*A32+regressionssens!$J$2*A32^2</f>
        <v>-0.58526148307435932</v>
      </c>
      <c r="K32">
        <f>regressionssens!$V$1*A32</f>
        <v>-0.90031373228804279</v>
      </c>
      <c r="L32">
        <f>regressionssens!$N$1*A32^2</f>
        <v>-0.17866759944138016</v>
      </c>
      <c r="M32" s="20">
        <f>regressionssens!$R$1*A32^2+regressionssens!$R$2*A32^6</f>
        <v>-0.22812448282930201</v>
      </c>
      <c r="N32">
        <f>regressionssens!$P$1*A32^2+regressionssens!$P$2*A32^7</f>
        <v>-0.20559624891671802</v>
      </c>
      <c r="O32">
        <f>regressionssens!$T$2+regressionssens!$T$1*EXP(A32)</f>
        <v>-1.2816904291052245E-2</v>
      </c>
      <c r="P32" s="20">
        <f>(1-EXP(-2*regressionssens!X$1*graphsens!A32))/2/EXP(-regressionssens!X$1*A32)</f>
        <v>-0.40242800424154507</v>
      </c>
      <c r="AE32" s="54"/>
      <c r="AT32" s="33"/>
      <c r="AW32" s="33"/>
      <c r="AZ32" s="33"/>
    </row>
    <row r="33" spans="1:52" x14ac:dyDescent="0.35">
      <c r="A33">
        <f t="shared" si="3"/>
        <v>0.99999999999999989</v>
      </c>
      <c r="B33">
        <f t="shared" si="0"/>
        <v>-0.5127478814475348</v>
      </c>
      <c r="C33">
        <f>regressionssens!$AR$1*$A33</f>
        <v>0.78648062125587448</v>
      </c>
      <c r="D33">
        <f>regressionssens!$AO$1*$A33</f>
        <v>1.3263846812995777</v>
      </c>
      <c r="E33">
        <f t="shared" si="1"/>
        <v>1.0602133610642142</v>
      </c>
      <c r="F33">
        <f t="shared" si="2"/>
        <v>-3.1655172440466899</v>
      </c>
      <c r="G33" s="5">
        <f>B33-regressions!AA$7</f>
        <v>-4.2340364719124901</v>
      </c>
      <c r="H33" s="5">
        <f>B33+regressions!AA$7</f>
        <v>3.2085407090174201</v>
      </c>
      <c r="I33">
        <f>IF($A33&lt;=regressionssens!$L$2,$A33*regressionssens!$L$1,regressionssens!$L$1*regressionssens!$L$2+regressionssens!$L$3*($A33-regressionssens!$L$2))</f>
        <v>-1.0003485838209092</v>
      </c>
      <c r="J33">
        <f>regressionssens!$J$1*A33+regressionssens!$J$2*A33^2</f>
        <v>-0.66085207542903857</v>
      </c>
      <c r="K33">
        <f>regressionssens!$V$1*A33</f>
        <v>-1.0003485914311585</v>
      </c>
      <c r="L33">
        <f>regressionssens!$N$1*A33^2</f>
        <v>-0.22057728326096315</v>
      </c>
      <c r="M33" s="20">
        <f>regressionssens!$R$1*A33^2+regressionssens!$R$2*A33^6</f>
        <v>-0.28161888190858153</v>
      </c>
      <c r="N33">
        <f>regressionssens!$P$1*A33^2+regressionssens!$P$2*A33^7</f>
        <v>-0.25382056068614472</v>
      </c>
      <c r="O33">
        <f>regressionssens!$T$2+regressionssens!$T$1*EXP(A33)</f>
        <v>-1.5088385035680923E-2</v>
      </c>
      <c r="P33" s="20">
        <f>(1-EXP(-2*regressionssens!X$1*graphsens!A33))/2/EXP(-regressionssens!X$1*A33)</f>
        <v>-0.44980995423266762</v>
      </c>
      <c r="Q33" s="55"/>
      <c r="AB33" s="57"/>
      <c r="AC33" s="5"/>
      <c r="AD33" s="5"/>
      <c r="AE33" s="53"/>
      <c r="AF33" s="54"/>
      <c r="AG33" s="58"/>
      <c r="AH33" s="58"/>
      <c r="AI33" s="58"/>
      <c r="AO33" s="1"/>
      <c r="AP33" s="1"/>
      <c r="AT33" s="33"/>
      <c r="AW33" s="33"/>
      <c r="AZ33" s="33"/>
    </row>
    <row r="34" spans="1:52" x14ac:dyDescent="0.35">
      <c r="A34">
        <f t="shared" si="3"/>
        <v>1.0999999999999999</v>
      </c>
      <c r="B34">
        <f t="shared" si="0"/>
        <v>-0.58175402504869123</v>
      </c>
      <c r="C34">
        <f>regressionssens!$AR$1*$A34</f>
        <v>0.86512868338146198</v>
      </c>
      <c r="D34">
        <f>regressionssens!$AO$1*$A34</f>
        <v>1.4590231494295356</v>
      </c>
      <c r="E34">
        <f t="shared" si="1"/>
        <v>1.1485033417142327</v>
      </c>
      <c r="F34">
        <f t="shared" si="2"/>
        <v>-3.4998003239077624</v>
      </c>
      <c r="G34" s="5">
        <f>B34-regressions!AA$7</f>
        <v>-4.3030426155136468</v>
      </c>
      <c r="H34" s="5">
        <f>B34+regressions!AA$7</f>
        <v>3.1395345654162639</v>
      </c>
      <c r="I34">
        <f>IF($A34&lt;=regressionssens!$L$2,$A34*regressionssens!$L$1,regressionssens!$L$1*regressionssens!$L$2+regressionssens!$L$3*($A34-regressionssens!$L$2))</f>
        <v>-1.1003834422030003</v>
      </c>
      <c r="J34">
        <f>regressionssens!$J$1*A34+regressionssens!$J$2*A34^2</f>
        <v>-0.73855497551966809</v>
      </c>
      <c r="K34">
        <f>regressionssens!$V$1*A34</f>
        <v>-1.1003834505742744</v>
      </c>
      <c r="L34">
        <f>regressionssens!$N$1*A34^2</f>
        <v>-0.26689851274576543</v>
      </c>
      <c r="M34" s="20">
        <f>regressionssens!$R$1*A34^2+regressionssens!$R$2*A34^6</f>
        <v>-0.34073225978713223</v>
      </c>
      <c r="N34">
        <f>regressionssens!$P$1*A34^2+regressionssens!$P$2*A34^7</f>
        <v>-0.30711932682888637</v>
      </c>
      <c r="O34">
        <f>regressionssens!$T$2+regressionssens!$T$1*EXP(A34)</f>
        <v>-1.7598759495613348E-2</v>
      </c>
      <c r="P34" s="20">
        <f>(1-EXP(-2*regressionssens!X$1*graphsens!A34))/2/EXP(-regressionssens!X$1*A34)</f>
        <v>-0.4980466253580666</v>
      </c>
      <c r="AT34" s="33"/>
      <c r="AW34" s="33"/>
      <c r="AZ34" s="33"/>
    </row>
    <row r="35" spans="1:52" x14ac:dyDescent="0.35">
      <c r="A35">
        <f t="shared" si="3"/>
        <v>1.2</v>
      </c>
      <c r="B35">
        <f t="shared" si="0"/>
        <v>-0.65399519866404865</v>
      </c>
      <c r="C35">
        <f>regressionssens!$AR$1*$A35</f>
        <v>0.94377674550704949</v>
      </c>
      <c r="D35">
        <f>regressionssens!$AO$1*$A35</f>
        <v>1.5916616175594933</v>
      </c>
      <c r="E35">
        <f t="shared" si="1"/>
        <v>1.2335582923500503</v>
      </c>
      <c r="F35">
        <f t="shared" si="2"/>
        <v>-3.8373184337830351</v>
      </c>
      <c r="G35" s="5">
        <f>B35-regressions!AA$7</f>
        <v>-4.3752837891290035</v>
      </c>
      <c r="H35" s="5">
        <f>B35+regressions!AA$7</f>
        <v>3.0672933918009067</v>
      </c>
      <c r="I35">
        <f>IF($A35&lt;=regressionssens!$L$2,$A35*regressionssens!$L$1,regressionssens!$L$1*regressionssens!$L$2+regressionssens!$L$3*($A35-regressionssens!$L$2))</f>
        <v>-1.2004183005850912</v>
      </c>
      <c r="J35">
        <f>regressionssens!$J$1*A35+regressionssens!$J$2*A35^2</f>
        <v>-0.81837018334624767</v>
      </c>
      <c r="K35">
        <f>regressionssens!$V$1*A35</f>
        <v>-1.2004183097173904</v>
      </c>
      <c r="L35">
        <f>regressionssens!$N$1*A35^2</f>
        <v>-0.31763128789578698</v>
      </c>
      <c r="M35" s="20">
        <f>regressionssens!$R$1*A35^2+regressionssens!$R$2*A35^6</f>
        <v>-0.40545799473928212</v>
      </c>
      <c r="N35">
        <f>regressionssens!$P$1*A35^2+regressionssens!$P$2*A35^7</f>
        <v>-0.36549130341130293</v>
      </c>
      <c r="O35">
        <f>regressionssens!$T$2+regressionssens!$T$1*EXP(A35)</f>
        <v>-2.0373152342210533E-2</v>
      </c>
      <c r="P35" s="20">
        <f>(1-EXP(-2*regressionssens!X$1*graphsens!A35))/2/EXP(-regressionssens!X$1*A35)</f>
        <v>-0.54722967611011231</v>
      </c>
      <c r="Q35" s="5"/>
      <c r="Y35" s="51"/>
      <c r="Z35" s="51"/>
      <c r="AA35" s="51"/>
      <c r="AO35" s="1"/>
      <c r="AP35" s="1"/>
      <c r="AT35" s="33"/>
      <c r="AW35" s="33"/>
      <c r="AZ35" s="33"/>
    </row>
    <row r="36" spans="1:52" x14ac:dyDescent="0.35">
      <c r="A36">
        <f t="shared" si="3"/>
        <v>1.3</v>
      </c>
      <c r="B36">
        <f t="shared" si="0"/>
        <v>-0.72947303158561116</v>
      </c>
      <c r="C36">
        <f>regressionssens!$AR$1*$A36</f>
        <v>1.022424807632637</v>
      </c>
      <c r="D36">
        <f>regressionssens!$AO$1*$A36</f>
        <v>1.7243000856894513</v>
      </c>
      <c r="E36">
        <f t="shared" si="1"/>
        <v>1.3153765836796629</v>
      </c>
      <c r="F36">
        <f t="shared" si="2"/>
        <v>-4.178073202964514</v>
      </c>
      <c r="G36" s="5">
        <f>B36-regressions!AA$7</f>
        <v>-4.4507616220505666</v>
      </c>
      <c r="H36" s="5">
        <f>B36+regressions!AA$7</f>
        <v>2.991815558879344</v>
      </c>
      <c r="I36">
        <f>IF($A36&lt;=regressionssens!$L$2,$A36*regressionssens!$L$1,regressionssens!$L$1*regressionssens!$L$2+regressionssens!$L$3*($A36-regressionssens!$L$2))</f>
        <v>-1.3004531589671822</v>
      </c>
      <c r="J36">
        <f>regressionssens!$J$1*A36+regressionssens!$J$2*A36^2</f>
        <v>-0.90029769890877742</v>
      </c>
      <c r="K36">
        <f>regressionssens!$V$1*A36</f>
        <v>-1.3004531688605063</v>
      </c>
      <c r="L36">
        <f>regressionssens!$N$1*A36^2</f>
        <v>-0.37277560871102788</v>
      </c>
      <c r="M36" s="20">
        <f>regressionssens!$R$1*A36^2+regressionssens!$R$2*A36^6</f>
        <v>-0.47578739699290307</v>
      </c>
      <c r="N36">
        <f>regressionssens!$P$1*A36^2+regressionssens!$P$2*A36^7</f>
        <v>-0.42893470452649179</v>
      </c>
      <c r="O36">
        <f>regressionssens!$T$2+regressionssens!$T$1*EXP(A36)</f>
        <v>-2.343933063158685E-2</v>
      </c>
      <c r="P36" s="20">
        <f>(1-EXP(-2*regressionssens!X$1*graphsens!A36))/2/EXP(-regressionssens!X$1*A36)</f>
        <v>-0.59745256327545526</v>
      </c>
      <c r="AT36" s="33"/>
      <c r="AW36" s="33"/>
      <c r="AZ36" s="33"/>
    </row>
    <row r="37" spans="1:52" x14ac:dyDescent="0.35">
      <c r="A37">
        <f t="shared" si="3"/>
        <v>1.4000000000000001</v>
      </c>
      <c r="B37">
        <f t="shared" si="0"/>
        <v>-0.80818852477319858</v>
      </c>
      <c r="C37">
        <f>regressionssens!$AR$1*$A37</f>
        <v>1.1010728697582246</v>
      </c>
      <c r="D37">
        <f>regressionssens!$AO$1*$A37</f>
        <v>1.8569385538194092</v>
      </c>
      <c r="E37">
        <f t="shared" si="1"/>
        <v>1.3939572147432506</v>
      </c>
      <c r="F37">
        <f t="shared" si="2"/>
        <v>-4.5220656324120174</v>
      </c>
      <c r="G37" s="5">
        <f>B37-regressions!AA$7</f>
        <v>-4.5294771152381532</v>
      </c>
      <c r="H37" s="5">
        <f>B37+regressions!AA$7</f>
        <v>2.9131000656917565</v>
      </c>
      <c r="I37">
        <f>IF($A37&lt;=regressionssens!$L$2,$A37*regressionssens!$L$1,regressionssens!$L$1*regressionssens!$L$2+regressionssens!$L$3*($A37-regressionssens!$L$2))</f>
        <v>-1.4004880173492733</v>
      </c>
      <c r="J37">
        <f>regressionssens!$J$1*A37+regressionssens!$J$2*A37^2</f>
        <v>-0.98433752220725723</v>
      </c>
      <c r="K37">
        <f>regressionssens!$V$1*A37</f>
        <v>-1.4004880280036223</v>
      </c>
      <c r="L37">
        <f>regressionssens!$N$1*A37^2</f>
        <v>-0.43233147519148796</v>
      </c>
      <c r="M37" s="20">
        <f>regressionssens!$R$1*A37^2+regressionssens!$R$2*A37^6</f>
        <v>-0.55170931670961565</v>
      </c>
      <c r="N37">
        <f>regressionssens!$P$1*A37^2+regressionssens!$P$2*A37^7</f>
        <v>-0.49744704156004133</v>
      </c>
      <c r="O37">
        <f>regressionssens!$T$2+regressionssens!$T$1*EXP(A37)</f>
        <v>-2.68279817066405E-2</v>
      </c>
      <c r="P37" s="20">
        <f>(1-EXP(-2*regressionssens!X$1*graphsens!A37))/2/EXP(-regressionssens!X$1*A37)</f>
        <v>-0.64881071952000346</v>
      </c>
      <c r="AT37" s="33"/>
      <c r="AW37" s="33"/>
      <c r="AZ37" s="33"/>
    </row>
    <row r="38" spans="1:52" x14ac:dyDescent="0.35">
      <c r="A38">
        <f t="shared" si="3"/>
        <v>1.5000000000000002</v>
      </c>
      <c r="B38">
        <f t="shared" si="0"/>
        <v>-0.89014192073820897</v>
      </c>
      <c r="C38">
        <f>regressionssens!$AR$1*$A38</f>
        <v>1.179720931883812</v>
      </c>
      <c r="D38">
        <f>regressionssens!$AO$1*$A38</f>
        <v>1.9895770219493671</v>
      </c>
      <c r="E38">
        <f t="shared" si="1"/>
        <v>1.4692999430294149</v>
      </c>
      <c r="F38">
        <f t="shared" si="2"/>
        <v>-4.8692959646369429</v>
      </c>
      <c r="G38" s="5">
        <f>B38-regressions!AA$7</f>
        <v>-4.6114305112031637</v>
      </c>
      <c r="H38" s="5">
        <f>B38+regressions!AA$7</f>
        <v>2.831146669726746</v>
      </c>
      <c r="I38">
        <f>IF($A38&lt;=regressionssens!$L$2,$A38*regressionssens!$L$1,regressionssens!$L$1*regressionssens!$L$2+regressionssens!$L$3*($A38-regressionssens!$L$2))</f>
        <v>-1.5005228757313644</v>
      </c>
      <c r="J38">
        <f>regressionssens!$J$1*A38+regressionssens!$J$2*A38^2</f>
        <v>-1.0704896532416872</v>
      </c>
      <c r="K38">
        <f>regressionssens!$V$1*A38</f>
        <v>-1.5005228871467384</v>
      </c>
      <c r="L38">
        <f>regressionssens!$N$1*A38^2</f>
        <v>-0.49629888733716743</v>
      </c>
      <c r="M38" s="20">
        <f>regressionssens!$R$1*A38^2+regressionssens!$R$2*A38^6</f>
        <v>-0.63320971787631586</v>
      </c>
      <c r="N38">
        <f>regressionssens!$P$1*A38^2+regressionssens!$P$2*A38^7</f>
        <v>-0.57102493337823279</v>
      </c>
      <c r="O38">
        <f>regressionssens!$T$2+regressionssens!$T$1*EXP(A38)</f>
        <v>-3.0573020326295563E-2</v>
      </c>
      <c r="P38" s="20">
        <f>(1-EXP(-2*regressionssens!X$1*graphsens!A38))/2/EXP(-regressionssens!X$1*A38)</f>
        <v>-0.70140173472843348</v>
      </c>
      <c r="AT38" s="33"/>
      <c r="AW38" s="33"/>
      <c r="AZ38" s="33"/>
    </row>
    <row r="39" spans="1:52" x14ac:dyDescent="0.35">
      <c r="A39">
        <f t="shared" si="3"/>
        <v>1.6000000000000003</v>
      </c>
      <c r="B39">
        <f t="shared" si="0"/>
        <v>-0.97533255912644501</v>
      </c>
      <c r="C39">
        <f>regressionssens!$AR$1*$A39</f>
        <v>1.2583689940093996</v>
      </c>
      <c r="D39">
        <f>regressionssens!$AO$1*$A39</f>
        <v>2.1222154900793249</v>
      </c>
      <c r="E39">
        <f t="shared" si="1"/>
        <v>1.5414054288923542</v>
      </c>
      <c r="F39">
        <f t="shared" si="2"/>
        <v>-5.2197635392850952</v>
      </c>
      <c r="G39" s="5">
        <f>B39-regressions!AA$7</f>
        <v>-4.6966211495914001</v>
      </c>
      <c r="H39" s="5">
        <f>B39+regressions!AA$7</f>
        <v>2.7459560313385101</v>
      </c>
      <c r="I39">
        <f>IF($A39&lt;=regressionssens!$L$2,$A39*regressionssens!$L$1,regressionssens!$L$1*regressionssens!$L$2+regressionssens!$L$3*($A39-regressionssens!$L$2))</f>
        <v>-1.6005577341134554</v>
      </c>
      <c r="J39">
        <f>regressionssens!$J$1*A39+regressionssens!$J$2*A39^2</f>
        <v>-1.1587540920120674</v>
      </c>
      <c r="K39">
        <f>regressionssens!$V$1*A39</f>
        <v>-1.6005577462898544</v>
      </c>
      <c r="L39">
        <f>regressionssens!$N$1*A39^2</f>
        <v>-0.56467784514806607</v>
      </c>
      <c r="M39" s="20">
        <f>regressionssens!$R$1*A39^2+regressionssens!$R$2*A39^6</f>
        <v>-0.72027121810802408</v>
      </c>
      <c r="N39">
        <f>regressionssens!$P$1*A39^2+regressionssens!$P$2*A39^7</f>
        <v>-0.64966388501556005</v>
      </c>
      <c r="O39">
        <f>regressionssens!$T$2+regressionssens!$T$1*EXP(A39)</f>
        <v>-3.4711928095808517E-2</v>
      </c>
      <c r="P39" s="20">
        <f>(1-EXP(-2*regressionssens!X$1*graphsens!A39))/2/EXP(-regressionssens!X$1*A39)</f>
        <v>-0.75532554144280795</v>
      </c>
      <c r="AT39" s="33"/>
      <c r="AW39" s="33"/>
      <c r="AZ39" s="33"/>
    </row>
    <row r="40" spans="1:52" x14ac:dyDescent="0.35">
      <c r="A40">
        <f t="shared" si="3"/>
        <v>1.7000000000000004</v>
      </c>
      <c r="B40">
        <f t="shared" si="0"/>
        <v>-1.0637587175033989</v>
      </c>
      <c r="C40">
        <f>regressionssens!$AR$1*$A40</f>
        <v>1.3370170561349872</v>
      </c>
      <c r="D40">
        <f>regressionssens!$AO$1*$A40</f>
        <v>2.2548539582092828</v>
      </c>
      <c r="E40">
        <f t="shared" si="1"/>
        <v>1.6102753947665756</v>
      </c>
      <c r="F40">
        <f t="shared" si="2"/>
        <v>-5.5734666339219645</v>
      </c>
      <c r="G40" s="5">
        <f>B40-regressions!AA$7</f>
        <v>-4.7850473079683535</v>
      </c>
      <c r="H40" s="5">
        <f>B40+regressions!AA$7</f>
        <v>2.6575298729615562</v>
      </c>
      <c r="I40">
        <f>IF($A40&lt;=regressionssens!$L$2,$A40*regressionssens!$L$1,regressionssens!$L$1*regressionssens!$L$2+regressionssens!$L$3*($A40-regressionssens!$L$2))</f>
        <v>-1.7005925924955465</v>
      </c>
      <c r="J40">
        <f>regressionssens!$J$1*A40+regressionssens!$J$2*A40^2</f>
        <v>-1.2491308385183975</v>
      </c>
      <c r="K40">
        <f>regressionssens!$V$1*A40</f>
        <v>-1.7005926054329703</v>
      </c>
      <c r="L40">
        <f>regressionssens!$N$1*A40^2</f>
        <v>-0.637468348624184</v>
      </c>
      <c r="M40" s="20">
        <f>regressionssens!$R$1*A40^2+regressionssens!$R$2*A40^6</f>
        <v>-0.81287259436205728</v>
      </c>
      <c r="N40">
        <f>regressionssens!$P$1*A40^2+regressionssens!$P$2*A40^7</f>
        <v>-0.73335803243843956</v>
      </c>
      <c r="O40">
        <f>regressionssens!$T$2+regressionssens!$T$1*EXP(A40)</f>
        <v>-3.9286128595271572E-2</v>
      </c>
      <c r="P40" s="20">
        <f>(1-EXP(-2*regressionssens!X$1*graphsens!A40))/2/EXP(-regressionssens!X$1*A40)</f>
        <v>-0.8106846047526739</v>
      </c>
      <c r="AT40" s="33"/>
      <c r="AW40" s="33"/>
      <c r="AZ40" s="33"/>
    </row>
    <row r="41" spans="1:52" x14ac:dyDescent="0.35">
      <c r="A41">
        <f t="shared" si="3"/>
        <v>1.8000000000000005</v>
      </c>
      <c r="B41">
        <f t="shared" si="0"/>
        <v>-1.1554174368457721</v>
      </c>
      <c r="C41">
        <f>regressionssens!$AR$1*$A41</f>
        <v>1.4156651182605746</v>
      </c>
      <c r="D41">
        <f>regressionssens!$AO$1*$A41</f>
        <v>2.3874924263392407</v>
      </c>
      <c r="E41">
        <f t="shared" si="1"/>
        <v>1.6759127996753771</v>
      </c>
      <c r="F41">
        <f t="shared" si="2"/>
        <v>-5.9304022895242534</v>
      </c>
      <c r="G41" s="5">
        <f>B41-regressions!AA$7</f>
        <v>-4.8767060273107274</v>
      </c>
      <c r="H41" s="5">
        <f>B41+regressions!AA$7</f>
        <v>2.5658711536191827</v>
      </c>
      <c r="I41">
        <f>IF($A41&lt;=regressionssens!$L$2,$A41*regressionssens!$L$1,regressionssens!$L$1*regressionssens!$L$2+regressionssens!$L$3*($A41-regressionssens!$L$2))</f>
        <v>-1.8006274508776374</v>
      </c>
      <c r="J41">
        <f>regressionssens!$J$1*A41+regressionssens!$J$2*A41^2</f>
        <v>-1.3416198927606775</v>
      </c>
      <c r="K41">
        <f>regressionssens!$V$1*A41</f>
        <v>-1.8006274645760862</v>
      </c>
      <c r="L41">
        <f>regressionssens!$N$1*A41^2</f>
        <v>-0.7146703977655211</v>
      </c>
      <c r="M41" s="20">
        <f>regressionssens!$R$1*A41^2+regressionssens!$R$2*A41^6</f>
        <v>-0.91098825456352051</v>
      </c>
      <c r="N41">
        <f>regressionssens!$P$1*A41^2+regressionssens!$P$2*A41^7</f>
        <v>-0.82209985096197902</v>
      </c>
      <c r="O41">
        <f>regressionssens!$T$2+regressionssens!$T$1*EXP(A41)</f>
        <v>-4.4341401960725238E-2</v>
      </c>
      <c r="P41" s="20">
        <f>(1-EXP(-2*regressionssens!X$1*graphsens!A41))/2/EXP(-regressionssens!X$1*A41)</f>
        <v>-0.86758411699746085</v>
      </c>
      <c r="AT41" s="33"/>
      <c r="AW41" s="33"/>
      <c r="AZ41" s="33"/>
    </row>
    <row r="42" spans="1:52" x14ac:dyDescent="0.35">
      <c r="A42">
        <f t="shared" si="3"/>
        <v>1.9000000000000006</v>
      </c>
      <c r="B42">
        <f t="shared" si="0"/>
        <v>-1.2503043312434263</v>
      </c>
      <c r="C42">
        <f>regressionssens!$AR$1*$A42</f>
        <v>1.4943131803861622</v>
      </c>
      <c r="D42">
        <f>regressionssens!$AO$1*$A42</f>
        <v>2.5201308944691987</v>
      </c>
      <c r="E42">
        <f t="shared" si="1"/>
        <v>1.7383220295288981</v>
      </c>
      <c r="F42">
        <f t="shared" si="2"/>
        <v>-6.2905661201818237</v>
      </c>
      <c r="G42" s="5">
        <f>B42-regressions!AA$7</f>
        <v>-4.9715929217083819</v>
      </c>
      <c r="H42" s="5">
        <f>B42+regressions!AA$7</f>
        <v>2.4709842592215288</v>
      </c>
      <c r="I42">
        <f>IF($A42&lt;=regressionssens!$L$2,$A42*regressionssens!$L$1,regressionssens!$L$1*regressionssens!$L$2+regressionssens!$L$3*($A42-regressionssens!$L$2))</f>
        <v>-1.9006623092597286</v>
      </c>
      <c r="J42">
        <f>regressionssens!$J$1*A42+regressionssens!$J$2*A42^2</f>
        <v>-1.4362212547389079</v>
      </c>
      <c r="K42">
        <f>regressionssens!$V$1*A42</f>
        <v>-1.9006623237192022</v>
      </c>
      <c r="L42">
        <f>regressionssens!$N$1*A42^2</f>
        <v>-0.7962839925720776</v>
      </c>
      <c r="M42" s="20">
        <f>regressionssens!$R$1*A42^2+regressionssens!$R$2*A42^6</f>
        <v>-1.0145876751421246</v>
      </c>
      <c r="N42">
        <f>regressionssens!$P$1*A42^2+regressionssens!$P$2*A42^7</f>
        <v>-0.91587982489667796</v>
      </c>
      <c r="O42">
        <f>regressionssens!$T$2+regressionssens!$T$1*EXP(A42)</f>
        <v>-4.9928343067147038E-2</v>
      </c>
      <c r="P42" s="20">
        <f>(1-EXP(-2*regressionssens!X$1*graphsens!A42))/2/EXP(-regressionssens!X$1*A42)</f>
        <v>-0.92613219765115629</v>
      </c>
      <c r="Q42" s="1"/>
      <c r="AB42" s="59"/>
      <c r="AC42" s="60"/>
      <c r="AD42" s="60"/>
      <c r="AE42" s="5"/>
      <c r="AO42" s="1"/>
      <c r="AP42" s="1"/>
      <c r="AT42" s="33"/>
      <c r="AW42" s="33"/>
      <c r="AZ42" s="33"/>
    </row>
    <row r="43" spans="1:52" x14ac:dyDescent="0.35">
      <c r="A43">
        <f t="shared" si="3"/>
        <v>2.0000000000000004</v>
      </c>
      <c r="B43">
        <f t="shared" si="0"/>
        <v>-1.3484133813164048</v>
      </c>
      <c r="C43">
        <f>regressionssens!$AR$1*$A43</f>
        <v>1.5729612425117496</v>
      </c>
      <c r="D43">
        <f>regressionssens!$AO$1*$A43</f>
        <v>2.6527693625991562</v>
      </c>
      <c r="E43">
        <f t="shared" si="1"/>
        <v>1.7975091037070945</v>
      </c>
      <c r="F43">
        <f t="shared" si="2"/>
        <v>-6.6539521065147174</v>
      </c>
      <c r="G43" s="5">
        <f>B43-regressions!AA$7</f>
        <v>-5.0697019717813596</v>
      </c>
      <c r="H43" s="5">
        <f>B43+regressions!AA$7</f>
        <v>2.3728752091485505</v>
      </c>
      <c r="I43">
        <f>IF($A43&lt;=regressionssens!$L$2,$A43*regressionssens!$L$1,regressionssens!$L$1*regressionssens!$L$2+regressionssens!$L$3*($A43-regressionssens!$L$2))</f>
        <v>-2.0006971676418193</v>
      </c>
      <c r="J43">
        <f>regressionssens!$J$1*A43+regressionssens!$J$2*A43^2</f>
        <v>-1.5329349244530883</v>
      </c>
      <c r="K43">
        <f>regressionssens!$V$1*A43</f>
        <v>-2.0006971828623179</v>
      </c>
      <c r="L43">
        <f>regressionssens!$N$1*A43^2</f>
        <v>-0.88230913304385328</v>
      </c>
      <c r="M43" s="20">
        <f>regressionssens!$R$1*A43^2+regressionssens!$R$2*A43^6</f>
        <v>-1.123634804480321</v>
      </c>
      <c r="N43">
        <f>regressionssens!$P$1*A43^2+regressionssens!$P$2*A43^7</f>
        <v>-1.0146860760019276</v>
      </c>
      <c r="O43">
        <f>regressionssens!$T$2+regressionssens!$T$1*EXP(A43)</f>
        <v>-5.6102867898965778E-2</v>
      </c>
      <c r="P43" s="20">
        <f>(1-EXP(-2*regressionssens!X$1*graphsens!A43))/2/EXP(-regressionssens!X$1*A43)</f>
        <v>-0.9864400987690668</v>
      </c>
      <c r="Q43" s="5"/>
      <c r="AB43" s="60"/>
      <c r="AC43" s="60"/>
      <c r="AD43" s="60"/>
      <c r="AE43" s="5"/>
      <c r="AK43" s="1"/>
      <c r="AL43" s="1"/>
      <c r="AO43" s="1"/>
      <c r="AP43" s="1"/>
      <c r="AT43" s="33"/>
      <c r="AW43" s="33"/>
      <c r="AZ43" s="33"/>
    </row>
    <row r="44" spans="1:52" x14ac:dyDescent="0.35">
      <c r="A44">
        <f t="shared" si="3"/>
        <v>2.1000000000000005</v>
      </c>
      <c r="B44">
        <f t="shared" si="0"/>
        <v>-1.4497367108521497</v>
      </c>
      <c r="C44">
        <f>regressionssens!$AR$1*$A44</f>
        <v>1.651609304637337</v>
      </c>
      <c r="D44">
        <f>regressionssens!$AO$1*$A44</f>
        <v>2.7854078307291141</v>
      </c>
      <c r="E44">
        <f t="shared" si="1"/>
        <v>1.8534818984225243</v>
      </c>
      <c r="F44">
        <f t="shared" si="2"/>
        <v>-7.0205523723103784</v>
      </c>
      <c r="G44" s="5">
        <f>B44-regressions!AA$7</f>
        <v>-5.1710253013171048</v>
      </c>
      <c r="H44" s="5">
        <f>B44+regressions!AA$7</f>
        <v>2.2715518796128054</v>
      </c>
      <c r="I44">
        <f>IF($A44&lt;=regressionssens!$L$2,$A44*regressionssens!$L$1,regressionssens!$L$1*regressionssens!$L$2+regressionssens!$L$3*($A44-regressionssens!$L$2))</f>
        <v>-2.1007320260239104</v>
      </c>
      <c r="J44">
        <f>regressionssens!$J$1*A44+regressionssens!$J$2*A44^2</f>
        <v>-1.6317609019032189</v>
      </c>
      <c r="K44">
        <f>regressionssens!$V$1*A44</f>
        <v>-2.1007320420054341</v>
      </c>
      <c r="L44">
        <f>regressionssens!$N$1*A44^2</f>
        <v>-0.97274581918084813</v>
      </c>
      <c r="M44" s="20">
        <f>regressionssens!$R$1*A44^2+regressionssens!$R$2*A44^6</f>
        <v>-1.2380874322727655</v>
      </c>
      <c r="N44">
        <f>regressionssens!$P$1*A44^2+regressionssens!$P$2*A44^7</f>
        <v>-1.1185039483231856</v>
      </c>
      <c r="O44">
        <f>regressionssens!$T$2+regressionssens!$T$1*EXP(A44)</f>
        <v>-6.2926773176027809E-2</v>
      </c>
      <c r="P44" s="20">
        <f>(1-EXP(-2*regressionssens!X$1*graphsens!A44))/2/EXP(-regressionssens!X$1*A44)</f>
        <v>-1.0486224163870612</v>
      </c>
      <c r="AT44" s="33"/>
      <c r="AW44" s="33"/>
      <c r="AZ44" s="33"/>
    </row>
    <row r="45" spans="1:52" x14ac:dyDescent="0.35">
      <c r="A45">
        <f t="shared" si="3"/>
        <v>2.2000000000000006</v>
      </c>
      <c r="B45">
        <f t="shared" si="0"/>
        <v>-1.5542643461685468</v>
      </c>
      <c r="C45">
        <f>regressionssens!$AR$1*$A45</f>
        <v>1.7302573667629246</v>
      </c>
      <c r="D45">
        <f>regressionssens!$AO$1*$A45</f>
        <v>2.9180462988590721</v>
      </c>
      <c r="E45">
        <f t="shared" si="1"/>
        <v>1.9062503873573025</v>
      </c>
      <c r="F45">
        <f t="shared" si="2"/>
        <v>-7.3903569438866912</v>
      </c>
      <c r="G45" s="5">
        <f>B45-regressions!AA$7</f>
        <v>-5.2755529366335017</v>
      </c>
      <c r="H45" s="5">
        <f>B45+regressions!AA$7</f>
        <v>2.1670242442964085</v>
      </c>
      <c r="I45">
        <f>IF($A45&lt;=regressionssens!$L$2,$A45*regressionssens!$L$1,regressionssens!$L$1*regressionssens!$L$2+regressionssens!$L$3*($A45-regressionssens!$L$2))</f>
        <v>-2.2007668844060015</v>
      </c>
      <c r="J45">
        <f>regressionssens!$J$1*A45+regressionssens!$J$2*A45^2</f>
        <v>-1.7326991870892994</v>
      </c>
      <c r="K45">
        <f>regressionssens!$V$1*A45</f>
        <v>-2.2007669011485498</v>
      </c>
      <c r="L45">
        <f>regressionssens!$N$1*A45^2</f>
        <v>-1.0675940509830626</v>
      </c>
      <c r="M45" s="20">
        <f>regressionssens!$R$1*A45^2+regressionssens!$R$2*A45^6</f>
        <v>-1.357896524797096</v>
      </c>
      <c r="N45">
        <f>regressionssens!$P$1*A45^2+regressionssens!$P$2*A45^7</f>
        <v>-1.2273155469896893</v>
      </c>
      <c r="O45">
        <f>regressionssens!$T$2+regressionssens!$T$1*EXP(A45)</f>
        <v>-7.0468354835939703E-2</v>
      </c>
      <c r="P45" s="20">
        <f>(1-EXP(-2*regressionssens!X$1*graphsens!A45))/2/EXP(-regressionssens!X$1*A45)</f>
        <v>-1.1127973082749854</v>
      </c>
      <c r="AT45" s="33"/>
      <c r="AW45" s="33"/>
      <c r="AZ45" s="33"/>
    </row>
    <row r="46" spans="1:52" x14ac:dyDescent="0.35">
      <c r="A46">
        <f t="shared" si="3"/>
        <v>2.3000000000000007</v>
      </c>
      <c r="B46">
        <f t="shared" si="0"/>
        <v>-1.6619839577089992</v>
      </c>
      <c r="C46">
        <f>regressionssens!$AR$1*$A46</f>
        <v>1.808905428888512</v>
      </c>
      <c r="D46">
        <f>regressionssens!$AO$1*$A46</f>
        <v>3.05068476698903</v>
      </c>
      <c r="E46">
        <f t="shared" si="1"/>
        <v>1.9558269000680248</v>
      </c>
      <c r="F46">
        <f t="shared" si="2"/>
        <v>-7.7633534916870595</v>
      </c>
      <c r="G46" s="5">
        <f>B46-regressions!AA$7</f>
        <v>-5.3832725481739541</v>
      </c>
      <c r="H46" s="5">
        <f>B46+regressions!AA$7</f>
        <v>2.0593046327559561</v>
      </c>
      <c r="I46">
        <f>IF($A46&lt;=regressionssens!$L$2,$A46*regressionssens!$L$1,regressionssens!$L$1*regressionssens!$L$2+regressionssens!$L$3*($A46-regressionssens!$L$2))</f>
        <v>-2.3008017427880922</v>
      </c>
      <c r="J46">
        <f>regressionssens!$J$1*A46+regressionssens!$J$2*A46^2</f>
        <v>-1.8357497800113305</v>
      </c>
      <c r="K46">
        <f>regressionssens!$V$1*A46</f>
        <v>-2.3008017602916659</v>
      </c>
      <c r="L46">
        <f>regressionssens!$N$1*A46^2</f>
        <v>-1.1668538284504961</v>
      </c>
      <c r="M46" s="20">
        <f>regressionssens!$R$1*A46^2+regressionssens!$R$2*A46^6</f>
        <v>-1.4830055260960402</v>
      </c>
      <c r="N46">
        <f>regressionssens!$P$1*A46^2+regressionssens!$P$2*A46^7</f>
        <v>-1.3410992285495857</v>
      </c>
      <c r="O46">
        <f>regressionssens!$T$2+regressionssens!$T$1*EXP(A46)</f>
        <v>-7.8803091562766991E-2</v>
      </c>
      <c r="P46" s="20">
        <f>(1-EXP(-2*regressionssens!X$1*graphsens!A46))/2/EXP(-regressionssens!X$1*A46)</f>
        <v>-1.179086718458022</v>
      </c>
      <c r="AT46" s="33"/>
      <c r="AW46" s="33"/>
      <c r="AZ46" s="33"/>
    </row>
    <row r="47" spans="1:52" x14ac:dyDescent="0.35">
      <c r="A47">
        <f t="shared" si="3"/>
        <v>2.4000000000000008</v>
      </c>
      <c r="B47">
        <f t="shared" si="0"/>
        <v>-1.7728805833762979</v>
      </c>
      <c r="C47">
        <f>regressionssens!$AR$1*$A47</f>
        <v>1.8875534910140996</v>
      </c>
      <c r="D47">
        <f>regressionssens!$AO$1*$A47</f>
        <v>3.183323235118988</v>
      </c>
      <c r="E47">
        <f t="shared" si="1"/>
        <v>2.0022263986519011</v>
      </c>
      <c r="F47">
        <f t="shared" si="2"/>
        <v>-8.1395270536142732</v>
      </c>
      <c r="G47" s="5">
        <f>B47-regressions!AA$7</f>
        <v>-5.4941691738412528</v>
      </c>
      <c r="H47" s="5">
        <f>B47+regressions!AA$7</f>
        <v>1.9484080070886571</v>
      </c>
      <c r="I47">
        <f>IF($A47&lt;=regressionssens!$L$2,$A47*regressionssens!$L$1,regressionssens!$L$1*regressionssens!$L$2+regressionssens!$L$3*($A47-regressionssens!$L$2))</f>
        <v>-2.4008366011701834</v>
      </c>
      <c r="J47">
        <f>regressionssens!$J$1*A47+regressionssens!$J$2*A47^2</f>
        <v>-1.9409126806693111</v>
      </c>
      <c r="K47">
        <f>regressionssens!$V$1*A47</f>
        <v>-2.4008366194347817</v>
      </c>
      <c r="L47">
        <f>regressionssens!$N$1*A47^2</f>
        <v>-1.270525151583149</v>
      </c>
      <c r="M47" s="20">
        <f>regressionssens!$R$1*A47^2+regressionssens!$R$2*A47^6</f>
        <v>-1.6133496250708386</v>
      </c>
      <c r="N47">
        <f>regressionssens!$P$1*A47^2+regressionssens!$P$2*A47^7</f>
        <v>-1.4598290404193439</v>
      </c>
      <c r="O47">
        <f>regressionssens!$T$2+regressionssens!$T$1*EXP(A47)</f>
        <v>-8.8014400203073523E-2</v>
      </c>
      <c r="P47" s="20">
        <f>(1-EXP(-2*regressionssens!X$1*graphsens!A47))/2/EXP(-regressionssens!X$1*A47)</f>
        <v>-1.2476166089326297</v>
      </c>
      <c r="AT47" s="33"/>
      <c r="AW47" s="33"/>
      <c r="AZ47" s="33"/>
    </row>
    <row r="48" spans="1:52" x14ac:dyDescent="0.35">
      <c r="A48">
        <f t="shared" si="3"/>
        <v>2.5000000000000009</v>
      </c>
      <c r="B48">
        <f t="shared" si="0"/>
        <v>-1.8869363331127056</v>
      </c>
      <c r="C48">
        <f>regressionssens!$AR$1*$A48</f>
        <v>1.9662015531396873</v>
      </c>
      <c r="D48">
        <f>regressionssens!$AO$1*$A48</f>
        <v>3.3159617032489459</v>
      </c>
      <c r="E48">
        <f t="shared" si="1"/>
        <v>2.0454667731666687</v>
      </c>
      <c r="F48">
        <f t="shared" si="2"/>
        <v>-8.5188597396105976</v>
      </c>
      <c r="G48" s="5">
        <f>B48-regressions!AA$7</f>
        <v>-5.6082249235776604</v>
      </c>
      <c r="H48" s="5">
        <f>B48+regressions!AA$7</f>
        <v>1.8343522573522495</v>
      </c>
      <c r="I48">
        <f>IF($A48&lt;=regressionssens!$L$2,$A48*regressionssens!$L$1,regressionssens!$L$1*regressionssens!$L$2+regressionssens!$L$3*($A48-regressionssens!$L$2))</f>
        <v>-2.5008714595522745</v>
      </c>
      <c r="J48">
        <f>regressionssens!$J$1*A48+regressionssens!$J$2*A48^2</f>
        <v>-2.0481878890632421</v>
      </c>
      <c r="K48">
        <f>regressionssens!$V$1*A48</f>
        <v>-2.5008714785778978</v>
      </c>
      <c r="L48">
        <f>regressionssens!$N$1*A48^2</f>
        <v>-1.3786080203810209</v>
      </c>
      <c r="M48" s="20">
        <f>regressionssens!$R$1*A48^2+regressionssens!$R$2*A48^6</f>
        <v>-1.7488549884859959</v>
      </c>
      <c r="N48">
        <f>regressionssens!$P$1*A48^2+regressionssens!$P$2*A48^7</f>
        <v>-1.5834741070243208</v>
      </c>
      <c r="O48">
        <f>regressionssens!$T$2+regressionssens!$T$1*EXP(A48)</f>
        <v>-9.8194470629759251E-2</v>
      </c>
      <c r="P48" s="20">
        <f>(1-EXP(-2*regressionssens!X$1*graphsens!A48))/2/EXP(-regressionssens!X$1*A48)</f>
        <v>-1.318517199017361</v>
      </c>
      <c r="Q48" s="62"/>
      <c r="R48" s="62"/>
      <c r="S48" s="62"/>
      <c r="T48" s="62"/>
      <c r="U48" s="62"/>
      <c r="V48" s="62"/>
      <c r="W48" s="62"/>
      <c r="X48" s="62"/>
      <c r="Y48" s="50"/>
      <c r="Z48" s="50"/>
      <c r="AA48" s="50"/>
      <c r="AB48" s="5"/>
      <c r="AC48" s="5"/>
      <c r="AD48" s="49"/>
      <c r="AE48" s="5"/>
      <c r="AF48" s="58"/>
      <c r="AG48" s="58"/>
      <c r="AH48" s="5"/>
      <c r="AI48" s="58"/>
      <c r="AJ48" s="5"/>
      <c r="AK48" s="5"/>
      <c r="AL48" s="5"/>
      <c r="AM48" s="1"/>
      <c r="AO48" s="1"/>
      <c r="AP48" s="1"/>
      <c r="AT48" s="33"/>
      <c r="AW48" s="33"/>
      <c r="AZ48" s="33"/>
    </row>
    <row r="49" spans="1:52" x14ac:dyDescent="0.35">
      <c r="A49">
        <f t="shared" si="3"/>
        <v>2.600000000000001</v>
      </c>
      <c r="B49">
        <f t="shared" si="0"/>
        <v>-2.0041300742343275</v>
      </c>
      <c r="C49">
        <f>regressionssens!$AR$1*$A49</f>
        <v>2.0448496152652749</v>
      </c>
      <c r="D49">
        <f>regressionssens!$AO$1*$A49</f>
        <v>3.4486001713789038</v>
      </c>
      <c r="E49">
        <f t="shared" si="1"/>
        <v>2.0855691562962222</v>
      </c>
      <c r="F49">
        <f t="shared" si="2"/>
        <v>-8.9013304169921348</v>
      </c>
      <c r="G49" s="5">
        <f>B49-regressions!AA$7</f>
        <v>-5.7254186646992826</v>
      </c>
      <c r="H49" s="5">
        <f>B49+regressions!AA$7</f>
        <v>1.7171585162306275</v>
      </c>
      <c r="I49">
        <f>IF($A49&lt;=regressionssens!$L$2,$A49*regressionssens!$L$1,regressionssens!$L$1*regressionssens!$L$2+regressionssens!$L$3*($A49-regressionssens!$L$2))</f>
        <v>-2.6009063179343657</v>
      </c>
      <c r="J49">
        <f>regressionssens!$J$1*A49+regressionssens!$J$2*A49^2</f>
        <v>-2.1575754051931235</v>
      </c>
      <c r="K49">
        <f>regressionssens!$V$1*A49</f>
        <v>-2.6009063377210135</v>
      </c>
      <c r="L49">
        <f>regressionssens!$N$1*A49^2</f>
        <v>-1.4911024348441124</v>
      </c>
      <c r="M49" s="20">
        <f>regressionssens!$R$1*A49^2+regressionssens!$R$2*A49^6</f>
        <v>-1.8894379598853497</v>
      </c>
      <c r="N49">
        <f>regressionssens!$P$1*A49^2+regressionssens!$P$2*A49^7</f>
        <v>-1.711997960207355</v>
      </c>
      <c r="O49">
        <f>regressionssens!$T$2+regressionssens!$T$1*EXP(A49)</f>
        <v>-0.10944518840929426</v>
      </c>
      <c r="P49" s="20">
        <f>(1-EXP(-2*regressionssens!X$1*graphsens!A49))/2/EXP(-regressionssens!X$1*A49)</f>
        <v>-1.3919232127933705</v>
      </c>
      <c r="S49" s="64"/>
      <c r="T49" s="64"/>
      <c r="U49" s="64"/>
      <c r="V49" s="64"/>
      <c r="W49" s="64"/>
      <c r="X49" s="64"/>
      <c r="AM49" s="1"/>
      <c r="AT49" s="33"/>
      <c r="AW49" s="33"/>
      <c r="AZ49" s="33"/>
    </row>
    <row r="50" spans="1:52" x14ac:dyDescent="0.35">
      <c r="A50">
        <f t="shared" si="3"/>
        <v>2.7000000000000011</v>
      </c>
      <c r="B50">
        <f t="shared" si="0"/>
        <v>-2.1244370970285562</v>
      </c>
      <c r="C50">
        <f>regressionssens!$AR$1*$A50</f>
        <v>2.123497677390862</v>
      </c>
      <c r="D50">
        <f>regressionssens!$AO$1*$A50</f>
        <v>3.5812386395088618</v>
      </c>
      <c r="E50">
        <f t="shared" si="1"/>
        <v>2.1225582577531679</v>
      </c>
      <c r="F50">
        <f t="shared" si="2"/>
        <v>-9.2869143760462798</v>
      </c>
      <c r="G50" s="5">
        <f>B50-regressions!AA$7</f>
        <v>-5.8457256874935108</v>
      </c>
      <c r="H50" s="5">
        <f>B50+regressions!AA$7</f>
        <v>1.5968514934363989</v>
      </c>
      <c r="I50">
        <f>IF($A50&lt;=regressionssens!$L$2,$A50*regressionssens!$L$1,regressionssens!$L$1*regressionssens!$L$2+regressionssens!$L$3*($A50-regressionssens!$L$2))</f>
        <v>-2.7009411763164564</v>
      </c>
      <c r="J50">
        <f>regressionssens!$J$1*A50+regressionssens!$J$2*A50^2</f>
        <v>-2.2690752290589544</v>
      </c>
      <c r="K50">
        <f>regressionssens!$V$1*A50</f>
        <v>-2.7009411968641297</v>
      </c>
      <c r="L50">
        <f>regressionssens!$N$1*A50^2</f>
        <v>-1.6080083949724229</v>
      </c>
      <c r="M50" s="20">
        <f>regressionssens!$R$1*A50^2+regressionssens!$R$2*A50^6</f>
        <v>-2.0350042244194637</v>
      </c>
      <c r="N50">
        <f>regressionssens!$P$1*A50^2+regressionssens!$P$2*A50^7</f>
        <v>-1.8453578114822531</v>
      </c>
      <c r="O50">
        <f>regressionssens!$T$2+regressionssens!$T$1*EXP(A50)</f>
        <v>-0.12187915450671297</v>
      </c>
      <c r="P50" s="20">
        <f>(1-EXP(-2*regressionssens!X$1*graphsens!A50))/2/EXP(-regressionssens!X$1*A50)</f>
        <v>-1.467974135104795</v>
      </c>
      <c r="S50" s="64"/>
      <c r="T50" s="64"/>
      <c r="U50" s="64"/>
      <c r="V50" s="64"/>
      <c r="W50" s="64"/>
      <c r="X50" s="64"/>
      <c r="AT50" s="33"/>
      <c r="AW50" s="33"/>
      <c r="AZ50" s="33"/>
    </row>
    <row r="51" spans="1:52" x14ac:dyDescent="0.35">
      <c r="A51">
        <f t="shared" si="3"/>
        <v>2.8000000000000012</v>
      </c>
      <c r="B51">
        <f t="shared" si="0"/>
        <v>-2.2478287601241305</v>
      </c>
      <c r="C51">
        <f>regressionssens!$AR$1*$A51</f>
        <v>2.2021457395164497</v>
      </c>
      <c r="D51">
        <f>regressionssens!$AO$1*$A51</f>
        <v>3.7138771076388197</v>
      </c>
      <c r="E51">
        <f t="shared" si="1"/>
        <v>2.1564627189087688</v>
      </c>
      <c r="F51">
        <f t="shared" si="2"/>
        <v>-9.6755829754017704</v>
      </c>
      <c r="G51" s="5">
        <f>B51-regressions!AA$7</f>
        <v>-5.9691173505890855</v>
      </c>
      <c r="H51" s="5">
        <f>B51+regressions!AA$7</f>
        <v>1.4734598303408246</v>
      </c>
      <c r="I51">
        <f>IF($A51&lt;=regressionssens!$L$2,$A51*regressionssens!$L$1,regressionssens!$L$1*regressionssens!$L$2+regressionssens!$L$3*($A51-regressionssens!$L$2))</f>
        <v>-2.8009760346985475</v>
      </c>
      <c r="J51">
        <f>regressionssens!$J$1*A51+regressionssens!$J$2*A51^2</f>
        <v>-2.3826873606607357</v>
      </c>
      <c r="K51">
        <f>regressionssens!$V$1*A51</f>
        <v>-2.8009760560072454</v>
      </c>
      <c r="L51">
        <f>regressionssens!$N$1*A51^2</f>
        <v>-1.7293259007659529</v>
      </c>
      <c r="M51" s="20">
        <f>regressionssens!$R$1*A51^2+regressionssens!$R$2*A51^6</f>
        <v>-2.1854479395843427</v>
      </c>
      <c r="N51">
        <f>regressionssens!$P$1*A51^2+regressionssens!$P$2*A51^7</f>
        <v>-1.9835037637090454</v>
      </c>
      <c r="O51">
        <f>regressionssens!$T$2+regressionssens!$T$1*EXP(A51)</f>
        <v>-0.13562081223391872</v>
      </c>
      <c r="P51" s="20">
        <f>(1-EXP(-2*regressionssens!X$1*graphsens!A51))/2/EXP(-regressionssens!X$1*A51)</f>
        <v>-1.5468144766054543</v>
      </c>
      <c r="S51" s="64"/>
      <c r="T51" s="64"/>
      <c r="U51" s="64"/>
      <c r="V51" s="64"/>
      <c r="W51" s="64"/>
      <c r="X51" s="64"/>
      <c r="AT51" s="33"/>
      <c r="AW51" s="33"/>
      <c r="AZ51" s="33"/>
    </row>
    <row r="52" spans="1:52" x14ac:dyDescent="0.35">
      <c r="A52">
        <f t="shared" si="3"/>
        <v>2.9000000000000012</v>
      </c>
      <c r="B52">
        <f t="shared" si="0"/>
        <v>-2.3742721151441586</v>
      </c>
      <c r="C52">
        <f>regressionssens!$AR$1*$A52</f>
        <v>2.2807938016420373</v>
      </c>
      <c r="D52">
        <f>regressionssens!$AO$1*$A52</f>
        <v>3.8465155757687777</v>
      </c>
      <c r="E52">
        <f t="shared" si="1"/>
        <v>2.1873154881399159</v>
      </c>
      <c r="F52">
        <f t="shared" si="2"/>
        <v>-10.067303266681714</v>
      </c>
      <c r="G52" s="5">
        <f>B52-regressions!AA$7</f>
        <v>-6.0955607056091132</v>
      </c>
      <c r="H52" s="5">
        <f>B52+regressions!AA$7</f>
        <v>1.3470164753207965</v>
      </c>
      <c r="I52">
        <f>IF($A52&lt;=regressionssens!$L$2,$A52*regressionssens!$L$1,regressionssens!$L$1*regressionssens!$L$2+regressionssens!$L$3*($A52-regressionssens!$L$2))</f>
        <v>-2.9010108930806386</v>
      </c>
      <c r="J52">
        <f>regressionssens!$J$1*A52+regressionssens!$J$2*A52^2</f>
        <v>-2.4984117999984674</v>
      </c>
      <c r="K52">
        <f>regressionssens!$V$1*A52</f>
        <v>-2.9010109151503616</v>
      </c>
      <c r="L52">
        <f>regressionssens!$N$1*A52^2</f>
        <v>-1.8550549522247022</v>
      </c>
      <c r="M52" s="20">
        <f>regressionssens!$R$1*A52^2+regressionssens!$R$2*A52^6</f>
        <v>-2.3406508318714705</v>
      </c>
      <c r="N52">
        <f>regressionssens!$P$1*A52^2+regressionssens!$P$2*A52^7</f>
        <v>-2.1263779597678756</v>
      </c>
      <c r="O52">
        <f>regressionssens!$T$2+regressionssens!$T$1*EXP(A52)</f>
        <v>-0.150807692720176</v>
      </c>
      <c r="P52" s="20">
        <f>(1-EXP(-2*regressionssens!X$1*graphsens!A52))/2/EXP(-regressionssens!X$1*A52)</f>
        <v>-1.6285940483555086</v>
      </c>
      <c r="Q52" s="55"/>
      <c r="S52" s="64"/>
      <c r="T52" s="64"/>
      <c r="U52" s="64"/>
      <c r="V52" s="64"/>
      <c r="W52" s="64"/>
      <c r="X52" s="64"/>
      <c r="AB52" s="59"/>
      <c r="AE52" s="1"/>
      <c r="AO52" s="1"/>
      <c r="AP52" s="1"/>
      <c r="AT52" s="33"/>
      <c r="AW52" s="33"/>
      <c r="AZ52" s="33"/>
    </row>
    <row r="53" spans="1:52" x14ac:dyDescent="0.35">
      <c r="A53">
        <f t="shared" si="3"/>
        <v>3.0000000000000013</v>
      </c>
      <c r="B53">
        <f t="shared" si="0"/>
        <v>-2.5037295101532764</v>
      </c>
      <c r="C53">
        <f>regressionssens!$AR$1*$A53</f>
        <v>2.3594418637676249</v>
      </c>
      <c r="D53">
        <f>regressionssens!$AO$1*$A53</f>
        <v>3.9791540438987352</v>
      </c>
      <c r="E53">
        <f t="shared" si="1"/>
        <v>2.2151542173819734</v>
      </c>
      <c r="F53">
        <f t="shared" si="2"/>
        <v>-10.462037597950747</v>
      </c>
      <c r="G53" s="5">
        <f>B53-regressions!AA$7</f>
        <v>-6.2250181006182315</v>
      </c>
      <c r="H53" s="5">
        <f>B53+regressions!AA$7</f>
        <v>1.2175590803116787</v>
      </c>
      <c r="I53">
        <f>IF($A53&lt;=regressionssens!$L$2,$A53*regressionssens!$L$1,regressionssens!$L$1*regressionssens!$L$2+regressionssens!$L$3*($A53-regressionssens!$L$2))</f>
        <v>-3.0010457514627298</v>
      </c>
      <c r="J53">
        <f>regressionssens!$J$1*A53+regressionssens!$J$2*A53^2</f>
        <v>-2.616248547072149</v>
      </c>
      <c r="K53">
        <f>regressionssens!$V$1*A53</f>
        <v>-3.0010457742934777</v>
      </c>
      <c r="L53">
        <f>regressionssens!$N$1*A53^2</f>
        <v>-1.9851955493486704</v>
      </c>
      <c r="M53" s="20">
        <f>regressionssens!$R$1*A53^2+regressionssens!$R$2*A53^6</f>
        <v>-2.5004812593291659</v>
      </c>
      <c r="N53">
        <f>regressionssens!$P$1*A53^2+regressionssens!$P$2*A53^7</f>
        <v>-2.273913665808402</v>
      </c>
      <c r="O53">
        <f>regressionssens!$T$2+regressionssens!$T$1*EXP(A53)</f>
        <v>-0.16759179136987806</v>
      </c>
      <c r="P53" s="20">
        <f>(1-EXP(-2*regressionssens!X$1*graphsens!A53))/2/EXP(-regressionssens!X$1*A53)</f>
        <v>-1.7134682464898563</v>
      </c>
      <c r="Q53" s="55"/>
      <c r="R53" s="63"/>
      <c r="S53" s="62"/>
      <c r="T53" s="63"/>
      <c r="U53" s="63"/>
      <c r="V53" s="63"/>
      <c r="W53" s="63"/>
      <c r="X53" s="63"/>
      <c r="Y53" s="50"/>
      <c r="Z53" s="52"/>
      <c r="AA53" s="52"/>
      <c r="AB53" s="57"/>
      <c r="AC53" s="57"/>
      <c r="AD53" s="1"/>
      <c r="AE53" s="53"/>
      <c r="AF53" s="53"/>
      <c r="AK53" s="5"/>
      <c r="AL53" s="1"/>
      <c r="AM53" s="1"/>
      <c r="AO53" s="1"/>
      <c r="AP53" s="1"/>
      <c r="AT53" s="33"/>
      <c r="AW53" s="33"/>
      <c r="AZ53" s="33"/>
    </row>
    <row r="54" spans="1:52" x14ac:dyDescent="0.35">
      <c r="A54">
        <f t="shared" si="3"/>
        <v>3.1000000000000014</v>
      </c>
      <c r="B54">
        <f t="shared" si="0"/>
        <v>-2.6361581714110502</v>
      </c>
      <c r="C54">
        <f>regressionssens!$AR$1*$A54</f>
        <v>2.4380899258932125</v>
      </c>
      <c r="D54">
        <f>regressionssens!$AO$1*$A54</f>
        <v>4.1117925120286936</v>
      </c>
      <c r="E54">
        <f t="shared" si="1"/>
        <v>2.2400216803753747</v>
      </c>
      <c r="F54">
        <f t="shared" si="2"/>
        <v>-10.859743195468438</v>
      </c>
      <c r="G54" s="5">
        <f>B54-regressions!AA$7</f>
        <v>-6.3574467618760053</v>
      </c>
      <c r="H54" s="5">
        <f>B54+regressions!AA$7</f>
        <v>1.0851304190539048</v>
      </c>
      <c r="I54">
        <f>IF($A54&lt;=regressionssens!$L$2,$A54*regressionssens!$L$1,regressionssens!$L$1*regressionssens!$L$2+regressionssens!$L$3*($A54-regressionssens!$L$2))</f>
        <v>-3.1010806098448205</v>
      </c>
      <c r="J54">
        <f>regressionssens!$J$1*A54+regressionssens!$J$2*A54^2</f>
        <v>-2.7361976018817806</v>
      </c>
      <c r="K54">
        <f>regressionssens!$V$1*A54</f>
        <v>-3.1010806334365935</v>
      </c>
      <c r="L54">
        <f>regressionssens!$N$1*A54^2</f>
        <v>-2.1197476921378584</v>
      </c>
      <c r="M54" s="20">
        <f>regressionssens!$R$1*A54^2+regressionssens!$R$2*A54^6</f>
        <v>-2.6647932400352694</v>
      </c>
      <c r="N54">
        <f>regressionssens!$P$1*A54^2+regressionssens!$P$2*A54^7</f>
        <v>-2.4260342866515745</v>
      </c>
      <c r="O54">
        <f>regressionssens!$T$2+regressionssens!$T$1*EXP(A54)</f>
        <v>-0.18614108908364158</v>
      </c>
      <c r="P54" s="20">
        <f>(1-EXP(-2*regressionssens!X$1*graphsens!A54))/2/EXP(-regressionssens!X$1*A54)</f>
        <v>-1.8015983474991972</v>
      </c>
      <c r="AK54" s="1"/>
      <c r="AL54" s="1"/>
      <c r="AT54" s="33"/>
      <c r="AW54" s="33"/>
      <c r="AZ54" s="33"/>
    </row>
    <row r="55" spans="1:52" x14ac:dyDescent="0.35">
      <c r="A55">
        <f t="shared" si="3"/>
        <v>3.2000000000000015</v>
      </c>
      <c r="B55">
        <f t="shared" si="0"/>
        <v>-2.7715097629446439</v>
      </c>
      <c r="C55">
        <f>regressionssens!$AR$1*$A55</f>
        <v>2.5167379880187997</v>
      </c>
      <c r="D55">
        <f>regressionssens!$AO$1*$A55</f>
        <v>4.2444309801586515</v>
      </c>
      <c r="E55">
        <f t="shared" si="1"/>
        <v>2.2619662130929554</v>
      </c>
      <c r="F55">
        <f t="shared" si="2"/>
        <v>-11.260371723261947</v>
      </c>
      <c r="G55" s="5">
        <f>B55-regressions!AA$7</f>
        <v>-6.492798353409599</v>
      </c>
      <c r="H55" s="5">
        <f>B55+regressions!AA$7</f>
        <v>0.94977882752031118</v>
      </c>
      <c r="I55">
        <f>IF($A55&lt;=regressionssens!$L$2,$A55*regressionssens!$L$1,regressionssens!$L$1*regressionssens!$L$2+regressionssens!$L$3*($A55-regressionssens!$L$2))</f>
        <v>-3.2011154682269116</v>
      </c>
      <c r="J55">
        <f>regressionssens!$J$1*A55+regressionssens!$J$2*A55^2</f>
        <v>-2.8582589644273622</v>
      </c>
      <c r="K55">
        <f>regressionssens!$V$1*A55</f>
        <v>-3.2011154925797096</v>
      </c>
      <c r="L55">
        <f>regressionssens!$N$1*A55^2</f>
        <v>-2.2587113805922652</v>
      </c>
      <c r="M55" s="20">
        <f>regressionssens!$R$1*A55^2+regressionssens!$R$2*A55^6</f>
        <v>-2.8334254464811406</v>
      </c>
      <c r="N55">
        <f>regressionssens!$P$1*A55^2+regressionssens!$P$2*A55^7</f>
        <v>-2.5826523109206603</v>
      </c>
      <c r="O55">
        <f>regressionssens!$T$2+regressionssens!$T$1*EXP(A55)</f>
        <v>-0.20664123346762006</v>
      </c>
      <c r="P55" s="20">
        <f>(1-EXP(-2*regressionssens!X$1*graphsens!A55))/2/EXP(-regressionssens!X$1*A55)</f>
        <v>-1.8931518146848432</v>
      </c>
      <c r="Q55" s="1"/>
      <c r="AE55" s="53"/>
      <c r="AO55" s="1"/>
      <c r="AP55" s="1"/>
      <c r="AT55" s="33"/>
      <c r="AW55" s="33"/>
      <c r="AZ55" s="33"/>
    </row>
    <row r="56" spans="1:52" x14ac:dyDescent="0.35">
      <c r="A56">
        <f t="shared" si="3"/>
        <v>3.3000000000000016</v>
      </c>
      <c r="B56">
        <f t="shared" si="0"/>
        <v>-2.9097299234548015</v>
      </c>
      <c r="C56">
        <f>regressionssens!$AR$1*$A56</f>
        <v>2.5953860501443873</v>
      </c>
      <c r="D56">
        <f>regressionssens!$AO$1*$A56</f>
        <v>4.3770694482886094</v>
      </c>
      <c r="E56">
        <f t="shared" si="1"/>
        <v>2.281042176833973</v>
      </c>
      <c r="F56">
        <f t="shared" si="2"/>
        <v>-11.66386882003202</v>
      </c>
      <c r="G56" s="5">
        <f>B56-regressions!AA$7</f>
        <v>-6.6310185139197566</v>
      </c>
      <c r="H56" s="5">
        <f>B56+regressions!AA$7</f>
        <v>0.81155866701015356</v>
      </c>
      <c r="I56">
        <f>IF($A56&lt;=regressionssens!$L$2,$A56*regressionssens!$L$1,regressionssens!$L$1*regressionssens!$L$2+regressionssens!$L$3*($A56-regressionssens!$L$2))</f>
        <v>-3.3011503266090028</v>
      </c>
      <c r="J56">
        <f>regressionssens!$J$1*A56+regressionssens!$J$2*A56^2</f>
        <v>-2.9824326347088945</v>
      </c>
      <c r="K56">
        <f>regressionssens!$V$1*A56</f>
        <v>-3.3011503517228253</v>
      </c>
      <c r="L56">
        <f>regressionssens!$N$1*A56^2</f>
        <v>-2.4020866147118918</v>
      </c>
      <c r="M56" s="20">
        <f>regressionssens!$R$1*A56^2+regressionssens!$R$2*A56^6</f>
        <v>-3.0062001658669883</v>
      </c>
      <c r="N56">
        <f>regressionssens!$P$1*A56^2+regressionssens!$P$2*A56^7</f>
        <v>-2.7436681834783925</v>
      </c>
      <c r="O56">
        <f>regressionssens!$T$2+regressionssens!$T$1*EXP(A56)</f>
        <v>-0.22929739685714495</v>
      </c>
      <c r="P56" s="20">
        <f>(1-EXP(-2*regressionssens!X$1*graphsens!A56))/2/EXP(-regressionssens!X$1*A56)</f>
        <v>-1.9883026163696005</v>
      </c>
      <c r="AK56" s="1"/>
      <c r="AL56" s="1"/>
      <c r="AT56" s="33"/>
      <c r="AW56" s="33"/>
      <c r="AZ56" s="33"/>
    </row>
    <row r="57" spans="1:52" x14ac:dyDescent="0.35">
      <c r="A57">
        <f t="shared" si="3"/>
        <v>3.4000000000000017</v>
      </c>
      <c r="B57">
        <f t="shared" si="0"/>
        <v>-3.0507577800702412</v>
      </c>
      <c r="C57">
        <f>regressionssens!$AR$1*$A57</f>
        <v>2.6740341122699749</v>
      </c>
      <c r="D57">
        <f>regressionssens!$AO$1*$A57</f>
        <v>4.5097079164185674</v>
      </c>
      <c r="E57">
        <f t="shared" si="1"/>
        <v>2.2973104444697086</v>
      </c>
      <c r="F57">
        <f t="shared" si="2"/>
        <v>-12.070173612907375</v>
      </c>
      <c r="G57" s="5">
        <f>B57-regressions!AA$7</f>
        <v>-6.7720463705351968</v>
      </c>
      <c r="H57" s="5">
        <f>B57+regressions!AA$7</f>
        <v>0.67053081039471385</v>
      </c>
      <c r="I57">
        <f>IF($A57&lt;=regressionssens!$L$2,$A57*regressionssens!$L$1,regressionssens!$L$1*regressionssens!$L$2+regressionssens!$L$3*($A57-regressionssens!$L$2))</f>
        <v>-3.4011851849910939</v>
      </c>
      <c r="J57">
        <f>regressionssens!$J$1*A57+regressionssens!$J$2*A57^2</f>
        <v>-3.108718612726376</v>
      </c>
      <c r="K57">
        <f>regressionssens!$V$1*A57</f>
        <v>-3.4011852108659415</v>
      </c>
      <c r="L57">
        <f>regressionssens!$N$1*A57^2</f>
        <v>-2.5498733944967373</v>
      </c>
      <c r="M57" s="20">
        <f>regressionssens!$R$1*A57^2+regressionssens!$R$2*A57^6</f>
        <v>-3.1829222263085164</v>
      </c>
      <c r="N57">
        <f>regressionssens!$P$1*A57^2+regressionssens!$P$2*A57^7</f>
        <v>-2.9089691027471059</v>
      </c>
      <c r="O57">
        <f>regressionssens!$T$2+regressionssens!$T$1*EXP(A57)</f>
        <v>-0.25433632975041803</v>
      </c>
      <c r="P57" s="20">
        <f>(1-EXP(-2*regressionssens!X$1*graphsens!A57))/2/EXP(-regressionssens!X$1*A57)</f>
        <v>-2.0872315564693862</v>
      </c>
      <c r="AT57" s="33"/>
      <c r="AW57" s="33"/>
      <c r="AZ57" s="33"/>
    </row>
    <row r="58" spans="1:52" x14ac:dyDescent="0.35">
      <c r="A58">
        <f t="shared" si="3"/>
        <v>3.5000000000000018</v>
      </c>
      <c r="B58">
        <f t="shared" si="0"/>
        <v>-3.1945254384666972</v>
      </c>
      <c r="C58">
        <f>regressionssens!$AR$1*$A58</f>
        <v>2.7526821743955625</v>
      </c>
      <c r="D58">
        <f>regressionssens!$AO$1*$A58</f>
        <v>4.6423463845485253</v>
      </c>
      <c r="E58">
        <f t="shared" si="1"/>
        <v>2.3108389103244278</v>
      </c>
      <c r="F58">
        <f t="shared" si="2"/>
        <v>-12.479218207563747</v>
      </c>
      <c r="G58" s="5">
        <f>B58-regressions!AA$7</f>
        <v>-6.9158140289316528</v>
      </c>
      <c r="H58" s="5">
        <f>B58+regressions!AA$7</f>
        <v>0.52676315199825785</v>
      </c>
      <c r="I58">
        <f>IF($A58&lt;=regressionssens!$L$2,$A58*regressionssens!$L$1,regressionssens!$L$1*regressionssens!$L$2+regressionssens!$L$3*($A58-regressionssens!$L$2))</f>
        <v>-3.5012200433731846</v>
      </c>
      <c r="J58">
        <f>regressionssens!$J$1*A58+regressionssens!$J$2*A58^2</f>
        <v>-3.2371168984798082</v>
      </c>
      <c r="K58">
        <f>regressionssens!$V$1*A58</f>
        <v>-3.5012200700090572</v>
      </c>
      <c r="L58">
        <f>regressionssens!$N$1*A58^2</f>
        <v>-2.7020717199468018</v>
      </c>
      <c r="M58" s="20">
        <f>regressionssens!$R$1*A58^2+regressionssens!$R$2*A58^6</f>
        <v>-3.3633778889548949</v>
      </c>
      <c r="N58">
        <f>regressionssens!$P$1*A58^2+regressionssens!$P$2*A58^7</f>
        <v>-3.0784277404887352</v>
      </c>
      <c r="O58">
        <f>regressionssens!$T$2+regressionssens!$T$1*EXP(A58)</f>
        <v>-0.2820086302037112</v>
      </c>
      <c r="P58" s="20">
        <f>(1-EXP(-2*regressionssens!X$1*graphsens!A58))/2/EXP(-regressionssens!X$1*A58)</f>
        <v>-2.1901266180537142</v>
      </c>
      <c r="AT58" s="33"/>
      <c r="AW58" s="33"/>
      <c r="AZ58" s="33"/>
    </row>
    <row r="59" spans="1:52" x14ac:dyDescent="0.35">
      <c r="A59">
        <f t="shared" si="3"/>
        <v>3.6000000000000019</v>
      </c>
      <c r="B59">
        <f t="shared" si="0"/>
        <v>-3.3409574488680085</v>
      </c>
      <c r="C59">
        <f>regressionssens!$AR$1*$A59</f>
        <v>2.8313302365211501</v>
      </c>
      <c r="D59">
        <f>regressionssens!$AO$1*$A59</f>
        <v>4.7749848526784824</v>
      </c>
      <c r="E59">
        <f t="shared" si="1"/>
        <v>2.3217030241742918</v>
      </c>
      <c r="F59">
        <f t="shared" si="2"/>
        <v>-12.890927154224974</v>
      </c>
      <c r="G59" s="5">
        <f>B59-regressions!AA$7</f>
        <v>-7.0622460393329636</v>
      </c>
      <c r="H59" s="5">
        <f>B59+regressions!AA$7</f>
        <v>0.38033114159694659</v>
      </c>
      <c r="I59">
        <f>IF($A59&lt;=regressionssens!$L$2,$A59*regressionssens!$L$1,regressionssens!$L$1*regressionssens!$L$2+regressionssens!$L$3*($A59-regressionssens!$L$2))</f>
        <v>-3.6012549017552757</v>
      </c>
      <c r="J59">
        <f>regressionssens!$J$1*A59+regressionssens!$J$2*A59^2</f>
        <v>-3.3676274919691904</v>
      </c>
      <c r="K59">
        <f>regressionssens!$V$1*A59</f>
        <v>-3.6012549291521734</v>
      </c>
      <c r="L59">
        <f>regressionssens!$N$1*A59^2</f>
        <v>-2.8586815910620862</v>
      </c>
      <c r="M59" s="20">
        <f>regressionssens!$R$1*A59^2+regressionssens!$R$2*A59^6</f>
        <v>-3.5473337060180503</v>
      </c>
      <c r="N59">
        <f>regressionssens!$P$1*A59^2+regressionssens!$P$2*A59^7</f>
        <v>-3.2519008816215456</v>
      </c>
      <c r="O59">
        <f>regressionssens!$T$2+regressionssens!$T$1*EXP(A59)</f>
        <v>-0.31259125190094234</v>
      </c>
      <c r="P59" s="20">
        <f>(1-EXP(-2*regressionssens!X$1*graphsens!A59))/2/EXP(-regressionssens!X$1*A59)</f>
        <v>-2.2971833205478918</v>
      </c>
      <c r="AT59" s="33"/>
      <c r="AW59" s="33"/>
      <c r="AZ59" s="33"/>
    </row>
    <row r="60" spans="1:52" x14ac:dyDescent="0.35">
      <c r="A60">
        <f t="shared" si="3"/>
        <v>3.700000000000002</v>
      </c>
      <c r="B60">
        <f t="shared" si="0"/>
        <v>-3.4899702474479359</v>
      </c>
      <c r="C60">
        <f>regressionssens!$AR$1*$A60</f>
        <v>2.9099782986467377</v>
      </c>
      <c r="D60">
        <f>regressionssens!$AO$1*$A60</f>
        <v>4.9076233208084403</v>
      </c>
      <c r="E60">
        <f t="shared" si="1"/>
        <v>2.3299863498455395</v>
      </c>
      <c r="F60">
        <f t="shared" si="2"/>
        <v>-13.305216889064816</v>
      </c>
      <c r="G60" s="5">
        <f>B60-regressions!AA$7</f>
        <v>-7.211258837912891</v>
      </c>
      <c r="H60" s="5">
        <f>B60+regressions!AA$7</f>
        <v>0.23131834301701915</v>
      </c>
      <c r="I60">
        <f>IF($A60&lt;=regressionssens!$L$2,$A60*regressionssens!$L$1,regressionssens!$L$1*regressionssens!$L$2+regressionssens!$L$3*($A60-regressionssens!$L$2))</f>
        <v>-3.7012897601373669</v>
      </c>
      <c r="J60">
        <f>regressionssens!$J$1*A60+regressionssens!$J$2*A60^2</f>
        <v>-3.5002503931945226</v>
      </c>
      <c r="K60">
        <f>regressionssens!$V$1*A60</f>
        <v>-3.7012897882952891</v>
      </c>
      <c r="L60">
        <f>regressionssens!$N$1*A60^2</f>
        <v>-3.0197030078425895</v>
      </c>
      <c r="M60" s="20">
        <f>regressionssens!$R$1*A60^2+regressionssens!$R$2*A60^6</f>
        <v>-3.7345353447132812</v>
      </c>
      <c r="N60">
        <f>regressionssens!$P$1*A60^2+regressionssens!$P$2*A60^7</f>
        <v>-3.4292279816504641</v>
      </c>
      <c r="O60">
        <f>regressionssens!$T$2+regressionssens!$T$1*EXP(A60)</f>
        <v>-0.3463902759992315</v>
      </c>
      <c r="P60" s="20">
        <f>(1-EXP(-2*regressionssens!X$1*graphsens!A60))/2/EXP(-regressionssens!X$1*A60)</f>
        <v>-2.4086050912556645</v>
      </c>
      <c r="Q60" s="5"/>
      <c r="AE60" s="58"/>
      <c r="AO60" s="1"/>
      <c r="AP60" s="1"/>
      <c r="AT60" s="33"/>
      <c r="AW60" s="33"/>
      <c r="AZ60" s="33"/>
    </row>
    <row r="61" spans="1:52" x14ac:dyDescent="0.35">
      <c r="A61">
        <f t="shared" si="3"/>
        <v>3.800000000000002</v>
      </c>
      <c r="B61">
        <f t="shared" si="0"/>
        <v>-3.6414715726526734</v>
      </c>
      <c r="C61">
        <f>regressionssens!$AR$1*$A61</f>
        <v>2.9886263607723249</v>
      </c>
      <c r="D61">
        <f>regressionssens!$AO$1*$A61</f>
        <v>5.0402617889383983</v>
      </c>
      <c r="E61">
        <f t="shared" si="1"/>
        <v>2.3357811488919764</v>
      </c>
      <c r="F61">
        <f t="shared" si="2"/>
        <v>-13.721995150529469</v>
      </c>
      <c r="G61" s="5">
        <f>B61-regressions!AA$7</f>
        <v>-7.3627601631176285</v>
      </c>
      <c r="H61" s="5">
        <f>B61+regressions!AA$7</f>
        <v>7.9817017812281676E-2</v>
      </c>
      <c r="I61">
        <f>IF($A61&lt;=regressionssens!$L$2,$A61*regressionssens!$L$1,regressionssens!$L$1*regressionssens!$L$2+regressionssens!$L$3*($A61-regressionssens!$L$2))</f>
        <v>-3.801324618519458</v>
      </c>
      <c r="J61">
        <f>regressionssens!$J$1*A61+regressionssens!$J$2*A61^2</f>
        <v>-3.6349856021558047</v>
      </c>
      <c r="K61">
        <f>regressionssens!$V$1*A61</f>
        <v>-3.8013246474384053</v>
      </c>
      <c r="L61">
        <f>regressionssens!$N$1*A61^2</f>
        <v>-3.1851359702883122</v>
      </c>
      <c r="M61" s="20">
        <f>regressionssens!$R$1*A61^2+regressionssens!$R$2*A61^6</f>
        <v>-3.9247063771111947</v>
      </c>
      <c r="N61">
        <f>regressionssens!$P$1*A61^2+regressionssens!$P$2*A61^7</f>
        <v>-3.6102296392878857</v>
      </c>
      <c r="O61">
        <f>regressionssens!$T$2+regressionssens!$T$1*EXP(A61)</f>
        <v>-0.38374397449199871</v>
      </c>
      <c r="P61" s="20">
        <f>(1-EXP(-2*regressionssens!X$1*graphsens!A61))/2/EXP(-regressionssens!X$1*A61)</f>
        <v>-2.5246036519082802</v>
      </c>
      <c r="AT61" s="33"/>
      <c r="AW61" s="33"/>
      <c r="AZ61" s="33"/>
    </row>
    <row r="62" spans="1:52" x14ac:dyDescent="0.35">
      <c r="A62">
        <f t="shared" si="3"/>
        <v>3.9000000000000021</v>
      </c>
      <c r="B62">
        <f t="shared" si="0"/>
        <v>-3.7953598559654624</v>
      </c>
      <c r="C62">
        <f>regressionssens!$AR$1*$A62</f>
        <v>3.0672744228979125</v>
      </c>
      <c r="D62">
        <f>regressionssens!$AO$1*$A62</f>
        <v>5.1729002570683562</v>
      </c>
      <c r="E62">
        <f t="shared" si="1"/>
        <v>2.3391889898303626</v>
      </c>
      <c r="F62">
        <f t="shared" si="2"/>
        <v>-14.141160370102174</v>
      </c>
      <c r="G62" s="5">
        <f>B62-regressions!AA$7</f>
        <v>-7.516648446430418</v>
      </c>
      <c r="H62" s="5">
        <f>B62+regressions!AA$7</f>
        <v>-7.4071265500507355E-2</v>
      </c>
      <c r="I62">
        <f>IF($A62&lt;=regressionssens!$L$2,$A62*regressionssens!$L$1,regressionssens!$L$1*regressionssens!$L$2+regressionssens!$L$3*($A62-regressionssens!$L$2))</f>
        <v>-3.9013594769015487</v>
      </c>
      <c r="J62">
        <f>regressionssens!$J$1*A62+regressionssens!$J$2*A62^2</f>
        <v>-3.7718331188530376</v>
      </c>
      <c r="K62">
        <f>regressionssens!$V$1*A62</f>
        <v>-3.901359506581521</v>
      </c>
      <c r="L62">
        <f>regressionssens!$N$1*A62^2</f>
        <v>-3.3549804783992543</v>
      </c>
      <c r="M62" s="20">
        <f>regressionssens!$R$1*A62^2+regressionssens!$R$2*A62^6</f>
        <v>-4.1175470359009649</v>
      </c>
      <c r="N62">
        <f>regressionssens!$P$1*A62^2+regressionssens!$P$2*A62^7</f>
        <v>-3.7947059818418212</v>
      </c>
      <c r="O62">
        <f>regressionssens!$T$2+regressionssens!$T$1*EXP(A62)</f>
        <v>-0.42502619574877115</v>
      </c>
      <c r="P62" s="20">
        <f>(1-EXP(-2*regressionssens!X$1*graphsens!A62))/2/EXP(-regressionssens!X$1*A62)</f>
        <v>-2.6453994209744778</v>
      </c>
      <c r="AT62" s="33"/>
      <c r="AW62" s="33"/>
      <c r="AZ62" s="33"/>
    </row>
    <row r="63" spans="1:52" x14ac:dyDescent="0.35">
      <c r="A63">
        <f t="shared" si="3"/>
        <v>4.0000000000000018</v>
      </c>
      <c r="B63">
        <f t="shared" si="0"/>
        <v>-3.9515235866361453</v>
      </c>
      <c r="C63">
        <f>regressionssens!$AR$1*$A63</f>
        <v>3.1459224850234997</v>
      </c>
      <c r="D63">
        <f>regressionssens!$AO$1*$A63</f>
        <v>5.3055387251983142</v>
      </c>
      <c r="E63">
        <f t="shared" si="1"/>
        <v>2.3403213834108541</v>
      </c>
      <c r="F63">
        <f t="shared" si="2"/>
        <v>-14.562601037032774</v>
      </c>
      <c r="G63" s="5">
        <f>B63-regressions!AA$7</f>
        <v>-7.6728121771011004</v>
      </c>
      <c r="H63" s="5">
        <f>B63+regressions!AA$7</f>
        <v>-0.23023499617119025</v>
      </c>
      <c r="I63">
        <f>IF($A63&lt;=regressionssens!$L$2,$A63*regressionssens!$L$1,regressionssens!$L$1*regressionssens!$L$2+regressionssens!$L$3*($A63-regressionssens!$L$2))</f>
        <v>-4.0013943352836394</v>
      </c>
      <c r="J63">
        <f>regressionssens!$J$1*A63+regressionssens!$J$2*A63^2</f>
        <v>-3.9107929432862196</v>
      </c>
      <c r="K63">
        <f>regressionssens!$V$1*A63</f>
        <v>-4.0013943657246367</v>
      </c>
      <c r="L63">
        <f>regressionssens!$N$1*A63^2</f>
        <v>-3.5292365321754144</v>
      </c>
      <c r="M63" s="20">
        <f>regressionssens!$R$1*A63^2+regressionssens!$R$2*A63^6</f>
        <v>-4.3127329360649114</v>
      </c>
      <c r="N63">
        <f>regressionssens!$P$1*A63^2+regressionssens!$P$2*A63^7</f>
        <v>-3.982434960948261</v>
      </c>
      <c r="O63">
        <f>regressionssens!$T$2+regressionssens!$T$1*EXP(A63)</f>
        <v>-0.47065010611532015</v>
      </c>
      <c r="P63" s="20">
        <f>(1-EXP(-2*regressionssens!X$1*graphsens!A63))/2/EXP(-regressionssens!X$1*A63)</f>
        <v>-2.7712219324958678</v>
      </c>
      <c r="Q63" s="5"/>
      <c r="AB63" s="61"/>
      <c r="AC63" s="49"/>
      <c r="AD63" s="61"/>
      <c r="AE63" s="58"/>
      <c r="AF63" s="58"/>
      <c r="AO63" s="1"/>
      <c r="AP63" s="1"/>
      <c r="AT63" s="33"/>
      <c r="AW63" s="33"/>
      <c r="AZ63" s="33"/>
    </row>
    <row r="64" spans="1:52" x14ac:dyDescent="0.35">
      <c r="A64">
        <f t="shared" si="3"/>
        <v>4.1000000000000014</v>
      </c>
      <c r="B64">
        <f t="shared" si="0"/>
        <v>-4.1098406499001037</v>
      </c>
      <c r="C64">
        <f>regressionssens!$AR$1*$A64</f>
        <v>3.2245705471490869</v>
      </c>
      <c r="D64">
        <f>regressionssens!$AO$1*$A64</f>
        <v>5.4381771933282712</v>
      </c>
      <c r="E64">
        <f t="shared" si="1"/>
        <v>2.3393004443980701</v>
      </c>
      <c r="F64">
        <f t="shared" si="2"/>
        <v>-14.986195036556646</v>
      </c>
      <c r="G64" s="5">
        <f>B64-regressions!AA$7</f>
        <v>-7.8311292403650583</v>
      </c>
      <c r="H64" s="5">
        <f>B64+regressions!AA$7</f>
        <v>-0.38855205943514859</v>
      </c>
      <c r="I64">
        <f>IF($A64&lt;=regressionssens!$L$2,$A64*regressionssens!$L$1,regressionssens!$L$1*regressionssens!$L$2+regressionssens!$L$3*($A64-regressionssens!$L$2))</f>
        <v>-4.1014291936657301</v>
      </c>
      <c r="J64">
        <f>regressionssens!$J$1*A64+regressionssens!$J$2*A64^2</f>
        <v>-4.0518650754553516</v>
      </c>
      <c r="K64">
        <f>regressionssens!$V$1*A64</f>
        <v>-4.1014292248677524</v>
      </c>
      <c r="L64">
        <f>regressionssens!$N$1*A64^2</f>
        <v>-3.7079041316167944</v>
      </c>
      <c r="M64" s="20">
        <f>regressionssens!$R$1*A64^2+regressionssens!$R$2*A64^6</f>
        <v>-4.5099137624644046</v>
      </c>
      <c r="N64">
        <f>regressionssens!$P$1*A64^2+regressionssens!$P$2*A64^7</f>
        <v>-4.1731705562246262</v>
      </c>
      <c r="O64">
        <f>regressionssens!$T$2+regressionssens!$T$1*EXP(A64)</f>
        <v>-0.52107232502132017</v>
      </c>
      <c r="P64" s="20">
        <f>(1-EXP(-2*regressionssens!X$1*graphsens!A64))/2/EXP(-regressionssens!X$1*A64)</f>
        <v>-2.9023102722435707</v>
      </c>
      <c r="AT64" s="33"/>
      <c r="AW64" s="33"/>
      <c r="AZ64" s="33"/>
    </row>
    <row r="65" spans="1:52" x14ac:dyDescent="0.35">
      <c r="A65">
        <f t="shared" si="3"/>
        <v>4.2000000000000011</v>
      </c>
      <c r="B65">
        <f t="shared" si="0"/>
        <v>-4.2701776382126049</v>
      </c>
      <c r="C65">
        <f>regressionssens!$AR$1*$A65</f>
        <v>3.303218609274674</v>
      </c>
      <c r="D65">
        <f>regressionssens!$AO$1*$A65</f>
        <v>5.5708156614582283</v>
      </c>
      <c r="E65">
        <f t="shared" si="1"/>
        <v>2.3362595803367432</v>
      </c>
      <c r="F65">
        <f t="shared" si="2"/>
        <v>-15.411808961129061</v>
      </c>
      <c r="G65" s="5">
        <f>B65-regressions!AA$7</f>
        <v>-7.9914662286775595</v>
      </c>
      <c r="H65" s="5">
        <f>B65+regressions!AA$7</f>
        <v>-0.54888904774764979</v>
      </c>
      <c r="I65">
        <f>IF($A65&lt;=regressionssens!$L$2,$A65*regressionssens!$L$1,regressionssens!$L$1*regressionssens!$L$2+regressionssens!$L$3*($A65-regressionssens!$L$2))</f>
        <v>-4.2014640520478208</v>
      </c>
      <c r="J65">
        <f>regressionssens!$J$1*A65+regressionssens!$J$2*A65^2</f>
        <v>-4.1950495153604344</v>
      </c>
      <c r="K65">
        <f>regressionssens!$V$1*A65</f>
        <v>-4.2014640840108681</v>
      </c>
      <c r="L65">
        <f>regressionssens!$N$1*A65^2</f>
        <v>-3.8909832767233925</v>
      </c>
      <c r="M65" s="20">
        <f>regressionssens!$R$1*A65^2+regressionssens!$R$2*A65^6</f>
        <v>-4.7087119233370931</v>
      </c>
      <c r="N65">
        <f>regressionssens!$P$1*A65^2+regressionssens!$P$2*A65^7</f>
        <v>-4.3666408844211668</v>
      </c>
      <c r="O65">
        <f>regressionssens!$T$2+regressionssens!$T$1*EXP(A65)</f>
        <v>-0.57679749498107546</v>
      </c>
      <c r="P65" s="20">
        <f>(1-EXP(-2*regressionssens!X$1*graphsens!A65))/2/EXP(-regressionssens!X$1*A65)</f>
        <v>-3.0389135320248819</v>
      </c>
      <c r="AT65" s="33"/>
      <c r="AW65" s="33"/>
      <c r="AZ65" s="33"/>
    </row>
    <row r="66" spans="1:52" x14ac:dyDescent="0.35">
      <c r="A66">
        <f t="shared" si="3"/>
        <v>4.3000000000000007</v>
      </c>
      <c r="B66">
        <f t="shared" si="0"/>
        <v>-4.4323891350263995</v>
      </c>
      <c r="C66">
        <f>regressionssens!$AR$1*$A66</f>
        <v>3.3818666714002612</v>
      </c>
      <c r="D66">
        <f>regressionssens!$AO$1*$A66</f>
        <v>5.7034541295881862</v>
      </c>
      <c r="E66">
        <f t="shared" si="1"/>
        <v>2.3313442077741229</v>
      </c>
      <c r="F66">
        <f t="shared" si="2"/>
        <v>-15.839297394202772</v>
      </c>
      <c r="G66" s="5">
        <f>B66-regressions!AA$7</f>
        <v>-8.1536777254913542</v>
      </c>
      <c r="H66" s="5">
        <f>B66+regressions!AA$7</f>
        <v>-0.71110054456144445</v>
      </c>
      <c r="I66">
        <f>IF($A66&lt;=regressionssens!$L$2,$A66*regressionssens!$L$1,regressionssens!$L$1*regressionssens!$L$2+regressionssens!$L$3*($A66-regressionssens!$L$2))</f>
        <v>-4.3014989104299115</v>
      </c>
      <c r="J66">
        <f>regressionssens!$J$1*A66+regressionssens!$J$2*A66^2</f>
        <v>-4.3403462630014662</v>
      </c>
      <c r="K66">
        <f>regressionssens!$V$1*A66</f>
        <v>-4.301498943153983</v>
      </c>
      <c r="L66">
        <f>regressionssens!$N$1*A66^2</f>
        <v>-4.0784739674952109</v>
      </c>
      <c r="M66" s="20">
        <f>regressionssens!$R$1*A66^2+regressionssens!$R$2*A66^6</f>
        <v>-4.9087211697054451</v>
      </c>
      <c r="N66">
        <f>regressionssens!$P$1*A66^2+regressionssens!$P$2*A66^7</f>
        <v>-4.5625462116472022</v>
      </c>
      <c r="O66">
        <f>regressionssens!$T$2+regressionssens!$T$1*EXP(A66)</f>
        <v>-0.63838333222541965</v>
      </c>
      <c r="P66" s="20">
        <f>(1-EXP(-2*regressionssens!X$1*graphsens!A66))/2/EXP(-regressionssens!X$1*A66)</f>
        <v>-3.1812912830032407</v>
      </c>
      <c r="Q66" s="5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O66" s="1"/>
      <c r="AP66" s="1"/>
      <c r="AT66" s="33"/>
      <c r="AW66" s="33"/>
      <c r="AZ66" s="33"/>
    </row>
    <row r="67" spans="1:52" x14ac:dyDescent="0.35">
      <c r="A67">
        <f t="shared" si="3"/>
        <v>4.4000000000000004</v>
      </c>
      <c r="B67">
        <f t="shared" si="0"/>
        <v>-4.5963169706421683</v>
      </c>
      <c r="C67">
        <f>regressionssens!$AR$1*$A67</f>
        <v>3.4605147335258484</v>
      </c>
      <c r="D67">
        <f>regressionssens!$AO$1*$A67</f>
        <v>5.8360925977181433</v>
      </c>
      <c r="E67">
        <f t="shared" si="1"/>
        <v>2.3247124964095285</v>
      </c>
      <c r="F67">
        <f t="shared" si="2"/>
        <v>-16.268502166078456</v>
      </c>
      <c r="G67" s="5">
        <f>B67-regressions!AA$7</f>
        <v>-8.3176055611071238</v>
      </c>
      <c r="H67" s="5">
        <f>B67+regressions!AA$7</f>
        <v>-0.87502838017721318</v>
      </c>
      <c r="I67">
        <f>IF($A67&lt;=regressionssens!$L$2,$A67*regressionssens!$L$1,regressionssens!$L$1*regressionssens!$L$2+regressionssens!$L$3*($A67-regressionssens!$L$2))</f>
        <v>-4.4015337688120013</v>
      </c>
      <c r="J67">
        <f>regressionssens!$J$1*A67+regressionssens!$J$2*A67^2</f>
        <v>-4.4877553183784489</v>
      </c>
      <c r="K67">
        <f>regressionssens!$V$1*A67</f>
        <v>-4.4015338022970987</v>
      </c>
      <c r="L67">
        <f>regressionssens!$N$1*A67^2</f>
        <v>-4.2703762039322486</v>
      </c>
      <c r="M67" s="20">
        <f>regressionssens!$R$1*A67^2+regressionssens!$R$2*A67^6</f>
        <v>-5.1095051806966207</v>
      </c>
      <c r="N67">
        <f>regressionssens!$P$1*A67^2+regressionssens!$P$2*A67^7</f>
        <v>-4.7605568662490363</v>
      </c>
      <c r="O67">
        <f>regressionssens!$T$2+regressionssens!$T$1*EXP(A67)</f>
        <v>-0.70644620851320894</v>
      </c>
      <c r="P67" s="20">
        <f>(1-EXP(-2*regressionssens!X$1*graphsens!A67))/2/EXP(-regressionssens!X$1*A67)</f>
        <v>-3.3297140689308833</v>
      </c>
      <c r="AT67" s="33"/>
      <c r="AW67" s="33"/>
      <c r="AZ67" s="33"/>
    </row>
    <row r="68" spans="1:52" x14ac:dyDescent="0.35">
      <c r="A68">
        <f t="shared" si="3"/>
        <v>4.5</v>
      </c>
      <c r="B68">
        <f t="shared" ref="B68:B131" si="4">SUMPRODUCT(I$2:P$2,I68:P68)</f>
        <v>-4.761789449663409</v>
      </c>
      <c r="C68">
        <f>regressionssens!$AR$1*$A68</f>
        <v>3.5391627956514355</v>
      </c>
      <c r="D68">
        <f>regressionssens!$AO$1*$A68</f>
        <v>5.9687310658481003</v>
      </c>
      <c r="E68">
        <f t="shared" si="1"/>
        <v>2.3165361416394621</v>
      </c>
      <c r="F68">
        <f t="shared" si="2"/>
        <v>-16.699251581359611</v>
      </c>
      <c r="G68" s="5">
        <f>B68-regressions!AA$7</f>
        <v>-8.4830780401283636</v>
      </c>
      <c r="H68" s="5">
        <f>B68+regressions!AA$7</f>
        <v>-1.0405008591984539</v>
      </c>
      <c r="I68">
        <f>IF($A68&lt;=regressionssens!$L$2,$A68*regressionssens!$L$1,regressionssens!$L$1*regressionssens!$L$2+regressionssens!$L$3*($A68-regressionssens!$L$2))</f>
        <v>-4.501568627194092</v>
      </c>
      <c r="J68">
        <f>regressionssens!$J$1*A68+regressionssens!$J$2*A68^2</f>
        <v>-4.6372766814913806</v>
      </c>
      <c r="K68">
        <f>regressionssens!$V$1*A68</f>
        <v>-4.5015686614402144</v>
      </c>
      <c r="L68">
        <f>regressionssens!$N$1*A68^2</f>
        <v>-4.4666899860345053</v>
      </c>
      <c r="M68" s="20">
        <f>regressionssens!$R$1*A68^2+regressionssens!$R$2*A68^6</f>
        <v>-5.3105961147736638</v>
      </c>
      <c r="N68">
        <f>regressionssens!$P$1*A68^2+regressionssens!$P$2*A68^7</f>
        <v>-4.9603110499164602</v>
      </c>
      <c r="O68">
        <f>regressionssens!$T$2+regressionssens!$T$1*EXP(A68)</f>
        <v>-0.7816673199870543</v>
      </c>
      <c r="P68" s="20">
        <f>(1-EXP(-2*regressionssens!X$1*graphsens!A68))/2/EXP(-regressionssens!X$1*A68)</f>
        <v>-3.4844639202314305</v>
      </c>
      <c r="AT68" s="33"/>
      <c r="AW68" s="33"/>
      <c r="AZ68" s="33"/>
    </row>
    <row r="69" spans="1:52" x14ac:dyDescent="0.35">
      <c r="A69">
        <f t="shared" si="3"/>
        <v>4.5999999999999996</v>
      </c>
      <c r="B69">
        <f t="shared" si="4"/>
        <v>-4.9286205495893851</v>
      </c>
      <c r="C69">
        <f>regressionssens!$AR$1*$A69</f>
        <v>3.6178108577770227</v>
      </c>
      <c r="D69">
        <f>regressionssens!$AO$1*$A69</f>
        <v>6.1013695339780574</v>
      </c>
      <c r="E69">
        <f t="shared" si="1"/>
        <v>2.3070011659646603</v>
      </c>
      <c r="F69">
        <f t="shared" si="2"/>
        <v>-17.131359617545499</v>
      </c>
      <c r="G69" s="5">
        <f>B69-regressions!AA$7</f>
        <v>-8.6499091400543406</v>
      </c>
      <c r="H69" s="5">
        <f>B69+regressions!AA$7</f>
        <v>-1.20733195912443</v>
      </c>
      <c r="I69">
        <f>IF($A69&lt;=regressionssens!$L$2,$A69*regressionssens!$L$1,regressionssens!$L$1*regressionssens!$L$2+regressionssens!$L$3*($A69-regressionssens!$L$2))</f>
        <v>-4.6016034855761827</v>
      </c>
      <c r="J69">
        <f>regressionssens!$J$1*A69+regressionssens!$J$2*A69^2</f>
        <v>-4.7889103523402632</v>
      </c>
      <c r="K69">
        <f>regressionssens!$V$1*A69</f>
        <v>-4.6016035205833301</v>
      </c>
      <c r="L69">
        <f>regressionssens!$N$1*A69^2</f>
        <v>-4.6674153138019809</v>
      </c>
      <c r="M69" s="20">
        <f>regressionssens!$R$1*A69^2+regressionssens!$R$2*A69^6</f>
        <v>-5.5114931268780145</v>
      </c>
      <c r="N69">
        <f>regressionssens!$P$1*A69^2+regressionssens!$P$2*A69^7</f>
        <v>-5.1614125445946879</v>
      </c>
      <c r="O69">
        <f>regressionssens!$T$2+regressionssens!$T$1*EXP(A69)</f>
        <v>-0.8647995048132745</v>
      </c>
      <c r="P69" s="20">
        <f>(1-EXP(-2*regressionssens!X$1*graphsens!A69))/2/EXP(-regressionssens!X$1*A69)</f>
        <v>-3.6458348899092421</v>
      </c>
      <c r="Q69" s="5"/>
      <c r="AE69" s="58"/>
      <c r="AO69" s="1"/>
      <c r="AP69" s="1"/>
      <c r="AT69" s="33"/>
      <c r="AW69" s="33"/>
      <c r="AZ69" s="33"/>
    </row>
    <row r="70" spans="1:52" x14ac:dyDescent="0.35">
      <c r="A70">
        <f t="shared" si="3"/>
        <v>4.6999999999999993</v>
      </c>
      <c r="B70">
        <f t="shared" si="4"/>
        <v>-5.0966090900819143</v>
      </c>
      <c r="C70">
        <f>regressionssens!$AR$1*$A70</f>
        <v>3.6964589199026099</v>
      </c>
      <c r="D70">
        <f>regressionssens!$AO$1*$A70</f>
        <v>6.2340080021080153</v>
      </c>
      <c r="E70">
        <f t="shared" si="1"/>
        <v>2.2963087497233055</v>
      </c>
      <c r="F70">
        <f t="shared" si="2"/>
        <v>-17.564625094297945</v>
      </c>
      <c r="G70" s="5">
        <f>B70-regressions!AA$7</f>
        <v>-8.817897680546869</v>
      </c>
      <c r="H70" s="5">
        <f>B70+regressions!AA$7</f>
        <v>-1.3753204996169592</v>
      </c>
      <c r="I70">
        <f>IF($A70&lt;=regressionssens!$L$2,$A70*regressionssens!$L$1,regressionssens!$L$1*regressionssens!$L$2+regressionssens!$L$3*($A70-regressionssens!$L$2))</f>
        <v>-4.7016383439582734</v>
      </c>
      <c r="J70">
        <f>regressionssens!$J$1*A70+regressionssens!$J$2*A70^2</f>
        <v>-4.9426563309250966</v>
      </c>
      <c r="K70">
        <f>regressionssens!$V$1*A70</f>
        <v>-4.7016383797264449</v>
      </c>
      <c r="L70">
        <f>regressionssens!$N$1*A70^2</f>
        <v>-4.8725521872346755</v>
      </c>
      <c r="M70" s="20">
        <f>regressionssens!$R$1*A70^2+regressionssens!$R$2*A70^6</f>
        <v>-5.7116608514833453</v>
      </c>
      <c r="N70">
        <f>regressionssens!$P$1*A70^2+regressionssens!$P$2*A70^7</f>
        <v>-5.3634283127785913</v>
      </c>
      <c r="O70">
        <f>regressionssens!$T$2+regressionssens!$T$1*EXP(A70)</f>
        <v>-0.95667477783930277</v>
      </c>
      <c r="P70" s="20">
        <f>(1-EXP(-2*regressionssens!X$1*graphsens!A70))/2/EXP(-regressionssens!X$1*A70)</f>
        <v>-3.8141336123038716</v>
      </c>
      <c r="AT70" s="33"/>
      <c r="AW70" s="33"/>
      <c r="AZ70" s="33"/>
    </row>
    <row r="71" spans="1:52" x14ac:dyDescent="0.35">
      <c r="A71">
        <f t="shared" si="3"/>
        <v>4.7999999999999989</v>
      </c>
      <c r="B71">
        <f t="shared" si="4"/>
        <v>-5.2655378724440585</v>
      </c>
      <c r="C71">
        <f>regressionssens!$AR$1*$A71</f>
        <v>3.7751069820281971</v>
      </c>
      <c r="D71">
        <f>regressionssens!$AO$1*$A71</f>
        <v>6.3666464702379724</v>
      </c>
      <c r="E71">
        <f t="shared" si="1"/>
        <v>2.2846760916123356</v>
      </c>
      <c r="F71">
        <f t="shared" si="2"/>
        <v>-17.998830812920005</v>
      </c>
      <c r="G71" s="5">
        <f>B71-regressions!AA$7</f>
        <v>-8.9868264629090131</v>
      </c>
      <c r="H71" s="5">
        <f>B71+regressions!AA$7</f>
        <v>-1.5442492819791034</v>
      </c>
      <c r="I71">
        <f>IF($A71&lt;=regressionssens!$L$2,$A71*regressionssens!$L$1,regressionssens!$L$1*regressionssens!$L$2+regressionssens!$L$3*($A71-regressionssens!$L$2))</f>
        <v>-4.8016732023403641</v>
      </c>
      <c r="J71">
        <f>regressionssens!$J$1*A71+regressionssens!$J$2*A71^2</f>
        <v>-5.0985146172458791</v>
      </c>
      <c r="K71">
        <f>regressionssens!$V$1*A71</f>
        <v>-4.8016732388695607</v>
      </c>
      <c r="L71">
        <f>regressionssens!$N$1*A71^2</f>
        <v>-5.08210060633259</v>
      </c>
      <c r="M71" s="20">
        <f>regressionssens!$R$1*A71^2+regressionssens!$R$2*A71^6</f>
        <v>-5.9105278515607207</v>
      </c>
      <c r="N71">
        <f>regressionssens!$P$1*A71^2+regressionssens!$P$2*A71^7</f>
        <v>-5.5658859887661292</v>
      </c>
      <c r="O71">
        <f>regressionssens!$T$2+regressionssens!$T$1*EXP(A71)</f>
        <v>-1.0582126576779292</v>
      </c>
      <c r="P71" s="20">
        <f>(1-EXP(-2*regressionssens!X$1*graphsens!A71))/2/EXP(-regressionssens!X$1*A71)</f>
        <v>-3.9896798857513738</v>
      </c>
      <c r="AT71" s="33"/>
      <c r="AW71" s="33"/>
      <c r="AZ71" s="33"/>
    </row>
    <row r="72" spans="1:52" x14ac:dyDescent="0.35">
      <c r="A72">
        <f t="shared" si="3"/>
        <v>4.8999999999999986</v>
      </c>
      <c r="B72">
        <f t="shared" si="4"/>
        <v>-5.4351727888512453</v>
      </c>
      <c r="C72">
        <f>regressionssens!$AR$1*$A72</f>
        <v>3.8537550441537842</v>
      </c>
      <c r="D72">
        <f>regressionssens!$AO$1*$A72</f>
        <v>6.4992849383679294</v>
      </c>
      <c r="E72">
        <f t="shared" ref="E72:E135" si="5">B72+2*C72</f>
        <v>2.2723372994563231</v>
      </c>
      <c r="F72">
        <f t="shared" ref="F72:F135" si="6">B72-2*D72</f>
        <v>-18.433742665587104</v>
      </c>
      <c r="G72" s="5">
        <f>B72-regressions!AA$7</f>
        <v>-9.1564613793162</v>
      </c>
      <c r="H72" s="5">
        <f>B72+regressions!AA$7</f>
        <v>-1.7138841983862902</v>
      </c>
      <c r="I72">
        <f>IF($A72&lt;=regressionssens!$L$2,$A72*regressionssens!$L$1,regressionssens!$L$1*regressionssens!$L$2+regressionssens!$L$3*($A72-regressionssens!$L$2))</f>
        <v>-4.9017080607224548</v>
      </c>
      <c r="J72">
        <f>regressionssens!$J$1*A72+regressionssens!$J$2*A72^2</f>
        <v>-5.2564852113026115</v>
      </c>
      <c r="K72">
        <f>regressionssens!$V$1*A72</f>
        <v>-4.9017080980126764</v>
      </c>
      <c r="L72">
        <f>regressionssens!$N$1*A72^2</f>
        <v>-5.2960605710957243</v>
      </c>
      <c r="M72" s="20">
        <f>regressionssens!$R$1*A72^2+regressionssens!$R$2*A72^6</f>
        <v>-6.1074850334550748</v>
      </c>
      <c r="N72">
        <f>regressionssens!$P$1*A72^2+regressionssens!$P$2*A72^7</f>
        <v>-5.7682712584478146</v>
      </c>
      <c r="O72">
        <f>regressionssens!$T$2+regressionssens!$T$1*EXP(A72)</f>
        <v>-1.1704293695586385</v>
      </c>
      <c r="P72" s="20">
        <f>(1-EXP(-2*regressionssens!X$1*graphsens!A72))/2/EXP(-regressionssens!X$1*A72)</f>
        <v>-4.172807280259585</v>
      </c>
      <c r="AT72" s="33"/>
      <c r="AW72" s="33"/>
      <c r="AZ72" s="33"/>
    </row>
    <row r="73" spans="1:52" x14ac:dyDescent="0.35">
      <c r="A73">
        <f t="shared" ref="A73:A136" si="7">0.1+A72</f>
        <v>4.9999999999999982</v>
      </c>
      <c r="B73">
        <f t="shared" si="4"/>
        <v>-5.6052619008778297</v>
      </c>
      <c r="C73">
        <f>regressionssens!$AR$1*$A73</f>
        <v>3.9324031062793714</v>
      </c>
      <c r="D73">
        <f>regressionssens!$AO$1*$A73</f>
        <v>6.6319234064978874</v>
      </c>
      <c r="E73">
        <f t="shared" si="5"/>
        <v>2.2595443116809131</v>
      </c>
      <c r="F73">
        <f t="shared" si="6"/>
        <v>-18.869108713873604</v>
      </c>
      <c r="G73" s="5">
        <f>B73-regressions!AA$7</f>
        <v>-9.3265504913427844</v>
      </c>
      <c r="H73" s="5">
        <f>B73+regressions!AA$7</f>
        <v>-1.8839733104128746</v>
      </c>
      <c r="I73">
        <f>IF($A73&lt;=regressionssens!$L$2,$A73*regressionssens!$L$1,regressionssens!$L$1*regressionssens!$L$2+regressionssens!$L$3*($A73-regressionssens!$L$2))</f>
        <v>-5.0017429191045455</v>
      </c>
      <c r="J73">
        <f>regressionssens!$J$1*A73+regressionssens!$J$2*A73^2</f>
        <v>-5.4165681130952947</v>
      </c>
      <c r="K73">
        <f>regressionssens!$V$1*A73</f>
        <v>-5.0017429571557921</v>
      </c>
      <c r="L73">
        <f>regressionssens!$N$1*A73^2</f>
        <v>-5.5144320815240766</v>
      </c>
      <c r="M73" s="20">
        <f>regressionssens!$R$1*A73^2+regressionssens!$R$2*A73^6</f>
        <v>-6.3018840276730126</v>
      </c>
      <c r="N73">
        <f>regressionssens!$P$1*A73^2+regressionssens!$P$2*A73^7</f>
        <v>-5.970025125209113</v>
      </c>
      <c r="O73">
        <f>regressionssens!$T$2+regressionssens!$T$1*EXP(A73)</f>
        <v>-1.2944480160512726</v>
      </c>
      <c r="P73" s="20">
        <f>(1-EXP(-2*regressionssens!X$1*graphsens!A73))/2/EXP(-regressionssens!X$1*A73)</f>
        <v>-4.3638637713521176</v>
      </c>
      <c r="Q73" s="5"/>
      <c r="Y73" s="51"/>
      <c r="Z73" s="51"/>
      <c r="AA73" s="51"/>
      <c r="AO73" s="1"/>
      <c r="AP73" s="1"/>
      <c r="AT73" s="33"/>
      <c r="AW73" s="33"/>
      <c r="AZ73" s="33"/>
    </row>
    <row r="74" spans="1:52" x14ac:dyDescent="0.35">
      <c r="A74">
        <f t="shared" si="7"/>
        <v>5.0999999999999979</v>
      </c>
      <c r="B74">
        <f t="shared" si="4"/>
        <v>-5.7755344868648928</v>
      </c>
      <c r="C74">
        <f>regressionssens!$AR$1*$A74</f>
        <v>4.0110511684049586</v>
      </c>
      <c r="D74">
        <f>regressionssens!$AO$1*$A74</f>
        <v>6.7645618746278444</v>
      </c>
      <c r="E74">
        <f t="shared" si="5"/>
        <v>2.2465678499450243</v>
      </c>
      <c r="F74">
        <f t="shared" si="6"/>
        <v>-19.304658236120581</v>
      </c>
      <c r="G74" s="5">
        <f>B74-regressions!AA$7</f>
        <v>-9.4968230773298483</v>
      </c>
      <c r="H74" s="5">
        <f>B74+regressions!AA$7</f>
        <v>-2.0542458963999377</v>
      </c>
      <c r="I74">
        <f>IF($A74&lt;=regressionssens!$L$2,$A74*regressionssens!$L$1,regressionssens!$L$1*regressionssens!$L$2+regressionssens!$L$3*($A74-regressionssens!$L$2))</f>
        <v>-5.1017777774866362</v>
      </c>
      <c r="J74">
        <f>regressionssens!$J$1*A74+regressionssens!$J$2*A74^2</f>
        <v>-5.5787633226239279</v>
      </c>
      <c r="K74">
        <f>regressionssens!$V$1*A74</f>
        <v>-5.1017778162989078</v>
      </c>
      <c r="L74">
        <f>regressionssens!$N$1*A74^2</f>
        <v>-5.7372151376176479</v>
      </c>
      <c r="M74" s="20">
        <f>regressionssens!$R$1*A74^2+regressionssens!$R$2*A74^6</f>
        <v>-6.4930355355819378</v>
      </c>
      <c r="N74">
        <f>regressionssens!$P$1*A74^2+regressionssens!$P$2*A74^7</f>
        <v>-6.1705410595226233</v>
      </c>
      <c r="O74">
        <f>regressionssens!$T$2+regressionssens!$T$1*EXP(A74)</f>
        <v>-1.4315098174540359</v>
      </c>
      <c r="P74" s="20">
        <f>(1-EXP(-2*regressionssens!X$1*graphsens!A74))/2/EXP(-regressionssens!X$1*A74)</f>
        <v>-4.5632124012854671</v>
      </c>
      <c r="AT74" s="33"/>
      <c r="AW74" s="33"/>
      <c r="AZ74" s="33"/>
    </row>
    <row r="75" spans="1:52" x14ac:dyDescent="0.35">
      <c r="A75">
        <f t="shared" si="7"/>
        <v>5.1999999999999975</v>
      </c>
      <c r="B75">
        <f t="shared" si="4"/>
        <v>-5.945700057677894</v>
      </c>
      <c r="C75">
        <f>regressionssens!$AR$1*$A75</f>
        <v>4.0896992305305462</v>
      </c>
      <c r="D75">
        <f>regressionssens!$AO$1*$A75</f>
        <v>6.8972003427578015</v>
      </c>
      <c r="E75">
        <f t="shared" si="5"/>
        <v>2.2336984033831984</v>
      </c>
      <c r="F75">
        <f t="shared" si="6"/>
        <v>-19.740100743193498</v>
      </c>
      <c r="G75" s="5">
        <f>B75-regressions!AA$7</f>
        <v>-9.6669886481428495</v>
      </c>
      <c r="H75" s="5">
        <f>B75+regressions!AA$7</f>
        <v>-2.2244114672129389</v>
      </c>
      <c r="I75">
        <f>IF($A75&lt;=regressionssens!$L$2,$A75*regressionssens!$L$1,regressionssens!$L$1*regressionssens!$L$2+regressionssens!$L$3*($A75-regressionssens!$L$2))</f>
        <v>-5.201812635868726</v>
      </c>
      <c r="J75">
        <f>regressionssens!$J$1*A75+regressionssens!$J$2*A75^2</f>
        <v>-5.7430708398885102</v>
      </c>
      <c r="K75">
        <f>regressionssens!$V$1*A75</f>
        <v>-5.2018126754420226</v>
      </c>
      <c r="L75">
        <f>regressionssens!$N$1*A75^2</f>
        <v>-5.9644097393764399</v>
      </c>
      <c r="M75" s="20">
        <f>regressionssens!$R$1*A75^2+regressionssens!$R$2*A75^6</f>
        <v>-6.6802076420204992</v>
      </c>
      <c r="N75">
        <f>regressionssens!$P$1*A75^2+regressionssens!$P$2*A75^7</f>
        <v>-6.3691620298069278</v>
      </c>
      <c r="O75">
        <f>regressionssens!$T$2+regressionssens!$T$1*EXP(A75)</f>
        <v>-1.5829865343434302</v>
      </c>
      <c r="P75" s="20">
        <f>(1-EXP(-2*regressionssens!X$1*graphsens!A75))/2/EXP(-regressionssens!X$1*A75)</f>
        <v>-4.7712319688956502</v>
      </c>
      <c r="Q75" s="5"/>
      <c r="AE75" s="58"/>
      <c r="AF75" s="58"/>
      <c r="AO75" s="1"/>
      <c r="AP75" s="1"/>
      <c r="AT75" s="33"/>
      <c r="AW75" s="33"/>
      <c r="AZ75" s="33"/>
    </row>
    <row r="76" spans="1:52" x14ac:dyDescent="0.35">
      <c r="A76">
        <f t="shared" si="7"/>
        <v>5.2999999999999972</v>
      </c>
      <c r="B76">
        <f t="shared" si="4"/>
        <v>-6.1154473404058347</v>
      </c>
      <c r="C76">
        <f>regressionssens!$AR$1*$A76</f>
        <v>4.1683472926561329</v>
      </c>
      <c r="D76">
        <f>regressionssens!$AO$1*$A76</f>
        <v>7.0298388108877585</v>
      </c>
      <c r="E76">
        <f t="shared" si="5"/>
        <v>2.2212472449064311</v>
      </c>
      <c r="F76">
        <f t="shared" si="6"/>
        <v>-20.17512496218135</v>
      </c>
      <c r="G76" s="5">
        <f>B76-regressions!AA$7</f>
        <v>-9.8367359308707893</v>
      </c>
      <c r="H76" s="5">
        <f>B76+regressions!AA$7</f>
        <v>-2.3941587499408796</v>
      </c>
      <c r="I76">
        <f>IF($A76&lt;=regressionssens!$L$2,$A76*regressionssens!$L$1,regressionssens!$L$1*regressionssens!$L$2+regressionssens!$L$3*($A76-regressionssens!$L$2))</f>
        <v>-5.3018474942508167</v>
      </c>
      <c r="J76">
        <f>regressionssens!$J$1*A76+regressionssens!$J$2*A76^2</f>
        <v>-5.9094906648890433</v>
      </c>
      <c r="K76">
        <f>regressionssens!$V$1*A76</f>
        <v>-5.3018475345851384</v>
      </c>
      <c r="L76">
        <f>regressionssens!$N$1*A76^2</f>
        <v>-6.19601588680045</v>
      </c>
      <c r="M76" s="20">
        <f>regressionssens!$R$1*A76^2+regressionssens!$R$2*A76^6</f>
        <v>-6.8626240938203562</v>
      </c>
      <c r="N76">
        <f>regressionssens!$P$1*A76^2+regressionssens!$P$2*A76^7</f>
        <v>-6.5651774121289721</v>
      </c>
      <c r="O76">
        <f>regressionssens!$T$2+regressionssens!$T$1*EXP(A76)</f>
        <v>-1.7503941966151668</v>
      </c>
      <c r="P76" s="20">
        <f>(1-EXP(-2*regressionssens!X$1*graphsens!A76))/2/EXP(-regressionssens!X$1*A76)</f>
        <v>-4.9883177493852449</v>
      </c>
      <c r="AT76" s="33"/>
      <c r="AW76" s="33"/>
      <c r="AZ76" s="33"/>
    </row>
    <row r="77" spans="1:52" x14ac:dyDescent="0.35">
      <c r="A77">
        <f t="shared" si="7"/>
        <v>5.3999999999999968</v>
      </c>
      <c r="B77">
        <f t="shared" si="4"/>
        <v>-6.284443229556854</v>
      </c>
      <c r="C77">
        <f>regressionssens!$AR$1*$A77</f>
        <v>4.2469953547817205</v>
      </c>
      <c r="D77">
        <f>regressionssens!$AO$1*$A77</f>
        <v>7.1624772790177165</v>
      </c>
      <c r="E77">
        <f t="shared" si="5"/>
        <v>2.2095474800065871</v>
      </c>
      <c r="F77">
        <f t="shared" si="6"/>
        <v>-20.609397787592286</v>
      </c>
      <c r="G77" s="5">
        <f>B77-regressions!AA$7</f>
        <v>-10.005731820021809</v>
      </c>
      <c r="H77" s="5">
        <f>B77+regressions!AA$7</f>
        <v>-2.5631546390918989</v>
      </c>
      <c r="I77">
        <f>IF($A77&lt;=regressionssens!$L$2,$A77*regressionssens!$L$1,regressionssens!$L$1*regressionssens!$L$2+regressionssens!$L$3*($A77-regressionssens!$L$2))</f>
        <v>-5.4018823526329074</v>
      </c>
      <c r="J77">
        <f>regressionssens!$J$1*A77+regressionssens!$J$2*A77^2</f>
        <v>-6.0780227976255272</v>
      </c>
      <c r="K77">
        <f>regressionssens!$V$1*A77</f>
        <v>-5.4018823937282541</v>
      </c>
      <c r="L77">
        <f>regressionssens!$N$1*A77^2</f>
        <v>-6.4320335798896791</v>
      </c>
      <c r="M77" s="20">
        <f>regressionssens!$R$1*A77^2+regressionssens!$R$2*A77^6</f>
        <v>-7.03946254423927</v>
      </c>
      <c r="N77">
        <f>regressionssens!$P$1*A77^2+regressionssens!$P$2*A77^7</f>
        <v>-6.7578197763268459</v>
      </c>
      <c r="O77">
        <f>regressionssens!$T$2+regressionssens!$T$1*EXP(A77)</f>
        <v>-1.9354082764209197</v>
      </c>
      <c r="P77" s="20">
        <f>(1-EXP(-2*regressionssens!X$1*graphsens!A77))/2/EXP(-regressionssens!X$1*A77)</f>
        <v>-5.2148822454185151</v>
      </c>
      <c r="Q77" s="1"/>
      <c r="AB77" s="59"/>
      <c r="AO77" s="1"/>
      <c r="AP77" s="1"/>
      <c r="AT77" s="33"/>
      <c r="AW77" s="33"/>
      <c r="AZ77" s="33"/>
    </row>
    <row r="78" spans="1:52" x14ac:dyDescent="0.35">
      <c r="A78">
        <f t="shared" si="7"/>
        <v>5.4999999999999964</v>
      </c>
      <c r="B78">
        <f t="shared" si="4"/>
        <v>-6.4523317053085192</v>
      </c>
      <c r="C78">
        <f>regressionssens!$AR$1*$A78</f>
        <v>4.3256434169073072</v>
      </c>
      <c r="D78">
        <f>regressionssens!$AO$1*$A78</f>
        <v>7.2951157471476735</v>
      </c>
      <c r="E78">
        <f t="shared" si="5"/>
        <v>2.1989551285060953</v>
      </c>
      <c r="F78">
        <f t="shared" si="6"/>
        <v>-21.042563199603865</v>
      </c>
      <c r="G78" s="5">
        <f>B78-regressions!AA$7</f>
        <v>-10.173620295773475</v>
      </c>
      <c r="H78" s="5">
        <f>B78+regressions!AA$7</f>
        <v>-2.7310431148435641</v>
      </c>
      <c r="I78">
        <f>IF($A78&lt;=regressionssens!$L$2,$A78*regressionssens!$L$1,regressionssens!$L$1*regressionssens!$L$2+regressionssens!$L$3*($A78-regressionssens!$L$2))</f>
        <v>-5.5019172110149981</v>
      </c>
      <c r="J78">
        <f>regressionssens!$J$1*A78+regressionssens!$J$2*A78^2</f>
        <v>-6.2486672380979602</v>
      </c>
      <c r="K78">
        <f>regressionssens!$V$1*A78</f>
        <v>-5.5019172528713698</v>
      </c>
      <c r="L78">
        <f>regressionssens!$N$1*A78^2</f>
        <v>-6.6724628186441288</v>
      </c>
      <c r="M78" s="20">
        <f>regressionssens!$R$1*A78^2+regressionssens!$R$2*A78^6</f>
        <v>-7.2098527633055198</v>
      </c>
      <c r="N78">
        <f>regressionssens!$P$1*A78^2+regressionssens!$P$2*A78^7</f>
        <v>-6.9462615461298487</v>
      </c>
      <c r="O78">
        <f>regressionssens!$T$2+regressionssens!$T$1*EXP(A78)</f>
        <v>-2.1398804568567651</v>
      </c>
      <c r="P78" s="20">
        <f>(1-EXP(-2*regressionssens!X$1*graphsens!A78))/2/EXP(-regressionssens!X$1*A78)</f>
        <v>-5.4513559709518908</v>
      </c>
      <c r="AK78" s="1"/>
      <c r="AL78" s="1"/>
      <c r="AT78" s="33"/>
      <c r="AW78" s="33"/>
      <c r="AZ78" s="33"/>
    </row>
    <row r="79" spans="1:52" x14ac:dyDescent="0.35">
      <c r="A79">
        <f t="shared" si="7"/>
        <v>5.5999999999999961</v>
      </c>
      <c r="B79">
        <f t="shared" si="4"/>
        <v>-6.6187327183747708</v>
      </c>
      <c r="C79">
        <f>regressionssens!$AR$1*$A79</f>
        <v>4.4042914790328949</v>
      </c>
      <c r="D79">
        <f>regressionssens!$AO$1*$A79</f>
        <v>7.4277542152776306</v>
      </c>
      <c r="E79">
        <f t="shared" si="5"/>
        <v>2.1898502396910189</v>
      </c>
      <c r="F79">
        <f t="shared" si="6"/>
        <v>-21.474241148930034</v>
      </c>
      <c r="G79" s="5">
        <f>B79-regressions!AA$7</f>
        <v>-10.340021308839725</v>
      </c>
      <c r="H79" s="5">
        <f>B79+regressions!AA$7</f>
        <v>-2.8974441279098158</v>
      </c>
      <c r="I79">
        <f>IF($A79&lt;=regressionssens!$L$2,$A79*regressionssens!$L$1,regressionssens!$L$1*regressionssens!$L$2+regressionssens!$L$3*($A79-regressionssens!$L$2))</f>
        <v>-5.6019520693970888</v>
      </c>
      <c r="J79">
        <f>regressionssens!$J$1*A79+regressionssens!$J$2*A79^2</f>
        <v>-6.421423986306344</v>
      </c>
      <c r="K79">
        <f>regressionssens!$V$1*A79</f>
        <v>-5.6019521120144846</v>
      </c>
      <c r="L79">
        <f>regressionssens!$N$1*A79^2</f>
        <v>-6.9173036030637967</v>
      </c>
      <c r="M79" s="20">
        <f>regressionssens!$R$1*A79^2+regressionssens!$R$2*A79^6</f>
        <v>-7.3728748140736347</v>
      </c>
      <c r="N79">
        <f>regressionssens!$P$1*A79^2+regressionssens!$P$2*A79^7</f>
        <v>-7.1296115308526824</v>
      </c>
      <c r="O79">
        <f>regressionssens!$T$2+regressionssens!$T$1*EXP(A79)</f>
        <v>-2.3658571642299773</v>
      </c>
      <c r="P79" s="20">
        <f>(1-EXP(-2*regressionssens!X$1*graphsens!A79))/2/EXP(-regressionssens!X$1*A79)</f>
        <v>-5.698188269289167</v>
      </c>
      <c r="AT79" s="33"/>
      <c r="AW79" s="33"/>
      <c r="AZ79" s="33"/>
    </row>
    <row r="80" spans="1:52" x14ac:dyDescent="0.35">
      <c r="A80">
        <f t="shared" si="7"/>
        <v>5.6999999999999957</v>
      </c>
      <c r="B80">
        <f t="shared" si="4"/>
        <v>-6.7832410410552519</v>
      </c>
      <c r="C80">
        <f>regressionssens!$AR$1*$A80</f>
        <v>4.4829395411584816</v>
      </c>
      <c r="D80">
        <f>regressionssens!$AO$1*$A80</f>
        <v>7.5603926834075885</v>
      </c>
      <c r="E80">
        <f t="shared" si="5"/>
        <v>2.1826380412617112</v>
      </c>
      <c r="F80">
        <f t="shared" si="6"/>
        <v>-21.904026407870429</v>
      </c>
      <c r="G80" s="5">
        <f>B80-regressions!AA$7</f>
        <v>-10.504529631520207</v>
      </c>
      <c r="H80" s="5">
        <f>B80+regressions!AA$7</f>
        <v>-3.0619524505902969</v>
      </c>
      <c r="I80">
        <f>IF($A80&lt;=regressionssens!$L$2,$A80*regressionssens!$L$1,regressionssens!$L$1*regressionssens!$L$2+regressionssens!$L$3*($A80-regressionssens!$L$2))</f>
        <v>-5.7019869277791795</v>
      </c>
      <c r="J80">
        <f>regressionssens!$J$1*A80+regressionssens!$J$2*A80^2</f>
        <v>-6.5962930422506769</v>
      </c>
      <c r="K80">
        <f>regressionssens!$V$1*A80</f>
        <v>-5.7019869711576003</v>
      </c>
      <c r="L80">
        <f>regressionssens!$N$1*A80^2</f>
        <v>-7.1665559331486843</v>
      </c>
      <c r="M80" s="20">
        <f>regressionssens!$R$1*A80^2+regressionssens!$R$2*A80^6</f>
        <v>-7.5275571947914539</v>
      </c>
      <c r="N80">
        <f>regressionssens!$P$1*A80^2+regressionssens!$P$2*A80^7</f>
        <v>-7.3069113262406811</v>
      </c>
      <c r="O80">
        <f>regressionssens!$T$2+regressionssens!$T$1*EXP(A80)</f>
        <v>-2.6156000493813427</v>
      </c>
      <c r="P80" s="20">
        <f>(1-EXP(-2*regressionssens!X$1*graphsens!A80))/2/EXP(-regressionssens!X$1*A80)</f>
        <v>-5.9558481669159127</v>
      </c>
      <c r="AT80" s="33"/>
      <c r="AW80" s="33"/>
      <c r="AZ80" s="33"/>
    </row>
    <row r="81" spans="1:52" x14ac:dyDescent="0.35">
      <c r="A81">
        <f t="shared" si="7"/>
        <v>5.7999999999999954</v>
      </c>
      <c r="B81">
        <f t="shared" si="4"/>
        <v>-6.9454250840368923</v>
      </c>
      <c r="C81">
        <f>regressionssens!$AR$1*$A81</f>
        <v>4.5615876032840692</v>
      </c>
      <c r="D81">
        <f>regressionssens!$AO$1*$A81</f>
        <v>7.6930311515375456</v>
      </c>
      <c r="E81">
        <f t="shared" si="5"/>
        <v>2.1777501225312461</v>
      </c>
      <c r="F81">
        <f t="shared" si="6"/>
        <v>-22.331487387111984</v>
      </c>
      <c r="G81" s="5">
        <f>B81-regressions!AA$7</f>
        <v>-10.666713674501848</v>
      </c>
      <c r="H81" s="5">
        <f>B81+regressions!AA$7</f>
        <v>-3.2241364935719372</v>
      </c>
      <c r="I81">
        <f>IF($A81&lt;=regressionssens!$L$2,$A81*regressionssens!$L$1,regressionssens!$L$1*regressionssens!$L$2+regressionssens!$L$3*($A81-regressionssens!$L$2))</f>
        <v>-5.8020217861612702</v>
      </c>
      <c r="J81">
        <f>regressionssens!$J$1*A81+regressionssens!$J$2*A81^2</f>
        <v>-6.7732744059309606</v>
      </c>
      <c r="K81">
        <f>regressionssens!$V$1*A81</f>
        <v>-5.8020218303007161</v>
      </c>
      <c r="L81">
        <f>regressionssens!$N$1*A81^2</f>
        <v>-7.4202198088987901</v>
      </c>
      <c r="M81" s="20">
        <f>regressionssens!$R$1*A81^2+regressionssens!$R$2*A81^6</f>
        <v>-7.6728749469785056</v>
      </c>
      <c r="N81">
        <f>regressionssens!$P$1*A81^2+regressionssens!$P$2*A81^7</f>
        <v>-7.4771315820429063</v>
      </c>
      <c r="O81">
        <f>regressionssens!$T$2+regressionssens!$T$1*EXP(A81)</f>
        <v>-2.8916086230469373</v>
      </c>
      <c r="P81" s="20">
        <f>(1-EXP(-2*regressionssens!X$1*graphsens!A81))/2/EXP(-regressionssens!X$1*A81)</f>
        <v>-6.2248252647355509</v>
      </c>
      <c r="AT81" s="33"/>
      <c r="AW81" s="33"/>
      <c r="AZ81" s="33"/>
    </row>
    <row r="82" spans="1:52" x14ac:dyDescent="0.35">
      <c r="A82">
        <f t="shared" si="7"/>
        <v>5.899999999999995</v>
      </c>
      <c r="B82">
        <f t="shared" si="4"/>
        <v>-7.1048256785219079</v>
      </c>
      <c r="C82">
        <f>regressionssens!$AR$1*$A82</f>
        <v>4.6402356654096559</v>
      </c>
      <c r="D82">
        <f>regressionssens!$AO$1*$A82</f>
        <v>7.8256696196675026</v>
      </c>
      <c r="E82">
        <f t="shared" si="5"/>
        <v>2.1756456522974039</v>
      </c>
      <c r="F82">
        <f t="shared" si="6"/>
        <v>-22.756164917856914</v>
      </c>
      <c r="G82" s="5">
        <f>B82-regressions!AA$7</f>
        <v>-10.826114268986863</v>
      </c>
      <c r="H82" s="5">
        <f>B82+regressions!AA$7</f>
        <v>-3.3835370880569529</v>
      </c>
      <c r="I82">
        <f>IF($A82&lt;=regressionssens!$L$2,$A82*regressionssens!$L$1,regressionssens!$L$1*regressionssens!$L$2+regressionssens!$L$3*($A82-regressionssens!$L$2))</f>
        <v>-5.9020566445433609</v>
      </c>
      <c r="J82">
        <f>regressionssens!$J$1*A82+regressionssens!$J$2*A82^2</f>
        <v>-6.9523680773471943</v>
      </c>
      <c r="K82">
        <f>regressionssens!$V$1*A82</f>
        <v>-5.9020566894438318</v>
      </c>
      <c r="L82">
        <f>regressionssens!$N$1*A82^2</f>
        <v>-7.6782952303141156</v>
      </c>
      <c r="M82" s="20">
        <f>regressionssens!$R$1*A82^2+regressionssens!$R$2*A82^6</f>
        <v>-7.8077477294157038</v>
      </c>
      <c r="N82">
        <f>regressionssens!$P$1*A82^2+regressionssens!$P$2*A82^7</f>
        <v>-7.6391681338900135</v>
      </c>
      <c r="O82">
        <f>regressionssens!$T$2+regressionssens!$T$1*EXP(A82)</f>
        <v>-3.1966452718016929</v>
      </c>
      <c r="P82" s="20">
        <f>(1-EXP(-2*regressionssens!X$1*graphsens!A82))/2/EXP(-regressionssens!X$1*A82)</f>
        <v>-6.5056306684005367</v>
      </c>
      <c r="AT82" s="33"/>
      <c r="AW82" s="33"/>
      <c r="AZ82" s="33"/>
    </row>
    <row r="83" spans="1:52" x14ac:dyDescent="0.35">
      <c r="A83">
        <f t="shared" si="7"/>
        <v>5.9999999999999947</v>
      </c>
      <c r="B83">
        <f t="shared" si="4"/>
        <v>-7.2609548232610326</v>
      </c>
      <c r="C83">
        <f>regressionssens!$AR$1*$A83</f>
        <v>4.7188837275352435</v>
      </c>
      <c r="D83">
        <f>regressionssens!$AO$1*$A83</f>
        <v>7.9583080877974606</v>
      </c>
      <c r="E83">
        <f t="shared" si="5"/>
        <v>2.1768126318094545</v>
      </c>
      <c r="F83">
        <f t="shared" si="6"/>
        <v>-23.177570998855956</v>
      </c>
      <c r="G83" s="5">
        <f>B83-regressions!AA$7</f>
        <v>-10.982243413725987</v>
      </c>
      <c r="H83" s="5">
        <f>B83+regressions!AA$7</f>
        <v>-3.5396662327960775</v>
      </c>
      <c r="I83">
        <f>IF($A83&lt;=regressionssens!$L$2,$A83*regressionssens!$L$1,regressionssens!$L$1*regressionssens!$L$2+regressionssens!$L$3*($A83-regressionssens!$L$2))</f>
        <v>-6.0020915029254507</v>
      </c>
      <c r="J83">
        <f>regressionssens!$J$1*A83+regressionssens!$J$2*A83^2</f>
        <v>-7.1335740564993788</v>
      </c>
      <c r="K83">
        <f>regressionssens!$V$1*A83</f>
        <v>-6.0020915485869466</v>
      </c>
      <c r="L83">
        <f>regressionssens!$N$1*A83^2</f>
        <v>-7.9407821973946611</v>
      </c>
      <c r="M83" s="20">
        <f>regressionssens!$R$1*A83^2+regressionssens!$R$2*A83^6</f>
        <v>-7.9310378580463752</v>
      </c>
      <c r="N83">
        <f>regressionssens!$P$1*A83^2+regressionssens!$P$2*A83^7</f>
        <v>-7.7918379970537472</v>
      </c>
      <c r="O83">
        <f>regressionssens!$T$2+regressionssens!$T$1*EXP(A83)</f>
        <v>-3.5337629049527046</v>
      </c>
      <c r="P83" s="20">
        <f>(1-EXP(-2*regressionssens!X$1*graphsens!A83))/2/EXP(-regressionssens!X$1*A83)</f>
        <v>-6.7987979595065591</v>
      </c>
      <c r="Q83" s="1"/>
      <c r="Y83" s="50"/>
      <c r="Z83" s="50"/>
      <c r="AA83" s="50"/>
      <c r="AB83" s="60"/>
      <c r="AE83" s="5"/>
      <c r="AO83" s="1"/>
      <c r="AP83" s="1"/>
      <c r="AT83" s="33"/>
      <c r="AW83" s="33"/>
      <c r="AZ83" s="33"/>
    </row>
    <row r="84" spans="1:52" x14ac:dyDescent="0.35">
      <c r="A84">
        <f t="shared" si="7"/>
        <v>6.0999999999999943</v>
      </c>
      <c r="B84">
        <f t="shared" si="4"/>
        <v>-7.4132943960756181</v>
      </c>
      <c r="C84">
        <f>regressionssens!$AR$1*$A84</f>
        <v>4.7975317896608303</v>
      </c>
      <c r="D84">
        <f>regressionssens!$AO$1*$A84</f>
        <v>8.0909465559274167</v>
      </c>
      <c r="E84">
        <f t="shared" si="5"/>
        <v>2.1817691832460424</v>
      </c>
      <c r="F84">
        <f t="shared" si="6"/>
        <v>-23.595187507930451</v>
      </c>
      <c r="G84" s="5">
        <f>B84-regressions!AA$7</f>
        <v>-11.134582986540574</v>
      </c>
      <c r="H84" s="5">
        <f>B84+regressions!AA$7</f>
        <v>-3.692005805610663</v>
      </c>
      <c r="I84">
        <f>IF($A84&lt;=regressionssens!$L$2,$A84*regressionssens!$L$1,regressionssens!$L$1*regressionssens!$L$2+regressionssens!$L$3*($A84-regressionssens!$L$2))</f>
        <v>-6.1021263613075414</v>
      </c>
      <c r="J84">
        <f>regressionssens!$J$1*A84+regressionssens!$J$2*A84^2</f>
        <v>-7.3168923433875124</v>
      </c>
      <c r="K84">
        <f>regressionssens!$V$1*A84</f>
        <v>-6.1021264077300623</v>
      </c>
      <c r="L84">
        <f>regressionssens!$N$1*A84^2</f>
        <v>-8.2076807101404263</v>
      </c>
      <c r="M84" s="20">
        <f>regressionssens!$R$1*A84^2+regressionssens!$R$2*A84^6</f>
        <v>-8.0415483117886133</v>
      </c>
      <c r="N84">
        <f>regressionssens!$P$1*A84^2+regressionssens!$P$2*A84^7</f>
        <v>-7.9338752196649116</v>
      </c>
      <c r="O84">
        <f>regressionssens!$T$2+regressionssens!$T$1*EXP(A84)</f>
        <v>-3.9063355090816976</v>
      </c>
      <c r="P84" s="20">
        <f>(1-EXP(-2*regressionssens!X$1*graphsens!A84))/2/EXP(-regressionssens!X$1*A84)</f>
        <v>-7.1048842094950695</v>
      </c>
      <c r="AT84" s="33"/>
      <c r="AW84" s="33"/>
      <c r="AZ84" s="33"/>
    </row>
    <row r="85" spans="1:52" x14ac:dyDescent="0.35">
      <c r="A85">
        <f t="shared" si="7"/>
        <v>6.199999999999994</v>
      </c>
      <c r="B85">
        <f t="shared" si="4"/>
        <v>-7.5612948294575926</v>
      </c>
      <c r="C85">
        <f>regressionssens!$AR$1*$A85</f>
        <v>4.8761798517864179</v>
      </c>
      <c r="D85">
        <f>regressionssens!$AO$1*$A85</f>
        <v>8.2235850240573747</v>
      </c>
      <c r="E85">
        <f t="shared" si="5"/>
        <v>2.1910648741152432</v>
      </c>
      <c r="F85">
        <f t="shared" si="6"/>
        <v>-24.008464877572344</v>
      </c>
      <c r="G85" s="5">
        <f>B85-regressions!AA$7</f>
        <v>-11.282583419922547</v>
      </c>
      <c r="H85" s="5">
        <f>B85+regressions!AA$7</f>
        <v>-3.8400062389926375</v>
      </c>
      <c r="I85">
        <f>IF($A85&lt;=regressionssens!$L$2,$A85*regressionssens!$L$1,regressionssens!$L$1*regressionssens!$L$2+regressionssens!$L$3*($A85-regressionssens!$L$2))</f>
        <v>-6.2021612196896321</v>
      </c>
      <c r="J85">
        <f>regressionssens!$J$1*A85+regressionssens!$J$2*A85^2</f>
        <v>-7.5023229380115959</v>
      </c>
      <c r="K85">
        <f>regressionssens!$V$1*A85</f>
        <v>-6.202161266873178</v>
      </c>
      <c r="L85">
        <f>regressionssens!$N$1*A85^2</f>
        <v>-8.4789907685514088</v>
      </c>
      <c r="M85" s="20">
        <f>regressionssens!$R$1*A85^2+regressionssens!$R$2*A85^6</f>
        <v>-8.1380207042589294</v>
      </c>
      <c r="N85">
        <f>regressionssens!$P$1*A85^2+regressionssens!$P$2*A85^7</f>
        <v>-8.0639265929667463</v>
      </c>
      <c r="O85">
        <f>regressionssens!$T$2+regressionssens!$T$1*EXP(A85)</f>
        <v>-4.3180919160367708</v>
      </c>
      <c r="P85" s="20">
        <f>(1-EXP(-2*regressionssens!X$1*graphsens!A85))/2/EXP(-regressionssens!X$1*A85)</f>
        <v>-7.4244710381908723</v>
      </c>
      <c r="AT85" s="33"/>
      <c r="AW85" s="33"/>
      <c r="AZ85" s="33"/>
    </row>
    <row r="86" spans="1:52" x14ac:dyDescent="0.35">
      <c r="A86">
        <f t="shared" si="7"/>
        <v>6.2999999999999936</v>
      </c>
      <c r="B86">
        <f t="shared" si="4"/>
        <v>-7.7043737498416798</v>
      </c>
      <c r="C86">
        <f>regressionssens!$AR$1*$A86</f>
        <v>4.9548279139120046</v>
      </c>
      <c r="D86">
        <f>regressionssens!$AO$1*$A86</f>
        <v>8.3562234921873326</v>
      </c>
      <c r="E86">
        <f t="shared" si="5"/>
        <v>2.2052820779823294</v>
      </c>
      <c r="F86">
        <f t="shared" si="6"/>
        <v>-24.416820734216344</v>
      </c>
      <c r="G86" s="5">
        <f>B86-regressions!AA$7</f>
        <v>-11.425662340306635</v>
      </c>
      <c r="H86" s="5">
        <f>B86+regressions!AA$7</f>
        <v>-3.9830851593767247</v>
      </c>
      <c r="I86">
        <f>IF($A86&lt;=regressionssens!$L$2,$A86*regressionssens!$L$1,regressionssens!$L$1*regressionssens!$L$2+regressionssens!$L$3*($A86-regressionssens!$L$2))</f>
        <v>-6.3021960780717228</v>
      </c>
      <c r="J86">
        <f>regressionssens!$J$1*A86+regressionssens!$J$2*A86^2</f>
        <v>-7.6898658403716302</v>
      </c>
      <c r="K86">
        <f>regressionssens!$V$1*A86</f>
        <v>-6.3021961260162938</v>
      </c>
      <c r="L86">
        <f>regressionssens!$N$1*A86^2</f>
        <v>-8.7547123726276119</v>
      </c>
      <c r="M86" s="20">
        <f>regressionssens!$R$1*A86^2+regressionssens!$R$2*A86^6</f>
        <v>-8.2191332214072581</v>
      </c>
      <c r="N86">
        <f>regressionssens!$P$1*A86^2+regressionssens!$P$2*A86^7</f>
        <v>-8.1805472161805106</v>
      </c>
      <c r="O86">
        <f>regressionssens!$T$2+regressionssens!$T$1*EXP(A86)</f>
        <v>-4.7731531223348407</v>
      </c>
      <c r="P86" s="20">
        <f>(1-EXP(-2*regressionssens!X$1*graphsens!A86))/2/EXP(-regressionssens!X$1*A86)</f>
        <v>-7.7581657189861097</v>
      </c>
      <c r="AT86" s="33"/>
      <c r="AW86" s="33"/>
      <c r="AZ86" s="33"/>
    </row>
    <row r="87" spans="1:52" x14ac:dyDescent="0.35">
      <c r="A87">
        <f t="shared" si="7"/>
        <v>6.3999999999999932</v>
      </c>
      <c r="B87">
        <f t="shared" si="4"/>
        <v>-7.8419145801503038</v>
      </c>
      <c r="C87">
        <f>regressionssens!$AR$1*$A87</f>
        <v>5.0334759760375922</v>
      </c>
      <c r="D87">
        <f>regressionssens!$AO$1*$A87</f>
        <v>8.4888619603172888</v>
      </c>
      <c r="E87">
        <f t="shared" si="5"/>
        <v>2.2250373719248806</v>
      </c>
      <c r="F87">
        <f t="shared" si="6"/>
        <v>-24.819638500784883</v>
      </c>
      <c r="G87" s="5">
        <f>B87-regressions!AA$7</f>
        <v>-11.563203170615258</v>
      </c>
      <c r="H87" s="5">
        <f>B87+regressions!AA$7</f>
        <v>-4.1206259896853492</v>
      </c>
      <c r="I87">
        <f>IF($A87&lt;=regressionssens!$L$2,$A87*regressionssens!$L$1,regressionssens!$L$1*regressionssens!$L$2+regressionssens!$L$3*($A87-regressionssens!$L$2))</f>
        <v>-6.4022309364538135</v>
      </c>
      <c r="J87">
        <f>regressionssens!$J$1*A87+regressionssens!$J$2*A87^2</f>
        <v>-7.8795210504676145</v>
      </c>
      <c r="K87">
        <f>regressionssens!$V$1*A87</f>
        <v>-6.4022309851594095</v>
      </c>
      <c r="L87">
        <f>regressionssens!$N$1*A87^2</f>
        <v>-9.034845522369034</v>
      </c>
      <c r="M87" s="20">
        <f>regressionssens!$R$1*A87^2+regressionssens!$R$2*A87^6</f>
        <v>-8.2834985250632602</v>
      </c>
      <c r="N87">
        <f>regressionssens!$P$1*A87^2+regressionssens!$P$2*A87^7</f>
        <v>-8.2821959135601961</v>
      </c>
      <c r="O87">
        <f>regressionssens!$T$2+regressionssens!$T$1*EXP(A87)</f>
        <v>-5.2760735334798889</v>
      </c>
      <c r="P87" s="20">
        <f>(1-EXP(-2*regressionssens!X$1*graphsens!A87))/2/EXP(-regressionssens!X$1*A87)</f>
        <v>-8.1066023327706827</v>
      </c>
      <c r="AT87" s="33"/>
      <c r="AW87" s="33"/>
      <c r="AZ87" s="33"/>
    </row>
    <row r="88" spans="1:52" x14ac:dyDescent="0.35">
      <c r="A88">
        <f t="shared" si="7"/>
        <v>6.4999999999999929</v>
      </c>
      <c r="B88">
        <f t="shared" si="4"/>
        <v>-7.9732651052179042</v>
      </c>
      <c r="C88">
        <f>regressionssens!$AR$1*$A88</f>
        <v>5.112124038163179</v>
      </c>
      <c r="D88">
        <f>regressionssens!$AO$1*$A88</f>
        <v>8.6215004284472467</v>
      </c>
      <c r="E88">
        <f t="shared" si="5"/>
        <v>2.2509829711084537</v>
      </c>
      <c r="F88">
        <f t="shared" si="6"/>
        <v>-25.216265962112399</v>
      </c>
      <c r="G88" s="5">
        <f>B88-regressions!AA$7</f>
        <v>-11.69455369568286</v>
      </c>
      <c r="H88" s="5">
        <f>B88+regressions!AA$7</f>
        <v>-4.2519765147529487</v>
      </c>
      <c r="I88">
        <f>IF($A88&lt;=regressionssens!$L$2,$A88*regressionssens!$L$1,regressionssens!$L$1*regressionssens!$L$2+regressionssens!$L$3*($A88-regressionssens!$L$2))</f>
        <v>-6.5022657948359042</v>
      </c>
      <c r="J88">
        <f>regressionssens!$J$1*A88+regressionssens!$J$2*A88^2</f>
        <v>-8.0712885682995488</v>
      </c>
      <c r="K88">
        <f>regressionssens!$V$1*A88</f>
        <v>-6.5022658443025243</v>
      </c>
      <c r="L88">
        <f>regressionssens!$N$1*A88^2</f>
        <v>-9.3193902177756751</v>
      </c>
      <c r="M88" s="20">
        <f>regressionssens!$R$1*A88^2+regressionssens!$R$2*A88^6</f>
        <v>-8.3296616223939637</v>
      </c>
      <c r="N88">
        <f>regressionssens!$P$1*A88^2+regressionssens!$P$2*A88^7</f>
        <v>-8.3672305012132036</v>
      </c>
      <c r="O88">
        <f>regressionssens!$T$2+regressionssens!$T$1*EXP(A88)</f>
        <v>-5.8318865459840437</v>
      </c>
      <c r="P88" s="20">
        <f>(1-EXP(-2*regressionssens!X$1*graphsens!A88))/2/EXP(-regressionssens!X$1*A88)</f>
        <v>-8.4704429728018908</v>
      </c>
      <c r="AT88" s="33"/>
      <c r="AW88" s="33"/>
      <c r="AZ88" s="33"/>
    </row>
    <row r="89" spans="1:52" x14ac:dyDescent="0.35">
      <c r="A89">
        <f t="shared" si="7"/>
        <v>6.5999999999999925</v>
      </c>
      <c r="B89">
        <f t="shared" si="4"/>
        <v>-8.0977359997081138</v>
      </c>
      <c r="C89">
        <f>regressionssens!$AR$1*$A89</f>
        <v>5.1907721002887666</v>
      </c>
      <c r="D89">
        <f>regressionssens!$AO$1*$A89</f>
        <v>8.7541388965772047</v>
      </c>
      <c r="E89">
        <f t="shared" si="5"/>
        <v>2.2838082008694194</v>
      </c>
      <c r="F89">
        <f t="shared" si="6"/>
        <v>-25.606013792862523</v>
      </c>
      <c r="G89" s="5">
        <f>B89-regressions!AA$7</f>
        <v>-11.819024590173068</v>
      </c>
      <c r="H89" s="5">
        <f>B89+regressions!AA$7</f>
        <v>-4.3764474092431591</v>
      </c>
      <c r="I89">
        <f>IF($A89&lt;=regressionssens!$L$2,$A89*regressionssens!$L$1,regressionssens!$L$1*regressionssens!$L$2+regressionssens!$L$3*($A89-regressionssens!$L$2))</f>
        <v>-6.6023006532179949</v>
      </c>
      <c r="J89">
        <f>regressionssens!$J$1*A89+regressionssens!$J$2*A89^2</f>
        <v>-8.2651683938674338</v>
      </c>
      <c r="K89">
        <f>regressionssens!$V$1*A89</f>
        <v>-6.60230070344564</v>
      </c>
      <c r="L89">
        <f>regressionssens!$N$1*A89^2</f>
        <v>-9.6083464588475351</v>
      </c>
      <c r="M89" s="20">
        <f>regressionssens!$R$1*A89^2+regressionssens!$R$2*A89^6</f>
        <v>-8.3560977012727147</v>
      </c>
      <c r="N89">
        <f>regressionssens!$P$1*A89^2+regressionssens!$P$2*A89^7</f>
        <v>-8.4339029012638971</v>
      </c>
      <c r="O89">
        <f>regressionssens!$T$2+regressionssens!$T$1*EXP(A89)</f>
        <v>-6.446154923291652</v>
      </c>
      <c r="P89" s="20">
        <f>(1-EXP(-2*regressionssens!X$1*graphsens!A89))/2/EXP(-regressionssens!X$1*A89)</f>
        <v>-8.8503790028025957</v>
      </c>
      <c r="AT89" s="33"/>
      <c r="AW89" s="33"/>
      <c r="AZ89" s="33"/>
    </row>
    <row r="90" spans="1:52" x14ac:dyDescent="0.35">
      <c r="A90">
        <f t="shared" si="7"/>
        <v>6.6999999999999922</v>
      </c>
      <c r="B90">
        <f t="shared" si="4"/>
        <v>-8.2145993181444865</v>
      </c>
      <c r="C90">
        <f>regressionssens!$AR$1*$A90</f>
        <v>5.2694201624143533</v>
      </c>
      <c r="D90">
        <f>regressionssens!$AO$1*$A90</f>
        <v>8.8867773647071608</v>
      </c>
      <c r="E90">
        <f t="shared" si="5"/>
        <v>2.3242410066842201</v>
      </c>
      <c r="F90">
        <f t="shared" si="6"/>
        <v>-25.988154047558808</v>
      </c>
      <c r="G90" s="5">
        <f>B90-regressions!AA$7</f>
        <v>-11.935887908609441</v>
      </c>
      <c r="H90" s="5">
        <f>B90+regressions!AA$7</f>
        <v>-4.4933107276795319</v>
      </c>
      <c r="I90">
        <f>IF($A90&lt;=regressionssens!$L$2,$A90*regressionssens!$L$1,regressionssens!$L$1*regressionssens!$L$2+regressionssens!$L$3*($A90-regressionssens!$L$2))</f>
        <v>-6.7023355116000856</v>
      </c>
      <c r="J90">
        <f>regressionssens!$J$1*A90+regressionssens!$J$2*A90^2</f>
        <v>-8.461160527171268</v>
      </c>
      <c r="K90">
        <f>regressionssens!$V$1*A90</f>
        <v>-6.7023355625887557</v>
      </c>
      <c r="L90">
        <f>regressionssens!$N$1*A90^2</f>
        <v>-9.9017142455846159</v>
      </c>
      <c r="M90" s="20">
        <f>regressionssens!$R$1*A90^2+regressionssens!$R$2*A90^6</f>
        <v>-8.3612099315594612</v>
      </c>
      <c r="N90">
        <f>regressionssens!$P$1*A90^2+regressionssens!$P$2*A90^7</f>
        <v>-8.4803541009368484</v>
      </c>
      <c r="O90">
        <f>regressionssens!$T$2+regressionssens!$T$1*EXP(A90)</f>
        <v>-7.1250264697855394</v>
      </c>
      <c r="P90" s="20">
        <f>(1-EXP(-2*regressionssens!X$1*graphsens!A90))/2/EXP(-regressionssens!X$1*A90)</f>
        <v>-9.2471323706787061</v>
      </c>
      <c r="AT90" s="33"/>
      <c r="AW90" s="33"/>
      <c r="AZ90" s="33"/>
    </row>
    <row r="91" spans="1:52" x14ac:dyDescent="0.35">
      <c r="A91">
        <f t="shared" si="7"/>
        <v>6.7999999999999918</v>
      </c>
      <c r="B91">
        <f t="shared" si="4"/>
        <v>-8.3230869466831354</v>
      </c>
      <c r="C91">
        <f>regressionssens!$AR$1*$A91</f>
        <v>5.3480682245399409</v>
      </c>
      <c r="D91">
        <f>regressionssens!$AO$1*$A91</f>
        <v>9.0194158328371188</v>
      </c>
      <c r="E91">
        <f t="shared" si="5"/>
        <v>2.3730495023967464</v>
      </c>
      <c r="F91">
        <f t="shared" si="6"/>
        <v>-26.361918612357371</v>
      </c>
      <c r="G91" s="5">
        <f>B91-regressions!AA$7</f>
        <v>-12.04437553714809</v>
      </c>
      <c r="H91" s="5">
        <f>B91+regressions!AA$7</f>
        <v>-4.6017983562181808</v>
      </c>
      <c r="I91">
        <f>IF($A91&lt;=regressionssens!$L$2,$A91*regressionssens!$L$1,regressionssens!$L$1*regressionssens!$L$2+regressionssens!$L$3*($A91-regressionssens!$L$2))</f>
        <v>-6.8023703699821754</v>
      </c>
      <c r="J91">
        <f>regressionssens!$J$1*A91+regressionssens!$J$2*A91^2</f>
        <v>-8.6592649682110512</v>
      </c>
      <c r="K91">
        <f>regressionssens!$V$1*A91</f>
        <v>-6.8023704217318715</v>
      </c>
      <c r="L91">
        <f>regressionssens!$N$1*A91^2</f>
        <v>-10.199493577986914</v>
      </c>
      <c r="M91" s="20">
        <f>regressionssens!$R$1*A91^2+regressionssens!$R$2*A91^6</f>
        <v>-8.3433272322923528</v>
      </c>
      <c r="N91">
        <f>regressionssens!$P$1*A91^2+regressionssens!$P$2*A91^7</f>
        <v>-8.5046089541367031</v>
      </c>
      <c r="O91">
        <f>regressionssens!$T$2+regressionssens!$T$1*EXP(A91)</f>
        <v>-7.8752955600796239</v>
      </c>
      <c r="P91" s="20">
        <f>(1-EXP(-2*regressionssens!X$1*graphsens!A91))/2/EXP(-regressionssens!X$1*A91)</f>
        <v>-9.6614569803521615</v>
      </c>
      <c r="AT91" s="33"/>
      <c r="AW91" s="33"/>
      <c r="AZ91" s="33"/>
    </row>
    <row r="92" spans="1:52" x14ac:dyDescent="0.35">
      <c r="A92">
        <f t="shared" si="7"/>
        <v>6.8999999999999915</v>
      </c>
      <c r="B92">
        <f t="shared" si="4"/>
        <v>-8.4223890162639297</v>
      </c>
      <c r="C92">
        <f>regressionssens!$AR$1*$A92</f>
        <v>5.4267162866655276</v>
      </c>
      <c r="D92">
        <f>regressionssens!$AO$1*$A92</f>
        <v>9.1520543009670767</v>
      </c>
      <c r="E92">
        <f t="shared" si="5"/>
        <v>2.4310435570671256</v>
      </c>
      <c r="F92">
        <f t="shared" si="6"/>
        <v>-26.726497618198081</v>
      </c>
      <c r="G92" s="5">
        <f>B92-regressions!AA$7</f>
        <v>-12.143677606728884</v>
      </c>
      <c r="H92" s="5">
        <f>B92+regressions!AA$7</f>
        <v>-4.701100425798975</v>
      </c>
      <c r="I92">
        <f>IF($A92&lt;=regressionssens!$L$2,$A92*regressionssens!$L$1,regressionssens!$L$1*regressionssens!$L$2+regressionssens!$L$3*($A92-regressionssens!$L$2))</f>
        <v>-6.9024052283642661</v>
      </c>
      <c r="J92">
        <f>regressionssens!$J$1*A92+regressionssens!$J$2*A92^2</f>
        <v>-8.859481716986787</v>
      </c>
      <c r="K92">
        <f>regressionssens!$V$1*A92</f>
        <v>-6.9024052808749863</v>
      </c>
      <c r="L92">
        <f>regressionssens!$N$1*A92^2</f>
        <v>-10.501684456054432</v>
      </c>
      <c r="M92" s="20">
        <f>regressionssens!$R$1*A92^2+regressionssens!$R$2*A92^6</f>
        <v>-8.3007020047906543</v>
      </c>
      <c r="N92">
        <f>regressionssens!$P$1*A92^2+regressionssens!$P$2*A92^7</f>
        <v>-8.5045708231014938</v>
      </c>
      <c r="O92">
        <f>regressionssens!$T$2+regressionssens!$T$1*EXP(A92)</f>
        <v>-8.7044711394037169</v>
      </c>
      <c r="P92" s="20">
        <f>(1-EXP(-2*regressionssens!X$1*graphsens!A92))/2/EXP(-regressionssens!X$1*A92)</f>
        <v>-10.09414012431616</v>
      </c>
      <c r="AT92" s="33"/>
      <c r="AW92" s="33"/>
      <c r="AZ92" s="33"/>
    </row>
    <row r="93" spans="1:52" x14ac:dyDescent="0.35">
      <c r="A93">
        <f t="shared" si="7"/>
        <v>6.9999999999999911</v>
      </c>
      <c r="B93">
        <f t="shared" si="4"/>
        <v>-8.5116522767856679</v>
      </c>
      <c r="C93">
        <f>regressionssens!$AR$1*$A93</f>
        <v>5.5053643487911152</v>
      </c>
      <c r="D93">
        <f>regressionssens!$AO$1*$A93</f>
        <v>9.2846927690970329</v>
      </c>
      <c r="E93">
        <f t="shared" si="5"/>
        <v>2.4990764207965626</v>
      </c>
      <c r="F93">
        <f t="shared" si="6"/>
        <v>-27.081037814979734</v>
      </c>
      <c r="G93" s="5">
        <f>B93-regressions!AA$7</f>
        <v>-12.232940867250623</v>
      </c>
      <c r="H93" s="5">
        <f>B93+regressions!AA$7</f>
        <v>-4.7903636863207133</v>
      </c>
      <c r="I93">
        <f>IF($A93&lt;=regressionssens!$L$2,$A93*regressionssens!$L$1,regressionssens!$L$1*regressionssens!$L$2+regressionssens!$L$3*($A93-regressionssens!$L$2))</f>
        <v>-7.0024400867463568</v>
      </c>
      <c r="J93">
        <f>regressionssens!$J$1*A93+regressionssens!$J$2*A93^2</f>
        <v>-9.0618107734984719</v>
      </c>
      <c r="K93">
        <f>regressionssens!$V$1*A93</f>
        <v>-7.002440140018102</v>
      </c>
      <c r="L93">
        <f>regressionssens!$N$1*A93^2</f>
        <v>-10.808286879787168</v>
      </c>
      <c r="M93" s="20">
        <f>regressionssens!$R$1*A93^2+regressionssens!$R$2*A93^6</f>
        <v>-8.2315078316690151</v>
      </c>
      <c r="N93">
        <f>regressionssens!$P$1*A93^2+regressionssens!$P$2*A93^7</f>
        <v>-8.4780160577062862</v>
      </c>
      <c r="O93">
        <f>regressionssens!$T$2+regressionssens!$T$1*EXP(A93)</f>
        <v>-9.6208518756512333</v>
      </c>
      <c r="P93" s="20">
        <f>(1-EXP(-2*regressionssens!X$1*graphsens!A93))/2/EXP(-regressionssens!X$1*A93)</f>
        <v>-10.546003979634847</v>
      </c>
      <c r="Q93" s="5"/>
      <c r="Y93" s="51"/>
      <c r="Z93" s="51"/>
      <c r="AA93" s="51"/>
      <c r="AO93" s="1"/>
      <c r="AP93" s="1"/>
      <c r="AT93" s="33"/>
      <c r="AW93" s="33"/>
      <c r="AZ93" s="33"/>
    </row>
    <row r="94" spans="1:52" x14ac:dyDescent="0.35">
      <c r="A94">
        <f t="shared" si="7"/>
        <v>7.0999999999999908</v>
      </c>
      <c r="B94">
        <f t="shared" si="4"/>
        <v>-8.5899784319601586</v>
      </c>
      <c r="C94">
        <f>regressionssens!$AR$1*$A94</f>
        <v>5.584012410916702</v>
      </c>
      <c r="D94">
        <f>regressionssens!$AO$1*$A94</f>
        <v>9.4173312372269908</v>
      </c>
      <c r="E94">
        <f t="shared" si="5"/>
        <v>2.5780463898732453</v>
      </c>
      <c r="F94">
        <f t="shared" si="6"/>
        <v>-27.42464090641414</v>
      </c>
      <c r="G94" s="5">
        <f>B94-regressions!AA$7</f>
        <v>-12.311267022425113</v>
      </c>
      <c r="H94" s="5">
        <f>B94+regressions!AA$7</f>
        <v>-4.868689841495204</v>
      </c>
      <c r="I94">
        <f>IF($A94&lt;=regressionssens!$L$2,$A94*regressionssens!$L$1,regressionssens!$L$1*regressionssens!$L$2+regressionssens!$L$3*($A94-regressionssens!$L$2))</f>
        <v>-7.1024749451284475</v>
      </c>
      <c r="J94">
        <f>regressionssens!$J$1*A94+regressionssens!$J$2*A94^2</f>
        <v>-9.2662521377461058</v>
      </c>
      <c r="K94">
        <f>regressionssens!$V$1*A94</f>
        <v>-7.1024749991612177</v>
      </c>
      <c r="L94">
        <f>regressionssens!$N$1*A94^2</f>
        <v>-11.119300849185127</v>
      </c>
      <c r="M94" s="20">
        <f>regressionssens!$R$1*A94^2+regressionssens!$R$2*A94^6</f>
        <v>-8.1338371417630064</v>
      </c>
      <c r="N94">
        <f>regressionssens!$P$1*A94^2+regressionssens!$P$2*A94^7</f>
        <v>-8.4225883099940422</v>
      </c>
      <c r="O94">
        <f>regressionssens!$T$2+regressionssens!$T$1*EXP(A94)</f>
        <v>-10.633609215236735</v>
      </c>
      <c r="P94" s="20">
        <f>(1-EXP(-2*regressionssens!X$1*graphsens!A94))/2/EXP(-regressionssens!X$1*A94)</f>
        <v>-11.017907170229993</v>
      </c>
      <c r="Q94" s="5"/>
      <c r="AT94" s="33"/>
      <c r="AW94" s="33"/>
      <c r="AZ94" s="33"/>
    </row>
    <row r="95" spans="1:52" x14ac:dyDescent="0.35">
      <c r="A95">
        <f t="shared" si="7"/>
        <v>7.1999999999999904</v>
      </c>
      <c r="B95">
        <f t="shared" si="4"/>
        <v>-8.6564224345102154</v>
      </c>
      <c r="C95">
        <f>regressionssens!$AR$1*$A95</f>
        <v>5.6626604730422896</v>
      </c>
      <c r="D95">
        <f>regressionssens!$AO$1*$A95</f>
        <v>9.5499697053569488</v>
      </c>
      <c r="E95">
        <f t="shared" si="5"/>
        <v>2.6688985115743638</v>
      </c>
      <c r="F95">
        <f t="shared" si="6"/>
        <v>-27.756361845224113</v>
      </c>
      <c r="G95" s="5">
        <f>B95-regressions!AA$7</f>
        <v>-12.37771102497517</v>
      </c>
      <c r="H95" s="5">
        <f>B95+regressions!AA$7</f>
        <v>-4.9351338440452608</v>
      </c>
      <c r="I95">
        <f>IF($A95&lt;=regressionssens!$L$2,$A95*regressionssens!$L$1,regressionssens!$L$1*regressionssens!$L$2+regressionssens!$L$3*($A95-regressionssens!$L$2))</f>
        <v>-7.2025098035105382</v>
      </c>
      <c r="J95">
        <f>regressionssens!$J$1*A95+regressionssens!$J$2*A95^2</f>
        <v>-9.4728058097296906</v>
      </c>
      <c r="K95">
        <f>regressionssens!$V$1*A95</f>
        <v>-7.2025098583043334</v>
      </c>
      <c r="L95">
        <f>regressionssens!$N$1*A95^2</f>
        <v>-11.434726364248302</v>
      </c>
      <c r="M95" s="20">
        <f>regressionssens!$R$1*A95^2+regressionssens!$R$2*A95^6</f>
        <v>-8.0056988409660335</v>
      </c>
      <c r="N95">
        <f>regressionssens!$P$1*A95^2+regressionssens!$P$2*A95^7</f>
        <v>-8.3357926815105472</v>
      </c>
      <c r="O95">
        <f>regressionssens!$T$2+regressionssens!$T$1*EXP(A95)</f>
        <v>-11.752879174014298</v>
      </c>
      <c r="P95" s="20">
        <f>(1-EXP(-2*regressionssens!X$1*graphsens!A95))/2/EXP(-regressionssens!X$1*A95)</f>
        <v>-11.510746398423416</v>
      </c>
      <c r="Q95" s="5"/>
      <c r="AE95" s="58"/>
      <c r="AO95" s="1"/>
      <c r="AP95" s="1"/>
      <c r="AT95" s="33"/>
      <c r="AW95" s="33"/>
      <c r="AZ95" s="33"/>
    </row>
    <row r="96" spans="1:52" x14ac:dyDescent="0.35">
      <c r="A96">
        <f t="shared" si="7"/>
        <v>7.2999999999999901</v>
      </c>
      <c r="B96">
        <f t="shared" si="4"/>
        <v>-8.709990741387525</v>
      </c>
      <c r="C96">
        <f>regressionssens!$AR$1*$A96</f>
        <v>5.7413085351678763</v>
      </c>
      <c r="D96">
        <f>regressionssens!$AO$1*$A96</f>
        <v>9.6826081734869049</v>
      </c>
      <c r="E96">
        <f t="shared" si="5"/>
        <v>2.7726263289482276</v>
      </c>
      <c r="F96">
        <f t="shared" si="6"/>
        <v>-28.075207088361335</v>
      </c>
      <c r="G96" s="5">
        <f>B96-regressions!AA$7</f>
        <v>-12.43127933185248</v>
      </c>
      <c r="H96" s="5">
        <f>B96+regressions!AA$7</f>
        <v>-4.9887021509225704</v>
      </c>
      <c r="I96">
        <f>IF($A96&lt;=regressionssens!$L$2,$A96*regressionssens!$L$1,regressionssens!$L$1*regressionssens!$L$2+regressionssens!$L$3*($A96-regressionssens!$L$2))</f>
        <v>-7.3025446618926289</v>
      </c>
      <c r="J96">
        <f>regressionssens!$J$1*A96+regressionssens!$J$2*A96^2</f>
        <v>-9.6814717894492262</v>
      </c>
      <c r="K96">
        <f>regressionssens!$V$1*A96</f>
        <v>-7.3025447174474492</v>
      </c>
      <c r="L96">
        <f>regressionssens!$N$1*A96^2</f>
        <v>-11.754563424976698</v>
      </c>
      <c r="M96" s="20">
        <f>regressionssens!$R$1*A96^2+regressionssens!$R$2*A96^6</f>
        <v>-7.8450159089775298</v>
      </c>
      <c r="N96">
        <f>regressionssens!$P$1*A96^2+regressionssens!$P$2*A96^7</f>
        <v>-8.2149897010202864</v>
      </c>
      <c r="O96">
        <f>regressionssens!$T$2+regressionssens!$T$1*EXP(A96)</f>
        <v>-12.989863781930985</v>
      </c>
      <c r="P96" s="20">
        <f>(1-EXP(-2*regressionssens!X$1*graphsens!A96))/2/EXP(-regressionssens!X$1*A96)</f>
        <v>-12.025458148835282</v>
      </c>
      <c r="Q96" s="5"/>
      <c r="AT96" s="33"/>
      <c r="AW96" s="33"/>
      <c r="AZ96" s="33"/>
    </row>
    <row r="97" spans="1:52" x14ac:dyDescent="0.35">
      <c r="A97">
        <f t="shared" si="7"/>
        <v>7.3999999999999897</v>
      </c>
      <c r="B97">
        <f t="shared" si="4"/>
        <v>-8.7496395286979336</v>
      </c>
      <c r="C97">
        <f>regressionssens!$AR$1*$A97</f>
        <v>5.8199565972934639</v>
      </c>
      <c r="D97">
        <f>regressionssens!$AO$1*$A97</f>
        <v>9.8152466416168629</v>
      </c>
      <c r="E97">
        <f t="shared" si="5"/>
        <v>2.8902736658889943</v>
      </c>
      <c r="F97">
        <f t="shared" si="6"/>
        <v>-28.380132811931659</v>
      </c>
      <c r="G97" s="5">
        <f>B97-regressions!AA$7</f>
        <v>-12.470928119162888</v>
      </c>
      <c r="H97" s="5">
        <f>B97+regressions!AA$7</f>
        <v>-5.028350938232979</v>
      </c>
      <c r="I97">
        <f>IF($A97&lt;=regressionssens!$L$2,$A97*regressionssens!$L$1,regressionssens!$L$1*regressionssens!$L$2+regressionssens!$L$3*($A97-regressionssens!$L$2))</f>
        <v>-7.4025795202747195</v>
      </c>
      <c r="J97">
        <f>regressionssens!$J$1*A97+regressionssens!$J$2*A97^2</f>
        <v>-9.8922500769047108</v>
      </c>
      <c r="K97">
        <f>regressionssens!$V$1*A97</f>
        <v>-7.402579576590564</v>
      </c>
      <c r="L97">
        <f>regressionssens!$N$1*A97^2</f>
        <v>-12.078812031370312</v>
      </c>
      <c r="M97" s="20">
        <f>regressionssens!$R$1*A97^2+regressionssens!$R$2*A97^6</f>
        <v>-7.6496229619625149</v>
      </c>
      <c r="N97">
        <f>regressionssens!$P$1*A97^2+regressionssens!$P$2*A97^7</f>
        <v>-8.0573891301801499</v>
      </c>
      <c r="O97">
        <f>regressionssens!$T$2+regressionssens!$T$1*EXP(A97)</f>
        <v>-14.35694319670772</v>
      </c>
      <c r="P97" s="20">
        <f>(1-EXP(-2*regressionssens!X$1*graphsens!A97))/2/EXP(-regressionssens!X$1*A97)</f>
        <v>-12.563020467876067</v>
      </c>
      <c r="Q97" s="5"/>
      <c r="AT97" s="33"/>
      <c r="AW97" s="33"/>
      <c r="AZ97" s="33"/>
    </row>
    <row r="98" spans="1:52" x14ac:dyDescent="0.35">
      <c r="A98">
        <f t="shared" si="7"/>
        <v>7.4999999999999893</v>
      </c>
      <c r="B98">
        <f t="shared" si="4"/>
        <v>-8.7742728660343907</v>
      </c>
      <c r="C98">
        <f>regressionssens!$AR$1*$A98</f>
        <v>5.8986046594190507</v>
      </c>
      <c r="D98">
        <f>regressionssens!$AO$1*$A98</f>
        <v>9.9478851097468191</v>
      </c>
      <c r="E98">
        <f t="shared" si="5"/>
        <v>3.0229364528037106</v>
      </c>
      <c r="F98">
        <f t="shared" si="6"/>
        <v>-28.670043085528029</v>
      </c>
      <c r="G98" s="5">
        <f>B98-regressions!AA$7</f>
        <v>-12.495561456499345</v>
      </c>
      <c r="H98" s="5">
        <f>B98+regressions!AA$7</f>
        <v>-5.0529842755694361</v>
      </c>
      <c r="I98">
        <f>IF($A98&lt;=regressionssens!$L$2,$A98*regressionssens!$L$1,regressionssens!$L$1*regressionssens!$L$2+regressionssens!$L$3*($A98-regressionssens!$L$2))</f>
        <v>-7.5026143786568102</v>
      </c>
      <c r="J98">
        <f>regressionssens!$J$1*A98+regressionssens!$J$2*A98^2</f>
        <v>-10.105140672096146</v>
      </c>
      <c r="K98">
        <f>regressionssens!$V$1*A98</f>
        <v>-7.5026144357336797</v>
      </c>
      <c r="L98">
        <f>regressionssens!$N$1*A98^2</f>
        <v>-12.407472183429146</v>
      </c>
      <c r="M98" s="20">
        <f>regressionssens!$R$1*A98^2+regressionssens!$R$2*A98^6</f>
        <v>-7.4172637811224256</v>
      </c>
      <c r="N98">
        <f>regressionssens!$P$1*A98^2+regressionssens!$P$2*A98^7</f>
        <v>-7.8600435947477978</v>
      </c>
      <c r="O98">
        <f>regressionssens!$T$2+regressionssens!$T$1*EXP(A98)</f>
        <v>-15.867799608618837</v>
      </c>
      <c r="P98" s="20">
        <f>(1-EXP(-2*regressionssens!X$1*graphsens!A98))/2/EXP(-regressionssens!X$1*A98)</f>
        <v>-13.12445482221354</v>
      </c>
      <c r="Q98" s="5"/>
      <c r="AT98" s="33"/>
      <c r="AW98" s="33"/>
      <c r="AZ98" s="33"/>
    </row>
    <row r="99" spans="1:52" x14ac:dyDescent="0.35">
      <c r="A99">
        <f t="shared" si="7"/>
        <v>7.599999999999989</v>
      </c>
      <c r="B99">
        <f t="shared" si="4"/>
        <v>-8.7827408499310859</v>
      </c>
      <c r="C99">
        <f>regressionssens!$AR$1*$A99</f>
        <v>5.9772527215446383</v>
      </c>
      <c r="D99">
        <f>regressionssens!$AO$1*$A99</f>
        <v>10.080523577876777</v>
      </c>
      <c r="E99">
        <f t="shared" si="5"/>
        <v>3.1717645931581906</v>
      </c>
      <c r="F99">
        <f t="shared" si="6"/>
        <v>-28.943788005684638</v>
      </c>
      <c r="G99" s="5">
        <f>B99-regressions!AA$7</f>
        <v>-12.504029440396041</v>
      </c>
      <c r="H99" s="5">
        <f>B99+regressions!AA$7</f>
        <v>-5.0614522594661313</v>
      </c>
      <c r="I99">
        <f>IF($A99&lt;=regressionssens!$L$2,$A99*regressionssens!$L$1,regressionssens!$L$1*regressionssens!$L$2+regressionssens!$L$3*($A99-regressionssens!$L$2))</f>
        <v>-7.6026492370389001</v>
      </c>
      <c r="J99">
        <f>regressionssens!$J$1*A99+regressionssens!$J$2*A99^2</f>
        <v>-10.320143575023531</v>
      </c>
      <c r="K99">
        <f>regressionssens!$V$1*A99</f>
        <v>-7.6026492948767954</v>
      </c>
      <c r="L99">
        <f>regressionssens!$N$1*A99^2</f>
        <v>-12.740543881153199</v>
      </c>
      <c r="M99" s="20">
        <f>regressionssens!$R$1*A99^2+regressionssens!$R$2*A99^6</f>
        <v>-7.1455888071773082</v>
      </c>
      <c r="N99">
        <f>regressionssens!$P$1*A99^2+regressionssens!$P$2*A99^7</f>
        <v>-7.6198420389016137</v>
      </c>
      <c r="O99">
        <f>regressionssens!$T$2+regressionssens!$T$1*EXP(A99)</f>
        <v>-17.537554176451128</v>
      </c>
      <c r="P99" s="20">
        <f>(1-EXP(-2*regressionssens!X$1*graphsens!A99))/2/EXP(-regressionssens!X$1*A99)</f>
        <v>-13.710828039746112</v>
      </c>
      <c r="Q99" s="5"/>
      <c r="AT99" s="33"/>
      <c r="AW99" s="33"/>
      <c r="AZ99" s="33"/>
    </row>
    <row r="100" spans="1:52" x14ac:dyDescent="0.35">
      <c r="A100">
        <f t="shared" si="7"/>
        <v>7.6999999999999886</v>
      </c>
      <c r="B100">
        <f t="shared" si="4"/>
        <v>-8.7738376961671172</v>
      </c>
      <c r="C100">
        <f>regressionssens!$AR$1*$A100</f>
        <v>6.055900783670225</v>
      </c>
      <c r="D100">
        <f>regressionssens!$AO$1*$A100</f>
        <v>10.213162046006735</v>
      </c>
      <c r="E100">
        <f t="shared" si="5"/>
        <v>3.3379638711733328</v>
      </c>
      <c r="F100">
        <f t="shared" si="6"/>
        <v>-29.200161788180587</v>
      </c>
      <c r="G100" s="5">
        <f>B100-regressions!AA$7</f>
        <v>-12.495126286632072</v>
      </c>
      <c r="H100" s="5">
        <f>B100+regressions!AA$7</f>
        <v>-5.0525491057021625</v>
      </c>
      <c r="I100">
        <f>IF($A100&lt;=regressionssens!$L$2,$A100*regressionssens!$L$1,regressionssens!$L$1*regressionssens!$L$2+regressionssens!$L$3*($A100-regressionssens!$L$2))</f>
        <v>-7.7026840954209908</v>
      </c>
      <c r="J100">
        <f>regressionssens!$J$1*A100+regressionssens!$J$2*A100^2</f>
        <v>-10.537258785686866</v>
      </c>
      <c r="K100">
        <f>regressionssens!$V$1*A100</f>
        <v>-7.7026841540199111</v>
      </c>
      <c r="L100">
        <f>regressionssens!$N$1*A100^2</f>
        <v>-13.078027124542469</v>
      </c>
      <c r="M100" s="20">
        <f>regressionssens!$R$1*A100^2+regressionssens!$R$2*A100^6</f>
        <v>-6.8321526007593132</v>
      </c>
      <c r="N100">
        <f>regressionssens!$P$1*A100^2+regressionssens!$P$2*A100^7</f>
        <v>-7.3335030002490624</v>
      </c>
      <c r="O100">
        <f>regressionssens!$T$2+regressionssens!$T$1*EXP(A100)</f>
        <v>-19.382918365143343</v>
      </c>
      <c r="P100" s="20">
        <f>(1-EXP(-2*regressionssens!X$1*graphsens!A100))/2/EXP(-regressionssens!X$1*A100)</f>
        <v>-14.323254336770876</v>
      </c>
      <c r="Q100" s="5"/>
      <c r="AT100" s="33"/>
      <c r="AW100" s="33"/>
      <c r="AZ100" s="33"/>
    </row>
    <row r="101" spans="1:52" x14ac:dyDescent="0.35">
      <c r="A101">
        <f t="shared" si="7"/>
        <v>7.7999999999999883</v>
      </c>
      <c r="B101">
        <f t="shared" si="4"/>
        <v>-8.7462997906634481</v>
      </c>
      <c r="C101">
        <f>regressionssens!$AR$1*$A101</f>
        <v>6.1345488457958126</v>
      </c>
      <c r="D101">
        <f>regressionssens!$AO$1*$A101</f>
        <v>10.345800514136691</v>
      </c>
      <c r="E101">
        <f t="shared" si="5"/>
        <v>3.5227979009281771</v>
      </c>
      <c r="F101">
        <f t="shared" si="6"/>
        <v>-29.437900818936832</v>
      </c>
      <c r="G101" s="5">
        <f>B101-regressions!AA$7</f>
        <v>-12.467588381128403</v>
      </c>
      <c r="H101" s="5">
        <f>B101+regressions!AA$7</f>
        <v>-5.0250112001984935</v>
      </c>
      <c r="I101">
        <f>IF($A101&lt;=regressionssens!$L$2,$A101*regressionssens!$L$1,regressionssens!$L$1*regressionssens!$L$2+regressionssens!$L$3*($A101-regressionssens!$L$2))</f>
        <v>-7.8027189538030814</v>
      </c>
      <c r="J101">
        <f>regressionssens!$J$1*A101+regressionssens!$J$2*A101^2</f>
        <v>-10.756486304086152</v>
      </c>
      <c r="K101">
        <f>regressionssens!$V$1*A101</f>
        <v>-7.802719013163026</v>
      </c>
      <c r="L101">
        <f>regressionssens!$N$1*A101^2</f>
        <v>-13.419921913596962</v>
      </c>
      <c r="M101" s="20">
        <f>regressionssens!$R$1*A101^2+regressionssens!$R$2*A101^6</f>
        <v>-6.4744112687175139</v>
      </c>
      <c r="N101">
        <f>regressionssens!$P$1*A101^2+regressionssens!$P$2*A101^7</f>
        <v>-6.9975677031003709</v>
      </c>
      <c r="O101">
        <f>regressionssens!$T$2+regressionssens!$T$1*EXP(A101)</f>
        <v>-21.422361199744241</v>
      </c>
      <c r="P101" s="20">
        <f>(1-EXP(-2*regressionssens!X$1*graphsens!A101))/2/EXP(-regressionssens!X$1*A101)</f>
        <v>-14.962897435198231</v>
      </c>
      <c r="Q101" s="5"/>
      <c r="AT101" s="33"/>
      <c r="AW101" s="33"/>
      <c r="AZ101" s="33"/>
    </row>
    <row r="102" spans="1:52" x14ac:dyDescent="0.35">
      <c r="A102">
        <f t="shared" si="7"/>
        <v>7.8999999999999879</v>
      </c>
      <c r="B102">
        <f t="shared" si="4"/>
        <v>-8.6988036987339203</v>
      </c>
      <c r="C102">
        <f>regressionssens!$AR$1*$A102</f>
        <v>6.2131969079213993</v>
      </c>
      <c r="D102">
        <f>regressionssens!$AO$1*$A102</f>
        <v>10.478438982266649</v>
      </c>
      <c r="E102">
        <f t="shared" si="5"/>
        <v>3.7275901171088783</v>
      </c>
      <c r="F102">
        <f t="shared" si="6"/>
        <v>-29.655681663267217</v>
      </c>
      <c r="G102" s="5">
        <f>B102-regressions!AA$7</f>
        <v>-12.420092289198875</v>
      </c>
      <c r="H102" s="5">
        <f>B102+regressions!AA$7</f>
        <v>-4.9775151082689657</v>
      </c>
      <c r="I102">
        <f>IF($A102&lt;=regressionssens!$L$2,$A102*regressionssens!$L$1,regressionssens!$L$1*regressionssens!$L$2+regressionssens!$L$3*($A102-regressionssens!$L$2))</f>
        <v>-7.9027538121851721</v>
      </c>
      <c r="J102">
        <f>regressionssens!$J$1*A102+regressionssens!$J$2*A102^2</f>
        <v>-10.977826130221388</v>
      </c>
      <c r="K102">
        <f>regressionssens!$V$1*A102</f>
        <v>-7.9027538723061417</v>
      </c>
      <c r="L102">
        <f>regressionssens!$N$1*A102^2</f>
        <v>-13.766228248316672</v>
      </c>
      <c r="M102" s="20">
        <f>regressionssens!$R$1*A102^2+regressionssens!$R$2*A102^6</f>
        <v>-6.0697198563340731</v>
      </c>
      <c r="N102">
        <f>regressionssens!$P$1*A102^2+regressionssens!$P$2*A102^7</f>
        <v>-6.6083929675843542</v>
      </c>
      <c r="O102">
        <f>regressionssens!$T$2+regressionssens!$T$1*EXP(A102)</f>
        <v>-23.676294109622919</v>
      </c>
      <c r="P102" s="20">
        <f>(1-EXP(-2*regressionssens!X$1*graphsens!A102))/2/EXP(-regressionssens!X$1*A102)</f>
        <v>-15.630972773836206</v>
      </c>
      <c r="Q102" s="5"/>
      <c r="AT102" s="33"/>
      <c r="AW102" s="33"/>
      <c r="AZ102" s="33"/>
    </row>
    <row r="103" spans="1:52" x14ac:dyDescent="0.35">
      <c r="A103">
        <f t="shared" si="7"/>
        <v>7.9999999999999876</v>
      </c>
      <c r="B103">
        <f t="shared" si="4"/>
        <v>-8.6299641324692988</v>
      </c>
      <c r="C103">
        <f>regressionssens!$AR$1*$A103</f>
        <v>6.291844970046987</v>
      </c>
      <c r="D103">
        <f>regressionssens!$AO$1*$A103</f>
        <v>10.611077450396607</v>
      </c>
      <c r="E103">
        <f t="shared" si="5"/>
        <v>3.9537258076246751</v>
      </c>
      <c r="F103">
        <f t="shared" si="6"/>
        <v>-29.852119033262511</v>
      </c>
      <c r="G103" s="5">
        <f>B103-regressions!AA$7</f>
        <v>-12.351252722934253</v>
      </c>
      <c r="H103" s="5">
        <f>B103+regressions!AA$7</f>
        <v>-4.9086755420043442</v>
      </c>
      <c r="I103">
        <f>IF($A103&lt;=regressionssens!$L$2,$A103*regressionssens!$L$1,regressionssens!$L$1*regressionssens!$L$2+regressionssens!$L$3*($A103-regressionssens!$L$2))</f>
        <v>-8.0027886705672628</v>
      </c>
      <c r="J103">
        <f>regressionssens!$J$1*A103+regressionssens!$J$2*A103^2</f>
        <v>-11.201278264092572</v>
      </c>
      <c r="K103">
        <f>regressionssens!$V$1*A103</f>
        <v>-8.0027887314492574</v>
      </c>
      <c r="L103">
        <f>regressionssens!$N$1*A103^2</f>
        <v>-14.116946128701601</v>
      </c>
      <c r="M103" s="20">
        <f>regressionssens!$R$1*A103^2+regressionssens!$R$2*A103^6</f>
        <v>-5.6153297054516731</v>
      </c>
      <c r="N103">
        <f>regressionssens!$P$1*A103^2+regressionssens!$P$2*A103^7</f>
        <v>-6.1621439321833051</v>
      </c>
      <c r="O103">
        <f>regressionssens!$T$2+regressionssens!$T$1*EXP(A103)</f>
        <v>-26.167275212914451</v>
      </c>
      <c r="P103" s="20">
        <f>(1-EXP(-2*regressionssens!X$1*graphsens!A103))/2/EXP(-regressionssens!X$1*A103)</f>
        <v>-16.328749817946424</v>
      </c>
      <c r="Q103" s="5"/>
      <c r="AT103" s="33"/>
      <c r="AW103" s="33"/>
      <c r="AZ103" s="33"/>
    </row>
    <row r="104" spans="1:52" x14ac:dyDescent="0.35">
      <c r="A104">
        <f t="shared" si="7"/>
        <v>8.0999999999999872</v>
      </c>
      <c r="B104">
        <f t="shared" si="4"/>
        <v>-8.5383318760529363</v>
      </c>
      <c r="C104">
        <f>regressionssens!$AR$1*$A104</f>
        <v>6.3704930321725737</v>
      </c>
      <c r="D104">
        <f>regressionssens!$AO$1*$A104</f>
        <v>10.743715918526563</v>
      </c>
      <c r="E104">
        <f t="shared" si="5"/>
        <v>4.202654188292211</v>
      </c>
      <c r="F104">
        <f t="shared" si="6"/>
        <v>-30.025763713106063</v>
      </c>
      <c r="G104" s="5">
        <f>B104-regressions!AA$7</f>
        <v>-12.259620466517891</v>
      </c>
      <c r="H104" s="5">
        <f>B104+regressions!AA$7</f>
        <v>-4.8170432855879817</v>
      </c>
      <c r="I104">
        <f>IF($A104&lt;=regressionssens!$L$2,$A104*regressionssens!$L$1,regressionssens!$L$1*regressionssens!$L$2+regressionssens!$L$3*($A104-regressionssens!$L$2))</f>
        <v>-8.1028235289493526</v>
      </c>
      <c r="J104">
        <f>regressionssens!$J$1*A104+regressionssens!$J$2*A104^2</f>
        <v>-11.426842705699707</v>
      </c>
      <c r="K104">
        <f>regressionssens!$V$1*A104</f>
        <v>-8.1028235905923722</v>
      </c>
      <c r="L104">
        <f>regressionssens!$N$1*A104^2</f>
        <v>-14.472075554751749</v>
      </c>
      <c r="M104" s="20">
        <f>regressionssens!$R$1*A104^2+regressionssens!$R$2*A104^6</f>
        <v>-5.1083857785123463</v>
      </c>
      <c r="N104">
        <f>regressionssens!$P$1*A104^2+regressionssens!$P$2*A104^7</f>
        <v>-5.6547865872637715</v>
      </c>
      <c r="O104">
        <f>regressionssens!$T$2+regressionssens!$T$1*EXP(A104)</f>
        <v>-28.920235085748246</v>
      </c>
      <c r="P104" s="20">
        <f>(1-EXP(-2*regressionssens!X$1*graphsens!A104))/2/EXP(-regressionssens!X$1*A104)</f>
        <v>-17.057554471460083</v>
      </c>
      <c r="Q104" s="5"/>
      <c r="AT104" s="33"/>
      <c r="AW104" s="33"/>
      <c r="AZ104" s="33"/>
    </row>
    <row r="105" spans="1:52" x14ac:dyDescent="0.35">
      <c r="A105">
        <f t="shared" si="7"/>
        <v>8.1999999999999869</v>
      </c>
      <c r="B105">
        <f t="shared" si="4"/>
        <v>-8.4223916688279665</v>
      </c>
      <c r="C105">
        <f>regressionssens!$AR$1*$A105</f>
        <v>6.4491410942981613</v>
      </c>
      <c r="D105">
        <f>regressionssens!$AO$1*$A105</f>
        <v>10.876354386656521</v>
      </c>
      <c r="E105">
        <f t="shared" si="5"/>
        <v>4.4758905197683561</v>
      </c>
      <c r="F105">
        <f t="shared" si="6"/>
        <v>-30.175100442141009</v>
      </c>
      <c r="G105" s="5">
        <f>B105-regressions!AA$7</f>
        <v>-12.143680259292921</v>
      </c>
      <c r="H105" s="5">
        <f>B105+regressions!AA$7</f>
        <v>-4.7011030783630119</v>
      </c>
      <c r="I105">
        <f>IF($A105&lt;=regressionssens!$L$2,$A105*regressionssens!$L$1,regressionssens!$L$1*regressionssens!$L$2+regressionssens!$L$3*($A105-regressionssens!$L$2))</f>
        <v>-8.2028583873314442</v>
      </c>
      <c r="J105">
        <f>regressionssens!$J$1*A105+regressionssens!$J$2*A105^2</f>
        <v>-11.654519455042795</v>
      </c>
      <c r="K105">
        <f>regressionssens!$V$1*A105</f>
        <v>-8.2028584497354888</v>
      </c>
      <c r="L105">
        <f>regressionssens!$N$1*A105^2</f>
        <v>-14.831616526467117</v>
      </c>
      <c r="M105" s="20">
        <f>regressionssens!$R$1*A105^2+regressionssens!$R$2*A105^6</f>
        <v>-4.5459239485075429</v>
      </c>
      <c r="N105">
        <f>regressionssens!$P$1*A105^2+regressionssens!$P$2*A105^7</f>
        <v>-5.0820801171801371</v>
      </c>
      <c r="O105">
        <f>regressionssens!$T$2+regressionssens!$T$1*EXP(A105)</f>
        <v>-31.962726275833383</v>
      </c>
      <c r="P105" s="20">
        <f>(1-EXP(-2*regressionssens!X$1*graphsens!A105))/2/EXP(-regressionssens!X$1*A105)</f>
        <v>-17.818771596437838</v>
      </c>
      <c r="Q105" s="5"/>
      <c r="AT105" s="33"/>
      <c r="AW105" s="33"/>
      <c r="AZ105" s="33"/>
    </row>
    <row r="106" spans="1:52" x14ac:dyDescent="0.35">
      <c r="A106">
        <f t="shared" si="7"/>
        <v>8.2999999999999865</v>
      </c>
      <c r="B106">
        <f t="shared" si="4"/>
        <v>-8.2805600459588611</v>
      </c>
      <c r="C106">
        <f>regressionssens!$AR$1*$A106</f>
        <v>6.5277891564237489</v>
      </c>
      <c r="D106">
        <f>regressionssens!$AO$1*$A106</f>
        <v>11.008992854786479</v>
      </c>
      <c r="E106">
        <f t="shared" si="5"/>
        <v>4.7750182668886367</v>
      </c>
      <c r="F106">
        <f t="shared" si="6"/>
        <v>-30.298545755531819</v>
      </c>
      <c r="G106" s="5">
        <f>B106-regressions!AA$7</f>
        <v>-12.001848636423816</v>
      </c>
      <c r="H106" s="5">
        <f>B106+regressions!AA$7</f>
        <v>-4.5592714554939064</v>
      </c>
      <c r="I106">
        <f>IF($A106&lt;=regressionssens!$L$2,$A106*regressionssens!$L$1,regressionssens!$L$1*regressionssens!$L$2+regressionssens!$L$3*($A106-regressionssens!$L$2))</f>
        <v>-8.302893245713534</v>
      </c>
      <c r="J106">
        <f>regressionssens!$J$1*A106+regressionssens!$J$2*A106^2</f>
        <v>-11.88430851212183</v>
      </c>
      <c r="K106">
        <f>regressionssens!$V$1*A106</f>
        <v>-8.3028933088786037</v>
      </c>
      <c r="L106">
        <f>regressionssens!$N$1*A106^2</f>
        <v>-15.195569043847705</v>
      </c>
      <c r="M106" s="20">
        <f>regressionssens!$R$1*A106^2+regressionssens!$R$2*A106^6</f>
        <v>-3.9248682548396001</v>
      </c>
      <c r="N106">
        <f>regressionssens!$P$1*A106^2+regressionssens!$P$2*A106^7</f>
        <v>-4.4395690485278543</v>
      </c>
      <c r="O106">
        <f>regressionssens!$T$2+regressionssens!$T$1*EXP(A106)</f>
        <v>-35.32519905761685</v>
      </c>
      <c r="P106" s="20">
        <f>(1-EXP(-2*regressionssens!X$1*graphsens!A106))/2/EXP(-regressionssens!X$1*A106)</f>
        <v>-18.613847644560821</v>
      </c>
      <c r="Q106" s="5"/>
      <c r="AT106" s="33"/>
      <c r="AW106" s="33"/>
      <c r="AZ106" s="33"/>
    </row>
    <row r="107" spans="1:52" x14ac:dyDescent="0.35">
      <c r="A107">
        <f t="shared" si="7"/>
        <v>8.3999999999999861</v>
      </c>
      <c r="B107">
        <f t="shared" si="4"/>
        <v>-8.111183136555093</v>
      </c>
      <c r="C107">
        <f>regressionssens!$AR$1*$A107</f>
        <v>6.6064372185493356</v>
      </c>
      <c r="D107">
        <f>regressionssens!$AO$1*$A107</f>
        <v>11.141631322916435</v>
      </c>
      <c r="E107">
        <f t="shared" si="5"/>
        <v>5.1016913005435782</v>
      </c>
      <c r="F107">
        <f t="shared" si="6"/>
        <v>-30.394445782387962</v>
      </c>
      <c r="G107" s="5">
        <f>B107-regressions!AA$7</f>
        <v>-11.832471727020048</v>
      </c>
      <c r="H107" s="5">
        <f>B107+regressions!AA$7</f>
        <v>-4.3898945460901384</v>
      </c>
      <c r="I107">
        <f>IF($A107&lt;=regressionssens!$L$2,$A107*regressionssens!$L$1,regressionssens!$L$1*regressionssens!$L$2+regressionssens!$L$3*($A107-regressionssens!$L$2))</f>
        <v>-8.4029281040956256</v>
      </c>
      <c r="J107">
        <f>regressionssens!$J$1*A107+regressionssens!$J$2*A107^2</f>
        <v>-12.116209876936814</v>
      </c>
      <c r="K107">
        <f>regressionssens!$V$1*A107</f>
        <v>-8.4029281680217203</v>
      </c>
      <c r="L107">
        <f>regressionssens!$N$1*A107^2</f>
        <v>-15.563933106893511</v>
      </c>
      <c r="M107" s="20">
        <f>regressionssens!$R$1*A107^2+regressionssens!$R$2*A107^6</f>
        <v>-3.2420281250944818</v>
      </c>
      <c r="N107">
        <f>regressionssens!$P$1*A107^2+regressionssens!$P$2*A107^7</f>
        <v>-3.7225752021231813</v>
      </c>
      <c r="O107">
        <f>regressionssens!$T$2+regressionssens!$T$1*EXP(A107)</f>
        <v>-39.041306188864844</v>
      </c>
      <c r="P107" s="20">
        <f>(1-EXP(-2*regressionssens!X$1*graphsens!A107))/2/EXP(-regressionssens!X$1*A107)</f>
        <v>-19.444293405653241</v>
      </c>
      <c r="Q107" s="5"/>
      <c r="AT107" s="33"/>
      <c r="AW107" s="33"/>
      <c r="AZ107" s="33"/>
    </row>
    <row r="108" spans="1:52" x14ac:dyDescent="0.35">
      <c r="A108">
        <f t="shared" si="7"/>
        <v>8.4999999999999858</v>
      </c>
      <c r="B108">
        <f t="shared" si="4"/>
        <v>-7.9125344191515827</v>
      </c>
      <c r="C108">
        <f>regressionssens!$AR$1*$A108</f>
        <v>6.6850852806749232</v>
      </c>
      <c r="D108">
        <f>regressionssens!$AO$1*$A108</f>
        <v>11.274269791046393</v>
      </c>
      <c r="E108">
        <f t="shared" si="5"/>
        <v>5.4576361421982638</v>
      </c>
      <c r="F108">
        <f t="shared" si="6"/>
        <v>-30.46107400124437</v>
      </c>
      <c r="G108" s="5">
        <f>B108-regressions!AA$7</f>
        <v>-11.633823009616538</v>
      </c>
      <c r="H108" s="5">
        <f>B108+regressions!AA$7</f>
        <v>-4.1912458286866272</v>
      </c>
      <c r="I108">
        <f>IF($A108&lt;=regressionssens!$L$2,$A108*regressionssens!$L$1,regressionssens!$L$1*regressionssens!$L$2+regressionssens!$L$3*($A108-regressionssens!$L$2))</f>
        <v>-8.5029629624777154</v>
      </c>
      <c r="J108">
        <f>regressionssens!$J$1*A108+regressionssens!$J$2*A108^2</f>
        <v>-12.350223549487751</v>
      </c>
      <c r="K108">
        <f>regressionssens!$V$1*A108</f>
        <v>-8.5029630271648351</v>
      </c>
      <c r="L108">
        <f>regressionssens!$N$1*A108^2</f>
        <v>-15.936708715604539</v>
      </c>
      <c r="M108" s="20">
        <f>regressionssens!$R$1*A108^2+regressionssens!$R$2*A108^6</f>
        <v>-2.4940955627258603</v>
      </c>
      <c r="N108">
        <f>regressionssens!$P$1*A108^2+regressionssens!$P$2*A108^7</f>
        <v>-2.9261894462863065</v>
      </c>
      <c r="O108">
        <f>regressionssens!$T$2+regressionssens!$T$1*EXP(A108)</f>
        <v>-43.148239718773667</v>
      </c>
      <c r="P108" s="20">
        <f>(1-EXP(-2*regressionssens!X$1*graphsens!A108))/2/EXP(-regressionssens!X$1*A108)</f>
        <v>-20.311686878459245</v>
      </c>
      <c r="Q108" s="5"/>
      <c r="AT108" s="33"/>
      <c r="AW108" s="33"/>
      <c r="AZ108" s="33"/>
    </row>
    <row r="109" spans="1:52" x14ac:dyDescent="0.35">
      <c r="A109">
        <f t="shared" si="7"/>
        <v>8.5999999999999854</v>
      </c>
      <c r="B109">
        <f t="shared" si="4"/>
        <v>-7.6828124344697786</v>
      </c>
      <c r="C109">
        <f>regressionssens!$AR$1*$A109</f>
        <v>6.76373334280051</v>
      </c>
      <c r="D109">
        <f>regressionssens!$AO$1*$A109</f>
        <v>11.406908259176351</v>
      </c>
      <c r="E109">
        <f t="shared" si="5"/>
        <v>5.8446542511312414</v>
      </c>
      <c r="F109">
        <f t="shared" si="6"/>
        <v>-30.49662895282248</v>
      </c>
      <c r="G109" s="5">
        <f>B109-regressions!AA$7</f>
        <v>-11.404101024934734</v>
      </c>
      <c r="H109" s="5">
        <f>B109+regressions!AA$7</f>
        <v>-3.9615238440048235</v>
      </c>
      <c r="I109">
        <f>IF($A109&lt;=regressionssens!$L$2,$A109*regressionssens!$L$1,regressionssens!$L$1*regressionssens!$L$2+regressionssens!$L$3*($A109-regressionssens!$L$2))</f>
        <v>-8.602997820859807</v>
      </c>
      <c r="J109">
        <f>regressionssens!$J$1*A109+regressionssens!$J$2*A109^2</f>
        <v>-12.586349529774637</v>
      </c>
      <c r="K109">
        <f>regressionssens!$V$1*A109</f>
        <v>-8.6029978863079499</v>
      </c>
      <c r="L109">
        <f>regressionssens!$N$1*A109^2</f>
        <v>-16.313895869980783</v>
      </c>
      <c r="M109" s="20">
        <f>regressionssens!$R$1*A109^2+regressionssens!$R$2*A109^6</f>
        <v>-1.6776423006505006</v>
      </c>
      <c r="N109">
        <f>regressionssens!$P$1*A109^2+regressionssens!$P$2*A109^7</f>
        <v>-2.0452632490048117</v>
      </c>
      <c r="O109">
        <f>regressionssens!$T$2+regressionssens!$T$1*EXP(A109)</f>
        <v>-47.687103218498642</v>
      </c>
      <c r="P109" s="20">
        <f>(1-EXP(-2*regressionssens!X$1*graphsens!A109))/2/EXP(-regressionssens!X$1*A109)</f>
        <v>-21.217676269128912</v>
      </c>
      <c r="Q109" s="5"/>
      <c r="AT109" s="33"/>
      <c r="AW109" s="33"/>
      <c r="AZ109" s="33"/>
    </row>
    <row r="110" spans="1:52" x14ac:dyDescent="0.35">
      <c r="A110">
        <f t="shared" si="7"/>
        <v>8.6999999999999851</v>
      </c>
      <c r="B110">
        <f t="shared" si="4"/>
        <v>-7.4201384554149055</v>
      </c>
      <c r="C110">
        <f>regressionssens!$AR$1*$A110</f>
        <v>6.8423814049260976</v>
      </c>
      <c r="D110">
        <f>regressionssens!$AO$1*$A110</f>
        <v>11.539546727306307</v>
      </c>
      <c r="E110">
        <f t="shared" si="5"/>
        <v>6.2646243544372897</v>
      </c>
      <c r="F110">
        <f t="shared" si="6"/>
        <v>-30.499231910027518</v>
      </c>
      <c r="G110" s="5">
        <f>B110-regressions!AA$7</f>
        <v>-11.14142704587986</v>
      </c>
      <c r="H110" s="5">
        <f>B110+regressions!AA$7</f>
        <v>-3.6988498649499504</v>
      </c>
      <c r="I110">
        <f>IF($A110&lt;=regressionssens!$L$2,$A110*regressionssens!$L$1,regressionssens!$L$1*regressionssens!$L$2+regressionssens!$L$3*($A110-regressionssens!$L$2))</f>
        <v>-8.7030326792418968</v>
      </c>
      <c r="J110">
        <f>regressionssens!$J$1*A110+regressionssens!$J$2*A110^2</f>
        <v>-12.824587817797475</v>
      </c>
      <c r="K110">
        <f>regressionssens!$V$1*A110</f>
        <v>-8.7030327454510665</v>
      </c>
      <c r="L110">
        <f>regressionssens!$N$1*A110^2</f>
        <v>-16.695494570022248</v>
      </c>
      <c r="M110" s="20">
        <f>regressionssens!$R$1*A110^2+regressionssens!$R$2*A110^6</f>
        <v>-0.7891169207550135</v>
      </c>
      <c r="N110">
        <f>regressionssens!$P$1*A110^2+regressionssens!$P$2*A110^7</f>
        <v>-1.0744000265541445</v>
      </c>
      <c r="O110">
        <f>regressionssens!$T$2+regressionssens!$T$1*EXP(A110)</f>
        <v>-52.70332315950975</v>
      </c>
      <c r="P110" s="20">
        <f>(1-EXP(-2*regressionssens!X$1*graphsens!A110))/2/EXP(-regressionssens!X$1*A110)</f>
        <v>-22.16398312311129</v>
      </c>
      <c r="Q110" s="5"/>
      <c r="AT110" s="33"/>
      <c r="AW110" s="33"/>
      <c r="AZ110" s="33"/>
    </row>
    <row r="111" spans="1:52" x14ac:dyDescent="0.35">
      <c r="A111">
        <f t="shared" si="7"/>
        <v>8.7999999999999847</v>
      </c>
      <c r="B111">
        <f t="shared" si="4"/>
        <v>-7.1225541142992528</v>
      </c>
      <c r="C111">
        <f>regressionssens!$AR$1*$A111</f>
        <v>6.9210294670516843</v>
      </c>
      <c r="D111">
        <f>regressionssens!$AO$1*$A111</f>
        <v>11.672185195436265</v>
      </c>
      <c r="E111">
        <f t="shared" si="5"/>
        <v>6.7195048198041158</v>
      </c>
      <c r="F111">
        <f t="shared" si="6"/>
        <v>-30.466924505171782</v>
      </c>
      <c r="G111" s="5">
        <f>B111-regressions!AA$7</f>
        <v>-10.843842704764208</v>
      </c>
      <c r="H111" s="5">
        <f>B111+regressions!AA$7</f>
        <v>-3.4012655238342977</v>
      </c>
      <c r="I111">
        <f>IF($A111&lt;=regressionssens!$L$2,$A111*regressionssens!$L$1,regressionssens!$L$1*regressionssens!$L$2+regressionssens!$L$3*($A111-regressionssens!$L$2))</f>
        <v>-8.8030675376239866</v>
      </c>
      <c r="J111">
        <f>regressionssens!$J$1*A111+regressionssens!$J$2*A111^2</f>
        <v>-13.064938413556259</v>
      </c>
      <c r="K111">
        <f>regressionssens!$V$1*A111</f>
        <v>-8.8030676045941814</v>
      </c>
      <c r="L111">
        <f>regressionssens!$N$1*A111^2</f>
        <v>-17.08150481572893</v>
      </c>
      <c r="M111" s="20">
        <f>regressionssens!$R$1*A111^2+regressionssens!$R$2*A111^6</f>
        <v>0.1751580606861296</v>
      </c>
      <c r="N111">
        <f>regressionssens!$P$1*A111^2+regressionssens!$P$2*A111^7</f>
        <v>-7.9462861522330286E-3</v>
      </c>
      <c r="O111">
        <f>regressionssens!$T$2+regressionssens!$T$1*EXP(A111)</f>
        <v>-58.247103556986367</v>
      </c>
      <c r="P111" s="20">
        <f>(1-EXP(-2*regressionssens!X$1*graphsens!A111))/2/EXP(-regressionssens!X$1*A111)</f>
        <v>-23.152405596405355</v>
      </c>
      <c r="Q111" s="5"/>
      <c r="AT111" s="33"/>
      <c r="AW111" s="33"/>
      <c r="AZ111" s="33"/>
    </row>
    <row r="112" spans="1:52" x14ac:dyDescent="0.35">
      <c r="A112">
        <f t="shared" si="7"/>
        <v>8.8999999999999844</v>
      </c>
      <c r="B112">
        <f t="shared" si="4"/>
        <v>-6.7880189873187273</v>
      </c>
      <c r="C112">
        <f>regressionssens!$AR$1*$A112</f>
        <v>6.9996775291772719</v>
      </c>
      <c r="D112">
        <f>regressionssens!$AO$1*$A112</f>
        <v>11.804823663566223</v>
      </c>
      <c r="E112">
        <f t="shared" si="5"/>
        <v>7.2113360710358165</v>
      </c>
      <c r="F112">
        <f t="shared" si="6"/>
        <v>-30.397666314451172</v>
      </c>
      <c r="G112" s="5">
        <f>B112-regressions!AA$7</f>
        <v>-10.509307577783682</v>
      </c>
      <c r="H112" s="5">
        <f>B112+regressions!AA$7</f>
        <v>-3.0667303968537722</v>
      </c>
      <c r="I112">
        <f>IF($A112&lt;=regressionssens!$L$2,$A112*regressionssens!$L$1,regressionssens!$L$1*regressionssens!$L$2+regressionssens!$L$3*($A112-regressionssens!$L$2))</f>
        <v>-8.9031023960060782</v>
      </c>
      <c r="J112">
        <f>regressionssens!$J$1*A112+regressionssens!$J$2*A112^2</f>
        <v>-13.307401317050996</v>
      </c>
      <c r="K112">
        <f>regressionssens!$V$1*A112</f>
        <v>-8.9031024637372962</v>
      </c>
      <c r="L112">
        <f>regressionssens!$N$1*A112^2</f>
        <v>-17.471926607100833</v>
      </c>
      <c r="M112" s="20">
        <f>regressionssens!$R$1*A112^2+regressionssens!$R$2*A112^6</f>
        <v>1.2189891416812237</v>
      </c>
      <c r="N112">
        <f>regressionssens!$P$1*A112^2+regressionssens!$P$2*A112^7</f>
        <v>1.1600174397751459</v>
      </c>
      <c r="O112">
        <f>regressionssens!$T$2+regressionssens!$T$1*EXP(A112)</f>
        <v>-64.373928428475367</v>
      </c>
      <c r="P112" s="20">
        <f>(1-EXP(-2*regressionssens!X$1*graphsens!A112))/2/EXP(-regressionssens!X$1*A112)</f>
        <v>-24.184821872385147</v>
      </c>
      <c r="Q112" s="5"/>
      <c r="AT112" s="33"/>
      <c r="AW112" s="33"/>
      <c r="AZ112" s="33"/>
    </row>
    <row r="113" spans="1:52" x14ac:dyDescent="0.35">
      <c r="A113">
        <f t="shared" si="7"/>
        <v>8.999999999999984</v>
      </c>
      <c r="B113">
        <f t="shared" si="4"/>
        <v>-6.4144081363504668</v>
      </c>
      <c r="C113">
        <f>regressionssens!$AR$1*$A113</f>
        <v>7.0783255913028587</v>
      </c>
      <c r="D113">
        <f>regressionssens!$AO$1*$A113</f>
        <v>11.937462131696179</v>
      </c>
      <c r="E113">
        <f t="shared" si="5"/>
        <v>7.7422430462552505</v>
      </c>
      <c r="F113">
        <f t="shared" si="6"/>
        <v>-30.289332399742825</v>
      </c>
      <c r="G113" s="5">
        <f>B113-regressions!AA$7</f>
        <v>-10.135696726815421</v>
      </c>
      <c r="H113" s="5">
        <f>B113+regressions!AA$7</f>
        <v>-2.6931195458855117</v>
      </c>
      <c r="I113">
        <f>IF($A113&lt;=regressionssens!$L$2,$A113*regressionssens!$L$1,regressionssens!$L$1*regressionssens!$L$2+regressionssens!$L$3*($A113-regressionssens!$L$2))</f>
        <v>-9.003137254388168</v>
      </c>
      <c r="J113">
        <f>regressionssens!$J$1*A113+regressionssens!$J$2*A113^2</f>
        <v>-13.551976528281683</v>
      </c>
      <c r="K113">
        <f>regressionssens!$V$1*A113</f>
        <v>-9.0031373228804128</v>
      </c>
      <c r="L113">
        <f>regressionssens!$N$1*A113^2</f>
        <v>-17.866759944137957</v>
      </c>
      <c r="M113" s="20">
        <f>regressionssens!$R$1*A113^2+regressionssens!$R$2*A113^6</f>
        <v>2.3463148172806285</v>
      </c>
      <c r="N113">
        <f>regressionssens!$P$1*A113^2+regressionssens!$P$2*A113^7</f>
        <v>2.4356858701411603</v>
      </c>
      <c r="O113">
        <f>regressionssens!$T$2+regressionssens!$T$1*EXP(A113)</f>
        <v>-71.145117096587569</v>
      </c>
      <c r="P113" s="20">
        <f>(1-EXP(-2*regressionssens!X$1*graphsens!A113))/2/EXP(-regressionssens!X$1*A113)</f>
        <v>-25.263193730691494</v>
      </c>
      <c r="Q113" s="5"/>
      <c r="AT113" s="33"/>
      <c r="AW113" s="33"/>
      <c r="AZ113" s="33"/>
    </row>
    <row r="114" spans="1:52" x14ac:dyDescent="0.35">
      <c r="A114">
        <f t="shared" si="7"/>
        <v>9.0999999999999837</v>
      </c>
      <c r="B114">
        <f t="shared" si="4"/>
        <v>-5.9995096081833186</v>
      </c>
      <c r="C114">
        <f>regressionssens!$AR$1*$A114</f>
        <v>7.1569736534284463</v>
      </c>
      <c r="D114">
        <f>regressionssens!$AO$1*$A114</f>
        <v>12.070100599826137</v>
      </c>
      <c r="E114">
        <f t="shared" si="5"/>
        <v>8.314437698673574</v>
      </c>
      <c r="F114">
        <f t="shared" si="6"/>
        <v>-30.139710807835591</v>
      </c>
      <c r="G114" s="5">
        <f>B114-regressions!AA$7</f>
        <v>-9.7207981986482732</v>
      </c>
      <c r="H114" s="5">
        <f>B114+regressions!AA$7</f>
        <v>-2.2782210177183635</v>
      </c>
      <c r="I114">
        <f>IF($A114&lt;=regressionssens!$L$2,$A114*regressionssens!$L$1,regressionssens!$L$1*regressionssens!$L$2+regressionssens!$L$3*($A114-regressionssens!$L$2))</f>
        <v>-9.1031721127702596</v>
      </c>
      <c r="J114">
        <f>regressionssens!$J$1*A114+regressionssens!$J$2*A114^2</f>
        <v>-13.79866404724832</v>
      </c>
      <c r="K114">
        <f>regressionssens!$V$1*A114</f>
        <v>-9.1031721820235276</v>
      </c>
      <c r="L114">
        <f>regressionssens!$N$1*A114^2</f>
        <v>-18.266004826840298</v>
      </c>
      <c r="M114" s="20">
        <f>regressionssens!$R$1*A114^2+regressionssens!$R$2*A114^6</f>
        <v>3.5612085964247591</v>
      </c>
      <c r="N114">
        <f>regressionssens!$P$1*A114^2+regressionssens!$P$2*A114^7</f>
        <v>3.8255384649801414</v>
      </c>
      <c r="O114">
        <f>regressionssens!$T$2+regressionssens!$T$1*EXP(A114)</f>
        <v>-78.628437893388579</v>
      </c>
      <c r="P114" s="20">
        <f>(1-EXP(-2*regressionssens!X$1*graphsens!A114))/2/EXP(-regressionssens!X$1*A114)</f>
        <v>-26.389570274971884</v>
      </c>
      <c r="Q114" s="5"/>
      <c r="AT114" s="33"/>
      <c r="AW114" s="33"/>
      <c r="AZ114" s="33"/>
    </row>
    <row r="115" spans="1:52" x14ac:dyDescent="0.35">
      <c r="A115">
        <f t="shared" si="7"/>
        <v>9.1999999999999833</v>
      </c>
      <c r="B115">
        <f t="shared" si="4"/>
        <v>-5.5410218913411127</v>
      </c>
      <c r="C115">
        <f>regressionssens!$AR$1*$A115</f>
        <v>7.235621715554033</v>
      </c>
      <c r="D115">
        <f>regressionssens!$AO$1*$A115</f>
        <v>12.202739067956093</v>
      </c>
      <c r="E115">
        <f t="shared" si="5"/>
        <v>8.9302215397669542</v>
      </c>
      <c r="F115">
        <f t="shared" si="6"/>
        <v>-29.9465000272533</v>
      </c>
      <c r="G115" s="5">
        <f>B115-regressions!AA$7</f>
        <v>-9.2623104818060682</v>
      </c>
      <c r="H115" s="5">
        <f>B115+regressions!AA$7</f>
        <v>-1.8197333008761576</v>
      </c>
      <c r="I115">
        <f>IF($A115&lt;=regressionssens!$L$2,$A115*regressionssens!$L$1,regressionssens!$L$1*regressionssens!$L$2+regressionssens!$L$3*($A115-regressionssens!$L$2))</f>
        <v>-9.2032069711523494</v>
      </c>
      <c r="J115">
        <f>regressionssens!$J$1*A115+regressionssens!$J$2*A115^2</f>
        <v>-14.047463873950907</v>
      </c>
      <c r="K115">
        <f>regressionssens!$V$1*A115</f>
        <v>-9.2032070411666442</v>
      </c>
      <c r="L115">
        <f>regressionssens!$N$1*A115^2</f>
        <v>-18.669661255207856</v>
      </c>
      <c r="M115" s="20">
        <f>regressionssens!$R$1*A115^2+regressionssens!$R$2*A115^6</f>
        <v>4.867882052880784</v>
      </c>
      <c r="N115">
        <f>regressionssens!$P$1*A115^2+regressionssens!$P$2*A115^7</f>
        <v>5.3363491308882907</v>
      </c>
      <c r="O115">
        <f>regressionssens!$T$2+regressionssens!$T$1*EXP(A115)</f>
        <v>-86.898786408643701</v>
      </c>
      <c r="P115" s="20">
        <f>(1-EXP(-2*regressionssens!X$1*graphsens!A115))/2/EXP(-regressionssens!X$1*A115)</f>
        <v>-27.566091826552036</v>
      </c>
      <c r="Q115" s="5"/>
      <c r="AT115" s="33"/>
      <c r="AW115" s="33"/>
      <c r="AZ115" s="33"/>
    </row>
    <row r="116" spans="1:52" x14ac:dyDescent="0.35">
      <c r="A116">
        <f t="shared" si="7"/>
        <v>9.2999999999999829</v>
      </c>
      <c r="B116">
        <f t="shared" si="4"/>
        <v>-5.0365513307108465</v>
      </c>
      <c r="C116">
        <f>regressionssens!$AR$1*$A116</f>
        <v>7.3142697776796206</v>
      </c>
      <c r="D116">
        <f>regressionssens!$AO$1*$A116</f>
        <v>12.335377536086051</v>
      </c>
      <c r="E116">
        <f t="shared" si="5"/>
        <v>9.5919882246483947</v>
      </c>
      <c r="F116">
        <f t="shared" si="6"/>
        <v>-29.707306402882949</v>
      </c>
      <c r="G116" s="5">
        <f>B116-regressions!AA$7</f>
        <v>-8.7578399211758011</v>
      </c>
      <c r="H116" s="5">
        <f>B116+regressions!AA$7</f>
        <v>-1.3152627402458914</v>
      </c>
      <c r="I116">
        <f>IF($A116&lt;=regressionssens!$L$2,$A116*regressionssens!$L$1,regressionssens!$L$1*regressionssens!$L$2+regressionssens!$L$3*($A116-regressionssens!$L$2))</f>
        <v>-9.303241829534441</v>
      </c>
      <c r="J116">
        <f>regressionssens!$J$1*A116+regressionssens!$J$2*A116^2</f>
        <v>-14.298376008389443</v>
      </c>
      <c r="K116">
        <f>regressionssens!$V$1*A116</f>
        <v>-9.3032419003097591</v>
      </c>
      <c r="L116">
        <f>regressionssens!$N$1*A116^2</f>
        <v>-19.077729229240639</v>
      </c>
      <c r="M116" s="20">
        <f>regressionssens!$R$1*A116^2+regressionssens!$R$2*A116^6</f>
        <v>6.2706879102679487</v>
      </c>
      <c r="N116">
        <f>regressionssens!$P$1*A116^2+regressionssens!$P$2*A116^7</f>
        <v>6.9751961445460893</v>
      </c>
      <c r="O116">
        <f>regressionssens!$T$2+regressionssens!$T$1*EXP(A116)</f>
        <v>-96.038935070053782</v>
      </c>
      <c r="P116" s="20">
        <f>(1-EXP(-2*regressionssens!X$1*graphsens!A116))/2/EXP(-regressionssens!X$1*A116)</f>
        <v>-28.79499399143754</v>
      </c>
      <c r="Q116" s="5"/>
      <c r="AE116" s="58"/>
      <c r="AO116" s="1"/>
      <c r="AP116" s="1"/>
      <c r="AT116" s="33"/>
      <c r="AW116" s="33"/>
      <c r="AZ116" s="33"/>
    </row>
    <row r="117" spans="1:52" x14ac:dyDescent="0.35">
      <c r="A117">
        <f t="shared" si="7"/>
        <v>9.3999999999999826</v>
      </c>
      <c r="B117">
        <f t="shared" si="4"/>
        <v>-4.4836095002448992</v>
      </c>
      <c r="C117">
        <f>regressionssens!$AR$1*$A117</f>
        <v>7.3929178398052073</v>
      </c>
      <c r="D117">
        <f>regressionssens!$AO$1*$A117</f>
        <v>12.468016004216009</v>
      </c>
      <c r="E117">
        <f t="shared" si="5"/>
        <v>10.302226179365515</v>
      </c>
      <c r="F117">
        <f t="shared" si="6"/>
        <v>-29.419641508676918</v>
      </c>
      <c r="G117" s="5">
        <f>B117-regressions!AA$7</f>
        <v>-8.2048980907098539</v>
      </c>
      <c r="H117" s="5">
        <f>B117+regressions!AA$7</f>
        <v>-0.76232090977994416</v>
      </c>
      <c r="I117">
        <f>IF($A117&lt;=regressionssens!$L$2,$A117*regressionssens!$L$1,regressionssens!$L$1*regressionssens!$L$2+regressionssens!$L$3*($A117-regressionssens!$L$2))</f>
        <v>-9.4032766879165308</v>
      </c>
      <c r="J117">
        <f>regressionssens!$J$1*A117+regressionssens!$J$2*A117^2</f>
        <v>-14.551400450563929</v>
      </c>
      <c r="K117">
        <f>regressionssens!$V$1*A117</f>
        <v>-9.4032767594528739</v>
      </c>
      <c r="L117">
        <f>regressionssens!$N$1*A117^2</f>
        <v>-19.490208748938638</v>
      </c>
      <c r="M117" s="20">
        <f>regressionssens!$R$1*A117^2+regressionssens!$R$2*A117^6</f>
        <v>7.7741231611715662</v>
      </c>
      <c r="N117">
        <f>regressionssens!$P$1*A117^2+regressionssens!$P$2*A117^7</f>
        <v>8.7494722967453598</v>
      </c>
      <c r="O117">
        <f>regressionssens!$T$2+regressionssens!$T$1*EXP(A117)</f>
        <v>-106.14036155753227</v>
      </c>
      <c r="P117" s="20">
        <f>(1-EXP(-2*regressionssens!X$1*graphsens!A117))/2/EXP(-regressionssens!X$1*A117)</f>
        <v>-30.078611908374004</v>
      </c>
      <c r="Q117" s="5"/>
      <c r="AT117" s="33"/>
      <c r="AW117" s="33"/>
      <c r="AZ117" s="33"/>
    </row>
    <row r="118" spans="1:52" x14ac:dyDescent="0.35">
      <c r="A118">
        <f t="shared" si="7"/>
        <v>9.4999999999999822</v>
      </c>
      <c r="B118">
        <f t="shared" si="4"/>
        <v>-3.8796105340683349</v>
      </c>
      <c r="C118">
        <f>regressionssens!$AR$1*$A118</f>
        <v>7.471565901930795</v>
      </c>
      <c r="D118">
        <f>regressionssens!$AO$1*$A118</f>
        <v>12.600654472345965</v>
      </c>
      <c r="E118">
        <f t="shared" si="5"/>
        <v>11.063521269793256</v>
      </c>
      <c r="F118">
        <f t="shared" si="6"/>
        <v>-29.080919478760265</v>
      </c>
      <c r="G118" s="5">
        <f>B118-regressions!AA$7</f>
        <v>-7.6008991245332904</v>
      </c>
      <c r="H118" s="5">
        <f>B118+regressions!AA$7</f>
        <v>-0.15832194360337981</v>
      </c>
      <c r="I118">
        <f>IF($A118&lt;=regressionssens!$L$2,$A118*regressionssens!$L$1,regressionssens!$L$1*regressionssens!$L$2+regressionssens!$L$3*($A118-regressionssens!$L$2))</f>
        <v>-9.5033115462986224</v>
      </c>
      <c r="J118">
        <f>regressionssens!$J$1*A118+regressionssens!$J$2*A118^2</f>
        <v>-14.806537200474367</v>
      </c>
      <c r="K118">
        <f>regressionssens!$V$1*A118</f>
        <v>-9.5033116185959905</v>
      </c>
      <c r="L118">
        <f>regressionssens!$N$1*A118^2</f>
        <v>-19.907099814301855</v>
      </c>
      <c r="M118" s="20">
        <f>regressionssens!$R$1*A118^2+regressionssens!$R$2*A118^6</f>
        <v>9.3828322203457688</v>
      </c>
      <c r="N118">
        <f>regressionssens!$P$1*A118^2+regressionssens!$P$2*A118^7</f>
        <v>10.666895259344336</v>
      </c>
      <c r="O118">
        <f>regressionssens!$T$2+regressionssens!$T$1*EXP(A118)</f>
        <v>-117.30416434257253</v>
      </c>
      <c r="P118" s="20">
        <f>(1-EXP(-2*regressionssens!X$1*graphsens!A118))/2/EXP(-regressionssens!X$1*A118)</f>
        <v>-31.419384686037446</v>
      </c>
      <c r="Q118" s="5"/>
      <c r="AT118" s="33"/>
      <c r="AW118" s="33"/>
      <c r="AZ118" s="33"/>
    </row>
    <row r="119" spans="1:52" x14ac:dyDescent="0.35">
      <c r="A119">
        <f t="shared" si="7"/>
        <v>9.5999999999999819</v>
      </c>
      <c r="B119">
        <f t="shared" si="4"/>
        <v>-3.2218684163902545</v>
      </c>
      <c r="C119">
        <f>regressionssens!$AR$1*$A119</f>
        <v>7.5502139640563817</v>
      </c>
      <c r="D119">
        <f>regressionssens!$AO$1*$A119</f>
        <v>12.733292940475923</v>
      </c>
      <c r="E119">
        <f t="shared" si="5"/>
        <v>11.878559511722509</v>
      </c>
      <c r="F119">
        <f t="shared" si="6"/>
        <v>-28.688454297342101</v>
      </c>
      <c r="G119" s="5">
        <f>B119-regressions!AA$7</f>
        <v>-6.9431570068552091</v>
      </c>
      <c r="H119" s="5">
        <f>B119+regressions!AA$7</f>
        <v>0.49942017407470063</v>
      </c>
      <c r="I119">
        <f>IF($A119&lt;=regressionssens!$L$2,$A119*regressionssens!$L$1,regressionssens!$L$1*regressionssens!$L$2+regressionssens!$L$3*($A119-regressionssens!$L$2))</f>
        <v>-9.6033464046807122</v>
      </c>
      <c r="J119">
        <f>regressionssens!$J$1*A119+regressionssens!$J$2*A119^2</f>
        <v>-15.063786258120754</v>
      </c>
      <c r="K119">
        <f>regressionssens!$V$1*A119</f>
        <v>-9.6033464777391053</v>
      </c>
      <c r="L119">
        <f>regressionssens!$N$1*A119^2</f>
        <v>-20.328402425330292</v>
      </c>
      <c r="M119" s="20">
        <f>regressionssens!$R$1*A119^2+regressionssens!$R$2*A119^6</f>
        <v>11.101610112004895</v>
      </c>
      <c r="N119">
        <f>regressionssens!$P$1*A119^2+regressionssens!$P$2*A119^7</f>
        <v>12.735518177573763</v>
      </c>
      <c r="O119">
        <f>regressionssens!$T$2+regressionssens!$T$1*EXP(A119)</f>
        <v>-129.64207451573094</v>
      </c>
      <c r="P119" s="20">
        <f>(1-EXP(-2*regressionssens!X$1*graphsens!A119))/2/EXP(-regressionssens!X$1*A119)</f>
        <v>-32.819860037786754</v>
      </c>
      <c r="Q119" s="5"/>
      <c r="AT119" s="33"/>
      <c r="AW119" s="33"/>
      <c r="AZ119" s="33"/>
    </row>
    <row r="120" spans="1:52" x14ac:dyDescent="0.35">
      <c r="A120">
        <f t="shared" si="7"/>
        <v>9.6999999999999815</v>
      </c>
      <c r="B120">
        <f t="shared" si="4"/>
        <v>-2.5075942306919758</v>
      </c>
      <c r="C120">
        <f>regressionssens!$AR$1*$A120</f>
        <v>7.6288620261819693</v>
      </c>
      <c r="D120">
        <f>regressionssens!$AO$1*$A120</f>
        <v>12.865931408605881</v>
      </c>
      <c r="E120">
        <f t="shared" si="5"/>
        <v>12.750129821671962</v>
      </c>
      <c r="F120">
        <f t="shared" si="6"/>
        <v>-28.239457047903738</v>
      </c>
      <c r="G120" s="5">
        <f>B120-regressions!AA$7</f>
        <v>-6.2288828211569314</v>
      </c>
      <c r="H120" s="5">
        <f>B120+regressions!AA$7</f>
        <v>1.2136943597729792</v>
      </c>
      <c r="I120">
        <f>IF($A120&lt;=regressionssens!$L$2,$A120*regressionssens!$L$1,regressionssens!$L$1*regressionssens!$L$2+regressionssens!$L$3*($A120-regressionssens!$L$2))</f>
        <v>-9.703381263062802</v>
      </c>
      <c r="J120">
        <f>regressionssens!$J$1*A120+regressionssens!$J$2*A120^2</f>
        <v>-15.323147623503091</v>
      </c>
      <c r="K120">
        <f>regressionssens!$V$1*A120</f>
        <v>-9.7033813368822219</v>
      </c>
      <c r="L120">
        <f>regressionssens!$N$1*A120^2</f>
        <v>-20.754116582023951</v>
      </c>
      <c r="M120" s="20">
        <f>regressionssens!$R$1*A120^2+regressionssens!$R$2*A120^6</f>
        <v>12.935405691203467</v>
      </c>
      <c r="N120">
        <f>regressionssens!$P$1*A120^2+regressionssens!$P$2*A120^7</f>
        <v>14.963740490117026</v>
      </c>
      <c r="O120">
        <f>regressionssens!$T$2+regressionssens!$T$1*EXP(A120)</f>
        <v>-143.27757402893528</v>
      </c>
      <c r="P120" s="20">
        <f>(1-EXP(-2*regressionssens!X$1*graphsens!A120))/2/EXP(-regressionssens!X$1*A120)</f>
        <v>-34.282699122784564</v>
      </c>
      <c r="Q120" s="5"/>
      <c r="AT120" s="33"/>
      <c r="AW120" s="33"/>
      <c r="AZ120" s="33"/>
    </row>
    <row r="121" spans="1:52" x14ac:dyDescent="0.35">
      <c r="A121">
        <f t="shared" si="7"/>
        <v>9.7999999999999812</v>
      </c>
      <c r="B121">
        <f t="shared" si="4"/>
        <v>-1.7338933687453983</v>
      </c>
      <c r="C121">
        <f>regressionssens!$AR$1*$A121</f>
        <v>7.707510088307556</v>
      </c>
      <c r="D121">
        <f>regressionssens!$AO$1*$A121</f>
        <v>12.998569876735838</v>
      </c>
      <c r="E121">
        <f t="shared" si="5"/>
        <v>13.681126807869713</v>
      </c>
      <c r="F121">
        <f t="shared" si="6"/>
        <v>-27.731033122217074</v>
      </c>
      <c r="G121" s="5">
        <f>B121-regressions!AA$7</f>
        <v>-5.4551819592103534</v>
      </c>
      <c r="H121" s="5">
        <f>B121+regressions!AA$7</f>
        <v>1.9873952217195567</v>
      </c>
      <c r="I121">
        <f>IF($A121&lt;=regressionssens!$L$2,$A121*regressionssens!$L$1,regressionssens!$L$1*regressionssens!$L$2+regressionssens!$L$3*($A121-regressionssens!$L$2))</f>
        <v>-9.8034161214448936</v>
      </c>
      <c r="J121">
        <f>regressionssens!$J$1*A121+regressionssens!$J$2*A121^2</f>
        <v>-15.584621296621378</v>
      </c>
      <c r="K121">
        <f>regressionssens!$V$1*A121</f>
        <v>-9.8034161960253368</v>
      </c>
      <c r="L121">
        <f>regressionssens!$N$1*A121^2</f>
        <v>-21.184242284382826</v>
      </c>
      <c r="M121" s="20">
        <f>regressionssens!$R$1*A121^2+regressionssens!$R$2*A121^6</f>
        <v>14.889324899305024</v>
      </c>
      <c r="N121">
        <f>regressionssens!$P$1*A121^2+regressionssens!$P$2*A121^7</f>
        <v>17.360318979387696</v>
      </c>
      <c r="O121">
        <f>regressionssens!$T$2+regressionssens!$T$1*EXP(A121)</f>
        <v>-158.34713154436338</v>
      </c>
      <c r="P121" s="20">
        <f>(1-EXP(-2*regressionssens!X$1*graphsens!A121))/2/EXP(-regressionssens!X$1*A121)</f>
        <v>-35.810681602686294</v>
      </c>
      <c r="Q121" s="5"/>
      <c r="AT121" s="33"/>
      <c r="AW121" s="33"/>
      <c r="AZ121" s="33"/>
    </row>
    <row r="122" spans="1:52" x14ac:dyDescent="0.35">
      <c r="A122">
        <f t="shared" si="7"/>
        <v>9.8999999999999808</v>
      </c>
      <c r="B122">
        <f t="shared" si="4"/>
        <v>-0.89776270010335724</v>
      </c>
      <c r="C122">
        <f>regressionssens!$AR$1*$A122</f>
        <v>7.7861581504331436</v>
      </c>
      <c r="D122">
        <f>regressionssens!$AO$1*$A122</f>
        <v>13.131208344865795</v>
      </c>
      <c r="E122">
        <f t="shared" si="5"/>
        <v>14.67455360076293</v>
      </c>
      <c r="F122">
        <f t="shared" si="6"/>
        <v>-27.160179389834948</v>
      </c>
      <c r="G122" s="5">
        <f>B122-regressions!AA$7</f>
        <v>-4.6190512905683123</v>
      </c>
      <c r="H122" s="5">
        <f>B122+regressions!AA$7</f>
        <v>2.8235258903615978</v>
      </c>
      <c r="I122">
        <f>IF($A122&lt;=regressionssens!$L$2,$A122*regressionssens!$L$1,regressionssens!$L$1*regressionssens!$L$2+regressionssens!$L$3*($A122-regressionssens!$L$2))</f>
        <v>-9.9034509798269834</v>
      </c>
      <c r="J122">
        <f>regressionssens!$J$1*A122+regressionssens!$J$2*A122^2</f>
        <v>-15.848207277475616</v>
      </c>
      <c r="K122">
        <f>regressionssens!$V$1*A122</f>
        <v>-9.9034510551684516</v>
      </c>
      <c r="L122">
        <f>regressionssens!$N$1*A122^2</f>
        <v>-21.618779532406922</v>
      </c>
      <c r="M122" s="20">
        <f>regressionssens!$R$1*A122^2+regressionssens!$R$2*A122^6</f>
        <v>16.968634053539425</v>
      </c>
      <c r="N122">
        <f>regressionssens!$P$1*A122^2+regressionssens!$P$2*A122^7</f>
        <v>19.934379054427499</v>
      </c>
      <c r="O122">
        <f>regressionssens!$T$2+regressionssens!$T$1*EXP(A122)</f>
        <v>-175.00156825868282</v>
      </c>
      <c r="P122" s="20">
        <f>(1-EXP(-2*regressionssens!X$1*graphsens!A122))/2/EXP(-regressionssens!X$1*A122)</f>
        <v>-37.406710923505244</v>
      </c>
      <c r="Q122" s="5"/>
      <c r="AT122" s="33"/>
      <c r="AW122" s="33"/>
      <c r="AZ122" s="33"/>
    </row>
    <row r="123" spans="1:52" x14ac:dyDescent="0.35">
      <c r="A123">
        <f t="shared" si="7"/>
        <v>9.9999999999999805</v>
      </c>
      <c r="B123">
        <f t="shared" si="4"/>
        <v>3.9122972001319756E-3</v>
      </c>
      <c r="C123">
        <f>regressionssens!$AR$1*$A123</f>
        <v>7.8648062125587304</v>
      </c>
      <c r="D123">
        <f>regressionssens!$AO$1*$A123</f>
        <v>13.263846812995753</v>
      </c>
      <c r="E123">
        <f t="shared" si="5"/>
        <v>15.733524722317593</v>
      </c>
      <c r="F123">
        <f t="shared" si="6"/>
        <v>-26.523781328791376</v>
      </c>
      <c r="G123" s="5">
        <f>B123-regressions!AA$7</f>
        <v>-3.7173762932648229</v>
      </c>
      <c r="H123" s="5">
        <f>B123+regressions!AA$7</f>
        <v>3.7252008876650873</v>
      </c>
      <c r="I123">
        <f>IF($A123&lt;=regressionssens!$L$2,$A123*regressionssens!$L$1,regressionssens!$L$1*regressionssens!$L$2+regressionssens!$L$3*($A123-regressionssens!$L$2))</f>
        <v>-10.003485838209075</v>
      </c>
      <c r="J123">
        <f>regressionssens!$J$1*A123+regressionssens!$J$2*A123^2</f>
        <v>-16.113905566065803</v>
      </c>
      <c r="K123">
        <f>regressionssens!$V$1*A123</f>
        <v>-10.003485914311568</v>
      </c>
      <c r="L123">
        <f>regressionssens!$N$1*A123^2</f>
        <v>-22.057728326096232</v>
      </c>
      <c r="M123" s="20">
        <f>regressionssens!$R$1*A123^2+regressionssens!$R$2*A123^6</f>
        <v>19.178763170649084</v>
      </c>
      <c r="N123">
        <f>regressionssens!$P$1*A123^2+regressionssens!$P$2*A123^7</f>
        <v>22.695426268847683</v>
      </c>
      <c r="O123">
        <f>regressionssens!$T$2+regressionssens!$T$1*EXP(A123)</f>
        <v>-193.40756737227997</v>
      </c>
      <c r="P123" s="20">
        <f>(1-EXP(-2*regressionssens!X$1*graphsens!A123))/2/EXP(-regressionssens!X$1*A123)</f>
        <v>-39.073819832690894</v>
      </c>
      <c r="Q123" s="5"/>
      <c r="AT123" s="33"/>
      <c r="AW123" s="33"/>
      <c r="AZ123" s="33"/>
    </row>
    <row r="124" spans="1:52" x14ac:dyDescent="0.35">
      <c r="A124">
        <f t="shared" si="7"/>
        <v>10.09999999999998</v>
      </c>
      <c r="B124">
        <f t="shared" si="4"/>
        <v>0.97436044389622256</v>
      </c>
      <c r="C124">
        <f>regressionssens!$AR$1*$A124</f>
        <v>7.943454274684318</v>
      </c>
      <c r="D124">
        <f>regressionssens!$AO$1*$A124</f>
        <v>13.39648528112571</v>
      </c>
      <c r="E124">
        <f t="shared" si="5"/>
        <v>16.861268993264858</v>
      </c>
      <c r="F124">
        <f t="shared" si="6"/>
        <v>-25.818610118355195</v>
      </c>
      <c r="G124" s="5">
        <f>B124-regressions!AA$7</f>
        <v>-2.7469281465687327</v>
      </c>
      <c r="H124" s="5">
        <f>B124+regressions!AA$7</f>
        <v>4.6956490343611774</v>
      </c>
      <c r="I124">
        <f>IF($A124&lt;=regressionssens!$L$2,$A124*regressionssens!$L$1,regressionssens!$L$1*regressionssens!$L$2+regressionssens!$L$3*($A124-regressionssens!$L$2))</f>
        <v>-10.103520696591165</v>
      </c>
      <c r="J124">
        <f>regressionssens!$J$1*A124+regressionssens!$J$2*A124^2</f>
        <v>-16.381716162391939</v>
      </c>
      <c r="K124">
        <f>regressionssens!$V$1*A124</f>
        <v>-10.103520773454683</v>
      </c>
      <c r="L124">
        <f>regressionssens!$N$1*A124^2</f>
        <v>-22.501088665450766</v>
      </c>
      <c r="M124" s="20">
        <f>regressionssens!$R$1*A124^2+regressionssens!$R$2*A124^6</f>
        <v>21.525309324623613</v>
      </c>
      <c r="N124">
        <f>regressionssens!$P$1*A124^2+regressionssens!$P$2*A124^7</f>
        <v>25.653358076237307</v>
      </c>
      <c r="O124">
        <f>regressionssens!$T$2+regressionssens!$T$1*EXP(A124)</f>
        <v>-213.74934231075372</v>
      </c>
      <c r="P124" s="20">
        <f>(1-EXP(-2*regressionssens!X$1*graphsens!A124))/2/EXP(-regressionssens!X$1*A124)</f>
        <v>-40.815176141903265</v>
      </c>
      <c r="Q124" s="5"/>
      <c r="AT124" s="33"/>
      <c r="AW124" s="33"/>
      <c r="AZ124" s="33"/>
    </row>
    <row r="125" spans="1:52" x14ac:dyDescent="0.35">
      <c r="A125">
        <f t="shared" si="7"/>
        <v>10.19999999999998</v>
      </c>
      <c r="B125">
        <f t="shared" si="4"/>
        <v>2.0169278037153968</v>
      </c>
      <c r="C125">
        <f>regressionssens!$AR$1*$A125</f>
        <v>8.0221023368099047</v>
      </c>
      <c r="D125">
        <f>regressionssens!$AO$1*$A125</f>
        <v>13.529123749255668</v>
      </c>
      <c r="E125">
        <f t="shared" si="5"/>
        <v>18.061132477335207</v>
      </c>
      <c r="F125">
        <f t="shared" si="6"/>
        <v>-25.041319694795938</v>
      </c>
      <c r="G125" s="5">
        <f>B125-regressions!AA$7</f>
        <v>-1.7043607867495583</v>
      </c>
      <c r="H125" s="5">
        <f>B125+regressions!AA$7</f>
        <v>5.7382163941803519</v>
      </c>
      <c r="I125">
        <f>IF($A125&lt;=regressionssens!$L$2,$A125*regressionssens!$L$1,regressionssens!$L$1*regressionssens!$L$2+regressionssens!$L$3*($A125-regressionssens!$L$2))</f>
        <v>-10.203555554973256</v>
      </c>
      <c r="J125">
        <f>regressionssens!$J$1*A125+regressionssens!$J$2*A125^2</f>
        <v>-16.651639066454027</v>
      </c>
      <c r="K125">
        <f>regressionssens!$V$1*A125</f>
        <v>-10.2035556325978</v>
      </c>
      <c r="L125">
        <f>regressionssens!$N$1*A125^2</f>
        <v>-22.948860550470521</v>
      </c>
      <c r="M125" s="20">
        <f>regressionssens!$R$1*A125^2+regressionssens!$R$2*A125^6</f>
        <v>24.014040038523309</v>
      </c>
      <c r="N125">
        <f>regressionssens!$P$1*A125^2+regressionssens!$P$2*A125^7</f>
        <v>28.818475825461029</v>
      </c>
      <c r="O125">
        <f>regressionssens!$T$2+regressionssens!$T$1*EXP(A125)</f>
        <v>-236.23048039479491</v>
      </c>
      <c r="P125" s="20">
        <f>(1-EXP(-2*regressionssens!X$1*graphsens!A125))/2/EXP(-regressionssens!X$1*A125)</f>
        <v>-42.634088746434223</v>
      </c>
      <c r="Q125" s="5"/>
      <c r="AT125" s="33"/>
      <c r="AW125" s="33"/>
      <c r="AZ125" s="33"/>
    </row>
    <row r="126" spans="1:52" x14ac:dyDescent="0.35">
      <c r="A126">
        <f t="shared" si="7"/>
        <v>10.299999999999979</v>
      </c>
      <c r="B126">
        <f t="shared" si="4"/>
        <v>3.1350806635244632</v>
      </c>
      <c r="C126">
        <f>regressionssens!$AR$1*$A126</f>
        <v>8.1007503989354923</v>
      </c>
      <c r="D126">
        <f>regressionssens!$AO$1*$A126</f>
        <v>13.661762217385625</v>
      </c>
      <c r="E126">
        <f t="shared" si="5"/>
        <v>19.336581461395447</v>
      </c>
      <c r="F126">
        <f t="shared" si="6"/>
        <v>-24.188443771246789</v>
      </c>
      <c r="G126" s="5">
        <f>B126-regressions!AA$7</f>
        <v>-0.58620792694049184</v>
      </c>
      <c r="H126" s="5">
        <f>B126+regressions!AA$7</f>
        <v>6.8563692539894188</v>
      </c>
      <c r="I126">
        <f>IF($A126&lt;=regressionssens!$L$2,$A126*regressionssens!$L$1,regressionssens!$L$1*regressionssens!$L$2+regressionssens!$L$3*($A126-regressionssens!$L$2))</f>
        <v>-10.303590413355346</v>
      </c>
      <c r="J126">
        <f>regressionssens!$J$1*A126+regressionssens!$J$2*A126^2</f>
        <v>-16.923674278252065</v>
      </c>
      <c r="K126">
        <f>regressionssens!$V$1*A126</f>
        <v>-10.303590491740914</v>
      </c>
      <c r="L126">
        <f>regressionssens!$N$1*A126^2</f>
        <v>-23.401043981155492</v>
      </c>
      <c r="M126" s="20">
        <f>regressionssens!$R$1*A126^2+regressionssens!$R$2*A126^6</f>
        <v>26.650896710391287</v>
      </c>
      <c r="N126">
        <f>regressionssens!$P$1*A126^2+regressionssens!$P$2*A126^7</f>
        <v>32.201496998270088</v>
      </c>
      <c r="O126">
        <f>regressionssens!$T$2+regressionssens!$T$1*EXP(A126)</f>
        <v>-261.07598041052012</v>
      </c>
      <c r="P126" s="20">
        <f>(1-EXP(-2*regressionssens!X$1*graphsens!A126))/2/EXP(-regressionssens!X$1*A126)</f>
        <v>-44.534013912713306</v>
      </c>
      <c r="Q126" s="5"/>
      <c r="AT126" s="33"/>
      <c r="AW126" s="33"/>
      <c r="AZ126" s="33"/>
    </row>
    <row r="127" spans="1:52" x14ac:dyDescent="0.35">
      <c r="A127">
        <f t="shared" si="7"/>
        <v>10.399999999999979</v>
      </c>
      <c r="B127">
        <f t="shared" si="4"/>
        <v>4.3324085481430039</v>
      </c>
      <c r="C127">
        <f>regressionssens!$AR$1*$A127</f>
        <v>8.1793984610610799</v>
      </c>
      <c r="D127">
        <f>regressionssens!$AO$1*$A127</f>
        <v>13.794400685515582</v>
      </c>
      <c r="E127">
        <f t="shared" si="5"/>
        <v>20.691205470265164</v>
      </c>
      <c r="F127">
        <f t="shared" si="6"/>
        <v>-23.256392822888159</v>
      </c>
      <c r="G127" s="5">
        <f>B127-regressions!AA$7</f>
        <v>0.61111995767804883</v>
      </c>
      <c r="H127" s="5">
        <f>B127+regressions!AA$7</f>
        <v>8.0536971386079585</v>
      </c>
      <c r="I127">
        <f>IF($A127&lt;=regressionssens!$L$2,$A127*regressionssens!$L$1,regressionssens!$L$1*regressionssens!$L$2+regressionssens!$L$3*($A127-regressionssens!$L$2))</f>
        <v>-10.403625271737436</v>
      </c>
      <c r="J127">
        <f>regressionssens!$J$1*A127+regressionssens!$J$2*A127^2</f>
        <v>-17.197821797786052</v>
      </c>
      <c r="K127">
        <f>regressionssens!$V$1*A127</f>
        <v>-10.403625350884029</v>
      </c>
      <c r="L127">
        <f>regressionssens!$N$1*A127^2</f>
        <v>-23.857638957505685</v>
      </c>
      <c r="M127" s="20">
        <f>regressionssens!$R$1*A127^2+regressionssens!$R$2*A127^6</f>
        <v>29.441998073254272</v>
      </c>
      <c r="N127">
        <f>regressionssens!$P$1*A127^2+regressionssens!$P$2*A127^7</f>
        <v>35.813567691649205</v>
      </c>
      <c r="O127">
        <f>regressionssens!$T$2+regressionssens!$T$1*EXP(A127)</f>
        <v>-288.53450447294762</v>
      </c>
      <c r="P127" s="20">
        <f>(1-EXP(-2*regressionssens!X$1*graphsens!A127))/2/EXP(-regressionssens!X$1*A127)</f>
        <v>-46.518561845845731</v>
      </c>
      <c r="Q127" s="5"/>
      <c r="AT127" s="33"/>
      <c r="AW127" s="33"/>
      <c r="AZ127" s="33"/>
    </row>
    <row r="128" spans="1:52" x14ac:dyDescent="0.35">
      <c r="A128">
        <f t="shared" si="7"/>
        <v>10.499999999999979</v>
      </c>
      <c r="B128">
        <f t="shared" si="4"/>
        <v>5.6126272684645091</v>
      </c>
      <c r="C128">
        <f>regressionssens!$AR$1*$A128</f>
        <v>8.2580465231866658</v>
      </c>
      <c r="D128">
        <f>regressionssens!$AO$1*$A128</f>
        <v>13.92703915364554</v>
      </c>
      <c r="E128">
        <f t="shared" si="5"/>
        <v>22.128720314837842</v>
      </c>
      <c r="F128">
        <f t="shared" si="6"/>
        <v>-22.241451038826568</v>
      </c>
      <c r="G128" s="5">
        <f>B128-regressions!AA$7</f>
        <v>1.891338677999554</v>
      </c>
      <c r="H128" s="5">
        <f>B128+regressions!AA$7</f>
        <v>9.3339158589294637</v>
      </c>
      <c r="I128">
        <f>IF($A128&lt;=regressionssens!$L$2,$A128*regressionssens!$L$1,regressionssens!$L$1*regressionssens!$L$2+regressionssens!$L$3*($A128-regressionssens!$L$2))</f>
        <v>-10.503660130119528</v>
      </c>
      <c r="J128">
        <f>regressionssens!$J$1*A128+regressionssens!$J$2*A128^2</f>
        <v>-17.474081625055987</v>
      </c>
      <c r="K128">
        <f>regressionssens!$V$1*A128</f>
        <v>-10.503660210027146</v>
      </c>
      <c r="L128">
        <f>regressionssens!$N$1*A128^2</f>
        <v>-24.318645479521095</v>
      </c>
      <c r="M128" s="20">
        <f>regressionssens!$R$1*A128^2+regressionssens!$R$2*A128^6</f>
        <v>32.393643689212027</v>
      </c>
      <c r="N128">
        <f>regressionssens!$P$1*A128^2+regressionssens!$P$2*A128^7</f>
        <v>39.666275347322753</v>
      </c>
      <c r="O128">
        <f>regressionssens!$T$2+regressionssens!$T$1*EXP(A128)</f>
        <v>-318.88086672002299</v>
      </c>
      <c r="P128" s="20">
        <f>(1-EXP(-2*regressionssens!X$1*graphsens!A128))/2/EXP(-regressionssens!X$1*A128)</f>
        <v>-48.591503549662129</v>
      </c>
      <c r="Q128" s="5"/>
      <c r="AT128" s="33"/>
      <c r="AW128" s="33"/>
      <c r="AZ128" s="33"/>
    </row>
    <row r="129" spans="1:52" x14ac:dyDescent="0.35">
      <c r="A129">
        <f t="shared" si="7"/>
        <v>10.599999999999978</v>
      </c>
      <c r="B129">
        <f t="shared" si="4"/>
        <v>6.9795820013414032</v>
      </c>
      <c r="C129">
        <f>regressionssens!$AR$1*$A129</f>
        <v>8.3366945853122534</v>
      </c>
      <c r="D129">
        <f>regressionssens!$AO$1*$A129</f>
        <v>14.059677621775498</v>
      </c>
      <c r="E129">
        <f t="shared" si="5"/>
        <v>23.652971171965909</v>
      </c>
      <c r="F129">
        <f t="shared" si="6"/>
        <v>-21.139773242209593</v>
      </c>
      <c r="G129" s="5">
        <f>B129-regressions!AA$7</f>
        <v>3.2582934108764481</v>
      </c>
      <c r="H129" s="5">
        <f>B129+regressions!AA$7</f>
        <v>10.700870591806359</v>
      </c>
      <c r="I129">
        <f>IF($A129&lt;=regressionssens!$L$2,$A129*regressionssens!$L$1,regressionssens!$L$1*regressionssens!$L$2+regressionssens!$L$3*($A129-regressionssens!$L$2))</f>
        <v>-10.603694988501617</v>
      </c>
      <c r="J129">
        <f>regressionssens!$J$1*A129+regressionssens!$J$2*A129^2</f>
        <v>-17.752453760061879</v>
      </c>
      <c r="K129">
        <f>regressionssens!$V$1*A129</f>
        <v>-10.603695069170261</v>
      </c>
      <c r="L129">
        <f>regressionssens!$N$1*A129^2</f>
        <v>-24.784063547201725</v>
      </c>
      <c r="M129" s="20">
        <f>regressionssens!$R$1*A129^2+regressionssens!$R$2*A129^6</f>
        <v>35.512317477615703</v>
      </c>
      <c r="N129">
        <f>regressionssens!$P$1*A129^2+regressionssens!$P$2*A129^7</f>
        <v>43.771661730843235</v>
      </c>
      <c r="O129">
        <f>regressionssens!$T$2+regressionssens!$T$1*EXP(A129)</f>
        <v>-352.41878374487936</v>
      </c>
      <c r="P129" s="20">
        <f>(1-EXP(-2*regressionssens!X$1*graphsens!A129))/2/EXP(-regressionssens!X$1*A129)</f>
        <v>-50.756777992314916</v>
      </c>
      <c r="Q129" s="5"/>
      <c r="AT129" s="33"/>
      <c r="AW129" s="33"/>
      <c r="AZ129" s="33"/>
    </row>
    <row r="130" spans="1:52" x14ac:dyDescent="0.35">
      <c r="A130">
        <f t="shared" si="7"/>
        <v>10.699999999999978</v>
      </c>
      <c r="B130">
        <f t="shared" si="4"/>
        <v>8.4372503995108481</v>
      </c>
      <c r="C130">
        <f>regressionssens!$AR$1*$A130</f>
        <v>8.415342647437841</v>
      </c>
      <c r="D130">
        <f>regressionssens!$AO$1*$A130</f>
        <v>14.192316089905454</v>
      </c>
      <c r="E130">
        <f t="shared" si="5"/>
        <v>25.26793569438653</v>
      </c>
      <c r="F130">
        <f t="shared" si="6"/>
        <v>-19.947381780300059</v>
      </c>
      <c r="G130" s="5">
        <f>B130-regressions!AA$7</f>
        <v>4.7159618090458935</v>
      </c>
      <c r="H130" s="5">
        <f>B130+regressions!AA$7</f>
        <v>12.158538989975803</v>
      </c>
      <c r="I130">
        <f>IF($A130&lt;=regressionssens!$L$2,$A130*regressionssens!$L$1,regressionssens!$L$1*regressionssens!$L$2+regressionssens!$L$3*($A130-regressionssens!$L$2))</f>
        <v>-10.703729846883709</v>
      </c>
      <c r="J130">
        <f>regressionssens!$J$1*A130+regressionssens!$J$2*A130^2</f>
        <v>-18.032938202803717</v>
      </c>
      <c r="K130">
        <f>regressionssens!$V$1*A130</f>
        <v>-10.703729928313376</v>
      </c>
      <c r="L130">
        <f>regressionssens!$N$1*A130^2</f>
        <v>-25.253893160547573</v>
      </c>
      <c r="M130" s="20">
        <f>regressionssens!$R$1*A130^2+regressionssens!$R$2*A130^6</f>
        <v>38.804691277334356</v>
      </c>
      <c r="N130">
        <f>regressionssens!$P$1*A130^2+regressionssens!$P$2*A130^7</f>
        <v>48.142236162685109</v>
      </c>
      <c r="O130">
        <f>regressionssens!$T$2+regressionssens!$T$1*EXP(A130)</f>
        <v>-389.48391429358475</v>
      </c>
      <c r="P130" s="20">
        <f>(1-EXP(-2*regressionssens!X$1*graphsens!A130))/2/EXP(-regressionssens!X$1*A130)</f>
        <v>-53.018499591037916</v>
      </c>
      <c r="Q130" s="5"/>
      <c r="AT130" s="33"/>
      <c r="AW130" s="33"/>
      <c r="AZ130" s="33"/>
    </row>
    <row r="131" spans="1:52" x14ac:dyDescent="0.35">
      <c r="A131">
        <f t="shared" si="7"/>
        <v>10.799999999999978</v>
      </c>
      <c r="B131">
        <f t="shared" si="4"/>
        <v>9.9897457296390311</v>
      </c>
      <c r="C131">
        <f>regressionssens!$AR$1*$A131</f>
        <v>8.4939907095634286</v>
      </c>
      <c r="D131">
        <f>regressionssens!$AO$1*$A131</f>
        <v>14.324954558035412</v>
      </c>
      <c r="E131">
        <f t="shared" si="5"/>
        <v>26.977727148765887</v>
      </c>
      <c r="F131">
        <f t="shared" si="6"/>
        <v>-18.66016338643179</v>
      </c>
      <c r="G131" s="5">
        <f>B131-regressions!AA$7</f>
        <v>6.2684571391740764</v>
      </c>
      <c r="H131" s="5">
        <f>B131+regressions!AA$7</f>
        <v>13.711034320103986</v>
      </c>
      <c r="I131">
        <f>IF($A131&lt;=regressionssens!$L$2,$A131*regressionssens!$L$1,regressionssens!$L$1*regressionssens!$L$2+regressionssens!$L$3*($A131-regressionssens!$L$2))</f>
        <v>-10.803764705265799</v>
      </c>
      <c r="J131">
        <f>regressionssens!$J$1*A131+regressionssens!$J$2*A131^2</f>
        <v>-18.315534953281503</v>
      </c>
      <c r="K131">
        <f>regressionssens!$V$1*A131</f>
        <v>-10.803764787456492</v>
      </c>
      <c r="L131">
        <f>regressionssens!$N$1*A131^2</f>
        <v>-25.728134319558642</v>
      </c>
      <c r="M131" s="20">
        <f>regressionssens!$R$1*A131^2+regressionssens!$R$2*A131^6</f>
        <v>42.277628443110828</v>
      </c>
      <c r="N131">
        <f>regressionssens!$P$1*A131^2+regressionssens!$P$2*A131^7</f>
        <v>52.790989003767407</v>
      </c>
      <c r="O131">
        <f>regressionssens!$T$2+regressionssens!$T$1*EXP(A131)</f>
        <v>-430.44721865069118</v>
      </c>
      <c r="P131" s="20">
        <f>(1-EXP(-2*regressionssens!X$1*graphsens!A131))/2/EXP(-regressionssens!X$1*A131)</f>
        <v>-55.380966030291169</v>
      </c>
      <c r="Q131" s="5"/>
      <c r="AT131" s="33"/>
      <c r="AW131" s="33"/>
      <c r="AZ131" s="33"/>
    </row>
    <row r="132" spans="1:52" x14ac:dyDescent="0.35">
      <c r="A132">
        <f t="shared" si="7"/>
        <v>10.899999999999977</v>
      </c>
      <c r="B132">
        <f t="shared" ref="B132:B195" si="8">SUMPRODUCT(I$2:P$2,I132:P132)</f>
        <v>11.641320036341773</v>
      </c>
      <c r="C132">
        <f>regressionssens!$AR$1*$A132</f>
        <v>8.5726387716890144</v>
      </c>
      <c r="D132">
        <f>regressionssens!$AO$1*$A132</f>
        <v>14.457593026165368</v>
      </c>
      <c r="E132">
        <f t="shared" si="5"/>
        <v>28.786597579719803</v>
      </c>
      <c r="F132">
        <f t="shared" si="6"/>
        <v>-17.273866015988965</v>
      </c>
      <c r="G132" s="5">
        <f>B132-regressions!AA$7</f>
        <v>7.920031445876818</v>
      </c>
      <c r="H132" s="5">
        <f>B132+regressions!AA$7</f>
        <v>15.362608626806727</v>
      </c>
      <c r="I132">
        <f>IF($A132&lt;=regressionssens!$L$2,$A132*regressionssens!$L$1,regressionssens!$L$1*regressionssens!$L$2+regressionssens!$L$3*($A132-regressionssens!$L$2))</f>
        <v>-10.90379956364789</v>
      </c>
      <c r="J132">
        <f>regressionssens!$J$1*A132+regressionssens!$J$2*A132^2</f>
        <v>-18.600244011495242</v>
      </c>
      <c r="K132">
        <f>regressionssens!$V$1*A132</f>
        <v>-10.903799646599607</v>
      </c>
      <c r="L132">
        <f>regressionssens!$N$1*A132^2</f>
        <v>-26.206787024234931</v>
      </c>
      <c r="M132" s="20">
        <f>regressionssens!$R$1*A132^2+regressionssens!$R$2*A132^6</f>
        <v>45.938187476005574</v>
      </c>
      <c r="N132">
        <f>regressionssens!$P$1*A132^2+regressionssens!$P$2*A132^7</f>
        <v>57.731405397827778</v>
      </c>
      <c r="O132">
        <f>regressionssens!$T$2+regressionssens!$T$1*EXP(A132)</f>
        <v>-475.7186713344467</v>
      </c>
      <c r="P132" s="20">
        <f>(1-EXP(-2*regressionssens!X$1*graphsens!A132))/2/EXP(-regressionssens!X$1*A132)</f>
        <v>-57.848666428146934</v>
      </c>
      <c r="Q132" s="5"/>
      <c r="AT132" s="33"/>
      <c r="AW132" s="33"/>
      <c r="AZ132" s="33"/>
    </row>
    <row r="133" spans="1:52" x14ac:dyDescent="0.35">
      <c r="A133">
        <f t="shared" si="7"/>
        <v>10.999999999999977</v>
      </c>
      <c r="B133">
        <f t="shared" si="8"/>
        <v>13.396367329799549</v>
      </c>
      <c r="C133">
        <f>regressionssens!$AR$1*$A133</f>
        <v>8.6512868338146021</v>
      </c>
      <c r="D133">
        <f>regressionssens!$AO$1*$A133</f>
        <v>14.590231494295326</v>
      </c>
      <c r="E133">
        <f t="shared" si="5"/>
        <v>30.698940997428753</v>
      </c>
      <c r="F133">
        <f t="shared" si="6"/>
        <v>-15.784095658791102</v>
      </c>
      <c r="G133" s="5">
        <f>B133-regressions!AA$7</f>
        <v>9.6750787393345945</v>
      </c>
      <c r="H133" s="5">
        <f>B133+regressions!AA$7</f>
        <v>17.117655920264504</v>
      </c>
      <c r="I133">
        <f>IF($A133&lt;=regressionssens!$L$2,$A133*regressionssens!$L$1,regressionssens!$L$1*regressionssens!$L$2+regressionssens!$L$3*($A133-regressionssens!$L$2))</f>
        <v>-11.00383442202998</v>
      </c>
      <c r="J133">
        <f>regressionssens!$J$1*A133+regressionssens!$J$2*A133^2</f>
        <v>-18.88706537744493</v>
      </c>
      <c r="K133">
        <f>regressionssens!$V$1*A133</f>
        <v>-11.003834505742724</v>
      </c>
      <c r="L133">
        <f>regressionssens!$N$1*A133^2</f>
        <v>-26.689851274576437</v>
      </c>
      <c r="M133" s="20">
        <f>regressionssens!$R$1*A133^2+regressionssens!$R$2*A133^6</f>
        <v>49.793625687929797</v>
      </c>
      <c r="N133">
        <f>regressionssens!$P$1*A133^2+regressionssens!$P$2*A133^7</f>
        <v>62.977479273071708</v>
      </c>
      <c r="O133">
        <f>regressionssens!$T$2+regressionssens!$T$1*EXP(A133)</f>
        <v>-525.75136425957101</v>
      </c>
      <c r="P133" s="20">
        <f>(1-EXP(-2*regressionssens!X$1*graphsens!A133))/2/EXP(-regressionssens!X$1*A133)</f>
        <v>-60.426289866434786</v>
      </c>
      <c r="Q133" s="5"/>
      <c r="AT133" s="33"/>
      <c r="AW133" s="33"/>
      <c r="AZ133" s="33"/>
    </row>
    <row r="134" spans="1:52" x14ac:dyDescent="0.35">
      <c r="A134">
        <f t="shared" si="7"/>
        <v>11.099999999999977</v>
      </c>
      <c r="B134">
        <f t="shared" si="8"/>
        <v>15.25942679432019</v>
      </c>
      <c r="C134">
        <f>regressionssens!$AR$1*$A134</f>
        <v>8.7299348959401897</v>
      </c>
      <c r="D134">
        <f>regressionssens!$AO$1*$A134</f>
        <v>14.722869962425284</v>
      </c>
      <c r="E134">
        <f t="shared" si="5"/>
        <v>32.719296586200571</v>
      </c>
      <c r="F134">
        <f t="shared" si="6"/>
        <v>-14.186313130530378</v>
      </c>
      <c r="G134" s="5">
        <f>B134-regressions!AA$7</f>
        <v>11.538138203855235</v>
      </c>
      <c r="H134" s="5">
        <f>B134+regressions!AA$7</f>
        <v>18.980715384785146</v>
      </c>
      <c r="I134">
        <f>IF($A134&lt;=regressionssens!$L$2,$A134*regressionssens!$L$1,regressionssens!$L$1*regressionssens!$L$2+regressionssens!$L$3*($A134-regressionssens!$L$2))</f>
        <v>-11.103869280412072</v>
      </c>
      <c r="J134">
        <f>regressionssens!$J$1*A134+regressionssens!$J$2*A134^2</f>
        <v>-19.175999051130567</v>
      </c>
      <c r="K134">
        <f>regressionssens!$V$1*A134</f>
        <v>-11.103869364885838</v>
      </c>
      <c r="L134">
        <f>regressionssens!$N$1*A134^2</f>
        <v>-27.177327070583164</v>
      </c>
      <c r="M134" s="20">
        <f>regressionssens!$R$1*A134^2+regressionssens!$R$2*A134^6</f>
        <v>53.851402900266919</v>
      </c>
      <c r="N134">
        <f>regressionssens!$P$1*A134^2+regressionssens!$P$2*A134^7</f>
        <v>68.543727605519422</v>
      </c>
      <c r="O134">
        <f>regressionssens!$T$2+regressionssens!$T$1*EXP(A134)</f>
        <v>-581.04604143342749</v>
      </c>
      <c r="P134" s="20">
        <f>(1-EXP(-2*regressionssens!X$1*graphsens!A134))/2/EXP(-regressionssens!X$1*A134)</f>
        <v>-63.118734300853923</v>
      </c>
      <c r="Q134" s="5"/>
      <c r="AT134" s="33"/>
      <c r="AW134" s="33"/>
      <c r="AZ134" s="33"/>
    </row>
    <row r="135" spans="1:52" x14ac:dyDescent="0.35">
      <c r="A135">
        <f t="shared" si="7"/>
        <v>11.199999999999976</v>
      </c>
      <c r="B135">
        <f t="shared" si="8"/>
        <v>17.235186014912834</v>
      </c>
      <c r="C135">
        <f>regressionssens!$AR$1*$A135</f>
        <v>8.8085829580657773</v>
      </c>
      <c r="D135">
        <f>regressionssens!$AO$1*$A135</f>
        <v>14.85550843055524</v>
      </c>
      <c r="E135">
        <f t="shared" si="5"/>
        <v>34.852351931044389</v>
      </c>
      <c r="F135">
        <f t="shared" si="6"/>
        <v>-12.475830846197645</v>
      </c>
      <c r="G135" s="5">
        <f>B135-regressions!AA$7</f>
        <v>13.51389742444788</v>
      </c>
      <c r="H135" s="5">
        <f>B135+regressions!AA$7</f>
        <v>20.956474605377789</v>
      </c>
      <c r="I135">
        <f>IF($A135&lt;=regressionssens!$L$2,$A135*regressionssens!$L$1,regressionssens!$L$1*regressionssens!$L$2+regressionssens!$L$3*($A135-regressionssens!$L$2))</f>
        <v>-11.203904138794162</v>
      </c>
      <c r="J135">
        <f>regressionssens!$J$1*A135+regressionssens!$J$2*A135^2</f>
        <v>-19.467045032552157</v>
      </c>
      <c r="K135">
        <f>regressionssens!$V$1*A135</f>
        <v>-11.203904224028953</v>
      </c>
      <c r="L135">
        <f>regressionssens!$N$1*A135^2</f>
        <v>-27.669214412255108</v>
      </c>
      <c r="M135" s="20">
        <f>regressionssens!$R$1*A135^2+regressionssens!$R$2*A135^6</f>
        <v>58.119185176582747</v>
      </c>
      <c r="N135">
        <f>regressionssens!$P$1*A135^2+regressionssens!$P$2*A135^7</f>
        <v>74.445204946473979</v>
      </c>
      <c r="O135">
        <f>regressionssens!$T$2+regressionssens!$T$1*EXP(A135)</f>
        <v>-642.15611057035517</v>
      </c>
      <c r="P135" s="20">
        <f>(1-EXP(-2*regressionssens!X$1*graphsens!A135))/2/EXP(-regressionssens!X$1*A135)</f>
        <v>-65.931115867984474</v>
      </c>
      <c r="Q135" s="5"/>
      <c r="AT135" s="33"/>
      <c r="AW135" s="33"/>
      <c r="AZ135" s="33"/>
    </row>
    <row r="136" spans="1:52" x14ac:dyDescent="0.35">
      <c r="A136">
        <f t="shared" si="7"/>
        <v>11.299999999999976</v>
      </c>
      <c r="B136">
        <f t="shared" si="8"/>
        <v>19.328484218617845</v>
      </c>
      <c r="C136">
        <f>regressionssens!$AR$1*$A136</f>
        <v>8.8872310201913631</v>
      </c>
      <c r="D136">
        <f>regressionssens!$AO$1*$A136</f>
        <v>14.988146898685198</v>
      </c>
      <c r="E136">
        <f t="shared" ref="E136:E199" si="9">B136+2*C136</f>
        <v>37.102946259000575</v>
      </c>
      <c r="F136">
        <f t="shared" ref="F136:F199" si="10">B136-2*D136</f>
        <v>-10.64780957875255</v>
      </c>
      <c r="G136" s="5">
        <f>B136-regressions!AA$7</f>
        <v>15.607195628152891</v>
      </c>
      <c r="H136" s="5">
        <f>B136+regressions!AA$7</f>
        <v>23.0497728090828</v>
      </c>
      <c r="I136">
        <f>IF($A136&lt;=regressionssens!$L$2,$A136*regressionssens!$L$1,regressionssens!$L$1*regressionssens!$L$2+regressionssens!$L$3*($A136-regressionssens!$L$2))</f>
        <v>-11.303938997176251</v>
      </c>
      <c r="J136">
        <f>regressionssens!$J$1*A136+regressionssens!$J$2*A136^2</f>
        <v>-19.760203321709696</v>
      </c>
      <c r="K136">
        <f>regressionssens!$V$1*A136</f>
        <v>-11.30393908317207</v>
      </c>
      <c r="L136">
        <f>regressionssens!$N$1*A136^2</f>
        <v>-28.165513299592273</v>
      </c>
      <c r="M136" s="20">
        <f>regressionssens!$R$1*A136^2+regressionssens!$R$2*A136^6</f>
        <v>62.604848589424407</v>
      </c>
      <c r="N136">
        <f>regressionssens!$P$1*A136^2+regressionssens!$P$2*A136^7</f>
        <v>80.697518216533695</v>
      </c>
      <c r="O136">
        <f>regressionssens!$T$2+regressionssens!$T$1*EXP(A136)</f>
        <v>-709.69318178207959</v>
      </c>
      <c r="P136" s="20">
        <f>(1-EXP(-2*regressionssens!X$1*graphsens!A136))/2/EXP(-regressionssens!X$1*A136)</f>
        <v>-68.868778606882216</v>
      </c>
      <c r="Q136" s="5"/>
      <c r="AT136" s="33"/>
      <c r="AW136" s="33"/>
      <c r="AZ136" s="33"/>
    </row>
    <row r="137" spans="1:52" x14ac:dyDescent="0.35">
      <c r="A137">
        <f t="shared" ref="A137:A200" si="11">0.1+A136</f>
        <v>11.399999999999975</v>
      </c>
      <c r="B137">
        <f t="shared" si="8"/>
        <v>21.544315526987099</v>
      </c>
      <c r="C137">
        <f>regressionssens!$AR$1*$A137</f>
        <v>8.9658790823169507</v>
      </c>
      <c r="D137">
        <f>regressionssens!$AO$1*$A137</f>
        <v>15.120785366815156</v>
      </c>
      <c r="E137">
        <f t="shared" si="9"/>
        <v>39.476073691620996</v>
      </c>
      <c r="F137">
        <f t="shared" si="10"/>
        <v>-8.6972552066432129</v>
      </c>
      <c r="G137" s="5">
        <f>B137-regressions!AA$7</f>
        <v>17.823026936522144</v>
      </c>
      <c r="H137" s="5">
        <f>B137+regressions!AA$7</f>
        <v>25.265604117452053</v>
      </c>
      <c r="I137">
        <f>IF($A137&lt;=regressionssens!$L$2,$A137*regressionssens!$L$1,regressionssens!$L$1*regressionssens!$L$2+regressionssens!$L$3*($A137-regressionssens!$L$2))</f>
        <v>-11.403973855558343</v>
      </c>
      <c r="J137">
        <f>regressionssens!$J$1*A137+regressionssens!$J$2*A137^2</f>
        <v>-20.055473918603184</v>
      </c>
      <c r="K137">
        <f>regressionssens!$V$1*A137</f>
        <v>-11.403973942315185</v>
      </c>
      <c r="L137">
        <f>regressionssens!$N$1*A137^2</f>
        <v>-28.666223732594656</v>
      </c>
      <c r="M137" s="20">
        <f>regressionssens!$R$1*A137^2+regressionssens!$R$2*A137^6</f>
        <v>67.316483021207929</v>
      </c>
      <c r="N137">
        <f>regressionssens!$P$1*A137^2+regressionssens!$P$2*A137^7</f>
        <v>87.31684176857172</v>
      </c>
      <c r="O137">
        <f>regressionssens!$T$2+regressionssens!$T$1*EXP(A137)</f>
        <v>-784.33318877728163</v>
      </c>
      <c r="P137" s="20">
        <f>(1-EXP(-2*regressionssens!X$1*graphsens!A137))/2/EXP(-regressionssens!X$1*A137)</f>
        <v>-71.93730461372941</v>
      </c>
      <c r="Q137" s="5"/>
      <c r="AT137" s="33"/>
      <c r="AW137" s="33"/>
      <c r="AZ137" s="33"/>
    </row>
    <row r="138" spans="1:52" x14ac:dyDescent="0.35">
      <c r="A138">
        <f t="shared" si="11"/>
        <v>11.499999999999975</v>
      </c>
      <c r="B138">
        <f t="shared" si="8"/>
        <v>23.887832215723854</v>
      </c>
      <c r="C138">
        <f>regressionssens!$AR$1*$A138</f>
        <v>9.0445271444425384</v>
      </c>
      <c r="D138">
        <f>regressionssens!$AO$1*$A138</f>
        <v>15.253423834945112</v>
      </c>
      <c r="E138">
        <f t="shared" si="9"/>
        <v>41.976886504608927</v>
      </c>
      <c r="F138">
        <f t="shared" si="10"/>
        <v>-6.6190154541663695</v>
      </c>
      <c r="G138" s="5">
        <f>B138-regressions!AA$7</f>
        <v>20.1665436252589</v>
      </c>
      <c r="H138" s="5">
        <f>B138+regressions!AA$7</f>
        <v>27.609120806188809</v>
      </c>
      <c r="I138">
        <f>IF($A138&lt;=regressionssens!$L$2,$A138*regressionssens!$L$1,regressionssens!$L$1*regressionssens!$L$2+regressionssens!$L$3*($A138-regressionssens!$L$2))</f>
        <v>-11.504008713940433</v>
      </c>
      <c r="J138">
        <f>regressionssens!$J$1*A138+regressionssens!$J$2*A138^2</f>
        <v>-20.352856823232624</v>
      </c>
      <c r="K138">
        <f>regressionssens!$V$1*A138</f>
        <v>-11.504008801458301</v>
      </c>
      <c r="L138">
        <f>regressionssens!$N$1*A138^2</f>
        <v>-29.171345711262259</v>
      </c>
      <c r="M138" s="20">
        <f>regressionssens!$R$1*A138^2+regressionssens!$R$2*A138^6</f>
        <v>72.262395999194638</v>
      </c>
      <c r="N138">
        <f>regressionssens!$P$1*A138^2+regressionssens!$P$2*A138^7</f>
        <v>94.319932722106458</v>
      </c>
      <c r="O138">
        <f>regressionssens!$T$2+regressionssens!$T$1*EXP(A138)</f>
        <v>-866.82315383334173</v>
      </c>
      <c r="P138" s="20">
        <f>(1-EXP(-2*regressionssens!X$1*graphsens!A138))/2/EXP(-regressionssens!X$1*A138)</f>
        <v>-75.14252464883829</v>
      </c>
      <c r="Q138" s="5"/>
      <c r="AT138" s="33"/>
      <c r="AW138" s="33"/>
      <c r="AZ138" s="33"/>
    </row>
    <row r="139" spans="1:52" x14ac:dyDescent="0.35">
      <c r="A139">
        <f t="shared" si="11"/>
        <v>11.599999999999975</v>
      </c>
      <c r="B139">
        <f t="shared" si="8"/>
        <v>26.364347977067929</v>
      </c>
      <c r="C139">
        <f>regressionssens!$AR$1*$A139</f>
        <v>9.123175206568126</v>
      </c>
      <c r="D139">
        <f>regressionssens!$AO$1*$A139</f>
        <v>15.38606230307507</v>
      </c>
      <c r="E139">
        <f t="shared" si="9"/>
        <v>44.610698390204178</v>
      </c>
      <c r="F139">
        <f t="shared" si="10"/>
        <v>-4.4077766290822105</v>
      </c>
      <c r="G139" s="5">
        <f>B139-regressions!AA$7</f>
        <v>22.643059386602975</v>
      </c>
      <c r="H139" s="5">
        <f>B139+regressions!AA$7</f>
        <v>30.085636567532884</v>
      </c>
      <c r="I139">
        <f>IF($A139&lt;=regressionssens!$L$2,$A139*regressionssens!$L$1,regressionssens!$L$1*regressionssens!$L$2+regressionssens!$L$3*($A139-regressionssens!$L$2))</f>
        <v>-11.604043572322524</v>
      </c>
      <c r="J139">
        <f>regressionssens!$J$1*A139+regressionssens!$J$2*A139^2</f>
        <v>-20.65235203559801</v>
      </c>
      <c r="K139">
        <f>regressionssens!$V$1*A139</f>
        <v>-11.604043660601416</v>
      </c>
      <c r="L139">
        <f>regressionssens!$N$1*A139^2</f>
        <v>-29.680879235595079</v>
      </c>
      <c r="M139" s="20">
        <f>regressionssens!$R$1*A139^2+regressionssens!$R$2*A139^6</f>
        <v>77.451116564555747</v>
      </c>
      <c r="N139">
        <f>regressionssens!$P$1*A139^2+regressionssens!$P$2*A139^7</f>
        <v>101.72414657148491</v>
      </c>
      <c r="O139">
        <f>regressionssens!$T$2+regressionssens!$T$1*EXP(A139)</f>
        <v>-957.98866424637572</v>
      </c>
      <c r="P139" s="20">
        <f>(1-EXP(-2*regressionssens!X$1*graphsens!A139))/2/EXP(-regressionssens!X$1*A139)</f>
        <v>-78.49052921616105</v>
      </c>
      <c r="Q139" s="5"/>
      <c r="AT139" s="33"/>
      <c r="AW139" s="33"/>
      <c r="AZ139" s="33"/>
    </row>
    <row r="140" spans="1:52" x14ac:dyDescent="0.35">
      <c r="A140">
        <f t="shared" si="11"/>
        <v>11.699999999999974</v>
      </c>
      <c r="B140">
        <f t="shared" si="8"/>
        <v>28.979341180046525</v>
      </c>
      <c r="C140">
        <f>regressionssens!$AR$1*$A140</f>
        <v>9.2018232686937118</v>
      </c>
      <c r="D140">
        <f>regressionssens!$AO$1*$A140</f>
        <v>15.518700771205028</v>
      </c>
      <c r="E140">
        <f t="shared" si="9"/>
        <v>47.382987717433949</v>
      </c>
      <c r="F140">
        <f t="shared" si="10"/>
        <v>-2.0580603623635305</v>
      </c>
      <c r="G140" s="5">
        <f>B140-regressions!AA$7</f>
        <v>25.25805258958157</v>
      </c>
      <c r="H140" s="5">
        <f>B140+regressions!AA$7</f>
        <v>32.700629770511483</v>
      </c>
      <c r="I140">
        <f>IF($A140&lt;=regressionssens!$L$2,$A140*regressionssens!$L$1,regressionssens!$L$1*regressionssens!$L$2+regressionssens!$L$3*($A140-regressionssens!$L$2))</f>
        <v>-11.704078430704614</v>
      </c>
      <c r="J140">
        <f>regressionssens!$J$1*A140+regressionssens!$J$2*A140^2</f>
        <v>-20.953959555699349</v>
      </c>
      <c r="K140">
        <f>regressionssens!$V$1*A140</f>
        <v>-11.704078519744531</v>
      </c>
      <c r="L140">
        <f>regressionssens!$N$1*A140^2</f>
        <v>-30.194824305593119</v>
      </c>
      <c r="M140" s="20">
        <f>regressionssens!$R$1*A140^2+regressionssens!$R$2*A140^6</f>
        <v>82.891399175526374</v>
      </c>
      <c r="N140">
        <f>regressionssens!$P$1*A140^2+regressionssens!$P$2*A140^7</f>
        <v>109.5474530703038</v>
      </c>
      <c r="O140">
        <f>regressionssens!$T$2+regressionssens!$T$1*EXP(A140)</f>
        <v>-1058.7421350863835</v>
      </c>
      <c r="P140" s="20">
        <f>(1-EXP(-2*regressionssens!X$1*graphsens!A140))/2/EXP(-regressionssens!X$1*A140)</f>
        <v>-81.987680136360865</v>
      </c>
      <c r="Q140" s="5"/>
      <c r="AT140" s="33"/>
      <c r="AW140" s="33"/>
      <c r="AZ140" s="33"/>
    </row>
    <row r="141" spans="1:52" x14ac:dyDescent="0.35">
      <c r="A141">
        <f t="shared" si="11"/>
        <v>11.799999999999974</v>
      </c>
      <c r="B141">
        <f t="shared" si="8"/>
        <v>31.738458123197624</v>
      </c>
      <c r="C141">
        <f>regressionssens!$AR$1*$A141</f>
        <v>9.2804713308192994</v>
      </c>
      <c r="D141">
        <f>regressionssens!$AO$1*$A141</f>
        <v>15.651339239334984</v>
      </c>
      <c r="E141">
        <f t="shared" si="9"/>
        <v>50.299400784836223</v>
      </c>
      <c r="F141">
        <f t="shared" si="10"/>
        <v>0.43577964452765627</v>
      </c>
      <c r="G141" s="5">
        <f>B141-regressions!AA$7</f>
        <v>28.01716953273267</v>
      </c>
      <c r="H141" s="5">
        <f>B141+regressions!AA$7</f>
        <v>35.459746713662582</v>
      </c>
      <c r="I141">
        <f>IF($A141&lt;=regressionssens!$L$2,$A141*regressionssens!$L$1,regressionssens!$L$1*regressionssens!$L$2+regressionssens!$L$3*($A141-regressionssens!$L$2))</f>
        <v>-11.804113289086706</v>
      </c>
      <c r="J141">
        <f>regressionssens!$J$1*A141+regressionssens!$J$2*A141^2</f>
        <v>-21.25767938353664</v>
      </c>
      <c r="K141">
        <f>regressionssens!$V$1*A141</f>
        <v>-11.804113378887648</v>
      </c>
      <c r="L141">
        <f>regressionssens!$N$1*A141^2</f>
        <v>-30.713180921256381</v>
      </c>
      <c r="M141" s="20">
        <f>regressionssens!$R$1*A141^2+regressionssens!$R$2*A141^6</f>
        <v>88.592227644647551</v>
      </c>
      <c r="N141">
        <f>regressionssens!$P$1*A141^2+regressionssens!$P$2*A141^7</f>
        <v>117.80845239448948</v>
      </c>
      <c r="O141">
        <f>regressionssens!$T$2+regressionssens!$T$1*EXP(A141)</f>
        <v>-1170.0919409539429</v>
      </c>
      <c r="P141" s="20">
        <f>(1-EXP(-2*regressionssens!X$1*graphsens!A141))/2/EXP(-regressionssens!X$1*A141)</f>
        <v>-85.640622635434028</v>
      </c>
      <c r="Q141" s="5"/>
      <c r="AT141" s="33"/>
      <c r="AW141" s="33"/>
      <c r="AZ141" s="33"/>
    </row>
    <row r="142" spans="1:52" x14ac:dyDescent="0.35">
      <c r="A142">
        <f t="shared" si="11"/>
        <v>11.899999999999974</v>
      </c>
      <c r="B142">
        <f t="shared" si="8"/>
        <v>34.647516273810325</v>
      </c>
      <c r="C142">
        <f>regressionssens!$AR$1*$A142</f>
        <v>9.359119392944887</v>
      </c>
      <c r="D142">
        <f>regressionssens!$AO$1*$A142</f>
        <v>15.783977707464942</v>
      </c>
      <c r="E142">
        <f t="shared" si="9"/>
        <v>53.365755059700099</v>
      </c>
      <c r="F142">
        <f t="shared" si="10"/>
        <v>3.0795608588804413</v>
      </c>
      <c r="G142" s="5">
        <f>B142-regressions!AA$7</f>
        <v>30.92622768334537</v>
      </c>
      <c r="H142" s="5">
        <f>B142+regressions!AA$7</f>
        <v>38.368804864275283</v>
      </c>
      <c r="I142">
        <f>IF($A142&lt;=regressionssens!$L$2,$A142*regressionssens!$L$1,regressionssens!$L$1*regressionssens!$L$2+regressionssens!$L$3*($A142-regressionssens!$L$2))</f>
        <v>-11.904148147468796</v>
      </c>
      <c r="J142">
        <f>regressionssens!$J$1*A142+regressionssens!$J$2*A142^2</f>
        <v>-21.563511519109881</v>
      </c>
      <c r="K142">
        <f>regressionssens!$V$1*A142</f>
        <v>-11.904148238030762</v>
      </c>
      <c r="L142">
        <f>regressionssens!$N$1*A142^2</f>
        <v>-31.235949082584867</v>
      </c>
      <c r="M142" s="20">
        <f>regressionssens!$R$1*A142^2+regressionssens!$R$2*A142^6</f>
        <v>94.562819110097351</v>
      </c>
      <c r="N142">
        <f>regressionssens!$P$1*A142^2+regressionssens!$P$2*A142^7</f>
        <v>126.52639158646171</v>
      </c>
      <c r="O142">
        <f>regressionssens!$T$2+regressionssens!$T$1*EXP(A142)</f>
        <v>-1293.1525081321383</v>
      </c>
      <c r="P142" s="20">
        <f>(1-EXP(-2*regressionssens!X$1*graphsens!A142))/2/EXP(-regressionssens!X$1*A142)</f>
        <v>-89.4562979718539</v>
      </c>
      <c r="Q142" s="5"/>
      <c r="AT142" s="33"/>
      <c r="AW142" s="33"/>
      <c r="AZ142" s="33"/>
    </row>
    <row r="143" spans="1:52" x14ac:dyDescent="0.35">
      <c r="A143">
        <f t="shared" si="11"/>
        <v>11.999999999999973</v>
      </c>
      <c r="B143">
        <f t="shared" si="8"/>
        <v>37.712507487104276</v>
      </c>
      <c r="C143">
        <f>regressionssens!$AR$1*$A143</f>
        <v>9.4377674550704747</v>
      </c>
      <c r="D143">
        <f>regressionssens!$AO$1*$A143</f>
        <v>15.9166161755949</v>
      </c>
      <c r="E143">
        <f t="shared" si="9"/>
        <v>56.588042397245225</v>
      </c>
      <c r="F143">
        <f t="shared" si="10"/>
        <v>5.8792751359144759</v>
      </c>
      <c r="G143" s="5">
        <f>B143-regressions!AA$7</f>
        <v>33.991218896639317</v>
      </c>
      <c r="H143" s="5">
        <f>B143+regressions!AA$7</f>
        <v>41.433796077569234</v>
      </c>
      <c r="I143">
        <f>IF($A143&lt;=regressionssens!$L$2,$A143*regressionssens!$L$1,regressionssens!$L$1*regressionssens!$L$2+regressionssens!$L$3*($A143-regressionssens!$L$2))</f>
        <v>-12.004183005850885</v>
      </c>
      <c r="J143">
        <f>regressionssens!$J$1*A143+regressionssens!$J$2*A143^2</f>
        <v>-21.87145596241907</v>
      </c>
      <c r="K143">
        <f>regressionssens!$V$1*A143</f>
        <v>-12.004183097173877</v>
      </c>
      <c r="L143">
        <f>regressionssens!$N$1*A143^2</f>
        <v>-31.763128789578563</v>
      </c>
      <c r="M143" s="20">
        <f>regressionssens!$R$1*A143^2+regressionssens!$R$2*A143^6</f>
        <v>100.81262804111034</v>
      </c>
      <c r="N143">
        <f>regressionssens!$P$1*A143^2+regressionssens!$P$2*A143^7</f>
        <v>135.7211812828028</v>
      </c>
      <c r="O143">
        <f>regressionssens!$T$2+regressionssens!$T$1*EXP(A143)</f>
        <v>-1429.1554681393748</v>
      </c>
      <c r="P143" s="20">
        <f>(1-EXP(-2*regressionssens!X$1*graphsens!A143))/2/EXP(-regressionssens!X$1*A143)</f>
        <v>-93.441956626231118</v>
      </c>
      <c r="Q143" s="5"/>
      <c r="AT143" s="33"/>
      <c r="AW143" s="33"/>
      <c r="AZ143" s="33"/>
    </row>
    <row r="144" spans="1:52" x14ac:dyDescent="0.35">
      <c r="A144">
        <f t="shared" si="11"/>
        <v>12.099999999999973</v>
      </c>
      <c r="B144">
        <f t="shared" si="8"/>
        <v>40.939601198088674</v>
      </c>
      <c r="C144">
        <f>regressionssens!$AR$1*$A144</f>
        <v>9.5164155171960605</v>
      </c>
      <c r="D144">
        <f>regressionssens!$AO$1*$A144</f>
        <v>16.049254643724858</v>
      </c>
      <c r="E144">
        <f t="shared" si="9"/>
        <v>59.972432232480799</v>
      </c>
      <c r="F144">
        <f t="shared" si="10"/>
        <v>8.8410919106389585</v>
      </c>
      <c r="G144" s="5">
        <f>B144-regressions!AA$7</f>
        <v>37.218312607623716</v>
      </c>
      <c r="H144" s="5">
        <f>B144+regressions!AA$7</f>
        <v>44.660889788553632</v>
      </c>
      <c r="I144">
        <f>IF($A144&lt;=regressionssens!$L$2,$A144*regressionssens!$L$1,regressionssens!$L$1*regressionssens!$L$2+regressionssens!$L$3*($A144-regressionssens!$L$2))</f>
        <v>-12.104217864232977</v>
      </c>
      <c r="J144">
        <f>regressionssens!$J$1*A144+regressionssens!$J$2*A144^2</f>
        <v>-22.181512713464208</v>
      </c>
      <c r="K144">
        <f>regressionssens!$V$1*A144</f>
        <v>-12.104217956316994</v>
      </c>
      <c r="L144">
        <f>regressionssens!$N$1*A144^2</f>
        <v>-32.294720042237479</v>
      </c>
      <c r="M144" s="20">
        <f>regressionssens!$R$1*A144^2+regressionssens!$R$2*A144^6</f>
        <v>107.35135027748611</v>
      </c>
      <c r="N144">
        <f>regressionssens!$P$1*A144^2+regressionssens!$P$2*A144^7</f>
        <v>145.41341272785695</v>
      </c>
      <c r="O144">
        <f>regressionssens!$T$2+regressionssens!$T$1*EXP(A144)</f>
        <v>-1579.4619843115777</v>
      </c>
      <c r="P144" s="20">
        <f>(1-EXP(-2*regressionssens!X$1*graphsens!A144))/2/EXP(-regressionssens!X$1*A144)</f>
        <v>-97.605172078551689</v>
      </c>
      <c r="Q144" s="5"/>
      <c r="AT144" s="33"/>
      <c r="AW144" s="33"/>
      <c r="AZ144" s="33"/>
    </row>
    <row r="145" spans="1:52" x14ac:dyDescent="0.35">
      <c r="A145">
        <f t="shared" si="11"/>
        <v>12.199999999999973</v>
      </c>
      <c r="B145">
        <f t="shared" si="8"/>
        <v>44.335147578087344</v>
      </c>
      <c r="C145">
        <f>regressionssens!$AR$1*$A145</f>
        <v>9.5950635793216481</v>
      </c>
      <c r="D145">
        <f>regressionssens!$AO$1*$A145</f>
        <v>16.181893111854812</v>
      </c>
      <c r="E145">
        <f t="shared" si="9"/>
        <v>63.525274736730637</v>
      </c>
      <c r="F145">
        <f t="shared" si="10"/>
        <v>11.97136135437772</v>
      </c>
      <c r="G145" s="5">
        <f>B145-regressions!AA$7</f>
        <v>40.613858987622386</v>
      </c>
      <c r="H145" s="5">
        <f>B145+regressions!AA$7</f>
        <v>48.056436168552302</v>
      </c>
      <c r="I145">
        <f>IF($A145&lt;=regressionssens!$L$2,$A145*regressionssens!$L$1,regressionssens!$L$1*regressionssens!$L$2+regressionssens!$L$3*($A145-regressionssens!$L$2))</f>
        <v>-12.204252722615067</v>
      </c>
      <c r="J145">
        <f>regressionssens!$J$1*A145+regressionssens!$J$2*A145^2</f>
        <v>-22.493681772245296</v>
      </c>
      <c r="K145">
        <f>regressionssens!$V$1*A145</f>
        <v>-12.204252815460109</v>
      </c>
      <c r="L145">
        <f>regressionssens!$N$1*A145^2</f>
        <v>-32.830722840561613</v>
      </c>
      <c r="M145" s="20">
        <f>regressionssens!$R$1*A145^2+regressionssens!$R$2*A145^6</f>
        <v>114.18892710318627</v>
      </c>
      <c r="N145">
        <f>regressionssens!$P$1*A145^2+regressionssens!$P$2*A145^7</f>
        <v>155.62437507568103</v>
      </c>
      <c r="O145">
        <f>regressionssens!$T$2+regressionssens!$T$1*EXP(A145)</f>
        <v>-1745.5763747823632</v>
      </c>
      <c r="P145" s="20">
        <f>(1-EXP(-2*regressionssens!X$1*graphsens!A145))/2/EXP(-regressionssens!X$1*A145)</f>
        <v>-101.95385519917355</v>
      </c>
      <c r="Q145" s="5"/>
      <c r="AT145" s="33"/>
      <c r="AW145" s="33"/>
      <c r="AZ145" s="33"/>
    </row>
    <row r="146" spans="1:52" x14ac:dyDescent="0.35">
      <c r="A146">
        <f t="shared" si="11"/>
        <v>12.299999999999972</v>
      </c>
      <c r="B146">
        <f t="shared" si="8"/>
        <v>47.905680647088943</v>
      </c>
      <c r="C146">
        <f>regressionssens!$AR$1*$A146</f>
        <v>9.6737116414472357</v>
      </c>
      <c r="D146">
        <f>regressionssens!$AO$1*$A146</f>
        <v>16.31453157998477</v>
      </c>
      <c r="E146">
        <f t="shared" si="9"/>
        <v>67.253103929983411</v>
      </c>
      <c r="F146">
        <f t="shared" si="10"/>
        <v>15.276617487119402</v>
      </c>
      <c r="G146" s="5">
        <f>B146-regressions!AA$7</f>
        <v>44.184392056623985</v>
      </c>
      <c r="H146" s="5">
        <f>B146+regressions!AA$7</f>
        <v>51.626969237553901</v>
      </c>
      <c r="I146">
        <f>IF($A146&lt;=regressionssens!$L$2,$A146*regressionssens!$L$1,regressionssens!$L$1*regressionssens!$L$2+regressionssens!$L$3*($A146-regressionssens!$L$2))</f>
        <v>-12.304287580997158</v>
      </c>
      <c r="J146">
        <f>regressionssens!$J$1*A146+regressionssens!$J$2*A146^2</f>
        <v>-22.807963138762336</v>
      </c>
      <c r="K146">
        <f>regressionssens!$V$1*A146</f>
        <v>-12.304287674603225</v>
      </c>
      <c r="L146">
        <f>regressionssens!$N$1*A146^2</f>
        <v>-33.371137184550975</v>
      </c>
      <c r="M146" s="20">
        <f>regressionssens!$R$1*A146^2+regressionssens!$R$2*A146^6</f>
        <v>121.33554935402006</v>
      </c>
      <c r="N146">
        <f>regressionssens!$P$1*A146^2+regressionssens!$P$2*A146^7</f>
        <v>166.37607298277163</v>
      </c>
      <c r="O146">
        <f>regressionssens!$T$2+regressionssens!$T$1*EXP(A146)</f>
        <v>-1929.1611682045379</v>
      </c>
      <c r="P146" s="20">
        <f>(1-EXP(-2*regressionssens!X$1*graphsens!A146))/2/EXP(-regressionssens!X$1*A146)</f>
        <v>-106.4962692809262</v>
      </c>
      <c r="Q146" s="5"/>
      <c r="AT146" s="33"/>
      <c r="AW146" s="33"/>
      <c r="AZ146" s="33"/>
    </row>
    <row r="147" spans="1:52" x14ac:dyDescent="0.35">
      <c r="A147">
        <f t="shared" si="11"/>
        <v>12.399999999999972</v>
      </c>
      <c r="B147">
        <f t="shared" si="8"/>
        <v>51.657921332167902</v>
      </c>
      <c r="C147">
        <f>regressionssens!$AR$1*$A147</f>
        <v>9.7523597035728233</v>
      </c>
      <c r="D147">
        <f>regressionssens!$AO$1*$A147</f>
        <v>16.447170048114728</v>
      </c>
      <c r="E147">
        <f t="shared" si="9"/>
        <v>71.162640739313545</v>
      </c>
      <c r="F147">
        <f t="shared" si="10"/>
        <v>18.763581235938446</v>
      </c>
      <c r="G147" s="5">
        <f>B147-regressions!AA$7</f>
        <v>47.936632741702944</v>
      </c>
      <c r="H147" s="5">
        <f>B147+regressions!AA$7</f>
        <v>55.37920992263286</v>
      </c>
      <c r="I147">
        <f>IF($A147&lt;=regressionssens!$L$2,$A147*regressionssens!$L$1,regressionssens!$L$1*regressionssens!$L$2+regressionssens!$L$3*($A147-regressionssens!$L$2))</f>
        <v>-12.404322439379248</v>
      </c>
      <c r="J147">
        <f>regressionssens!$J$1*A147+regressionssens!$J$2*A147^2</f>
        <v>-23.124356813015325</v>
      </c>
      <c r="K147">
        <f>regressionssens!$V$1*A147</f>
        <v>-12.40432253374634</v>
      </c>
      <c r="L147">
        <f>regressionssens!$N$1*A147^2</f>
        <v>-33.91596307420555</v>
      </c>
      <c r="M147" s="20">
        <f>regressionssens!$R$1*A147^2+regressionssens!$R$2*A147^6</f>
        <v>128.80166155941862</v>
      </c>
      <c r="N147">
        <f>regressionssens!$P$1*A147^2+regressionssens!$P$2*A147^7</f>
        <v>177.69124449399013</v>
      </c>
      <c r="O147">
        <f>regressionssens!$T$2+regressionssens!$T$1*EXP(A147)</f>
        <v>-2132.0537428956504</v>
      </c>
      <c r="P147" s="20">
        <f>(1-EXP(-2*regressionssens!X$1*graphsens!A147))/2/EXP(-regressionssens!X$1*A147)</f>
        <v>-111.24104574087755</v>
      </c>
      <c r="Q147" s="5"/>
      <c r="AT147" s="33"/>
      <c r="AW147" s="33"/>
      <c r="AZ147" s="33"/>
    </row>
    <row r="148" spans="1:52" x14ac:dyDescent="0.35">
      <c r="A148">
        <f t="shared" si="11"/>
        <v>12.499999999999972</v>
      </c>
      <c r="B148">
        <f t="shared" si="8"/>
        <v>55.598780461216599</v>
      </c>
      <c r="C148">
        <f>regressionssens!$AR$1*$A148</f>
        <v>9.8310077656984092</v>
      </c>
      <c r="D148">
        <f>regressionssens!$AO$1*$A148</f>
        <v>16.579808516244686</v>
      </c>
      <c r="E148">
        <f t="shared" si="9"/>
        <v>75.260795992613424</v>
      </c>
      <c r="F148">
        <f t="shared" si="10"/>
        <v>22.439163428727227</v>
      </c>
      <c r="G148" s="5">
        <f>B148-regressions!AA$7</f>
        <v>51.877491870751641</v>
      </c>
      <c r="H148" s="5">
        <f>B148+regressions!AA$7</f>
        <v>59.320069051681557</v>
      </c>
      <c r="I148">
        <f>IF($A148&lt;=regressionssens!$L$2,$A148*regressionssens!$L$1,regressionssens!$L$1*regressionssens!$L$2+regressionssens!$L$3*($A148-regressionssens!$L$2))</f>
        <v>-12.50435729776134</v>
      </c>
      <c r="J148">
        <f>regressionssens!$J$1*A148+regressionssens!$J$2*A148^2</f>
        <v>-23.442862795004267</v>
      </c>
      <c r="K148">
        <f>regressionssens!$V$1*A148</f>
        <v>-12.504357392889455</v>
      </c>
      <c r="L148">
        <f>regressionssens!$N$1*A148^2</f>
        <v>-34.465200509525346</v>
      </c>
      <c r="M148" s="20">
        <f>regressionssens!$R$1*A148^2+regressionssens!$R$2*A148^6</f>
        <v>136.59796611829813</v>
      </c>
      <c r="N148">
        <f>regressionssens!$P$1*A148^2+regressionssens!$P$2*A148^7</f>
        <v>189.59337922410987</v>
      </c>
      <c r="O148">
        <f>regressionssens!$T$2+regressionssens!$T$1*EXP(A148)</f>
        <v>-2356.2847159377598</v>
      </c>
      <c r="P148" s="20">
        <f>(1-EXP(-2*regressionssens!X$1*graphsens!A148))/2/EXP(-regressionssens!X$1*A148)</f>
        <v>-116.19720052160437</v>
      </c>
      <c r="Q148" s="5"/>
      <c r="AT148" s="33"/>
      <c r="AW148" s="33"/>
      <c r="AZ148" s="33"/>
    </row>
    <row r="149" spans="1:52" x14ac:dyDescent="0.35">
      <c r="A149">
        <f t="shared" si="11"/>
        <v>12.599999999999971</v>
      </c>
      <c r="B149">
        <f t="shared" si="8"/>
        <v>59.735361680120974</v>
      </c>
      <c r="C149">
        <f>regressionssens!$AR$1*$A149</f>
        <v>9.9096558278239968</v>
      </c>
      <c r="D149">
        <f>regressionssens!$AO$1*$A149</f>
        <v>16.712446984374644</v>
      </c>
      <c r="E149">
        <f t="shared" si="9"/>
        <v>79.554673335768967</v>
      </c>
      <c r="F149">
        <f t="shared" si="10"/>
        <v>26.310467711371686</v>
      </c>
      <c r="G149" s="5">
        <f>B149-regressions!AA$7</f>
        <v>56.014073089656016</v>
      </c>
      <c r="H149" s="5">
        <f>B149+regressions!AA$7</f>
        <v>63.456650270585932</v>
      </c>
      <c r="I149">
        <f>IF($A149&lt;=regressionssens!$L$2,$A149*regressionssens!$L$1,regressionssens!$L$1*regressionssens!$L$2+regressionssens!$L$3*($A149-regressionssens!$L$2))</f>
        <v>-12.60439215614343</v>
      </c>
      <c r="J149">
        <f>regressionssens!$J$1*A149+regressionssens!$J$2*A149^2</f>
        <v>-23.763481084729154</v>
      </c>
      <c r="K149">
        <f>regressionssens!$V$1*A149</f>
        <v>-12.604392252032572</v>
      </c>
      <c r="L149">
        <f>regressionssens!$N$1*A149^2</f>
        <v>-35.018849490510362</v>
      </c>
      <c r="M149" s="20">
        <f>regressionssens!$R$1*A149^2+regressionssens!$R$2*A149^6</f>
        <v>144.73542750901157</v>
      </c>
      <c r="N149">
        <f>regressionssens!$P$1*A149^2+regressionssens!$P$2*A149^7</f>
        <v>202.10673683740859</v>
      </c>
      <c r="O149">
        <f>regressionssens!$T$2+regressionssens!$T$1*EXP(A149)</f>
        <v>-2604.0982662757028</v>
      </c>
      <c r="P149" s="20">
        <f>(1-EXP(-2*regressionssens!X$1*graphsens!A149))/2/EXP(-regressionssens!X$1*A149)</f>
        <v>-121.3741512231307</v>
      </c>
      <c r="Q149" s="5"/>
      <c r="AT149" s="33"/>
      <c r="AW149" s="33"/>
      <c r="AZ149" s="33"/>
    </row>
    <row r="150" spans="1:52" x14ac:dyDescent="0.35">
      <c r="A150">
        <f t="shared" si="11"/>
        <v>12.699999999999971</v>
      </c>
      <c r="B150">
        <f t="shared" si="8"/>
        <v>64.074964280290345</v>
      </c>
      <c r="C150">
        <f>regressionssens!$AR$1*$A150</f>
        <v>9.9883038899495844</v>
      </c>
      <c r="D150">
        <f>regressionssens!$AO$1*$A150</f>
        <v>16.845085452504602</v>
      </c>
      <c r="E150">
        <f t="shared" si="9"/>
        <v>84.051572060189514</v>
      </c>
      <c r="F150">
        <f t="shared" si="10"/>
        <v>30.384793375281141</v>
      </c>
      <c r="G150" s="5">
        <f>B150-regressions!AA$7</f>
        <v>60.353675689825387</v>
      </c>
      <c r="H150" s="5">
        <f>B150+regressions!AA$7</f>
        <v>67.796252870755296</v>
      </c>
      <c r="I150">
        <f>IF($A150&lt;=regressionssens!$L$2,$A150*regressionssens!$L$1,regressionssens!$L$1*regressionssens!$L$2+regressionssens!$L$3*($A150-regressionssens!$L$2))</f>
        <v>-12.704427014525521</v>
      </c>
      <c r="J150">
        <f>regressionssens!$J$1*A150+regressionssens!$J$2*A150^2</f>
        <v>-24.086211682189994</v>
      </c>
      <c r="K150">
        <f>regressionssens!$V$1*A150</f>
        <v>-12.704427111175686</v>
      </c>
      <c r="L150">
        <f>regressionssens!$N$1*A150^2</f>
        <v>-35.576910017160593</v>
      </c>
      <c r="M150" s="20">
        <f>regressionssens!$R$1*A150^2+regressionssens!$R$2*A150^6</f>
        <v>153.22527653338895</v>
      </c>
      <c r="N150">
        <f>regressionssens!$P$1*A150^2+regressionssens!$P$2*A150^7</f>
        <v>215.25636582772802</v>
      </c>
      <c r="O150">
        <f>regressionssens!$T$2+regressionssens!$T$1*EXP(A150)</f>
        <v>-2877.9745952142734</v>
      </c>
      <c r="P150" s="20">
        <f>(1-EXP(-2*regressionssens!X$1*graphsens!A150))/2/EXP(-regressionssens!X$1*A150)</f>
        <v>-126.78173499808969</v>
      </c>
      <c r="Q150" s="5"/>
      <c r="AT150" s="33"/>
      <c r="AW150" s="33"/>
      <c r="AZ150" s="33"/>
    </row>
    <row r="151" spans="1:52" x14ac:dyDescent="0.35">
      <c r="A151">
        <f t="shared" si="11"/>
        <v>12.799999999999971</v>
      </c>
      <c r="B151">
        <f t="shared" si="8"/>
        <v>68.625085922107118</v>
      </c>
      <c r="C151">
        <f>regressionssens!$AR$1*$A151</f>
        <v>10.066951952075172</v>
      </c>
      <c r="D151">
        <f>regressionssens!$AO$1*$A151</f>
        <v>16.977723920634556</v>
      </c>
      <c r="E151">
        <f t="shared" si="9"/>
        <v>88.758989826257462</v>
      </c>
      <c r="F151">
        <f t="shared" si="10"/>
        <v>34.669638080838006</v>
      </c>
      <c r="G151" s="5">
        <f>B151-regressions!AA$7</f>
        <v>64.903797331642167</v>
      </c>
      <c r="H151" s="5">
        <f>B151+regressions!AA$7</f>
        <v>72.346374512572069</v>
      </c>
      <c r="I151">
        <f>IF($A151&lt;=regressionssens!$L$2,$A151*regressionssens!$L$1,regressionssens!$L$1*regressionssens!$L$2+regressionssens!$L$3*($A151-regressionssens!$L$2))</f>
        <v>-12.804461872907611</v>
      </c>
      <c r="J151">
        <f>regressionssens!$J$1*A151+regressionssens!$J$2*A151^2</f>
        <v>-24.411054587386786</v>
      </c>
      <c r="K151">
        <f>regressionssens!$V$1*A151</f>
        <v>-12.804461970318803</v>
      </c>
      <c r="L151">
        <f>regressionssens!$N$1*A151^2</f>
        <v>-36.139382089476044</v>
      </c>
      <c r="M151" s="20">
        <f>regressionssens!$R$1*A151^2+regressionssens!$R$2*A151^6</f>
        <v>162.07901459486669</v>
      </c>
      <c r="N151">
        <f>regressionssens!$P$1*A151^2+regressionssens!$P$2*A151^7</f>
        <v>229.06812260142587</v>
      </c>
      <c r="O151">
        <f>regressionssens!$T$2+regressionssens!$T$1*EXP(A151)</f>
        <v>-3180.6547491065012</v>
      </c>
      <c r="P151" s="20">
        <f>(1-EXP(-2*regressionssens!X$1*graphsens!A151))/2/EXP(-regressionssens!X$1*A151)</f>
        <v>-132.43022724411173</v>
      </c>
      <c r="Q151" s="5"/>
      <c r="AT151" s="33"/>
      <c r="AW151" s="33"/>
      <c r="AZ151" s="33"/>
    </row>
    <row r="152" spans="1:52" x14ac:dyDescent="0.35">
      <c r="A152">
        <f t="shared" si="11"/>
        <v>12.89999999999997</v>
      </c>
      <c r="B152">
        <f t="shared" si="8"/>
        <v>73.273124917712053</v>
      </c>
      <c r="C152">
        <f>regressionssens!$AR$1*$A152</f>
        <v>10.145600014200758</v>
      </c>
      <c r="D152">
        <f>regressionssens!$AO$1*$A152</f>
        <v>17.110362388764514</v>
      </c>
      <c r="E152">
        <f t="shared" si="9"/>
        <v>93.564324946113572</v>
      </c>
      <c r="F152">
        <f t="shared" si="10"/>
        <v>39.052400140183025</v>
      </c>
      <c r="G152" s="5">
        <f>B152-regressions!AA$7</f>
        <v>69.551836327247102</v>
      </c>
      <c r="H152" s="5">
        <f>B152+regressions!AA$7</f>
        <v>76.994413508177004</v>
      </c>
      <c r="I152">
        <f>IF($A152&lt;=regressionssens!$L$2,$A152*regressionssens!$L$1,regressionssens!$L$1*regressionssens!$L$2+regressionssens!$L$3*($A152-regressionssens!$L$2))</f>
        <v>-13.972794207833616</v>
      </c>
      <c r="J152">
        <f>regressionssens!$J$1*A152+regressionssens!$J$2*A152^2</f>
        <v>-24.738009800319524</v>
      </c>
      <c r="K152">
        <f>regressionssens!$V$1*A152</f>
        <v>-12.904496829461918</v>
      </c>
      <c r="L152">
        <f>regressionssens!$N$1*A152^2</f>
        <v>-36.706265707456716</v>
      </c>
      <c r="M152" s="20">
        <f>regressionssens!$R$1*A152^2+regressionssens!$R$2*A152^6</f>
        <v>171.30841801070497</v>
      </c>
      <c r="N152">
        <f>regressionssens!$P$1*A152^2+regressionssens!$P$2*A152^7</f>
        <v>243.56869086564038</v>
      </c>
      <c r="O152">
        <f>regressionssens!$T$2+regressionssens!$T$1*EXP(A152)</f>
        <v>-3515.1680526668524</v>
      </c>
      <c r="P152" s="20">
        <f>(1-EXP(-2*regressionssens!X$1*graphsens!A152))/2/EXP(-regressionssens!X$1*A152)</f>
        <v>-138.33036112895786</v>
      </c>
      <c r="Q152" s="5"/>
      <c r="AT152" s="33"/>
      <c r="AW152" s="33"/>
      <c r="AZ152" s="33"/>
    </row>
    <row r="153" spans="1:52" x14ac:dyDescent="0.35">
      <c r="A153">
        <f t="shared" si="11"/>
        <v>12.99999999999997</v>
      </c>
      <c r="B153">
        <f t="shared" si="8"/>
        <v>78.078095543324892</v>
      </c>
      <c r="C153">
        <f>regressionssens!$AR$1*$A153</f>
        <v>10.224248076326345</v>
      </c>
      <c r="D153">
        <f>regressionssens!$AO$1*$A153</f>
        <v>17.243000856894472</v>
      </c>
      <c r="E153">
        <f t="shared" si="9"/>
        <v>98.526591695977586</v>
      </c>
      <c r="F153">
        <f t="shared" si="10"/>
        <v>43.592093829535948</v>
      </c>
      <c r="G153" s="5">
        <f>B153-regressions!AA$7</f>
        <v>74.356806952859941</v>
      </c>
      <c r="H153" s="5">
        <f>B153+regressions!AA$7</f>
        <v>81.799384133789843</v>
      </c>
      <c r="I153">
        <f>IF($A153&lt;=regressionssens!$L$2,$A153*regressionssens!$L$1,regressionssens!$L$1*regressionssens!$L$2+regressionssens!$L$3*($A153-regressionssens!$L$2))</f>
        <v>-15.755534624661111</v>
      </c>
      <c r="J153">
        <f>regressionssens!$J$1*A153+regressionssens!$J$2*A153^2</f>
        <v>-25.067077320988215</v>
      </c>
      <c r="K153">
        <f>regressionssens!$V$1*A153</f>
        <v>-13.004531688605033</v>
      </c>
      <c r="L153">
        <f>regressionssens!$N$1*A153^2</f>
        <v>-37.277560871102608</v>
      </c>
      <c r="M153" s="20">
        <f>regressionssens!$R$1*A153^2+regressionssens!$R$2*A153^6</f>
        <v>180.92554235829434</v>
      </c>
      <c r="N153">
        <f>regressionssens!$P$1*A153^2+regressionssens!$P$2*A153^7</f>
        <v>258.78560132429408</v>
      </c>
      <c r="O153">
        <f>regressionssens!$T$2+regressionssens!$T$1*EXP(A153)</f>
        <v>-3884.8624274711642</v>
      </c>
      <c r="P153" s="20">
        <f>(1-EXP(-2*regressionssens!X$1*graphsens!A153))/2/EXP(-regressionssens!X$1*A153)</f>
        <v>-144.49334798550132</v>
      </c>
      <c r="Q153" s="5"/>
      <c r="AT153" s="33"/>
      <c r="AW153" s="33"/>
      <c r="AZ153" s="33"/>
    </row>
    <row r="154" spans="1:52" x14ac:dyDescent="0.35">
      <c r="A154">
        <f t="shared" si="11"/>
        <v>13.099999999999969</v>
      </c>
      <c r="B154">
        <f t="shared" si="8"/>
        <v>83.117293732949307</v>
      </c>
      <c r="C154">
        <f>regressionssens!$AR$1*$A154</f>
        <v>10.302896138451933</v>
      </c>
      <c r="D154">
        <f>regressionssens!$AO$1*$A154</f>
        <v>17.37563932502443</v>
      </c>
      <c r="E154">
        <f t="shared" si="9"/>
        <v>103.72308600985318</v>
      </c>
      <c r="F154">
        <f t="shared" si="10"/>
        <v>48.366015082900446</v>
      </c>
      <c r="G154" s="5">
        <f>B154-regressions!AA$7</f>
        <v>79.396005142484356</v>
      </c>
      <c r="H154" s="5">
        <f>B154+regressions!AA$7</f>
        <v>86.838582323414258</v>
      </c>
      <c r="I154">
        <f>IF($A154&lt;=regressionssens!$L$2,$A154*regressionssens!$L$1,regressionssens!$L$1*regressionssens!$L$2+regressionssens!$L$3*($A154-regressionssens!$L$2))</f>
        <v>-17.538275041488607</v>
      </c>
      <c r="J154">
        <f>regressionssens!$J$1*A154+regressionssens!$J$2*A154^2</f>
        <v>-25.398257149392851</v>
      </c>
      <c r="K154">
        <f>regressionssens!$V$1*A154</f>
        <v>-13.104566547748149</v>
      </c>
      <c r="L154">
        <f>regressionssens!$N$1*A154^2</f>
        <v>-37.853267580413714</v>
      </c>
      <c r="M154" s="20">
        <f>regressionssens!$R$1*A154^2+regressionssens!$R$2*A154^6</f>
        <v>190.94272685555097</v>
      </c>
      <c r="N154">
        <f>regressionssens!$P$1*A154^2+regressionssens!$P$2*A154^7</f>
        <v>274.74725168425732</v>
      </c>
      <c r="O154">
        <f>regressionssens!$T$2+regressionssens!$T$1*EXP(A154)</f>
        <v>-4293.4378990810474</v>
      </c>
      <c r="P154" s="20">
        <f>(1-EXP(-2*regressionssens!X$1*graphsens!A154))/2/EXP(-regressionssens!X$1*A154)</f>
        <v>-150.93089861530822</v>
      </c>
      <c r="Q154" s="5"/>
      <c r="AT154" s="33"/>
      <c r="AW154" s="33"/>
      <c r="AZ154" s="33"/>
    </row>
    <row r="155" spans="1:52" x14ac:dyDescent="0.35">
      <c r="A155">
        <f t="shared" si="11"/>
        <v>13.199999999999969</v>
      </c>
      <c r="B155">
        <f t="shared" si="8"/>
        <v>88.399035183048952</v>
      </c>
      <c r="C155">
        <f>regressionssens!$AR$1*$A155</f>
        <v>10.381544200577521</v>
      </c>
      <c r="D155">
        <f>regressionssens!$AO$1*$A155</f>
        <v>17.508277793154388</v>
      </c>
      <c r="E155">
        <f t="shared" si="9"/>
        <v>109.162123584204</v>
      </c>
      <c r="F155">
        <f t="shared" si="10"/>
        <v>53.382479596740176</v>
      </c>
      <c r="G155" s="5">
        <f>B155-regressions!AA$7</f>
        <v>84.677746592584</v>
      </c>
      <c r="H155" s="5">
        <f>B155+regressions!AA$7</f>
        <v>92.120323773513903</v>
      </c>
      <c r="I155">
        <f>IF($A155&lt;=regressionssens!$L$2,$A155*regressionssens!$L$1,regressionssens!$L$1*regressionssens!$L$2+regressionssens!$L$3*($A155-regressionssens!$L$2))</f>
        <v>-19.321015458316101</v>
      </c>
      <c r="J155">
        <f>regressionssens!$J$1*A155+regressionssens!$J$2*A155^2</f>
        <v>-25.731549285533443</v>
      </c>
      <c r="K155">
        <f>regressionssens!$V$1*A155</f>
        <v>-13.204601406891264</v>
      </c>
      <c r="L155">
        <f>regressionssens!$N$1*A155^2</f>
        <v>-38.433385835390048</v>
      </c>
      <c r="M155" s="20">
        <f>regressionssens!$R$1*A155^2+regressionssens!$R$2*A155^6</f>
        <v>201.37259877540032</v>
      </c>
      <c r="N155">
        <f>regressionssens!$P$1*A155^2+regressionssens!$P$2*A155^7</f>
        <v>291.48292697409534</v>
      </c>
      <c r="O155">
        <f>regressionssens!$T$2+regressionssens!$T$1*EXP(A155)</f>
        <v>-4744.9836281433327</v>
      </c>
      <c r="P155" s="20">
        <f>(1-EXP(-2*regressionssens!X$1*graphsens!A155))/2/EXP(-regressionssens!X$1*A155)</f>
        <v>-157.65524554130187</v>
      </c>
      <c r="Q155" s="5"/>
      <c r="AT155" s="33"/>
      <c r="AW155" s="33"/>
      <c r="AZ155" s="33"/>
    </row>
    <row r="156" spans="1:52" x14ac:dyDescent="0.35">
      <c r="A156">
        <f t="shared" si="11"/>
        <v>13.299999999999969</v>
      </c>
      <c r="B156">
        <f t="shared" si="8"/>
        <v>93.931845397043958</v>
      </c>
      <c r="C156">
        <f>regressionssens!$AR$1*$A156</f>
        <v>10.460192262703108</v>
      </c>
      <c r="D156">
        <f>regressionssens!$AO$1*$A156</f>
        <v>17.640916261284346</v>
      </c>
      <c r="E156">
        <f t="shared" si="9"/>
        <v>114.85222992245018</v>
      </c>
      <c r="F156">
        <f t="shared" si="10"/>
        <v>58.650012874475266</v>
      </c>
      <c r="G156" s="5">
        <f>B156-regressions!AA$7</f>
        <v>90.210556806579007</v>
      </c>
      <c r="H156" s="5">
        <f>B156+regressions!AA$7</f>
        <v>97.653133987508909</v>
      </c>
      <c r="I156">
        <f>IF($A156&lt;=regressionssens!$L$2,$A156*regressionssens!$L$1,regressionssens!$L$1*regressionssens!$L$2+regressionssens!$L$3*($A156-regressionssens!$L$2))</f>
        <v>-21.103755875143598</v>
      </c>
      <c r="J156">
        <f>regressionssens!$J$1*A156+regressionssens!$J$2*A156^2</f>
        <v>-26.066953729409981</v>
      </c>
      <c r="K156">
        <f>regressionssens!$V$1*A156</f>
        <v>-13.304636266034381</v>
      </c>
      <c r="L156">
        <f>regressionssens!$N$1*A156^2</f>
        <v>-39.017915636031596</v>
      </c>
      <c r="M156" s="20">
        <f>regressionssens!$R$1*A156^2+regressionssens!$R$2*A156^6</f>
        <v>212.22807789434927</v>
      </c>
      <c r="N156">
        <f>regressionssens!$P$1*A156^2+regressionssens!$P$2*A156^7</f>
        <v>309.02282017782181</v>
      </c>
      <c r="O156">
        <f>regressionssens!$T$2+regressionssens!$T$1*EXP(A156)</f>
        <v>-5244.0188360842358</v>
      </c>
      <c r="P156" s="20">
        <f>(1-EXP(-2*regressionssens!X$1*graphsens!A156))/2/EXP(-regressionssens!X$1*A156)</f>
        <v>-164.67916625179208</v>
      </c>
      <c r="Q156" s="5"/>
      <c r="AT156" s="33"/>
      <c r="AW156" s="33"/>
      <c r="AZ156" s="33"/>
    </row>
    <row r="157" spans="1:52" x14ac:dyDescent="0.35">
      <c r="A157">
        <f t="shared" si="11"/>
        <v>13.399999999999968</v>
      </c>
      <c r="B157">
        <f t="shared" si="8"/>
        <v>99.72446138647399</v>
      </c>
      <c r="C157">
        <f>regressionssens!$AR$1*$A157</f>
        <v>10.538840324828694</v>
      </c>
      <c r="D157">
        <f>regressionssens!$AO$1*$A157</f>
        <v>17.7735547294143</v>
      </c>
      <c r="E157">
        <f t="shared" si="9"/>
        <v>120.80214203613139</v>
      </c>
      <c r="F157">
        <f t="shared" si="10"/>
        <v>64.17735192764539</v>
      </c>
      <c r="G157" s="5">
        <f>B157-regressions!AA$7</f>
        <v>96.003172796009039</v>
      </c>
      <c r="H157" s="5">
        <f>B157+regressions!AA$7</f>
        <v>103.44574997693894</v>
      </c>
      <c r="I157">
        <f>IF($A157&lt;=regressionssens!$L$2,$A157*regressionssens!$L$1,regressionssens!$L$1*regressionssens!$L$2+regressionssens!$L$3*($A157-regressionssens!$L$2))</f>
        <v>-22.886496291971092</v>
      </c>
      <c r="J157">
        <f>regressionssens!$J$1*A157+regressionssens!$J$2*A157^2</f>
        <v>-26.404470481022475</v>
      </c>
      <c r="K157">
        <f>regressionssens!$V$1*A157</f>
        <v>-13.404671125177495</v>
      </c>
      <c r="L157">
        <f>regressionssens!$N$1*A157^2</f>
        <v>-39.606856982338364</v>
      </c>
      <c r="M157" s="20">
        <f>regressionssens!$R$1*A157^2+regressionssens!$R$2*A157^6</f>
        <v>223.52238097514794</v>
      </c>
      <c r="N157">
        <f>regressionssens!$P$1*A157^2+regressionssens!$P$2*A157^7</f>
        <v>327.39805318608381</v>
      </c>
      <c r="O157">
        <f>regressionssens!$T$2+regressionssens!$T$1*EXP(A157)</f>
        <v>-5795.5380349963561</v>
      </c>
      <c r="P157" s="20">
        <f>(1-EXP(-2*regressionssens!X$1*graphsens!A157))/2/EXP(-regressionssens!X$1*A157)</f>
        <v>-172.0160074800385</v>
      </c>
      <c r="Q157" s="5"/>
      <c r="AT157" s="33"/>
      <c r="AW157" s="33"/>
      <c r="AZ157" s="33"/>
    </row>
    <row r="158" spans="1:52" x14ac:dyDescent="0.35">
      <c r="A158">
        <f t="shared" si="11"/>
        <v>13.499999999999968</v>
      </c>
      <c r="B158">
        <f t="shared" si="8"/>
        <v>105.7858331157671</v>
      </c>
      <c r="C158">
        <f>regressionssens!$AR$1*$A158</f>
        <v>10.617488386954282</v>
      </c>
      <c r="D158">
        <f>regressionssens!$AO$1*$A158</f>
        <v>17.906193197544258</v>
      </c>
      <c r="E158">
        <f t="shared" si="9"/>
        <v>127.02080988967566</v>
      </c>
      <c r="F158">
        <f t="shared" si="10"/>
        <v>69.973446720678595</v>
      </c>
      <c r="G158" s="5">
        <f>B158-regressions!AA$7</f>
        <v>102.06454452530215</v>
      </c>
      <c r="H158" s="5">
        <f>B158+regressions!AA$7</f>
        <v>109.50712170623206</v>
      </c>
      <c r="I158">
        <f>IF($A158&lt;=regressionssens!$L$2,$A158*regressionssens!$L$1,regressionssens!$L$1*regressionssens!$L$2+regressionssens!$L$3*($A158-regressionssens!$L$2))</f>
        <v>-24.669236708798586</v>
      </c>
      <c r="J158">
        <f>regressionssens!$J$1*A158+regressionssens!$J$2*A158^2</f>
        <v>-26.744099540370918</v>
      </c>
      <c r="K158">
        <f>regressionssens!$V$1*A158</f>
        <v>-13.50470598432061</v>
      </c>
      <c r="L158">
        <f>regressionssens!$N$1*A158^2</f>
        <v>-40.20020987431036</v>
      </c>
      <c r="M158" s="20">
        <f>regressionssens!$R$1*A158^2+regressionssens!$R$2*A158^6</f>
        <v>235.26902628353878</v>
      </c>
      <c r="N158">
        <f>regressionssens!$P$1*A158^2+regressionssens!$P$2*A158^7</f>
        <v>346.64069806719817</v>
      </c>
      <c r="O158">
        <f>regressionssens!$T$2+regressionssens!$T$1*EXP(A158)</f>
        <v>-6405.0610143944077</v>
      </c>
      <c r="P158" s="20">
        <f>(1-EXP(-2*regressionssens!X$1*graphsens!A158))/2/EXP(-regressionssens!X$1*A158)</f>
        <v>-179.67971056548399</v>
      </c>
      <c r="Q158" s="5"/>
      <c r="AT158" s="33"/>
      <c r="AW158" s="33"/>
      <c r="AZ158" s="33"/>
    </row>
    <row r="159" spans="1:52" x14ac:dyDescent="0.35">
      <c r="A159">
        <f t="shared" si="11"/>
        <v>13.599999999999968</v>
      </c>
      <c r="B159">
        <f t="shared" si="8"/>
        <v>112.12512465903937</v>
      </c>
      <c r="C159">
        <f>regressionssens!$AR$1*$A159</f>
        <v>10.696136449079869</v>
      </c>
      <c r="D159">
        <f>regressionssens!$AO$1*$A159</f>
        <v>18.038831665674216</v>
      </c>
      <c r="E159">
        <f t="shared" si="9"/>
        <v>133.5173975571991</v>
      </c>
      <c r="F159">
        <f t="shared" si="10"/>
        <v>76.047461327690939</v>
      </c>
      <c r="G159" s="5">
        <f>B159-regressions!AA$7</f>
        <v>108.40383606857442</v>
      </c>
      <c r="H159" s="5">
        <f>B159+regressions!AA$7</f>
        <v>115.84641324950432</v>
      </c>
      <c r="I159">
        <f>IF($A159&lt;=regressionssens!$L$2,$A159*regressionssens!$L$1,regressionssens!$L$1*regressionssens!$L$2+regressionssens!$L$3*($A159-regressionssens!$L$2))</f>
        <v>-26.45197712562608</v>
      </c>
      <c r="J159">
        <f>regressionssens!$J$1*A159+regressionssens!$J$2*A159^2</f>
        <v>-27.085840907455307</v>
      </c>
      <c r="K159">
        <f>regressionssens!$V$1*A159</f>
        <v>-13.604740843463727</v>
      </c>
      <c r="L159">
        <f>regressionssens!$N$1*A159^2</f>
        <v>-40.797974311947563</v>
      </c>
      <c r="M159" s="20">
        <f>regressionssens!$R$1*A159^2+regressionssens!$R$2*A159^6</f>
        <v>247.48183813909577</v>
      </c>
      <c r="N159">
        <f>regressionssens!$P$1*A159^2+regressionssens!$P$2*A159^7</f>
        <v>366.78379866046504</v>
      </c>
      <c r="O159">
        <f>regressionssens!$T$2+regressionssens!$T$1*EXP(A159)</f>
        <v>-7078.6880851239575</v>
      </c>
      <c r="P159" s="20">
        <f>(1-EXP(-2*regressionssens!X$1*graphsens!A159))/2/EXP(-regressionssens!X$1*A159)</f>
        <v>-187.68483794484712</v>
      </c>
      <c r="Q159" s="5"/>
      <c r="AE159" s="58"/>
      <c r="AO159" s="1"/>
      <c r="AP159" s="1"/>
      <c r="AT159" s="33"/>
      <c r="AW159" s="33"/>
      <c r="AZ159" s="33"/>
    </row>
    <row r="160" spans="1:52" x14ac:dyDescent="0.35">
      <c r="A160">
        <f t="shared" si="11"/>
        <v>13.699999999999967</v>
      </c>
      <c r="B160">
        <f t="shared" si="8"/>
        <v>118.75171503409761</v>
      </c>
      <c r="C160">
        <f>regressionssens!$AR$1*$A160</f>
        <v>10.774784511205457</v>
      </c>
      <c r="D160">
        <f>regressionssens!$AO$1*$A160</f>
        <v>18.171470133804174</v>
      </c>
      <c r="E160">
        <f t="shared" si="9"/>
        <v>140.30128405650854</v>
      </c>
      <c r="F160">
        <f t="shared" si="10"/>
        <v>82.408774766489273</v>
      </c>
      <c r="G160" s="5">
        <f>B160-regressions!AA$7</f>
        <v>115.03042644363266</v>
      </c>
      <c r="H160" s="5">
        <f>B160+regressions!AA$7</f>
        <v>122.47300362456257</v>
      </c>
      <c r="I160">
        <f>IF($A160&lt;=regressionssens!$L$2,$A160*regressionssens!$L$1,regressionssens!$L$1*regressionssens!$L$2+regressionssens!$L$3*($A160-regressionssens!$L$2))</f>
        <v>-28.234717542453573</v>
      </c>
      <c r="J160">
        <f>regressionssens!$J$1*A160+regressionssens!$J$2*A160^2</f>
        <v>-27.429694582275648</v>
      </c>
      <c r="K160">
        <f>regressionssens!$V$1*A160</f>
        <v>-13.704775702606842</v>
      </c>
      <c r="L160">
        <f>regressionssens!$N$1*A160^2</f>
        <v>-41.400150295249986</v>
      </c>
      <c r="M160" s="20">
        <f>regressionssens!$R$1*A160^2+regressionssens!$R$2*A160^6</f>
        <v>260.17495150015088</v>
      </c>
      <c r="N160">
        <f>regressionssens!$P$1*A160^2+regressionssens!$P$2*A160^7</f>
        <v>387.86139249418051</v>
      </c>
      <c r="O160">
        <f>regressionssens!$T$2+regressionssens!$T$1*EXP(A160)</f>
        <v>-7823.1611333227429</v>
      </c>
      <c r="P160" s="20">
        <f>(1-EXP(-2*regressionssens!X$1*graphsens!A160))/2/EXP(-regressionssens!X$1*A160)</f>
        <v>-196.04660082341434</v>
      </c>
      <c r="Q160" s="5"/>
      <c r="AT160" s="33"/>
      <c r="AW160" s="33"/>
      <c r="AZ160" s="33"/>
    </row>
    <row r="161" spans="1:52" x14ac:dyDescent="0.35">
      <c r="A161">
        <f t="shared" si="11"/>
        <v>13.799999999999967</v>
      </c>
      <c r="B161">
        <f t="shared" si="8"/>
        <v>125.67519867523406</v>
      </c>
      <c r="C161">
        <f>regressionssens!$AR$1*$A161</f>
        <v>10.853432573331043</v>
      </c>
      <c r="D161">
        <f>regressionssens!$AO$1*$A161</f>
        <v>18.304108601934132</v>
      </c>
      <c r="E161">
        <f t="shared" si="9"/>
        <v>147.38206382189614</v>
      </c>
      <c r="F161">
        <f t="shared" si="10"/>
        <v>89.066981471365793</v>
      </c>
      <c r="G161" s="5">
        <f>B161-regressions!AA$7</f>
        <v>121.95391008476911</v>
      </c>
      <c r="H161" s="5">
        <f>B161+regressions!AA$7</f>
        <v>129.39648726569902</v>
      </c>
      <c r="I161">
        <f>IF($A161&lt;=regressionssens!$L$2,$A161*regressionssens!$L$1,regressionssens!$L$1*regressionssens!$L$2+regressionssens!$L$3*($A161-regressionssens!$L$2))</f>
        <v>-30.017457959281071</v>
      </c>
      <c r="J161">
        <f>regressionssens!$J$1*A161+regressionssens!$J$2*A161^2</f>
        <v>-27.775660564831938</v>
      </c>
      <c r="K161">
        <f>regressionssens!$V$1*A161</f>
        <v>-13.804810561749957</v>
      </c>
      <c r="L161">
        <f>regressionssens!$N$1*A161^2</f>
        <v>-42.00673782421763</v>
      </c>
      <c r="M161" s="20">
        <f>regressionssens!$R$1*A161^2+regressionssens!$R$2*A161^6</f>
        <v>273.3628165828103</v>
      </c>
      <c r="N161">
        <f>regressionssens!$P$1*A161^2+regressionssens!$P$2*A161^7</f>
        <v>409.90853303077108</v>
      </c>
      <c r="O161">
        <f>regressionssens!$T$2+regressionssens!$T$1*EXP(A161)</f>
        <v>-8645.9310954831708</v>
      </c>
      <c r="P161" s="20">
        <f>(1-EXP(-2*regressionssens!X$1*graphsens!A161))/2/EXP(-regressionssens!X$1*A161)</f>
        <v>-204.78088807911013</v>
      </c>
      <c r="Q161" s="5"/>
      <c r="AT161" s="33"/>
      <c r="AW161" s="33"/>
      <c r="AZ161" s="33"/>
    </row>
    <row r="162" spans="1:52" x14ac:dyDescent="0.35">
      <c r="A162">
        <f t="shared" si="11"/>
        <v>13.899999999999967</v>
      </c>
      <c r="B162">
        <f t="shared" si="8"/>
        <v>132.90538550244341</v>
      </c>
      <c r="C162">
        <f>regressionssens!$AR$1*$A162</f>
        <v>10.93208063545663</v>
      </c>
      <c r="D162">
        <f>regressionssens!$AO$1*$A162</f>
        <v>18.436747070064087</v>
      </c>
      <c r="E162">
        <f t="shared" si="9"/>
        <v>154.76954677335667</v>
      </c>
      <c r="F162">
        <f t="shared" si="10"/>
        <v>96.031891362315235</v>
      </c>
      <c r="G162" s="5">
        <f>B162-regressions!AA$7</f>
        <v>129.18409691197846</v>
      </c>
      <c r="H162" s="5">
        <f>B162+regressions!AA$7</f>
        <v>136.62667409290836</v>
      </c>
      <c r="I162">
        <f>IF($A162&lt;=regressionssens!$L$2,$A162*regressionssens!$L$1,regressionssens!$L$1*regressionssens!$L$2+regressionssens!$L$3*($A162-regressionssens!$L$2))</f>
        <v>-31.800198376108565</v>
      </c>
      <c r="J162">
        <f>regressionssens!$J$1*A162+regressionssens!$J$2*A162^2</f>
        <v>-28.123738855124177</v>
      </c>
      <c r="K162">
        <f>regressionssens!$V$1*A162</f>
        <v>-13.904845420893073</v>
      </c>
      <c r="L162">
        <f>regressionssens!$N$1*A162^2</f>
        <v>-42.617736898850495</v>
      </c>
      <c r="M162" s="20">
        <f>regressionssens!$R$1*A162^2+regressionssens!$R$2*A162^6</f>
        <v>287.06020351405937</v>
      </c>
      <c r="N162">
        <f>regressionssens!$P$1*A162^2+regressionssens!$P$2*A162^7</f>
        <v>432.96131224147553</v>
      </c>
      <c r="O162">
        <f>regressionssens!$T$2+regressionssens!$T$1*EXP(A162)</f>
        <v>-9555.2325299290769</v>
      </c>
      <c r="P162" s="20">
        <f>(1-EXP(-2*regressionssens!X$1*graphsens!A162))/2/EXP(-regressionssens!X$1*A162)</f>
        <v>-213.90429645427022</v>
      </c>
      <c r="Q162" s="5"/>
      <c r="AT162" s="33"/>
      <c r="AW162" s="33"/>
      <c r="AZ162" s="33"/>
    </row>
    <row r="163" spans="1:52" x14ac:dyDescent="0.35">
      <c r="A163">
        <f t="shared" si="11"/>
        <v>13.999999999999966</v>
      </c>
      <c r="B163">
        <f t="shared" si="8"/>
        <v>140.4523005403245</v>
      </c>
      <c r="C163">
        <f>regressionssens!$AR$1*$A163</f>
        <v>11.010728697582218</v>
      </c>
      <c r="D163">
        <f>regressionssens!$AO$1*$A163</f>
        <v>18.569385538194044</v>
      </c>
      <c r="E163">
        <f t="shared" si="9"/>
        <v>162.47375793548895</v>
      </c>
      <c r="F163">
        <f t="shared" si="10"/>
        <v>103.31352946393642</v>
      </c>
      <c r="G163" s="5">
        <f>B163-regressions!AA$7</f>
        <v>136.73101194985955</v>
      </c>
      <c r="H163" s="5">
        <f>B163+regressions!AA$7</f>
        <v>144.17358913078945</v>
      </c>
      <c r="I163">
        <f>IF($A163&lt;=regressionssens!$L$2,$A163*regressionssens!$L$1,regressionssens!$L$1*regressionssens!$L$2+regressionssens!$L$3*($A163-regressionssens!$L$2))</f>
        <v>-33.582938792936062</v>
      </c>
      <c r="J163">
        <f>regressionssens!$J$1*A163+regressionssens!$J$2*A163^2</f>
        <v>-28.473929453152369</v>
      </c>
      <c r="K163">
        <f>regressionssens!$V$1*A163</f>
        <v>-14.004880280036188</v>
      </c>
      <c r="L163">
        <f>regressionssens!$N$1*A163^2</f>
        <v>-43.233147519148581</v>
      </c>
      <c r="M163" s="20">
        <f>regressionssens!$R$1*A163^2+regressionssens!$R$2*A163^6</f>
        <v>301.28220701895486</v>
      </c>
      <c r="N163">
        <f>regressionssens!$P$1*A163^2+regressionssens!$P$2*A163^7</f>
        <v>457.05688351299329</v>
      </c>
      <c r="O163">
        <f>regressionssens!$T$2+regressionssens!$T$1*EXP(A163)</f>
        <v>-10560.166031043162</v>
      </c>
      <c r="P163" s="20">
        <f>(1-EXP(-2*regressionssens!X$1*graphsens!A163))/2/EXP(-regressionssens!X$1*A163)</f>
        <v>-223.43416209248471</v>
      </c>
      <c r="Q163" s="5"/>
      <c r="AT163" s="33"/>
      <c r="AW163" s="33"/>
      <c r="AZ163" s="33"/>
    </row>
    <row r="164" spans="1:52" x14ac:dyDescent="0.35">
      <c r="A164">
        <f t="shared" si="11"/>
        <v>14.099999999999966</v>
      </c>
      <c r="B164">
        <f t="shared" si="8"/>
        <v>148.32618303511012</v>
      </c>
      <c r="C164">
        <f>regressionssens!$AR$1*$A164</f>
        <v>11.089376759707806</v>
      </c>
      <c r="D164">
        <f>regressionssens!$AO$1*$A164</f>
        <v>18.702024006324002</v>
      </c>
      <c r="E164">
        <f t="shared" si="9"/>
        <v>170.50493655452573</v>
      </c>
      <c r="F164">
        <f t="shared" si="10"/>
        <v>110.92213502246211</v>
      </c>
      <c r="G164" s="5">
        <f>B164-regressions!AA$7</f>
        <v>144.60489444464517</v>
      </c>
      <c r="H164" s="5">
        <f>B164+regressions!AA$7</f>
        <v>152.04747162557507</v>
      </c>
      <c r="I164">
        <f>IF($A164&lt;=regressionssens!$L$2,$A164*regressionssens!$L$1,regressionssens!$L$1*regressionssens!$L$2+regressionssens!$L$3*($A164-regressionssens!$L$2))</f>
        <v>-35.365679209763556</v>
      </c>
      <c r="J164">
        <f>regressionssens!$J$1*A164+regressionssens!$J$2*A164^2</f>
        <v>-28.82623235891651</v>
      </c>
      <c r="K164">
        <f>regressionssens!$V$1*A164</f>
        <v>-14.104915139179305</v>
      </c>
      <c r="L164">
        <f>regressionssens!$N$1*A164^2</f>
        <v>-43.85296968511188</v>
      </c>
      <c r="M164" s="20">
        <f>regressionssens!$R$1*A164^2+regressionssens!$R$2*A164^6</f>
        <v>316.04425114190747</v>
      </c>
      <c r="N164">
        <f>regressionssens!$P$1*A164^2+regressionssens!$P$2*A164^7</f>
        <v>482.23348488852571</v>
      </c>
      <c r="O164">
        <f>regressionssens!$T$2+regressionssens!$T$1*EXP(A164)</f>
        <v>-11670.789311074386</v>
      </c>
      <c r="P164" s="20">
        <f>(1-EXP(-2*regressionssens!X$1*graphsens!A164))/2/EXP(-regressionssens!X$1*A164)</f>
        <v>-233.38859348044033</v>
      </c>
      <c r="Q164" s="5"/>
      <c r="AT164" s="33"/>
      <c r="AW164" s="33"/>
      <c r="AZ164" s="33"/>
    </row>
    <row r="165" spans="1:52" x14ac:dyDescent="0.35">
      <c r="A165">
        <f t="shared" si="11"/>
        <v>14.199999999999966</v>
      </c>
      <c r="B165">
        <f t="shared" si="8"/>
        <v>156.53748501294746</v>
      </c>
      <c r="C165">
        <f>regressionssens!$AR$1*$A165</f>
        <v>11.168024821833392</v>
      </c>
      <c r="D165">
        <f>regressionssens!$AO$1*$A165</f>
        <v>18.83466247445396</v>
      </c>
      <c r="E165">
        <f t="shared" si="9"/>
        <v>178.87353465661425</v>
      </c>
      <c r="F165">
        <f t="shared" si="10"/>
        <v>118.86816006403953</v>
      </c>
      <c r="G165" s="5">
        <f>B165-regressions!AA$7</f>
        <v>152.81619642248251</v>
      </c>
      <c r="H165" s="5">
        <f>B165+regressions!AA$7</f>
        <v>160.25877360341241</v>
      </c>
      <c r="I165">
        <f>IF($A165&lt;=regressionssens!$L$2,$A165*regressionssens!$L$1,regressionssens!$L$1*regressionssens!$L$2+regressionssens!$L$3*($A165-regressionssens!$L$2))</f>
        <v>-37.14841962659105</v>
      </c>
      <c r="J165">
        <f>regressionssens!$J$1*A165+regressionssens!$J$2*A165^2</f>
        <v>-29.1806475724166</v>
      </c>
      <c r="K165">
        <f>regressionssens!$V$1*A165</f>
        <v>-14.204949998322419</v>
      </c>
      <c r="L165">
        <f>regressionssens!$N$1*A165^2</f>
        <v>-44.477203396740407</v>
      </c>
      <c r="M165" s="20">
        <f>regressionssens!$R$1*A165^2+regressionssens!$R$2*A165^6</f>
        <v>331.36209400205229</v>
      </c>
      <c r="N165">
        <f>regressionssens!$P$1*A165^2+regressionssens!$P$2*A165^7</f>
        <v>508.53046264563272</v>
      </c>
      <c r="O165">
        <f>regressionssens!$T$2+regressionssens!$T$1*EXP(A165)</f>
        <v>-12898.217861102683</v>
      </c>
      <c r="P165" s="20">
        <f>(1-EXP(-2*regressionssens!X$1*graphsens!A165))/2/EXP(-regressionssens!X$1*A165)</f>
        <v>-243.78650585735517</v>
      </c>
      <c r="Q165" s="5"/>
      <c r="AT165" s="33"/>
      <c r="AW165" s="33"/>
      <c r="AZ165" s="33"/>
    </row>
    <row r="166" spans="1:52" x14ac:dyDescent="0.35">
      <c r="A166">
        <f t="shared" si="11"/>
        <v>14.299999999999965</v>
      </c>
      <c r="B166">
        <f t="shared" si="8"/>
        <v>165.09686921667665</v>
      </c>
      <c r="C166">
        <f>regressionssens!$AR$1*$A166</f>
        <v>11.246672883958979</v>
      </c>
      <c r="D166">
        <f>regressionssens!$AO$1*$A166</f>
        <v>18.967300942583918</v>
      </c>
      <c r="E166">
        <f t="shared" si="9"/>
        <v>187.59021498459461</v>
      </c>
      <c r="F166">
        <f t="shared" si="10"/>
        <v>127.16226733150882</v>
      </c>
      <c r="G166" s="5">
        <f>B166-regressions!AA$7</f>
        <v>161.3755806262117</v>
      </c>
      <c r="H166" s="5">
        <f>B166+regressions!AA$7</f>
        <v>168.8181578071416</v>
      </c>
      <c r="I166">
        <f>IF($A166&lt;=regressionssens!$L$2,$A166*regressionssens!$L$1,regressionssens!$L$1*regressionssens!$L$2+regressionssens!$L$3*($A166-regressionssens!$L$2))</f>
        <v>-38.931160043418544</v>
      </c>
      <c r="J166">
        <f>regressionssens!$J$1*A166+regressionssens!$J$2*A166^2</f>
        <v>-29.537175093652642</v>
      </c>
      <c r="K166">
        <f>regressionssens!$V$1*A166</f>
        <v>-14.304984857465534</v>
      </c>
      <c r="L166">
        <f>regressionssens!$N$1*A166^2</f>
        <v>-45.105848654034148</v>
      </c>
      <c r="M166" s="20">
        <f>regressionssens!$R$1*A166^2+regressionssens!$R$2*A166^6</f>
        <v>347.25183258270806</v>
      </c>
      <c r="N166">
        <f>regressionssens!$P$1*A166^2+regressionssens!$P$2*A166^7</f>
        <v>535.98829521332686</v>
      </c>
      <c r="O166">
        <f>regressionssens!$T$2+regressionssens!$T$1*EXP(A166)</f>
        <v>-14254.736198609717</v>
      </c>
      <c r="P166" s="20">
        <f>(1-EXP(-2*regressionssens!X$1*graphsens!A166))/2/EXP(-regressionssens!X$1*A166)</f>
        <v>-254.64765715739046</v>
      </c>
      <c r="Q166" s="5"/>
      <c r="AT166" s="33"/>
      <c r="AW166" s="33"/>
      <c r="AZ166" s="33"/>
    </row>
    <row r="167" spans="1:52" x14ac:dyDescent="0.35">
      <c r="A167">
        <f t="shared" si="11"/>
        <v>14.399999999999965</v>
      </c>
      <c r="B167">
        <f t="shared" si="8"/>
        <v>174.01520635187293</v>
      </c>
      <c r="C167">
        <f>regressionssens!$AR$1*$A167</f>
        <v>11.325320946084567</v>
      </c>
      <c r="D167">
        <f>regressionssens!$AO$1*$A167</f>
        <v>19.099939410713876</v>
      </c>
      <c r="E167">
        <f t="shared" si="9"/>
        <v>196.66584824404208</v>
      </c>
      <c r="F167">
        <f t="shared" si="10"/>
        <v>135.81532753044519</v>
      </c>
      <c r="G167" s="5">
        <f>B167-regressions!AA$7</f>
        <v>170.29391776140798</v>
      </c>
      <c r="H167" s="5">
        <f>B167+regressions!AA$7</f>
        <v>177.73649494233788</v>
      </c>
      <c r="I167">
        <f>IF($A167&lt;=regressionssens!$L$2,$A167*regressionssens!$L$1,regressionssens!$L$1*regressionssens!$L$2+regressionssens!$L$3*($A167-regressionssens!$L$2))</f>
        <v>-40.713900460246037</v>
      </c>
      <c r="J167">
        <f>regressionssens!$J$1*A167+regressionssens!$J$2*A167^2</f>
        <v>-29.895814922624634</v>
      </c>
      <c r="K167">
        <f>regressionssens!$V$1*A167</f>
        <v>-14.405019716608651</v>
      </c>
      <c r="L167">
        <f>regressionssens!$N$1*A167^2</f>
        <v>-45.738905456993109</v>
      </c>
      <c r="M167" s="20">
        <f>regressionssens!$R$1*A167^2+regressionssens!$R$2*A167^6</f>
        <v>363.72990755492486</v>
      </c>
      <c r="N167">
        <f>regressionssens!$P$1*A167^2+regressionssens!$P$2*A167^7</f>
        <v>564.64861743082872</v>
      </c>
      <c r="O167">
        <f>regressionssens!$T$2+regressionssens!$T$1*EXP(A167)</f>
        <v>-15753.920815058817</v>
      </c>
      <c r="P167" s="20">
        <f>(1-EXP(-2*regressionssens!X$1*graphsens!A167))/2/EXP(-regressionssens!X$1*A167)</f>
        <v>-265.99268555333805</v>
      </c>
      <c r="Q167" s="5"/>
      <c r="AT167" s="33"/>
      <c r="AW167" s="33"/>
      <c r="AZ167" s="33"/>
    </row>
    <row r="168" spans="1:52" x14ac:dyDescent="0.35">
      <c r="A168">
        <f t="shared" si="11"/>
        <v>14.499999999999964</v>
      </c>
      <c r="B168">
        <f t="shared" si="8"/>
        <v>183.30357156575968</v>
      </c>
      <c r="C168">
        <f>regressionssens!$AR$1*$A168</f>
        <v>11.403969008210154</v>
      </c>
      <c r="D168">
        <f>regressionssens!$AO$1*$A168</f>
        <v>19.232577878843831</v>
      </c>
      <c r="E168">
        <f t="shared" si="9"/>
        <v>206.11150958217999</v>
      </c>
      <c r="F168">
        <f t="shared" si="10"/>
        <v>144.83841580807203</v>
      </c>
      <c r="G168" s="5">
        <f>B168-regressions!AA$7</f>
        <v>179.58228297529473</v>
      </c>
      <c r="H168" s="5">
        <f>B168+regressions!AA$7</f>
        <v>187.02486015622463</v>
      </c>
      <c r="I168">
        <f>IF($A168&lt;=regressionssens!$L$2,$A168*regressionssens!$L$1,regressionssens!$L$1*regressionssens!$L$2+regressionssens!$L$3*($A168-regressionssens!$L$2))</f>
        <v>-42.496640877073531</v>
      </c>
      <c r="J168">
        <f>regressionssens!$J$1*A168+regressionssens!$J$2*A168^2</f>
        <v>-30.256567059332575</v>
      </c>
      <c r="K168">
        <f>regressionssens!$V$1*A168</f>
        <v>-14.505054575751766</v>
      </c>
      <c r="L168">
        <f>regressionssens!$N$1*A168^2</f>
        <v>-46.376373805617291</v>
      </c>
      <c r="M168" s="20">
        <f>regressionssens!$R$1*A168^2+regressionssens!$R$2*A168^6</f>
        <v>380.81310813512124</v>
      </c>
      <c r="N168">
        <f>regressionssens!$P$1*A168^2+regressionssens!$P$2*A168^7</f>
        <v>594.55424515040738</v>
      </c>
      <c r="O168">
        <f>regressionssens!$T$2+regressionssens!$T$1*EXP(A168)</f>
        <v>-17410.776053984751</v>
      </c>
      <c r="P168" s="20">
        <f>(1-EXP(-2*regressionssens!X$1*graphsens!A168))/2/EXP(-regressionssens!X$1*A168)</f>
        <v>-277.8431486729196</v>
      </c>
      <c r="Q168" s="5"/>
      <c r="AT168" s="33"/>
      <c r="AW168" s="33"/>
      <c r="AZ168" s="33"/>
    </row>
    <row r="169" spans="1:52" x14ac:dyDescent="0.35">
      <c r="A169">
        <f t="shared" si="11"/>
        <v>14.599999999999964</v>
      </c>
      <c r="B169">
        <f t="shared" si="8"/>
        <v>192.97324007469419</v>
      </c>
      <c r="C169">
        <f>regressionssens!$AR$1*$A169</f>
        <v>11.48261707033574</v>
      </c>
      <c r="D169">
        <f>regressionssens!$AO$1*$A169</f>
        <v>19.365216346973789</v>
      </c>
      <c r="E169">
        <f t="shared" si="9"/>
        <v>215.93847421536566</v>
      </c>
      <c r="F169">
        <f t="shared" si="10"/>
        <v>154.24280738074663</v>
      </c>
      <c r="G169" s="5">
        <f>B169-regressions!AA$7</f>
        <v>189.25195148422924</v>
      </c>
      <c r="H169" s="5">
        <f>B169+regressions!AA$7</f>
        <v>196.69452866515914</v>
      </c>
      <c r="I169">
        <f>IF($A169&lt;=regressionssens!$L$2,$A169*regressionssens!$L$1,regressionssens!$L$1*regressionssens!$L$2+regressionssens!$L$3*($A169-regressionssens!$L$2))</f>
        <v>-44.279381293901025</v>
      </c>
      <c r="J169">
        <f>regressionssens!$J$1*A169+regressionssens!$J$2*A169^2</f>
        <v>-30.619431503776465</v>
      </c>
      <c r="K169">
        <f>regressionssens!$V$1*A169</f>
        <v>-14.605089434894882</v>
      </c>
      <c r="L169">
        <f>regressionssens!$N$1*A169^2</f>
        <v>-47.018253699906687</v>
      </c>
      <c r="M169" s="20">
        <f>regressionssens!$R$1*A169^2+regressionssens!$R$2*A169^6</f>
        <v>398.5185769768085</v>
      </c>
      <c r="N169">
        <f>regressionssens!$P$1*A169^2+regressionssens!$P$2*A169^7</f>
        <v>625.74920018672697</v>
      </c>
      <c r="O169">
        <f>regressionssens!$T$2+regressionssens!$T$1*EXP(A169)</f>
        <v>-19241.884279506976</v>
      </c>
      <c r="P169" s="20">
        <f>(1-EXP(-2*regressionssens!X$1*graphsens!A169))/2/EXP(-regressionssens!X$1*A169)</f>
        <v>-290.22156456222103</v>
      </c>
      <c r="Q169" s="5"/>
      <c r="AT169" s="33"/>
      <c r="AW169" s="33"/>
      <c r="AZ169" s="33"/>
    </row>
    <row r="170" spans="1:52" x14ac:dyDescent="0.35">
      <c r="A170">
        <f t="shared" si="11"/>
        <v>14.699999999999964</v>
      </c>
      <c r="B170">
        <f t="shared" si="8"/>
        <v>203.03568184720601</v>
      </c>
      <c r="C170">
        <f>regressionssens!$AR$1*$A170</f>
        <v>11.561265132461328</v>
      </c>
      <c r="D170">
        <f>regressionssens!$AO$1*$A170</f>
        <v>19.497854815103747</v>
      </c>
      <c r="E170">
        <f t="shared" si="9"/>
        <v>226.15821211212867</v>
      </c>
      <c r="F170">
        <f t="shared" si="10"/>
        <v>164.03997221699851</v>
      </c>
      <c r="G170" s="5">
        <f>B170-regressions!AA$7</f>
        <v>199.31439325674106</v>
      </c>
      <c r="H170" s="5">
        <f>B170+regressions!AA$7</f>
        <v>206.75697043767096</v>
      </c>
      <c r="I170">
        <f>IF($A170&lt;=regressionssens!$L$2,$A170*regressionssens!$L$1,regressionssens!$L$1*regressionssens!$L$2+regressionssens!$L$3*($A170-regressionssens!$L$2))</f>
        <v>-46.062121710728526</v>
      </c>
      <c r="J170">
        <f>regressionssens!$J$1*A170+regressionssens!$J$2*A170^2</f>
        <v>-30.984408255956303</v>
      </c>
      <c r="K170">
        <f>regressionssens!$V$1*A170</f>
        <v>-14.705124294037997</v>
      </c>
      <c r="L170">
        <f>regressionssens!$N$1*A170^2</f>
        <v>-47.664545139861303</v>
      </c>
      <c r="M170" s="20">
        <f>regressionssens!$R$1*A170^2+regressionssens!$R$2*A170^6</f>
        <v>416.86381509640592</v>
      </c>
      <c r="N170">
        <f>regressionssens!$P$1*A170^2+regressionssens!$P$2*A170^7</f>
        <v>658.27873561512536</v>
      </c>
      <c r="O170">
        <f>regressionssens!$T$2+regressionssens!$T$1*EXP(A170)</f>
        <v>-21265.571838203243</v>
      </c>
      <c r="P170" s="20">
        <f>(1-EXP(-2*regressionssens!X$1*graphsens!A170))/2/EXP(-regressionssens!X$1*A170)</f>
        <v>-303.15145447409554</v>
      </c>
      <c r="Q170" s="5"/>
      <c r="AT170" s="33"/>
      <c r="AW170" s="33"/>
      <c r="AZ170" s="33"/>
    </row>
    <row r="171" spans="1:52" x14ac:dyDescent="0.35">
      <c r="A171">
        <f t="shared" si="11"/>
        <v>14.799999999999963</v>
      </c>
      <c r="B171">
        <f t="shared" si="8"/>
        <v>213.50255523992752</v>
      </c>
      <c r="C171">
        <f>regressionssens!$AR$1*$A171</f>
        <v>11.639913194586915</v>
      </c>
      <c r="D171">
        <f>regressionssens!$AO$1*$A171</f>
        <v>19.630493283233704</v>
      </c>
      <c r="E171">
        <f t="shared" si="9"/>
        <v>236.78238162910134</v>
      </c>
      <c r="F171">
        <f t="shared" si="10"/>
        <v>174.24156867346011</v>
      </c>
      <c r="G171" s="5">
        <f>B171-regressions!AA$7</f>
        <v>209.78126664946257</v>
      </c>
      <c r="H171" s="5">
        <f>B171+regressions!AA$7</f>
        <v>217.22384383039247</v>
      </c>
      <c r="I171">
        <f>IF($A171&lt;=regressionssens!$L$2,$A171*regressionssens!$L$1,regressionssens!$L$1*regressionssens!$L$2+regressionssens!$L$3*($A171-regressionssens!$L$2))</f>
        <v>-47.84486212755602</v>
      </c>
      <c r="J171">
        <f>regressionssens!$J$1*A171+regressionssens!$J$2*A171^2</f>
        <v>-31.351497315872095</v>
      </c>
      <c r="K171">
        <f>regressionssens!$V$1*A171</f>
        <v>-14.805159153181112</v>
      </c>
      <c r="L171">
        <f>regressionssens!$N$1*A171^2</f>
        <v>-48.315248125481141</v>
      </c>
      <c r="M171" s="20">
        <f>regressionssens!$R$1*A171^2+regressionssens!$R$2*A171^6</f>
        <v>435.86668683314235</v>
      </c>
      <c r="N171">
        <f>regressionssens!$P$1*A171^2+regressionssens!$P$2*A171^7</f>
        <v>692.18936142124574</v>
      </c>
      <c r="O171">
        <f>regressionssens!$T$2+regressionssens!$T$1*EXP(A171)</f>
        <v>-23502.09247534586</v>
      </c>
      <c r="P171" s="20">
        <f>(1-EXP(-2*regressionssens!X$1*graphsens!A171))/2/EXP(-regressionssens!X$1*A171)</f>
        <v>-316.65738756284367</v>
      </c>
      <c r="Q171" s="5"/>
      <c r="AT171" s="33"/>
      <c r="AW171" s="33"/>
      <c r="AZ171" s="33"/>
    </row>
    <row r="172" spans="1:52" x14ac:dyDescent="0.35">
      <c r="A172">
        <f t="shared" si="11"/>
        <v>14.899999999999963</v>
      </c>
      <c r="B172">
        <f t="shared" si="8"/>
        <v>224.38569947312209</v>
      </c>
      <c r="C172">
        <f>regressionssens!$AR$1*$A172</f>
        <v>11.718561256712503</v>
      </c>
      <c r="D172">
        <f>regressionssens!$AO$1*$A172</f>
        <v>19.763131751363662</v>
      </c>
      <c r="E172">
        <f t="shared" si="9"/>
        <v>247.8228219865471</v>
      </c>
      <c r="F172">
        <f t="shared" si="10"/>
        <v>184.85943597039477</v>
      </c>
      <c r="G172" s="5">
        <f>B172-regressions!AA$7</f>
        <v>220.66441088265714</v>
      </c>
      <c r="H172" s="5">
        <f>B172+regressions!AA$7</f>
        <v>228.10698806358704</v>
      </c>
      <c r="I172">
        <f>IF($A172&lt;=regressionssens!$L$2,$A172*regressionssens!$L$1,regressionssens!$L$1*regressionssens!$L$2+regressionssens!$L$3*($A172-regressionssens!$L$2))</f>
        <v>-49.627602544383514</v>
      </c>
      <c r="J172">
        <f>regressionssens!$J$1*A172+regressionssens!$J$2*A172^2</f>
        <v>-31.720698683523842</v>
      </c>
      <c r="K172">
        <f>regressionssens!$V$1*A172</f>
        <v>-14.905194012324229</v>
      </c>
      <c r="L172">
        <f>regressionssens!$N$1*A172^2</f>
        <v>-48.970362656766198</v>
      </c>
      <c r="M172" s="20">
        <f>regressionssens!$R$1*A172^2+regressionssens!$R$2*A172^6</f>
        <v>455.54542484304818</v>
      </c>
      <c r="N172">
        <f>regressionssens!$P$1*A172^2+regressionssens!$P$2*A172^7</f>
        <v>727.52887050444599</v>
      </c>
      <c r="O172">
        <f>regressionssens!$T$2+regressionssens!$T$1*EXP(A172)</f>
        <v>-25973.830041191897</v>
      </c>
      <c r="P172" s="20">
        <f>(1-EXP(-2*regressionssens!X$1*graphsens!A172))/2/EXP(-regressionssens!X$1*A172)</f>
        <v>-330.76502757009825</v>
      </c>
      <c r="Q172" s="5"/>
      <c r="AT172" s="33"/>
      <c r="AW172" s="33"/>
      <c r="AZ172" s="33"/>
    </row>
    <row r="173" spans="1:52" x14ac:dyDescent="0.35">
      <c r="A173">
        <f t="shared" si="11"/>
        <v>14.999999999999963</v>
      </c>
      <c r="B173">
        <f t="shared" si="8"/>
        <v>235.69712582076065</v>
      </c>
      <c r="C173">
        <f>regressionssens!$AR$1*$A173</f>
        <v>11.797209318838089</v>
      </c>
      <c r="D173">
        <f>regressionssens!$AO$1*$A173</f>
        <v>19.89577021949362</v>
      </c>
      <c r="E173">
        <f t="shared" si="9"/>
        <v>259.29154445843682</v>
      </c>
      <c r="F173">
        <f t="shared" si="10"/>
        <v>195.90558538177339</v>
      </c>
      <c r="G173" s="5">
        <f>B173-regressions!AA$7</f>
        <v>231.9758372302957</v>
      </c>
      <c r="H173" s="5">
        <f>B173+regressions!AA$7</f>
        <v>239.4184144112256</v>
      </c>
      <c r="I173">
        <f>IF($A173&lt;=regressionssens!$L$2,$A173*regressionssens!$L$1,regressionssens!$L$1*regressionssens!$L$2+regressionssens!$L$3*($A173-regressionssens!$L$2))</f>
        <v>-51.410342961211008</v>
      </c>
      <c r="J173">
        <f>regressionssens!$J$1*A173+regressionssens!$J$2*A173^2</f>
        <v>-32.092012358911532</v>
      </c>
      <c r="K173">
        <f>regressionssens!$V$1*A173</f>
        <v>-15.005228871467343</v>
      </c>
      <c r="L173">
        <f>regressionssens!$N$1*A173^2</f>
        <v>-49.629888733716477</v>
      </c>
      <c r="M173" s="20">
        <f>regressionssens!$R$1*A173^2+regressionssens!$R$2*A173^6</f>
        <v>475.91863512703446</v>
      </c>
      <c r="N173">
        <f>regressionssens!$P$1*A173^2+regressionssens!$P$2*A173^7</f>
        <v>764.34636503740512</v>
      </c>
      <c r="O173">
        <f>regressionssens!$T$2+regressionssens!$T$1*EXP(A173)</f>
        <v>-28705.522516080029</v>
      </c>
      <c r="P173" s="20">
        <f>(1-EXP(-2*regressionssens!X$1*graphsens!A173))/2/EXP(-regressionssens!X$1*A173)</f>
        <v>-345.50118159062322</v>
      </c>
      <c r="Q173" s="5"/>
      <c r="AT173" s="33"/>
      <c r="AW173" s="33"/>
      <c r="AZ173" s="33"/>
    </row>
    <row r="174" spans="1:52" x14ac:dyDescent="0.35">
      <c r="A174">
        <f t="shared" si="11"/>
        <v>15.099999999999962</v>
      </c>
      <c r="B174">
        <f t="shared" si="8"/>
        <v>247.44900737712894</v>
      </c>
      <c r="C174">
        <f>regressionssens!$AR$1*$A174</f>
        <v>11.875857380963676</v>
      </c>
      <c r="D174">
        <f>regressionssens!$AO$1*$A174</f>
        <v>20.028408687623575</v>
      </c>
      <c r="E174">
        <f t="shared" si="9"/>
        <v>271.20072213905627</v>
      </c>
      <c r="F174">
        <f t="shared" si="10"/>
        <v>207.39219000188177</v>
      </c>
      <c r="G174" s="5">
        <f>B174-regressions!AA$7</f>
        <v>243.72771878666398</v>
      </c>
      <c r="H174" s="5">
        <f>B174+regressions!AA$7</f>
        <v>251.17029596759389</v>
      </c>
      <c r="I174">
        <f>IF($A174&lt;=regressionssens!$L$2,$A174*regressionssens!$L$1,regressionssens!$L$1*regressionssens!$L$2+regressionssens!$L$3*($A174-regressionssens!$L$2))</f>
        <v>-53.193083378038509</v>
      </c>
      <c r="J174">
        <f>regressionssens!$J$1*A174+regressionssens!$J$2*A174^2</f>
        <v>-32.465438342035171</v>
      </c>
      <c r="K174">
        <f>regressionssens!$V$1*A174</f>
        <v>-15.10526373061046</v>
      </c>
      <c r="L174">
        <f>regressionssens!$N$1*A174^2</f>
        <v>-50.293826356331969</v>
      </c>
      <c r="M174" s="20">
        <f>regressionssens!$R$1*A174^2+regressionssens!$R$2*A174^6</f>
        <v>497.00530209306271</v>
      </c>
      <c r="N174">
        <f>regressionssens!$P$1*A174^2+regressionssens!$P$2*A174^7</f>
        <v>802.69228318435762</v>
      </c>
      <c r="O174">
        <f>regressionssens!$T$2+regressionssens!$T$1*EXP(A174)</f>
        <v>-31724.509596452484</v>
      </c>
      <c r="P174" s="20">
        <f>(1-EXP(-2*regressionssens!X$1*graphsens!A174))/2/EXP(-regressionssens!X$1*A174)</f>
        <v>-360.89385101069462</v>
      </c>
      <c r="Q174" s="5"/>
      <c r="AT174" s="33"/>
      <c r="AW174" s="33"/>
      <c r="AZ174" s="33"/>
    </row>
    <row r="175" spans="1:52" x14ac:dyDescent="0.35">
      <c r="A175">
        <f t="shared" si="11"/>
        <v>15.199999999999962</v>
      </c>
      <c r="B175">
        <f t="shared" si="8"/>
        <v>259.65366724761134</v>
      </c>
      <c r="C175">
        <f>regressionssens!$AR$1*$A175</f>
        <v>11.954505443089264</v>
      </c>
      <c r="D175">
        <f>regressionssens!$AO$1*$A175</f>
        <v>20.161047155753533</v>
      </c>
      <c r="E175">
        <f t="shared" si="9"/>
        <v>283.56267813378986</v>
      </c>
      <c r="F175">
        <f t="shared" si="10"/>
        <v>219.33157293610427</v>
      </c>
      <c r="G175" s="5">
        <f>B175-regressions!AA$7</f>
        <v>255.93237865714639</v>
      </c>
      <c r="H175" s="5">
        <f>B175+regressions!AA$7</f>
        <v>263.37495583807629</v>
      </c>
      <c r="I175">
        <f>IF($A175&lt;=regressionssens!$L$2,$A175*regressionssens!$L$1,regressionssens!$L$1*regressionssens!$L$2+regressionssens!$L$3*($A175-regressionssens!$L$2))</f>
        <v>-54.975823794866002</v>
      </c>
      <c r="J175">
        <f>regressionssens!$J$1*A175+regressionssens!$J$2*A175^2</f>
        <v>-32.840976632894765</v>
      </c>
      <c r="K175">
        <f>regressionssens!$V$1*A175</f>
        <v>-15.205298589753575</v>
      </c>
      <c r="L175">
        <f>regressionssens!$N$1*A175^2</f>
        <v>-50.96217552461269</v>
      </c>
      <c r="M175" s="20">
        <f>regressionssens!$R$1*A175^2+regressionssens!$R$2*A175^6</f>
        <v>518.82479365240169</v>
      </c>
      <c r="N175">
        <f>regressionssens!$P$1*A175^2+regressionssens!$P$2*A175^7</f>
        <v>842.61842618037122</v>
      </c>
      <c r="O175">
        <f>regressionssens!$T$2+regressionssens!$T$1*EXP(A175)</f>
        <v>-35061.006319726228</v>
      </c>
      <c r="P175" s="20">
        <f>(1-EXP(-2*regressionssens!X$1*graphsens!A175))/2/EXP(-regressionssens!X$1*A175)</f>
        <v>-376.97228471585277</v>
      </c>
      <c r="Q175" s="5"/>
      <c r="AT175" s="33"/>
      <c r="AW175" s="33"/>
      <c r="AZ175" s="33"/>
    </row>
    <row r="176" spans="1:52" x14ac:dyDescent="0.35">
      <c r="A176">
        <f t="shared" si="11"/>
        <v>15.299999999999962</v>
      </c>
      <c r="B176">
        <f t="shared" si="8"/>
        <v>272.32356499547711</v>
      </c>
      <c r="C176">
        <f>regressionssens!$AR$1*$A176</f>
        <v>12.033153505214852</v>
      </c>
      <c r="D176">
        <f>regressionssens!$AO$1*$A176</f>
        <v>20.293685623883491</v>
      </c>
      <c r="E176">
        <f t="shared" si="9"/>
        <v>296.3898720059068</v>
      </c>
      <c r="F176">
        <f t="shared" si="10"/>
        <v>231.73619374771013</v>
      </c>
      <c r="G176" s="5">
        <f>B176-regressions!AA$7</f>
        <v>268.60227640501216</v>
      </c>
      <c r="H176" s="5">
        <f>B176+regressions!AA$7</f>
        <v>276.04485358594206</v>
      </c>
      <c r="I176">
        <f>IF($A176&lt;=regressionssens!$L$2,$A176*regressionssens!$L$1,regressionssens!$L$1*regressionssens!$L$2+regressionssens!$L$3*($A176-regressionssens!$L$2))</f>
        <v>-56.758564211693496</v>
      </c>
      <c r="J176">
        <f>regressionssens!$J$1*A176+regressionssens!$J$2*A176^2</f>
        <v>-33.218627231490309</v>
      </c>
      <c r="K176">
        <f>regressionssens!$V$1*A176</f>
        <v>-15.30533344889669</v>
      </c>
      <c r="L176">
        <f>regressionssens!$N$1*A176^2</f>
        <v>-51.634936238558623</v>
      </c>
      <c r="M176" s="20">
        <f>regressionssens!$R$1*A176^2+regressionssens!$R$2*A176^6</f>
        <v>541.39686634997315</v>
      </c>
      <c r="N176">
        <f>regressionssens!$P$1*A176^2+regressionssens!$P$2*A176^7</f>
        <v>884.17798577409258</v>
      </c>
      <c r="O176">
        <f>regressionssens!$T$2+regressionssens!$T$1*EXP(A176)</f>
        <v>-38748.405466543067</v>
      </c>
      <c r="P176" s="20">
        <f>(1-EXP(-2*regressionssens!X$1*graphsens!A176))/2/EXP(-regressionssens!X$1*A176)</f>
        <v>-393.76703466913108</v>
      </c>
      <c r="Q176" s="5"/>
      <c r="AT176" s="33"/>
      <c r="AW176" s="33"/>
      <c r="AZ176" s="33"/>
    </row>
    <row r="177" spans="1:52" x14ac:dyDescent="0.35">
      <c r="A177">
        <f t="shared" si="11"/>
        <v>15.399999999999961</v>
      </c>
      <c r="B177">
        <f t="shared" si="8"/>
        <v>285.47128115901393</v>
      </c>
      <c r="C177">
        <f>regressionssens!$AR$1*$A177</f>
        <v>12.111801567340438</v>
      </c>
      <c r="D177">
        <f>regressionssens!$AO$1*$A177</f>
        <v>20.426324092013449</v>
      </c>
      <c r="E177">
        <f t="shared" si="9"/>
        <v>309.69488429369483</v>
      </c>
      <c r="F177">
        <f t="shared" si="10"/>
        <v>244.61863297498704</v>
      </c>
      <c r="G177" s="5">
        <f>B177-regressions!AA$7</f>
        <v>281.74999256854898</v>
      </c>
      <c r="H177" s="5">
        <f>B177+regressions!AA$7</f>
        <v>289.19256974947888</v>
      </c>
      <c r="I177">
        <f>IF($A177&lt;=regressionssens!$L$2,$A177*regressionssens!$L$1,regressionssens!$L$1*regressionssens!$L$2+regressionssens!$L$3*($A177-regressionssens!$L$2))</f>
        <v>-58.54130462852099</v>
      </c>
      <c r="J177">
        <f>regressionssens!$J$1*A177+regressionssens!$J$2*A177^2</f>
        <v>-33.598390137821795</v>
      </c>
      <c r="K177">
        <f>regressionssens!$V$1*A177</f>
        <v>-15.405368308039806</v>
      </c>
      <c r="L177">
        <f>regressionssens!$N$1*A177^2</f>
        <v>-52.312108498169771</v>
      </c>
      <c r="M177" s="20">
        <f>regressionssens!$R$1*A177^2+regressionssens!$R$2*A177^6</f>
        <v>564.74167052878647</v>
      </c>
      <c r="N177">
        <f>regressionssens!$P$1*A177^2+regressionssens!$P$2*A177^7</f>
        <v>927.42557203638842</v>
      </c>
      <c r="O177">
        <f>regressionssens!$T$2+regressionssens!$T$1*EXP(A177)</f>
        <v>-42823.611766941976</v>
      </c>
      <c r="P177" s="20">
        <f>(1-EXP(-2*regressionssens!X$1*graphsens!A177))/2/EXP(-regressionssens!X$1*A177)</f>
        <v>-411.31001396537124</v>
      </c>
      <c r="Q177" s="5"/>
      <c r="AT177" s="33"/>
      <c r="AW177" s="33"/>
      <c r="AZ177" s="33"/>
    </row>
    <row r="178" spans="1:52" x14ac:dyDescent="0.35">
      <c r="A178">
        <f t="shared" si="11"/>
        <v>15.499999999999961</v>
      </c>
      <c r="B178">
        <f t="shared" si="8"/>
        <v>299.10949963404829</v>
      </c>
      <c r="C178">
        <f>regressionssens!$AR$1*$A178</f>
        <v>12.190449629466025</v>
      </c>
      <c r="D178">
        <f>regressionssens!$AO$1*$A178</f>
        <v>20.558962560143407</v>
      </c>
      <c r="E178">
        <f t="shared" si="9"/>
        <v>323.49039889298035</v>
      </c>
      <c r="F178">
        <f t="shared" si="10"/>
        <v>257.99157451376146</v>
      </c>
      <c r="G178" s="5">
        <f>B178-regressions!AA$7</f>
        <v>295.38821104358334</v>
      </c>
      <c r="H178" s="5">
        <f>B178+regressions!AA$7</f>
        <v>302.83078822451324</v>
      </c>
      <c r="I178">
        <f>IF($A178&lt;=regressionssens!$L$2,$A178*regressionssens!$L$1,regressionssens!$L$1*regressionssens!$L$2+regressionssens!$L$3*($A178-regressionssens!$L$2))</f>
        <v>-60.324045045348484</v>
      </c>
      <c r="J178">
        <f>regressionssens!$J$1*A178+regressionssens!$J$2*A178^2</f>
        <v>-33.980265351889244</v>
      </c>
      <c r="K178">
        <f>regressionssens!$V$1*A178</f>
        <v>-15.505403167182921</v>
      </c>
      <c r="L178">
        <f>regressionssens!$N$1*A178^2</f>
        <v>-52.993692303446139</v>
      </c>
      <c r="M178" s="20">
        <f>regressionssens!$R$1*A178^2+regressionssens!$R$2*A178^6</f>
        <v>588.87975552846319</v>
      </c>
      <c r="N178">
        <f>regressionssens!$P$1*A178^2+regressionssens!$P$2*A178^7</f>
        <v>972.41724153730252</v>
      </c>
      <c r="O178">
        <f>regressionssens!$T$2+regressionssens!$T$1*EXP(A178)</f>
        <v>-47327.4112553015</v>
      </c>
      <c r="P178" s="20">
        <f>(1-EXP(-2*regressionssens!X$1*graphsens!A178))/2/EXP(-regressionssens!X$1*A178)</f>
        <v>-429.63455747193552</v>
      </c>
      <c r="Q178" s="5"/>
      <c r="AT178" s="33"/>
      <c r="AW178" s="33"/>
      <c r="AZ178" s="33"/>
    </row>
    <row r="179" spans="1:52" x14ac:dyDescent="0.35">
      <c r="A179">
        <f t="shared" si="11"/>
        <v>15.599999999999961</v>
      </c>
      <c r="B179">
        <f t="shared" si="8"/>
        <v>313.25098769556803</v>
      </c>
      <c r="C179">
        <f>regressionssens!$AR$1*$A179</f>
        <v>12.269097691591613</v>
      </c>
      <c r="D179">
        <f>regressionssens!$AO$1*$A179</f>
        <v>20.691601028273361</v>
      </c>
      <c r="E179">
        <f t="shared" si="9"/>
        <v>337.78918307875125</v>
      </c>
      <c r="F179">
        <f t="shared" si="10"/>
        <v>271.86778563902129</v>
      </c>
      <c r="G179" s="5">
        <f>B179-regressions!AA$7</f>
        <v>309.52969910510308</v>
      </c>
      <c r="H179" s="5">
        <f>B179+regressions!AA$7</f>
        <v>316.97227628603298</v>
      </c>
      <c r="I179">
        <f>IF($A179&lt;=regressionssens!$L$2,$A179*regressionssens!$L$1,regressionssens!$L$1*regressionssens!$L$2+regressionssens!$L$3*($A179-regressionssens!$L$2))</f>
        <v>-62.106785462175978</v>
      </c>
      <c r="J179">
        <f>regressionssens!$J$1*A179+regressionssens!$J$2*A179^2</f>
        <v>-34.364252873692635</v>
      </c>
      <c r="K179">
        <f>regressionssens!$V$1*A179</f>
        <v>-15.605438026326036</v>
      </c>
      <c r="L179">
        <f>regressionssens!$N$1*A179^2</f>
        <v>-53.679687654387735</v>
      </c>
      <c r="M179" s="20">
        <f>regressionssens!$R$1*A179^2+regressionssens!$R$2*A179^6</f>
        <v>613.83207491784776</v>
      </c>
      <c r="N179">
        <f>regressionssens!$P$1*A179^2+regressionssens!$P$2*A179^7</f>
        <v>1019.2105258937481</v>
      </c>
      <c r="O179">
        <f>regressionssens!$T$2+regressionssens!$T$1*EXP(A179)</f>
        <v>-52304.879470680433</v>
      </c>
      <c r="P179" s="20">
        <f>(1-EXP(-2*regressionssens!X$1*graphsens!A179))/2/EXP(-regressionssens!X$1*A179)</f>
        <v>-448.77548517104896</v>
      </c>
      <c r="Q179" s="5"/>
      <c r="AT179" s="33"/>
      <c r="AW179" s="33"/>
      <c r="AZ179" s="33"/>
    </row>
    <row r="180" spans="1:52" x14ac:dyDescent="0.35">
      <c r="A180">
        <f t="shared" si="11"/>
        <v>15.69999999999996</v>
      </c>
      <c r="B180">
        <f t="shared" si="8"/>
        <v>327.90857340861095</v>
      </c>
      <c r="C180">
        <f>regressionssens!$AR$1*$A180</f>
        <v>12.3477457537172</v>
      </c>
      <c r="D180">
        <f>regressionssens!$AO$1*$A180</f>
        <v>20.824239496403319</v>
      </c>
      <c r="E180">
        <f t="shared" si="9"/>
        <v>352.60406491604533</v>
      </c>
      <c r="F180">
        <f t="shared" si="10"/>
        <v>286.2600944158043</v>
      </c>
      <c r="G180" s="5">
        <f>B180-regressions!AA$7</f>
        <v>324.187284818146</v>
      </c>
      <c r="H180" s="5">
        <f>B180+regressions!AA$7</f>
        <v>331.6298619990759</v>
      </c>
      <c r="I180">
        <f>IF($A180&lt;=regressionssens!$L$2,$A180*regressionssens!$L$1,regressionssens!$L$1*regressionssens!$L$2+regressionssens!$L$3*($A180-regressionssens!$L$2))</f>
        <v>-63.889525879003472</v>
      </c>
      <c r="J180">
        <f>regressionssens!$J$1*A180+regressionssens!$J$2*A180^2</f>
        <v>-34.750352703231975</v>
      </c>
      <c r="K180">
        <f>regressionssens!$V$1*A180</f>
        <v>-15.705472885469153</v>
      </c>
      <c r="L180">
        <f>regressionssens!$N$1*A180^2</f>
        <v>-54.370094550994544</v>
      </c>
      <c r="M180" s="20">
        <f>regressionssens!$R$1*A180^2+regressionssens!$R$2*A180^6</f>
        <v>639.61999176170889</v>
      </c>
      <c r="N180">
        <f>regressionssens!$P$1*A180^2+regressionssens!$P$2*A180^7</f>
        <v>1067.8644606903656</v>
      </c>
      <c r="O180">
        <f>regressionssens!$T$2+regressionssens!$T$1*EXP(A180)</f>
        <v>-57805.83258796313</v>
      </c>
      <c r="P180" s="20">
        <f>(1-EXP(-2*regressionssens!X$1*graphsens!A180))/2/EXP(-regressionssens!X$1*A180)</f>
        <v>-468.76916832413025</v>
      </c>
      <c r="Q180" s="5"/>
      <c r="AT180" s="33"/>
      <c r="AW180" s="33"/>
      <c r="AZ180" s="33"/>
    </row>
    <row r="181" spans="1:52" x14ac:dyDescent="0.35">
      <c r="A181">
        <f t="shared" si="11"/>
        <v>15.79999999999996</v>
      </c>
      <c r="B181">
        <f t="shared" si="8"/>
        <v>343.09512015256394</v>
      </c>
      <c r="C181">
        <f>regressionssens!$AR$1*$A181</f>
        <v>12.426393815842786</v>
      </c>
      <c r="D181">
        <f>regressionssens!$AO$1*$A181</f>
        <v>20.956877964533277</v>
      </c>
      <c r="E181">
        <f t="shared" si="9"/>
        <v>367.94790778424954</v>
      </c>
      <c r="F181">
        <f t="shared" si="10"/>
        <v>301.18136422349738</v>
      </c>
      <c r="G181" s="5">
        <f>B181-regressions!AA$7</f>
        <v>339.37383156209899</v>
      </c>
      <c r="H181" s="5">
        <f>B181+regressions!AA$7</f>
        <v>346.81640874302889</v>
      </c>
      <c r="I181">
        <f>IF($A181&lt;=regressionssens!$L$2,$A181*regressionssens!$L$1,regressionssens!$L$1*regressionssens!$L$2+regressionssens!$L$3*($A181-regressionssens!$L$2))</f>
        <v>-65.67226629583098</v>
      </c>
      <c r="J181">
        <f>regressionssens!$J$1*A181+regressionssens!$J$2*A181^2</f>
        <v>-35.138564840507271</v>
      </c>
      <c r="K181">
        <f>regressionssens!$V$1*A181</f>
        <v>-15.805507744612267</v>
      </c>
      <c r="L181">
        <f>regressionssens!$N$1*A181^2</f>
        <v>-55.064912993266574</v>
      </c>
      <c r="M181" s="20">
        <f>regressionssens!$R$1*A181^2+regressionssens!$R$2*A181^6</f>
        <v>666.26528392152807</v>
      </c>
      <c r="N181">
        <f>regressionssens!$P$1*A181^2+regressionssens!$P$2*A181^7</f>
        <v>1118.4396147759621</v>
      </c>
      <c r="O181">
        <f>regressionssens!$T$2+regressionssens!$T$1*EXP(A181)</f>
        <v>-63885.325994881532</v>
      </c>
      <c r="P181" s="20">
        <f>(1-EXP(-2*regressionssens!X$1*graphsens!A181))/2/EXP(-regressionssens!X$1*A181)</f>
        <v>-489.65359858383607</v>
      </c>
      <c r="Q181" s="5"/>
      <c r="AT181" s="33"/>
      <c r="AW181" s="33"/>
      <c r="AZ181" s="33"/>
    </row>
    <row r="182" spans="1:52" x14ac:dyDescent="0.35">
      <c r="A182">
        <f t="shared" si="11"/>
        <v>15.899999999999959</v>
      </c>
      <c r="B182">
        <f t="shared" si="8"/>
        <v>358.82349795428053</v>
      </c>
      <c r="C182">
        <f>regressionssens!$AR$1*$A182</f>
        <v>12.505041877968374</v>
      </c>
      <c r="D182">
        <f>regressionssens!$AO$1*$A182</f>
        <v>21.089516432663235</v>
      </c>
      <c r="E182">
        <f t="shared" si="9"/>
        <v>383.83358171021729</v>
      </c>
      <c r="F182">
        <f t="shared" si="10"/>
        <v>316.64446508895406</v>
      </c>
      <c r="G182" s="5">
        <f>B182-regressions!AA$7</f>
        <v>355.10220936381558</v>
      </c>
      <c r="H182" s="5">
        <f>B182+regressions!AA$7</f>
        <v>362.54478654474548</v>
      </c>
      <c r="I182">
        <f>IF($A182&lt;=regressionssens!$L$2,$A182*regressionssens!$L$1,regressionssens!$L$1*regressionssens!$L$2+regressionssens!$L$3*($A182-regressionssens!$L$2))</f>
        <v>-67.455006712658474</v>
      </c>
      <c r="J182">
        <f>regressionssens!$J$1*A182+regressionssens!$J$2*A182^2</f>
        <v>-35.528889285518517</v>
      </c>
      <c r="K182">
        <f>regressionssens!$V$1*A182</f>
        <v>-15.905542603755384</v>
      </c>
      <c r="L182">
        <f>regressionssens!$N$1*A182^2</f>
        <v>-55.764142981203825</v>
      </c>
      <c r="M182" s="20">
        <f>regressionssens!$R$1*A182^2+regressionssens!$R$2*A182^6</f>
        <v>693.7901493903795</v>
      </c>
      <c r="N182">
        <f>regressionssens!$P$1*A182^2+regressionssens!$P$2*A182^7</f>
        <v>1170.9981199379647</v>
      </c>
      <c r="O182">
        <f>regressionssens!$T$2+regressionssens!$T$1*EXP(A182)</f>
        <v>-70604.20530484039</v>
      </c>
      <c r="P182" s="20">
        <f>(1-EXP(-2*regressionssens!X$1*graphsens!A182))/2/EXP(-regressionssens!X$1*A182)</f>
        <v>-511.46846018514765</v>
      </c>
      <c r="Q182" s="5"/>
      <c r="AT182" s="33"/>
      <c r="AW182" s="33"/>
      <c r="AZ182" s="33"/>
    </row>
    <row r="183" spans="1:52" x14ac:dyDescent="0.35">
      <c r="A183">
        <f t="shared" si="11"/>
        <v>15.999999999999959</v>
      </c>
      <c r="B183">
        <f t="shared" si="8"/>
        <v>375.10655129367143</v>
      </c>
      <c r="C183">
        <f>regressionssens!$AR$1*$A183</f>
        <v>12.583689940093961</v>
      </c>
      <c r="D183">
        <f>regressionssens!$AO$1*$A183</f>
        <v>21.222154900793193</v>
      </c>
      <c r="E183">
        <f t="shared" si="9"/>
        <v>400.27393117385935</v>
      </c>
      <c r="F183">
        <f t="shared" si="10"/>
        <v>332.66224149208506</v>
      </c>
      <c r="G183" s="5">
        <f>B183-regressions!AA$7</f>
        <v>371.38526270320648</v>
      </c>
      <c r="H183" s="5">
        <f>B183+regressions!AA$7</f>
        <v>378.82783988413638</v>
      </c>
      <c r="I183">
        <f>IF($A183&lt;=regressionssens!$L$2,$A183*regressionssens!$L$1,regressionssens!$L$1*regressionssens!$L$2+regressionssens!$L$3*($A183-regressionssens!$L$2))</f>
        <v>-69.237747129485967</v>
      </c>
      <c r="J183">
        <f>regressionssens!$J$1*A183+regressionssens!$J$2*A183^2</f>
        <v>-35.921326038265704</v>
      </c>
      <c r="K183">
        <f>regressionssens!$V$1*A183</f>
        <v>-16.005577462898497</v>
      </c>
      <c r="L183">
        <f>regressionssens!$N$1*A183^2</f>
        <v>-56.46778451480629</v>
      </c>
      <c r="M183" s="20">
        <f>regressionssens!$R$1*A183^2+regressionssens!$R$2*A183^6</f>
        <v>722.21721166189468</v>
      </c>
      <c r="N183">
        <f>regressionssens!$P$1*A183^2+regressionssens!$P$2*A183^7</f>
        <v>1225.603700957297</v>
      </c>
      <c r="O183">
        <f>regressionssens!$T$2+regressionssens!$T$1*EXP(A183)</f>
        <v>-78029.715320267074</v>
      </c>
      <c r="P183" s="20">
        <f>(1-EXP(-2*regressionssens!X$1*graphsens!A183))/2/EXP(-regressionssens!X$1*A183)</f>
        <v>-534.25520535266867</v>
      </c>
      <c r="Q183" s="5"/>
      <c r="AT183" s="33"/>
      <c r="AW183" s="33"/>
      <c r="AZ183" s="33"/>
    </row>
    <row r="184" spans="1:52" x14ac:dyDescent="0.35">
      <c r="A184">
        <f t="shared" si="11"/>
        <v>16.099999999999959</v>
      </c>
      <c r="B184">
        <f t="shared" si="8"/>
        <v>391.95706301036017</v>
      </c>
      <c r="C184">
        <f>regressionssens!$AR$1*$A184</f>
        <v>12.662338002219549</v>
      </c>
      <c r="D184">
        <f>regressionssens!$AO$1*$A184</f>
        <v>21.354793368923151</v>
      </c>
      <c r="E184">
        <f t="shared" si="9"/>
        <v>417.28173901479926</v>
      </c>
      <c r="F184">
        <f t="shared" si="10"/>
        <v>349.24747627251389</v>
      </c>
      <c r="G184" s="5">
        <f>B184-regressions!AA$7</f>
        <v>388.23577441989522</v>
      </c>
      <c r="H184" s="5">
        <f>B184+regressions!AA$7</f>
        <v>395.67835160082512</v>
      </c>
      <c r="I184">
        <f>IF($A184&lt;=regressionssens!$L$2,$A184*regressionssens!$L$1,regressionssens!$L$1*regressionssens!$L$2+regressionssens!$L$3*($A184-regressionssens!$L$2))</f>
        <v>-71.020487546313461</v>
      </c>
      <c r="J184">
        <f>regressionssens!$J$1*A184+regressionssens!$J$2*A184^2</f>
        <v>-36.315875098748847</v>
      </c>
      <c r="K184">
        <f>regressionssens!$V$1*A184</f>
        <v>-16.105612322041615</v>
      </c>
      <c r="L184">
        <f>regressionssens!$N$1*A184^2</f>
        <v>-57.175837594073982</v>
      </c>
      <c r="M184" s="20">
        <f>regressionssens!$R$1*A184^2+regressionssens!$R$2*A184^6</f>
        <v>751.56952513331976</v>
      </c>
      <c r="N184">
        <f>regressionssens!$P$1*A184^2+regressionssens!$P$2*A184^7</f>
        <v>1282.3217060461184</v>
      </c>
      <c r="O184">
        <f>regressionssens!$T$2+regressionssens!$T$1*EXP(A184)</f>
        <v>-86236.173041196118</v>
      </c>
      <c r="P184" s="20">
        <f>(1-EXP(-2*regressionssens!X$1*graphsens!A184))/2/EXP(-regressionssens!X$1*A184)</f>
        <v>-558.05713306743053</v>
      </c>
      <c r="Q184" s="5"/>
      <c r="AT184" s="33"/>
      <c r="AW184" s="33"/>
      <c r="AZ184" s="33"/>
    </row>
    <row r="185" spans="1:52" x14ac:dyDescent="0.35">
      <c r="A185">
        <f t="shared" si="11"/>
        <v>16.19999999999996</v>
      </c>
      <c r="B185">
        <f t="shared" si="8"/>
        <v>409.38771390124163</v>
      </c>
      <c r="C185">
        <f>regressionssens!$AR$1*$A185</f>
        <v>12.740986064345137</v>
      </c>
      <c r="D185">
        <f>regressionssens!$AO$1*$A185</f>
        <v>21.487431837053109</v>
      </c>
      <c r="E185">
        <f t="shared" si="9"/>
        <v>434.86968602993193</v>
      </c>
      <c r="F185">
        <f t="shared" si="10"/>
        <v>366.41285022713544</v>
      </c>
      <c r="G185" s="5">
        <f>B185-regressions!AA$7</f>
        <v>405.66642531077667</v>
      </c>
      <c r="H185" s="5">
        <f>B185+regressions!AA$7</f>
        <v>413.10900249170658</v>
      </c>
      <c r="I185">
        <f>IF($A185&lt;=regressionssens!$L$2,$A185*regressionssens!$L$1,regressionssens!$L$1*regressionssens!$L$2+regressionssens!$L$3*($A185-regressionssens!$L$2))</f>
        <v>-72.803227963140984</v>
      </c>
      <c r="J185">
        <f>regressionssens!$J$1*A185+regressionssens!$J$2*A185^2</f>
        <v>-36.712536466967947</v>
      </c>
      <c r="K185">
        <f>regressionssens!$V$1*A185</f>
        <v>-16.20564718118473</v>
      </c>
      <c r="L185">
        <f>regressionssens!$N$1*A185^2</f>
        <v>-57.888302219006896</v>
      </c>
      <c r="M185" s="20">
        <f>regressionssens!$R$1*A185^2+regressionssens!$R$2*A185^6</f>
        <v>781.87058054265867</v>
      </c>
      <c r="N185">
        <f>regressionssens!$P$1*A185^2+regressionssens!$P$2*A185^7</f>
        <v>1341.2191376708347</v>
      </c>
      <c r="O185">
        <f>regressionssens!$T$2+regressionssens!$T$1*EXP(A185)</f>
        <v>-95305.71145478441</v>
      </c>
      <c r="P185" s="20">
        <f>(1-EXP(-2*regressionssens!X$1*graphsens!A185))/2/EXP(-regressionssens!X$1*A185)</f>
        <v>-582.91947134287045</v>
      </c>
      <c r="Q185" s="5"/>
      <c r="AT185" s="33"/>
      <c r="AW185" s="33"/>
      <c r="AZ185" s="33"/>
    </row>
    <row r="186" spans="1:52" x14ac:dyDescent="0.35">
      <c r="A186">
        <f t="shared" si="11"/>
        <v>16.299999999999962</v>
      </c>
      <c r="B186">
        <f t="shared" si="8"/>
        <v>427.41103755598743</v>
      </c>
      <c r="C186">
        <f>regressionssens!$AR$1*$A186</f>
        <v>12.819634126470726</v>
      </c>
      <c r="D186">
        <f>regressionssens!$AO$1*$A186</f>
        <v>21.62007030518307</v>
      </c>
      <c r="E186">
        <f t="shared" si="9"/>
        <v>453.0503058089289</v>
      </c>
      <c r="F186">
        <f t="shared" si="10"/>
        <v>384.17089694562128</v>
      </c>
      <c r="G186" s="5">
        <f>B186-regressions!AA$7</f>
        <v>423.68974896552248</v>
      </c>
      <c r="H186" s="5">
        <f>B186+regressions!AA$7</f>
        <v>431.13232614645239</v>
      </c>
      <c r="I186">
        <f>IF($A186&lt;=regressionssens!$L$2,$A186*regressionssens!$L$1,regressionssens!$L$1*regressionssens!$L$2+regressionssens!$L$3*($A186-regressionssens!$L$2))</f>
        <v>-74.585968379968506</v>
      </c>
      <c r="J186">
        <f>regressionssens!$J$1*A186+regressionssens!$J$2*A186^2</f>
        <v>-37.111310142922996</v>
      </c>
      <c r="K186">
        <f>regressionssens!$V$1*A186</f>
        <v>-16.305682040327849</v>
      </c>
      <c r="L186">
        <f>regressionssens!$N$1*A186^2</f>
        <v>-58.605178389605037</v>
      </c>
      <c r="M186" s="20">
        <f>regressionssens!$R$1*A186^2+regressionssens!$R$2*A186^6</f>
        <v>813.14431043990578</v>
      </c>
      <c r="N186">
        <f>regressionssens!$P$1*A186^2+regressionssens!$P$2*A186^7</f>
        <v>1402.3646837628123</v>
      </c>
      <c r="O186">
        <f>regressionssens!$T$2+regressionssens!$T$1*EXP(A186)</f>
        <v>-105329.10154985216</v>
      </c>
      <c r="P186" s="20">
        <f>(1-EXP(-2*regressionssens!X$1*graphsens!A186))/2/EXP(-regressionssens!X$1*A186)</f>
        <v>-608.88946316632553</v>
      </c>
      <c r="Q186" s="5"/>
      <c r="AT186" s="33"/>
      <c r="AW186" s="33"/>
      <c r="AZ186" s="33"/>
    </row>
    <row r="187" spans="1:52" x14ac:dyDescent="0.35">
      <c r="A187">
        <f t="shared" si="11"/>
        <v>16.399999999999963</v>
      </c>
      <c r="B187">
        <f t="shared" si="8"/>
        <v>446.03936993025297</v>
      </c>
      <c r="C187">
        <f>regressionssens!$AR$1*$A187</f>
        <v>12.898282188596314</v>
      </c>
      <c r="D187">
        <f>regressionssens!$AO$1*$A187</f>
        <v>21.752708773313028</v>
      </c>
      <c r="E187">
        <f t="shared" si="9"/>
        <v>471.8359343074456</v>
      </c>
      <c r="F187">
        <f t="shared" si="10"/>
        <v>402.53395238362691</v>
      </c>
      <c r="G187" s="5">
        <f>B187-regressions!AA$7</f>
        <v>442.31808133978802</v>
      </c>
      <c r="H187" s="5">
        <f>B187+regressions!AA$7</f>
        <v>449.76065852071793</v>
      </c>
      <c r="I187">
        <f>IF($A187&lt;=regressionssens!$L$2,$A187*regressionssens!$L$1,regressionssens!$L$1*regressionssens!$L$2+regressionssens!$L$3*($A187-regressionssens!$L$2))</f>
        <v>-76.368708796796028</v>
      </c>
      <c r="J187">
        <f>regressionssens!$J$1*A187+regressionssens!$J$2*A187^2</f>
        <v>-37.512196126614</v>
      </c>
      <c r="K187">
        <f>regressionssens!$V$1*A187</f>
        <v>-16.405716899470967</v>
      </c>
      <c r="L187">
        <f>regressionssens!$N$1*A187^2</f>
        <v>-59.326466105868398</v>
      </c>
      <c r="M187" s="20">
        <f>regressionssens!$R$1*A187^2+regressionssens!$R$2*A187^6</f>
        <v>845.41509469236723</v>
      </c>
      <c r="N187">
        <f>regressionssens!$P$1*A187^2+regressionssens!$P$2*A187^7</f>
        <v>1465.8287493192151</v>
      </c>
      <c r="O187">
        <f>regressionssens!$T$2+regressionssens!$T$1*EXP(A187)</f>
        <v>-116406.66078344855</v>
      </c>
      <c r="P187" s="20">
        <f>(1-EXP(-2*regressionssens!X$1*graphsens!A187))/2/EXP(-regressionssens!X$1*A187)</f>
        <v>-636.0164562693418</v>
      </c>
      <c r="Q187" s="5"/>
      <c r="AT187" s="33"/>
      <c r="AW187" s="33"/>
      <c r="AZ187" s="33"/>
    </row>
    <row r="188" spans="1:52" x14ac:dyDescent="0.35">
      <c r="A188">
        <f t="shared" si="11"/>
        <v>16.499999999999964</v>
      </c>
      <c r="B188">
        <f t="shared" si="8"/>
        <v>465.28479310409676</v>
      </c>
      <c r="C188">
        <f>regressionssens!$AR$1*$A188</f>
        <v>12.976930250721903</v>
      </c>
      <c r="D188">
        <f>regressionssens!$AO$1*$A188</f>
        <v>21.885347241442989</v>
      </c>
      <c r="E188">
        <f t="shared" si="9"/>
        <v>491.23865360554055</v>
      </c>
      <c r="F188">
        <f t="shared" si="10"/>
        <v>421.51409862121079</v>
      </c>
      <c r="G188" s="5">
        <f>B188-regressions!AA$7</f>
        <v>461.56350451363181</v>
      </c>
      <c r="H188" s="5">
        <f>B188+regressions!AA$7</f>
        <v>469.00608169456171</v>
      </c>
      <c r="I188">
        <f>IF($A188&lt;=regressionssens!$L$2,$A188*regressionssens!$L$1,regressionssens!$L$1*regressionssens!$L$2+regressionssens!$L$3*($A188-regressionssens!$L$2))</f>
        <v>-78.151449213623565</v>
      </c>
      <c r="J188">
        <f>regressionssens!$J$1*A188+regressionssens!$J$2*A188^2</f>
        <v>-37.915194418040947</v>
      </c>
      <c r="K188">
        <f>regressionssens!$V$1*A188</f>
        <v>-16.505751758614082</v>
      </c>
      <c r="L188">
        <f>regressionssens!$N$1*A188^2</f>
        <v>-60.052165367796967</v>
      </c>
      <c r="M188" s="20">
        <f>regressionssens!$R$1*A188^2+regressionssens!$R$2*A188^6</f>
        <v>878.7077660240717</v>
      </c>
      <c r="N188">
        <f>regressionssens!$P$1*A188^2+regressionssens!$P$2*A188^7</f>
        <v>1531.6834883963893</v>
      </c>
      <c r="O188">
        <f>regressionssens!$T$2+regressionssens!$T$1*EXP(A188)</f>
        <v>-128649.25709167965</v>
      </c>
      <c r="P188" s="20">
        <f>(1-EXP(-2*regressionssens!X$1*graphsens!A188))/2/EXP(-regressionssens!X$1*A188)</f>
        <v>-664.35199689738602</v>
      </c>
      <c r="Q188" s="5"/>
      <c r="AT188" s="33"/>
      <c r="AW188" s="33"/>
      <c r="AZ188" s="33"/>
    </row>
    <row r="189" spans="1:52" x14ac:dyDescent="0.35">
      <c r="A189">
        <f t="shared" si="11"/>
        <v>16.599999999999966</v>
      </c>
      <c r="B189">
        <f t="shared" si="8"/>
        <v>485.15907261541088</v>
      </c>
      <c r="C189">
        <f>regressionssens!$AR$1*$A189</f>
        <v>13.055578312847491</v>
      </c>
      <c r="D189">
        <f>regressionssens!$AO$1*$A189</f>
        <v>22.017985709572947</v>
      </c>
      <c r="E189">
        <f t="shared" si="9"/>
        <v>511.27022924110588</v>
      </c>
      <c r="F189">
        <f t="shared" si="10"/>
        <v>441.123101196265</v>
      </c>
      <c r="G189" s="5">
        <f>B189-regressions!AA$7</f>
        <v>481.43778402494593</v>
      </c>
      <c r="H189" s="5">
        <f>B189+regressions!AA$7</f>
        <v>488.88036120587583</v>
      </c>
      <c r="I189">
        <f>IF($A189&lt;=regressionssens!$L$2,$A189*regressionssens!$L$1,regressionssens!$L$1*regressionssens!$L$2+regressionssens!$L$3*($A189-regressionssens!$L$2))</f>
        <v>-79.934189630451087</v>
      </c>
      <c r="J189">
        <f>regressionssens!$J$1*A189+regressionssens!$J$2*A189^2</f>
        <v>-38.32030501720385</v>
      </c>
      <c r="K189">
        <f>regressionssens!$V$1*A189</f>
        <v>-16.6057866177572</v>
      </c>
      <c r="L189">
        <f>regressionssens!$N$1*A189^2</f>
        <v>-60.78227617539077</v>
      </c>
      <c r="M189" s="20">
        <f>regressionssens!$R$1*A189^2+regressionssens!$R$2*A189^6</f>
        <v>913.04761558927009</v>
      </c>
      <c r="N189">
        <f>regressionssens!$P$1*A189^2+regressionssens!$P$2*A189^7</f>
        <v>1600.0028364982197</v>
      </c>
      <c r="O189">
        <f>regressionssens!$T$2+regressionssens!$T$1*EXP(A189)</f>
        <v>-142179.41849327699</v>
      </c>
      <c r="P189" s="20">
        <f>(1-EXP(-2*regressionssens!X$1*graphsens!A189))/2/EXP(-regressionssens!X$1*A189)</f>
        <v>-693.94992775713592</v>
      </c>
      <c r="Q189" s="5"/>
      <c r="AT189" s="33"/>
      <c r="AW189" s="33"/>
      <c r="AZ189" s="33"/>
    </row>
    <row r="190" spans="1:52" x14ac:dyDescent="0.35">
      <c r="A190">
        <f t="shared" si="11"/>
        <v>16.699999999999967</v>
      </c>
      <c r="B190">
        <f t="shared" si="8"/>
        <v>505.67358769438641</v>
      </c>
      <c r="C190">
        <f>regressionssens!$AR$1*$A190</f>
        <v>13.13422637497308</v>
      </c>
      <c r="D190">
        <f>regressionssens!$AO$1*$A190</f>
        <v>22.150624177702905</v>
      </c>
      <c r="E190">
        <f t="shared" si="9"/>
        <v>531.94204044433252</v>
      </c>
      <c r="F190">
        <f t="shared" si="10"/>
        <v>461.37233933898062</v>
      </c>
      <c r="G190" s="5">
        <f>B190-regressions!AA$7</f>
        <v>501.95229910392146</v>
      </c>
      <c r="H190" s="5">
        <f>B190+regressions!AA$7</f>
        <v>509.39487628485136</v>
      </c>
      <c r="I190">
        <f>IF($A190&lt;=regressionssens!$L$2,$A190*regressionssens!$L$1,regressionssens!$L$1*regressionssens!$L$2+regressionssens!$L$3*($A190-regressionssens!$L$2))</f>
        <v>-81.716930047278609</v>
      </c>
      <c r="J190">
        <f>regressionssens!$J$1*A190+regressionssens!$J$2*A190^2</f>
        <v>-38.727527924102702</v>
      </c>
      <c r="K190">
        <f>regressionssens!$V$1*A190</f>
        <v>-16.705821476900319</v>
      </c>
      <c r="L190">
        <f>regressionssens!$N$1*A190^2</f>
        <v>-61.516798528649787</v>
      </c>
      <c r="M190" s="20">
        <f>regressionssens!$R$1*A190^2+regressionssens!$R$2*A190^6</f>
        <v>948.46039858002018</v>
      </c>
      <c r="N190">
        <f>regressionssens!$P$1*A190^2+regressionssens!$P$2*A190^7</f>
        <v>1670.8625433618733</v>
      </c>
      <c r="O190">
        <f>regressionssens!$T$2+regressionssens!$T$1*EXP(A190)</f>
        <v>-157132.55939119202</v>
      </c>
      <c r="P190" s="20">
        <f>(1-EXP(-2*regressionssens!X$1*graphsens!A190))/2/EXP(-regressionssens!X$1*A190)</f>
        <v>-724.86649032746141</v>
      </c>
      <c r="Q190" s="5"/>
      <c r="AE190" s="58"/>
      <c r="AO190" s="1"/>
      <c r="AP190" s="1"/>
      <c r="AT190" s="33"/>
      <c r="AW190" s="33"/>
      <c r="AZ190" s="33"/>
    </row>
    <row r="191" spans="1:52" x14ac:dyDescent="0.35">
      <c r="A191">
        <f t="shared" si="11"/>
        <v>16.799999999999969</v>
      </c>
      <c r="B191">
        <f t="shared" si="8"/>
        <v>526.83925365459743</v>
      </c>
      <c r="C191">
        <f>regressionssens!$AR$1*$A191</f>
        <v>13.212874437098668</v>
      </c>
      <c r="D191">
        <f>regressionssens!$AO$1*$A191</f>
        <v>22.283262645832867</v>
      </c>
      <c r="E191">
        <f t="shared" si="9"/>
        <v>553.26500252879475</v>
      </c>
      <c r="F191">
        <f t="shared" si="10"/>
        <v>482.27272836293167</v>
      </c>
      <c r="G191" s="5">
        <f>B191-regressions!AA$7</f>
        <v>523.11796506413248</v>
      </c>
      <c r="H191" s="5">
        <f>B191+regressions!AA$7</f>
        <v>530.56054224506238</v>
      </c>
      <c r="I191">
        <f>IF($A191&lt;=regressionssens!$L$2,$A191*regressionssens!$L$1,regressionssens!$L$1*regressionssens!$L$2+regressionssens!$L$3*($A191-regressionssens!$L$2))</f>
        <v>-83.499670464106146</v>
      </c>
      <c r="J191">
        <f>regressionssens!$J$1*A191+regressionssens!$J$2*A191^2</f>
        <v>-39.136863138737496</v>
      </c>
      <c r="K191">
        <f>regressionssens!$V$1*A191</f>
        <v>-16.805856336043437</v>
      </c>
      <c r="L191">
        <f>regressionssens!$N$1*A191^2</f>
        <v>-62.255732427574017</v>
      </c>
      <c r="M191" s="20">
        <f>regressionssens!$R$1*A191^2+regressionssens!$R$2*A191^6</f>
        <v>984.97233986786546</v>
      </c>
      <c r="N191">
        <f>regressionssens!$P$1*A191^2+regressionssens!$P$2*A191^7</f>
        <v>1744.3402061433674</v>
      </c>
      <c r="O191">
        <f>regressionssens!$T$2+regressionssens!$T$1*EXP(A191)</f>
        <v>-173658.33584545532</v>
      </c>
      <c r="P191" s="20">
        <f>(1-EXP(-2*regressionssens!X$1*graphsens!A191))/2/EXP(-regressionssens!X$1*A191)</f>
        <v>-757.1604317285163</v>
      </c>
      <c r="Q191" s="5"/>
      <c r="AT191" s="33"/>
      <c r="AW191" s="33"/>
      <c r="AZ191" s="33"/>
    </row>
    <row r="192" spans="1:52" x14ac:dyDescent="0.35">
      <c r="A192">
        <f t="shared" si="11"/>
        <v>16.89999999999997</v>
      </c>
      <c r="B192">
        <f t="shared" si="8"/>
        <v>548.66643561842875</v>
      </c>
      <c r="C192">
        <f>regressionssens!$AR$1*$A192</f>
        <v>13.291522499224257</v>
      </c>
      <c r="D192">
        <f>regressionssens!$AO$1*$A192</f>
        <v>22.415901113962825</v>
      </c>
      <c r="E192">
        <f t="shared" si="9"/>
        <v>575.24948061687724</v>
      </c>
      <c r="F192">
        <f t="shared" si="10"/>
        <v>503.83463339050309</v>
      </c>
      <c r="G192" s="5">
        <f>B192-regressions!AA$7</f>
        <v>544.9451470279638</v>
      </c>
      <c r="H192" s="5">
        <f>B192+regressions!AA$7</f>
        <v>552.3877242088937</v>
      </c>
      <c r="I192">
        <f>IF($A192&lt;=regressionssens!$L$2,$A192*regressionssens!$L$1,regressionssens!$L$1*regressionssens!$L$2+regressionssens!$L$3*($A192-regressionssens!$L$2))</f>
        <v>-85.282410880933668</v>
      </c>
      <c r="J192">
        <f>regressionssens!$J$1*A192+regressionssens!$J$2*A192^2</f>
        <v>-39.548310661108246</v>
      </c>
      <c r="K192">
        <f>regressionssens!$V$1*A192</f>
        <v>-16.905891195186552</v>
      </c>
      <c r="L192">
        <f>regressionssens!$N$1*A192^2</f>
        <v>-62.999077872163483</v>
      </c>
      <c r="M192" s="20">
        <f>regressionssens!$R$1*A192^2+regressionssens!$R$2*A192^6</f>
        <v>1022.6101396795998</v>
      </c>
      <c r="N192">
        <f>regressionssens!$P$1*A192^2+regressionssens!$P$2*A192^7</f>
        <v>1820.5153030053718</v>
      </c>
      <c r="O192">
        <f>regressionssens!$T$2+regressionssens!$T$1*EXP(A192)</f>
        <v>-191922.1433813264</v>
      </c>
      <c r="P192" s="20">
        <f>(1-EXP(-2*regressionssens!X$1*graphsens!A192))/2/EXP(-regressionssens!X$1*A192)</f>
        <v>-790.8931163520075</v>
      </c>
      <c r="Q192" s="5"/>
      <c r="AT192" s="33"/>
      <c r="AW192" s="33"/>
      <c r="AZ192" s="33"/>
    </row>
    <row r="193" spans="1:52" x14ac:dyDescent="0.35">
      <c r="A193">
        <f t="shared" si="11"/>
        <v>16.999999999999972</v>
      </c>
      <c r="B193">
        <f t="shared" si="8"/>
        <v>571.1648526685824</v>
      </c>
      <c r="C193">
        <f>regressionssens!$AR$1*$A193</f>
        <v>13.370170561349846</v>
      </c>
      <c r="D193">
        <f>regressionssens!$AO$1*$A193</f>
        <v>22.548539582092786</v>
      </c>
      <c r="E193">
        <f t="shared" si="9"/>
        <v>597.90519379128204</v>
      </c>
      <c r="F193">
        <f t="shared" si="10"/>
        <v>526.06777350439688</v>
      </c>
      <c r="G193" s="5">
        <f>B193-regressions!AA$7</f>
        <v>567.44356407811745</v>
      </c>
      <c r="H193" s="5">
        <f>B193+regressions!AA$7</f>
        <v>574.88614125904735</v>
      </c>
      <c r="I193">
        <f>IF($A193&lt;=regressionssens!$L$2,$A193*regressionssens!$L$1,regressionssens!$L$1*regressionssens!$L$2+regressionssens!$L$3*($A193-regressionssens!$L$2))</f>
        <v>-87.06515129776119</v>
      </c>
      <c r="J193">
        <f>regressionssens!$J$1*A193+regressionssens!$J$2*A193^2</f>
        <v>-39.961870491214952</v>
      </c>
      <c r="K193">
        <f>regressionssens!$V$1*A193</f>
        <v>-17.00592605432967</v>
      </c>
      <c r="L193">
        <f>regressionssens!$N$1*A193^2</f>
        <v>-63.746834862418154</v>
      </c>
      <c r="M193" s="20">
        <f>regressionssens!$R$1*A193^2+regressionssens!$R$2*A193^6</f>
        <v>1061.4009793071191</v>
      </c>
      <c r="N193">
        <f>regressionssens!$P$1*A193^2+regressionssens!$P$2*A193^7</f>
        <v>1899.4692271096731</v>
      </c>
      <c r="O193">
        <f>regressionssens!$T$2+regressionssens!$T$1*EXP(A193)</f>
        <v>-212106.77232330205</v>
      </c>
      <c r="P193" s="20">
        <f>(1-EXP(-2*regressionssens!X$1*graphsens!A193))/2/EXP(-regressionssens!X$1*A193)</f>
        <v>-826.12864246475181</v>
      </c>
      <c r="Q193" s="5"/>
      <c r="AT193" s="33"/>
      <c r="AW193" s="33"/>
      <c r="AZ193" s="33"/>
    </row>
    <row r="194" spans="1:52" x14ac:dyDescent="0.35">
      <c r="A194">
        <f t="shared" si="11"/>
        <v>17.099999999999973</v>
      </c>
      <c r="B194">
        <f t="shared" si="8"/>
        <v>594.34347142236163</v>
      </c>
      <c r="C194">
        <f>regressionssens!$AR$1*$A194</f>
        <v>13.448818623475434</v>
      </c>
      <c r="D194">
        <f>regressionssens!$AO$1*$A194</f>
        <v>22.681178050222744</v>
      </c>
      <c r="E194">
        <f t="shared" si="9"/>
        <v>621.24110866931255</v>
      </c>
      <c r="F194">
        <f t="shared" si="10"/>
        <v>548.98111532191615</v>
      </c>
      <c r="G194" s="5">
        <f>B194-regressions!AA$7</f>
        <v>590.62218283189668</v>
      </c>
      <c r="H194" s="5">
        <f>B194+regressions!AA$7</f>
        <v>598.06476001282658</v>
      </c>
      <c r="I194">
        <f>IF($A194&lt;=regressionssens!$L$2,$A194*regressionssens!$L$1,regressionssens!$L$1*regressionssens!$L$2+regressionssens!$L$3*($A194-regressionssens!$L$2))</f>
        <v>-88.847891714588727</v>
      </c>
      <c r="J194">
        <f>regressionssens!$J$1*A194+regressionssens!$J$2*A194^2</f>
        <v>-40.377542629057601</v>
      </c>
      <c r="K194">
        <f>regressionssens!$V$1*A194</f>
        <v>-17.105960913472789</v>
      </c>
      <c r="L194">
        <f>regressionssens!$N$1*A194^2</f>
        <v>-64.499003398338047</v>
      </c>
      <c r="M194" s="20">
        <f>regressionssens!$R$1*A194^2+regressionssens!$R$2*A194^6</f>
        <v>1101.3725268513654</v>
      </c>
      <c r="N194">
        <f>regressionssens!$P$1*A194^2+regressionssens!$P$2*A194^7</f>
        <v>1981.2853210167282</v>
      </c>
      <c r="O194">
        <f>regressionssens!$T$2+regressionssens!$T$1*EXP(A194)</f>
        <v>-234414.23722212156</v>
      </c>
      <c r="P194" s="20">
        <f>(1-EXP(-2*regressionssens!X$1*graphsens!A194))/2/EXP(-regressionssens!X$1*A194)</f>
        <v>-862.93396400710174</v>
      </c>
      <c r="AT194" s="33"/>
      <c r="AW194" s="33"/>
      <c r="AZ194" s="33"/>
    </row>
    <row r="195" spans="1:52" x14ac:dyDescent="0.35">
      <c r="A195">
        <f t="shared" si="11"/>
        <v>17.199999999999974</v>
      </c>
      <c r="B195">
        <f t="shared" si="8"/>
        <v>618.21038792043805</v>
      </c>
      <c r="C195">
        <f>regressionssens!$AR$1*$A195</f>
        <v>13.527466685601023</v>
      </c>
      <c r="D195">
        <f>regressionssens!$AO$1*$A195</f>
        <v>22.813816518352706</v>
      </c>
      <c r="E195">
        <f t="shared" si="9"/>
        <v>645.26532129164013</v>
      </c>
      <c r="F195">
        <f t="shared" si="10"/>
        <v>572.5827548837326</v>
      </c>
      <c r="G195" s="5">
        <f>B195-regressions!AA$7</f>
        <v>614.4890993299731</v>
      </c>
      <c r="H195" s="5">
        <f>B195+regressions!AA$7</f>
        <v>621.931676510903</v>
      </c>
      <c r="I195">
        <f>IF($A195&lt;=regressionssens!$L$2,$A195*regressionssens!$L$1,regressionssens!$L$1*regressionssens!$L$2+regressionssens!$L$3*($A195-regressionssens!$L$2))</f>
        <v>-90.630632131416249</v>
      </c>
      <c r="J195">
        <f>regressionssens!$J$1*A195+regressionssens!$J$2*A195^2</f>
        <v>-40.795327074636205</v>
      </c>
      <c r="K195">
        <f>regressionssens!$V$1*A195</f>
        <v>-17.205995772615903</v>
      </c>
      <c r="L195">
        <f>regressionssens!$N$1*A195^2</f>
        <v>-65.25558347992316</v>
      </c>
      <c r="M195" s="20">
        <f>regressionssens!$R$1*A195^2+regressionssens!$R$2*A195^6</f>
        <v>1142.5529430003573</v>
      </c>
      <c r="N195">
        <f>regressionssens!$P$1*A195^2+regressionssens!$P$2*A195^7</f>
        <v>2066.0489114947277</v>
      </c>
      <c r="O195">
        <f>regressionssens!$T$2+regressionssens!$T$1*EXP(A195)</f>
        <v>-259067.79868429026</v>
      </c>
      <c r="P195" s="20">
        <f>(1-EXP(-2*regressionssens!X$1*graphsens!A195))/2/EXP(-regressionssens!X$1*A195)</f>
        <v>-901.37901781767243</v>
      </c>
      <c r="AT195" s="33"/>
      <c r="AW195" s="33"/>
      <c r="AZ195" s="33"/>
    </row>
    <row r="196" spans="1:52" x14ac:dyDescent="0.35">
      <c r="A196">
        <f t="shared" si="11"/>
        <v>17.299999999999976</v>
      </c>
      <c r="B196">
        <f t="shared" ref="B196:B203" si="12">SUMPRODUCT(I$2:P$2,I196:P196)</f>
        <v>642.77269660578872</v>
      </c>
      <c r="C196">
        <f>regressionssens!$AR$1*$A196</f>
        <v>13.606114747726611</v>
      </c>
      <c r="D196">
        <f>regressionssens!$AO$1*$A196</f>
        <v>22.946454986482664</v>
      </c>
      <c r="E196">
        <f t="shared" si="9"/>
        <v>669.98492610124197</v>
      </c>
      <c r="F196">
        <f t="shared" si="10"/>
        <v>596.87978663282342</v>
      </c>
      <c r="G196" s="5">
        <f>B196-regressions!AA$7</f>
        <v>639.05140801532377</v>
      </c>
      <c r="H196" s="5">
        <f>B196+regressions!AA$7</f>
        <v>646.49398519625367</v>
      </c>
      <c r="I196">
        <f>IF($A196&lt;=regressionssens!$L$2,$A196*regressionssens!$L$1,regressionssens!$L$1*regressionssens!$L$2+regressionssens!$L$3*($A196-regressionssens!$L$2))</f>
        <v>-92.413372548243771</v>
      </c>
      <c r="J196">
        <f>regressionssens!$J$1*A196+regressionssens!$J$2*A196^2</f>
        <v>-41.215223827950759</v>
      </c>
      <c r="K196">
        <f>regressionssens!$V$1*A196</f>
        <v>-17.306030631759022</v>
      </c>
      <c r="L196">
        <f>regressionssens!$N$1*A196^2</f>
        <v>-66.016575107173495</v>
      </c>
      <c r="M196" s="20">
        <f>regressionssens!$R$1*A196^2+regressionssens!$R$2*A196^6</f>
        <v>1184.9708868413084</v>
      </c>
      <c r="N196">
        <f>regressionssens!$P$1*A196^2+regressionssens!$P$2*A196^7</f>
        <v>2153.8473447405809</v>
      </c>
      <c r="O196">
        <f>regressionssens!$T$2+regressionssens!$T$1*EXP(A196)</f>
        <v>-286314.19783926971</v>
      </c>
      <c r="P196" s="20">
        <f>(1-EXP(-2*regressionssens!X$1*graphsens!A196))/2/EXP(-regressionssens!X$1*A196)</f>
        <v>-941.53685652611523</v>
      </c>
      <c r="AT196" s="33"/>
      <c r="AW196" s="33"/>
      <c r="AZ196" s="33"/>
    </row>
    <row r="197" spans="1:52" x14ac:dyDescent="0.35">
      <c r="A197">
        <f t="shared" si="11"/>
        <v>17.399999999999977</v>
      </c>
      <c r="B197">
        <f t="shared" si="12"/>
        <v>668.03634504031299</v>
      </c>
      <c r="C197">
        <f>regressionssens!$AR$1*$A197</f>
        <v>13.684762809852201</v>
      </c>
      <c r="D197">
        <f>regressionssens!$AO$1*$A197</f>
        <v>23.079093454612625</v>
      </c>
      <c r="E197">
        <f t="shared" si="9"/>
        <v>695.4058706600174</v>
      </c>
      <c r="F197">
        <f t="shared" si="10"/>
        <v>621.87815813108773</v>
      </c>
      <c r="G197" s="5">
        <f>B197-regressions!AA$7</f>
        <v>664.31505644984804</v>
      </c>
      <c r="H197" s="5">
        <f>B197+regressions!AA$7</f>
        <v>671.75763363077795</v>
      </c>
      <c r="I197">
        <f>IF($A197&lt;=regressionssens!$L$2,$A197*regressionssens!$L$1,regressionssens!$L$1*regressionssens!$L$2+regressionssens!$L$3*($A197-regressionssens!$L$2))</f>
        <v>-94.196112965071308</v>
      </c>
      <c r="J197">
        <f>regressionssens!$J$1*A197+regressionssens!$J$2*A197^2</f>
        <v>-41.637232889001254</v>
      </c>
      <c r="K197">
        <f>regressionssens!$V$1*A197</f>
        <v>-17.40606549090214</v>
      </c>
      <c r="L197">
        <f>regressionssens!$N$1*A197^2</f>
        <v>-66.781978280089049</v>
      </c>
      <c r="M197" s="20">
        <f>regressionssens!$R$1*A197^2+regressionssens!$R$2*A197^6</f>
        <v>1228.6555217068371</v>
      </c>
      <c r="N197">
        <f>regressionssens!$P$1*A197^2+regressionssens!$P$2*A197^7</f>
        <v>2244.7700220152719</v>
      </c>
      <c r="O197">
        <f>regressionssens!$T$2+regressionssens!$T$1*EXP(A197)</f>
        <v>-316426.12580763391</v>
      </c>
      <c r="P197" s="20">
        <f>(1-EXP(-2*regressionssens!X$1*graphsens!A197))/2/EXP(-regressionssens!X$1*A197)</f>
        <v>-983.48378736646862</v>
      </c>
      <c r="AT197" s="33"/>
      <c r="AW197" s="33"/>
      <c r="AZ197" s="33"/>
    </row>
    <row r="198" spans="1:52" x14ac:dyDescent="0.35">
      <c r="A198">
        <f t="shared" si="11"/>
        <v>17.499999999999979</v>
      </c>
      <c r="B198">
        <f t="shared" si="12"/>
        <v>694.00597286498021</v>
      </c>
      <c r="C198">
        <f>regressionssens!$AR$1*$A198</f>
        <v>13.763410871977788</v>
      </c>
      <c r="D198">
        <f>regressionssens!$AO$1*$A198</f>
        <v>23.211731922742583</v>
      </c>
      <c r="E198">
        <f t="shared" si="9"/>
        <v>721.53279460893577</v>
      </c>
      <c r="F198">
        <f t="shared" si="10"/>
        <v>647.58250901949509</v>
      </c>
      <c r="G198" s="5">
        <f>B198-regressions!AA$7</f>
        <v>690.28468427451526</v>
      </c>
      <c r="H198" s="5">
        <f>B198+regressions!AA$7</f>
        <v>697.72726145544516</v>
      </c>
      <c r="I198">
        <f>IF($A198&lt;=regressionssens!$L$2,$A198*regressionssens!$L$1,regressionssens!$L$1*regressionssens!$L$2+regressionssens!$L$3*($A198-regressionssens!$L$2))</f>
        <v>-95.97885338189883</v>
      </c>
      <c r="J198">
        <f>regressionssens!$J$1*A198+regressionssens!$J$2*A198^2</f>
        <v>-42.061354257787713</v>
      </c>
      <c r="K198">
        <f>regressionssens!$V$1*A198</f>
        <v>-17.506100350045255</v>
      </c>
      <c r="L198">
        <f>regressionssens!$N$1*A198^2</f>
        <v>-67.551792998669825</v>
      </c>
      <c r="M198" s="20">
        <f>regressionssens!$R$1*A198^2+regressionssens!$R$2*A198^6</f>
        <v>1273.6365210552631</v>
      </c>
      <c r="N198">
        <f>regressionssens!$P$1*A198^2+regressionssens!$P$2*A198^7</f>
        <v>2338.9084356959816</v>
      </c>
      <c r="O198">
        <f>regressionssens!$T$2+regressionssens!$T$1*EXP(A198)</f>
        <v>-349704.95288545883</v>
      </c>
      <c r="P198" s="20">
        <f>(1-EXP(-2*regressionssens!X$1*graphsens!A198))/2/EXP(-regressionssens!X$1*A198)</f>
        <v>-1027.2995171748548</v>
      </c>
      <c r="AT198" s="33"/>
      <c r="AW198" s="33"/>
      <c r="AZ198" s="33"/>
    </row>
    <row r="199" spans="1:52" x14ac:dyDescent="0.35">
      <c r="A199">
        <f t="shared" si="11"/>
        <v>17.59999999999998</v>
      </c>
      <c r="B199">
        <f t="shared" si="12"/>
        <v>720.68473335286353</v>
      </c>
      <c r="C199">
        <f>regressionssens!$AR$1*$A199</f>
        <v>13.842058934103378</v>
      </c>
      <c r="D199">
        <f>regressionssens!$AO$1*$A199</f>
        <v>23.344370390872545</v>
      </c>
      <c r="E199">
        <f t="shared" si="9"/>
        <v>748.36885122107026</v>
      </c>
      <c r="F199">
        <f t="shared" si="10"/>
        <v>673.99599257111845</v>
      </c>
      <c r="G199" s="5">
        <f>B199-regressions!AA$7</f>
        <v>716.96344476239858</v>
      </c>
      <c r="H199" s="5">
        <f>B199+regressions!AA$7</f>
        <v>724.40602194332848</v>
      </c>
      <c r="I199">
        <f>IF($A199&lt;=regressionssens!$L$2,$A199*regressionssens!$L$1,regressionssens!$L$1*regressionssens!$L$2+regressionssens!$L$3*($A199-regressionssens!$L$2))</f>
        <v>-97.761593798726352</v>
      </c>
      <c r="J199">
        <f>regressionssens!$J$1*A199+regressionssens!$J$2*A199^2</f>
        <v>-42.487587934310113</v>
      </c>
      <c r="K199">
        <f>regressionssens!$V$1*A199</f>
        <v>-17.606135209188373</v>
      </c>
      <c r="L199">
        <f>regressionssens!$N$1*A199^2</f>
        <v>-68.326019262915807</v>
      </c>
      <c r="M199" s="20">
        <f>regressionssens!$R$1*A199^2+regressionssens!$R$2*A199^6</f>
        <v>1319.944074384993</v>
      </c>
      <c r="N199">
        <f>regressionssens!$P$1*A199^2+regressionssens!$P$2*A199^7</f>
        <v>2436.3562057474142</v>
      </c>
      <c r="O199">
        <f>regressionssens!$T$2+regressionssens!$T$1*EXP(A199)</f>
        <v>-386483.74475953932</v>
      </c>
      <c r="P199" s="20">
        <f>(1-EXP(-2*regressionssens!X$1*graphsens!A199))/2/EXP(-regressionssens!X$1*A199)</f>
        <v>-1073.0673038470322</v>
      </c>
      <c r="AT199" s="33"/>
      <c r="AW199" s="33"/>
      <c r="AZ199" s="33"/>
    </row>
    <row r="200" spans="1:52" x14ac:dyDescent="0.35">
      <c r="A200">
        <f t="shared" si="11"/>
        <v>17.699999999999982</v>
      </c>
      <c r="B200">
        <f t="shared" si="12"/>
        <v>748.07409573147038</v>
      </c>
      <c r="C200">
        <f>regressionssens!$AR$1*$A200</f>
        <v>13.920706996228965</v>
      </c>
      <c r="D200">
        <f>regressionssens!$AO$1*$A200</f>
        <v>23.477008859002503</v>
      </c>
      <c r="E200">
        <f t="shared" ref="E200:E203" si="13">B200+2*C200</f>
        <v>775.91550972392827</v>
      </c>
      <c r="F200">
        <f t="shared" ref="F200:F203" si="14">B200-2*D200</f>
        <v>701.12007801346533</v>
      </c>
      <c r="G200" s="5">
        <f>B200-regressions!AA$7</f>
        <v>744.35280714100543</v>
      </c>
      <c r="H200" s="5">
        <f>B200+regressions!AA$7</f>
        <v>751.79538432193533</v>
      </c>
      <c r="I200">
        <f>IF($A200&lt;=regressionssens!$L$2,$A200*regressionssens!$L$1,regressionssens!$L$1*regressionssens!$L$2+regressionssens!$L$3*($A200-regressionssens!$L$2))</f>
        <v>-99.544334215553874</v>
      </c>
      <c r="J200">
        <f>regressionssens!$J$1*A200+regressionssens!$J$2*A200^2</f>
        <v>-42.915933918568463</v>
      </c>
      <c r="K200">
        <f>regressionssens!$V$1*A200</f>
        <v>-17.706170068331492</v>
      </c>
      <c r="L200">
        <f>regressionssens!$N$1*A200^2</f>
        <v>-69.104657072827024</v>
      </c>
      <c r="M200" s="20">
        <f>regressionssens!$R$1*A200^2+regressionssens!$R$2*A200^6</f>
        <v>1367.6088931829925</v>
      </c>
      <c r="N200">
        <f>regressionssens!$P$1*A200^2+regressionssens!$P$2*A200^7</f>
        <v>2537.2091166147516</v>
      </c>
      <c r="O200">
        <f>regressionssens!$T$2+regressionssens!$T$1*EXP(A200)</f>
        <v>-427130.59594073007</v>
      </c>
      <c r="P200" s="20">
        <f>(1-EXP(-2*regressionssens!X$1*graphsens!A200))/2/EXP(-regressionssens!X$1*A200)</f>
        <v>-1120.874114543619</v>
      </c>
      <c r="AT200" s="33"/>
      <c r="AW200" s="33"/>
      <c r="AZ200" s="33"/>
    </row>
    <row r="201" spans="1:52" x14ac:dyDescent="0.35">
      <c r="A201">
        <f t="shared" ref="A201:A203" si="15">0.1+A200</f>
        <v>17.799999999999983</v>
      </c>
      <c r="B201">
        <f t="shared" si="12"/>
        <v>776.17362625968292</v>
      </c>
      <c r="C201">
        <f>regressionssens!$AR$1*$A201</f>
        <v>13.999355058354555</v>
      </c>
      <c r="D201">
        <f>regressionssens!$AO$1*$A201</f>
        <v>23.609647327132464</v>
      </c>
      <c r="E201">
        <f t="shared" si="13"/>
        <v>804.17233637639208</v>
      </c>
      <c r="F201">
        <f t="shared" si="14"/>
        <v>728.95433160541802</v>
      </c>
      <c r="G201" s="5">
        <f>B201-regressions!AA$7</f>
        <v>772.45233766921797</v>
      </c>
      <c r="H201" s="5">
        <f>B201+regressions!AA$7</f>
        <v>779.89491485014787</v>
      </c>
      <c r="I201">
        <f>IF($A201&lt;=regressionssens!$L$2,$A201*regressionssens!$L$1,regressionssens!$L$1*regressionssens!$L$2+regressionssens!$L$3*($A201-regressionssens!$L$2))</f>
        <v>-101.32707463238141</v>
      </c>
      <c r="J201">
        <f>regressionssens!$J$1*A201+regressionssens!$J$2*A201^2</f>
        <v>-43.346392210562769</v>
      </c>
      <c r="K201">
        <f>regressionssens!$V$1*A201</f>
        <v>-17.806204927474607</v>
      </c>
      <c r="L201">
        <f>regressionssens!$N$1*A201^2</f>
        <v>-69.887706428403447</v>
      </c>
      <c r="M201" s="20">
        <f>regressionssens!$R$1*A201^2+regressionssens!$R$2*A201^6</f>
        <v>1416.6622169073548</v>
      </c>
      <c r="N201">
        <f>regressionssens!$P$1*A201^2+regressionssens!$P$2*A201^7</f>
        <v>2641.5651545406531</v>
      </c>
      <c r="O201">
        <f>regressionssens!$T$2+regressionssens!$T$1*EXP(A201)</f>
        <v>-472052.31377753092</v>
      </c>
      <c r="P201" s="20">
        <f>(1-EXP(-2*regressionssens!X$1*graphsens!A201))/2/EXP(-regressionssens!X$1*A201)</f>
        <v>-1170.8107909435971</v>
      </c>
      <c r="AT201" s="33"/>
      <c r="AW201" s="33"/>
      <c r="AZ201" s="33"/>
    </row>
    <row r="202" spans="1:52" x14ac:dyDescent="0.35">
      <c r="A202">
        <f t="shared" si="15"/>
        <v>17.899999999999984</v>
      </c>
      <c r="B202">
        <f t="shared" si="12"/>
        <v>804.98074583346079</v>
      </c>
      <c r="C202">
        <f>regressionssens!$AR$1*$A202</f>
        <v>14.078003120480142</v>
      </c>
      <c r="D202">
        <f>regressionssens!$AO$1*$A202</f>
        <v>23.742285795262422</v>
      </c>
      <c r="E202">
        <f t="shared" si="13"/>
        <v>833.13675207442111</v>
      </c>
      <c r="F202">
        <f t="shared" si="14"/>
        <v>757.49617424293592</v>
      </c>
      <c r="G202" s="5">
        <f>B202-regressions!AA$7</f>
        <v>801.25945724299584</v>
      </c>
      <c r="H202" s="5">
        <f>B202+regressions!AA$7</f>
        <v>808.70203442392574</v>
      </c>
      <c r="I202">
        <f>IF($A202&lt;=regressionssens!$L$2,$A202*regressionssens!$L$1,regressionssens!$L$1*regressionssens!$L$2+regressionssens!$L$3*($A202-regressionssens!$L$2))</f>
        <v>-103.10981504920893</v>
      </c>
      <c r="J202">
        <f>regressionssens!$J$1*A202+regressionssens!$J$2*A202^2</f>
        <v>-43.778962810293024</v>
      </c>
      <c r="K202">
        <f>regressionssens!$V$1*A202</f>
        <v>-17.906239786617725</v>
      </c>
      <c r="L202">
        <f>regressionssens!$N$1*A202^2</f>
        <v>-70.675167329645106</v>
      </c>
      <c r="M202" s="20">
        <f>regressionssens!$R$1*A202^2+regressionssens!$R$2*A202^6</f>
        <v>1467.1358190039448</v>
      </c>
      <c r="N202">
        <f>regressionssens!$P$1*A202^2+regressionssens!$P$2*A202^7</f>
        <v>2749.5245453087214</v>
      </c>
      <c r="O202">
        <f>regressionssens!$T$2+regressionssens!$T$1*EXP(A202)</f>
        <v>-521698.48992076347</v>
      </c>
      <c r="P202" s="20">
        <f>(1-EXP(-2*regressionssens!X$1*graphsens!A202))/2/EXP(-regressionssens!X$1*A202)</f>
        <v>-1222.9722218601041</v>
      </c>
      <c r="AT202" s="33"/>
      <c r="AW202" s="33"/>
      <c r="AZ202" s="33"/>
    </row>
    <row r="203" spans="1:52" x14ac:dyDescent="0.35">
      <c r="A203">
        <f t="shared" si="15"/>
        <v>17.999999999999986</v>
      </c>
      <c r="B203">
        <f t="shared" si="12"/>
        <v>834.49046166113521</v>
      </c>
      <c r="C203">
        <f>regressionssens!$AR$1*$A203</f>
        <v>14.156651182605732</v>
      </c>
      <c r="D203">
        <f>regressionssens!$AO$1*$A203</f>
        <v>23.874924263392383</v>
      </c>
      <c r="E203">
        <f t="shared" si="13"/>
        <v>862.8037640263467</v>
      </c>
      <c r="F203">
        <f t="shared" si="14"/>
        <v>786.7406131343505</v>
      </c>
      <c r="G203" s="5">
        <f>B203-regressions!AA$7</f>
        <v>830.76917307067026</v>
      </c>
      <c r="H203" s="5">
        <f>B203+regressions!AA$7</f>
        <v>838.21175025160017</v>
      </c>
      <c r="I203">
        <f>IF($A203&lt;=regressionssens!$L$2,$A203*regressionssens!$L$1,regressionssens!$L$1*regressionssens!$L$2+regressionssens!$L$3*($A203-regressionssens!$L$2))</f>
        <v>-104.89255546603646</v>
      </c>
      <c r="J203">
        <f>regressionssens!$J$1*A203+regressionssens!$J$2*A203^2</f>
        <v>-44.213645717759228</v>
      </c>
      <c r="K203">
        <f>regressionssens!$V$1*A203</f>
        <v>-18.006274645760843</v>
      </c>
      <c r="L203">
        <f>regressionssens!$N$1*A203^2</f>
        <v>-71.467039776551971</v>
      </c>
      <c r="M203" s="20">
        <f>regressionssens!$R$1*A203^2+regressionssens!$R$2*A203^6</f>
        <v>1519.0620129571453</v>
      </c>
      <c r="N203">
        <f>regressionssens!$P$1*A203^2+regressionssens!$P$2*A203^7</f>
        <v>2861.1897924158734</v>
      </c>
      <c r="O203">
        <f>regressionssens!$T$2+regressionssens!$T$1*EXP(A203)</f>
        <v>-576565.99998792517</v>
      </c>
      <c r="P203" s="20">
        <f>(1-EXP(-2*regressionssens!X$1*graphsens!A203))/2/EXP(-regressionssens!X$1*A203)</f>
        <v>-1277.4575235465222</v>
      </c>
      <c r="AT203" s="33"/>
      <c r="AW203" s="33"/>
      <c r="AZ203" s="33"/>
    </row>
    <row r="204" spans="1:52" x14ac:dyDescent="0.35">
      <c r="P204" s="20"/>
      <c r="AT204" s="33"/>
      <c r="AW204" s="33"/>
      <c r="AZ204" s="33"/>
    </row>
    <row r="205" spans="1:52" x14ac:dyDescent="0.35">
      <c r="P205" s="20"/>
      <c r="AT205" s="33"/>
      <c r="AW205" s="33"/>
      <c r="AZ205" s="33"/>
    </row>
    <row r="206" spans="1:52" x14ac:dyDescent="0.35">
      <c r="P206" s="20"/>
      <c r="AT206" s="33"/>
      <c r="AW206" s="33"/>
      <c r="AZ206" s="33"/>
    </row>
    <row r="207" spans="1:52" x14ac:dyDescent="0.35">
      <c r="P207" s="20"/>
      <c r="AT207" s="33"/>
      <c r="AW207" s="33"/>
      <c r="AZ207" s="33"/>
    </row>
    <row r="208" spans="1:52" x14ac:dyDescent="0.35">
      <c r="P208" s="20"/>
      <c r="AT208" s="33"/>
      <c r="AW208" s="33"/>
      <c r="AZ208" s="33"/>
    </row>
    <row r="209" spans="16:52" x14ac:dyDescent="0.35">
      <c r="P209" s="20"/>
      <c r="AT209" s="33"/>
      <c r="AW209" s="33"/>
      <c r="AZ209" s="33"/>
    </row>
    <row r="210" spans="16:52" x14ac:dyDescent="0.35">
      <c r="P210" s="20"/>
      <c r="AT210" s="33"/>
      <c r="AW210" s="33"/>
      <c r="AZ210" s="33"/>
    </row>
    <row r="211" spans="16:52" x14ac:dyDescent="0.35">
      <c r="P211" s="20"/>
      <c r="AT211" s="33"/>
      <c r="AW211" s="33"/>
      <c r="AZ211" s="33"/>
    </row>
    <row r="212" spans="16:52" x14ac:dyDescent="0.35">
      <c r="P212" s="20"/>
      <c r="AT212" s="33"/>
      <c r="AW212" s="33"/>
      <c r="AZ212" s="33"/>
    </row>
    <row r="213" spans="16:52" x14ac:dyDescent="0.35">
      <c r="P213" s="20"/>
      <c r="AT213" s="33"/>
      <c r="AW213" s="33"/>
      <c r="AZ213" s="33"/>
    </row>
    <row r="214" spans="16:52" x14ac:dyDescent="0.35">
      <c r="P214" s="20"/>
      <c r="AT214" s="33"/>
      <c r="AW214" s="33"/>
      <c r="AZ214" s="33"/>
    </row>
    <row r="215" spans="16:52" x14ac:dyDescent="0.35">
      <c r="P215" s="20"/>
      <c r="AT215" s="33"/>
      <c r="AW215" s="33"/>
      <c r="AZ215" s="33"/>
    </row>
    <row r="216" spans="16:52" x14ac:dyDescent="0.35">
      <c r="P216" s="20"/>
      <c r="AT216" s="33"/>
      <c r="AW216" s="33"/>
      <c r="AZ216" s="33"/>
    </row>
    <row r="217" spans="16:52" x14ac:dyDescent="0.35">
      <c r="P217" s="20"/>
      <c r="AT217" s="33"/>
      <c r="AW217" s="33"/>
      <c r="AZ217" s="33"/>
    </row>
    <row r="218" spans="16:52" x14ac:dyDescent="0.35">
      <c r="P218" s="20"/>
      <c r="AT218" s="33"/>
      <c r="AW218" s="33"/>
      <c r="AZ218" s="33"/>
    </row>
    <row r="219" spans="16:52" x14ac:dyDescent="0.35">
      <c r="P219" s="20"/>
      <c r="AT219" s="33"/>
      <c r="AW219" s="33"/>
      <c r="AZ219" s="33"/>
    </row>
    <row r="220" spans="16:52" x14ac:dyDescent="0.35">
      <c r="P220" s="20"/>
      <c r="AT220" s="33"/>
      <c r="AW220" s="33"/>
      <c r="AZ220" s="33"/>
    </row>
    <row r="221" spans="16:52" x14ac:dyDescent="0.35">
      <c r="P221" s="20"/>
      <c r="AT221" s="33"/>
      <c r="AW221" s="33"/>
      <c r="AZ221" s="33"/>
    </row>
    <row r="222" spans="16:52" x14ac:dyDescent="0.35">
      <c r="P222" s="20"/>
      <c r="AT222" s="33"/>
      <c r="AW222" s="33"/>
      <c r="AZ222" s="33"/>
    </row>
    <row r="223" spans="16:52" x14ac:dyDescent="0.35">
      <c r="P223" s="20"/>
      <c r="AT223" s="33"/>
      <c r="AW223" s="33"/>
      <c r="AZ223" s="33"/>
    </row>
    <row r="224" spans="16:52" x14ac:dyDescent="0.35">
      <c r="P224" s="20"/>
      <c r="AT224" s="33"/>
      <c r="AW224" s="33"/>
      <c r="AZ224" s="33"/>
    </row>
    <row r="225" spans="16:52" x14ac:dyDescent="0.35">
      <c r="P225" s="20"/>
      <c r="AT225" s="33"/>
      <c r="AW225" s="33"/>
      <c r="AZ225" s="33"/>
    </row>
    <row r="226" spans="16:52" x14ac:dyDescent="0.35">
      <c r="P226" s="20"/>
      <c r="AT226" s="33"/>
      <c r="AW226" s="33"/>
      <c r="AZ226" s="33"/>
    </row>
    <row r="227" spans="16:52" x14ac:dyDescent="0.35">
      <c r="P227" s="20"/>
      <c r="AT227" s="33"/>
      <c r="AW227" s="33"/>
      <c r="AZ227" s="33"/>
    </row>
    <row r="228" spans="16:52" x14ac:dyDescent="0.35">
      <c r="P228" s="20"/>
      <c r="AT228" s="33"/>
      <c r="AW228" s="33"/>
      <c r="AZ228" s="33"/>
    </row>
    <row r="229" spans="16:52" x14ac:dyDescent="0.35">
      <c r="P229" s="20"/>
      <c r="AT229" s="33"/>
      <c r="AW229" s="33"/>
      <c r="AZ229" s="33"/>
    </row>
    <row r="230" spans="16:52" x14ac:dyDescent="0.35">
      <c r="P230" s="20"/>
      <c r="AT230" s="33"/>
      <c r="AW230" s="33"/>
      <c r="AZ230" s="33"/>
    </row>
    <row r="231" spans="16:52" x14ac:dyDescent="0.35">
      <c r="P231" s="20"/>
      <c r="AT231" s="33"/>
      <c r="AW231" s="33"/>
      <c r="AZ231" s="33"/>
    </row>
    <row r="232" spans="16:52" x14ac:dyDescent="0.35">
      <c r="P232" s="20"/>
      <c r="AT232" s="33"/>
      <c r="AW232" s="33"/>
      <c r="AZ232" s="33"/>
    </row>
    <row r="233" spans="16:52" x14ac:dyDescent="0.35">
      <c r="P233" s="20"/>
      <c r="AT233" s="33"/>
      <c r="AW233" s="33"/>
      <c r="AZ233" s="33"/>
    </row>
    <row r="234" spans="16:52" x14ac:dyDescent="0.35">
      <c r="P234" s="20"/>
      <c r="AT234" s="33"/>
      <c r="AW234" s="33"/>
      <c r="AZ234" s="33"/>
    </row>
    <row r="235" spans="16:52" x14ac:dyDescent="0.35">
      <c r="P235" s="20"/>
      <c r="AT235" s="33"/>
      <c r="AW235" s="33"/>
      <c r="AZ235" s="33"/>
    </row>
    <row r="236" spans="16:52" x14ac:dyDescent="0.35">
      <c r="P236" s="20"/>
      <c r="AT236" s="33"/>
      <c r="AW236" s="33"/>
      <c r="AZ236" s="33"/>
    </row>
    <row r="237" spans="16:52" x14ac:dyDescent="0.35">
      <c r="P237" s="20"/>
      <c r="AT237" s="33"/>
      <c r="AW237" s="33"/>
      <c r="AZ237" s="33"/>
    </row>
    <row r="238" spans="16:52" x14ac:dyDescent="0.35">
      <c r="P238" s="20"/>
      <c r="AT238" s="33"/>
      <c r="AW238" s="33"/>
      <c r="AZ238" s="33"/>
    </row>
    <row r="239" spans="16:52" x14ac:dyDescent="0.35">
      <c r="P239" s="20"/>
      <c r="AT239" s="33"/>
      <c r="AW239" s="33"/>
      <c r="AZ239" s="33"/>
    </row>
    <row r="240" spans="16:52" x14ac:dyDescent="0.35">
      <c r="P240" s="20"/>
      <c r="AT240" s="33"/>
      <c r="AW240" s="33"/>
      <c r="AZ240" s="33"/>
    </row>
    <row r="241" spans="16:52" x14ac:dyDescent="0.35">
      <c r="P241" s="20"/>
      <c r="AT241" s="33"/>
      <c r="AW241" s="33"/>
      <c r="AZ241" s="33"/>
    </row>
    <row r="242" spans="16:52" x14ac:dyDescent="0.35">
      <c r="P242" s="20"/>
      <c r="AT242" s="33"/>
      <c r="AW242" s="33"/>
      <c r="AZ242" s="33"/>
    </row>
    <row r="243" spans="16:52" x14ac:dyDescent="0.35">
      <c r="P243" s="20"/>
      <c r="AT243" s="33"/>
      <c r="AW243" s="33"/>
      <c r="AZ243" s="33"/>
    </row>
    <row r="244" spans="16:52" x14ac:dyDescent="0.35">
      <c r="P244" s="20"/>
      <c r="AT244" s="33"/>
      <c r="AW244" s="33"/>
      <c r="AZ244" s="33"/>
    </row>
    <row r="245" spans="16:52" x14ac:dyDescent="0.35">
      <c r="P245" s="20"/>
      <c r="AT245" s="33"/>
      <c r="AW245" s="33"/>
      <c r="AZ245" s="33"/>
    </row>
    <row r="246" spans="16:52" x14ac:dyDescent="0.35">
      <c r="P246" s="20"/>
      <c r="AT246" s="33"/>
      <c r="AW246" s="33"/>
      <c r="AZ246" s="33"/>
    </row>
    <row r="247" spans="16:52" x14ac:dyDescent="0.35">
      <c r="P247" s="20"/>
      <c r="AT247" s="33"/>
      <c r="AW247" s="33"/>
      <c r="AZ247" s="33"/>
    </row>
    <row r="248" spans="16:52" x14ac:dyDescent="0.35">
      <c r="P248" s="20"/>
      <c r="AT248" s="33"/>
      <c r="AW248" s="33"/>
      <c r="AZ248" s="33"/>
    </row>
    <row r="249" spans="16:52" x14ac:dyDescent="0.35">
      <c r="P249" s="20"/>
      <c r="AT249" s="33"/>
      <c r="AW249" s="33"/>
      <c r="AZ249" s="33"/>
    </row>
    <row r="250" spans="16:52" x14ac:dyDescent="0.35">
      <c r="P250" s="20"/>
      <c r="AT250" s="33"/>
      <c r="AW250" s="33"/>
      <c r="AZ250" s="33"/>
    </row>
    <row r="251" spans="16:52" x14ac:dyDescent="0.35">
      <c r="P251" s="20"/>
      <c r="AT251" s="33"/>
      <c r="AW251" s="33"/>
      <c r="AZ251" s="33"/>
    </row>
    <row r="252" spans="16:52" x14ac:dyDescent="0.35">
      <c r="P252" s="20"/>
      <c r="AT252" s="33"/>
      <c r="AW252" s="33"/>
      <c r="AZ252" s="33"/>
    </row>
    <row r="253" spans="16:52" x14ac:dyDescent="0.35">
      <c r="P253" s="20"/>
      <c r="AT253" s="33"/>
      <c r="AW253" s="33"/>
      <c r="AZ253" s="33"/>
    </row>
    <row r="254" spans="16:52" x14ac:dyDescent="0.35">
      <c r="P254" s="20"/>
      <c r="AT254" s="33"/>
      <c r="AW254" s="33"/>
      <c r="AZ254" s="33"/>
    </row>
    <row r="255" spans="16:52" x14ac:dyDescent="0.35">
      <c r="P255" s="20"/>
      <c r="AT255" s="33"/>
      <c r="AW255" s="33"/>
      <c r="AZ255" s="33"/>
    </row>
    <row r="256" spans="16:52" x14ac:dyDescent="0.35">
      <c r="P256" s="20"/>
      <c r="AT256" s="33"/>
      <c r="AW256" s="33"/>
      <c r="AZ256" s="33"/>
    </row>
    <row r="257" spans="16:52" x14ac:dyDescent="0.35">
      <c r="P257" s="20"/>
      <c r="AT257" s="33"/>
      <c r="AW257" s="33"/>
      <c r="AZ257" s="33"/>
    </row>
    <row r="258" spans="16:52" x14ac:dyDescent="0.35">
      <c r="P258" s="20"/>
      <c r="AT258" s="33"/>
      <c r="AW258" s="33"/>
      <c r="AZ258" s="33"/>
    </row>
    <row r="259" spans="16:52" x14ac:dyDescent="0.35">
      <c r="P259" s="20"/>
      <c r="AT259" s="33"/>
      <c r="AW259" s="33"/>
      <c r="AZ259" s="33"/>
    </row>
    <row r="260" spans="16:52" x14ac:dyDescent="0.35">
      <c r="P260" s="20"/>
      <c r="AT260" s="33"/>
      <c r="AW260" s="33"/>
      <c r="AZ260" s="33"/>
    </row>
    <row r="261" spans="16:52" x14ac:dyDescent="0.35">
      <c r="P261" s="20"/>
      <c r="AT261" s="33"/>
      <c r="AW261" s="33"/>
      <c r="AZ261" s="33"/>
    </row>
    <row r="262" spans="16:52" x14ac:dyDescent="0.35">
      <c r="P262" s="20"/>
      <c r="AT262" s="33"/>
      <c r="AW262" s="33"/>
      <c r="AZ262" s="33"/>
    </row>
    <row r="263" spans="16:52" x14ac:dyDescent="0.35">
      <c r="P263" s="20"/>
      <c r="AT263" s="33"/>
      <c r="AW263" s="33"/>
      <c r="AZ263" s="33"/>
    </row>
    <row r="264" spans="16:52" x14ac:dyDescent="0.35">
      <c r="P264" s="20"/>
      <c r="AT264" s="33"/>
      <c r="AW264" s="33"/>
      <c r="AZ264" s="33"/>
    </row>
    <row r="265" spans="16:52" x14ac:dyDescent="0.35">
      <c r="P265" s="20"/>
      <c r="AT265" s="33"/>
      <c r="AW265" s="33"/>
      <c r="AZ265" s="33"/>
    </row>
    <row r="266" spans="16:52" x14ac:dyDescent="0.35">
      <c r="P266" s="20"/>
      <c r="AT266" s="33"/>
      <c r="AW266" s="33"/>
      <c r="AZ266" s="33"/>
    </row>
    <row r="267" spans="16:52" x14ac:dyDescent="0.35">
      <c r="P267" s="20"/>
      <c r="AT267" s="33"/>
      <c r="AW267" s="33"/>
      <c r="AZ267" s="33"/>
    </row>
    <row r="268" spans="16:52" x14ac:dyDescent="0.35">
      <c r="P268" s="20"/>
      <c r="AT268" s="33"/>
      <c r="AW268" s="33"/>
      <c r="AZ268" s="33"/>
    </row>
    <row r="269" spans="16:52" x14ac:dyDescent="0.35">
      <c r="P269" s="20"/>
      <c r="AT269" s="33"/>
      <c r="AW269" s="33"/>
      <c r="AZ269" s="33"/>
    </row>
    <row r="270" spans="16:52" x14ac:dyDescent="0.35">
      <c r="P270" s="20"/>
      <c r="AT270" s="33"/>
      <c r="AW270" s="33"/>
      <c r="AZ270" s="33"/>
    </row>
    <row r="271" spans="16:52" x14ac:dyDescent="0.35">
      <c r="P271" s="20"/>
      <c r="AT271" s="33"/>
      <c r="AW271" s="33"/>
      <c r="AZ271" s="33"/>
    </row>
    <row r="272" spans="16:52" x14ac:dyDescent="0.35">
      <c r="P272" s="20"/>
      <c r="AT272" s="33"/>
      <c r="AW272" s="33"/>
      <c r="AZ272" s="33"/>
    </row>
    <row r="273" spans="16:52" x14ac:dyDescent="0.35">
      <c r="P273" s="20"/>
      <c r="AT273" s="33"/>
      <c r="AW273" s="33"/>
      <c r="AZ273" s="33"/>
    </row>
    <row r="274" spans="16:52" x14ac:dyDescent="0.35">
      <c r="P274" s="20"/>
      <c r="AT274" s="33"/>
      <c r="AW274" s="33"/>
      <c r="AZ274" s="33"/>
    </row>
    <row r="275" spans="16:52" x14ac:dyDescent="0.35">
      <c r="P275" s="20"/>
      <c r="AT275" s="33"/>
      <c r="AW275" s="33"/>
      <c r="AZ275" s="33"/>
    </row>
    <row r="276" spans="16:52" x14ac:dyDescent="0.35">
      <c r="P276" s="20"/>
      <c r="AT276" s="33"/>
      <c r="AW276" s="33"/>
      <c r="AZ276" s="33"/>
    </row>
    <row r="277" spans="16:52" x14ac:dyDescent="0.35">
      <c r="P277" s="20"/>
      <c r="AT277" s="33"/>
      <c r="AW277" s="33"/>
      <c r="AZ277" s="33"/>
    </row>
    <row r="278" spans="16:52" x14ac:dyDescent="0.35">
      <c r="P278" s="20"/>
      <c r="AT278" s="33"/>
      <c r="AW278" s="33"/>
      <c r="AZ278" s="33"/>
    </row>
    <row r="279" spans="16:52" x14ac:dyDescent="0.35">
      <c r="P279" s="20"/>
      <c r="AT279" s="33"/>
      <c r="AW279" s="33"/>
      <c r="AZ279" s="33"/>
    </row>
    <row r="280" spans="16:52" x14ac:dyDescent="0.35">
      <c r="P280" s="20"/>
      <c r="AT280" s="33"/>
      <c r="AW280" s="33"/>
      <c r="AZ280" s="33"/>
    </row>
    <row r="281" spans="16:52" x14ac:dyDescent="0.35">
      <c r="P281" s="20"/>
      <c r="AT281" s="33"/>
      <c r="AW281" s="33"/>
      <c r="AZ281" s="33"/>
    </row>
    <row r="282" spans="16:52" x14ac:dyDescent="0.35">
      <c r="P282" s="20"/>
      <c r="AT282" s="33"/>
      <c r="AW282" s="33"/>
      <c r="AZ282" s="33"/>
    </row>
    <row r="283" spans="16:52" x14ac:dyDescent="0.35">
      <c r="P283" s="20"/>
      <c r="AT283" s="33"/>
      <c r="AW283" s="33"/>
      <c r="AZ283" s="33"/>
    </row>
    <row r="284" spans="16:52" x14ac:dyDescent="0.35">
      <c r="P284" s="20"/>
      <c r="AT284" s="33"/>
      <c r="AW284" s="33"/>
      <c r="AZ284" s="33"/>
    </row>
    <row r="285" spans="16:52" x14ac:dyDescent="0.35">
      <c r="P285" s="20"/>
      <c r="AT285" s="33"/>
      <c r="AW285" s="33"/>
      <c r="AZ285" s="33"/>
    </row>
    <row r="286" spans="16:52" x14ac:dyDescent="0.35">
      <c r="P286" s="20"/>
      <c r="AT286" s="33"/>
      <c r="AW286" s="33"/>
      <c r="AZ286" s="33"/>
    </row>
    <row r="287" spans="16:52" x14ac:dyDescent="0.35">
      <c r="P287" s="20"/>
      <c r="AT287" s="33"/>
      <c r="AW287" s="33"/>
      <c r="AZ287" s="33"/>
    </row>
    <row r="288" spans="16:52" x14ac:dyDescent="0.35">
      <c r="P288" s="20"/>
      <c r="AT288" s="33"/>
      <c r="AW288" s="33"/>
      <c r="AZ288" s="33"/>
    </row>
    <row r="289" spans="16:52" x14ac:dyDescent="0.35">
      <c r="P289" s="20"/>
      <c r="AT289" s="33"/>
      <c r="AW289" s="33"/>
      <c r="AZ289" s="33"/>
    </row>
    <row r="290" spans="16:52" x14ac:dyDescent="0.35">
      <c r="P290" s="20"/>
      <c r="AT290" s="33"/>
      <c r="AW290" s="33"/>
      <c r="AZ290" s="33"/>
    </row>
    <row r="291" spans="16:52" x14ac:dyDescent="0.35">
      <c r="P291" s="20"/>
      <c r="AT291" s="33"/>
      <c r="AW291" s="33"/>
      <c r="AZ291" s="33"/>
    </row>
    <row r="292" spans="16:52" x14ac:dyDescent="0.35">
      <c r="P292" s="20"/>
      <c r="AT292" s="33"/>
      <c r="AW292" s="33"/>
      <c r="AZ292" s="33"/>
    </row>
    <row r="293" spans="16:52" x14ac:dyDescent="0.35">
      <c r="P293" s="20"/>
      <c r="AT293" s="33"/>
      <c r="AW293" s="33"/>
      <c r="AZ293" s="33"/>
    </row>
    <row r="294" spans="16:52" x14ac:dyDescent="0.35">
      <c r="P294" s="20"/>
      <c r="AT294" s="33"/>
      <c r="AW294" s="33"/>
      <c r="AZ294" s="33"/>
    </row>
    <row r="295" spans="16:52" x14ac:dyDescent="0.35">
      <c r="P295" s="20"/>
      <c r="AT295" s="33"/>
      <c r="AW295" s="33"/>
      <c r="AZ295" s="33"/>
    </row>
    <row r="296" spans="16:52" x14ac:dyDescent="0.35">
      <c r="P296" s="20"/>
      <c r="AT296" s="33"/>
      <c r="AW296" s="33"/>
      <c r="AZ296" s="33"/>
    </row>
    <row r="297" spans="16:52" x14ac:dyDescent="0.35">
      <c r="P297" s="20"/>
      <c r="AT297" s="33"/>
      <c r="AW297" s="33"/>
      <c r="AZ297" s="33"/>
    </row>
    <row r="298" spans="16:52" x14ac:dyDescent="0.35">
      <c r="P298" s="20"/>
      <c r="AT298" s="33"/>
      <c r="AW298" s="33"/>
      <c r="AZ298" s="33"/>
    </row>
    <row r="299" spans="16:52" x14ac:dyDescent="0.35">
      <c r="P299" s="20"/>
      <c r="AT299" s="33"/>
      <c r="AW299" s="33"/>
      <c r="AZ299" s="33"/>
    </row>
    <row r="300" spans="16:52" x14ac:dyDescent="0.35">
      <c r="P300" s="20"/>
      <c r="AT300" s="33"/>
      <c r="AW300" s="33"/>
      <c r="AZ300" s="33"/>
    </row>
    <row r="301" spans="16:52" x14ac:dyDescent="0.35">
      <c r="P301" s="20"/>
      <c r="AT301" s="33"/>
      <c r="AW301" s="33"/>
      <c r="AZ301" s="33"/>
    </row>
    <row r="302" spans="16:52" x14ac:dyDescent="0.35">
      <c r="P302" s="20"/>
      <c r="AT302" s="33"/>
      <c r="AW302" s="33"/>
      <c r="AZ302" s="33"/>
    </row>
    <row r="303" spans="16:52" x14ac:dyDescent="0.35">
      <c r="P303" s="20"/>
      <c r="AT303" s="33"/>
      <c r="AW303" s="33"/>
      <c r="AZ303" s="33"/>
    </row>
    <row r="304" spans="16:52" x14ac:dyDescent="0.35">
      <c r="P304" s="20"/>
      <c r="AT304" s="33"/>
      <c r="AW304" s="33"/>
      <c r="AZ304" s="33"/>
    </row>
    <row r="305" spans="16:52" x14ac:dyDescent="0.35">
      <c r="P305" s="20"/>
      <c r="AT305" s="33"/>
      <c r="AW305" s="33"/>
      <c r="AZ305" s="33"/>
    </row>
    <row r="306" spans="16:52" x14ac:dyDescent="0.35">
      <c r="P306" s="20"/>
      <c r="AT306" s="33"/>
      <c r="AW306" s="33"/>
      <c r="AZ306" s="33"/>
    </row>
    <row r="307" spans="16:52" x14ac:dyDescent="0.35">
      <c r="P307" s="20"/>
      <c r="AT307" s="33"/>
      <c r="AW307" s="33"/>
      <c r="AZ307" s="33"/>
    </row>
    <row r="308" spans="16:52" x14ac:dyDescent="0.35">
      <c r="P308" s="20"/>
      <c r="AT308" s="33"/>
      <c r="AW308" s="33"/>
      <c r="AZ308" s="33"/>
    </row>
    <row r="309" spans="16:52" x14ac:dyDescent="0.35">
      <c r="P309" s="20"/>
      <c r="AT309" s="33"/>
      <c r="AW309" s="33"/>
      <c r="AZ309" s="33"/>
    </row>
    <row r="310" spans="16:52" x14ac:dyDescent="0.35">
      <c r="P310" s="20"/>
      <c r="AT310" s="33"/>
      <c r="AW310" s="33"/>
      <c r="AZ310" s="33"/>
    </row>
    <row r="311" spans="16:52" x14ac:dyDescent="0.35">
      <c r="P311" s="20"/>
      <c r="AT311" s="33"/>
      <c r="AW311" s="33"/>
      <c r="AZ311" s="33"/>
    </row>
    <row r="312" spans="16:52" x14ac:dyDescent="0.35">
      <c r="P312" s="20"/>
      <c r="AT312" s="33"/>
      <c r="AW312" s="33"/>
      <c r="AZ312" s="33"/>
    </row>
    <row r="313" spans="16:52" x14ac:dyDescent="0.35">
      <c r="P313" s="20"/>
      <c r="AT313" s="33"/>
      <c r="AW313" s="33"/>
      <c r="AZ313" s="33"/>
    </row>
    <row r="314" spans="16:52" x14ac:dyDescent="0.35">
      <c r="P314" s="20"/>
      <c r="AT314" s="33"/>
      <c r="AW314" s="33"/>
      <c r="AZ314" s="33"/>
    </row>
    <row r="315" spans="16:52" x14ac:dyDescent="0.35">
      <c r="P315" s="20"/>
      <c r="AT315" s="33"/>
      <c r="AW315" s="33"/>
      <c r="AZ315" s="33"/>
    </row>
    <row r="316" spans="16:52" x14ac:dyDescent="0.35">
      <c r="P316" s="20"/>
      <c r="AT316" s="33"/>
      <c r="AW316" s="33"/>
      <c r="AZ316" s="33"/>
    </row>
    <row r="317" spans="16:52" x14ac:dyDescent="0.35">
      <c r="P317" s="20"/>
      <c r="AT317" s="33"/>
      <c r="AW317" s="33"/>
      <c r="AZ317" s="33"/>
    </row>
    <row r="318" spans="16:52" x14ac:dyDescent="0.35">
      <c r="P318" s="20"/>
      <c r="AT318" s="33"/>
      <c r="AW318" s="33"/>
      <c r="AZ318" s="33"/>
    </row>
    <row r="319" spans="16:52" x14ac:dyDescent="0.35">
      <c r="P319" s="20"/>
      <c r="AT319" s="33"/>
      <c r="AW319" s="33"/>
      <c r="AZ319" s="33"/>
    </row>
    <row r="320" spans="16:52" x14ac:dyDescent="0.35">
      <c r="P320" s="20"/>
      <c r="AT320" s="33"/>
      <c r="AW320" s="33"/>
      <c r="AZ320" s="33"/>
    </row>
    <row r="321" spans="16:52" x14ac:dyDescent="0.35">
      <c r="P321" s="20"/>
      <c r="AT321" s="33"/>
      <c r="AW321" s="33"/>
      <c r="AZ321" s="33"/>
    </row>
    <row r="322" spans="16:52" x14ac:dyDescent="0.35">
      <c r="P322" s="20"/>
      <c r="AT322" s="33"/>
      <c r="AW322" s="33"/>
      <c r="AZ322" s="33"/>
    </row>
    <row r="323" spans="16:52" x14ac:dyDescent="0.35">
      <c r="P323" s="20"/>
      <c r="AT323" s="33"/>
      <c r="AW323" s="33"/>
      <c r="AZ323" s="33"/>
    </row>
    <row r="324" spans="16:52" x14ac:dyDescent="0.35">
      <c r="P324" s="20"/>
      <c r="AT324" s="33"/>
      <c r="AW324" s="33"/>
      <c r="AZ324" s="33"/>
    </row>
    <row r="325" spans="16:52" x14ac:dyDescent="0.35">
      <c r="P325" s="20"/>
      <c r="AT325" s="33"/>
      <c r="AW325" s="33"/>
      <c r="AZ325" s="33"/>
    </row>
    <row r="326" spans="16:52" x14ac:dyDescent="0.35">
      <c r="P326" s="20"/>
      <c r="AT326" s="33"/>
      <c r="AW326" s="33"/>
      <c r="AZ326" s="33"/>
    </row>
    <row r="327" spans="16:52" x14ac:dyDescent="0.35">
      <c r="P327" s="20"/>
      <c r="AT327" s="33"/>
      <c r="AW327" s="33"/>
      <c r="AZ327" s="33"/>
    </row>
    <row r="328" spans="16:52" x14ac:dyDescent="0.35">
      <c r="P328" s="20"/>
      <c r="AT328" s="33"/>
      <c r="AW328" s="33"/>
      <c r="AZ328" s="33"/>
    </row>
    <row r="329" spans="16:52" x14ac:dyDescent="0.35">
      <c r="P329" s="20"/>
      <c r="AT329" s="33"/>
      <c r="AW329" s="33"/>
      <c r="AZ329" s="33"/>
    </row>
    <row r="330" spans="16:52" x14ac:dyDescent="0.35">
      <c r="P330" s="20"/>
      <c r="AT330" s="33"/>
      <c r="AW330" s="33"/>
      <c r="AZ330" s="33"/>
    </row>
    <row r="331" spans="16:52" x14ac:dyDescent="0.35">
      <c r="P331" s="20"/>
      <c r="AT331" s="33"/>
      <c r="AW331" s="33"/>
      <c r="AZ331" s="33"/>
    </row>
    <row r="332" spans="16:52" x14ac:dyDescent="0.35">
      <c r="P332" s="20"/>
      <c r="AT332" s="33"/>
      <c r="AW332" s="33"/>
      <c r="AZ332" s="33"/>
    </row>
    <row r="333" spans="16:52" x14ac:dyDescent="0.35">
      <c r="P333" s="20"/>
      <c r="AT333" s="33"/>
      <c r="AW333" s="33"/>
      <c r="AZ333" s="33"/>
    </row>
    <row r="334" spans="16:52" x14ac:dyDescent="0.35">
      <c r="P334" s="20"/>
      <c r="AT334" s="33"/>
      <c r="AW334" s="33"/>
      <c r="AZ334" s="33"/>
    </row>
    <row r="335" spans="16:52" x14ac:dyDescent="0.35">
      <c r="P335" s="20"/>
      <c r="AT335" s="33"/>
      <c r="AW335" s="33"/>
      <c r="AZ335" s="33"/>
    </row>
    <row r="336" spans="16:52" x14ac:dyDescent="0.35">
      <c r="P336" s="20"/>
      <c r="AT336" s="33"/>
      <c r="AW336" s="33"/>
      <c r="AZ336" s="33"/>
    </row>
    <row r="337" spans="16:52" x14ac:dyDescent="0.35">
      <c r="P337" s="20"/>
      <c r="AT337" s="33"/>
      <c r="AW337" s="33"/>
      <c r="AZ337" s="33"/>
    </row>
    <row r="338" spans="16:52" x14ac:dyDescent="0.35">
      <c r="P338" s="20"/>
      <c r="AT338" s="33"/>
      <c r="AW338" s="33"/>
      <c r="AZ338" s="33"/>
    </row>
    <row r="339" spans="16:52" x14ac:dyDescent="0.35">
      <c r="P339" s="20"/>
      <c r="AT339" s="33"/>
      <c r="AW339" s="33"/>
      <c r="AZ339" s="33"/>
    </row>
    <row r="340" spans="16:52" x14ac:dyDescent="0.35">
      <c r="P340" s="20"/>
      <c r="AT340" s="33"/>
      <c r="AW340" s="33"/>
      <c r="AZ340" s="33"/>
    </row>
    <row r="341" spans="16:52" x14ac:dyDescent="0.35">
      <c r="P341" s="20"/>
      <c r="AT341" s="33"/>
      <c r="AW341" s="33"/>
      <c r="AZ341" s="33"/>
    </row>
    <row r="342" spans="16:52" x14ac:dyDescent="0.35">
      <c r="P342" s="20"/>
      <c r="AT342" s="33"/>
      <c r="AW342" s="33"/>
      <c r="AZ342" s="33"/>
    </row>
    <row r="343" spans="16:52" x14ac:dyDescent="0.35">
      <c r="P343" s="20"/>
      <c r="AT343" s="33"/>
      <c r="AW343" s="33"/>
      <c r="AZ343" s="33"/>
    </row>
    <row r="344" spans="16:52" x14ac:dyDescent="0.35">
      <c r="P344" s="20"/>
      <c r="AT344" s="33"/>
      <c r="AW344" s="33"/>
      <c r="AZ344" s="33"/>
    </row>
    <row r="345" spans="16:52" x14ac:dyDescent="0.35">
      <c r="P345" s="20"/>
      <c r="AT345" s="33"/>
      <c r="AW345" s="33"/>
      <c r="AZ345" s="33"/>
    </row>
    <row r="346" spans="16:52" x14ac:dyDescent="0.35">
      <c r="P346" s="20"/>
      <c r="AT346" s="33"/>
      <c r="AW346" s="33"/>
      <c r="AZ346" s="33"/>
    </row>
    <row r="347" spans="16:52" x14ac:dyDescent="0.35">
      <c r="P347" s="20"/>
      <c r="AT347" s="33"/>
      <c r="AW347" s="33"/>
      <c r="AZ347" s="33"/>
    </row>
    <row r="348" spans="16:52" x14ac:dyDescent="0.35">
      <c r="P348" s="20"/>
      <c r="AT348" s="33"/>
      <c r="AW348" s="33"/>
      <c r="AZ348" s="33"/>
    </row>
    <row r="349" spans="16:52" x14ac:dyDescent="0.35">
      <c r="P349" s="20"/>
      <c r="AT349" s="33"/>
      <c r="AW349" s="33"/>
      <c r="AZ349" s="33"/>
    </row>
    <row r="350" spans="16:52" x14ac:dyDescent="0.35">
      <c r="P350" s="20"/>
      <c r="AT350" s="33"/>
      <c r="AW350" s="33"/>
      <c r="AZ350" s="33"/>
    </row>
    <row r="351" spans="16:52" x14ac:dyDescent="0.35">
      <c r="P351" s="20"/>
      <c r="AT351" s="33"/>
      <c r="AW351" s="33"/>
      <c r="AZ351" s="33"/>
    </row>
    <row r="352" spans="16:52" x14ac:dyDescent="0.35">
      <c r="P352" s="20"/>
      <c r="AT352" s="33"/>
      <c r="AW352" s="33"/>
      <c r="AZ352" s="33"/>
    </row>
    <row r="353" spans="16:52" x14ac:dyDescent="0.35">
      <c r="P353" s="20"/>
      <c r="AT353" s="33"/>
      <c r="AW353" s="33"/>
      <c r="AZ353" s="33"/>
    </row>
    <row r="354" spans="16:52" x14ac:dyDescent="0.35">
      <c r="P354" s="20"/>
      <c r="AT354" s="33"/>
      <c r="AW354" s="33"/>
      <c r="AZ354" s="33"/>
    </row>
    <row r="355" spans="16:52" x14ac:dyDescent="0.35">
      <c r="P355" s="20"/>
      <c r="AT355" s="33"/>
      <c r="AW355" s="33"/>
      <c r="AZ355" s="33"/>
    </row>
    <row r="356" spans="16:52" x14ac:dyDescent="0.35">
      <c r="P356" s="20"/>
      <c r="AT356" s="33"/>
      <c r="AW356" s="33"/>
      <c r="AZ356" s="33"/>
    </row>
    <row r="357" spans="16:52" x14ac:dyDescent="0.35">
      <c r="P357" s="20"/>
      <c r="AT357" s="33"/>
      <c r="AW357" s="33"/>
      <c r="AZ357" s="33"/>
    </row>
    <row r="358" spans="16:52" x14ac:dyDescent="0.35">
      <c r="P358" s="20"/>
      <c r="AT358" s="33"/>
      <c r="AW358" s="33"/>
      <c r="AZ358" s="33"/>
    </row>
    <row r="359" spans="16:52" x14ac:dyDescent="0.35">
      <c r="P359" s="20"/>
      <c r="AT359" s="33"/>
      <c r="AW359" s="33"/>
      <c r="AZ359" s="33"/>
    </row>
    <row r="360" spans="16:52" x14ac:dyDescent="0.35">
      <c r="P360" s="20"/>
      <c r="AT360" s="33"/>
      <c r="AW360" s="33"/>
      <c r="AZ360" s="33"/>
    </row>
    <row r="361" spans="16:52" x14ac:dyDescent="0.35">
      <c r="P361" s="20"/>
      <c r="AT361" s="33"/>
      <c r="AW361" s="33"/>
      <c r="AZ361" s="33"/>
    </row>
    <row r="362" spans="16:52" x14ac:dyDescent="0.35">
      <c r="P362" s="20"/>
      <c r="AT362" s="33"/>
      <c r="AW362" s="33"/>
      <c r="AZ362" s="33"/>
    </row>
    <row r="363" spans="16:52" x14ac:dyDescent="0.35">
      <c r="P363" s="20"/>
      <c r="AT363" s="33"/>
      <c r="AW363" s="33"/>
      <c r="AZ363" s="33"/>
    </row>
    <row r="364" spans="16:52" x14ac:dyDescent="0.35">
      <c r="P364" s="20"/>
      <c r="AT364" s="33"/>
      <c r="AW364" s="33"/>
      <c r="AZ364" s="33"/>
    </row>
    <row r="365" spans="16:52" x14ac:dyDescent="0.35">
      <c r="P365" s="20"/>
      <c r="AT365" s="33"/>
      <c r="AW365" s="33"/>
      <c r="AZ365" s="33"/>
    </row>
    <row r="366" spans="16:52" x14ac:dyDescent="0.35">
      <c r="P366" s="20"/>
      <c r="AT366" s="33"/>
      <c r="AW366" s="33"/>
      <c r="AZ366" s="33"/>
    </row>
    <row r="367" spans="16:52" x14ac:dyDescent="0.35">
      <c r="P367" s="20"/>
      <c r="AT367" s="33"/>
      <c r="AW367" s="33"/>
      <c r="AZ367" s="33"/>
    </row>
    <row r="368" spans="16:52" x14ac:dyDescent="0.35">
      <c r="P368" s="20"/>
      <c r="AT368" s="33"/>
      <c r="AW368" s="33"/>
      <c r="AZ368" s="33"/>
    </row>
    <row r="369" spans="16:52" x14ac:dyDescent="0.35">
      <c r="P369" s="20"/>
      <c r="AT369" s="33"/>
      <c r="AW369" s="33"/>
      <c r="AZ369" s="33"/>
    </row>
    <row r="370" spans="16:52" x14ac:dyDescent="0.35">
      <c r="P370" s="20"/>
      <c r="AT370" s="33"/>
      <c r="AW370" s="33"/>
      <c r="AZ370" s="33"/>
    </row>
    <row r="371" spans="16:52" x14ac:dyDescent="0.35">
      <c r="P371" s="20"/>
      <c r="AT371" s="33"/>
      <c r="AW371" s="33"/>
      <c r="AZ371" s="33"/>
    </row>
    <row r="372" spans="16:52" x14ac:dyDescent="0.35">
      <c r="P372" s="20"/>
      <c r="AT372" s="33"/>
      <c r="AW372" s="33"/>
      <c r="AZ372" s="33"/>
    </row>
    <row r="373" spans="16:52" x14ac:dyDescent="0.35">
      <c r="P373" s="20"/>
      <c r="AT373" s="33"/>
      <c r="AW373" s="33"/>
      <c r="AZ373" s="33"/>
    </row>
    <row r="374" spans="16:52" x14ac:dyDescent="0.35">
      <c r="P374" s="20"/>
      <c r="AT374" s="33"/>
      <c r="AW374" s="33"/>
      <c r="AZ374" s="33"/>
    </row>
    <row r="375" spans="16:52" x14ac:dyDescent="0.35">
      <c r="P375" s="20"/>
      <c r="AT375" s="33"/>
      <c r="AW375" s="33"/>
      <c r="AZ375" s="33"/>
    </row>
    <row r="376" spans="16:52" x14ac:dyDescent="0.35">
      <c r="P376" s="20"/>
      <c r="AT376" s="33"/>
      <c r="AW376" s="33"/>
      <c r="AZ376" s="33"/>
    </row>
    <row r="377" spans="16:52" x14ac:dyDescent="0.35">
      <c r="P377" s="20"/>
      <c r="AT377" s="33"/>
      <c r="AW377" s="33"/>
      <c r="AZ377" s="33"/>
    </row>
    <row r="378" spans="16:52" x14ac:dyDescent="0.35">
      <c r="P378" s="20"/>
      <c r="AT378" s="33"/>
      <c r="AW378" s="33"/>
      <c r="AZ378" s="33"/>
    </row>
    <row r="379" spans="16:52" x14ac:dyDescent="0.35">
      <c r="P379" s="20"/>
      <c r="AT379" s="33"/>
      <c r="AW379" s="33"/>
      <c r="AZ379" s="33"/>
    </row>
    <row r="380" spans="16:52" x14ac:dyDescent="0.35">
      <c r="P380" s="20"/>
      <c r="AT380" s="33"/>
      <c r="AW380" s="33"/>
      <c r="AZ380" s="33"/>
    </row>
    <row r="381" spans="16:52" x14ac:dyDescent="0.35">
      <c r="P381" s="20"/>
      <c r="AT381" s="33"/>
      <c r="AW381" s="33"/>
      <c r="AZ381" s="33"/>
    </row>
    <row r="382" spans="16:52" x14ac:dyDescent="0.35">
      <c r="P382" s="20"/>
      <c r="AT382" s="33"/>
      <c r="AW382" s="33"/>
      <c r="AZ382" s="33"/>
    </row>
    <row r="383" spans="16:52" x14ac:dyDescent="0.35">
      <c r="P383" s="20"/>
      <c r="AT383" s="33"/>
      <c r="AW383" s="33"/>
      <c r="AZ383" s="33"/>
    </row>
    <row r="384" spans="16:52" x14ac:dyDescent="0.35">
      <c r="P384" s="20"/>
      <c r="AT384" s="33"/>
      <c r="AW384" s="33"/>
      <c r="AZ384" s="33"/>
    </row>
    <row r="385" spans="16:52" x14ac:dyDescent="0.35">
      <c r="P385" s="20"/>
      <c r="AT385" s="33"/>
      <c r="AW385" s="33"/>
      <c r="AZ385" s="33"/>
    </row>
    <row r="386" spans="16:52" x14ac:dyDescent="0.35">
      <c r="P386" s="20"/>
      <c r="AT386" s="33"/>
      <c r="AW386" s="33"/>
      <c r="AZ386" s="33"/>
    </row>
    <row r="387" spans="16:52" x14ac:dyDescent="0.35">
      <c r="P387" s="20"/>
      <c r="AT387" s="33"/>
      <c r="AW387" s="33"/>
      <c r="AZ387" s="33"/>
    </row>
    <row r="388" spans="16:52" x14ac:dyDescent="0.35">
      <c r="P388" s="20"/>
      <c r="AT388" s="33"/>
      <c r="AW388" s="33"/>
      <c r="AZ388" s="33"/>
    </row>
    <row r="389" spans="16:52" x14ac:dyDescent="0.35">
      <c r="P389" s="20"/>
      <c r="AT389" s="33"/>
      <c r="AW389" s="33"/>
      <c r="AZ389" s="33"/>
    </row>
    <row r="390" spans="16:52" x14ac:dyDescent="0.35">
      <c r="P390" s="20"/>
      <c r="AT390" s="33"/>
      <c r="AW390" s="33"/>
      <c r="AZ390" s="33"/>
    </row>
    <row r="391" spans="16:52" x14ac:dyDescent="0.35">
      <c r="P391" s="20"/>
      <c r="AT391" s="33"/>
      <c r="AW391" s="33"/>
      <c r="AZ391" s="33"/>
    </row>
    <row r="392" spans="16:52" x14ac:dyDescent="0.35">
      <c r="P392" s="20"/>
      <c r="AT392" s="33"/>
      <c r="AW392" s="33"/>
      <c r="AZ392" s="33"/>
    </row>
    <row r="393" spans="16:52" x14ac:dyDescent="0.35">
      <c r="AT393" s="33"/>
      <c r="AW393" s="33"/>
      <c r="AZ393" s="33"/>
    </row>
    <row r="394" spans="16:52" x14ac:dyDescent="0.35">
      <c r="AT394" s="33"/>
      <c r="AW394" s="33"/>
      <c r="AZ394" s="33"/>
    </row>
    <row r="395" spans="16:52" x14ac:dyDescent="0.35">
      <c r="AT395" s="33"/>
      <c r="AW395" s="33"/>
      <c r="AZ395" s="33"/>
    </row>
    <row r="396" spans="16:52" x14ac:dyDescent="0.35">
      <c r="AT396" s="33"/>
      <c r="AW396" s="33"/>
      <c r="AZ396" s="33"/>
    </row>
    <row r="397" spans="16:52" x14ac:dyDescent="0.35">
      <c r="AT397" s="33"/>
      <c r="AW397" s="33"/>
      <c r="AZ397" s="33"/>
    </row>
    <row r="398" spans="16:52" x14ac:dyDescent="0.35">
      <c r="AT398" s="33"/>
      <c r="AW398" s="33"/>
      <c r="AZ398" s="33"/>
    </row>
    <row r="399" spans="16:52" x14ac:dyDescent="0.35">
      <c r="AT399" s="33"/>
      <c r="AW399" s="33"/>
      <c r="AZ399" s="33"/>
    </row>
    <row r="400" spans="16:52" x14ac:dyDescent="0.35">
      <c r="AT400" s="33"/>
      <c r="AW400" s="33"/>
      <c r="AZ400" s="33"/>
    </row>
    <row r="401" spans="46:52" x14ac:dyDescent="0.35">
      <c r="AT401" s="33"/>
      <c r="AW401" s="33"/>
      <c r="AZ401" s="33"/>
    </row>
    <row r="402" spans="46:52" x14ac:dyDescent="0.35">
      <c r="AT402" s="33"/>
      <c r="AW402" s="33"/>
      <c r="AZ402" s="33"/>
    </row>
    <row r="403" spans="46:52" x14ac:dyDescent="0.35">
      <c r="AT403" s="33"/>
      <c r="AW403" s="33"/>
      <c r="AZ403" s="33"/>
    </row>
    <row r="404" spans="46:52" x14ac:dyDescent="0.35">
      <c r="AT404" s="33"/>
      <c r="AW404" s="33"/>
      <c r="AZ404" s="33"/>
    </row>
    <row r="405" spans="46:52" x14ac:dyDescent="0.35">
      <c r="AT405" s="33"/>
      <c r="AW405" s="33"/>
      <c r="AZ405" s="33"/>
    </row>
    <row r="406" spans="46:52" x14ac:dyDescent="0.35">
      <c r="AT406" s="33"/>
      <c r="AW406" s="33"/>
      <c r="AZ406" s="33"/>
    </row>
    <row r="407" spans="46:52" x14ac:dyDescent="0.35">
      <c r="AT407" s="33"/>
      <c r="AW407" s="33"/>
      <c r="AZ407" s="33"/>
    </row>
    <row r="408" spans="46:52" x14ac:dyDescent="0.35">
      <c r="AT408" s="33"/>
      <c r="AW408" s="33"/>
      <c r="AZ408" s="33"/>
    </row>
    <row r="409" spans="46:52" x14ac:dyDescent="0.35">
      <c r="AT409" s="33"/>
      <c r="AW409" s="33"/>
      <c r="AZ409" s="33"/>
    </row>
    <row r="410" spans="46:52" x14ac:dyDescent="0.35">
      <c r="AT410" s="33"/>
      <c r="AW410" s="33"/>
      <c r="AZ410" s="33"/>
    </row>
    <row r="411" spans="46:52" x14ac:dyDescent="0.35">
      <c r="AT411" s="33"/>
      <c r="AW411" s="33"/>
      <c r="AZ411" s="33"/>
    </row>
    <row r="412" spans="46:52" x14ac:dyDescent="0.35">
      <c r="AT412" s="33"/>
      <c r="AW412" s="33"/>
      <c r="AZ412" s="33"/>
    </row>
    <row r="413" spans="46:52" x14ac:dyDescent="0.35">
      <c r="AT413" s="33"/>
      <c r="AW413" s="33"/>
      <c r="AZ413" s="33"/>
    </row>
    <row r="414" spans="46:52" x14ac:dyDescent="0.35">
      <c r="AT414" s="33"/>
      <c r="AW414" s="33"/>
      <c r="AZ414" s="33"/>
    </row>
    <row r="415" spans="46:52" x14ac:dyDescent="0.35">
      <c r="AT415" s="33"/>
      <c r="AW415" s="33"/>
      <c r="AZ415" s="33"/>
    </row>
    <row r="416" spans="46:52" x14ac:dyDescent="0.35">
      <c r="AT416" s="33"/>
      <c r="AW416" s="33"/>
      <c r="AZ416" s="33"/>
    </row>
    <row r="417" spans="46:52" x14ac:dyDescent="0.35">
      <c r="AT417" s="33"/>
      <c r="AW417" s="33"/>
      <c r="AZ417" s="33"/>
    </row>
    <row r="418" spans="46:52" x14ac:dyDescent="0.35">
      <c r="AT418" s="33"/>
      <c r="AW418" s="33"/>
      <c r="AZ418" s="33"/>
    </row>
    <row r="419" spans="46:52" x14ac:dyDescent="0.35">
      <c r="AT419" s="33"/>
      <c r="AW419" s="33"/>
      <c r="AZ419" s="33"/>
    </row>
    <row r="420" spans="46:52" x14ac:dyDescent="0.35">
      <c r="AT420" s="33"/>
      <c r="AW420" s="33"/>
      <c r="AZ420" s="33"/>
    </row>
    <row r="421" spans="46:52" x14ac:dyDescent="0.35">
      <c r="AT421" s="33"/>
      <c r="AW421" s="33"/>
      <c r="AZ421" s="33"/>
    </row>
    <row r="422" spans="46:52" x14ac:dyDescent="0.35">
      <c r="AT422" s="33"/>
      <c r="AW422" s="33"/>
      <c r="AZ422" s="33"/>
    </row>
    <row r="423" spans="46:52" x14ac:dyDescent="0.35">
      <c r="AT423" s="33"/>
      <c r="AW423" s="33"/>
      <c r="AZ423" s="33"/>
    </row>
    <row r="424" spans="46:52" x14ac:dyDescent="0.35">
      <c r="AT424" s="33"/>
      <c r="AW424" s="33"/>
      <c r="AZ424" s="33"/>
    </row>
    <row r="425" spans="46:52" x14ac:dyDescent="0.35">
      <c r="AT425" s="33"/>
      <c r="AW425" s="33"/>
      <c r="AZ425" s="33"/>
    </row>
    <row r="426" spans="46:52" x14ac:dyDescent="0.35">
      <c r="AT426" s="33"/>
      <c r="AW426" s="33"/>
      <c r="AZ426" s="33"/>
    </row>
    <row r="427" spans="46:52" x14ac:dyDescent="0.35">
      <c r="AT427" s="33"/>
      <c r="AW427" s="33"/>
      <c r="AZ427" s="33"/>
    </row>
    <row r="428" spans="46:52" x14ac:dyDescent="0.35">
      <c r="AT428" s="33"/>
      <c r="AW428" s="33"/>
      <c r="AZ428" s="33"/>
    </row>
    <row r="429" spans="46:52" x14ac:dyDescent="0.35">
      <c r="AT429" s="33"/>
      <c r="AW429" s="33"/>
      <c r="AZ429" s="33"/>
    </row>
    <row r="430" spans="46:52" x14ac:dyDescent="0.35">
      <c r="AT430" s="33"/>
      <c r="AW430" s="33"/>
      <c r="AZ430" s="33"/>
    </row>
    <row r="431" spans="46:52" x14ac:dyDescent="0.35">
      <c r="AT431" s="33"/>
      <c r="AW431" s="33"/>
      <c r="AZ431" s="33"/>
    </row>
    <row r="432" spans="46:52" x14ac:dyDescent="0.35">
      <c r="AT432" s="33"/>
      <c r="AW432" s="33"/>
      <c r="AZ432" s="33"/>
    </row>
    <row r="433" spans="40:52" x14ac:dyDescent="0.35">
      <c r="AT433" s="33"/>
      <c r="AW433" s="33"/>
      <c r="AZ433" s="33"/>
    </row>
    <row r="434" spans="40:52" x14ac:dyDescent="0.35">
      <c r="AT434" s="33"/>
      <c r="AW434" s="33"/>
      <c r="AZ434" s="33"/>
    </row>
    <row r="435" spans="40:52" x14ac:dyDescent="0.35">
      <c r="AT435" s="33"/>
      <c r="AW435" s="33"/>
      <c r="AZ435" s="33"/>
    </row>
    <row r="436" spans="40:52" x14ac:dyDescent="0.35">
      <c r="AT436" s="33"/>
      <c r="AW436" s="33"/>
      <c r="AZ436" s="33"/>
    </row>
    <row r="437" spans="40:52" x14ac:dyDescent="0.35">
      <c r="AN437" s="5"/>
      <c r="AT437" s="33"/>
      <c r="AW437" s="33"/>
      <c r="AZ437" s="33"/>
    </row>
    <row r="438" spans="40:52" x14ac:dyDescent="0.35">
      <c r="AT438" s="33"/>
      <c r="AW438" s="33"/>
      <c r="AZ438" s="33"/>
    </row>
    <row r="439" spans="40:52" x14ac:dyDescent="0.35">
      <c r="AT439" s="33"/>
      <c r="AW439" s="33"/>
      <c r="AZ439" s="33"/>
    </row>
    <row r="440" spans="40:52" x14ac:dyDescent="0.35">
      <c r="AT440" s="33"/>
      <c r="AW440" s="33"/>
      <c r="AZ440" s="33"/>
    </row>
    <row r="441" spans="40:52" x14ac:dyDescent="0.35">
      <c r="AT441" s="33"/>
      <c r="AW441" s="33"/>
      <c r="AZ441" s="33"/>
    </row>
    <row r="442" spans="40:52" x14ac:dyDescent="0.35">
      <c r="AT442" s="33"/>
      <c r="AW442" s="33"/>
      <c r="AZ442" s="33"/>
    </row>
    <row r="443" spans="40:52" x14ac:dyDescent="0.35">
      <c r="AT443" s="33"/>
      <c r="AW443" s="33"/>
      <c r="AZ443" s="33"/>
    </row>
    <row r="444" spans="40:52" x14ac:dyDescent="0.35">
      <c r="AT444" s="33"/>
      <c r="AW444" s="33"/>
      <c r="AZ444" s="33"/>
    </row>
    <row r="445" spans="40:52" x14ac:dyDescent="0.35">
      <c r="AT445" s="33"/>
      <c r="AW445" s="33"/>
      <c r="AZ445" s="33"/>
    </row>
    <row r="446" spans="40:52" x14ac:dyDescent="0.35">
      <c r="AT446" s="33"/>
      <c r="AW446" s="33"/>
      <c r="AZ446" s="33"/>
    </row>
    <row r="447" spans="40:52" x14ac:dyDescent="0.35">
      <c r="AT447" s="33"/>
      <c r="AW447" s="33"/>
      <c r="AZ447" s="33"/>
    </row>
    <row r="448" spans="40:52" x14ac:dyDescent="0.35">
      <c r="AT448" s="33"/>
      <c r="AW448" s="33"/>
      <c r="AZ448" s="33"/>
    </row>
    <row r="449" spans="46:52" x14ac:dyDescent="0.35">
      <c r="AT449" s="33"/>
      <c r="AW449" s="33"/>
      <c r="AZ449" s="33"/>
    </row>
    <row r="450" spans="46:52" x14ac:dyDescent="0.35">
      <c r="AT450" s="33"/>
      <c r="AW450" s="33"/>
      <c r="AZ450" s="33"/>
    </row>
    <row r="451" spans="46:52" x14ac:dyDescent="0.35">
      <c r="AT451" s="33"/>
      <c r="AW451" s="33"/>
      <c r="AZ451" s="33"/>
    </row>
    <row r="452" spans="46:52" x14ac:dyDescent="0.35">
      <c r="AT452" s="33"/>
      <c r="AW452" s="33"/>
      <c r="AZ452" s="33"/>
    </row>
    <row r="453" spans="46:52" x14ac:dyDescent="0.35">
      <c r="AT453" s="33"/>
      <c r="AW453" s="33"/>
      <c r="AZ453" s="33"/>
    </row>
    <row r="454" spans="46:52" x14ac:dyDescent="0.35">
      <c r="AT454" s="33"/>
      <c r="AW454" s="33"/>
      <c r="AZ454" s="33"/>
    </row>
    <row r="455" spans="46:52" x14ac:dyDescent="0.35">
      <c r="AT455" s="33"/>
      <c r="AW455" s="33"/>
      <c r="AZ455" s="33"/>
    </row>
    <row r="456" spans="46:52" x14ac:dyDescent="0.35">
      <c r="AT456" s="33"/>
      <c r="AW456" s="33"/>
      <c r="AZ456" s="33"/>
    </row>
    <row r="457" spans="46:52" x14ac:dyDescent="0.35">
      <c r="AT457" s="33"/>
      <c r="AW457" s="33"/>
      <c r="AZ457" s="33"/>
    </row>
    <row r="458" spans="46:52" x14ac:dyDescent="0.35">
      <c r="AT458" s="33"/>
      <c r="AW458" s="33"/>
      <c r="AZ458" s="33"/>
    </row>
    <row r="459" spans="46:52" x14ac:dyDescent="0.35">
      <c r="AT459" s="33"/>
      <c r="AW459" s="33"/>
      <c r="AZ459" s="33"/>
    </row>
    <row r="460" spans="46:52" x14ac:dyDescent="0.35">
      <c r="AT460" s="33"/>
      <c r="AW460" s="33"/>
      <c r="AZ460" s="33"/>
    </row>
    <row r="461" spans="46:52" x14ac:dyDescent="0.35">
      <c r="AT461" s="33"/>
      <c r="AW461" s="33"/>
      <c r="AZ461" s="33"/>
    </row>
    <row r="462" spans="46:52" x14ac:dyDescent="0.35">
      <c r="AT462" s="33"/>
      <c r="AW462" s="33"/>
      <c r="AZ462" s="33"/>
    </row>
    <row r="463" spans="46:52" x14ac:dyDescent="0.35">
      <c r="AT463" s="33"/>
      <c r="AW463" s="33"/>
      <c r="AZ463" s="33"/>
    </row>
    <row r="464" spans="46:52" x14ac:dyDescent="0.35">
      <c r="AT464" s="33"/>
      <c r="AW464" s="33"/>
      <c r="AZ464" s="33"/>
    </row>
    <row r="465" spans="46:52" x14ac:dyDescent="0.35">
      <c r="AT465" s="33"/>
      <c r="AW465" s="33"/>
      <c r="AZ465" s="33"/>
    </row>
    <row r="466" spans="46:52" x14ac:dyDescent="0.35">
      <c r="AT466" s="33"/>
      <c r="AW466" s="33"/>
      <c r="AZ466" s="33"/>
    </row>
    <row r="467" spans="46:52" x14ac:dyDescent="0.35">
      <c r="AT467" s="33"/>
      <c r="AW467" s="33"/>
      <c r="AZ467" s="33"/>
    </row>
    <row r="468" spans="46:52" x14ac:dyDescent="0.35">
      <c r="AT468" s="33"/>
      <c r="AW468" s="33"/>
      <c r="AZ468" s="33"/>
    </row>
    <row r="469" spans="46:52" x14ac:dyDescent="0.35">
      <c r="AT469" s="33"/>
      <c r="AW469" s="33"/>
      <c r="AZ469" s="33"/>
    </row>
    <row r="470" spans="46:52" x14ac:dyDescent="0.35">
      <c r="AT470" s="33"/>
      <c r="AW470" s="33"/>
      <c r="AZ470" s="33"/>
    </row>
    <row r="471" spans="46:52" x14ac:dyDescent="0.35">
      <c r="AT471" s="33"/>
      <c r="AW471" s="33"/>
      <c r="AZ471" s="33"/>
    </row>
    <row r="472" spans="46:52" x14ac:dyDescent="0.35">
      <c r="AT472" s="33"/>
      <c r="AW472" s="33"/>
      <c r="AZ472" s="33"/>
    </row>
    <row r="473" spans="46:52" x14ac:dyDescent="0.35">
      <c r="AT473" s="33"/>
      <c r="AW473" s="33"/>
      <c r="AZ473" s="33"/>
    </row>
    <row r="474" spans="46:52" x14ac:dyDescent="0.35">
      <c r="AT474" s="33"/>
      <c r="AW474" s="33"/>
      <c r="AZ474" s="33"/>
    </row>
    <row r="475" spans="46:52" x14ac:dyDescent="0.35">
      <c r="AT475" s="33"/>
      <c r="AW475" s="33"/>
      <c r="AZ475" s="33"/>
    </row>
    <row r="476" spans="46:52" x14ac:dyDescent="0.35">
      <c r="AT476" s="33"/>
      <c r="AW476" s="33"/>
      <c r="AZ476" s="33"/>
    </row>
    <row r="477" spans="46:52" x14ac:dyDescent="0.35">
      <c r="AT477" s="33"/>
      <c r="AW477" s="33"/>
      <c r="AZ477" s="33"/>
    </row>
    <row r="478" spans="46:52" x14ac:dyDescent="0.35">
      <c r="AT478" s="33"/>
      <c r="AW478" s="33"/>
      <c r="AZ478" s="33"/>
    </row>
    <row r="479" spans="46:52" x14ac:dyDescent="0.35">
      <c r="AT479" s="33"/>
      <c r="AW479" s="33"/>
      <c r="AZ479" s="33"/>
    </row>
    <row r="480" spans="46:52" x14ac:dyDescent="0.35">
      <c r="AT480" s="33"/>
      <c r="AW480" s="33"/>
      <c r="AZ480" s="33"/>
    </row>
    <row r="481" spans="46:52" x14ac:dyDescent="0.35">
      <c r="AT481" s="33"/>
      <c r="AW481" s="33"/>
      <c r="AZ481" s="33"/>
    </row>
    <row r="482" spans="46:52" x14ac:dyDescent="0.35">
      <c r="AT482" s="33"/>
      <c r="AW482" s="33"/>
      <c r="AZ482" s="33"/>
    </row>
    <row r="483" spans="46:52" x14ac:dyDescent="0.35">
      <c r="AT483" s="33"/>
      <c r="AW483" s="33"/>
      <c r="AZ483" s="33"/>
    </row>
    <row r="484" spans="46:52" x14ac:dyDescent="0.35">
      <c r="AT484" s="33"/>
      <c r="AW484" s="33"/>
      <c r="AZ484" s="33"/>
    </row>
    <row r="485" spans="46:52" x14ac:dyDescent="0.35">
      <c r="AT485" s="33"/>
      <c r="AW485" s="33"/>
      <c r="AZ485" s="33"/>
    </row>
    <row r="486" spans="46:52" x14ac:dyDescent="0.35">
      <c r="AT486" s="33"/>
      <c r="AW486" s="33"/>
      <c r="AZ486" s="33"/>
    </row>
    <row r="487" spans="46:52" x14ac:dyDescent="0.35">
      <c r="AT487" s="33"/>
      <c r="AW487" s="33"/>
      <c r="AZ487" s="33"/>
    </row>
    <row r="488" spans="46:52" x14ac:dyDescent="0.35">
      <c r="AT488" s="33"/>
      <c r="AW488" s="33"/>
      <c r="AZ488" s="33"/>
    </row>
    <row r="489" spans="46:52" x14ac:dyDescent="0.35">
      <c r="AT489" s="33"/>
      <c r="AW489" s="33"/>
      <c r="AZ489" s="33"/>
    </row>
    <row r="490" spans="46:52" x14ac:dyDescent="0.35">
      <c r="AT490" s="33"/>
      <c r="AW490" s="33"/>
      <c r="AZ490" s="33"/>
    </row>
    <row r="491" spans="46:52" x14ac:dyDescent="0.35">
      <c r="AT491" s="33"/>
      <c r="AW491" s="33"/>
      <c r="AZ491" s="33"/>
    </row>
    <row r="492" spans="46:52" x14ac:dyDescent="0.35">
      <c r="AT492" s="33"/>
      <c r="AW492" s="33"/>
      <c r="AZ492" s="33"/>
    </row>
    <row r="493" spans="46:52" x14ac:dyDescent="0.35">
      <c r="AT493" s="33"/>
      <c r="AW493" s="33"/>
      <c r="AZ493" s="33"/>
    </row>
    <row r="494" spans="46:52" x14ac:dyDescent="0.35">
      <c r="AT494" s="33"/>
      <c r="AW494" s="33"/>
      <c r="AZ494" s="33"/>
    </row>
    <row r="495" spans="46:52" x14ac:dyDescent="0.35">
      <c r="AT495" s="33"/>
      <c r="AW495" s="33"/>
      <c r="AZ495" s="33"/>
    </row>
    <row r="496" spans="46:52" x14ac:dyDescent="0.35">
      <c r="AT496" s="33"/>
      <c r="AW496" s="33"/>
      <c r="AZ496" s="33"/>
    </row>
    <row r="497" spans="46:52" x14ac:dyDescent="0.35">
      <c r="AT497" s="33"/>
      <c r="AW497" s="33"/>
      <c r="AZ497" s="33"/>
    </row>
    <row r="498" spans="46:52" x14ac:dyDescent="0.35">
      <c r="AT498" s="33"/>
      <c r="AW498" s="33"/>
      <c r="AZ498" s="33"/>
    </row>
    <row r="499" spans="46:52" x14ac:dyDescent="0.35">
      <c r="AT499" s="33"/>
      <c r="AW499" s="33"/>
      <c r="AZ499" s="33"/>
    </row>
    <row r="500" spans="46:52" x14ac:dyDescent="0.35">
      <c r="AT500" s="33"/>
      <c r="AW500" s="33"/>
      <c r="AZ500" s="33"/>
    </row>
    <row r="501" spans="46:52" x14ac:dyDescent="0.35">
      <c r="AT501" s="33"/>
      <c r="AW501" s="33"/>
      <c r="AZ501" s="33"/>
    </row>
    <row r="502" spans="46:52" x14ac:dyDescent="0.35">
      <c r="AT502" s="33"/>
      <c r="AW502" s="33"/>
      <c r="AZ502" s="33"/>
    </row>
    <row r="503" spans="46:52" x14ac:dyDescent="0.35">
      <c r="AT503" s="33"/>
      <c r="AW503" s="33"/>
      <c r="AZ503" s="33"/>
    </row>
    <row r="504" spans="46:52" x14ac:dyDescent="0.35">
      <c r="AT504" s="33"/>
      <c r="AW504" s="33"/>
      <c r="AZ504" s="33"/>
    </row>
    <row r="505" spans="46:52" x14ac:dyDescent="0.35">
      <c r="AT505" s="33"/>
      <c r="AW505" s="33"/>
      <c r="AZ505" s="33"/>
    </row>
    <row r="506" spans="46:52" x14ac:dyDescent="0.35">
      <c r="AT506" s="33"/>
      <c r="AW506" s="33"/>
      <c r="AZ506" s="33"/>
    </row>
    <row r="507" spans="46:52" x14ac:dyDescent="0.35">
      <c r="AT507" s="33"/>
      <c r="AW507" s="33"/>
      <c r="AZ507" s="33"/>
    </row>
    <row r="508" spans="46:52" x14ac:dyDescent="0.35">
      <c r="AT508" s="33"/>
      <c r="AW508" s="33"/>
      <c r="AZ508" s="33"/>
    </row>
    <row r="509" spans="46:52" x14ac:dyDescent="0.35">
      <c r="AT509" s="33"/>
      <c r="AW509" s="33"/>
      <c r="AZ509" s="33"/>
    </row>
    <row r="510" spans="46:52" x14ac:dyDescent="0.35">
      <c r="AT510" s="33"/>
      <c r="AW510" s="33"/>
      <c r="AZ510" s="33"/>
    </row>
    <row r="511" spans="46:52" x14ac:dyDescent="0.35">
      <c r="AT511" s="33"/>
      <c r="AW511" s="33"/>
      <c r="AZ511" s="33"/>
    </row>
    <row r="512" spans="46:52" x14ac:dyDescent="0.35">
      <c r="AT512" s="33"/>
      <c r="AW512" s="33"/>
      <c r="AZ512" s="33"/>
    </row>
    <row r="513" spans="46:52" x14ac:dyDescent="0.35">
      <c r="AT513" s="33"/>
      <c r="AW513" s="33"/>
      <c r="AZ513" s="33"/>
    </row>
    <row r="514" spans="46:52" x14ac:dyDescent="0.35">
      <c r="AT514" s="33"/>
      <c r="AW514" s="33"/>
      <c r="AZ514" s="33"/>
    </row>
    <row r="515" spans="46:52" x14ac:dyDescent="0.35">
      <c r="AT515" s="33"/>
      <c r="AW515" s="33"/>
      <c r="AZ515" s="33"/>
    </row>
    <row r="516" spans="46:52" x14ac:dyDescent="0.35">
      <c r="AT516" s="33"/>
      <c r="AW516" s="33"/>
      <c r="AZ516" s="33"/>
    </row>
    <row r="517" spans="46:52" x14ac:dyDescent="0.35">
      <c r="AT517" s="33"/>
      <c r="AW517" s="33"/>
      <c r="AZ517" s="33"/>
    </row>
    <row r="518" spans="46:52" x14ac:dyDescent="0.35">
      <c r="AT518" s="33"/>
      <c r="AW518" s="33"/>
      <c r="AZ518" s="33"/>
    </row>
    <row r="519" spans="46:52" x14ac:dyDescent="0.35">
      <c r="AT519" s="33"/>
      <c r="AW519" s="33"/>
      <c r="AZ519" s="33"/>
    </row>
    <row r="520" spans="46:52" x14ac:dyDescent="0.35">
      <c r="AT520" s="33"/>
      <c r="AW520" s="33"/>
      <c r="AZ520" s="33"/>
    </row>
    <row r="521" spans="46:52" x14ac:dyDescent="0.35">
      <c r="AT521" s="33"/>
      <c r="AW521" s="33"/>
      <c r="AZ521" s="33"/>
    </row>
    <row r="522" spans="46:52" x14ac:dyDescent="0.35">
      <c r="AT522" s="33"/>
      <c r="AW522" s="33"/>
      <c r="AZ522" s="33"/>
    </row>
    <row r="523" spans="46:52" x14ac:dyDescent="0.35">
      <c r="AT523" s="33"/>
      <c r="AW523" s="33"/>
      <c r="AZ523" s="33"/>
    </row>
    <row r="524" spans="46:52" x14ac:dyDescent="0.35">
      <c r="AT524" s="33"/>
      <c r="AW524" s="33"/>
      <c r="AZ524" s="33"/>
    </row>
    <row r="525" spans="46:52" x14ac:dyDescent="0.35">
      <c r="AT525" s="33"/>
      <c r="AW525" s="33"/>
      <c r="AZ525" s="33"/>
    </row>
    <row r="526" spans="46:52" x14ac:dyDescent="0.35">
      <c r="AT526" s="33"/>
      <c r="AW526" s="33"/>
      <c r="AZ526" s="33"/>
    </row>
    <row r="527" spans="46:52" x14ac:dyDescent="0.35">
      <c r="AT527" s="33"/>
      <c r="AW527" s="33"/>
      <c r="AZ527" s="33"/>
    </row>
    <row r="528" spans="46:52" x14ac:dyDescent="0.35">
      <c r="AT528" s="33"/>
      <c r="AW528" s="33"/>
      <c r="AZ528" s="33"/>
    </row>
    <row r="529" spans="46:52" x14ac:dyDescent="0.35">
      <c r="AT529" s="33"/>
      <c r="AW529" s="33"/>
      <c r="AZ529" s="33"/>
    </row>
    <row r="530" spans="46:52" x14ac:dyDescent="0.35">
      <c r="AT530" s="33"/>
      <c r="AW530" s="33"/>
      <c r="AZ530" s="33"/>
    </row>
    <row r="531" spans="46:52" x14ac:dyDescent="0.35">
      <c r="AT531" s="33"/>
      <c r="AW531" s="33"/>
      <c r="AZ531" s="33"/>
    </row>
    <row r="532" spans="46:52" x14ac:dyDescent="0.35">
      <c r="AT532" s="33"/>
      <c r="AW532" s="33"/>
      <c r="AZ532" s="33"/>
    </row>
    <row r="533" spans="46:52" x14ac:dyDescent="0.35">
      <c r="AT533" s="33"/>
      <c r="AW533" s="33"/>
      <c r="AZ533" s="33"/>
    </row>
    <row r="534" spans="46:52" x14ac:dyDescent="0.35">
      <c r="AT534" s="33"/>
      <c r="AW534" s="33"/>
      <c r="AZ534" s="33"/>
    </row>
    <row r="535" spans="46:52" x14ac:dyDescent="0.35">
      <c r="AT535" s="33"/>
      <c r="AW535" s="33"/>
      <c r="AZ535" s="33"/>
    </row>
    <row r="536" spans="46:52" x14ac:dyDescent="0.35">
      <c r="AT536" s="33"/>
      <c r="AW536" s="33"/>
      <c r="AZ536" s="33"/>
    </row>
    <row r="537" spans="46:52" x14ac:dyDescent="0.35">
      <c r="AT537" s="33"/>
      <c r="AW537" s="33"/>
      <c r="AZ537" s="33"/>
    </row>
    <row r="538" spans="46:52" x14ac:dyDescent="0.35">
      <c r="AT538" s="33"/>
      <c r="AW538" s="33"/>
      <c r="AZ538" s="33"/>
    </row>
    <row r="539" spans="46:52" x14ac:dyDescent="0.35">
      <c r="AT539" s="33"/>
      <c r="AW539" s="33"/>
      <c r="AZ539" s="33"/>
    </row>
    <row r="540" spans="46:52" x14ac:dyDescent="0.35">
      <c r="AT540" s="33"/>
      <c r="AW540" s="33"/>
      <c r="AZ540" s="33"/>
    </row>
    <row r="541" spans="46:52" x14ac:dyDescent="0.35">
      <c r="AT541" s="33"/>
      <c r="AW541" s="33"/>
      <c r="AZ541" s="33"/>
    </row>
    <row r="542" spans="46:52" x14ac:dyDescent="0.35">
      <c r="AT542" s="33"/>
      <c r="AW542" s="33"/>
      <c r="AZ542" s="33"/>
    </row>
    <row r="543" spans="46:52" x14ac:dyDescent="0.35">
      <c r="AT543" s="33"/>
      <c r="AW543" s="33"/>
      <c r="AZ543" s="33"/>
    </row>
    <row r="544" spans="46:52" x14ac:dyDescent="0.35">
      <c r="AT544" s="33"/>
      <c r="AW544" s="33"/>
      <c r="AZ544" s="33"/>
    </row>
    <row r="545" spans="46:52" x14ac:dyDescent="0.35">
      <c r="AT545" s="33"/>
      <c r="AW545" s="33"/>
      <c r="AZ545" s="33"/>
    </row>
    <row r="546" spans="46:52" x14ac:dyDescent="0.35">
      <c r="AT546" s="33"/>
      <c r="AW546" s="33"/>
      <c r="AZ546" s="33"/>
    </row>
    <row r="547" spans="46:52" x14ac:dyDescent="0.35">
      <c r="AT547" s="33"/>
      <c r="AW547" s="33"/>
      <c r="AZ547" s="33"/>
    </row>
    <row r="548" spans="46:52" x14ac:dyDescent="0.35">
      <c r="AT548" s="33"/>
      <c r="AW548" s="33"/>
      <c r="AZ548" s="33"/>
    </row>
    <row r="549" spans="46:52" x14ac:dyDescent="0.35">
      <c r="AT549" s="33"/>
      <c r="AW549" s="33"/>
      <c r="AZ549" s="33"/>
    </row>
    <row r="550" spans="46:52" x14ac:dyDescent="0.35">
      <c r="AT550" s="33"/>
      <c r="AW550" s="33"/>
      <c r="AZ550" s="33"/>
    </row>
    <row r="551" spans="46:52" x14ac:dyDescent="0.35">
      <c r="AT551" s="33"/>
      <c r="AW551" s="33"/>
      <c r="AZ551" s="33"/>
    </row>
    <row r="552" spans="46:52" x14ac:dyDescent="0.35">
      <c r="AT552" s="33"/>
      <c r="AW552" s="33"/>
      <c r="AZ552" s="33"/>
    </row>
    <row r="553" spans="46:52" x14ac:dyDescent="0.35">
      <c r="AT553" s="33"/>
      <c r="AW553" s="33"/>
      <c r="AZ553" s="33"/>
    </row>
    <row r="554" spans="46:52" x14ac:dyDescent="0.35">
      <c r="AT554" s="33"/>
      <c r="AW554" s="33"/>
      <c r="AZ554" s="33"/>
    </row>
    <row r="555" spans="46:52" x14ac:dyDescent="0.35">
      <c r="AT555" s="33"/>
      <c r="AW555" s="33"/>
      <c r="AZ555" s="33"/>
    </row>
    <row r="556" spans="46:52" x14ac:dyDescent="0.35">
      <c r="AT556" s="33"/>
      <c r="AW556" s="33"/>
      <c r="AZ556" s="33"/>
    </row>
    <row r="557" spans="46:52" x14ac:dyDescent="0.35">
      <c r="AT557" s="33"/>
      <c r="AW557" s="33"/>
      <c r="AZ557" s="33"/>
    </row>
    <row r="558" spans="46:52" x14ac:dyDescent="0.35">
      <c r="AT558" s="33"/>
      <c r="AW558" s="33"/>
      <c r="AZ558" s="33"/>
    </row>
    <row r="559" spans="46:52" x14ac:dyDescent="0.35">
      <c r="AT559" s="33"/>
      <c r="AW559" s="33"/>
      <c r="AZ559" s="3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77B7F-0760-446A-BB7F-44FB398B5340}">
  <dimension ref="A1:BR2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2" sqref="H2"/>
    </sheetView>
  </sheetViews>
  <sheetFormatPr defaultRowHeight="14.5" x14ac:dyDescent="0.35"/>
  <cols>
    <col min="2" max="2" width="12" bestFit="1" customWidth="1"/>
    <col min="35" max="35" width="12" bestFit="1" customWidth="1"/>
    <col min="37" max="37" width="12.54296875" bestFit="1" customWidth="1"/>
  </cols>
  <sheetData>
    <row r="1" spans="1:70" x14ac:dyDescent="0.35">
      <c r="B1" t="s">
        <v>1030</v>
      </c>
      <c r="D1" t="s">
        <v>563</v>
      </c>
      <c r="E1" t="s">
        <v>564</v>
      </c>
      <c r="F1" t="s">
        <v>565</v>
      </c>
      <c r="G1" t="s">
        <v>323</v>
      </c>
      <c r="H1" t="s">
        <v>566</v>
      </c>
      <c r="J1" t="s">
        <v>567</v>
      </c>
      <c r="K1" t="s">
        <v>725</v>
      </c>
      <c r="M1" t="s">
        <v>1031</v>
      </c>
      <c r="O1" t="s">
        <v>563</v>
      </c>
      <c r="P1" t="s">
        <v>564</v>
      </c>
      <c r="Q1" t="s">
        <v>565</v>
      </c>
      <c r="R1" t="s">
        <v>323</v>
      </c>
      <c r="S1" t="s">
        <v>566</v>
      </c>
      <c r="U1" t="s">
        <v>567</v>
      </c>
      <c r="V1" t="s">
        <v>725</v>
      </c>
      <c r="X1" t="s">
        <v>1032</v>
      </c>
      <c r="Z1" t="s">
        <v>563</v>
      </c>
      <c r="AA1" t="s">
        <v>564</v>
      </c>
      <c r="AB1" t="s">
        <v>565</v>
      </c>
      <c r="AC1" t="s">
        <v>323</v>
      </c>
      <c r="AD1" t="s">
        <v>566</v>
      </c>
      <c r="AF1" t="s">
        <v>567</v>
      </c>
      <c r="AG1" t="s">
        <v>725</v>
      </c>
      <c r="AI1" t="s">
        <v>1033</v>
      </c>
      <c r="AK1" t="s">
        <v>563</v>
      </c>
      <c r="AL1" t="s">
        <v>564</v>
      </c>
      <c r="AM1" t="s">
        <v>565</v>
      </c>
      <c r="AN1" t="s">
        <v>323</v>
      </c>
      <c r="AO1" t="s">
        <v>566</v>
      </c>
      <c r="AQ1" t="s">
        <v>567</v>
      </c>
      <c r="AR1" t="s">
        <v>725</v>
      </c>
      <c r="AT1" t="s">
        <v>1034</v>
      </c>
      <c r="AV1" t="s">
        <v>563</v>
      </c>
      <c r="AW1" t="s">
        <v>564</v>
      </c>
      <c r="AX1" t="s">
        <v>565</v>
      </c>
      <c r="AY1" t="s">
        <v>323</v>
      </c>
      <c r="AZ1" t="s">
        <v>566</v>
      </c>
      <c r="BB1" t="s">
        <v>567</v>
      </c>
      <c r="BC1" t="s">
        <v>725</v>
      </c>
      <c r="BE1" t="s">
        <v>1037</v>
      </c>
      <c r="BM1" t="s">
        <v>1036</v>
      </c>
      <c r="BP1" t="s">
        <v>1035</v>
      </c>
      <c r="BR1" t="s">
        <v>1035</v>
      </c>
    </row>
    <row r="2" spans="1:70" x14ac:dyDescent="0.35">
      <c r="D2">
        <f>regressions!$AD2</f>
        <v>0.13179100261299873</v>
      </c>
      <c r="E2">
        <f>regressions!$AD3</f>
        <v>0.2078310294868955</v>
      </c>
      <c r="F2">
        <f>regressions!$AD4</f>
        <v>0.13914661606363005</v>
      </c>
      <c r="G2">
        <f>regressions!$AD8</f>
        <v>0.11297088131851339</v>
      </c>
      <c r="H2">
        <f>regressions!$AD6</f>
        <v>0.11760769911204765</v>
      </c>
      <c r="I2">
        <f>regressions!$AD7</f>
        <v>0.11609119514932272</v>
      </c>
      <c r="J2">
        <f>regressions!$AD5</f>
        <v>9.9767198691121019E-4</v>
      </c>
      <c r="K2" s="33">
        <f>regressions!$AD9</f>
        <v>0.17356390426968069</v>
      </c>
      <c r="O2">
        <f>regressions!$AD2</f>
        <v>0.13179100261299873</v>
      </c>
      <c r="P2">
        <f>regressions!$AD3</f>
        <v>0.2078310294868955</v>
      </c>
      <c r="Q2">
        <f>regressions!$AD4</f>
        <v>0.13914661606363005</v>
      </c>
      <c r="R2">
        <f>regressions!$AD8</f>
        <v>0.11297088131851339</v>
      </c>
      <c r="S2">
        <f>regressions!$AD6</f>
        <v>0.11760769911204765</v>
      </c>
      <c r="T2">
        <f>regressions!$AD7</f>
        <v>0.11609119514932272</v>
      </c>
      <c r="U2">
        <f>regressions!$AD5</f>
        <v>9.9767198691121019E-4</v>
      </c>
      <c r="V2" s="33">
        <f>regressions!$AD9</f>
        <v>0.17356390426968069</v>
      </c>
      <c r="Z2">
        <f>regressions!$AD2</f>
        <v>0.13179100261299873</v>
      </c>
      <c r="AA2">
        <f>regressions!$AD3</f>
        <v>0.2078310294868955</v>
      </c>
      <c r="AB2">
        <f>regressions!$AD4</f>
        <v>0.13914661606363005</v>
      </c>
      <c r="AC2">
        <f>regressions!$AD8</f>
        <v>0.11297088131851339</v>
      </c>
      <c r="AD2">
        <f>regressions!$AD6</f>
        <v>0.11760769911204765</v>
      </c>
      <c r="AE2">
        <f>regressions!$AD7</f>
        <v>0.11609119514932272</v>
      </c>
      <c r="AF2">
        <f>regressions!$AD5</f>
        <v>9.9767198691121019E-4</v>
      </c>
      <c r="AG2" s="33">
        <f>regressions!$AD9</f>
        <v>0.17356390426968069</v>
      </c>
      <c r="AH2" s="33"/>
      <c r="AK2">
        <f>regressions!$AD2</f>
        <v>0.13179100261299873</v>
      </c>
      <c r="AL2">
        <f>regressions!$AD3</f>
        <v>0.2078310294868955</v>
      </c>
      <c r="AM2">
        <f>regressions!$AD4</f>
        <v>0.13914661606363005</v>
      </c>
      <c r="AN2">
        <f>regressions!$AD8</f>
        <v>0.11297088131851339</v>
      </c>
      <c r="AO2">
        <f>regressions!$AD6</f>
        <v>0.11760769911204765</v>
      </c>
      <c r="AP2">
        <f>regressions!$AD7</f>
        <v>0.11609119514932272</v>
      </c>
      <c r="AQ2">
        <f>regressions!$AD5</f>
        <v>9.9767198691121019E-4</v>
      </c>
      <c r="AR2" s="33">
        <f>regressions!$AD9</f>
        <v>0.17356390426968069</v>
      </c>
      <c r="AV2">
        <f>regressions!$AD2</f>
        <v>0.13179100261299873</v>
      </c>
      <c r="AW2">
        <f>regressions!$AD3</f>
        <v>0.2078310294868955</v>
      </c>
      <c r="AX2">
        <f>regressions!$AD4</f>
        <v>0.13914661606363005</v>
      </c>
      <c r="AY2">
        <f>regressions!$AD8</f>
        <v>0.11297088131851339</v>
      </c>
      <c r="AZ2">
        <f>regressions!$AD6</f>
        <v>0.11760769911204765</v>
      </c>
      <c r="BA2">
        <f>regressions!$AD7</f>
        <v>0.11609119514932272</v>
      </c>
      <c r="BB2">
        <f>regressions!$AD5</f>
        <v>9.9767198691121019E-4</v>
      </c>
      <c r="BC2" s="33">
        <f>regressions!$AD9</f>
        <v>0.17356390426968069</v>
      </c>
      <c r="BE2" t="s">
        <v>1036</v>
      </c>
      <c r="BF2" t="s">
        <v>1035</v>
      </c>
      <c r="BG2" t="s">
        <v>1033</v>
      </c>
      <c r="BJ2" t="s">
        <v>1034</v>
      </c>
      <c r="BM2" t="s">
        <v>1035</v>
      </c>
      <c r="BN2" t="s">
        <v>1033</v>
      </c>
      <c r="BO2" t="s">
        <v>1034</v>
      </c>
      <c r="BP2" t="s">
        <v>1033</v>
      </c>
      <c r="BQ2" t="s">
        <v>1034</v>
      </c>
      <c r="BR2" t="s">
        <v>1034</v>
      </c>
    </row>
    <row r="3" spans="1:70" x14ac:dyDescent="0.35">
      <c r="A3">
        <v>1850</v>
      </c>
      <c r="B3" s="33">
        <v>0</v>
      </c>
      <c r="C3">
        <f>SUMPRODUCT(D$2:K$2,D3:K3)</f>
        <v>0</v>
      </c>
      <c r="D3">
        <f>IF($B3&lt;=regressions!$L$2,$B3*regressions!$L$1,regressions!$L$1*regressions!$L$2+regressions!$L$3*($B3-regressions!$L$2))</f>
        <v>0</v>
      </c>
      <c r="E3">
        <f>regressions!$J$1*B3+regressions!$J$2*B3^2</f>
        <v>0</v>
      </c>
      <c r="F3">
        <f>regressions!$V$1*B3</f>
        <v>0</v>
      </c>
      <c r="G3">
        <f>regressions!$N$1*B3^2</f>
        <v>0</v>
      </c>
      <c r="H3">
        <f>regressions!$R$1*B3^2+regressions!$R$2*B3^6</f>
        <v>0</v>
      </c>
      <c r="I3">
        <f>regressions!$P$1*B3^2+regressions!$P$2*B3^7</f>
        <v>0</v>
      </c>
      <c r="J3">
        <f>regressions!$T$2+regressions!$T$1*EXP(B3)</f>
        <v>0</v>
      </c>
      <c r="K3" s="8">
        <f>(1-EXP(-2*regressions!$X$1*B3))/2/EXP(-regressions!$X$1*B3)</f>
        <v>0</v>
      </c>
      <c r="M3" s="33">
        <v>0</v>
      </c>
      <c r="N3">
        <f>SUMPRODUCT(O$2:V$2,O3:V3)</f>
        <v>0</v>
      </c>
      <c r="O3">
        <f>IF($B3&lt;=regressions!$L$2,$B3*regressions!$L$1,regressions!$L$1*regressions!$L$2+regressions!$L$3*($B3-regressions!$L$2))</f>
        <v>0</v>
      </c>
      <c r="P3">
        <f>regressions!$J$1*M3+regressions!$J$2*M3^2</f>
        <v>0</v>
      </c>
      <c r="Q3">
        <f>regressions!$V$1*M3</f>
        <v>0</v>
      </c>
      <c r="R3">
        <f>regressions!$N$1*M3^2</f>
        <v>0</v>
      </c>
      <c r="S3">
        <f>regressions!$R$1*M3^2+regressions!$R$2*M3^6</f>
        <v>0</v>
      </c>
      <c r="T3">
        <f>regressions!$P$1*M3^2+regressions!$P$2*M3^7</f>
        <v>0</v>
      </c>
      <c r="U3">
        <f>regressions!$T$2+regressions!$T$1*EXP(M3)</f>
        <v>0</v>
      </c>
      <c r="V3" s="8">
        <f>(1-EXP(-2*regressions!$X$1*M3))/2/EXP(-regressions!$X$1*M3)</f>
        <v>0</v>
      </c>
      <c r="X3" s="33">
        <v>0</v>
      </c>
      <c r="Y3">
        <f>SUMPRODUCT(Z$2:AG$2,Z3:AG3)</f>
        <v>0</v>
      </c>
      <c r="Z3">
        <f>IF($B3&lt;=regressions!$L$2,$B3*regressions!$L$1,regressions!$L$1*regressions!$L$2+regressions!$L$3*($B3-regressions!$L$2))</f>
        <v>0</v>
      </c>
      <c r="AA3">
        <f>regressions!$J$1*X3+regressions!$J$2*X3^2</f>
        <v>0</v>
      </c>
      <c r="AB3">
        <f>regressions!$V$1*X3</f>
        <v>0</v>
      </c>
      <c r="AC3">
        <f>regressions!$N$1*X3^2</f>
        <v>0</v>
      </c>
      <c r="AD3">
        <f>regressions!$R$1*X3^2+regressions!$R$2*X3^6</f>
        <v>0</v>
      </c>
      <c r="AE3">
        <f>regressions!$P$1*X3^2+regressions!$P$2*X3^7</f>
        <v>0</v>
      </c>
      <c r="AF3">
        <f>regressions!$T$2+regressions!$T$1*EXP(X3)</f>
        <v>0</v>
      </c>
      <c r="AG3" s="8">
        <f>(1-EXP(-2*regressions!$X$1*X3))/2/EXP(-regressions!$X$1*X3)</f>
        <v>0</v>
      </c>
      <c r="AH3" s="8"/>
      <c r="AI3" s="33">
        <v>0</v>
      </c>
      <c r="AJ3">
        <f>SUMPRODUCT(AK$2:AR$2,AK3:AR3)</f>
        <v>0</v>
      </c>
      <c r="AK3">
        <f>IF($B3&lt;=regressions!$L$2,$B3*regressions!$L$1,regressions!$L$1*regressions!$L$2+regressions!$L$3*($B3-regressions!$L$2))</f>
        <v>0</v>
      </c>
      <c r="AL3">
        <f>regressions!$J$1*AI3+regressions!$J$2*AI3^2</f>
        <v>0</v>
      </c>
      <c r="AM3">
        <f>regressions!$V$1*AI3</f>
        <v>0</v>
      </c>
      <c r="AN3">
        <f>regressions!$N$1*AI3^2</f>
        <v>0</v>
      </c>
      <c r="AO3">
        <f>regressions!$R$1*AI3^2+regressions!$R$2*AI3^6</f>
        <v>0</v>
      </c>
      <c r="AP3">
        <f>regressions!$P$1*AI3^2+regressions!$P$2*AI3^7</f>
        <v>0</v>
      </c>
      <c r="AQ3">
        <f>regressions!$T$2+regressions!$T$1*EXP(AI3)</f>
        <v>0</v>
      </c>
      <c r="AR3" s="8">
        <f>(1-EXP(-2*regressions!$X$1*AI3))/2/EXP(-regressions!$X$1*AI3)</f>
        <v>0</v>
      </c>
      <c r="AT3" s="33">
        <v>0</v>
      </c>
      <c r="AU3">
        <f>SUMPRODUCT(AV$2:BC$2,AV3:BC3)</f>
        <v>0</v>
      </c>
      <c r="AV3">
        <f>IF($B3&lt;=regressions!$L$2,$B3*regressions!$L$1,regressions!$L$1*regressions!$L$2+regressions!$L$3*($B3-regressions!$L$2))</f>
        <v>0</v>
      </c>
      <c r="AW3">
        <f>regressions!$J$1*AT3+regressions!$J$2*AT3^2</f>
        <v>0</v>
      </c>
      <c r="AX3">
        <f>regressions!$V$1*AT3</f>
        <v>0</v>
      </c>
      <c r="AY3">
        <f>regressions!$N$1*AT3^2</f>
        <v>0</v>
      </c>
      <c r="AZ3">
        <f>regressions!$R$1*AT3^2+regressions!$R$2*AT3^6</f>
        <v>0</v>
      </c>
      <c r="BA3">
        <f>regressions!$P$1*AT3^2+regressions!$P$2*AT3^7</f>
        <v>0</v>
      </c>
      <c r="BB3">
        <f>regressions!$T$2+regressions!$T$1*EXP(AT3)</f>
        <v>0</v>
      </c>
      <c r="BC3" s="8">
        <f>(1-EXP(-2*regressions!$X$1*AT3))/2/EXP(-regressions!$X$1*AT3)</f>
        <v>0</v>
      </c>
      <c r="BE3">
        <f>N3-C3</f>
        <v>0</v>
      </c>
      <c r="BF3">
        <f t="shared" ref="BF3:BF66" si="0">Y3-C3</f>
        <v>0</v>
      </c>
      <c r="BG3">
        <f t="shared" ref="BG3:BG66" si="1">AJ3-C3</f>
        <v>0</v>
      </c>
      <c r="BH3">
        <f>BG3+regressions!$AR$1*(AI3-B3)</f>
        <v>0</v>
      </c>
      <c r="BI3">
        <f>BG3-regressions!$AO$1*(AI3-B3)</f>
        <v>0</v>
      </c>
      <c r="BJ3">
        <f t="shared" ref="BJ3:BJ66" si="2">AU3-C3</f>
        <v>0</v>
      </c>
      <c r="BK3">
        <f>BJ3+regressions!$AR$1*(AT3-B3)</f>
        <v>0</v>
      </c>
      <c r="BL3">
        <f>BJ3-regressions!$AO$1*(AT3-B3)</f>
        <v>0</v>
      </c>
      <c r="BM3">
        <f>Y3-N3</f>
        <v>0</v>
      </c>
      <c r="BN3">
        <f t="shared" ref="BN3:BN66" si="3">AJ3-N3</f>
        <v>0</v>
      </c>
      <c r="BO3">
        <f t="shared" ref="BO3:BO66" si="4">AU3-N3</f>
        <v>0</v>
      </c>
      <c r="BP3">
        <f>AJ3-Y3</f>
        <v>0</v>
      </c>
      <c r="BQ3">
        <f>AU3-Y3</f>
        <v>0</v>
      </c>
      <c r="BR3">
        <f>AU3-AJ3</f>
        <v>0</v>
      </c>
    </row>
    <row r="4" spans="1:70" x14ac:dyDescent="0.35">
      <c r="A4">
        <v>1851</v>
      </c>
      <c r="B4" s="33">
        <v>2.3378135982473483E-4</v>
      </c>
      <c r="C4">
        <f t="shared" ref="C4:C18" si="5">SUMPRODUCT(D$2:K$2,D4:K4)</f>
        <v>-8.8888918329624008E-5</v>
      </c>
      <c r="D4">
        <f>IF($B4&lt;=regressions!$L$2,$B4*regressions!$L$1,regressions!$L$1*regressions!$L$2+regressions!$L$3*($B4-regressions!$L$2))</f>
        <v>-1.858047108522117E-4</v>
      </c>
      <c r="E4">
        <f>regressions!$J$1*B4+regressions!$J$2*B4^2</f>
        <v>-1.0598610294723452E-4</v>
      </c>
      <c r="F4">
        <f>regressions!$V$1*B4</f>
        <v>-1.8580471137676202E-4</v>
      </c>
      <c r="G4">
        <f>regressions!$N$1*B4^2</f>
        <v>-9.5231307066184778E-9</v>
      </c>
      <c r="H4">
        <f>regressions!$R$1*B4^2+regressions!$R$2*B4^6</f>
        <v>-1.0372408687833932E-8</v>
      </c>
      <c r="I4">
        <f>regressions!$P$1*B4^2+regressions!$P$2*B4^7</f>
        <v>-1.0034636189292536E-8</v>
      </c>
      <c r="J4">
        <f>regressions!$T$2+regressions!$T$1*EXP(B4)</f>
        <v>-1.8271365862434358E-6</v>
      </c>
      <c r="K4" s="8">
        <f>(1-EXP(-2*regressions!$X$1*B4))/2/EXP(-regressions!$X$1*B4)</f>
        <v>-9.515197307075445E-5</v>
      </c>
      <c r="M4" s="33">
        <v>2.3378135982473483E-4</v>
      </c>
      <c r="N4">
        <f t="shared" ref="N4:N67" si="6">SUMPRODUCT(O$2:V$2,O4:V4)</f>
        <v>-8.8888918329624008E-5</v>
      </c>
      <c r="O4">
        <f>IF($B4&lt;=regressions!$L$2,$B4*regressions!$L$1,regressions!$L$1*regressions!$L$2+regressions!$L$3*($B4-regressions!$L$2))</f>
        <v>-1.858047108522117E-4</v>
      </c>
      <c r="P4">
        <f>regressions!$J$1*M4+regressions!$J$2*M4^2</f>
        <v>-1.0598610294723452E-4</v>
      </c>
      <c r="Q4">
        <f>regressions!$V$1*M4</f>
        <v>-1.8580471137676202E-4</v>
      </c>
      <c r="R4">
        <f>regressions!$N$1*M4^2</f>
        <v>-9.5231307066184778E-9</v>
      </c>
      <c r="S4">
        <f>regressions!$R$1*M4^2+regressions!$R$2*M4^6</f>
        <v>-1.0372408687833932E-8</v>
      </c>
      <c r="T4">
        <f>regressions!$P$1*M4^2+regressions!$P$2*M4^7</f>
        <v>-1.0034636189292536E-8</v>
      </c>
      <c r="U4">
        <f>regressions!$T$2+regressions!$T$1*EXP(M4)</f>
        <v>-1.8271365862434358E-6</v>
      </c>
      <c r="V4" s="8">
        <f>(1-EXP(-2*regressions!$X$1*M4))/2/EXP(-regressions!$X$1*M4)</f>
        <v>-9.515197307075445E-5</v>
      </c>
      <c r="X4" s="33">
        <v>2.3378135982473483E-4</v>
      </c>
      <c r="Y4">
        <f t="shared" ref="Y4:Y67" si="7">SUMPRODUCT(Z$2:AG$2,Z4:AG4)</f>
        <v>-8.8888918329624008E-5</v>
      </c>
      <c r="Z4">
        <f>IF($B4&lt;=regressions!$L$2,$B4*regressions!$L$1,regressions!$L$1*regressions!$L$2+regressions!$L$3*($B4-regressions!$L$2))</f>
        <v>-1.858047108522117E-4</v>
      </c>
      <c r="AA4">
        <f>regressions!$J$1*X4+regressions!$J$2*X4^2</f>
        <v>-1.0598610294723452E-4</v>
      </c>
      <c r="AB4">
        <f>regressions!$V$1*X4</f>
        <v>-1.8580471137676202E-4</v>
      </c>
      <c r="AC4">
        <f>regressions!$N$1*X4^2</f>
        <v>-9.5231307066184778E-9</v>
      </c>
      <c r="AD4">
        <f>regressions!$R$1*X4^2+regressions!$R$2*X4^6</f>
        <v>-1.0372408687833932E-8</v>
      </c>
      <c r="AE4">
        <f>regressions!$P$1*X4^2+regressions!$P$2*X4^7</f>
        <v>-1.0034636189292536E-8</v>
      </c>
      <c r="AF4">
        <f>regressions!$T$2+regressions!$T$1*EXP(X4)</f>
        <v>-1.8271365862434358E-6</v>
      </c>
      <c r="AG4" s="8">
        <f>(1-EXP(-2*regressions!$X$1*X4))/2/EXP(-regressions!$X$1*X4)</f>
        <v>-9.515197307075445E-5</v>
      </c>
      <c r="AH4" s="8"/>
      <c r="AI4" s="33">
        <v>2.3378135982473483E-4</v>
      </c>
      <c r="AJ4">
        <f t="shared" ref="AJ4:AJ67" si="8">SUMPRODUCT(AK$2:AR$2,AK4:AR4)</f>
        <v>-8.8888918329624008E-5</v>
      </c>
      <c r="AK4">
        <f>IF(AI4&lt;=regressions!$L$2,AI4*regressions!$L$1,regressions!$L$1*regressions!$L$2+regressions!$L$3*(AI4-regressions!$L$2))</f>
        <v>-1.858047108522117E-4</v>
      </c>
      <c r="AL4">
        <f>regressions!$J$1*AI4+regressions!$J$2*AI4^2</f>
        <v>-1.0598610294723452E-4</v>
      </c>
      <c r="AM4">
        <f>regressions!$V$1*AI4</f>
        <v>-1.8580471137676202E-4</v>
      </c>
      <c r="AN4">
        <f>regressions!$N$1*AI4^2</f>
        <v>-9.5231307066184778E-9</v>
      </c>
      <c r="AO4">
        <f>regressions!$R$1*AI4^2+regressions!$R$2*AI4^6</f>
        <v>-1.0372408687833932E-8</v>
      </c>
      <c r="AP4">
        <f>regressions!$P$1*AI4^2+regressions!$P$2*AI4^7</f>
        <v>-1.0034636189292536E-8</v>
      </c>
      <c r="AQ4">
        <f>regressions!$T$2+regressions!$T$1*EXP(AI4)</f>
        <v>-1.8271365862434358E-6</v>
      </c>
      <c r="AR4" s="8">
        <f>(1-EXP(-2*regressions!$X$1*AI4))/2/EXP(-regressions!$X$1*AI4)</f>
        <v>-9.515197307075445E-5</v>
      </c>
      <c r="AT4" s="33">
        <v>2.3378135982473483E-4</v>
      </c>
      <c r="AU4">
        <f t="shared" ref="AU4:AU67" si="9">SUMPRODUCT(AV$2:BC$2,AV4:BC4)</f>
        <v>-8.8888918329624008E-5</v>
      </c>
      <c r="AV4">
        <f>IF(AT4&lt;=regressions!$L$2,AT4*regressions!$L$1,regressions!$L$1*regressions!$L$2+regressions!$L$3*(AT4-regressions!$L$2))</f>
        <v>-1.858047108522117E-4</v>
      </c>
      <c r="AW4">
        <f>regressions!$J$1*AT4+regressions!$J$2*AT4^2</f>
        <v>-1.0598610294723452E-4</v>
      </c>
      <c r="AX4">
        <f>regressions!$V$1*AT4</f>
        <v>-1.8580471137676202E-4</v>
      </c>
      <c r="AY4">
        <f>regressions!$N$1*AT4^2</f>
        <v>-9.5231307066184778E-9</v>
      </c>
      <c r="AZ4">
        <f>regressions!$R$1*AT4^2+regressions!$R$2*AT4^6</f>
        <v>-1.0372408687833932E-8</v>
      </c>
      <c r="BA4">
        <f>regressions!$P$1*AT4^2+regressions!$P$2*AT4^7</f>
        <v>-1.0034636189292536E-8</v>
      </c>
      <c r="BB4">
        <f>regressions!$T$2+regressions!$T$1*EXP(AT4)</f>
        <v>-1.8271365862434358E-6</v>
      </c>
      <c r="BC4" s="8">
        <f>(1-EXP(-2*regressions!$X$1*AT4))/2/EXP(-regressions!$X$1*AT4)</f>
        <v>-9.515197307075445E-5</v>
      </c>
      <c r="BE4">
        <f t="shared" ref="BE4:BE67" si="10">N4-C4</f>
        <v>0</v>
      </c>
      <c r="BF4">
        <f t="shared" si="0"/>
        <v>0</v>
      </c>
      <c r="BG4">
        <f t="shared" si="1"/>
        <v>0</v>
      </c>
      <c r="BH4">
        <f>BG4+regressions!$AR$1*(AI4-B4)</f>
        <v>0</v>
      </c>
      <c r="BI4">
        <f>BG4-regressions!$AO$1*(AI4-B4)</f>
        <v>0</v>
      </c>
      <c r="BJ4">
        <f t="shared" si="2"/>
        <v>0</v>
      </c>
      <c r="BK4">
        <f>BJ4+regressions!$AR$1*(AT4-B4)</f>
        <v>0</v>
      </c>
      <c r="BL4">
        <f>BJ4-regressions!$AO$1*(AT4-B4)</f>
        <v>0</v>
      </c>
      <c r="BM4">
        <f t="shared" ref="BM4:BM67" si="11">Y4-N4</f>
        <v>0</v>
      </c>
      <c r="BN4">
        <f t="shared" si="3"/>
        <v>0</v>
      </c>
      <c r="BO4">
        <f t="shared" si="4"/>
        <v>0</v>
      </c>
      <c r="BP4">
        <f t="shared" ref="BP4:BP67" si="12">AJ4-Y4</f>
        <v>0</v>
      </c>
      <c r="BQ4">
        <f t="shared" ref="BQ4:BQ67" si="13">AU4-Y4</f>
        <v>0</v>
      </c>
      <c r="BR4">
        <f t="shared" ref="BR4:BR67" si="14">AU4-AJ4</f>
        <v>0</v>
      </c>
    </row>
    <row r="5" spans="1:70" x14ac:dyDescent="0.35">
      <c r="A5">
        <v>1852</v>
      </c>
      <c r="B5" s="33">
        <v>4.6966904129114019E-4</v>
      </c>
      <c r="C5">
        <f t="shared" si="5"/>
        <v>-1.78587605043915E-4</v>
      </c>
      <c r="D5">
        <f>IF($B5&lt;=regressions!$L$2,$B5*regressions!$L$1,regressions!$L$1*regressions!$L$2+regressions!$L$3*($B5-regressions!$L$2))</f>
        <v>-3.7328348367363155E-4</v>
      </c>
      <c r="E5">
        <f>regressions!$J$1*B5+regressions!$J$2*B5^2</f>
        <v>-2.1293617389987171E-4</v>
      </c>
      <c r="F5">
        <f>regressions!$V$1*B5</f>
        <v>-3.7328348472745828E-4</v>
      </c>
      <c r="G5">
        <f>regressions!$N$1*B5^2</f>
        <v>-3.8436501622286961E-8</v>
      </c>
      <c r="H5">
        <f>regressions!$R$1*B5^2+regressions!$R$2*B5^6</f>
        <v>-4.1864289763436135E-8</v>
      </c>
      <c r="I5">
        <f>regressions!$P$1*B5^2+regressions!$P$2*B5^7</f>
        <v>-4.0500999309055697E-8</v>
      </c>
      <c r="J5">
        <f>regressions!$T$2+regressions!$T$1*EXP(B5)</f>
        <v>-3.6711682863087292E-6</v>
      </c>
      <c r="K5" s="8">
        <f>(1-EXP(-2*regressions!$X$1*B5))/2/EXP(-regressions!$X$1*B5)</f>
        <v>-1.9116124659096794E-4</v>
      </c>
      <c r="M5" s="33">
        <v>4.6966904129114019E-4</v>
      </c>
      <c r="N5">
        <f t="shared" si="6"/>
        <v>-1.78587605043915E-4</v>
      </c>
      <c r="O5">
        <f>IF($B5&lt;=regressions!$L$2,$B5*regressions!$L$1,regressions!$L$1*regressions!$L$2+regressions!$L$3*($B5-regressions!$L$2))</f>
        <v>-3.7328348367363155E-4</v>
      </c>
      <c r="P5">
        <f>regressions!$J$1*M5+regressions!$J$2*M5^2</f>
        <v>-2.1293617389987171E-4</v>
      </c>
      <c r="Q5">
        <f>regressions!$V$1*M5</f>
        <v>-3.7328348472745828E-4</v>
      </c>
      <c r="R5">
        <f>regressions!$N$1*M5^2</f>
        <v>-3.8436501622286961E-8</v>
      </c>
      <c r="S5">
        <f>regressions!$R$1*M5^2+regressions!$R$2*M5^6</f>
        <v>-4.1864289763436135E-8</v>
      </c>
      <c r="T5">
        <f>regressions!$P$1*M5^2+regressions!$P$2*M5^7</f>
        <v>-4.0500999309055697E-8</v>
      </c>
      <c r="U5">
        <f>regressions!$T$2+regressions!$T$1*EXP(M5)</f>
        <v>-3.6711682863087292E-6</v>
      </c>
      <c r="V5" s="8">
        <f>(1-EXP(-2*regressions!$X$1*M5))/2/EXP(-regressions!$X$1*M5)</f>
        <v>-1.9116124659096794E-4</v>
      </c>
      <c r="X5" s="33">
        <v>4.6966904129114019E-4</v>
      </c>
      <c r="Y5">
        <f t="shared" si="7"/>
        <v>-1.78587605043915E-4</v>
      </c>
      <c r="Z5">
        <f>IF($B5&lt;=regressions!$L$2,$B5*regressions!$L$1,regressions!$L$1*regressions!$L$2+regressions!$L$3*($B5-regressions!$L$2))</f>
        <v>-3.7328348367363155E-4</v>
      </c>
      <c r="AA5">
        <f>regressions!$J$1*X5+regressions!$J$2*X5^2</f>
        <v>-2.1293617389987171E-4</v>
      </c>
      <c r="AB5">
        <f>regressions!$V$1*X5</f>
        <v>-3.7328348472745828E-4</v>
      </c>
      <c r="AC5">
        <f>regressions!$N$1*X5^2</f>
        <v>-3.8436501622286961E-8</v>
      </c>
      <c r="AD5">
        <f>regressions!$R$1*X5^2+regressions!$R$2*X5^6</f>
        <v>-4.1864289763436135E-8</v>
      </c>
      <c r="AE5">
        <f>regressions!$P$1*X5^2+regressions!$P$2*X5^7</f>
        <v>-4.0500999309055697E-8</v>
      </c>
      <c r="AF5">
        <f>regressions!$T$2+regressions!$T$1*EXP(X5)</f>
        <v>-3.6711682863087292E-6</v>
      </c>
      <c r="AG5" s="8">
        <f>(1-EXP(-2*regressions!$X$1*X5))/2/EXP(-regressions!$X$1*X5)</f>
        <v>-1.9116124659096794E-4</v>
      </c>
      <c r="AH5" s="8"/>
      <c r="AI5" s="33">
        <v>4.6966904129114019E-4</v>
      </c>
      <c r="AJ5">
        <f t="shared" si="8"/>
        <v>-1.78587605043915E-4</v>
      </c>
      <c r="AK5">
        <f>IF(AI5&lt;=regressions!$L$2,AI5*regressions!$L$1,regressions!$L$1*regressions!$L$2+regressions!$L$3*(AI5-regressions!$L$2))</f>
        <v>-3.7328348367363155E-4</v>
      </c>
      <c r="AL5">
        <f>regressions!$J$1*AI5+regressions!$J$2*AI5^2</f>
        <v>-2.1293617389987171E-4</v>
      </c>
      <c r="AM5">
        <f>regressions!$V$1*AI5</f>
        <v>-3.7328348472745828E-4</v>
      </c>
      <c r="AN5">
        <f>regressions!$N$1*AI5^2</f>
        <v>-3.8436501622286961E-8</v>
      </c>
      <c r="AO5">
        <f>regressions!$R$1*AI5^2+regressions!$R$2*AI5^6</f>
        <v>-4.1864289763436135E-8</v>
      </c>
      <c r="AP5">
        <f>regressions!$P$1*AI5^2+regressions!$P$2*AI5^7</f>
        <v>-4.0500999309055697E-8</v>
      </c>
      <c r="AQ5">
        <f>regressions!$T$2+regressions!$T$1*EXP(AI5)</f>
        <v>-3.6711682863087292E-6</v>
      </c>
      <c r="AR5" s="8">
        <f>(1-EXP(-2*regressions!$X$1*AI5))/2/EXP(-regressions!$X$1*AI5)</f>
        <v>-1.9116124659096794E-4</v>
      </c>
      <c r="AT5" s="33">
        <v>4.6966904129114019E-4</v>
      </c>
      <c r="AU5">
        <f t="shared" si="9"/>
        <v>-1.78587605043915E-4</v>
      </c>
      <c r="AV5">
        <f>IF(AT5&lt;=regressions!$L$2,AT5*regressions!$L$1,regressions!$L$1*regressions!$L$2+regressions!$L$3*(AT5-regressions!$L$2))</f>
        <v>-3.7328348367363155E-4</v>
      </c>
      <c r="AW5">
        <f>regressions!$J$1*AT5+regressions!$J$2*AT5^2</f>
        <v>-2.1293617389987171E-4</v>
      </c>
      <c r="AX5">
        <f>regressions!$V$1*AT5</f>
        <v>-3.7328348472745828E-4</v>
      </c>
      <c r="AY5">
        <f>regressions!$N$1*AT5^2</f>
        <v>-3.8436501622286961E-8</v>
      </c>
      <c r="AZ5">
        <f>regressions!$R$1*AT5^2+regressions!$R$2*AT5^6</f>
        <v>-4.1864289763436135E-8</v>
      </c>
      <c r="BA5">
        <f>regressions!$P$1*AT5^2+regressions!$P$2*AT5^7</f>
        <v>-4.0500999309055697E-8</v>
      </c>
      <c r="BB5">
        <f>regressions!$T$2+regressions!$T$1*EXP(AT5)</f>
        <v>-3.6711682863087292E-6</v>
      </c>
      <c r="BC5" s="8">
        <f>(1-EXP(-2*regressions!$X$1*AT5))/2/EXP(-regressions!$X$1*AT5)</f>
        <v>-1.9116124659096794E-4</v>
      </c>
      <c r="BE5">
        <f t="shared" si="10"/>
        <v>0</v>
      </c>
      <c r="BF5">
        <f t="shared" si="0"/>
        <v>0</v>
      </c>
      <c r="BG5">
        <f t="shared" si="1"/>
        <v>0</v>
      </c>
      <c r="BH5">
        <f>BG5+regressions!$AR$1*(AI5-B5)</f>
        <v>0</v>
      </c>
      <c r="BI5">
        <f>BG5-regressions!$AO$1*(AI5-B5)</f>
        <v>0</v>
      </c>
      <c r="BJ5">
        <f t="shared" si="2"/>
        <v>0</v>
      </c>
      <c r="BK5">
        <f>BJ5+regressions!$AR$1*(AT5-B5)</f>
        <v>0</v>
      </c>
      <c r="BL5">
        <f>BJ5-regressions!$AO$1*(AT5-B5)</f>
        <v>0</v>
      </c>
      <c r="BM5">
        <f t="shared" si="11"/>
        <v>0</v>
      </c>
      <c r="BN5">
        <f t="shared" si="3"/>
        <v>0</v>
      </c>
      <c r="BO5">
        <f t="shared" si="4"/>
        <v>0</v>
      </c>
      <c r="BP5">
        <f t="shared" si="12"/>
        <v>0</v>
      </c>
      <c r="BQ5">
        <f t="shared" si="13"/>
        <v>0</v>
      </c>
      <c r="BR5">
        <f t="shared" si="14"/>
        <v>0</v>
      </c>
    </row>
    <row r="6" spans="1:70" x14ac:dyDescent="0.35">
      <c r="A6">
        <v>1853</v>
      </c>
      <c r="B6" s="33">
        <v>7.0821515879531359E-4</v>
      </c>
      <c r="C6">
        <f t="shared" si="5"/>
        <v>-2.6930627841497616E-4</v>
      </c>
      <c r="D6">
        <f>IF($B6&lt;=regressions!$L$2,$B6*regressions!$L$1,regressions!$L$1*regressions!$L$2+regressions!$L$3*($B6-regressions!$L$2))</f>
        <v>-5.6287512785351598E-4</v>
      </c>
      <c r="E6">
        <f>regressions!$J$1*B6+regressions!$J$2*B6^2</f>
        <v>-3.2110081404628784E-4</v>
      </c>
      <c r="F6">
        <f>regressions!$V$1*B6</f>
        <v>-5.6287512944258405E-4</v>
      </c>
      <c r="G6">
        <f>regressions!$N$1*B6^2</f>
        <v>-8.7395771548835396E-8</v>
      </c>
      <c r="H6">
        <f>regressions!$R$1*B6^2+regressions!$R$2*B6^6</f>
        <v>-9.518977403755242E-8</v>
      </c>
      <c r="I6">
        <f>regressions!$P$1*B6^2+regressions!$P$2*B6^7</f>
        <v>-9.2089964843766273E-8</v>
      </c>
      <c r="J6">
        <f>regressions!$T$2+regressions!$T$1*EXP(B6)</f>
        <v>-5.536424499802059E-6</v>
      </c>
      <c r="K6" s="8">
        <f>(1-EXP(-2*regressions!$X$1*B6))/2/EXP(-regressions!$X$1*B6)</f>
        <v>-2.8825253903900328E-4</v>
      </c>
      <c r="M6" s="33">
        <v>7.0821515879531359E-4</v>
      </c>
      <c r="N6">
        <f t="shared" si="6"/>
        <v>-2.6930627841497616E-4</v>
      </c>
      <c r="O6">
        <f>IF($B6&lt;=regressions!$L$2,$B6*regressions!$L$1,regressions!$L$1*regressions!$L$2+regressions!$L$3*($B6-regressions!$L$2))</f>
        <v>-5.6287512785351598E-4</v>
      </c>
      <c r="P6">
        <f>regressions!$J$1*M6+regressions!$J$2*M6^2</f>
        <v>-3.2110081404628784E-4</v>
      </c>
      <c r="Q6">
        <f>regressions!$V$1*M6</f>
        <v>-5.6287512944258405E-4</v>
      </c>
      <c r="R6">
        <f>regressions!$N$1*M6^2</f>
        <v>-8.7395771548835396E-8</v>
      </c>
      <c r="S6">
        <f>regressions!$R$1*M6^2+regressions!$R$2*M6^6</f>
        <v>-9.518977403755242E-8</v>
      </c>
      <c r="T6">
        <f>regressions!$P$1*M6^2+regressions!$P$2*M6^7</f>
        <v>-9.2089964843766273E-8</v>
      </c>
      <c r="U6">
        <f>regressions!$T$2+regressions!$T$1*EXP(M6)</f>
        <v>-5.536424499802059E-6</v>
      </c>
      <c r="V6" s="8">
        <f>(1-EXP(-2*regressions!$X$1*M6))/2/EXP(-regressions!$X$1*M6)</f>
        <v>-2.8825253903900328E-4</v>
      </c>
      <c r="X6" s="33">
        <v>7.0821515879531359E-4</v>
      </c>
      <c r="Y6">
        <f t="shared" si="7"/>
        <v>-2.6930627841497616E-4</v>
      </c>
      <c r="Z6">
        <f>IF($B6&lt;=regressions!$L$2,$B6*regressions!$L$1,regressions!$L$1*regressions!$L$2+regressions!$L$3*($B6-regressions!$L$2))</f>
        <v>-5.6287512785351598E-4</v>
      </c>
      <c r="AA6">
        <f>regressions!$J$1*X6+regressions!$J$2*X6^2</f>
        <v>-3.2110081404628784E-4</v>
      </c>
      <c r="AB6">
        <f>regressions!$V$1*X6</f>
        <v>-5.6287512944258405E-4</v>
      </c>
      <c r="AC6">
        <f>regressions!$N$1*X6^2</f>
        <v>-8.7395771548835396E-8</v>
      </c>
      <c r="AD6">
        <f>regressions!$R$1*X6^2+regressions!$R$2*X6^6</f>
        <v>-9.518977403755242E-8</v>
      </c>
      <c r="AE6">
        <f>regressions!$P$1*X6^2+regressions!$P$2*X6^7</f>
        <v>-9.2089964843766273E-8</v>
      </c>
      <c r="AF6">
        <f>regressions!$T$2+regressions!$T$1*EXP(X6)</f>
        <v>-5.536424499802059E-6</v>
      </c>
      <c r="AG6" s="8">
        <f>(1-EXP(-2*regressions!$X$1*X6))/2/EXP(-regressions!$X$1*X6)</f>
        <v>-2.8825253903900328E-4</v>
      </c>
      <c r="AH6" s="8"/>
      <c r="AI6" s="33">
        <v>7.0821515879531359E-4</v>
      </c>
      <c r="AJ6">
        <f t="shared" si="8"/>
        <v>-2.6930627841497616E-4</v>
      </c>
      <c r="AK6">
        <f>IF(AI6&lt;=regressions!$L$2,AI6*regressions!$L$1,regressions!$L$1*regressions!$L$2+regressions!$L$3*(AI6-regressions!$L$2))</f>
        <v>-5.6287512785351598E-4</v>
      </c>
      <c r="AL6">
        <f>regressions!$J$1*AI6+regressions!$J$2*AI6^2</f>
        <v>-3.2110081404628784E-4</v>
      </c>
      <c r="AM6">
        <f>regressions!$V$1*AI6</f>
        <v>-5.6287512944258405E-4</v>
      </c>
      <c r="AN6">
        <f>regressions!$N$1*AI6^2</f>
        <v>-8.7395771548835396E-8</v>
      </c>
      <c r="AO6">
        <f>regressions!$R$1*AI6^2+regressions!$R$2*AI6^6</f>
        <v>-9.518977403755242E-8</v>
      </c>
      <c r="AP6">
        <f>regressions!$P$1*AI6^2+regressions!$P$2*AI6^7</f>
        <v>-9.2089964843766273E-8</v>
      </c>
      <c r="AQ6">
        <f>regressions!$T$2+regressions!$T$1*EXP(AI6)</f>
        <v>-5.536424499802059E-6</v>
      </c>
      <c r="AR6" s="8">
        <f>(1-EXP(-2*regressions!$X$1*AI6))/2/EXP(-regressions!$X$1*AI6)</f>
        <v>-2.8825253903900328E-4</v>
      </c>
      <c r="AT6" s="33">
        <v>7.0821515879531359E-4</v>
      </c>
      <c r="AU6">
        <f t="shared" si="9"/>
        <v>-2.6930627841497616E-4</v>
      </c>
      <c r="AV6">
        <f>IF(AT6&lt;=regressions!$L$2,AT6*regressions!$L$1,regressions!$L$1*regressions!$L$2+regressions!$L$3*(AT6-regressions!$L$2))</f>
        <v>-5.6287512785351598E-4</v>
      </c>
      <c r="AW6">
        <f>regressions!$J$1*AT6+regressions!$J$2*AT6^2</f>
        <v>-3.2110081404628784E-4</v>
      </c>
      <c r="AX6">
        <f>regressions!$V$1*AT6</f>
        <v>-5.6287512944258405E-4</v>
      </c>
      <c r="AY6">
        <f>regressions!$N$1*AT6^2</f>
        <v>-8.7395771548835396E-8</v>
      </c>
      <c r="AZ6">
        <f>regressions!$R$1*AT6^2+regressions!$R$2*AT6^6</f>
        <v>-9.518977403755242E-8</v>
      </c>
      <c r="BA6">
        <f>regressions!$P$1*AT6^2+regressions!$P$2*AT6^7</f>
        <v>-9.2089964843766273E-8</v>
      </c>
      <c r="BB6">
        <f>regressions!$T$2+regressions!$T$1*EXP(AT6)</f>
        <v>-5.536424499802059E-6</v>
      </c>
      <c r="BC6" s="8">
        <f>(1-EXP(-2*regressions!$X$1*AT6))/2/EXP(-regressions!$X$1*AT6)</f>
        <v>-2.8825253903900328E-4</v>
      </c>
      <c r="BE6">
        <f t="shared" si="10"/>
        <v>0</v>
      </c>
      <c r="BF6">
        <f t="shared" si="0"/>
        <v>0</v>
      </c>
      <c r="BG6">
        <f t="shared" si="1"/>
        <v>0</v>
      </c>
      <c r="BH6">
        <f>BG6+regressions!$AR$1*(AI6-B6)</f>
        <v>0</v>
      </c>
      <c r="BI6">
        <f>BG6-regressions!$AO$1*(AI6-B6)</f>
        <v>0</v>
      </c>
      <c r="BJ6">
        <f t="shared" si="2"/>
        <v>0</v>
      </c>
      <c r="BK6">
        <f>BJ6+regressions!$AR$1*(AT6-B6)</f>
        <v>0</v>
      </c>
      <c r="BL6">
        <f>BJ6-regressions!$AO$1*(AT6-B6)</f>
        <v>0</v>
      </c>
      <c r="BM6">
        <f t="shared" si="11"/>
        <v>0</v>
      </c>
      <c r="BN6">
        <f t="shared" si="3"/>
        <v>0</v>
      </c>
      <c r="BO6">
        <f t="shared" si="4"/>
        <v>0</v>
      </c>
      <c r="BP6">
        <f t="shared" si="12"/>
        <v>0</v>
      </c>
      <c r="BQ6">
        <f t="shared" si="13"/>
        <v>0</v>
      </c>
      <c r="BR6">
        <f t="shared" si="14"/>
        <v>0</v>
      </c>
    </row>
    <row r="7" spans="1:70" x14ac:dyDescent="0.35">
      <c r="A7">
        <v>1854</v>
      </c>
      <c r="B7" s="33">
        <v>9.4966271120499126E-4</v>
      </c>
      <c r="C7">
        <f t="shared" si="5"/>
        <v>-3.6113767031308784E-4</v>
      </c>
      <c r="D7">
        <f>IF($B7&lt;=regressions!$L$2,$B7*regressions!$L$1,regressions!$L$1*regressions!$L$2+regressions!$L$3*($B7-regressions!$L$2))</f>
        <v>-7.547727739921447E-4</v>
      </c>
      <c r="E7">
        <f>regressions!$J$1*B7+regressions!$J$2*B7^2</f>
        <v>-4.3059053236538003E-4</v>
      </c>
      <c r="F7">
        <f>regressions!$V$1*B7</f>
        <v>-7.547727761229642E-4</v>
      </c>
      <c r="G7">
        <f>regressions!$N$1*B7^2</f>
        <v>-1.5714434442585685E-7</v>
      </c>
      <c r="H7">
        <f>regressions!$R$1*B7^2+regressions!$R$2*B7^6</f>
        <v>-1.7115856261784963E-7</v>
      </c>
      <c r="I7">
        <f>regressions!$P$1*B7^2+regressions!$P$2*B7^7</f>
        <v>-1.6558486637408371E-7</v>
      </c>
      <c r="J7">
        <f>regressions!$T$2+regressions!$T$1*EXP(B7)</f>
        <v>-7.4248209676278792E-6</v>
      </c>
      <c r="K7" s="8">
        <f>(1-EXP(-2*regressions!$X$1*B7))/2/EXP(-regressions!$X$1*B7)</f>
        <v>-3.8652475502867751E-4</v>
      </c>
      <c r="M7" s="33">
        <v>9.4966271120499126E-4</v>
      </c>
      <c r="N7">
        <f t="shared" si="6"/>
        <v>-3.6113767031308784E-4</v>
      </c>
      <c r="O7">
        <f>IF($B7&lt;=regressions!$L$2,$B7*regressions!$L$1,regressions!$L$1*regressions!$L$2+regressions!$L$3*($B7-regressions!$L$2))</f>
        <v>-7.547727739921447E-4</v>
      </c>
      <c r="P7">
        <f>regressions!$J$1*M7+regressions!$J$2*M7^2</f>
        <v>-4.3059053236538003E-4</v>
      </c>
      <c r="Q7">
        <f>regressions!$V$1*M7</f>
        <v>-7.547727761229642E-4</v>
      </c>
      <c r="R7">
        <f>regressions!$N$1*M7^2</f>
        <v>-1.5714434442585685E-7</v>
      </c>
      <c r="S7">
        <f>regressions!$R$1*M7^2+regressions!$R$2*M7^6</f>
        <v>-1.7115856261784963E-7</v>
      </c>
      <c r="T7">
        <f>regressions!$P$1*M7^2+regressions!$P$2*M7^7</f>
        <v>-1.6558486637408371E-7</v>
      </c>
      <c r="U7">
        <f>regressions!$T$2+regressions!$T$1*EXP(M7)</f>
        <v>-7.4248209676278792E-6</v>
      </c>
      <c r="V7" s="8">
        <f>(1-EXP(-2*regressions!$X$1*M7))/2/EXP(-regressions!$X$1*M7)</f>
        <v>-3.8652475502867751E-4</v>
      </c>
      <c r="X7" s="33">
        <v>9.4966271120499126E-4</v>
      </c>
      <c r="Y7">
        <f t="shared" si="7"/>
        <v>-3.6113767031308784E-4</v>
      </c>
      <c r="Z7">
        <f>IF($B7&lt;=regressions!$L$2,$B7*regressions!$L$1,regressions!$L$1*regressions!$L$2+regressions!$L$3*($B7-regressions!$L$2))</f>
        <v>-7.547727739921447E-4</v>
      </c>
      <c r="AA7">
        <f>regressions!$J$1*X7+regressions!$J$2*X7^2</f>
        <v>-4.3059053236538003E-4</v>
      </c>
      <c r="AB7">
        <f>regressions!$V$1*X7</f>
        <v>-7.547727761229642E-4</v>
      </c>
      <c r="AC7">
        <f>regressions!$N$1*X7^2</f>
        <v>-1.5714434442585685E-7</v>
      </c>
      <c r="AD7">
        <f>regressions!$R$1*X7^2+regressions!$R$2*X7^6</f>
        <v>-1.7115856261784963E-7</v>
      </c>
      <c r="AE7">
        <f>regressions!$P$1*X7^2+regressions!$P$2*X7^7</f>
        <v>-1.6558486637408371E-7</v>
      </c>
      <c r="AF7">
        <f>regressions!$T$2+regressions!$T$1*EXP(X7)</f>
        <v>-7.4248209676278792E-6</v>
      </c>
      <c r="AG7" s="8">
        <f>(1-EXP(-2*regressions!$X$1*X7))/2/EXP(-regressions!$X$1*X7)</f>
        <v>-3.8652475502867751E-4</v>
      </c>
      <c r="AH7" s="8"/>
      <c r="AI7" s="33">
        <v>9.4966271120499126E-4</v>
      </c>
      <c r="AJ7">
        <f t="shared" si="8"/>
        <v>-3.6113767031308784E-4</v>
      </c>
      <c r="AK7">
        <f>IF(AI7&lt;=regressions!$L$2,AI7*regressions!$L$1,regressions!$L$1*regressions!$L$2+regressions!$L$3*(AI7-regressions!$L$2))</f>
        <v>-7.547727739921447E-4</v>
      </c>
      <c r="AL7">
        <f>regressions!$J$1*AI7+regressions!$J$2*AI7^2</f>
        <v>-4.3059053236538003E-4</v>
      </c>
      <c r="AM7">
        <f>regressions!$V$1*AI7</f>
        <v>-7.547727761229642E-4</v>
      </c>
      <c r="AN7">
        <f>regressions!$N$1*AI7^2</f>
        <v>-1.5714434442585685E-7</v>
      </c>
      <c r="AO7">
        <f>regressions!$R$1*AI7^2+regressions!$R$2*AI7^6</f>
        <v>-1.7115856261784963E-7</v>
      </c>
      <c r="AP7">
        <f>regressions!$P$1*AI7^2+regressions!$P$2*AI7^7</f>
        <v>-1.6558486637408371E-7</v>
      </c>
      <c r="AQ7">
        <f>regressions!$T$2+regressions!$T$1*EXP(AI7)</f>
        <v>-7.4248209676278792E-6</v>
      </c>
      <c r="AR7" s="8">
        <f>(1-EXP(-2*regressions!$X$1*AI7))/2/EXP(-regressions!$X$1*AI7)</f>
        <v>-3.8652475502867751E-4</v>
      </c>
      <c r="AT7" s="33">
        <v>9.4966271120499126E-4</v>
      </c>
      <c r="AU7">
        <f t="shared" si="9"/>
        <v>-3.6113767031308784E-4</v>
      </c>
      <c r="AV7">
        <f>IF(AT7&lt;=regressions!$L$2,AT7*regressions!$L$1,regressions!$L$1*regressions!$L$2+regressions!$L$3*(AT7-regressions!$L$2))</f>
        <v>-7.547727739921447E-4</v>
      </c>
      <c r="AW7">
        <f>regressions!$J$1*AT7+regressions!$J$2*AT7^2</f>
        <v>-4.3059053236538003E-4</v>
      </c>
      <c r="AX7">
        <f>regressions!$V$1*AT7</f>
        <v>-7.547727761229642E-4</v>
      </c>
      <c r="AY7">
        <f>regressions!$N$1*AT7^2</f>
        <v>-1.5714434442585685E-7</v>
      </c>
      <c r="AZ7">
        <f>regressions!$R$1*AT7^2+regressions!$R$2*AT7^6</f>
        <v>-1.7115856261784963E-7</v>
      </c>
      <c r="BA7">
        <f>regressions!$P$1*AT7^2+regressions!$P$2*AT7^7</f>
        <v>-1.6558486637408371E-7</v>
      </c>
      <c r="BB7">
        <f>regressions!$T$2+regressions!$T$1*EXP(AT7)</f>
        <v>-7.4248209676278792E-6</v>
      </c>
      <c r="BC7" s="8">
        <f>(1-EXP(-2*regressions!$X$1*AT7))/2/EXP(-regressions!$X$1*AT7)</f>
        <v>-3.8652475502867751E-4</v>
      </c>
      <c r="BE7">
        <f t="shared" si="10"/>
        <v>0</v>
      </c>
      <c r="BF7">
        <f t="shared" si="0"/>
        <v>0</v>
      </c>
      <c r="BG7">
        <f t="shared" si="1"/>
        <v>0</v>
      </c>
      <c r="BH7">
        <f>BG7+regressions!$AR$1*(AI7-B7)</f>
        <v>0</v>
      </c>
      <c r="BI7">
        <f>BG7-regressions!$AO$1*(AI7-B7)</f>
        <v>0</v>
      </c>
      <c r="BJ7">
        <f t="shared" si="2"/>
        <v>0</v>
      </c>
      <c r="BK7">
        <f>BJ7+regressions!$AR$1*(AT7-B7)</f>
        <v>0</v>
      </c>
      <c r="BL7">
        <f>BJ7-regressions!$AO$1*(AT7-B7)</f>
        <v>0</v>
      </c>
      <c r="BM7">
        <f t="shared" si="11"/>
        <v>0</v>
      </c>
      <c r="BN7">
        <f t="shared" si="3"/>
        <v>0</v>
      </c>
      <c r="BO7">
        <f t="shared" si="4"/>
        <v>0</v>
      </c>
      <c r="BP7">
        <f t="shared" si="12"/>
        <v>0</v>
      </c>
      <c r="BQ7">
        <f t="shared" si="13"/>
        <v>0</v>
      </c>
      <c r="BR7">
        <f t="shared" si="14"/>
        <v>0</v>
      </c>
    </row>
    <row r="8" spans="1:70" x14ac:dyDescent="0.35">
      <c r="A8">
        <v>1855</v>
      </c>
      <c r="B8" s="33">
        <v>1.19639058643166E-3</v>
      </c>
      <c r="C8">
        <f t="shared" si="5"/>
        <v>-4.549870370861426E-4</v>
      </c>
      <c r="D8">
        <f>IF($B8&lt;=regressions!$L$2,$B8*regressions!$L$1,regressions!$L$1*regressions!$L$2+regressions!$L$3*($B8-regressions!$L$2))</f>
        <v>-9.5086711423398543E-4</v>
      </c>
      <c r="E8">
        <f>regressions!$J$1*B8+regressions!$J$2*B8^2</f>
        <v>-5.4248457402731481E-4</v>
      </c>
      <c r="F8">
        <f>regressions!$V$1*B8</f>
        <v>-9.508671169184042E-4</v>
      </c>
      <c r="G8">
        <f>regressions!$N$1*B8^2</f>
        <v>-2.4940546104604403E-7</v>
      </c>
      <c r="H8">
        <f>regressions!$R$1*B8^2+regressions!$R$2*B8^6</f>
        <v>-2.7164757584911868E-7</v>
      </c>
      <c r="I8">
        <f>regressions!$P$1*B8^2+regressions!$P$2*B8^7</f>
        <v>-2.6280150323679563E-7</v>
      </c>
      <c r="J8">
        <f>regressions!$T$2+regressions!$T$1*EXP(B8)</f>
        <v>-9.3549866815902105E-6</v>
      </c>
      <c r="K8" s="8">
        <f>(1-EXP(-2*regressions!$X$1*B8))/2/EXP(-regressions!$X$1*B8)</f>
        <v>-4.8694613323580865E-4</v>
      </c>
      <c r="M8" s="33">
        <v>1.19639058643166E-3</v>
      </c>
      <c r="N8">
        <f t="shared" si="6"/>
        <v>-4.549870370861426E-4</v>
      </c>
      <c r="O8">
        <f>IF($B8&lt;=regressions!$L$2,$B8*regressions!$L$1,regressions!$L$1*regressions!$L$2+regressions!$L$3*($B8-regressions!$L$2))</f>
        <v>-9.5086711423398543E-4</v>
      </c>
      <c r="P8">
        <f>regressions!$J$1*M8+regressions!$J$2*M8^2</f>
        <v>-5.4248457402731481E-4</v>
      </c>
      <c r="Q8">
        <f>regressions!$V$1*M8</f>
        <v>-9.508671169184042E-4</v>
      </c>
      <c r="R8">
        <f>regressions!$N$1*M8^2</f>
        <v>-2.4940546104604403E-7</v>
      </c>
      <c r="S8">
        <f>regressions!$R$1*M8^2+regressions!$R$2*M8^6</f>
        <v>-2.7164757584911868E-7</v>
      </c>
      <c r="T8">
        <f>regressions!$P$1*M8^2+regressions!$P$2*M8^7</f>
        <v>-2.6280150323679563E-7</v>
      </c>
      <c r="U8">
        <f>regressions!$T$2+regressions!$T$1*EXP(M8)</f>
        <v>-9.3549866815902105E-6</v>
      </c>
      <c r="V8" s="8">
        <f>(1-EXP(-2*regressions!$X$1*M8))/2/EXP(-regressions!$X$1*M8)</f>
        <v>-4.8694613323580865E-4</v>
      </c>
      <c r="X8" s="33">
        <v>1.19639058643166E-3</v>
      </c>
      <c r="Y8">
        <f t="shared" si="7"/>
        <v>-4.549870370861426E-4</v>
      </c>
      <c r="Z8">
        <f>IF($B8&lt;=regressions!$L$2,$B8*regressions!$L$1,regressions!$L$1*regressions!$L$2+regressions!$L$3*($B8-regressions!$L$2))</f>
        <v>-9.5086711423398543E-4</v>
      </c>
      <c r="AA8">
        <f>regressions!$J$1*X8+regressions!$J$2*X8^2</f>
        <v>-5.4248457402731481E-4</v>
      </c>
      <c r="AB8">
        <f>regressions!$V$1*X8</f>
        <v>-9.508671169184042E-4</v>
      </c>
      <c r="AC8">
        <f>regressions!$N$1*X8^2</f>
        <v>-2.4940546104604403E-7</v>
      </c>
      <c r="AD8">
        <f>regressions!$R$1*X8^2+regressions!$R$2*X8^6</f>
        <v>-2.7164757584911868E-7</v>
      </c>
      <c r="AE8">
        <f>regressions!$P$1*X8^2+regressions!$P$2*X8^7</f>
        <v>-2.6280150323679563E-7</v>
      </c>
      <c r="AF8">
        <f>regressions!$T$2+regressions!$T$1*EXP(X8)</f>
        <v>-9.3549866815902105E-6</v>
      </c>
      <c r="AG8" s="8">
        <f>(1-EXP(-2*regressions!$X$1*X8))/2/EXP(-regressions!$X$1*X8)</f>
        <v>-4.8694613323580865E-4</v>
      </c>
      <c r="AH8" s="8"/>
      <c r="AI8" s="33">
        <v>1.19639058643166E-3</v>
      </c>
      <c r="AJ8">
        <f t="shared" si="8"/>
        <v>-4.549870370861426E-4</v>
      </c>
      <c r="AK8">
        <f>IF(AI8&lt;=regressions!$L$2,AI8*regressions!$L$1,regressions!$L$1*regressions!$L$2+regressions!$L$3*(AI8-regressions!$L$2))</f>
        <v>-9.5086711423398543E-4</v>
      </c>
      <c r="AL8">
        <f>regressions!$J$1*AI8+regressions!$J$2*AI8^2</f>
        <v>-5.4248457402731481E-4</v>
      </c>
      <c r="AM8">
        <f>regressions!$V$1*AI8</f>
        <v>-9.508671169184042E-4</v>
      </c>
      <c r="AN8">
        <f>regressions!$N$1*AI8^2</f>
        <v>-2.4940546104604403E-7</v>
      </c>
      <c r="AO8">
        <f>regressions!$R$1*AI8^2+regressions!$R$2*AI8^6</f>
        <v>-2.7164757584911868E-7</v>
      </c>
      <c r="AP8">
        <f>regressions!$P$1*AI8^2+regressions!$P$2*AI8^7</f>
        <v>-2.6280150323679563E-7</v>
      </c>
      <c r="AQ8">
        <f>regressions!$T$2+regressions!$T$1*EXP(AI8)</f>
        <v>-9.3549866815902105E-6</v>
      </c>
      <c r="AR8" s="8">
        <f>(1-EXP(-2*regressions!$X$1*AI8))/2/EXP(-regressions!$X$1*AI8)</f>
        <v>-4.8694613323580865E-4</v>
      </c>
      <c r="AT8" s="33">
        <v>1.19639058643166E-3</v>
      </c>
      <c r="AU8">
        <f t="shared" si="9"/>
        <v>-4.549870370861426E-4</v>
      </c>
      <c r="AV8">
        <f>IF(AT8&lt;=regressions!$L$2,AT8*regressions!$L$1,regressions!$L$1*regressions!$L$2+regressions!$L$3*(AT8-regressions!$L$2))</f>
        <v>-9.5086711423398543E-4</v>
      </c>
      <c r="AW8">
        <f>regressions!$J$1*AT8+regressions!$J$2*AT8^2</f>
        <v>-5.4248457402731481E-4</v>
      </c>
      <c r="AX8">
        <f>regressions!$V$1*AT8</f>
        <v>-9.508671169184042E-4</v>
      </c>
      <c r="AY8">
        <f>regressions!$N$1*AT8^2</f>
        <v>-2.4940546104604403E-7</v>
      </c>
      <c r="AZ8">
        <f>regressions!$R$1*AT8^2+regressions!$R$2*AT8^6</f>
        <v>-2.7164757584911868E-7</v>
      </c>
      <c r="BA8">
        <f>regressions!$P$1*AT8^2+regressions!$P$2*AT8^7</f>
        <v>-2.6280150323679563E-7</v>
      </c>
      <c r="BB8">
        <f>regressions!$T$2+regressions!$T$1*EXP(AT8)</f>
        <v>-9.3549866815902105E-6</v>
      </c>
      <c r="BC8" s="8">
        <f>(1-EXP(-2*regressions!$X$1*AT8))/2/EXP(-regressions!$X$1*AT8)</f>
        <v>-4.8694613323580865E-4</v>
      </c>
      <c r="BE8">
        <f t="shared" si="10"/>
        <v>0</v>
      </c>
      <c r="BF8">
        <f t="shared" si="0"/>
        <v>0</v>
      </c>
      <c r="BG8">
        <f t="shared" si="1"/>
        <v>0</v>
      </c>
      <c r="BH8">
        <f>BG8+regressions!$AR$1*(AI8-B8)</f>
        <v>0</v>
      </c>
      <c r="BI8">
        <f>BG8-regressions!$AO$1*(AI8-B8)</f>
        <v>0</v>
      </c>
      <c r="BJ8">
        <f t="shared" si="2"/>
        <v>0</v>
      </c>
      <c r="BK8">
        <f>BJ8+regressions!$AR$1*(AT8-B8)</f>
        <v>0</v>
      </c>
      <c r="BL8">
        <f>BJ8-regressions!$AO$1*(AT8-B8)</f>
        <v>0</v>
      </c>
      <c r="BM8">
        <f t="shared" si="11"/>
        <v>0</v>
      </c>
      <c r="BN8">
        <f t="shared" si="3"/>
        <v>0</v>
      </c>
      <c r="BO8">
        <f t="shared" si="4"/>
        <v>0</v>
      </c>
      <c r="BP8">
        <f t="shared" si="12"/>
        <v>0</v>
      </c>
      <c r="BQ8">
        <f t="shared" si="13"/>
        <v>0</v>
      </c>
      <c r="BR8">
        <f t="shared" si="14"/>
        <v>0</v>
      </c>
    </row>
    <row r="9" spans="1:70" x14ac:dyDescent="0.35">
      <c r="A9">
        <v>1856</v>
      </c>
      <c r="B9" s="33">
        <v>1.4484258103882499E-3</v>
      </c>
      <c r="C9">
        <f t="shared" si="5"/>
        <v>-5.508652883673093E-4</v>
      </c>
      <c r="D9">
        <f>IF($B9&lt;=regressions!$L$2,$B9*regressions!$L$1,regressions!$L$1*regressions!$L$2+regressions!$L$3*($B9-regressions!$L$2))</f>
        <v>-1.1511796282296881E-3</v>
      </c>
      <c r="E9">
        <f>regressions!$J$1*B9+regressions!$J$2*B9^2</f>
        <v>-6.5679583615960732E-4</v>
      </c>
      <c r="F9">
        <f>regressions!$V$1*B9</f>
        <v>-1.1511796314796147E-3</v>
      </c>
      <c r="G9">
        <f>regressions!$N$1*B9^2</f>
        <v>-3.6555480312872364E-7</v>
      </c>
      <c r="H9">
        <f>regressions!$R$1*B9^2+regressions!$R$2*B9^6</f>
        <v>-3.9815517949539574E-7</v>
      </c>
      <c r="I9">
        <f>regressions!$P$1*B9^2+regressions!$P$2*B9^7</f>
        <v>-3.8518944763572674E-7</v>
      </c>
      <c r="J9">
        <f>regressions!$T$2+regressions!$T$1*EXP(B9)</f>
        <v>-1.1327163839551513E-5</v>
      </c>
      <c r="K9" s="8">
        <f>(1-EXP(-2*regressions!$X$1*B9))/2/EXP(-regressions!$X$1*B9)</f>
        <v>-5.8952767484726678E-4</v>
      </c>
      <c r="M9" s="33">
        <v>1.4484258103882499E-3</v>
      </c>
      <c r="N9">
        <f t="shared" si="6"/>
        <v>-5.508652883673093E-4</v>
      </c>
      <c r="O9">
        <f>IF($B9&lt;=regressions!$L$2,$B9*regressions!$L$1,regressions!$L$1*regressions!$L$2+regressions!$L$3*($B9-regressions!$L$2))</f>
        <v>-1.1511796282296881E-3</v>
      </c>
      <c r="P9">
        <f>regressions!$J$1*M9+regressions!$J$2*M9^2</f>
        <v>-6.5679583615960732E-4</v>
      </c>
      <c r="Q9">
        <f>regressions!$V$1*M9</f>
        <v>-1.1511796314796147E-3</v>
      </c>
      <c r="R9">
        <f>regressions!$N$1*M9^2</f>
        <v>-3.6555480312872364E-7</v>
      </c>
      <c r="S9">
        <f>regressions!$R$1*M9^2+regressions!$R$2*M9^6</f>
        <v>-3.9815517949539574E-7</v>
      </c>
      <c r="T9">
        <f>regressions!$P$1*M9^2+regressions!$P$2*M9^7</f>
        <v>-3.8518944763572674E-7</v>
      </c>
      <c r="U9">
        <f>regressions!$T$2+regressions!$T$1*EXP(M9)</f>
        <v>-1.1327163839551513E-5</v>
      </c>
      <c r="V9" s="8">
        <f>(1-EXP(-2*regressions!$X$1*M9))/2/EXP(-regressions!$X$1*M9)</f>
        <v>-5.8952767484726678E-4</v>
      </c>
      <c r="X9" s="33">
        <v>1.4484258103882499E-3</v>
      </c>
      <c r="Y9">
        <f t="shared" si="7"/>
        <v>-5.508652883673093E-4</v>
      </c>
      <c r="Z9">
        <f>IF($B9&lt;=regressions!$L$2,$B9*regressions!$L$1,regressions!$L$1*regressions!$L$2+regressions!$L$3*($B9-regressions!$L$2))</f>
        <v>-1.1511796282296881E-3</v>
      </c>
      <c r="AA9">
        <f>regressions!$J$1*X9+regressions!$J$2*X9^2</f>
        <v>-6.5679583615960732E-4</v>
      </c>
      <c r="AB9">
        <f>regressions!$V$1*X9</f>
        <v>-1.1511796314796147E-3</v>
      </c>
      <c r="AC9">
        <f>regressions!$N$1*X9^2</f>
        <v>-3.6555480312872364E-7</v>
      </c>
      <c r="AD9">
        <f>regressions!$R$1*X9^2+regressions!$R$2*X9^6</f>
        <v>-3.9815517949539574E-7</v>
      </c>
      <c r="AE9">
        <f>regressions!$P$1*X9^2+regressions!$P$2*X9^7</f>
        <v>-3.8518944763572674E-7</v>
      </c>
      <c r="AF9">
        <f>regressions!$T$2+regressions!$T$1*EXP(X9)</f>
        <v>-1.1327163839551513E-5</v>
      </c>
      <c r="AG9" s="8">
        <f>(1-EXP(-2*regressions!$X$1*X9))/2/EXP(-regressions!$X$1*X9)</f>
        <v>-5.8952767484726678E-4</v>
      </c>
      <c r="AH9" s="8"/>
      <c r="AI9" s="33">
        <v>1.4484258103882499E-3</v>
      </c>
      <c r="AJ9">
        <f t="shared" si="8"/>
        <v>-5.508652883673093E-4</v>
      </c>
      <c r="AK9">
        <f>IF(AI9&lt;=regressions!$L$2,AI9*regressions!$L$1,regressions!$L$1*regressions!$L$2+regressions!$L$3*(AI9-regressions!$L$2))</f>
        <v>-1.1511796282296881E-3</v>
      </c>
      <c r="AL9">
        <f>regressions!$J$1*AI9+regressions!$J$2*AI9^2</f>
        <v>-6.5679583615960732E-4</v>
      </c>
      <c r="AM9">
        <f>regressions!$V$1*AI9</f>
        <v>-1.1511796314796147E-3</v>
      </c>
      <c r="AN9">
        <f>regressions!$N$1*AI9^2</f>
        <v>-3.6555480312872364E-7</v>
      </c>
      <c r="AO9">
        <f>regressions!$R$1*AI9^2+regressions!$R$2*AI9^6</f>
        <v>-3.9815517949539574E-7</v>
      </c>
      <c r="AP9">
        <f>regressions!$P$1*AI9^2+regressions!$P$2*AI9^7</f>
        <v>-3.8518944763572674E-7</v>
      </c>
      <c r="AQ9">
        <f>regressions!$T$2+regressions!$T$1*EXP(AI9)</f>
        <v>-1.1327163839551513E-5</v>
      </c>
      <c r="AR9" s="8">
        <f>(1-EXP(-2*regressions!$X$1*AI9))/2/EXP(-regressions!$X$1*AI9)</f>
        <v>-5.8952767484726678E-4</v>
      </c>
      <c r="AT9" s="33">
        <v>1.4484258103882499E-3</v>
      </c>
      <c r="AU9">
        <f t="shared" si="9"/>
        <v>-5.508652883673093E-4</v>
      </c>
      <c r="AV9">
        <f>IF(AT9&lt;=regressions!$L$2,AT9*regressions!$L$1,regressions!$L$1*regressions!$L$2+regressions!$L$3*(AT9-regressions!$L$2))</f>
        <v>-1.1511796282296881E-3</v>
      </c>
      <c r="AW9">
        <f>regressions!$J$1*AT9+regressions!$J$2*AT9^2</f>
        <v>-6.5679583615960732E-4</v>
      </c>
      <c r="AX9">
        <f>regressions!$V$1*AT9</f>
        <v>-1.1511796314796147E-3</v>
      </c>
      <c r="AY9">
        <f>regressions!$N$1*AT9^2</f>
        <v>-3.6555480312872364E-7</v>
      </c>
      <c r="AZ9">
        <f>regressions!$R$1*AT9^2+regressions!$R$2*AT9^6</f>
        <v>-3.9815517949539574E-7</v>
      </c>
      <c r="BA9">
        <f>regressions!$P$1*AT9^2+regressions!$P$2*AT9^7</f>
        <v>-3.8518944763572674E-7</v>
      </c>
      <c r="BB9">
        <f>regressions!$T$2+regressions!$T$1*EXP(AT9)</f>
        <v>-1.1327163839551513E-5</v>
      </c>
      <c r="BC9" s="8">
        <f>(1-EXP(-2*regressions!$X$1*AT9))/2/EXP(-regressions!$X$1*AT9)</f>
        <v>-5.8952767484726678E-4</v>
      </c>
      <c r="BE9">
        <f t="shared" si="10"/>
        <v>0</v>
      </c>
      <c r="BF9">
        <f t="shared" si="0"/>
        <v>0</v>
      </c>
      <c r="BG9">
        <f t="shared" si="1"/>
        <v>0</v>
      </c>
      <c r="BH9">
        <f>BG9+regressions!$AR$1*(AI9-B9)</f>
        <v>0</v>
      </c>
      <c r="BI9">
        <f>BG9-regressions!$AO$1*(AI9-B9)</f>
        <v>0</v>
      </c>
      <c r="BJ9">
        <f t="shared" si="2"/>
        <v>0</v>
      </c>
      <c r="BK9">
        <f>BJ9+regressions!$AR$1*(AT9-B9)</f>
        <v>0</v>
      </c>
      <c r="BL9">
        <f>BJ9-regressions!$AO$1*(AT9-B9)</f>
        <v>0</v>
      </c>
      <c r="BM9">
        <f t="shared" si="11"/>
        <v>0</v>
      </c>
      <c r="BN9">
        <f t="shared" si="3"/>
        <v>0</v>
      </c>
      <c r="BO9">
        <f t="shared" si="4"/>
        <v>0</v>
      </c>
      <c r="BP9">
        <f t="shared" si="12"/>
        <v>0</v>
      </c>
      <c r="BQ9">
        <f t="shared" si="13"/>
        <v>0</v>
      </c>
      <c r="BR9">
        <f t="shared" si="14"/>
        <v>0</v>
      </c>
    </row>
    <row r="10" spans="1:70" x14ac:dyDescent="0.35">
      <c r="A10">
        <v>1857</v>
      </c>
      <c r="B10" s="33">
        <v>1.7066312745397196E-3</v>
      </c>
      <c r="C10">
        <f t="shared" si="5"/>
        <v>-6.4910137994652261E-4</v>
      </c>
      <c r="D10">
        <f>IF($B10&lt;=regressions!$L$2,$B10*regressions!$L$1,regressions!$L$1*regressions!$L$2+regressions!$L$3*($B10-regressions!$L$2))</f>
        <v>-1.3563961247163724E-3</v>
      </c>
      <c r="E10">
        <f>regressions!$J$1*B10+regressions!$J$2*B10^2</f>
        <v>-7.7391639564924875E-4</v>
      </c>
      <c r="F10">
        <f>regressions!$V$1*B10</f>
        <v>-1.3563961285456511E-3</v>
      </c>
      <c r="G10">
        <f>regressions!$N$1*B10^2</f>
        <v>-5.0750390016214706E-7</v>
      </c>
      <c r="H10">
        <f>regressions!$R$1*B10^2+regressions!$R$2*B10^6</f>
        <v>-5.5276337428541267E-7</v>
      </c>
      <c r="I10">
        <f>regressions!$P$1*B10^2+regressions!$P$2*B10^7</f>
        <v>-5.3476290094757093E-7</v>
      </c>
      <c r="J10">
        <f>regressions!$T$2+regressions!$T$1*EXP(B10)</f>
        <v>-1.3348138690806935E-5</v>
      </c>
      <c r="K10" s="8">
        <f>(1-EXP(-2*regressions!$X$1*B10))/2/EXP(-regressions!$X$1*B10)</f>
        <v>-6.9462058913536751E-4</v>
      </c>
      <c r="M10" s="33">
        <v>1.7066312745397196E-3</v>
      </c>
      <c r="N10">
        <f t="shared" si="6"/>
        <v>-6.4910137994652261E-4</v>
      </c>
      <c r="O10">
        <f>IF($B10&lt;=regressions!$L$2,$B10*regressions!$L$1,regressions!$L$1*regressions!$L$2+regressions!$L$3*($B10-regressions!$L$2))</f>
        <v>-1.3563961247163724E-3</v>
      </c>
      <c r="P10">
        <f>regressions!$J$1*M10+regressions!$J$2*M10^2</f>
        <v>-7.7391639564924875E-4</v>
      </c>
      <c r="Q10">
        <f>regressions!$V$1*M10</f>
        <v>-1.3563961285456511E-3</v>
      </c>
      <c r="R10">
        <f>regressions!$N$1*M10^2</f>
        <v>-5.0750390016214706E-7</v>
      </c>
      <c r="S10">
        <f>regressions!$R$1*M10^2+regressions!$R$2*M10^6</f>
        <v>-5.5276337428541267E-7</v>
      </c>
      <c r="T10">
        <f>regressions!$P$1*M10^2+regressions!$P$2*M10^7</f>
        <v>-5.3476290094757093E-7</v>
      </c>
      <c r="U10">
        <f>regressions!$T$2+regressions!$T$1*EXP(M10)</f>
        <v>-1.3348138690806935E-5</v>
      </c>
      <c r="V10" s="8">
        <f>(1-EXP(-2*regressions!$X$1*M10))/2/EXP(-regressions!$X$1*M10)</f>
        <v>-6.9462058913536751E-4</v>
      </c>
      <c r="X10" s="33">
        <v>1.7066312745397196E-3</v>
      </c>
      <c r="Y10">
        <f t="shared" si="7"/>
        <v>-6.4910137994652261E-4</v>
      </c>
      <c r="Z10">
        <f>IF($B10&lt;=regressions!$L$2,$B10*regressions!$L$1,regressions!$L$1*regressions!$L$2+regressions!$L$3*($B10-regressions!$L$2))</f>
        <v>-1.3563961247163724E-3</v>
      </c>
      <c r="AA10">
        <f>regressions!$J$1*X10+regressions!$J$2*X10^2</f>
        <v>-7.7391639564924875E-4</v>
      </c>
      <c r="AB10">
        <f>regressions!$V$1*X10</f>
        <v>-1.3563961285456511E-3</v>
      </c>
      <c r="AC10">
        <f>regressions!$N$1*X10^2</f>
        <v>-5.0750390016214706E-7</v>
      </c>
      <c r="AD10">
        <f>regressions!$R$1*X10^2+regressions!$R$2*X10^6</f>
        <v>-5.5276337428541267E-7</v>
      </c>
      <c r="AE10">
        <f>regressions!$P$1*X10^2+regressions!$P$2*X10^7</f>
        <v>-5.3476290094757093E-7</v>
      </c>
      <c r="AF10">
        <f>regressions!$T$2+regressions!$T$1*EXP(X10)</f>
        <v>-1.3348138690806935E-5</v>
      </c>
      <c r="AG10" s="8">
        <f>(1-EXP(-2*regressions!$X$1*X10))/2/EXP(-regressions!$X$1*X10)</f>
        <v>-6.9462058913536751E-4</v>
      </c>
      <c r="AH10" s="8"/>
      <c r="AI10" s="33">
        <v>1.7066312745397196E-3</v>
      </c>
      <c r="AJ10">
        <f t="shared" si="8"/>
        <v>-6.4910137994652261E-4</v>
      </c>
      <c r="AK10">
        <f>IF(AI10&lt;=regressions!$L$2,AI10*regressions!$L$1,regressions!$L$1*regressions!$L$2+regressions!$L$3*(AI10-regressions!$L$2))</f>
        <v>-1.3563961247163724E-3</v>
      </c>
      <c r="AL10">
        <f>regressions!$J$1*AI10+regressions!$J$2*AI10^2</f>
        <v>-7.7391639564924875E-4</v>
      </c>
      <c r="AM10">
        <f>regressions!$V$1*AI10</f>
        <v>-1.3563961285456511E-3</v>
      </c>
      <c r="AN10">
        <f>regressions!$N$1*AI10^2</f>
        <v>-5.0750390016214706E-7</v>
      </c>
      <c r="AO10">
        <f>regressions!$R$1*AI10^2+regressions!$R$2*AI10^6</f>
        <v>-5.5276337428541267E-7</v>
      </c>
      <c r="AP10">
        <f>regressions!$P$1*AI10^2+regressions!$P$2*AI10^7</f>
        <v>-5.3476290094757093E-7</v>
      </c>
      <c r="AQ10">
        <f>regressions!$T$2+regressions!$T$1*EXP(AI10)</f>
        <v>-1.3348138690806935E-5</v>
      </c>
      <c r="AR10" s="8">
        <f>(1-EXP(-2*regressions!$X$1*AI10))/2/EXP(-regressions!$X$1*AI10)</f>
        <v>-6.9462058913536751E-4</v>
      </c>
      <c r="AT10" s="33">
        <v>1.7066312745397196E-3</v>
      </c>
      <c r="AU10">
        <f t="shared" si="9"/>
        <v>-6.4910137994652261E-4</v>
      </c>
      <c r="AV10">
        <f>IF(AT10&lt;=regressions!$L$2,AT10*regressions!$L$1,regressions!$L$1*regressions!$L$2+regressions!$L$3*(AT10-regressions!$L$2))</f>
        <v>-1.3563961247163724E-3</v>
      </c>
      <c r="AW10">
        <f>regressions!$J$1*AT10+regressions!$J$2*AT10^2</f>
        <v>-7.7391639564924875E-4</v>
      </c>
      <c r="AX10">
        <f>regressions!$V$1*AT10</f>
        <v>-1.3563961285456511E-3</v>
      </c>
      <c r="AY10">
        <f>regressions!$N$1*AT10^2</f>
        <v>-5.0750390016214706E-7</v>
      </c>
      <c r="AZ10">
        <f>regressions!$R$1*AT10^2+regressions!$R$2*AT10^6</f>
        <v>-5.5276337428541267E-7</v>
      </c>
      <c r="BA10">
        <f>regressions!$P$1*AT10^2+regressions!$P$2*AT10^7</f>
        <v>-5.3476290094757093E-7</v>
      </c>
      <c r="BB10">
        <f>regressions!$T$2+regressions!$T$1*EXP(AT10)</f>
        <v>-1.3348138690806935E-5</v>
      </c>
      <c r="BC10" s="8">
        <f>(1-EXP(-2*regressions!$X$1*AT10))/2/EXP(-regressions!$X$1*AT10)</f>
        <v>-6.9462058913536751E-4</v>
      </c>
      <c r="BE10">
        <f t="shared" si="10"/>
        <v>0</v>
      </c>
      <c r="BF10">
        <f t="shared" si="0"/>
        <v>0</v>
      </c>
      <c r="BG10">
        <f t="shared" si="1"/>
        <v>0</v>
      </c>
      <c r="BH10">
        <f>BG10+regressions!$AR$1*(AI10-B10)</f>
        <v>0</v>
      </c>
      <c r="BI10">
        <f>BG10-regressions!$AO$1*(AI10-B10)</f>
        <v>0</v>
      </c>
      <c r="BJ10">
        <f t="shared" si="2"/>
        <v>0</v>
      </c>
      <c r="BK10">
        <f>BJ10+regressions!$AR$1*(AT10-B10)</f>
        <v>0</v>
      </c>
      <c r="BL10">
        <f>BJ10-regressions!$AO$1*(AT10-B10)</f>
        <v>0</v>
      </c>
      <c r="BM10">
        <f t="shared" si="11"/>
        <v>0</v>
      </c>
      <c r="BN10">
        <f t="shared" si="3"/>
        <v>0</v>
      </c>
      <c r="BO10">
        <f t="shared" si="4"/>
        <v>0</v>
      </c>
      <c r="BP10">
        <f t="shared" si="12"/>
        <v>0</v>
      </c>
      <c r="BQ10">
        <f t="shared" si="13"/>
        <v>0</v>
      </c>
      <c r="BR10">
        <f t="shared" si="14"/>
        <v>0</v>
      </c>
    </row>
    <row r="11" spans="1:70" x14ac:dyDescent="0.35">
      <c r="A11">
        <v>1858</v>
      </c>
      <c r="B11" s="33">
        <v>1.9707407701309632E-3</v>
      </c>
      <c r="C11">
        <f t="shared" si="5"/>
        <v>-7.495947819879294E-4</v>
      </c>
      <c r="D11">
        <f>IF($B11&lt;=regressions!$L$2,$B11*regressions!$L$1,regressions!$L$1*regressions!$L$2+regressions!$L$3*($B11-regressions!$L$2))</f>
        <v>-1.5663050263432781E-3</v>
      </c>
      <c r="E11">
        <f>regressions!$J$1*B11+regressions!$J$2*B11^2</f>
        <v>-8.9372626587183308E-4</v>
      </c>
      <c r="F11">
        <f>regressions!$V$1*B11</f>
        <v>-1.5663050307651563E-3</v>
      </c>
      <c r="G11">
        <f>regressions!$N$1*B11^2</f>
        <v>-6.7673554293856458E-7</v>
      </c>
      <c r="H11">
        <f>regressions!$R$1*B11^2+regressions!$R$2*B11^6</f>
        <v>-7.370871871015672E-7</v>
      </c>
      <c r="I11">
        <f>regressions!$P$1*B11^2+regressions!$P$2*B11^7</f>
        <v>-7.1308429748132308E-7</v>
      </c>
      <c r="J11">
        <f>regressions!$T$2+regressions!$T$1*EXP(B11)</f>
        <v>-1.5415864343545915E-5</v>
      </c>
      <c r="K11" s="8">
        <f>(1-EXP(-2*regressions!$X$1*B11))/2/EXP(-regressions!$X$1*B11)</f>
        <v>-8.0211652740220076E-4</v>
      </c>
      <c r="M11" s="33">
        <v>1.9707407701309632E-3</v>
      </c>
      <c r="N11">
        <f t="shared" si="6"/>
        <v>-7.495947819879294E-4</v>
      </c>
      <c r="O11">
        <f>IF($B11&lt;=regressions!$L$2,$B11*regressions!$L$1,regressions!$L$1*regressions!$L$2+regressions!$L$3*($B11-regressions!$L$2))</f>
        <v>-1.5663050263432781E-3</v>
      </c>
      <c r="P11">
        <f>regressions!$J$1*M11+regressions!$J$2*M11^2</f>
        <v>-8.9372626587183308E-4</v>
      </c>
      <c r="Q11">
        <f>regressions!$V$1*M11</f>
        <v>-1.5663050307651563E-3</v>
      </c>
      <c r="R11">
        <f>regressions!$N$1*M11^2</f>
        <v>-6.7673554293856458E-7</v>
      </c>
      <c r="S11">
        <f>regressions!$R$1*M11^2+regressions!$R$2*M11^6</f>
        <v>-7.370871871015672E-7</v>
      </c>
      <c r="T11">
        <f>regressions!$P$1*M11^2+regressions!$P$2*M11^7</f>
        <v>-7.1308429748132308E-7</v>
      </c>
      <c r="U11">
        <f>regressions!$T$2+regressions!$T$1*EXP(M11)</f>
        <v>-1.5415864343545915E-5</v>
      </c>
      <c r="V11" s="8">
        <f>(1-EXP(-2*regressions!$X$1*M11))/2/EXP(-regressions!$X$1*M11)</f>
        <v>-8.0211652740220076E-4</v>
      </c>
      <c r="X11" s="33">
        <v>1.9707407701309632E-3</v>
      </c>
      <c r="Y11">
        <f t="shared" si="7"/>
        <v>-7.495947819879294E-4</v>
      </c>
      <c r="Z11">
        <f>IF($B11&lt;=regressions!$L$2,$B11*regressions!$L$1,regressions!$L$1*regressions!$L$2+regressions!$L$3*($B11-regressions!$L$2))</f>
        <v>-1.5663050263432781E-3</v>
      </c>
      <c r="AA11">
        <f>regressions!$J$1*X11+regressions!$J$2*X11^2</f>
        <v>-8.9372626587183308E-4</v>
      </c>
      <c r="AB11">
        <f>regressions!$V$1*X11</f>
        <v>-1.5663050307651563E-3</v>
      </c>
      <c r="AC11">
        <f>regressions!$N$1*X11^2</f>
        <v>-6.7673554293856458E-7</v>
      </c>
      <c r="AD11">
        <f>regressions!$R$1*X11^2+regressions!$R$2*X11^6</f>
        <v>-7.370871871015672E-7</v>
      </c>
      <c r="AE11">
        <f>regressions!$P$1*X11^2+regressions!$P$2*X11^7</f>
        <v>-7.1308429748132308E-7</v>
      </c>
      <c r="AF11">
        <f>regressions!$T$2+regressions!$T$1*EXP(X11)</f>
        <v>-1.5415864343545915E-5</v>
      </c>
      <c r="AG11" s="8">
        <f>(1-EXP(-2*regressions!$X$1*X11))/2/EXP(-regressions!$X$1*X11)</f>
        <v>-8.0211652740220076E-4</v>
      </c>
      <c r="AH11" s="8"/>
      <c r="AI11" s="33">
        <v>1.9707407701309632E-3</v>
      </c>
      <c r="AJ11">
        <f t="shared" si="8"/>
        <v>-7.495947819879294E-4</v>
      </c>
      <c r="AK11">
        <f>IF(AI11&lt;=regressions!$L$2,AI11*regressions!$L$1,regressions!$L$1*regressions!$L$2+regressions!$L$3*(AI11-regressions!$L$2))</f>
        <v>-1.5663050263432781E-3</v>
      </c>
      <c r="AL11">
        <f>regressions!$J$1*AI11+regressions!$J$2*AI11^2</f>
        <v>-8.9372626587183308E-4</v>
      </c>
      <c r="AM11">
        <f>regressions!$V$1*AI11</f>
        <v>-1.5663050307651563E-3</v>
      </c>
      <c r="AN11">
        <f>regressions!$N$1*AI11^2</f>
        <v>-6.7673554293856458E-7</v>
      </c>
      <c r="AO11">
        <f>regressions!$R$1*AI11^2+regressions!$R$2*AI11^6</f>
        <v>-7.370871871015672E-7</v>
      </c>
      <c r="AP11">
        <f>regressions!$P$1*AI11^2+regressions!$P$2*AI11^7</f>
        <v>-7.1308429748132308E-7</v>
      </c>
      <c r="AQ11">
        <f>regressions!$T$2+regressions!$T$1*EXP(AI11)</f>
        <v>-1.5415864343545915E-5</v>
      </c>
      <c r="AR11" s="8">
        <f>(1-EXP(-2*regressions!$X$1*AI11))/2/EXP(-regressions!$X$1*AI11)</f>
        <v>-8.0211652740220076E-4</v>
      </c>
      <c r="AT11" s="33">
        <v>1.9707407701309632E-3</v>
      </c>
      <c r="AU11">
        <f t="shared" si="9"/>
        <v>-7.495947819879294E-4</v>
      </c>
      <c r="AV11">
        <f>IF(AT11&lt;=regressions!$L$2,AT11*regressions!$L$1,regressions!$L$1*regressions!$L$2+regressions!$L$3*(AT11-regressions!$L$2))</f>
        <v>-1.5663050263432781E-3</v>
      </c>
      <c r="AW11">
        <f>regressions!$J$1*AT11+regressions!$J$2*AT11^2</f>
        <v>-8.9372626587183308E-4</v>
      </c>
      <c r="AX11">
        <f>regressions!$V$1*AT11</f>
        <v>-1.5663050307651563E-3</v>
      </c>
      <c r="AY11">
        <f>regressions!$N$1*AT11^2</f>
        <v>-6.7673554293856458E-7</v>
      </c>
      <c r="AZ11">
        <f>regressions!$R$1*AT11^2+regressions!$R$2*AT11^6</f>
        <v>-7.370871871015672E-7</v>
      </c>
      <c r="BA11">
        <f>regressions!$P$1*AT11^2+regressions!$P$2*AT11^7</f>
        <v>-7.1308429748132308E-7</v>
      </c>
      <c r="BB11">
        <f>regressions!$T$2+regressions!$T$1*EXP(AT11)</f>
        <v>-1.5415864343545915E-5</v>
      </c>
      <c r="BC11" s="8">
        <f>(1-EXP(-2*regressions!$X$1*AT11))/2/EXP(-regressions!$X$1*AT11)</f>
        <v>-8.0211652740220076E-4</v>
      </c>
      <c r="BE11">
        <f t="shared" si="10"/>
        <v>0</v>
      </c>
      <c r="BF11">
        <f t="shared" si="0"/>
        <v>0</v>
      </c>
      <c r="BG11">
        <f t="shared" si="1"/>
        <v>0</v>
      </c>
      <c r="BH11">
        <f>BG11+regressions!$AR$1*(AI11-B11)</f>
        <v>0</v>
      </c>
      <c r="BI11">
        <f>BG11-regressions!$AO$1*(AI11-B11)</f>
        <v>0</v>
      </c>
      <c r="BJ11">
        <f t="shared" si="2"/>
        <v>0</v>
      </c>
      <c r="BK11">
        <f>BJ11+regressions!$AR$1*(AT11-B11)</f>
        <v>0</v>
      </c>
      <c r="BL11">
        <f>BJ11-regressions!$AO$1*(AT11-B11)</f>
        <v>0</v>
      </c>
      <c r="BM11">
        <f t="shared" si="11"/>
        <v>0</v>
      </c>
      <c r="BN11">
        <f t="shared" si="3"/>
        <v>0</v>
      </c>
      <c r="BO11">
        <f t="shared" si="4"/>
        <v>0</v>
      </c>
      <c r="BP11">
        <f t="shared" si="12"/>
        <v>0</v>
      </c>
      <c r="BQ11">
        <f t="shared" si="13"/>
        <v>0</v>
      </c>
      <c r="BR11">
        <f t="shared" si="14"/>
        <v>0</v>
      </c>
    </row>
    <row r="12" spans="1:70" x14ac:dyDescent="0.35">
      <c r="A12">
        <v>1859</v>
      </c>
      <c r="B12" s="33">
        <v>2.2405366585658681E-3</v>
      </c>
      <c r="C12">
        <f t="shared" si="5"/>
        <v>-8.522634208542292E-4</v>
      </c>
      <c r="D12">
        <f>IF($B12&lt;=regressions!$L$2,$B12*regressions!$L$1,regressions!$L$1*regressions!$L$2+regressions!$L$3*($B12-regressions!$L$2))</f>
        <v>-1.7807333583426507E-3</v>
      </c>
      <c r="E12">
        <f>regressions!$J$1*B12+regressions!$J$2*B12^2</f>
        <v>-1.0161274682675696E-3</v>
      </c>
      <c r="F12">
        <f>regressions!$V$1*B12</f>
        <v>-1.7807333633698874E-3</v>
      </c>
      <c r="G12">
        <f>regressions!$N$1*B12^2</f>
        <v>-8.747100014642805E-7</v>
      </c>
      <c r="H12">
        <f>regressions!$R$1*B12^2+regressions!$R$2*B12^6</f>
        <v>-9.5271711562435914E-7</v>
      </c>
      <c r="I12">
        <f>regressions!$P$1*B12^2+regressions!$P$2*B12^7</f>
        <v>-9.2169234112573893E-7</v>
      </c>
      <c r="J12">
        <f>regressions!$T$2+regressions!$T$1*EXP(B12)</f>
        <v>-1.7528672978030235E-5</v>
      </c>
      <c r="K12" s="8">
        <f>(1-EXP(-2*regressions!$X$1*B12))/2/EXP(-regressions!$X$1*B12)</f>
        <v>-9.1192690977005158E-4</v>
      </c>
      <c r="M12" s="33">
        <v>2.2405366585658681E-3</v>
      </c>
      <c r="N12">
        <f t="shared" si="6"/>
        <v>-8.522634208542292E-4</v>
      </c>
      <c r="O12">
        <f>IF($B12&lt;=regressions!$L$2,$B12*regressions!$L$1,regressions!$L$1*regressions!$L$2+regressions!$L$3*($B12-regressions!$L$2))</f>
        <v>-1.7807333583426507E-3</v>
      </c>
      <c r="P12">
        <f>regressions!$J$1*M12+regressions!$J$2*M12^2</f>
        <v>-1.0161274682675696E-3</v>
      </c>
      <c r="Q12">
        <f>regressions!$V$1*M12</f>
        <v>-1.7807333633698874E-3</v>
      </c>
      <c r="R12">
        <f>regressions!$N$1*M12^2</f>
        <v>-8.747100014642805E-7</v>
      </c>
      <c r="S12">
        <f>regressions!$R$1*M12^2+regressions!$R$2*M12^6</f>
        <v>-9.5271711562435914E-7</v>
      </c>
      <c r="T12">
        <f>regressions!$P$1*M12^2+regressions!$P$2*M12^7</f>
        <v>-9.2169234112573893E-7</v>
      </c>
      <c r="U12">
        <f>regressions!$T$2+regressions!$T$1*EXP(M12)</f>
        <v>-1.7528672978030235E-5</v>
      </c>
      <c r="V12" s="8">
        <f>(1-EXP(-2*regressions!$X$1*M12))/2/EXP(-regressions!$X$1*M12)</f>
        <v>-9.1192690977005158E-4</v>
      </c>
      <c r="X12" s="33">
        <v>2.2405366585658681E-3</v>
      </c>
      <c r="Y12">
        <f t="shared" si="7"/>
        <v>-8.522634208542292E-4</v>
      </c>
      <c r="Z12">
        <f>IF($B12&lt;=regressions!$L$2,$B12*regressions!$L$1,regressions!$L$1*regressions!$L$2+regressions!$L$3*($B12-regressions!$L$2))</f>
        <v>-1.7807333583426507E-3</v>
      </c>
      <c r="AA12">
        <f>regressions!$J$1*X12+regressions!$J$2*X12^2</f>
        <v>-1.0161274682675696E-3</v>
      </c>
      <c r="AB12">
        <f>regressions!$V$1*X12</f>
        <v>-1.7807333633698874E-3</v>
      </c>
      <c r="AC12">
        <f>regressions!$N$1*X12^2</f>
        <v>-8.747100014642805E-7</v>
      </c>
      <c r="AD12">
        <f>regressions!$R$1*X12^2+regressions!$R$2*X12^6</f>
        <v>-9.5271711562435914E-7</v>
      </c>
      <c r="AE12">
        <f>regressions!$P$1*X12^2+regressions!$P$2*X12^7</f>
        <v>-9.2169234112573893E-7</v>
      </c>
      <c r="AF12">
        <f>regressions!$T$2+regressions!$T$1*EXP(X12)</f>
        <v>-1.7528672978030235E-5</v>
      </c>
      <c r="AG12" s="8">
        <f>(1-EXP(-2*regressions!$X$1*X12))/2/EXP(-regressions!$X$1*X12)</f>
        <v>-9.1192690977005158E-4</v>
      </c>
      <c r="AH12" s="8"/>
      <c r="AI12" s="33">
        <v>2.2405366585658681E-3</v>
      </c>
      <c r="AJ12">
        <f t="shared" si="8"/>
        <v>-8.522634208542292E-4</v>
      </c>
      <c r="AK12">
        <f>IF(AI12&lt;=regressions!$L$2,AI12*regressions!$L$1,regressions!$L$1*regressions!$L$2+regressions!$L$3*(AI12-regressions!$L$2))</f>
        <v>-1.7807333583426507E-3</v>
      </c>
      <c r="AL12">
        <f>regressions!$J$1*AI12+regressions!$J$2*AI12^2</f>
        <v>-1.0161274682675696E-3</v>
      </c>
      <c r="AM12">
        <f>regressions!$V$1*AI12</f>
        <v>-1.7807333633698874E-3</v>
      </c>
      <c r="AN12">
        <f>regressions!$N$1*AI12^2</f>
        <v>-8.747100014642805E-7</v>
      </c>
      <c r="AO12">
        <f>regressions!$R$1*AI12^2+regressions!$R$2*AI12^6</f>
        <v>-9.5271711562435914E-7</v>
      </c>
      <c r="AP12">
        <f>regressions!$P$1*AI12^2+regressions!$P$2*AI12^7</f>
        <v>-9.2169234112573893E-7</v>
      </c>
      <c r="AQ12">
        <f>regressions!$T$2+regressions!$T$1*EXP(AI12)</f>
        <v>-1.7528672978030235E-5</v>
      </c>
      <c r="AR12" s="8">
        <f>(1-EXP(-2*regressions!$X$1*AI12))/2/EXP(-regressions!$X$1*AI12)</f>
        <v>-9.1192690977005158E-4</v>
      </c>
      <c r="AT12" s="33">
        <v>2.2405366585658681E-3</v>
      </c>
      <c r="AU12">
        <f t="shared" si="9"/>
        <v>-8.522634208542292E-4</v>
      </c>
      <c r="AV12">
        <f>IF(AT12&lt;=regressions!$L$2,AT12*regressions!$L$1,regressions!$L$1*regressions!$L$2+regressions!$L$3*(AT12-regressions!$L$2))</f>
        <v>-1.7807333583426507E-3</v>
      </c>
      <c r="AW12">
        <f>regressions!$J$1*AT12+regressions!$J$2*AT12^2</f>
        <v>-1.0161274682675696E-3</v>
      </c>
      <c r="AX12">
        <f>regressions!$V$1*AT12</f>
        <v>-1.7807333633698874E-3</v>
      </c>
      <c r="AY12">
        <f>regressions!$N$1*AT12^2</f>
        <v>-8.747100014642805E-7</v>
      </c>
      <c r="AZ12">
        <f>regressions!$R$1*AT12^2+regressions!$R$2*AT12^6</f>
        <v>-9.5271711562435914E-7</v>
      </c>
      <c r="BA12">
        <f>regressions!$P$1*AT12^2+regressions!$P$2*AT12^7</f>
        <v>-9.2169234112573893E-7</v>
      </c>
      <c r="BB12">
        <f>regressions!$T$2+regressions!$T$1*EXP(AT12)</f>
        <v>-1.7528672978030235E-5</v>
      </c>
      <c r="BC12" s="8">
        <f>(1-EXP(-2*regressions!$X$1*AT12))/2/EXP(-regressions!$X$1*AT12)</f>
        <v>-9.1192690977005158E-4</v>
      </c>
      <c r="BE12">
        <f t="shared" si="10"/>
        <v>0</v>
      </c>
      <c r="BF12">
        <f t="shared" si="0"/>
        <v>0</v>
      </c>
      <c r="BG12">
        <f t="shared" si="1"/>
        <v>0</v>
      </c>
      <c r="BH12">
        <f>BG12+regressions!$AR$1*(AI12-B12)</f>
        <v>0</v>
      </c>
      <c r="BI12">
        <f>BG12-regressions!$AO$1*(AI12-B12)</f>
        <v>0</v>
      </c>
      <c r="BJ12">
        <f t="shared" si="2"/>
        <v>0</v>
      </c>
      <c r="BK12">
        <f>BJ12+regressions!$AR$1*(AT12-B12)</f>
        <v>0</v>
      </c>
      <c r="BL12">
        <f>BJ12-regressions!$AO$1*(AT12-B12)</f>
        <v>0</v>
      </c>
      <c r="BM12">
        <f t="shared" si="11"/>
        <v>0</v>
      </c>
      <c r="BN12">
        <f t="shared" si="3"/>
        <v>0</v>
      </c>
      <c r="BO12">
        <f t="shared" si="4"/>
        <v>0</v>
      </c>
      <c r="BP12">
        <f t="shared" si="12"/>
        <v>0</v>
      </c>
      <c r="BQ12">
        <f t="shared" si="13"/>
        <v>0</v>
      </c>
      <c r="BR12">
        <f t="shared" si="14"/>
        <v>0</v>
      </c>
    </row>
    <row r="13" spans="1:70" x14ac:dyDescent="0.35">
      <c r="A13">
        <v>1860</v>
      </c>
      <c r="B13" s="33">
        <v>2.5169061731142514E-3</v>
      </c>
      <c r="C13">
        <f t="shared" si="5"/>
        <v>-9.5744572412858936E-4</v>
      </c>
      <c r="D13">
        <f>IF($B13&lt;=regressions!$L$2,$B13*regressions!$L$1,regressions!$L$1*regressions!$L$2+regressions!$L$3*($B13-regressions!$L$2))</f>
        <v>-2.0003862758272866E-3</v>
      </c>
      <c r="E13">
        <f>regressions!$J$1*B13+regressions!$J$2*B13^2</f>
        <v>-1.1415233354339655E-3</v>
      </c>
      <c r="F13">
        <f>regressions!$V$1*B13</f>
        <v>-2.0003862814746316E-3</v>
      </c>
      <c r="G13">
        <f>regressions!$N$1*B13^2</f>
        <v>-1.103809267677011E-6</v>
      </c>
      <c r="H13">
        <f>regressions!$R$1*B13^2+regressions!$R$2*B13^6</f>
        <v>-1.202247579129368E-6</v>
      </c>
      <c r="I13">
        <f>regressions!$P$1*B13^2+regressions!$P$2*B13^7</f>
        <v>-1.1630969651409171E-6</v>
      </c>
      <c r="J13">
        <f>regressions!$T$2+regressions!$T$1*EXP(B13)</f>
        <v>-1.9693551691441977E-5</v>
      </c>
      <c r="K13" s="8">
        <f>(1-EXP(-2*regressions!$X$1*B13))/2/EXP(-regressions!$X$1*B13)</f>
        <v>-1.0244128535791687E-3</v>
      </c>
      <c r="M13" s="33">
        <v>2.5169061731142514E-3</v>
      </c>
      <c r="N13">
        <f t="shared" si="6"/>
        <v>-9.5744572412858936E-4</v>
      </c>
      <c r="O13">
        <f>IF($B13&lt;=regressions!$L$2,$B13*regressions!$L$1,regressions!$L$1*regressions!$L$2+regressions!$L$3*($B13-regressions!$L$2))</f>
        <v>-2.0003862758272866E-3</v>
      </c>
      <c r="P13">
        <f>regressions!$J$1*M13+regressions!$J$2*M13^2</f>
        <v>-1.1415233354339655E-3</v>
      </c>
      <c r="Q13">
        <f>regressions!$V$1*M13</f>
        <v>-2.0003862814746316E-3</v>
      </c>
      <c r="R13">
        <f>regressions!$N$1*M13^2</f>
        <v>-1.103809267677011E-6</v>
      </c>
      <c r="S13">
        <f>regressions!$R$1*M13^2+regressions!$R$2*M13^6</f>
        <v>-1.202247579129368E-6</v>
      </c>
      <c r="T13">
        <f>regressions!$P$1*M13^2+regressions!$P$2*M13^7</f>
        <v>-1.1630969651409171E-6</v>
      </c>
      <c r="U13">
        <f>regressions!$T$2+regressions!$T$1*EXP(M13)</f>
        <v>-1.9693551691441977E-5</v>
      </c>
      <c r="V13" s="8">
        <f>(1-EXP(-2*regressions!$X$1*M13))/2/EXP(-regressions!$X$1*M13)</f>
        <v>-1.0244128535791687E-3</v>
      </c>
      <c r="X13" s="33">
        <v>2.5169061731142514E-3</v>
      </c>
      <c r="Y13">
        <f t="shared" si="7"/>
        <v>-9.5744572412858936E-4</v>
      </c>
      <c r="Z13">
        <f>IF($B13&lt;=regressions!$L$2,$B13*regressions!$L$1,regressions!$L$1*regressions!$L$2+regressions!$L$3*($B13-regressions!$L$2))</f>
        <v>-2.0003862758272866E-3</v>
      </c>
      <c r="AA13">
        <f>regressions!$J$1*X13+regressions!$J$2*X13^2</f>
        <v>-1.1415233354339655E-3</v>
      </c>
      <c r="AB13">
        <f>regressions!$V$1*X13</f>
        <v>-2.0003862814746316E-3</v>
      </c>
      <c r="AC13">
        <f>regressions!$N$1*X13^2</f>
        <v>-1.103809267677011E-6</v>
      </c>
      <c r="AD13">
        <f>regressions!$R$1*X13^2+regressions!$R$2*X13^6</f>
        <v>-1.202247579129368E-6</v>
      </c>
      <c r="AE13">
        <f>regressions!$P$1*X13^2+regressions!$P$2*X13^7</f>
        <v>-1.1630969651409171E-6</v>
      </c>
      <c r="AF13">
        <f>regressions!$T$2+regressions!$T$1*EXP(X13)</f>
        <v>-1.9693551691441977E-5</v>
      </c>
      <c r="AG13" s="8">
        <f>(1-EXP(-2*regressions!$X$1*X13))/2/EXP(-regressions!$X$1*X13)</f>
        <v>-1.0244128535791687E-3</v>
      </c>
      <c r="AH13" s="8"/>
      <c r="AI13" s="33">
        <v>2.5169061731142514E-3</v>
      </c>
      <c r="AJ13">
        <f t="shared" si="8"/>
        <v>-9.5744572412858936E-4</v>
      </c>
      <c r="AK13">
        <f>IF(AI13&lt;=regressions!$L$2,AI13*regressions!$L$1,regressions!$L$1*regressions!$L$2+regressions!$L$3*(AI13-regressions!$L$2))</f>
        <v>-2.0003862758272866E-3</v>
      </c>
      <c r="AL13">
        <f>regressions!$J$1*AI13+regressions!$J$2*AI13^2</f>
        <v>-1.1415233354339655E-3</v>
      </c>
      <c r="AM13">
        <f>regressions!$V$1*AI13</f>
        <v>-2.0003862814746316E-3</v>
      </c>
      <c r="AN13">
        <f>regressions!$N$1*AI13^2</f>
        <v>-1.103809267677011E-6</v>
      </c>
      <c r="AO13">
        <f>regressions!$R$1*AI13^2+regressions!$R$2*AI13^6</f>
        <v>-1.202247579129368E-6</v>
      </c>
      <c r="AP13">
        <f>regressions!$P$1*AI13^2+regressions!$P$2*AI13^7</f>
        <v>-1.1630969651409171E-6</v>
      </c>
      <c r="AQ13">
        <f>regressions!$T$2+regressions!$T$1*EXP(AI13)</f>
        <v>-1.9693551691441977E-5</v>
      </c>
      <c r="AR13" s="8">
        <f>(1-EXP(-2*regressions!$X$1*AI13))/2/EXP(-regressions!$X$1*AI13)</f>
        <v>-1.0244128535791687E-3</v>
      </c>
      <c r="AT13" s="33">
        <v>2.5169061731142514E-3</v>
      </c>
      <c r="AU13">
        <f t="shared" si="9"/>
        <v>-9.5744572412858936E-4</v>
      </c>
      <c r="AV13">
        <f>IF(AT13&lt;=regressions!$L$2,AT13*regressions!$L$1,regressions!$L$1*regressions!$L$2+regressions!$L$3*(AT13-regressions!$L$2))</f>
        <v>-2.0003862758272866E-3</v>
      </c>
      <c r="AW13">
        <f>regressions!$J$1*AT13+regressions!$J$2*AT13^2</f>
        <v>-1.1415233354339655E-3</v>
      </c>
      <c r="AX13">
        <f>regressions!$V$1*AT13</f>
        <v>-2.0003862814746316E-3</v>
      </c>
      <c r="AY13">
        <f>regressions!$N$1*AT13^2</f>
        <v>-1.103809267677011E-6</v>
      </c>
      <c r="AZ13">
        <f>regressions!$R$1*AT13^2+regressions!$R$2*AT13^6</f>
        <v>-1.202247579129368E-6</v>
      </c>
      <c r="BA13">
        <f>regressions!$P$1*AT13^2+regressions!$P$2*AT13^7</f>
        <v>-1.1630969651409171E-6</v>
      </c>
      <c r="BB13">
        <f>regressions!$T$2+regressions!$T$1*EXP(AT13)</f>
        <v>-1.9693551691441977E-5</v>
      </c>
      <c r="BC13" s="8">
        <f>(1-EXP(-2*regressions!$X$1*AT13))/2/EXP(-regressions!$X$1*AT13)</f>
        <v>-1.0244128535791687E-3</v>
      </c>
      <c r="BE13">
        <f t="shared" si="10"/>
        <v>0</v>
      </c>
      <c r="BF13">
        <f t="shared" si="0"/>
        <v>0</v>
      </c>
      <c r="BG13">
        <f t="shared" si="1"/>
        <v>0</v>
      </c>
      <c r="BH13">
        <f>BG13+regressions!$AR$1*(AI13-B13)</f>
        <v>0</v>
      </c>
      <c r="BI13">
        <f>BG13-regressions!$AO$1*(AI13-B13)</f>
        <v>0</v>
      </c>
      <c r="BJ13">
        <f t="shared" si="2"/>
        <v>0</v>
      </c>
      <c r="BK13">
        <f>BJ13+regressions!$AR$1*(AT13-B13)</f>
        <v>0</v>
      </c>
      <c r="BL13">
        <f>BJ13-regressions!$AO$1*(AT13-B13)</f>
        <v>0</v>
      </c>
      <c r="BM13">
        <f t="shared" si="11"/>
        <v>0</v>
      </c>
      <c r="BN13">
        <f t="shared" si="3"/>
        <v>0</v>
      </c>
      <c r="BO13">
        <f t="shared" si="4"/>
        <v>0</v>
      </c>
      <c r="BP13">
        <f t="shared" si="12"/>
        <v>0</v>
      </c>
      <c r="BQ13">
        <f t="shared" si="13"/>
        <v>0</v>
      </c>
      <c r="BR13">
        <f t="shared" si="14"/>
        <v>0</v>
      </c>
    </row>
    <row r="14" spans="1:70" x14ac:dyDescent="0.35">
      <c r="A14">
        <v>1861</v>
      </c>
      <c r="B14" s="33">
        <v>2.8014651099763054E-3</v>
      </c>
      <c r="C14">
        <f t="shared" si="5"/>
        <v>-1.0657576261895061E-3</v>
      </c>
      <c r="D14">
        <f>IF($B14&lt;=regressions!$L$2,$B14*regressions!$L$1,regressions!$L$1*regressions!$L$2+regressions!$L$3*($B14-regressions!$L$2))</f>
        <v>-2.2265479810363972E-3</v>
      </c>
      <c r="E14">
        <f>regressions!$J$1*B14+regressions!$J$2*B14^2</f>
        <v>-1.2706479975197014E-3</v>
      </c>
      <c r="F14">
        <f>regressions!$V$1*B14</f>
        <v>-2.2265479873222254E-3</v>
      </c>
      <c r="G14">
        <f>regressions!$N$1*B14^2</f>
        <v>-1.3675097150833614E-6</v>
      </c>
      <c r="H14">
        <f>regressions!$R$1*B14^2+regressions!$R$2*B14^6</f>
        <v>-1.4894649760052041E-6</v>
      </c>
      <c r="I14">
        <f>regressions!$P$1*B14^2+regressions!$P$2*B14^7</f>
        <v>-1.4409612656736566E-6</v>
      </c>
      <c r="J14">
        <f>regressions!$T$2+regressions!$T$1*EXP(B14)</f>
        <v>-2.1923205661862621E-5</v>
      </c>
      <c r="K14" s="8">
        <f>(1-EXP(-2*regressions!$X$1*B14))/2/EXP(-regressions!$X$1*B14)</f>
        <v>-1.140232011063824E-3</v>
      </c>
      <c r="M14" s="33">
        <v>2.8014651099763054E-3</v>
      </c>
      <c r="N14">
        <f t="shared" si="6"/>
        <v>-1.0657576261895061E-3</v>
      </c>
      <c r="O14">
        <f>IF($B14&lt;=regressions!$L$2,$B14*regressions!$L$1,regressions!$L$1*regressions!$L$2+regressions!$L$3*($B14-regressions!$L$2))</f>
        <v>-2.2265479810363972E-3</v>
      </c>
      <c r="P14">
        <f>regressions!$J$1*M14+regressions!$J$2*M14^2</f>
        <v>-1.2706479975197014E-3</v>
      </c>
      <c r="Q14">
        <f>regressions!$V$1*M14</f>
        <v>-2.2265479873222254E-3</v>
      </c>
      <c r="R14">
        <f>regressions!$N$1*M14^2</f>
        <v>-1.3675097150833614E-6</v>
      </c>
      <c r="S14">
        <f>regressions!$R$1*M14^2+regressions!$R$2*M14^6</f>
        <v>-1.4894649760052041E-6</v>
      </c>
      <c r="T14">
        <f>regressions!$P$1*M14^2+regressions!$P$2*M14^7</f>
        <v>-1.4409612656736566E-6</v>
      </c>
      <c r="U14">
        <f>regressions!$T$2+regressions!$T$1*EXP(M14)</f>
        <v>-2.1923205661862621E-5</v>
      </c>
      <c r="V14" s="8">
        <f>(1-EXP(-2*regressions!$X$1*M14))/2/EXP(-regressions!$X$1*M14)</f>
        <v>-1.140232011063824E-3</v>
      </c>
      <c r="X14" s="33">
        <v>2.8014651099763054E-3</v>
      </c>
      <c r="Y14">
        <f t="shared" si="7"/>
        <v>-1.0657576261895061E-3</v>
      </c>
      <c r="Z14">
        <f>IF($B14&lt;=regressions!$L$2,$B14*regressions!$L$1,regressions!$L$1*regressions!$L$2+regressions!$L$3*($B14-regressions!$L$2))</f>
        <v>-2.2265479810363972E-3</v>
      </c>
      <c r="AA14">
        <f>regressions!$J$1*X14+regressions!$J$2*X14^2</f>
        <v>-1.2706479975197014E-3</v>
      </c>
      <c r="AB14">
        <f>regressions!$V$1*X14</f>
        <v>-2.2265479873222254E-3</v>
      </c>
      <c r="AC14">
        <f>regressions!$N$1*X14^2</f>
        <v>-1.3675097150833614E-6</v>
      </c>
      <c r="AD14">
        <f>regressions!$R$1*X14^2+regressions!$R$2*X14^6</f>
        <v>-1.4894649760052041E-6</v>
      </c>
      <c r="AE14">
        <f>regressions!$P$1*X14^2+regressions!$P$2*X14^7</f>
        <v>-1.4409612656736566E-6</v>
      </c>
      <c r="AF14">
        <f>regressions!$T$2+regressions!$T$1*EXP(X14)</f>
        <v>-2.1923205661862621E-5</v>
      </c>
      <c r="AG14" s="8">
        <f>(1-EXP(-2*regressions!$X$1*X14))/2/EXP(-regressions!$X$1*X14)</f>
        <v>-1.140232011063824E-3</v>
      </c>
      <c r="AH14" s="8"/>
      <c r="AI14" s="33">
        <v>2.8014651099763054E-3</v>
      </c>
      <c r="AJ14">
        <f t="shared" si="8"/>
        <v>-1.0657576261895061E-3</v>
      </c>
      <c r="AK14">
        <f>IF(AI14&lt;=regressions!$L$2,AI14*regressions!$L$1,regressions!$L$1*regressions!$L$2+regressions!$L$3*(AI14-regressions!$L$2))</f>
        <v>-2.2265479810363972E-3</v>
      </c>
      <c r="AL14">
        <f>regressions!$J$1*AI14+regressions!$J$2*AI14^2</f>
        <v>-1.2706479975197014E-3</v>
      </c>
      <c r="AM14">
        <f>regressions!$V$1*AI14</f>
        <v>-2.2265479873222254E-3</v>
      </c>
      <c r="AN14">
        <f>regressions!$N$1*AI14^2</f>
        <v>-1.3675097150833614E-6</v>
      </c>
      <c r="AO14">
        <f>regressions!$R$1*AI14^2+regressions!$R$2*AI14^6</f>
        <v>-1.4894649760052041E-6</v>
      </c>
      <c r="AP14">
        <f>regressions!$P$1*AI14^2+regressions!$P$2*AI14^7</f>
        <v>-1.4409612656736566E-6</v>
      </c>
      <c r="AQ14">
        <f>regressions!$T$2+regressions!$T$1*EXP(AI14)</f>
        <v>-2.1923205661862621E-5</v>
      </c>
      <c r="AR14" s="8">
        <f>(1-EXP(-2*regressions!$X$1*AI14))/2/EXP(-regressions!$X$1*AI14)</f>
        <v>-1.140232011063824E-3</v>
      </c>
      <c r="AT14" s="33">
        <v>2.8014651099763054E-3</v>
      </c>
      <c r="AU14">
        <f t="shared" si="9"/>
        <v>-1.0657576261895061E-3</v>
      </c>
      <c r="AV14">
        <f>IF(AT14&lt;=regressions!$L$2,AT14*regressions!$L$1,regressions!$L$1*regressions!$L$2+regressions!$L$3*(AT14-regressions!$L$2))</f>
        <v>-2.2265479810363972E-3</v>
      </c>
      <c r="AW14">
        <f>regressions!$J$1*AT14+regressions!$J$2*AT14^2</f>
        <v>-1.2706479975197014E-3</v>
      </c>
      <c r="AX14">
        <f>regressions!$V$1*AT14</f>
        <v>-2.2265479873222254E-3</v>
      </c>
      <c r="AY14">
        <f>regressions!$N$1*AT14^2</f>
        <v>-1.3675097150833614E-6</v>
      </c>
      <c r="AZ14">
        <f>regressions!$R$1*AT14^2+regressions!$R$2*AT14^6</f>
        <v>-1.4894649760052041E-6</v>
      </c>
      <c r="BA14">
        <f>regressions!$P$1*AT14^2+regressions!$P$2*AT14^7</f>
        <v>-1.4409612656736566E-6</v>
      </c>
      <c r="BB14">
        <f>regressions!$T$2+regressions!$T$1*EXP(AT14)</f>
        <v>-2.1923205661862621E-5</v>
      </c>
      <c r="BC14" s="8">
        <f>(1-EXP(-2*regressions!$X$1*AT14))/2/EXP(-regressions!$X$1*AT14)</f>
        <v>-1.140232011063824E-3</v>
      </c>
      <c r="BE14">
        <f t="shared" si="10"/>
        <v>0</v>
      </c>
      <c r="BF14">
        <f t="shared" si="0"/>
        <v>0</v>
      </c>
      <c r="BG14">
        <f t="shared" si="1"/>
        <v>0</v>
      </c>
      <c r="BH14">
        <f>BG14+regressions!$AR$1*(AI14-B14)</f>
        <v>0</v>
      </c>
      <c r="BI14">
        <f>BG14-regressions!$AO$1*(AI14-B14)</f>
        <v>0</v>
      </c>
      <c r="BJ14">
        <f t="shared" si="2"/>
        <v>0</v>
      </c>
      <c r="BK14">
        <f>BJ14+regressions!$AR$1*(AT14-B14)</f>
        <v>0</v>
      </c>
      <c r="BL14">
        <f>BJ14-regressions!$AO$1*(AT14-B14)</f>
        <v>0</v>
      </c>
      <c r="BM14">
        <f t="shared" si="11"/>
        <v>0</v>
      </c>
      <c r="BN14">
        <f t="shared" si="3"/>
        <v>0</v>
      </c>
      <c r="BO14">
        <f t="shared" si="4"/>
        <v>0</v>
      </c>
      <c r="BP14">
        <f t="shared" si="12"/>
        <v>0</v>
      </c>
      <c r="BQ14">
        <f t="shared" si="13"/>
        <v>0</v>
      </c>
      <c r="BR14">
        <f t="shared" si="14"/>
        <v>0</v>
      </c>
    </row>
    <row r="15" spans="1:70" x14ac:dyDescent="0.35">
      <c r="A15">
        <v>1862</v>
      </c>
      <c r="B15" s="33">
        <v>3.0946227548544888E-3</v>
      </c>
      <c r="C15">
        <f t="shared" si="5"/>
        <v>-1.1773560658110073E-3</v>
      </c>
      <c r="D15">
        <f>IF($B15&lt;=regressions!$L$2,$B15*regressions!$L$1,regressions!$L$1*regressions!$L$2+regressions!$L$3*($B15-regressions!$L$2))</f>
        <v>-2.4595437659935141E-3</v>
      </c>
      <c r="E15">
        <f>regressions!$J$1*B15+regressions!$J$2*B15^2</f>
        <v>-1.4036883485401483E-3</v>
      </c>
      <c r="F15">
        <f>regressions!$V$1*B15</f>
        <v>-2.4595437729371191E-3</v>
      </c>
      <c r="G15">
        <f>regressions!$N$1*B15^2</f>
        <v>-1.6686890397734497E-6</v>
      </c>
      <c r="H15">
        <f>regressions!$R$1*B15^2+regressions!$R$2*B15^6</f>
        <v>-1.8175036368460415E-6</v>
      </c>
      <c r="I15">
        <f>regressions!$P$1*B15^2+regressions!$P$2*B15^7</f>
        <v>-1.7583175053503242E-6</v>
      </c>
      <c r="J15">
        <f>regressions!$T$2+regressions!$T$1*EXP(B15)</f>
        <v>-2.422089819207815E-5</v>
      </c>
      <c r="K15" s="8">
        <f>(1-EXP(-2*regressions!$X$1*B15))/2/EXP(-regressions!$X$1*B15)</f>
        <v>-1.2595509696270884E-3</v>
      </c>
      <c r="M15" s="33">
        <v>3.0946227548544888E-3</v>
      </c>
      <c r="N15">
        <f t="shared" si="6"/>
        <v>-1.1773560658110073E-3</v>
      </c>
      <c r="O15">
        <f>IF($B15&lt;=regressions!$L$2,$B15*regressions!$L$1,regressions!$L$1*regressions!$L$2+regressions!$L$3*($B15-regressions!$L$2))</f>
        <v>-2.4595437659935141E-3</v>
      </c>
      <c r="P15">
        <f>regressions!$J$1*M15+regressions!$J$2*M15^2</f>
        <v>-1.4036883485401483E-3</v>
      </c>
      <c r="Q15">
        <f>regressions!$V$1*M15</f>
        <v>-2.4595437729371191E-3</v>
      </c>
      <c r="R15">
        <f>regressions!$N$1*M15^2</f>
        <v>-1.6686890397734497E-6</v>
      </c>
      <c r="S15">
        <f>regressions!$R$1*M15^2+regressions!$R$2*M15^6</f>
        <v>-1.8175036368460415E-6</v>
      </c>
      <c r="T15">
        <f>regressions!$P$1*M15^2+regressions!$P$2*M15^7</f>
        <v>-1.7583175053503242E-6</v>
      </c>
      <c r="U15">
        <f>regressions!$T$2+regressions!$T$1*EXP(M15)</f>
        <v>-2.422089819207815E-5</v>
      </c>
      <c r="V15" s="8">
        <f>(1-EXP(-2*regressions!$X$1*M15))/2/EXP(-regressions!$X$1*M15)</f>
        <v>-1.2595509696270884E-3</v>
      </c>
      <c r="X15" s="33">
        <v>3.0946227548544888E-3</v>
      </c>
      <c r="Y15">
        <f t="shared" si="7"/>
        <v>-1.1773560658110073E-3</v>
      </c>
      <c r="Z15">
        <f>IF($B15&lt;=regressions!$L$2,$B15*regressions!$L$1,regressions!$L$1*regressions!$L$2+regressions!$L$3*($B15-regressions!$L$2))</f>
        <v>-2.4595437659935141E-3</v>
      </c>
      <c r="AA15">
        <f>regressions!$J$1*X15+regressions!$J$2*X15^2</f>
        <v>-1.4036883485401483E-3</v>
      </c>
      <c r="AB15">
        <f>regressions!$V$1*X15</f>
        <v>-2.4595437729371191E-3</v>
      </c>
      <c r="AC15">
        <f>regressions!$N$1*X15^2</f>
        <v>-1.6686890397734497E-6</v>
      </c>
      <c r="AD15">
        <f>regressions!$R$1*X15^2+regressions!$R$2*X15^6</f>
        <v>-1.8175036368460415E-6</v>
      </c>
      <c r="AE15">
        <f>regressions!$P$1*X15^2+regressions!$P$2*X15^7</f>
        <v>-1.7583175053503242E-6</v>
      </c>
      <c r="AF15">
        <f>regressions!$T$2+regressions!$T$1*EXP(X15)</f>
        <v>-2.422089819207815E-5</v>
      </c>
      <c r="AG15" s="8">
        <f>(1-EXP(-2*regressions!$X$1*X15))/2/EXP(-regressions!$X$1*X15)</f>
        <v>-1.2595509696270884E-3</v>
      </c>
      <c r="AH15" s="8"/>
      <c r="AI15" s="33">
        <v>3.0946227548544888E-3</v>
      </c>
      <c r="AJ15">
        <f t="shared" si="8"/>
        <v>-1.1773560658110073E-3</v>
      </c>
      <c r="AK15">
        <f>IF(AI15&lt;=regressions!$L$2,AI15*regressions!$L$1,regressions!$L$1*regressions!$L$2+regressions!$L$3*(AI15-regressions!$L$2))</f>
        <v>-2.4595437659935141E-3</v>
      </c>
      <c r="AL15">
        <f>regressions!$J$1*AI15+regressions!$J$2*AI15^2</f>
        <v>-1.4036883485401483E-3</v>
      </c>
      <c r="AM15">
        <f>regressions!$V$1*AI15</f>
        <v>-2.4595437729371191E-3</v>
      </c>
      <c r="AN15">
        <f>regressions!$N$1*AI15^2</f>
        <v>-1.6686890397734497E-6</v>
      </c>
      <c r="AO15">
        <f>regressions!$R$1*AI15^2+regressions!$R$2*AI15^6</f>
        <v>-1.8175036368460415E-6</v>
      </c>
      <c r="AP15">
        <f>regressions!$P$1*AI15^2+regressions!$P$2*AI15^7</f>
        <v>-1.7583175053503242E-6</v>
      </c>
      <c r="AQ15">
        <f>regressions!$T$2+regressions!$T$1*EXP(AI15)</f>
        <v>-2.422089819207815E-5</v>
      </c>
      <c r="AR15" s="8">
        <f>(1-EXP(-2*regressions!$X$1*AI15))/2/EXP(-regressions!$X$1*AI15)</f>
        <v>-1.2595509696270884E-3</v>
      </c>
      <c r="AT15" s="33">
        <v>3.0946227548544888E-3</v>
      </c>
      <c r="AU15">
        <f t="shared" si="9"/>
        <v>-1.1773560658110073E-3</v>
      </c>
      <c r="AV15">
        <f>IF(AT15&lt;=regressions!$L$2,AT15*regressions!$L$1,regressions!$L$1*regressions!$L$2+regressions!$L$3*(AT15-regressions!$L$2))</f>
        <v>-2.4595437659935141E-3</v>
      </c>
      <c r="AW15">
        <f>regressions!$J$1*AT15+regressions!$J$2*AT15^2</f>
        <v>-1.4036883485401483E-3</v>
      </c>
      <c r="AX15">
        <f>regressions!$V$1*AT15</f>
        <v>-2.4595437729371191E-3</v>
      </c>
      <c r="AY15">
        <f>regressions!$N$1*AT15^2</f>
        <v>-1.6686890397734497E-6</v>
      </c>
      <c r="AZ15">
        <f>regressions!$R$1*AT15^2+regressions!$R$2*AT15^6</f>
        <v>-1.8175036368460415E-6</v>
      </c>
      <c r="BA15">
        <f>regressions!$P$1*AT15^2+regressions!$P$2*AT15^7</f>
        <v>-1.7583175053503242E-6</v>
      </c>
      <c r="BB15">
        <f>regressions!$T$2+regressions!$T$1*EXP(AT15)</f>
        <v>-2.422089819207815E-5</v>
      </c>
      <c r="BC15" s="8">
        <f>(1-EXP(-2*regressions!$X$1*AT15))/2/EXP(-regressions!$X$1*AT15)</f>
        <v>-1.2595509696270884E-3</v>
      </c>
      <c r="BE15">
        <f t="shared" si="10"/>
        <v>0</v>
      </c>
      <c r="BF15">
        <f t="shared" si="0"/>
        <v>0</v>
      </c>
      <c r="BG15">
        <f t="shared" si="1"/>
        <v>0</v>
      </c>
      <c r="BH15">
        <f>BG15+regressions!$AR$1*(AI15-B15)</f>
        <v>0</v>
      </c>
      <c r="BI15">
        <f>BG15-regressions!$AO$1*(AI15-B15)</f>
        <v>0</v>
      </c>
      <c r="BJ15">
        <f t="shared" si="2"/>
        <v>0</v>
      </c>
      <c r="BK15">
        <f>BJ15+regressions!$AR$1*(AT15-B15)</f>
        <v>0</v>
      </c>
      <c r="BL15">
        <f>BJ15-regressions!$AO$1*(AT15-B15)</f>
        <v>0</v>
      </c>
      <c r="BM15">
        <f t="shared" si="11"/>
        <v>0</v>
      </c>
      <c r="BN15">
        <f t="shared" si="3"/>
        <v>0</v>
      </c>
      <c r="BO15">
        <f t="shared" si="4"/>
        <v>0</v>
      </c>
      <c r="BP15">
        <f t="shared" si="12"/>
        <v>0</v>
      </c>
      <c r="BQ15">
        <f t="shared" si="13"/>
        <v>0</v>
      </c>
      <c r="BR15">
        <f t="shared" si="14"/>
        <v>0</v>
      </c>
    </row>
    <row r="16" spans="1:70" x14ac:dyDescent="0.35">
      <c r="A16">
        <v>1863</v>
      </c>
      <c r="B16" s="33">
        <v>3.3962415871593814E-3</v>
      </c>
      <c r="C16">
        <f t="shared" si="5"/>
        <v>-1.2921898973518382E-3</v>
      </c>
      <c r="D16">
        <f>IF($B16&lt;=regressions!$L$2,$B16*regressions!$L$1,regressions!$L$1*regressions!$L$2+regressions!$L$3*($B16-regressions!$L$2))</f>
        <v>-2.6992643321071125E-3</v>
      </c>
      <c r="E16">
        <f>regressions!$J$1*B16+regressions!$J$2*B16^2</f>
        <v>-1.5405832052250345E-3</v>
      </c>
      <c r="F16">
        <f>regressions!$V$1*B16</f>
        <v>-2.6992643397274791E-3</v>
      </c>
      <c r="G16">
        <f>regressions!$N$1*B16^2</f>
        <v>-2.0098198698835623E-6</v>
      </c>
      <c r="H16">
        <f>regressions!$R$1*B16^2+regressions!$R$2*B16^6</f>
        <v>-2.1890567001115652E-6</v>
      </c>
      <c r="I16">
        <f>regressions!$P$1*B16^2+regressions!$P$2*B16^7</f>
        <v>-2.1177711218723893E-6</v>
      </c>
      <c r="J16">
        <f>regressions!$T$2+regressions!$T$1*EXP(B16)</f>
        <v>-2.6585610417883751E-5</v>
      </c>
      <c r="K16" s="8">
        <f>(1-EXP(-2*regressions!$X$1*B16))/2/EXP(-regressions!$X$1*B16)</f>
        <v>-1.3823137597989655E-3</v>
      </c>
      <c r="M16" s="33">
        <v>3.3962415871593814E-3</v>
      </c>
      <c r="N16">
        <f t="shared" si="6"/>
        <v>-1.2921898973518382E-3</v>
      </c>
      <c r="O16">
        <f>IF($B16&lt;=regressions!$L$2,$B16*regressions!$L$1,regressions!$L$1*regressions!$L$2+regressions!$L$3*($B16-regressions!$L$2))</f>
        <v>-2.6992643321071125E-3</v>
      </c>
      <c r="P16">
        <f>regressions!$J$1*M16+regressions!$J$2*M16^2</f>
        <v>-1.5405832052250345E-3</v>
      </c>
      <c r="Q16">
        <f>regressions!$V$1*M16</f>
        <v>-2.6992643397274791E-3</v>
      </c>
      <c r="R16">
        <f>regressions!$N$1*M16^2</f>
        <v>-2.0098198698835623E-6</v>
      </c>
      <c r="S16">
        <f>regressions!$R$1*M16^2+regressions!$R$2*M16^6</f>
        <v>-2.1890567001115652E-6</v>
      </c>
      <c r="T16">
        <f>regressions!$P$1*M16^2+regressions!$P$2*M16^7</f>
        <v>-2.1177711218723893E-6</v>
      </c>
      <c r="U16">
        <f>regressions!$T$2+regressions!$T$1*EXP(M16)</f>
        <v>-2.6585610417883751E-5</v>
      </c>
      <c r="V16" s="8">
        <f>(1-EXP(-2*regressions!$X$1*M16))/2/EXP(-regressions!$X$1*M16)</f>
        <v>-1.3823137597989655E-3</v>
      </c>
      <c r="X16" s="33">
        <v>3.3962415871593814E-3</v>
      </c>
      <c r="Y16">
        <f t="shared" si="7"/>
        <v>-1.2921898973518382E-3</v>
      </c>
      <c r="Z16">
        <f>IF($B16&lt;=regressions!$L$2,$B16*regressions!$L$1,regressions!$L$1*regressions!$L$2+regressions!$L$3*($B16-regressions!$L$2))</f>
        <v>-2.6992643321071125E-3</v>
      </c>
      <c r="AA16">
        <f>regressions!$J$1*X16+regressions!$J$2*X16^2</f>
        <v>-1.5405832052250345E-3</v>
      </c>
      <c r="AB16">
        <f>regressions!$V$1*X16</f>
        <v>-2.6992643397274791E-3</v>
      </c>
      <c r="AC16">
        <f>regressions!$N$1*X16^2</f>
        <v>-2.0098198698835623E-6</v>
      </c>
      <c r="AD16">
        <f>regressions!$R$1*X16^2+regressions!$R$2*X16^6</f>
        <v>-2.1890567001115652E-6</v>
      </c>
      <c r="AE16">
        <f>regressions!$P$1*X16^2+regressions!$P$2*X16^7</f>
        <v>-2.1177711218723893E-6</v>
      </c>
      <c r="AF16">
        <f>regressions!$T$2+regressions!$T$1*EXP(X16)</f>
        <v>-2.6585610417883751E-5</v>
      </c>
      <c r="AG16" s="8">
        <f>(1-EXP(-2*regressions!$X$1*X16))/2/EXP(-regressions!$X$1*X16)</f>
        <v>-1.3823137597989655E-3</v>
      </c>
      <c r="AH16" s="8"/>
      <c r="AI16" s="33">
        <v>3.3962415871593814E-3</v>
      </c>
      <c r="AJ16">
        <f t="shared" si="8"/>
        <v>-1.2921898973518382E-3</v>
      </c>
      <c r="AK16">
        <f>IF(AI16&lt;=regressions!$L$2,AI16*regressions!$L$1,regressions!$L$1*regressions!$L$2+regressions!$L$3*(AI16-regressions!$L$2))</f>
        <v>-2.6992643321071125E-3</v>
      </c>
      <c r="AL16">
        <f>regressions!$J$1*AI16+regressions!$J$2*AI16^2</f>
        <v>-1.5405832052250345E-3</v>
      </c>
      <c r="AM16">
        <f>regressions!$V$1*AI16</f>
        <v>-2.6992643397274791E-3</v>
      </c>
      <c r="AN16">
        <f>regressions!$N$1*AI16^2</f>
        <v>-2.0098198698835623E-6</v>
      </c>
      <c r="AO16">
        <f>regressions!$R$1*AI16^2+regressions!$R$2*AI16^6</f>
        <v>-2.1890567001115652E-6</v>
      </c>
      <c r="AP16">
        <f>regressions!$P$1*AI16^2+regressions!$P$2*AI16^7</f>
        <v>-2.1177711218723893E-6</v>
      </c>
      <c r="AQ16">
        <f>regressions!$T$2+regressions!$T$1*EXP(AI16)</f>
        <v>-2.6585610417883751E-5</v>
      </c>
      <c r="AR16" s="8">
        <f>(1-EXP(-2*regressions!$X$1*AI16))/2/EXP(-regressions!$X$1*AI16)</f>
        <v>-1.3823137597989655E-3</v>
      </c>
      <c r="AT16" s="33">
        <v>3.3962415871593814E-3</v>
      </c>
      <c r="AU16">
        <f t="shared" si="9"/>
        <v>-1.2921898973518382E-3</v>
      </c>
      <c r="AV16">
        <f>IF(AT16&lt;=regressions!$L$2,AT16*regressions!$L$1,regressions!$L$1*regressions!$L$2+regressions!$L$3*(AT16-regressions!$L$2))</f>
        <v>-2.6992643321071125E-3</v>
      </c>
      <c r="AW16">
        <f>regressions!$J$1*AT16+regressions!$J$2*AT16^2</f>
        <v>-1.5405832052250345E-3</v>
      </c>
      <c r="AX16">
        <f>regressions!$V$1*AT16</f>
        <v>-2.6992643397274791E-3</v>
      </c>
      <c r="AY16">
        <f>regressions!$N$1*AT16^2</f>
        <v>-2.0098198698835623E-6</v>
      </c>
      <c r="AZ16">
        <f>regressions!$R$1*AT16^2+regressions!$R$2*AT16^6</f>
        <v>-2.1890567001115652E-6</v>
      </c>
      <c r="BA16">
        <f>regressions!$P$1*AT16^2+regressions!$P$2*AT16^7</f>
        <v>-2.1177711218723893E-6</v>
      </c>
      <c r="BB16">
        <f>regressions!$T$2+regressions!$T$1*EXP(AT16)</f>
        <v>-2.6585610417883751E-5</v>
      </c>
      <c r="BC16" s="8">
        <f>(1-EXP(-2*regressions!$X$1*AT16))/2/EXP(-regressions!$X$1*AT16)</f>
        <v>-1.3823137597989655E-3</v>
      </c>
      <c r="BE16">
        <f t="shared" si="10"/>
        <v>0</v>
      </c>
      <c r="BF16">
        <f t="shared" si="0"/>
        <v>0</v>
      </c>
      <c r="BG16">
        <f t="shared" si="1"/>
        <v>0</v>
      </c>
      <c r="BH16">
        <f>BG16+regressions!$AR$1*(AI16-B16)</f>
        <v>0</v>
      </c>
      <c r="BI16">
        <f>BG16-regressions!$AO$1*(AI16-B16)</f>
        <v>0</v>
      </c>
      <c r="BJ16">
        <f t="shared" si="2"/>
        <v>0</v>
      </c>
      <c r="BK16">
        <f>BJ16+regressions!$AR$1*(AT16-B16)</f>
        <v>0</v>
      </c>
      <c r="BL16">
        <f>BJ16-regressions!$AO$1*(AT16-B16)</f>
        <v>0</v>
      </c>
      <c r="BM16">
        <f t="shared" si="11"/>
        <v>0</v>
      </c>
      <c r="BN16">
        <f t="shared" si="3"/>
        <v>0</v>
      </c>
      <c r="BO16">
        <f t="shared" si="4"/>
        <v>0</v>
      </c>
      <c r="BP16">
        <f t="shared" si="12"/>
        <v>0</v>
      </c>
      <c r="BQ16">
        <f t="shared" si="13"/>
        <v>0</v>
      </c>
      <c r="BR16">
        <f t="shared" si="14"/>
        <v>0</v>
      </c>
    </row>
    <row r="17" spans="1:70" x14ac:dyDescent="0.35">
      <c r="A17">
        <v>1864</v>
      </c>
      <c r="B17" s="33">
        <v>3.7075578785870046E-3</v>
      </c>
      <c r="C17">
        <f t="shared" si="5"/>
        <v>-1.4107311223712825E-3</v>
      </c>
      <c r="D17">
        <f>IF($B17&lt;=regressions!$L$2,$B17*regressions!$L$1,regressions!$L$1*regressions!$L$2+regressions!$L$3*($B17-regressions!$L$2))</f>
        <v>-2.9466922431931712E-3</v>
      </c>
      <c r="E17">
        <f>regressions!$J$1*B17+regressions!$J$2*B17^2</f>
        <v>-1.6818950153834945E-3</v>
      </c>
      <c r="F17">
        <f>regressions!$V$1*B17</f>
        <v>-2.946692251512058E-3</v>
      </c>
      <c r="G17">
        <f>regressions!$N$1*B17^2</f>
        <v>-2.3951673520465141E-6</v>
      </c>
      <c r="H17">
        <f>regressions!$R$1*B17^2+regressions!$R$2*B17^6</f>
        <v>-2.60876968053343E-6</v>
      </c>
      <c r="I17">
        <f>regressions!$P$1*B17^2+regressions!$P$2*B17^7</f>
        <v>-2.5238163510193246E-6</v>
      </c>
      <c r="J17">
        <f>regressions!$T$2+regressions!$T$1*EXP(B17)</f>
        <v>-2.9027099508074569E-5</v>
      </c>
      <c r="K17" s="8">
        <f>(1-EXP(-2*regressions!$X$1*B17))/2/EXP(-regressions!$X$1*B17)</f>
        <v>-1.5090235639100827E-3</v>
      </c>
      <c r="M17" s="33">
        <v>3.7075578785870046E-3</v>
      </c>
      <c r="N17">
        <f t="shared" si="6"/>
        <v>-1.4107311223712825E-3</v>
      </c>
      <c r="O17">
        <f>IF($B17&lt;=regressions!$L$2,$B17*regressions!$L$1,regressions!$L$1*regressions!$L$2+regressions!$L$3*($B17-regressions!$L$2))</f>
        <v>-2.9466922431931712E-3</v>
      </c>
      <c r="P17">
        <f>regressions!$J$1*M17+regressions!$J$2*M17^2</f>
        <v>-1.6818950153834945E-3</v>
      </c>
      <c r="Q17">
        <f>regressions!$V$1*M17</f>
        <v>-2.946692251512058E-3</v>
      </c>
      <c r="R17">
        <f>regressions!$N$1*M17^2</f>
        <v>-2.3951673520465141E-6</v>
      </c>
      <c r="S17">
        <f>regressions!$R$1*M17^2+regressions!$R$2*M17^6</f>
        <v>-2.60876968053343E-6</v>
      </c>
      <c r="T17">
        <f>regressions!$P$1*M17^2+regressions!$P$2*M17^7</f>
        <v>-2.5238163510193246E-6</v>
      </c>
      <c r="U17">
        <f>regressions!$T$2+regressions!$T$1*EXP(M17)</f>
        <v>-2.9027099508074569E-5</v>
      </c>
      <c r="V17" s="8">
        <f>(1-EXP(-2*regressions!$X$1*M17))/2/EXP(-regressions!$X$1*M17)</f>
        <v>-1.5090235639100827E-3</v>
      </c>
      <c r="X17" s="33">
        <v>3.7075578785870046E-3</v>
      </c>
      <c r="Y17">
        <f t="shared" si="7"/>
        <v>-1.4107311223712825E-3</v>
      </c>
      <c r="Z17">
        <f>IF($B17&lt;=regressions!$L$2,$B17*regressions!$L$1,regressions!$L$1*regressions!$L$2+regressions!$L$3*($B17-regressions!$L$2))</f>
        <v>-2.9466922431931712E-3</v>
      </c>
      <c r="AA17">
        <f>regressions!$J$1*X17+regressions!$J$2*X17^2</f>
        <v>-1.6818950153834945E-3</v>
      </c>
      <c r="AB17">
        <f>regressions!$V$1*X17</f>
        <v>-2.946692251512058E-3</v>
      </c>
      <c r="AC17">
        <f>regressions!$N$1*X17^2</f>
        <v>-2.3951673520465141E-6</v>
      </c>
      <c r="AD17">
        <f>regressions!$R$1*X17^2+regressions!$R$2*X17^6</f>
        <v>-2.60876968053343E-6</v>
      </c>
      <c r="AE17">
        <f>regressions!$P$1*X17^2+regressions!$P$2*X17^7</f>
        <v>-2.5238163510193246E-6</v>
      </c>
      <c r="AF17">
        <f>regressions!$T$2+regressions!$T$1*EXP(X17)</f>
        <v>-2.9027099508074569E-5</v>
      </c>
      <c r="AG17" s="8">
        <f>(1-EXP(-2*regressions!$X$1*X17))/2/EXP(-regressions!$X$1*X17)</f>
        <v>-1.5090235639100827E-3</v>
      </c>
      <c r="AH17" s="8"/>
      <c r="AI17" s="33">
        <v>3.7075578785870046E-3</v>
      </c>
      <c r="AJ17">
        <f t="shared" si="8"/>
        <v>-1.4107311223712825E-3</v>
      </c>
      <c r="AK17">
        <f>IF(AI17&lt;=regressions!$L$2,AI17*regressions!$L$1,regressions!$L$1*regressions!$L$2+regressions!$L$3*(AI17-regressions!$L$2))</f>
        <v>-2.9466922431931712E-3</v>
      </c>
      <c r="AL17">
        <f>regressions!$J$1*AI17+regressions!$J$2*AI17^2</f>
        <v>-1.6818950153834945E-3</v>
      </c>
      <c r="AM17">
        <f>regressions!$V$1*AI17</f>
        <v>-2.946692251512058E-3</v>
      </c>
      <c r="AN17">
        <f>regressions!$N$1*AI17^2</f>
        <v>-2.3951673520465141E-6</v>
      </c>
      <c r="AO17">
        <f>regressions!$R$1*AI17^2+regressions!$R$2*AI17^6</f>
        <v>-2.60876968053343E-6</v>
      </c>
      <c r="AP17">
        <f>regressions!$P$1*AI17^2+regressions!$P$2*AI17^7</f>
        <v>-2.5238163510193246E-6</v>
      </c>
      <c r="AQ17">
        <f>regressions!$T$2+regressions!$T$1*EXP(AI17)</f>
        <v>-2.9027099508074569E-5</v>
      </c>
      <c r="AR17" s="8">
        <f>(1-EXP(-2*regressions!$X$1*AI17))/2/EXP(-regressions!$X$1*AI17)</f>
        <v>-1.5090235639100827E-3</v>
      </c>
      <c r="AT17" s="33">
        <v>3.7075578785870046E-3</v>
      </c>
      <c r="AU17">
        <f t="shared" si="9"/>
        <v>-1.4107311223712825E-3</v>
      </c>
      <c r="AV17">
        <f>IF(AT17&lt;=regressions!$L$2,AT17*regressions!$L$1,regressions!$L$1*regressions!$L$2+regressions!$L$3*(AT17-regressions!$L$2))</f>
        <v>-2.9466922431931712E-3</v>
      </c>
      <c r="AW17">
        <f>regressions!$J$1*AT17+regressions!$J$2*AT17^2</f>
        <v>-1.6818950153834945E-3</v>
      </c>
      <c r="AX17">
        <f>regressions!$V$1*AT17</f>
        <v>-2.946692251512058E-3</v>
      </c>
      <c r="AY17">
        <f>regressions!$N$1*AT17^2</f>
        <v>-2.3951673520465141E-6</v>
      </c>
      <c r="AZ17">
        <f>regressions!$R$1*AT17^2+regressions!$R$2*AT17^6</f>
        <v>-2.60876968053343E-6</v>
      </c>
      <c r="BA17">
        <f>regressions!$P$1*AT17^2+regressions!$P$2*AT17^7</f>
        <v>-2.5238163510193246E-6</v>
      </c>
      <c r="BB17">
        <f>regressions!$T$2+regressions!$T$1*EXP(AT17)</f>
        <v>-2.9027099508074569E-5</v>
      </c>
      <c r="BC17" s="8">
        <f>(1-EXP(-2*regressions!$X$1*AT17))/2/EXP(-regressions!$X$1*AT17)</f>
        <v>-1.5090235639100827E-3</v>
      </c>
      <c r="BE17">
        <f t="shared" si="10"/>
        <v>0</v>
      </c>
      <c r="BF17">
        <f t="shared" si="0"/>
        <v>0</v>
      </c>
      <c r="BG17">
        <f t="shared" si="1"/>
        <v>0</v>
      </c>
      <c r="BH17">
        <f>BG17+regressions!$AR$1*(AI17-B17)</f>
        <v>0</v>
      </c>
      <c r="BI17">
        <f>BG17-regressions!$AO$1*(AI17-B17)</f>
        <v>0</v>
      </c>
      <c r="BJ17">
        <f t="shared" si="2"/>
        <v>0</v>
      </c>
      <c r="BK17">
        <f>BJ17+regressions!$AR$1*(AT17-B17)</f>
        <v>0</v>
      </c>
      <c r="BL17">
        <f>BJ17-regressions!$AO$1*(AT17-B17)</f>
        <v>0</v>
      </c>
      <c r="BM17">
        <f t="shared" si="11"/>
        <v>0</v>
      </c>
      <c r="BN17">
        <f t="shared" si="3"/>
        <v>0</v>
      </c>
      <c r="BO17">
        <f t="shared" si="4"/>
        <v>0</v>
      </c>
      <c r="BP17">
        <f t="shared" si="12"/>
        <v>0</v>
      </c>
      <c r="BQ17">
        <f t="shared" si="13"/>
        <v>0</v>
      </c>
      <c r="BR17">
        <f t="shared" si="14"/>
        <v>0</v>
      </c>
    </row>
    <row r="18" spans="1:70" x14ac:dyDescent="0.35">
      <c r="A18">
        <v>1865</v>
      </c>
      <c r="B18" s="33">
        <v>4.0299744870475928E-3</v>
      </c>
      <c r="C18">
        <f t="shared" si="5"/>
        <v>-1.5335154760785703E-3</v>
      </c>
      <c r="D18">
        <f>IF($B18&lt;=regressions!$L$2,$B18*regressions!$L$1,regressions!$L$1*regressions!$L$2+regressions!$L$3*($B18-regressions!$L$2))</f>
        <v>-3.202942462431703E-3</v>
      </c>
      <c r="E18">
        <f>regressions!$J$1*B18+regressions!$J$2*B18^2</f>
        <v>-1.8282621502865276E-3</v>
      </c>
      <c r="F18">
        <f>regressions!$V$1*B18</f>
        <v>-3.2029424714740168E-3</v>
      </c>
      <c r="G18">
        <f>regressions!$N$1*B18^2</f>
        <v>-2.829857571020442E-6</v>
      </c>
      <c r="H18">
        <f>regressions!$R$1*B18^2+regressions!$R$2*B18^6</f>
        <v>-3.0822258098993612E-6</v>
      </c>
      <c r="I18">
        <f>regressions!$P$1*B18^2+regressions!$P$2*B18^7</f>
        <v>-2.9818546093218973E-6</v>
      </c>
      <c r="J18">
        <f>regressions!$T$2+regressions!$T$1*EXP(B18)</f>
        <v>-3.1556443854495117E-5</v>
      </c>
      <c r="K18" s="8">
        <f>(1-EXP(-2*regressions!$X$1*B18))/2/EXP(-regressions!$X$1*B18)</f>
        <v>-1.640251367863294E-3</v>
      </c>
      <c r="M18" s="33">
        <v>4.0299744870475928E-3</v>
      </c>
      <c r="N18">
        <f t="shared" si="6"/>
        <v>-1.5335154760785703E-3</v>
      </c>
      <c r="O18">
        <f>IF($B18&lt;=regressions!$L$2,$B18*regressions!$L$1,regressions!$L$1*regressions!$L$2+regressions!$L$3*($B18-regressions!$L$2))</f>
        <v>-3.202942462431703E-3</v>
      </c>
      <c r="P18">
        <f>regressions!$J$1*M18+regressions!$J$2*M18^2</f>
        <v>-1.8282621502865276E-3</v>
      </c>
      <c r="Q18">
        <f>regressions!$V$1*M18</f>
        <v>-3.2029424714740168E-3</v>
      </c>
      <c r="R18">
        <f>regressions!$N$1*M18^2</f>
        <v>-2.829857571020442E-6</v>
      </c>
      <c r="S18">
        <f>regressions!$R$1*M18^2+regressions!$R$2*M18^6</f>
        <v>-3.0822258098993612E-6</v>
      </c>
      <c r="T18">
        <f>regressions!$P$1*M18^2+regressions!$P$2*M18^7</f>
        <v>-2.9818546093218973E-6</v>
      </c>
      <c r="U18">
        <f>regressions!$T$2+regressions!$T$1*EXP(M18)</f>
        <v>-3.1556443854495117E-5</v>
      </c>
      <c r="V18" s="8">
        <f>(1-EXP(-2*regressions!$X$1*M18))/2/EXP(-regressions!$X$1*M18)</f>
        <v>-1.640251367863294E-3</v>
      </c>
      <c r="X18" s="33">
        <v>4.0299744870475928E-3</v>
      </c>
      <c r="Y18">
        <f t="shared" si="7"/>
        <v>-1.5335154760785703E-3</v>
      </c>
      <c r="Z18">
        <f>IF($B18&lt;=regressions!$L$2,$B18*regressions!$L$1,regressions!$L$1*regressions!$L$2+regressions!$L$3*($B18-regressions!$L$2))</f>
        <v>-3.202942462431703E-3</v>
      </c>
      <c r="AA18">
        <f>regressions!$J$1*X18+regressions!$J$2*X18^2</f>
        <v>-1.8282621502865276E-3</v>
      </c>
      <c r="AB18">
        <f>regressions!$V$1*X18</f>
        <v>-3.2029424714740168E-3</v>
      </c>
      <c r="AC18">
        <f>regressions!$N$1*X18^2</f>
        <v>-2.829857571020442E-6</v>
      </c>
      <c r="AD18">
        <f>regressions!$R$1*X18^2+regressions!$R$2*X18^6</f>
        <v>-3.0822258098993612E-6</v>
      </c>
      <c r="AE18">
        <f>regressions!$P$1*X18^2+regressions!$P$2*X18^7</f>
        <v>-2.9818546093218973E-6</v>
      </c>
      <c r="AF18">
        <f>regressions!$T$2+regressions!$T$1*EXP(X18)</f>
        <v>-3.1556443854495117E-5</v>
      </c>
      <c r="AG18" s="8">
        <f>(1-EXP(-2*regressions!$X$1*X18))/2/EXP(-regressions!$X$1*X18)</f>
        <v>-1.640251367863294E-3</v>
      </c>
      <c r="AH18" s="8"/>
      <c r="AI18" s="33">
        <v>4.0299744870475928E-3</v>
      </c>
      <c r="AJ18">
        <f t="shared" si="8"/>
        <v>-1.5335154760785703E-3</v>
      </c>
      <c r="AK18">
        <f>IF(AI18&lt;=regressions!$L$2,AI18*regressions!$L$1,regressions!$L$1*regressions!$L$2+regressions!$L$3*(AI18-regressions!$L$2))</f>
        <v>-3.202942462431703E-3</v>
      </c>
      <c r="AL18">
        <f>regressions!$J$1*AI18+regressions!$J$2*AI18^2</f>
        <v>-1.8282621502865276E-3</v>
      </c>
      <c r="AM18">
        <f>regressions!$V$1*AI18</f>
        <v>-3.2029424714740168E-3</v>
      </c>
      <c r="AN18">
        <f>regressions!$N$1*AI18^2</f>
        <v>-2.829857571020442E-6</v>
      </c>
      <c r="AO18">
        <f>regressions!$R$1*AI18^2+regressions!$R$2*AI18^6</f>
        <v>-3.0822258098993612E-6</v>
      </c>
      <c r="AP18">
        <f>regressions!$P$1*AI18^2+regressions!$P$2*AI18^7</f>
        <v>-2.9818546093218973E-6</v>
      </c>
      <c r="AQ18">
        <f>regressions!$T$2+regressions!$T$1*EXP(AI18)</f>
        <v>-3.1556443854495117E-5</v>
      </c>
      <c r="AR18" s="8">
        <f>(1-EXP(-2*regressions!$X$1*AI18))/2/EXP(-regressions!$X$1*AI18)</f>
        <v>-1.640251367863294E-3</v>
      </c>
      <c r="AT18" s="33">
        <v>4.0299744870475928E-3</v>
      </c>
      <c r="AU18">
        <f t="shared" si="9"/>
        <v>-1.5335154760785703E-3</v>
      </c>
      <c r="AV18">
        <f>IF(AT18&lt;=regressions!$L$2,AT18*regressions!$L$1,regressions!$L$1*regressions!$L$2+regressions!$L$3*(AT18-regressions!$L$2))</f>
        <v>-3.202942462431703E-3</v>
      </c>
      <c r="AW18">
        <f>regressions!$J$1*AT18+regressions!$J$2*AT18^2</f>
        <v>-1.8282621502865276E-3</v>
      </c>
      <c r="AX18">
        <f>regressions!$V$1*AT18</f>
        <v>-3.2029424714740168E-3</v>
      </c>
      <c r="AY18">
        <f>regressions!$N$1*AT18^2</f>
        <v>-2.829857571020442E-6</v>
      </c>
      <c r="AZ18">
        <f>regressions!$R$1*AT18^2+regressions!$R$2*AT18^6</f>
        <v>-3.0822258098993612E-6</v>
      </c>
      <c r="BA18">
        <f>regressions!$P$1*AT18^2+regressions!$P$2*AT18^7</f>
        <v>-2.9818546093218973E-6</v>
      </c>
      <c r="BB18">
        <f>regressions!$T$2+regressions!$T$1*EXP(AT18)</f>
        <v>-3.1556443854495117E-5</v>
      </c>
      <c r="BC18" s="8">
        <f>(1-EXP(-2*regressions!$X$1*AT18))/2/EXP(-regressions!$X$1*AT18)</f>
        <v>-1.640251367863294E-3</v>
      </c>
      <c r="BE18">
        <f t="shared" si="10"/>
        <v>0</v>
      </c>
      <c r="BF18">
        <f t="shared" si="0"/>
        <v>0</v>
      </c>
      <c r="BG18">
        <f t="shared" si="1"/>
        <v>0</v>
      </c>
      <c r="BH18">
        <f>BG18+regressions!$AR$1*(AI18-B18)</f>
        <v>0</v>
      </c>
      <c r="BI18">
        <f>BG18-regressions!$AO$1*(AI18-B18)</f>
        <v>0</v>
      </c>
      <c r="BJ18">
        <f t="shared" si="2"/>
        <v>0</v>
      </c>
      <c r="BK18">
        <f>BJ18+regressions!$AR$1*(AT18-B18)</f>
        <v>0</v>
      </c>
      <c r="BL18">
        <f>BJ18-regressions!$AO$1*(AT18-B18)</f>
        <v>0</v>
      </c>
      <c r="BM18">
        <f t="shared" si="11"/>
        <v>0</v>
      </c>
      <c r="BN18">
        <f t="shared" si="3"/>
        <v>0</v>
      </c>
      <c r="BO18">
        <f t="shared" si="4"/>
        <v>0</v>
      </c>
      <c r="BP18">
        <f t="shared" si="12"/>
        <v>0</v>
      </c>
      <c r="BQ18">
        <f t="shared" si="13"/>
        <v>0</v>
      </c>
      <c r="BR18">
        <f t="shared" si="14"/>
        <v>0</v>
      </c>
    </row>
    <row r="19" spans="1:70" x14ac:dyDescent="0.35">
      <c r="A19">
        <v>1866</v>
      </c>
      <c r="B19" s="33">
        <v>4.364518892583622E-3</v>
      </c>
      <c r="C19">
        <f t="shared" ref="C19:C82" si="15">SUMPRODUCT(D$2:K$2,D19:K19)</f>
        <v>-1.6609360558950659E-3</v>
      </c>
      <c r="D19">
        <f>IF($B19&lt;=regressions!$L$2,$B19*regressions!$L$1,regressions!$L$1*regressions!$L$2+regressions!$L$3*($B19-regressions!$L$2))</f>
        <v>-3.4688316102424953E-3</v>
      </c>
      <c r="E19">
        <f>regressions!$J$1*B19+regressions!$J$2*B19^2</f>
        <v>-1.9801528922734498E-3</v>
      </c>
      <c r="F19">
        <f>regressions!$V$1*B19</f>
        <v>-3.4688316200354478E-3</v>
      </c>
      <c r="G19">
        <f>regressions!$N$1*B19^2</f>
        <v>-3.3191947871464183E-6</v>
      </c>
      <c r="H19">
        <f>regressions!$R$1*B19^2+regressions!$R$2*B19^6</f>
        <v>-3.6152023853755094E-6</v>
      </c>
      <c r="I19">
        <f>regressions!$P$1*B19^2+regressions!$P$2*B19^7</f>
        <v>-3.4974750590436216E-6</v>
      </c>
      <c r="J19">
        <f>regressions!$T$2+regressions!$T$1*EXP(B19)</f>
        <v>-3.4181792479449566E-5</v>
      </c>
      <c r="K19" s="8">
        <f>(1-EXP(-2*regressions!$X$1*B19))/2/EXP(-regressions!$X$1*B19)</f>
        <v>-1.776415374767176E-3</v>
      </c>
      <c r="M19" s="33">
        <v>4.364518892583622E-3</v>
      </c>
      <c r="N19">
        <f t="shared" si="6"/>
        <v>-1.6609360558950659E-3</v>
      </c>
      <c r="O19">
        <f>IF($B19&lt;=regressions!$L$2,$B19*regressions!$L$1,regressions!$L$1*regressions!$L$2+regressions!$L$3*($B19-regressions!$L$2))</f>
        <v>-3.4688316102424953E-3</v>
      </c>
      <c r="P19">
        <f>regressions!$J$1*M19+regressions!$J$2*M19^2</f>
        <v>-1.9801528922734498E-3</v>
      </c>
      <c r="Q19">
        <f>regressions!$V$1*M19</f>
        <v>-3.4688316200354478E-3</v>
      </c>
      <c r="R19">
        <f>regressions!$N$1*M19^2</f>
        <v>-3.3191947871464183E-6</v>
      </c>
      <c r="S19">
        <f>regressions!$R$1*M19^2+regressions!$R$2*M19^6</f>
        <v>-3.6152023853755094E-6</v>
      </c>
      <c r="T19">
        <f>regressions!$P$1*M19^2+regressions!$P$2*M19^7</f>
        <v>-3.4974750590436216E-6</v>
      </c>
      <c r="U19">
        <f>regressions!$T$2+regressions!$T$1*EXP(M19)</f>
        <v>-3.4181792479449566E-5</v>
      </c>
      <c r="V19" s="8">
        <f>(1-EXP(-2*regressions!$X$1*M19))/2/EXP(-regressions!$X$1*M19)</f>
        <v>-1.776415374767176E-3</v>
      </c>
      <c r="X19" s="33">
        <v>4.364518892583622E-3</v>
      </c>
      <c r="Y19">
        <f t="shared" si="7"/>
        <v>-1.6609360558950659E-3</v>
      </c>
      <c r="Z19">
        <f>IF($B19&lt;=regressions!$L$2,$B19*regressions!$L$1,regressions!$L$1*regressions!$L$2+regressions!$L$3*($B19-regressions!$L$2))</f>
        <v>-3.4688316102424953E-3</v>
      </c>
      <c r="AA19">
        <f>regressions!$J$1*X19+regressions!$J$2*X19^2</f>
        <v>-1.9801528922734498E-3</v>
      </c>
      <c r="AB19">
        <f>regressions!$V$1*X19</f>
        <v>-3.4688316200354478E-3</v>
      </c>
      <c r="AC19">
        <f>regressions!$N$1*X19^2</f>
        <v>-3.3191947871464183E-6</v>
      </c>
      <c r="AD19">
        <f>regressions!$R$1*X19^2+regressions!$R$2*X19^6</f>
        <v>-3.6152023853755094E-6</v>
      </c>
      <c r="AE19">
        <f>regressions!$P$1*X19^2+regressions!$P$2*X19^7</f>
        <v>-3.4974750590436216E-6</v>
      </c>
      <c r="AF19">
        <f>regressions!$T$2+regressions!$T$1*EXP(X19)</f>
        <v>-3.4181792479449566E-5</v>
      </c>
      <c r="AG19" s="8">
        <f>(1-EXP(-2*regressions!$X$1*X19))/2/EXP(-regressions!$X$1*X19)</f>
        <v>-1.776415374767176E-3</v>
      </c>
      <c r="AH19" s="8"/>
      <c r="AI19" s="33">
        <v>4.364518892583622E-3</v>
      </c>
      <c r="AJ19">
        <f t="shared" si="8"/>
        <v>-1.6609360558950659E-3</v>
      </c>
      <c r="AK19">
        <f>IF(AI19&lt;=regressions!$L$2,AI19*regressions!$L$1,regressions!$L$1*regressions!$L$2+regressions!$L$3*(AI19-regressions!$L$2))</f>
        <v>-3.4688316102424953E-3</v>
      </c>
      <c r="AL19">
        <f>regressions!$J$1*AI19+regressions!$J$2*AI19^2</f>
        <v>-1.9801528922734498E-3</v>
      </c>
      <c r="AM19">
        <f>regressions!$V$1*AI19</f>
        <v>-3.4688316200354478E-3</v>
      </c>
      <c r="AN19">
        <f>regressions!$N$1*AI19^2</f>
        <v>-3.3191947871464183E-6</v>
      </c>
      <c r="AO19">
        <f>regressions!$R$1*AI19^2+regressions!$R$2*AI19^6</f>
        <v>-3.6152023853755094E-6</v>
      </c>
      <c r="AP19">
        <f>regressions!$P$1*AI19^2+regressions!$P$2*AI19^7</f>
        <v>-3.4974750590436216E-6</v>
      </c>
      <c r="AQ19">
        <f>regressions!$T$2+regressions!$T$1*EXP(AI19)</f>
        <v>-3.4181792479449566E-5</v>
      </c>
      <c r="AR19" s="8">
        <f>(1-EXP(-2*regressions!$X$1*AI19))/2/EXP(-regressions!$X$1*AI19)</f>
        <v>-1.776415374767176E-3</v>
      </c>
      <c r="AT19" s="33">
        <v>4.364518892583622E-3</v>
      </c>
      <c r="AU19">
        <f t="shared" si="9"/>
        <v>-1.6609360558950659E-3</v>
      </c>
      <c r="AV19">
        <f>IF(AT19&lt;=regressions!$L$2,AT19*regressions!$L$1,regressions!$L$1*regressions!$L$2+regressions!$L$3*(AT19-regressions!$L$2))</f>
        <v>-3.4688316102424953E-3</v>
      </c>
      <c r="AW19">
        <f>regressions!$J$1*AT19+regressions!$J$2*AT19^2</f>
        <v>-1.9801528922734498E-3</v>
      </c>
      <c r="AX19">
        <f>regressions!$V$1*AT19</f>
        <v>-3.4688316200354478E-3</v>
      </c>
      <c r="AY19">
        <f>regressions!$N$1*AT19^2</f>
        <v>-3.3191947871464183E-6</v>
      </c>
      <c r="AZ19">
        <f>regressions!$R$1*AT19^2+regressions!$R$2*AT19^6</f>
        <v>-3.6152023853755094E-6</v>
      </c>
      <c r="BA19">
        <f>regressions!$P$1*AT19^2+regressions!$P$2*AT19^7</f>
        <v>-3.4974750590436216E-6</v>
      </c>
      <c r="BB19">
        <f>regressions!$T$2+regressions!$T$1*EXP(AT19)</f>
        <v>-3.4181792479449566E-5</v>
      </c>
      <c r="BC19" s="8">
        <f>(1-EXP(-2*regressions!$X$1*AT19))/2/EXP(-regressions!$X$1*AT19)</f>
        <v>-1.776415374767176E-3</v>
      </c>
      <c r="BE19">
        <f t="shared" si="10"/>
        <v>0</v>
      </c>
      <c r="BF19">
        <f t="shared" si="0"/>
        <v>0</v>
      </c>
      <c r="BG19">
        <f t="shared" si="1"/>
        <v>0</v>
      </c>
      <c r="BH19">
        <f>BG19+regressions!$AR$1*(AI19-B19)</f>
        <v>0</v>
      </c>
      <c r="BI19">
        <f>BG19-regressions!$AO$1*(AI19-B19)</f>
        <v>0</v>
      </c>
      <c r="BJ19">
        <f t="shared" si="2"/>
        <v>0</v>
      </c>
      <c r="BK19">
        <f>BJ19+regressions!$AR$1*(AT19-B19)</f>
        <v>0</v>
      </c>
      <c r="BL19">
        <f>BJ19-regressions!$AO$1*(AT19-B19)</f>
        <v>0</v>
      </c>
      <c r="BM19">
        <f t="shared" si="11"/>
        <v>0</v>
      </c>
      <c r="BN19">
        <f t="shared" si="3"/>
        <v>0</v>
      </c>
      <c r="BO19">
        <f t="shared" si="4"/>
        <v>0</v>
      </c>
      <c r="BP19">
        <f t="shared" si="12"/>
        <v>0</v>
      </c>
      <c r="BQ19">
        <f t="shared" si="13"/>
        <v>0</v>
      </c>
      <c r="BR19">
        <f t="shared" si="14"/>
        <v>0</v>
      </c>
    </row>
    <row r="20" spans="1:70" x14ac:dyDescent="0.35">
      <c r="A20">
        <v>1867</v>
      </c>
      <c r="B20" s="33">
        <v>4.711081863085516E-3</v>
      </c>
      <c r="C20">
        <f t="shared" si="15"/>
        <v>-1.7929532047859526E-3</v>
      </c>
      <c r="D20">
        <f>IF($B20&lt;=regressions!$L$2,$B20*regressions!$L$1,regressions!$L$1*regressions!$L$2+regressions!$L$3*($B20-regressions!$L$2))</f>
        <v>-3.7442728711473993E-3</v>
      </c>
      <c r="E20">
        <f>regressions!$J$1*B20+regressions!$J$2*B20^2</f>
        <v>-2.1375196280082297E-3</v>
      </c>
      <c r="F20">
        <f>regressions!$V$1*B20</f>
        <v>-3.7442728817179576E-3</v>
      </c>
      <c r="G20">
        <f>regressions!$N$1*B20^2</f>
        <v>-3.867241433202312E-6</v>
      </c>
      <c r="H20">
        <f>regressions!$R$1*B20^2+regressions!$R$2*B20^6</f>
        <v>-4.2121241297066318E-6</v>
      </c>
      <c r="I20">
        <f>regressions!$P$1*B20^2+regressions!$P$2*B20^7</f>
        <v>-4.0749583339619011E-6</v>
      </c>
      <c r="J20">
        <f>regressions!$T$2+regressions!$T$1*EXP(B20)</f>
        <v>-3.6902383553116466E-5</v>
      </c>
      <c r="K20" s="8">
        <f>(1-EXP(-2*regressions!$X$1*B20))/2/EXP(-regressions!$X$1*B20)</f>
        <v>-1.9174711316626634E-3</v>
      </c>
      <c r="M20" s="33">
        <v>4.711081863085516E-3</v>
      </c>
      <c r="N20">
        <f t="shared" si="6"/>
        <v>-1.7929532047859526E-3</v>
      </c>
      <c r="O20">
        <f>IF($B20&lt;=regressions!$L$2,$B20*regressions!$L$1,regressions!$L$1*regressions!$L$2+regressions!$L$3*($B20-regressions!$L$2))</f>
        <v>-3.7442728711473993E-3</v>
      </c>
      <c r="P20">
        <f>regressions!$J$1*M20+regressions!$J$2*M20^2</f>
        <v>-2.1375196280082297E-3</v>
      </c>
      <c r="Q20">
        <f>regressions!$V$1*M20</f>
        <v>-3.7442728817179576E-3</v>
      </c>
      <c r="R20">
        <f>regressions!$N$1*M20^2</f>
        <v>-3.867241433202312E-6</v>
      </c>
      <c r="S20">
        <f>regressions!$R$1*M20^2+regressions!$R$2*M20^6</f>
        <v>-4.2121241297066318E-6</v>
      </c>
      <c r="T20">
        <f>regressions!$P$1*M20^2+regressions!$P$2*M20^7</f>
        <v>-4.0749583339619011E-6</v>
      </c>
      <c r="U20">
        <f>regressions!$T$2+regressions!$T$1*EXP(M20)</f>
        <v>-3.6902383553116466E-5</v>
      </c>
      <c r="V20" s="8">
        <f>(1-EXP(-2*regressions!$X$1*M20))/2/EXP(-regressions!$X$1*M20)</f>
        <v>-1.9174711316626634E-3</v>
      </c>
      <c r="X20" s="33">
        <v>4.711081863085516E-3</v>
      </c>
      <c r="Y20">
        <f t="shared" si="7"/>
        <v>-1.7929532047859526E-3</v>
      </c>
      <c r="Z20">
        <f>IF($B20&lt;=regressions!$L$2,$B20*regressions!$L$1,regressions!$L$1*regressions!$L$2+regressions!$L$3*($B20-regressions!$L$2))</f>
        <v>-3.7442728711473993E-3</v>
      </c>
      <c r="AA20">
        <f>regressions!$J$1*X20+regressions!$J$2*X20^2</f>
        <v>-2.1375196280082297E-3</v>
      </c>
      <c r="AB20">
        <f>regressions!$V$1*X20</f>
        <v>-3.7442728817179576E-3</v>
      </c>
      <c r="AC20">
        <f>regressions!$N$1*X20^2</f>
        <v>-3.867241433202312E-6</v>
      </c>
      <c r="AD20">
        <f>regressions!$R$1*X20^2+regressions!$R$2*X20^6</f>
        <v>-4.2121241297066318E-6</v>
      </c>
      <c r="AE20">
        <f>regressions!$P$1*X20^2+regressions!$P$2*X20^7</f>
        <v>-4.0749583339619011E-6</v>
      </c>
      <c r="AF20">
        <f>regressions!$T$2+regressions!$T$1*EXP(X20)</f>
        <v>-3.6902383553116466E-5</v>
      </c>
      <c r="AG20" s="8">
        <f>(1-EXP(-2*regressions!$X$1*X20))/2/EXP(-regressions!$X$1*X20)</f>
        <v>-1.9174711316626634E-3</v>
      </c>
      <c r="AH20" s="8"/>
      <c r="AI20" s="33">
        <v>4.711081863085516E-3</v>
      </c>
      <c r="AJ20">
        <f t="shared" si="8"/>
        <v>-1.7929532047859526E-3</v>
      </c>
      <c r="AK20">
        <f>IF(AI20&lt;=regressions!$L$2,AI20*regressions!$L$1,regressions!$L$1*regressions!$L$2+regressions!$L$3*(AI20-regressions!$L$2))</f>
        <v>-3.7442728711473993E-3</v>
      </c>
      <c r="AL20">
        <f>regressions!$J$1*AI20+regressions!$J$2*AI20^2</f>
        <v>-2.1375196280082297E-3</v>
      </c>
      <c r="AM20">
        <f>regressions!$V$1*AI20</f>
        <v>-3.7442728817179576E-3</v>
      </c>
      <c r="AN20">
        <f>regressions!$N$1*AI20^2</f>
        <v>-3.867241433202312E-6</v>
      </c>
      <c r="AO20">
        <f>regressions!$R$1*AI20^2+regressions!$R$2*AI20^6</f>
        <v>-4.2121241297066318E-6</v>
      </c>
      <c r="AP20">
        <f>regressions!$P$1*AI20^2+regressions!$P$2*AI20^7</f>
        <v>-4.0749583339619011E-6</v>
      </c>
      <c r="AQ20">
        <f>regressions!$T$2+regressions!$T$1*EXP(AI20)</f>
        <v>-3.6902383553116466E-5</v>
      </c>
      <c r="AR20" s="8">
        <f>(1-EXP(-2*regressions!$X$1*AI20))/2/EXP(-regressions!$X$1*AI20)</f>
        <v>-1.9174711316626634E-3</v>
      </c>
      <c r="AT20" s="33">
        <v>4.711081863085516E-3</v>
      </c>
      <c r="AU20">
        <f t="shared" si="9"/>
        <v>-1.7929532047859526E-3</v>
      </c>
      <c r="AV20">
        <f>IF(AT20&lt;=regressions!$L$2,AT20*regressions!$L$1,regressions!$L$1*regressions!$L$2+regressions!$L$3*(AT20-regressions!$L$2))</f>
        <v>-3.7442728711473993E-3</v>
      </c>
      <c r="AW20">
        <f>regressions!$J$1*AT20+regressions!$J$2*AT20^2</f>
        <v>-2.1375196280082297E-3</v>
      </c>
      <c r="AX20">
        <f>regressions!$V$1*AT20</f>
        <v>-3.7442728817179576E-3</v>
      </c>
      <c r="AY20">
        <f>regressions!$N$1*AT20^2</f>
        <v>-3.867241433202312E-6</v>
      </c>
      <c r="AZ20">
        <f>regressions!$R$1*AT20^2+regressions!$R$2*AT20^6</f>
        <v>-4.2121241297066318E-6</v>
      </c>
      <c r="BA20">
        <f>regressions!$P$1*AT20^2+regressions!$P$2*AT20^7</f>
        <v>-4.0749583339619011E-6</v>
      </c>
      <c r="BB20">
        <f>regressions!$T$2+regressions!$T$1*EXP(AT20)</f>
        <v>-3.6902383553116466E-5</v>
      </c>
      <c r="BC20" s="8">
        <f>(1-EXP(-2*regressions!$X$1*AT20))/2/EXP(-regressions!$X$1*AT20)</f>
        <v>-1.9174711316626634E-3</v>
      </c>
      <c r="BE20">
        <f t="shared" si="10"/>
        <v>0</v>
      </c>
      <c r="BF20">
        <f t="shared" si="0"/>
        <v>0</v>
      </c>
      <c r="BG20">
        <f t="shared" si="1"/>
        <v>0</v>
      </c>
      <c r="BH20">
        <f>BG20+regressions!$AR$1*(AI20-B20)</f>
        <v>0</v>
      </c>
      <c r="BI20">
        <f>BG20-regressions!$AO$1*(AI20-B20)</f>
        <v>0</v>
      </c>
      <c r="BJ20">
        <f t="shared" si="2"/>
        <v>0</v>
      </c>
      <c r="BK20">
        <f>BJ20+regressions!$AR$1*(AT20-B20)</f>
        <v>0</v>
      </c>
      <c r="BL20">
        <f>BJ20-regressions!$AO$1*(AT20-B20)</f>
        <v>0</v>
      </c>
      <c r="BM20">
        <f t="shared" si="11"/>
        <v>0</v>
      </c>
      <c r="BN20">
        <f t="shared" si="3"/>
        <v>0</v>
      </c>
      <c r="BO20">
        <f t="shared" si="4"/>
        <v>0</v>
      </c>
      <c r="BP20">
        <f t="shared" si="12"/>
        <v>0</v>
      </c>
      <c r="BQ20">
        <f t="shared" si="13"/>
        <v>0</v>
      </c>
      <c r="BR20">
        <f t="shared" si="14"/>
        <v>0</v>
      </c>
    </row>
    <row r="21" spans="1:70" x14ac:dyDescent="0.35">
      <c r="A21">
        <v>1868</v>
      </c>
      <c r="B21" s="33">
        <v>5.0709325536310908E-3</v>
      </c>
      <c r="C21">
        <f t="shared" si="15"/>
        <v>-1.9300525021327525E-3</v>
      </c>
      <c r="D21">
        <f>IF($B21&lt;=regressions!$L$2,$B21*regressions!$L$1,regressions!$L$1*regressions!$L$2+regressions!$L$3*($B21-regressions!$L$2))</f>
        <v>-4.0302749440111873E-3</v>
      </c>
      <c r="E21">
        <f>regressions!$J$1*B21+regressions!$J$2*B21^2</f>
        <v>-2.3009408063953637E-3</v>
      </c>
      <c r="F21">
        <f>regressions!$V$1*B21</f>
        <v>-4.0302749553891657E-3</v>
      </c>
      <c r="G21">
        <f>regressions!$N$1*B21^2</f>
        <v>-4.4805946159674891E-6</v>
      </c>
      <c r="H21">
        <f>regressions!$R$1*B21^2+regressions!$R$2*B21^6</f>
        <v>-4.8801764832464186E-6</v>
      </c>
      <c r="I21">
        <f>regressions!$P$1*B21^2+regressions!$P$2*B21^7</f>
        <v>-4.7212558840223766E-6</v>
      </c>
      <c r="J21">
        <f>regressions!$T$2+regressions!$T$1*EXP(B21)</f>
        <v>-3.9728283932496597E-5</v>
      </c>
      <c r="K21" s="8">
        <f>(1-EXP(-2*regressions!$X$1*B21))/2/EXP(-regressions!$X$1*B21)</f>
        <v>-2.0639352084677117E-3</v>
      </c>
      <c r="M21" s="33">
        <v>5.0709325536310908E-3</v>
      </c>
      <c r="N21">
        <f t="shared" si="6"/>
        <v>-1.9300525021327525E-3</v>
      </c>
      <c r="O21">
        <f>IF($B21&lt;=regressions!$L$2,$B21*regressions!$L$1,regressions!$L$1*regressions!$L$2+regressions!$L$3*($B21-regressions!$L$2))</f>
        <v>-4.0302749440111873E-3</v>
      </c>
      <c r="P21">
        <f>regressions!$J$1*M21+regressions!$J$2*M21^2</f>
        <v>-2.3009408063953637E-3</v>
      </c>
      <c r="Q21">
        <f>regressions!$V$1*M21</f>
        <v>-4.0302749553891657E-3</v>
      </c>
      <c r="R21">
        <f>regressions!$N$1*M21^2</f>
        <v>-4.4805946159674891E-6</v>
      </c>
      <c r="S21">
        <f>regressions!$R$1*M21^2+regressions!$R$2*M21^6</f>
        <v>-4.8801764832464186E-6</v>
      </c>
      <c r="T21">
        <f>regressions!$P$1*M21^2+regressions!$P$2*M21^7</f>
        <v>-4.7212558840223766E-6</v>
      </c>
      <c r="U21">
        <f>regressions!$T$2+regressions!$T$1*EXP(M21)</f>
        <v>-3.9728283932496597E-5</v>
      </c>
      <c r="V21" s="8">
        <f>(1-EXP(-2*regressions!$X$1*M21))/2/EXP(-regressions!$X$1*M21)</f>
        <v>-2.0639352084677117E-3</v>
      </c>
      <c r="X21" s="33">
        <v>5.0709325536310908E-3</v>
      </c>
      <c r="Y21">
        <f t="shared" si="7"/>
        <v>-1.9300525021327525E-3</v>
      </c>
      <c r="Z21">
        <f>IF($B21&lt;=regressions!$L$2,$B21*regressions!$L$1,regressions!$L$1*regressions!$L$2+regressions!$L$3*($B21-regressions!$L$2))</f>
        <v>-4.0302749440111873E-3</v>
      </c>
      <c r="AA21">
        <f>regressions!$J$1*X21+regressions!$J$2*X21^2</f>
        <v>-2.3009408063953637E-3</v>
      </c>
      <c r="AB21">
        <f>regressions!$V$1*X21</f>
        <v>-4.0302749553891657E-3</v>
      </c>
      <c r="AC21">
        <f>regressions!$N$1*X21^2</f>
        <v>-4.4805946159674891E-6</v>
      </c>
      <c r="AD21">
        <f>regressions!$R$1*X21^2+regressions!$R$2*X21^6</f>
        <v>-4.8801764832464186E-6</v>
      </c>
      <c r="AE21">
        <f>regressions!$P$1*X21^2+regressions!$P$2*X21^7</f>
        <v>-4.7212558840223766E-6</v>
      </c>
      <c r="AF21">
        <f>regressions!$T$2+regressions!$T$1*EXP(X21)</f>
        <v>-3.9728283932496597E-5</v>
      </c>
      <c r="AG21" s="8">
        <f>(1-EXP(-2*regressions!$X$1*X21))/2/EXP(-regressions!$X$1*X21)</f>
        <v>-2.0639352084677117E-3</v>
      </c>
      <c r="AH21" s="8"/>
      <c r="AI21" s="33">
        <v>5.0709325536310908E-3</v>
      </c>
      <c r="AJ21">
        <f t="shared" si="8"/>
        <v>-1.9300525021327525E-3</v>
      </c>
      <c r="AK21">
        <f>IF(AI21&lt;=regressions!$L$2,AI21*regressions!$L$1,regressions!$L$1*regressions!$L$2+regressions!$L$3*(AI21-regressions!$L$2))</f>
        <v>-4.0302749440111873E-3</v>
      </c>
      <c r="AL21">
        <f>regressions!$J$1*AI21+regressions!$J$2*AI21^2</f>
        <v>-2.3009408063953637E-3</v>
      </c>
      <c r="AM21">
        <f>regressions!$V$1*AI21</f>
        <v>-4.0302749553891657E-3</v>
      </c>
      <c r="AN21">
        <f>regressions!$N$1*AI21^2</f>
        <v>-4.4805946159674891E-6</v>
      </c>
      <c r="AO21">
        <f>regressions!$R$1*AI21^2+regressions!$R$2*AI21^6</f>
        <v>-4.8801764832464186E-6</v>
      </c>
      <c r="AP21">
        <f>regressions!$P$1*AI21^2+regressions!$P$2*AI21^7</f>
        <v>-4.7212558840223766E-6</v>
      </c>
      <c r="AQ21">
        <f>regressions!$T$2+regressions!$T$1*EXP(AI21)</f>
        <v>-3.9728283932496597E-5</v>
      </c>
      <c r="AR21" s="8">
        <f>(1-EXP(-2*regressions!$X$1*AI21))/2/EXP(-regressions!$X$1*AI21)</f>
        <v>-2.0639352084677117E-3</v>
      </c>
      <c r="AT21" s="33">
        <v>5.0709325536310908E-3</v>
      </c>
      <c r="AU21">
        <f t="shared" si="9"/>
        <v>-1.9300525021327525E-3</v>
      </c>
      <c r="AV21">
        <f>IF(AT21&lt;=regressions!$L$2,AT21*regressions!$L$1,regressions!$L$1*regressions!$L$2+regressions!$L$3*(AT21-regressions!$L$2))</f>
        <v>-4.0302749440111873E-3</v>
      </c>
      <c r="AW21">
        <f>regressions!$J$1*AT21+regressions!$J$2*AT21^2</f>
        <v>-2.3009408063953637E-3</v>
      </c>
      <c r="AX21">
        <f>regressions!$V$1*AT21</f>
        <v>-4.0302749553891657E-3</v>
      </c>
      <c r="AY21">
        <f>regressions!$N$1*AT21^2</f>
        <v>-4.4805946159674891E-6</v>
      </c>
      <c r="AZ21">
        <f>regressions!$R$1*AT21^2+regressions!$R$2*AT21^6</f>
        <v>-4.8801764832464186E-6</v>
      </c>
      <c r="BA21">
        <f>regressions!$P$1*AT21^2+regressions!$P$2*AT21^7</f>
        <v>-4.7212558840223766E-6</v>
      </c>
      <c r="BB21">
        <f>regressions!$T$2+regressions!$T$1*EXP(AT21)</f>
        <v>-3.9728283932496597E-5</v>
      </c>
      <c r="BC21" s="8">
        <f>(1-EXP(-2*regressions!$X$1*AT21))/2/EXP(-regressions!$X$1*AT21)</f>
        <v>-2.0639352084677117E-3</v>
      </c>
      <c r="BE21">
        <f t="shared" si="10"/>
        <v>0</v>
      </c>
      <c r="BF21">
        <f t="shared" si="0"/>
        <v>0</v>
      </c>
      <c r="BG21">
        <f t="shared" si="1"/>
        <v>0</v>
      </c>
      <c r="BH21">
        <f>BG21+regressions!$AR$1*(AI21-B21)</f>
        <v>0</v>
      </c>
      <c r="BI21">
        <f>BG21-regressions!$AO$1*(AI21-B21)</f>
        <v>0</v>
      </c>
      <c r="BJ21">
        <f t="shared" si="2"/>
        <v>0</v>
      </c>
      <c r="BK21">
        <f>BJ21+regressions!$AR$1*(AT21-B21)</f>
        <v>0</v>
      </c>
      <c r="BL21">
        <f>BJ21-regressions!$AO$1*(AT21-B21)</f>
        <v>0</v>
      </c>
      <c r="BM21">
        <f t="shared" si="11"/>
        <v>0</v>
      </c>
      <c r="BN21">
        <f t="shared" si="3"/>
        <v>0</v>
      </c>
      <c r="BO21">
        <f t="shared" si="4"/>
        <v>0</v>
      </c>
      <c r="BP21">
        <f t="shared" si="12"/>
        <v>0</v>
      </c>
      <c r="BQ21">
        <f t="shared" si="13"/>
        <v>0</v>
      </c>
      <c r="BR21">
        <f t="shared" si="14"/>
        <v>0</v>
      </c>
    </row>
    <row r="22" spans="1:70" x14ac:dyDescent="0.35">
      <c r="A22">
        <v>1869</v>
      </c>
      <c r="B22" s="33">
        <v>5.44443762856476E-3</v>
      </c>
      <c r="C22">
        <f t="shared" si="15"/>
        <v>-2.0723759811879872E-3</v>
      </c>
      <c r="D22">
        <f>IF($B22&lt;=regressions!$L$2,$B22*regressions!$L$1,regressions!$L$1*regressions!$L$2+regressions!$L$3*($B22-regressions!$L$2))</f>
        <v>-4.3271292462614278E-3</v>
      </c>
      <c r="E22">
        <f>regressions!$J$1*B22+regressions!$J$2*B22^2</f>
        <v>-2.4705853209934982E-3</v>
      </c>
      <c r="F22">
        <f>regressions!$V$1*B22</f>
        <v>-4.3271292584774633E-3</v>
      </c>
      <c r="G22">
        <f>regressions!$N$1*B22^2</f>
        <v>-5.1649490059389539E-6</v>
      </c>
      <c r="H22">
        <f>regressions!$R$1*B22^2+regressions!$R$2*B22^6</f>
        <v>-5.6255619703072077E-6</v>
      </c>
      <c r="I22">
        <f>regressions!$P$1*B22^2+regressions!$P$2*B22^7</f>
        <v>-5.4423682513173272E-6</v>
      </c>
      <c r="J22">
        <f>regressions!$T$2+regressions!$T$1*EXP(B22)</f>
        <v>-4.266248763490875E-5</v>
      </c>
      <c r="K22" s="8">
        <f>(1-EXP(-2*regressions!$X$1*B22))/2/EXP(-regressions!$X$1*B22)</f>
        <v>-2.2159568504575657E-3</v>
      </c>
      <c r="M22" s="33">
        <v>5.44443762856476E-3</v>
      </c>
      <c r="N22">
        <f t="shared" si="6"/>
        <v>-2.0723759811879872E-3</v>
      </c>
      <c r="O22">
        <f>IF($B22&lt;=regressions!$L$2,$B22*regressions!$L$1,regressions!$L$1*regressions!$L$2+regressions!$L$3*($B22-regressions!$L$2))</f>
        <v>-4.3271292462614278E-3</v>
      </c>
      <c r="P22">
        <f>regressions!$J$1*M22+regressions!$J$2*M22^2</f>
        <v>-2.4705853209934982E-3</v>
      </c>
      <c r="Q22">
        <f>regressions!$V$1*M22</f>
        <v>-4.3271292584774633E-3</v>
      </c>
      <c r="R22">
        <f>regressions!$N$1*M22^2</f>
        <v>-5.1649490059389539E-6</v>
      </c>
      <c r="S22">
        <f>regressions!$R$1*M22^2+regressions!$R$2*M22^6</f>
        <v>-5.6255619703072077E-6</v>
      </c>
      <c r="T22">
        <f>regressions!$P$1*M22^2+regressions!$P$2*M22^7</f>
        <v>-5.4423682513173272E-6</v>
      </c>
      <c r="U22">
        <f>regressions!$T$2+regressions!$T$1*EXP(M22)</f>
        <v>-4.266248763490875E-5</v>
      </c>
      <c r="V22" s="8">
        <f>(1-EXP(-2*regressions!$X$1*M22))/2/EXP(-regressions!$X$1*M22)</f>
        <v>-2.2159568504575657E-3</v>
      </c>
      <c r="X22" s="33">
        <v>5.44443762856476E-3</v>
      </c>
      <c r="Y22">
        <f t="shared" si="7"/>
        <v>-2.0723759811879872E-3</v>
      </c>
      <c r="Z22">
        <f>IF($B22&lt;=regressions!$L$2,$B22*regressions!$L$1,regressions!$L$1*regressions!$L$2+regressions!$L$3*($B22-regressions!$L$2))</f>
        <v>-4.3271292462614278E-3</v>
      </c>
      <c r="AA22">
        <f>regressions!$J$1*X22+regressions!$J$2*X22^2</f>
        <v>-2.4705853209934982E-3</v>
      </c>
      <c r="AB22">
        <f>regressions!$V$1*X22</f>
        <v>-4.3271292584774633E-3</v>
      </c>
      <c r="AC22">
        <f>regressions!$N$1*X22^2</f>
        <v>-5.1649490059389539E-6</v>
      </c>
      <c r="AD22">
        <f>regressions!$R$1*X22^2+regressions!$R$2*X22^6</f>
        <v>-5.6255619703072077E-6</v>
      </c>
      <c r="AE22">
        <f>regressions!$P$1*X22^2+regressions!$P$2*X22^7</f>
        <v>-5.4423682513173272E-6</v>
      </c>
      <c r="AF22">
        <f>regressions!$T$2+regressions!$T$1*EXP(X22)</f>
        <v>-4.266248763490875E-5</v>
      </c>
      <c r="AG22" s="8">
        <f>(1-EXP(-2*regressions!$X$1*X22))/2/EXP(-regressions!$X$1*X22)</f>
        <v>-2.2159568504575657E-3</v>
      </c>
      <c r="AH22" s="8"/>
      <c r="AI22" s="33">
        <v>5.44443762856476E-3</v>
      </c>
      <c r="AJ22">
        <f t="shared" si="8"/>
        <v>-2.0723759811879872E-3</v>
      </c>
      <c r="AK22">
        <f>IF(AI22&lt;=regressions!$L$2,AI22*regressions!$L$1,regressions!$L$1*regressions!$L$2+regressions!$L$3*(AI22-regressions!$L$2))</f>
        <v>-4.3271292462614278E-3</v>
      </c>
      <c r="AL22">
        <f>regressions!$J$1*AI22+regressions!$J$2*AI22^2</f>
        <v>-2.4705853209934982E-3</v>
      </c>
      <c r="AM22">
        <f>regressions!$V$1*AI22</f>
        <v>-4.3271292584774633E-3</v>
      </c>
      <c r="AN22">
        <f>regressions!$N$1*AI22^2</f>
        <v>-5.1649490059389539E-6</v>
      </c>
      <c r="AO22">
        <f>regressions!$R$1*AI22^2+regressions!$R$2*AI22^6</f>
        <v>-5.6255619703072077E-6</v>
      </c>
      <c r="AP22">
        <f>regressions!$P$1*AI22^2+regressions!$P$2*AI22^7</f>
        <v>-5.4423682513173272E-6</v>
      </c>
      <c r="AQ22">
        <f>regressions!$T$2+regressions!$T$1*EXP(AI22)</f>
        <v>-4.266248763490875E-5</v>
      </c>
      <c r="AR22" s="8">
        <f>(1-EXP(-2*regressions!$X$1*AI22))/2/EXP(-regressions!$X$1*AI22)</f>
        <v>-2.2159568504575657E-3</v>
      </c>
      <c r="AT22" s="33">
        <v>5.44443762856476E-3</v>
      </c>
      <c r="AU22">
        <f t="shared" si="9"/>
        <v>-2.0723759811879872E-3</v>
      </c>
      <c r="AV22">
        <f>IF(AT22&lt;=regressions!$L$2,AT22*regressions!$L$1,regressions!$L$1*regressions!$L$2+regressions!$L$3*(AT22-regressions!$L$2))</f>
        <v>-4.3271292462614278E-3</v>
      </c>
      <c r="AW22">
        <f>regressions!$J$1*AT22+regressions!$J$2*AT22^2</f>
        <v>-2.4705853209934982E-3</v>
      </c>
      <c r="AX22">
        <f>regressions!$V$1*AT22</f>
        <v>-4.3271292584774633E-3</v>
      </c>
      <c r="AY22">
        <f>regressions!$N$1*AT22^2</f>
        <v>-5.1649490059389539E-6</v>
      </c>
      <c r="AZ22">
        <f>regressions!$R$1*AT22^2+regressions!$R$2*AT22^6</f>
        <v>-5.6255619703072077E-6</v>
      </c>
      <c r="BA22">
        <f>regressions!$P$1*AT22^2+regressions!$P$2*AT22^7</f>
        <v>-5.4423682513173272E-6</v>
      </c>
      <c r="BB22">
        <f>regressions!$T$2+regressions!$T$1*EXP(AT22)</f>
        <v>-4.266248763490875E-5</v>
      </c>
      <c r="BC22" s="8">
        <f>(1-EXP(-2*regressions!$X$1*AT22))/2/EXP(-regressions!$X$1*AT22)</f>
        <v>-2.2159568504575657E-3</v>
      </c>
      <c r="BE22">
        <f t="shared" si="10"/>
        <v>0</v>
      </c>
      <c r="BF22">
        <f t="shared" si="0"/>
        <v>0</v>
      </c>
      <c r="BG22">
        <f t="shared" si="1"/>
        <v>0</v>
      </c>
      <c r="BH22">
        <f>BG22+regressions!$AR$1*(AI22-B22)</f>
        <v>0</v>
      </c>
      <c r="BI22">
        <f>BG22-regressions!$AO$1*(AI22-B22)</f>
        <v>0</v>
      </c>
      <c r="BJ22">
        <f t="shared" si="2"/>
        <v>0</v>
      </c>
      <c r="BK22">
        <f>BJ22+regressions!$AR$1*(AT22-B22)</f>
        <v>0</v>
      </c>
      <c r="BL22">
        <f>BJ22-regressions!$AO$1*(AT22-B22)</f>
        <v>0</v>
      </c>
      <c r="BM22">
        <f t="shared" si="11"/>
        <v>0</v>
      </c>
      <c r="BN22">
        <f t="shared" si="3"/>
        <v>0</v>
      </c>
      <c r="BO22">
        <f t="shared" si="4"/>
        <v>0</v>
      </c>
      <c r="BP22">
        <f t="shared" si="12"/>
        <v>0</v>
      </c>
      <c r="BQ22">
        <f t="shared" si="13"/>
        <v>0</v>
      </c>
      <c r="BR22">
        <f t="shared" si="14"/>
        <v>0</v>
      </c>
    </row>
    <row r="23" spans="1:70" x14ac:dyDescent="0.35">
      <c r="A23">
        <v>1870</v>
      </c>
      <c r="B23" s="33">
        <v>5.8324900164477668E-3</v>
      </c>
      <c r="C23">
        <f t="shared" si="15"/>
        <v>-2.2202664323166762E-3</v>
      </c>
      <c r="D23">
        <f>IF($B23&lt;=regressions!$L$2,$B23*regressions!$L$1,regressions!$L$1*regressions!$L$2+regressions!$L$3*($B23-regressions!$L$2))</f>
        <v>-4.6355454595137036E-3</v>
      </c>
      <c r="E23">
        <f>regressions!$J$1*B23+regressions!$J$2*B23^2</f>
        <v>-2.6468613212585557E-3</v>
      </c>
      <c r="F23">
        <f>regressions!$V$1*B23</f>
        <v>-4.6355454726004375E-3</v>
      </c>
      <c r="G23">
        <f>regressions!$N$1*B23^2</f>
        <v>-5.9274512714695531E-6</v>
      </c>
      <c r="H23">
        <f>regressions!$R$1*B23^2+regressions!$R$2*B23^6</f>
        <v>-6.4560646030164879E-6</v>
      </c>
      <c r="I23">
        <f>regressions!$P$1*B23^2+regressions!$P$2*B23^7</f>
        <v>-6.2458259653643712E-6</v>
      </c>
      <c r="J23">
        <f>regressions!$T$2+regressions!$T$1*EXP(B23)</f>
        <v>-4.5712134016903314E-5</v>
      </c>
      <c r="K23" s="8">
        <f>(1-EXP(-2*regressions!$X$1*B23))/2/EXP(-regressions!$X$1*B23)</f>
        <v>-2.373899500828358E-3</v>
      </c>
      <c r="M23" s="33">
        <v>5.8324900164477668E-3</v>
      </c>
      <c r="N23">
        <f t="shared" si="6"/>
        <v>-2.2202664323166762E-3</v>
      </c>
      <c r="O23">
        <f>IF($B23&lt;=regressions!$L$2,$B23*regressions!$L$1,regressions!$L$1*regressions!$L$2+regressions!$L$3*($B23-regressions!$L$2))</f>
        <v>-4.6355454595137036E-3</v>
      </c>
      <c r="P23">
        <f>regressions!$J$1*M23+regressions!$J$2*M23^2</f>
        <v>-2.6468613212585557E-3</v>
      </c>
      <c r="Q23">
        <f>regressions!$V$1*M23</f>
        <v>-4.6355454726004375E-3</v>
      </c>
      <c r="R23">
        <f>regressions!$N$1*M23^2</f>
        <v>-5.9274512714695531E-6</v>
      </c>
      <c r="S23">
        <f>regressions!$R$1*M23^2+regressions!$R$2*M23^6</f>
        <v>-6.4560646030164879E-6</v>
      </c>
      <c r="T23">
        <f>regressions!$P$1*M23^2+regressions!$P$2*M23^7</f>
        <v>-6.2458259653643712E-6</v>
      </c>
      <c r="U23">
        <f>regressions!$T$2+regressions!$T$1*EXP(M23)</f>
        <v>-4.5712134016903314E-5</v>
      </c>
      <c r="V23" s="8">
        <f>(1-EXP(-2*regressions!$X$1*M23))/2/EXP(-regressions!$X$1*M23)</f>
        <v>-2.373899500828358E-3</v>
      </c>
      <c r="X23" s="33">
        <v>5.8324900164477668E-3</v>
      </c>
      <c r="Y23">
        <f t="shared" si="7"/>
        <v>-2.2202664323166762E-3</v>
      </c>
      <c r="Z23">
        <f>IF($B23&lt;=regressions!$L$2,$B23*regressions!$L$1,regressions!$L$1*regressions!$L$2+regressions!$L$3*($B23-regressions!$L$2))</f>
        <v>-4.6355454595137036E-3</v>
      </c>
      <c r="AA23">
        <f>regressions!$J$1*X23+regressions!$J$2*X23^2</f>
        <v>-2.6468613212585557E-3</v>
      </c>
      <c r="AB23">
        <f>regressions!$V$1*X23</f>
        <v>-4.6355454726004375E-3</v>
      </c>
      <c r="AC23">
        <f>regressions!$N$1*X23^2</f>
        <v>-5.9274512714695531E-6</v>
      </c>
      <c r="AD23">
        <f>regressions!$R$1*X23^2+regressions!$R$2*X23^6</f>
        <v>-6.4560646030164879E-6</v>
      </c>
      <c r="AE23">
        <f>regressions!$P$1*X23^2+regressions!$P$2*X23^7</f>
        <v>-6.2458259653643712E-6</v>
      </c>
      <c r="AF23">
        <f>regressions!$T$2+regressions!$T$1*EXP(X23)</f>
        <v>-4.5712134016903314E-5</v>
      </c>
      <c r="AG23" s="8">
        <f>(1-EXP(-2*regressions!$X$1*X23))/2/EXP(-regressions!$X$1*X23)</f>
        <v>-2.373899500828358E-3</v>
      </c>
      <c r="AH23" s="8"/>
      <c r="AI23" s="33">
        <v>5.8324900164477668E-3</v>
      </c>
      <c r="AJ23">
        <f t="shared" si="8"/>
        <v>-2.2202664323166762E-3</v>
      </c>
      <c r="AK23">
        <f>IF(AI23&lt;=regressions!$L$2,AI23*regressions!$L$1,regressions!$L$1*regressions!$L$2+regressions!$L$3*(AI23-regressions!$L$2))</f>
        <v>-4.6355454595137036E-3</v>
      </c>
      <c r="AL23">
        <f>regressions!$J$1*AI23+regressions!$J$2*AI23^2</f>
        <v>-2.6468613212585557E-3</v>
      </c>
      <c r="AM23">
        <f>regressions!$V$1*AI23</f>
        <v>-4.6355454726004375E-3</v>
      </c>
      <c r="AN23">
        <f>regressions!$N$1*AI23^2</f>
        <v>-5.9274512714695531E-6</v>
      </c>
      <c r="AO23">
        <f>regressions!$R$1*AI23^2+regressions!$R$2*AI23^6</f>
        <v>-6.4560646030164879E-6</v>
      </c>
      <c r="AP23">
        <f>regressions!$P$1*AI23^2+regressions!$P$2*AI23^7</f>
        <v>-6.2458259653643712E-6</v>
      </c>
      <c r="AQ23">
        <f>regressions!$T$2+regressions!$T$1*EXP(AI23)</f>
        <v>-4.5712134016903314E-5</v>
      </c>
      <c r="AR23" s="8">
        <f>(1-EXP(-2*regressions!$X$1*AI23))/2/EXP(-regressions!$X$1*AI23)</f>
        <v>-2.373899500828358E-3</v>
      </c>
      <c r="AT23" s="33">
        <v>5.8324900164477668E-3</v>
      </c>
      <c r="AU23">
        <f t="shared" si="9"/>
        <v>-2.2202664323166762E-3</v>
      </c>
      <c r="AV23">
        <f>IF(AT23&lt;=regressions!$L$2,AT23*regressions!$L$1,regressions!$L$1*regressions!$L$2+regressions!$L$3*(AT23-regressions!$L$2))</f>
        <v>-4.6355454595137036E-3</v>
      </c>
      <c r="AW23">
        <f>regressions!$J$1*AT23+regressions!$J$2*AT23^2</f>
        <v>-2.6468613212585557E-3</v>
      </c>
      <c r="AX23">
        <f>regressions!$V$1*AT23</f>
        <v>-4.6355454726004375E-3</v>
      </c>
      <c r="AY23">
        <f>regressions!$N$1*AT23^2</f>
        <v>-5.9274512714695531E-6</v>
      </c>
      <c r="AZ23">
        <f>regressions!$R$1*AT23^2+regressions!$R$2*AT23^6</f>
        <v>-6.4560646030164879E-6</v>
      </c>
      <c r="BA23">
        <f>regressions!$P$1*AT23^2+regressions!$P$2*AT23^7</f>
        <v>-6.2458259653643712E-6</v>
      </c>
      <c r="BB23">
        <f>regressions!$T$2+regressions!$T$1*EXP(AT23)</f>
        <v>-4.5712134016903314E-5</v>
      </c>
      <c r="BC23" s="8">
        <f>(1-EXP(-2*regressions!$X$1*AT23))/2/EXP(-regressions!$X$1*AT23)</f>
        <v>-2.373899500828358E-3</v>
      </c>
      <c r="BE23">
        <f t="shared" si="10"/>
        <v>0</v>
      </c>
      <c r="BF23">
        <f t="shared" si="0"/>
        <v>0</v>
      </c>
      <c r="BG23">
        <f t="shared" si="1"/>
        <v>0</v>
      </c>
      <c r="BH23">
        <f>BG23+regressions!$AR$1*(AI23-B23)</f>
        <v>0</v>
      </c>
      <c r="BI23">
        <f>BG23-regressions!$AO$1*(AI23-B23)</f>
        <v>0</v>
      </c>
      <c r="BJ23">
        <f t="shared" si="2"/>
        <v>0</v>
      </c>
      <c r="BK23">
        <f>BJ23+regressions!$AR$1*(AT23-B23)</f>
        <v>0</v>
      </c>
      <c r="BL23">
        <f>BJ23-regressions!$AO$1*(AT23-B23)</f>
        <v>0</v>
      </c>
      <c r="BM23">
        <f t="shared" si="11"/>
        <v>0</v>
      </c>
      <c r="BN23">
        <f t="shared" si="3"/>
        <v>0</v>
      </c>
      <c r="BO23">
        <f t="shared" si="4"/>
        <v>0</v>
      </c>
      <c r="BP23">
        <f t="shared" si="12"/>
        <v>0</v>
      </c>
      <c r="BQ23">
        <f t="shared" si="13"/>
        <v>0</v>
      </c>
      <c r="BR23">
        <f t="shared" si="14"/>
        <v>0</v>
      </c>
    </row>
    <row r="24" spans="1:70" x14ac:dyDescent="0.35">
      <c r="A24">
        <v>1871</v>
      </c>
      <c r="B24" s="33">
        <v>6.2353845555298756E-3</v>
      </c>
      <c r="C24">
        <f t="shared" si="15"/>
        <v>-2.373838971414122E-3</v>
      </c>
      <c r="D24">
        <f>IF($B24&lt;=regressions!$L$2,$B24*regressions!$L$1,regressions!$L$1*regressions!$L$2+regressions!$L$3*($B24-regressions!$L$2))</f>
        <v>-4.9557579152638472E-3</v>
      </c>
      <c r="E24">
        <f>regressions!$J$1*B24+regressions!$J$2*B24^2</f>
        <v>-2.8299055370277254E-3</v>
      </c>
      <c r="F24">
        <f>regressions!$V$1*B24</f>
        <v>-4.955757929254582E-3</v>
      </c>
      <c r="G24">
        <f>regressions!$N$1*B24^2</f>
        <v>-6.7746438698196578E-6</v>
      </c>
      <c r="H24">
        <f>regressions!$R$1*B24^2+regressions!$R$2*B24^6</f>
        <v>-7.3788102985350871E-6</v>
      </c>
      <c r="I24">
        <f>regressions!$P$1*B24^2+regressions!$P$2*B24^7</f>
        <v>-7.138522891260436E-6</v>
      </c>
      <c r="J24">
        <f>regressions!$T$2+regressions!$T$1*EXP(B24)</f>
        <v>-4.8879675104581549E-5</v>
      </c>
      <c r="K24" s="8">
        <f>(1-EXP(-2*regressions!$X$1*B24))/2/EXP(-regressions!$X$1*B24)</f>
        <v>-2.5378831732532667E-3</v>
      </c>
      <c r="M24" s="33">
        <v>6.2353845555298756E-3</v>
      </c>
      <c r="N24">
        <f t="shared" si="6"/>
        <v>-2.373838971414122E-3</v>
      </c>
      <c r="O24">
        <f>IF($B24&lt;=regressions!$L$2,$B24*regressions!$L$1,regressions!$L$1*regressions!$L$2+regressions!$L$3*($B24-regressions!$L$2))</f>
        <v>-4.9557579152638472E-3</v>
      </c>
      <c r="P24">
        <f>regressions!$J$1*M24+regressions!$J$2*M24^2</f>
        <v>-2.8299055370277254E-3</v>
      </c>
      <c r="Q24">
        <f>regressions!$V$1*M24</f>
        <v>-4.955757929254582E-3</v>
      </c>
      <c r="R24">
        <f>regressions!$N$1*M24^2</f>
        <v>-6.7746438698196578E-6</v>
      </c>
      <c r="S24">
        <f>regressions!$R$1*M24^2+regressions!$R$2*M24^6</f>
        <v>-7.3788102985350871E-6</v>
      </c>
      <c r="T24">
        <f>regressions!$P$1*M24^2+regressions!$P$2*M24^7</f>
        <v>-7.138522891260436E-6</v>
      </c>
      <c r="U24">
        <f>regressions!$T$2+regressions!$T$1*EXP(M24)</f>
        <v>-4.8879675104581549E-5</v>
      </c>
      <c r="V24" s="8">
        <f>(1-EXP(-2*regressions!$X$1*M24))/2/EXP(-regressions!$X$1*M24)</f>
        <v>-2.5378831732532667E-3</v>
      </c>
      <c r="X24" s="33">
        <v>6.2353845555298756E-3</v>
      </c>
      <c r="Y24">
        <f t="shared" si="7"/>
        <v>-2.373838971414122E-3</v>
      </c>
      <c r="Z24">
        <f>IF($B24&lt;=regressions!$L$2,$B24*regressions!$L$1,regressions!$L$1*regressions!$L$2+regressions!$L$3*($B24-regressions!$L$2))</f>
        <v>-4.9557579152638472E-3</v>
      </c>
      <c r="AA24">
        <f>regressions!$J$1*X24+regressions!$J$2*X24^2</f>
        <v>-2.8299055370277254E-3</v>
      </c>
      <c r="AB24">
        <f>regressions!$V$1*X24</f>
        <v>-4.955757929254582E-3</v>
      </c>
      <c r="AC24">
        <f>regressions!$N$1*X24^2</f>
        <v>-6.7746438698196578E-6</v>
      </c>
      <c r="AD24">
        <f>regressions!$R$1*X24^2+regressions!$R$2*X24^6</f>
        <v>-7.3788102985350871E-6</v>
      </c>
      <c r="AE24">
        <f>regressions!$P$1*X24^2+regressions!$P$2*X24^7</f>
        <v>-7.138522891260436E-6</v>
      </c>
      <c r="AF24">
        <f>regressions!$T$2+regressions!$T$1*EXP(X24)</f>
        <v>-4.8879675104581549E-5</v>
      </c>
      <c r="AG24" s="8">
        <f>(1-EXP(-2*regressions!$X$1*X24))/2/EXP(-regressions!$X$1*X24)</f>
        <v>-2.5378831732532667E-3</v>
      </c>
      <c r="AH24" s="8"/>
      <c r="AI24" s="33">
        <v>6.2353845555298756E-3</v>
      </c>
      <c r="AJ24">
        <f t="shared" si="8"/>
        <v>-2.373838971414122E-3</v>
      </c>
      <c r="AK24">
        <f>IF(AI24&lt;=regressions!$L$2,AI24*regressions!$L$1,regressions!$L$1*regressions!$L$2+regressions!$L$3*(AI24-regressions!$L$2))</f>
        <v>-4.9557579152638472E-3</v>
      </c>
      <c r="AL24">
        <f>regressions!$J$1*AI24+regressions!$J$2*AI24^2</f>
        <v>-2.8299055370277254E-3</v>
      </c>
      <c r="AM24">
        <f>regressions!$V$1*AI24</f>
        <v>-4.955757929254582E-3</v>
      </c>
      <c r="AN24">
        <f>regressions!$N$1*AI24^2</f>
        <v>-6.7746438698196578E-6</v>
      </c>
      <c r="AO24">
        <f>regressions!$R$1*AI24^2+regressions!$R$2*AI24^6</f>
        <v>-7.3788102985350871E-6</v>
      </c>
      <c r="AP24">
        <f>regressions!$P$1*AI24^2+regressions!$P$2*AI24^7</f>
        <v>-7.138522891260436E-6</v>
      </c>
      <c r="AQ24">
        <f>regressions!$T$2+regressions!$T$1*EXP(AI24)</f>
        <v>-4.8879675104581549E-5</v>
      </c>
      <c r="AR24" s="8">
        <f>(1-EXP(-2*regressions!$X$1*AI24))/2/EXP(-regressions!$X$1*AI24)</f>
        <v>-2.5378831732532667E-3</v>
      </c>
      <c r="AT24" s="33">
        <v>6.2353845555298756E-3</v>
      </c>
      <c r="AU24">
        <f t="shared" si="9"/>
        <v>-2.373838971414122E-3</v>
      </c>
      <c r="AV24">
        <f>IF(AT24&lt;=regressions!$L$2,AT24*regressions!$L$1,regressions!$L$1*regressions!$L$2+regressions!$L$3*(AT24-regressions!$L$2))</f>
        <v>-4.9557579152638472E-3</v>
      </c>
      <c r="AW24">
        <f>regressions!$J$1*AT24+regressions!$J$2*AT24^2</f>
        <v>-2.8299055370277254E-3</v>
      </c>
      <c r="AX24">
        <f>regressions!$V$1*AT24</f>
        <v>-4.955757929254582E-3</v>
      </c>
      <c r="AY24">
        <f>regressions!$N$1*AT24^2</f>
        <v>-6.7746438698196578E-6</v>
      </c>
      <c r="AZ24">
        <f>regressions!$R$1*AT24^2+regressions!$R$2*AT24^6</f>
        <v>-7.3788102985350871E-6</v>
      </c>
      <c r="BA24">
        <f>regressions!$P$1*AT24^2+regressions!$P$2*AT24^7</f>
        <v>-7.138522891260436E-6</v>
      </c>
      <c r="BB24">
        <f>regressions!$T$2+regressions!$T$1*EXP(AT24)</f>
        <v>-4.8879675104581549E-5</v>
      </c>
      <c r="BC24" s="8">
        <f>(1-EXP(-2*regressions!$X$1*AT24))/2/EXP(-regressions!$X$1*AT24)</f>
        <v>-2.5378831732532667E-3</v>
      </c>
      <c r="BE24">
        <f t="shared" si="10"/>
        <v>0</v>
      </c>
      <c r="BF24">
        <f t="shared" si="0"/>
        <v>0</v>
      </c>
      <c r="BG24">
        <f t="shared" si="1"/>
        <v>0</v>
      </c>
      <c r="BH24">
        <f>BG24+regressions!$AR$1*(AI24-B24)</f>
        <v>0</v>
      </c>
      <c r="BI24">
        <f>BG24-regressions!$AO$1*(AI24-B24)</f>
        <v>0</v>
      </c>
      <c r="BJ24">
        <f t="shared" si="2"/>
        <v>0</v>
      </c>
      <c r="BK24">
        <f>BJ24+regressions!$AR$1*(AT24-B24)</f>
        <v>0</v>
      </c>
      <c r="BL24">
        <f>BJ24-regressions!$AO$1*(AT24-B24)</f>
        <v>0</v>
      </c>
      <c r="BM24">
        <f t="shared" si="11"/>
        <v>0</v>
      </c>
      <c r="BN24">
        <f t="shared" si="3"/>
        <v>0</v>
      </c>
      <c r="BO24">
        <f t="shared" si="4"/>
        <v>0</v>
      </c>
      <c r="BP24">
        <f t="shared" si="12"/>
        <v>0</v>
      </c>
      <c r="BQ24">
        <f t="shared" si="13"/>
        <v>0</v>
      </c>
      <c r="BR24">
        <f t="shared" si="14"/>
        <v>0</v>
      </c>
    </row>
    <row r="25" spans="1:70" x14ac:dyDescent="0.35">
      <c r="A25">
        <v>1872</v>
      </c>
      <c r="B25" s="33">
        <v>6.6544808562326117E-3</v>
      </c>
      <c r="C25">
        <f t="shared" si="15"/>
        <v>-2.5336148642312556E-3</v>
      </c>
      <c r="D25">
        <f>IF($B25&lt;=regressions!$L$2,$B25*regressions!$L$1,regressions!$L$1*regressions!$L$2+regressions!$L$3*($B25-regressions!$L$2))</f>
        <v>-5.2888472044598824E-3</v>
      </c>
      <c r="E25">
        <f>regressions!$J$1*B25+regressions!$J$2*B25^2</f>
        <v>-3.0203387407214508E-3</v>
      </c>
      <c r="F25">
        <f>regressions!$V$1*B25</f>
        <v>-5.28884721939097E-3</v>
      </c>
      <c r="G25">
        <f>regressions!$N$1*B25^2</f>
        <v>-7.715931159479492E-6</v>
      </c>
      <c r="H25">
        <f>regressions!$R$1*B25^2+regressions!$R$2*B25^6</f>
        <v>-8.4040421011634923E-6</v>
      </c>
      <c r="I25">
        <f>regressions!$P$1*B25^2+regressions!$P$2*B25^7</f>
        <v>-8.1303685134965296E-6</v>
      </c>
      <c r="J25">
        <f>regressions!$T$2+regressions!$T$1*EXP(B25)</f>
        <v>-5.21759482842582E-5</v>
      </c>
      <c r="K25" s="8">
        <f>(1-EXP(-2*regressions!$X$1*B25))/2/EXP(-regressions!$X$1*B25)</f>
        <v>-2.7084612601319452E-3</v>
      </c>
      <c r="M25" s="33">
        <v>6.6544808562326117E-3</v>
      </c>
      <c r="N25">
        <f t="shared" si="6"/>
        <v>-2.5336148642312556E-3</v>
      </c>
      <c r="O25">
        <f>IF($B25&lt;=regressions!$L$2,$B25*regressions!$L$1,regressions!$L$1*regressions!$L$2+regressions!$L$3*($B25-regressions!$L$2))</f>
        <v>-5.2888472044598824E-3</v>
      </c>
      <c r="P25">
        <f>regressions!$J$1*M25+regressions!$J$2*M25^2</f>
        <v>-3.0203387407214508E-3</v>
      </c>
      <c r="Q25">
        <f>regressions!$V$1*M25</f>
        <v>-5.28884721939097E-3</v>
      </c>
      <c r="R25">
        <f>regressions!$N$1*M25^2</f>
        <v>-7.715931159479492E-6</v>
      </c>
      <c r="S25">
        <f>regressions!$R$1*M25^2+regressions!$R$2*M25^6</f>
        <v>-8.4040421011634923E-6</v>
      </c>
      <c r="T25">
        <f>regressions!$P$1*M25^2+regressions!$P$2*M25^7</f>
        <v>-8.1303685134965296E-6</v>
      </c>
      <c r="U25">
        <f>regressions!$T$2+regressions!$T$1*EXP(M25)</f>
        <v>-5.21759482842582E-5</v>
      </c>
      <c r="V25" s="8">
        <f>(1-EXP(-2*regressions!$X$1*M25))/2/EXP(-regressions!$X$1*M25)</f>
        <v>-2.7084612601319452E-3</v>
      </c>
      <c r="X25" s="33">
        <v>6.6544808562326117E-3</v>
      </c>
      <c r="Y25">
        <f t="shared" si="7"/>
        <v>-2.5336148642312556E-3</v>
      </c>
      <c r="Z25">
        <f>IF($B25&lt;=regressions!$L$2,$B25*regressions!$L$1,regressions!$L$1*regressions!$L$2+regressions!$L$3*($B25-regressions!$L$2))</f>
        <v>-5.2888472044598824E-3</v>
      </c>
      <c r="AA25">
        <f>regressions!$J$1*X25+regressions!$J$2*X25^2</f>
        <v>-3.0203387407214508E-3</v>
      </c>
      <c r="AB25">
        <f>regressions!$V$1*X25</f>
        <v>-5.28884721939097E-3</v>
      </c>
      <c r="AC25">
        <f>regressions!$N$1*X25^2</f>
        <v>-7.715931159479492E-6</v>
      </c>
      <c r="AD25">
        <f>regressions!$R$1*X25^2+regressions!$R$2*X25^6</f>
        <v>-8.4040421011634923E-6</v>
      </c>
      <c r="AE25">
        <f>regressions!$P$1*X25^2+regressions!$P$2*X25^7</f>
        <v>-8.1303685134965296E-6</v>
      </c>
      <c r="AF25">
        <f>regressions!$T$2+regressions!$T$1*EXP(X25)</f>
        <v>-5.21759482842582E-5</v>
      </c>
      <c r="AG25" s="8">
        <f>(1-EXP(-2*regressions!$X$1*X25))/2/EXP(-regressions!$X$1*X25)</f>
        <v>-2.7084612601319452E-3</v>
      </c>
      <c r="AH25" s="8"/>
      <c r="AI25" s="33">
        <v>6.6544808562326117E-3</v>
      </c>
      <c r="AJ25">
        <f t="shared" si="8"/>
        <v>-2.5336148642312556E-3</v>
      </c>
      <c r="AK25">
        <f>IF(AI25&lt;=regressions!$L$2,AI25*regressions!$L$1,regressions!$L$1*regressions!$L$2+regressions!$L$3*(AI25-regressions!$L$2))</f>
        <v>-5.2888472044598824E-3</v>
      </c>
      <c r="AL25">
        <f>regressions!$J$1*AI25+regressions!$J$2*AI25^2</f>
        <v>-3.0203387407214508E-3</v>
      </c>
      <c r="AM25">
        <f>regressions!$V$1*AI25</f>
        <v>-5.28884721939097E-3</v>
      </c>
      <c r="AN25">
        <f>regressions!$N$1*AI25^2</f>
        <v>-7.715931159479492E-6</v>
      </c>
      <c r="AO25">
        <f>regressions!$R$1*AI25^2+regressions!$R$2*AI25^6</f>
        <v>-8.4040421011634923E-6</v>
      </c>
      <c r="AP25">
        <f>regressions!$P$1*AI25^2+regressions!$P$2*AI25^7</f>
        <v>-8.1303685134965296E-6</v>
      </c>
      <c r="AQ25">
        <f>regressions!$T$2+regressions!$T$1*EXP(AI25)</f>
        <v>-5.21759482842582E-5</v>
      </c>
      <c r="AR25" s="8">
        <f>(1-EXP(-2*regressions!$X$1*AI25))/2/EXP(-regressions!$X$1*AI25)</f>
        <v>-2.7084612601319452E-3</v>
      </c>
      <c r="AT25" s="33">
        <v>6.6544808562326117E-3</v>
      </c>
      <c r="AU25">
        <f t="shared" si="9"/>
        <v>-2.5336148642312556E-3</v>
      </c>
      <c r="AV25">
        <f>IF(AT25&lt;=regressions!$L$2,AT25*regressions!$L$1,regressions!$L$1*regressions!$L$2+regressions!$L$3*(AT25-regressions!$L$2))</f>
        <v>-5.2888472044598824E-3</v>
      </c>
      <c r="AW25">
        <f>regressions!$J$1*AT25+regressions!$J$2*AT25^2</f>
        <v>-3.0203387407214508E-3</v>
      </c>
      <c r="AX25">
        <f>regressions!$V$1*AT25</f>
        <v>-5.28884721939097E-3</v>
      </c>
      <c r="AY25">
        <f>regressions!$N$1*AT25^2</f>
        <v>-7.715931159479492E-6</v>
      </c>
      <c r="AZ25">
        <f>regressions!$R$1*AT25^2+regressions!$R$2*AT25^6</f>
        <v>-8.4040421011634923E-6</v>
      </c>
      <c r="BA25">
        <f>regressions!$P$1*AT25^2+regressions!$P$2*AT25^7</f>
        <v>-8.1303685134965296E-6</v>
      </c>
      <c r="BB25">
        <f>regressions!$T$2+regressions!$T$1*EXP(AT25)</f>
        <v>-5.21759482842582E-5</v>
      </c>
      <c r="BC25" s="8">
        <f>(1-EXP(-2*regressions!$X$1*AT25))/2/EXP(-regressions!$X$1*AT25)</f>
        <v>-2.7084612601319452E-3</v>
      </c>
      <c r="BE25">
        <f t="shared" si="10"/>
        <v>0</v>
      </c>
      <c r="BF25">
        <f t="shared" si="0"/>
        <v>0</v>
      </c>
      <c r="BG25">
        <f t="shared" si="1"/>
        <v>0</v>
      </c>
      <c r="BH25">
        <f>BG25+regressions!$AR$1*(AI25-B25)</f>
        <v>0</v>
      </c>
      <c r="BI25">
        <f>BG25-regressions!$AO$1*(AI25-B25)</f>
        <v>0</v>
      </c>
      <c r="BJ25">
        <f t="shared" si="2"/>
        <v>0</v>
      </c>
      <c r="BK25">
        <f>BJ25+regressions!$AR$1*(AT25-B25)</f>
        <v>0</v>
      </c>
      <c r="BL25">
        <f>BJ25-regressions!$AO$1*(AT25-B25)</f>
        <v>0</v>
      </c>
      <c r="BM25">
        <f t="shared" si="11"/>
        <v>0</v>
      </c>
      <c r="BN25">
        <f t="shared" si="3"/>
        <v>0</v>
      </c>
      <c r="BO25">
        <f t="shared" si="4"/>
        <v>0</v>
      </c>
      <c r="BP25">
        <f t="shared" si="12"/>
        <v>0</v>
      </c>
      <c r="BQ25">
        <f t="shared" si="13"/>
        <v>0</v>
      </c>
      <c r="BR25">
        <f t="shared" si="14"/>
        <v>0</v>
      </c>
    </row>
    <row r="26" spans="1:70" x14ac:dyDescent="0.35">
      <c r="A26">
        <v>1873</v>
      </c>
      <c r="B26" s="33">
        <v>7.0931700048707681E-3</v>
      </c>
      <c r="C26">
        <f t="shared" si="15"/>
        <v>-2.7008905520443166E-3</v>
      </c>
      <c r="D26">
        <f>IF($B26&lt;=regressions!$L$2,$B26*regressions!$L$1,regressions!$L$1*regressions!$L$2+regressions!$L$3*($B26-regressions!$L$2))</f>
        <v>-5.6375084941273895E-3</v>
      </c>
      <c r="E26">
        <f>regressions!$J$1*B26+regressions!$J$2*B26^2</f>
        <v>-3.2197054965996128E-3</v>
      </c>
      <c r="F26">
        <f>regressions!$V$1*B26</f>
        <v>-5.6375085100427921E-3</v>
      </c>
      <c r="G26">
        <f>regressions!$N$1*B26^2</f>
        <v>-8.7667923909631986E-6</v>
      </c>
      <c r="H26">
        <f>regressions!$R$1*B26^2+regressions!$R$2*B26^6</f>
        <v>-9.5486197094042191E-6</v>
      </c>
      <c r="I26">
        <f>regressions!$P$1*B26^2+regressions!$P$2*B26^7</f>
        <v>-9.2376735026050199E-6</v>
      </c>
      <c r="J26">
        <f>regressions!$T$2+regressions!$T$1*EXP(B26)</f>
        <v>-5.5627803149597976E-5</v>
      </c>
      <c r="K26" s="8">
        <f>(1-EXP(-2*regressions!$X$1*B26))/2/EXP(-regressions!$X$1*B26)</f>
        <v>-2.8870139960981704E-3</v>
      </c>
      <c r="M26" s="33">
        <v>7.0931700048707681E-3</v>
      </c>
      <c r="N26">
        <f t="shared" si="6"/>
        <v>-2.7008905520443166E-3</v>
      </c>
      <c r="O26">
        <f>IF($B26&lt;=regressions!$L$2,$B26*regressions!$L$1,regressions!$L$1*regressions!$L$2+regressions!$L$3*($B26-regressions!$L$2))</f>
        <v>-5.6375084941273895E-3</v>
      </c>
      <c r="P26">
        <f>regressions!$J$1*M26+regressions!$J$2*M26^2</f>
        <v>-3.2197054965996128E-3</v>
      </c>
      <c r="Q26">
        <f>regressions!$V$1*M26</f>
        <v>-5.6375085100427921E-3</v>
      </c>
      <c r="R26">
        <f>regressions!$N$1*M26^2</f>
        <v>-8.7667923909631986E-6</v>
      </c>
      <c r="S26">
        <f>regressions!$R$1*M26^2+regressions!$R$2*M26^6</f>
        <v>-9.5486197094042191E-6</v>
      </c>
      <c r="T26">
        <f>regressions!$P$1*M26^2+regressions!$P$2*M26^7</f>
        <v>-9.2376735026050199E-6</v>
      </c>
      <c r="U26">
        <f>regressions!$T$2+regressions!$T$1*EXP(M26)</f>
        <v>-5.5627803149597976E-5</v>
      </c>
      <c r="V26" s="8">
        <f>(1-EXP(-2*regressions!$X$1*M26))/2/EXP(-regressions!$X$1*M26)</f>
        <v>-2.8870139960981704E-3</v>
      </c>
      <c r="X26" s="33">
        <v>7.0931700048707681E-3</v>
      </c>
      <c r="Y26">
        <f t="shared" si="7"/>
        <v>-2.7008905520443166E-3</v>
      </c>
      <c r="Z26">
        <f>IF($B26&lt;=regressions!$L$2,$B26*regressions!$L$1,regressions!$L$1*regressions!$L$2+regressions!$L$3*($B26-regressions!$L$2))</f>
        <v>-5.6375084941273895E-3</v>
      </c>
      <c r="AA26">
        <f>regressions!$J$1*X26+regressions!$J$2*X26^2</f>
        <v>-3.2197054965996128E-3</v>
      </c>
      <c r="AB26">
        <f>regressions!$V$1*X26</f>
        <v>-5.6375085100427921E-3</v>
      </c>
      <c r="AC26">
        <f>regressions!$N$1*X26^2</f>
        <v>-8.7667923909631986E-6</v>
      </c>
      <c r="AD26">
        <f>regressions!$R$1*X26^2+regressions!$R$2*X26^6</f>
        <v>-9.5486197094042191E-6</v>
      </c>
      <c r="AE26">
        <f>regressions!$P$1*X26^2+regressions!$P$2*X26^7</f>
        <v>-9.2376735026050199E-6</v>
      </c>
      <c r="AF26">
        <f>regressions!$T$2+regressions!$T$1*EXP(X26)</f>
        <v>-5.5627803149597976E-5</v>
      </c>
      <c r="AG26" s="8">
        <f>(1-EXP(-2*regressions!$X$1*X26))/2/EXP(-regressions!$X$1*X26)</f>
        <v>-2.8870139960981704E-3</v>
      </c>
      <c r="AH26" s="8"/>
      <c r="AI26" s="33">
        <v>7.0931700048707681E-3</v>
      </c>
      <c r="AJ26">
        <f t="shared" si="8"/>
        <v>-2.7008905520443166E-3</v>
      </c>
      <c r="AK26">
        <f>IF(AI26&lt;=regressions!$L$2,AI26*regressions!$L$1,regressions!$L$1*regressions!$L$2+regressions!$L$3*(AI26-regressions!$L$2))</f>
        <v>-5.6375084941273895E-3</v>
      </c>
      <c r="AL26">
        <f>regressions!$J$1*AI26+regressions!$J$2*AI26^2</f>
        <v>-3.2197054965996128E-3</v>
      </c>
      <c r="AM26">
        <f>regressions!$V$1*AI26</f>
        <v>-5.6375085100427921E-3</v>
      </c>
      <c r="AN26">
        <f>regressions!$N$1*AI26^2</f>
        <v>-8.7667923909631986E-6</v>
      </c>
      <c r="AO26">
        <f>regressions!$R$1*AI26^2+regressions!$R$2*AI26^6</f>
        <v>-9.5486197094042191E-6</v>
      </c>
      <c r="AP26">
        <f>regressions!$P$1*AI26^2+regressions!$P$2*AI26^7</f>
        <v>-9.2376735026050199E-6</v>
      </c>
      <c r="AQ26">
        <f>regressions!$T$2+regressions!$T$1*EXP(AI26)</f>
        <v>-5.5627803149597976E-5</v>
      </c>
      <c r="AR26" s="8">
        <f>(1-EXP(-2*regressions!$X$1*AI26))/2/EXP(-regressions!$X$1*AI26)</f>
        <v>-2.8870139960981704E-3</v>
      </c>
      <c r="AT26" s="33">
        <v>7.0931700048707681E-3</v>
      </c>
      <c r="AU26">
        <f t="shared" si="9"/>
        <v>-2.7008905520443166E-3</v>
      </c>
      <c r="AV26">
        <f>IF(AT26&lt;=regressions!$L$2,AT26*regressions!$L$1,regressions!$L$1*regressions!$L$2+regressions!$L$3*(AT26-regressions!$L$2))</f>
        <v>-5.6375084941273895E-3</v>
      </c>
      <c r="AW26">
        <f>regressions!$J$1*AT26+regressions!$J$2*AT26^2</f>
        <v>-3.2197054965996128E-3</v>
      </c>
      <c r="AX26">
        <f>regressions!$V$1*AT26</f>
        <v>-5.6375085100427921E-3</v>
      </c>
      <c r="AY26">
        <f>regressions!$N$1*AT26^2</f>
        <v>-8.7667923909631986E-6</v>
      </c>
      <c r="AZ26">
        <f>regressions!$R$1*AT26^2+regressions!$R$2*AT26^6</f>
        <v>-9.5486197094042191E-6</v>
      </c>
      <c r="BA26">
        <f>regressions!$P$1*AT26^2+regressions!$P$2*AT26^7</f>
        <v>-9.2376735026050199E-6</v>
      </c>
      <c r="BB26">
        <f>regressions!$T$2+regressions!$T$1*EXP(AT26)</f>
        <v>-5.5627803149597976E-5</v>
      </c>
      <c r="BC26" s="8">
        <f>(1-EXP(-2*regressions!$X$1*AT26))/2/EXP(-regressions!$X$1*AT26)</f>
        <v>-2.8870139960981704E-3</v>
      </c>
      <c r="BE26">
        <f t="shared" si="10"/>
        <v>0</v>
      </c>
      <c r="BF26">
        <f t="shared" si="0"/>
        <v>0</v>
      </c>
      <c r="BG26">
        <f t="shared" si="1"/>
        <v>0</v>
      </c>
      <c r="BH26">
        <f>BG26+regressions!$AR$1*(AI26-B26)</f>
        <v>0</v>
      </c>
      <c r="BI26">
        <f>BG26-regressions!$AO$1*(AI26-B26)</f>
        <v>0</v>
      </c>
      <c r="BJ26">
        <f t="shared" si="2"/>
        <v>0</v>
      </c>
      <c r="BK26">
        <f>BJ26+regressions!$AR$1*(AT26-B26)</f>
        <v>0</v>
      </c>
      <c r="BL26">
        <f>BJ26-regressions!$AO$1*(AT26-B26)</f>
        <v>0</v>
      </c>
      <c r="BM26">
        <f t="shared" si="11"/>
        <v>0</v>
      </c>
      <c r="BN26">
        <f t="shared" si="3"/>
        <v>0</v>
      </c>
      <c r="BO26">
        <f t="shared" si="4"/>
        <v>0</v>
      </c>
      <c r="BP26">
        <f t="shared" si="12"/>
        <v>0</v>
      </c>
      <c r="BQ26">
        <f t="shared" si="13"/>
        <v>0</v>
      </c>
      <c r="BR26">
        <f t="shared" si="14"/>
        <v>0</v>
      </c>
    </row>
    <row r="27" spans="1:70" x14ac:dyDescent="0.35">
      <c r="A27">
        <v>1874</v>
      </c>
      <c r="B27" s="33">
        <v>7.5529507868271686E-3</v>
      </c>
      <c r="C27">
        <f t="shared" si="15"/>
        <v>-2.8762418418650684E-3</v>
      </c>
      <c r="D27">
        <f>IF($B27&lt;=regressions!$L$2,$B27*regressions!$L$1,regressions!$L$1*regressions!$L$2+regressions!$L$3*($B27-regressions!$L$2))</f>
        <v>-6.0029329886673258E-3</v>
      </c>
      <c r="E27">
        <f>regressions!$J$1*B27+regressions!$J$2*B27^2</f>
        <v>-3.428691324232961E-3</v>
      </c>
      <c r="F27">
        <f>regressions!$V$1*B27</f>
        <v>-6.0029330056143686E-3</v>
      </c>
      <c r="G27">
        <f>regressions!$N$1*B27^2</f>
        <v>-9.9401581495675975E-6</v>
      </c>
      <c r="H27">
        <f>regressions!$R$1*B27^2+regressions!$R$2*B27^6</f>
        <v>-1.0826626865190767E-5</v>
      </c>
      <c r="I27">
        <f>regressions!$P$1*B27^2+regressions!$P$2*B27^7</f>
        <v>-1.0474062970239374E-5</v>
      </c>
      <c r="J27">
        <f>regressions!$T$2+regressions!$T$1*EXP(B27)</f>
        <v>-5.9247244557698864E-5</v>
      </c>
      <c r="K27" s="8">
        <f>(1-EXP(-2*regressions!$X$1*B27))/2/EXP(-regressions!$X$1*B27)</f>
        <v>-3.0741514263186646E-3</v>
      </c>
      <c r="M27" s="33">
        <v>7.5529507868271686E-3</v>
      </c>
      <c r="N27">
        <f t="shared" si="6"/>
        <v>-2.8762418418650684E-3</v>
      </c>
      <c r="O27">
        <f>IF($B27&lt;=regressions!$L$2,$B27*regressions!$L$1,regressions!$L$1*regressions!$L$2+regressions!$L$3*($B27-regressions!$L$2))</f>
        <v>-6.0029329886673258E-3</v>
      </c>
      <c r="P27">
        <f>regressions!$J$1*M27+regressions!$J$2*M27^2</f>
        <v>-3.428691324232961E-3</v>
      </c>
      <c r="Q27">
        <f>regressions!$V$1*M27</f>
        <v>-6.0029330056143686E-3</v>
      </c>
      <c r="R27">
        <f>regressions!$N$1*M27^2</f>
        <v>-9.9401581495675975E-6</v>
      </c>
      <c r="S27">
        <f>regressions!$R$1*M27^2+regressions!$R$2*M27^6</f>
        <v>-1.0826626865190767E-5</v>
      </c>
      <c r="T27">
        <f>regressions!$P$1*M27^2+regressions!$P$2*M27^7</f>
        <v>-1.0474062970239374E-5</v>
      </c>
      <c r="U27">
        <f>regressions!$T$2+regressions!$T$1*EXP(M27)</f>
        <v>-5.9247244557698864E-5</v>
      </c>
      <c r="V27" s="8">
        <f>(1-EXP(-2*regressions!$X$1*M27))/2/EXP(-regressions!$X$1*M27)</f>
        <v>-3.0741514263186646E-3</v>
      </c>
      <c r="X27" s="33">
        <v>7.5529507868271686E-3</v>
      </c>
      <c r="Y27">
        <f t="shared" si="7"/>
        <v>-2.8762418418650684E-3</v>
      </c>
      <c r="Z27">
        <f>IF($B27&lt;=regressions!$L$2,$B27*regressions!$L$1,regressions!$L$1*regressions!$L$2+regressions!$L$3*($B27-regressions!$L$2))</f>
        <v>-6.0029329886673258E-3</v>
      </c>
      <c r="AA27">
        <f>regressions!$J$1*X27+regressions!$J$2*X27^2</f>
        <v>-3.428691324232961E-3</v>
      </c>
      <c r="AB27">
        <f>regressions!$V$1*X27</f>
        <v>-6.0029330056143686E-3</v>
      </c>
      <c r="AC27">
        <f>regressions!$N$1*X27^2</f>
        <v>-9.9401581495675975E-6</v>
      </c>
      <c r="AD27">
        <f>regressions!$R$1*X27^2+regressions!$R$2*X27^6</f>
        <v>-1.0826626865190767E-5</v>
      </c>
      <c r="AE27">
        <f>regressions!$P$1*X27^2+regressions!$P$2*X27^7</f>
        <v>-1.0474062970239374E-5</v>
      </c>
      <c r="AF27">
        <f>regressions!$T$2+regressions!$T$1*EXP(X27)</f>
        <v>-5.9247244557698864E-5</v>
      </c>
      <c r="AG27" s="8">
        <f>(1-EXP(-2*regressions!$X$1*X27))/2/EXP(-regressions!$X$1*X27)</f>
        <v>-3.0741514263186646E-3</v>
      </c>
      <c r="AH27" s="8"/>
      <c r="AI27" s="33">
        <v>7.5529507868271686E-3</v>
      </c>
      <c r="AJ27">
        <f t="shared" si="8"/>
        <v>-2.8762418418650684E-3</v>
      </c>
      <c r="AK27">
        <f>IF(AI27&lt;=regressions!$L$2,AI27*regressions!$L$1,regressions!$L$1*regressions!$L$2+regressions!$L$3*(AI27-regressions!$L$2))</f>
        <v>-6.0029329886673258E-3</v>
      </c>
      <c r="AL27">
        <f>regressions!$J$1*AI27+regressions!$J$2*AI27^2</f>
        <v>-3.428691324232961E-3</v>
      </c>
      <c r="AM27">
        <f>regressions!$V$1*AI27</f>
        <v>-6.0029330056143686E-3</v>
      </c>
      <c r="AN27">
        <f>regressions!$N$1*AI27^2</f>
        <v>-9.9401581495675975E-6</v>
      </c>
      <c r="AO27">
        <f>regressions!$R$1*AI27^2+regressions!$R$2*AI27^6</f>
        <v>-1.0826626865190767E-5</v>
      </c>
      <c r="AP27">
        <f>regressions!$P$1*AI27^2+regressions!$P$2*AI27^7</f>
        <v>-1.0474062970239374E-5</v>
      </c>
      <c r="AQ27">
        <f>regressions!$T$2+regressions!$T$1*EXP(AI27)</f>
        <v>-5.9247244557698864E-5</v>
      </c>
      <c r="AR27" s="8">
        <f>(1-EXP(-2*regressions!$X$1*AI27))/2/EXP(-regressions!$X$1*AI27)</f>
        <v>-3.0741514263186646E-3</v>
      </c>
      <c r="AT27" s="33">
        <v>7.5529507868271686E-3</v>
      </c>
      <c r="AU27">
        <f t="shared" si="9"/>
        <v>-2.8762418418650684E-3</v>
      </c>
      <c r="AV27">
        <f>IF(AT27&lt;=regressions!$L$2,AT27*regressions!$L$1,regressions!$L$1*regressions!$L$2+regressions!$L$3*(AT27-regressions!$L$2))</f>
        <v>-6.0029329886673258E-3</v>
      </c>
      <c r="AW27">
        <f>regressions!$J$1*AT27+regressions!$J$2*AT27^2</f>
        <v>-3.428691324232961E-3</v>
      </c>
      <c r="AX27">
        <f>regressions!$V$1*AT27</f>
        <v>-6.0029330056143686E-3</v>
      </c>
      <c r="AY27">
        <f>regressions!$N$1*AT27^2</f>
        <v>-9.9401581495675975E-6</v>
      </c>
      <c r="AZ27">
        <f>regressions!$R$1*AT27^2+regressions!$R$2*AT27^6</f>
        <v>-1.0826626865190767E-5</v>
      </c>
      <c r="BA27">
        <f>regressions!$P$1*AT27^2+regressions!$P$2*AT27^7</f>
        <v>-1.0474062970239374E-5</v>
      </c>
      <c r="BB27">
        <f>regressions!$T$2+regressions!$T$1*EXP(AT27)</f>
        <v>-5.9247244557698864E-5</v>
      </c>
      <c r="BC27" s="8">
        <f>(1-EXP(-2*regressions!$X$1*AT27))/2/EXP(-regressions!$X$1*AT27)</f>
        <v>-3.0741514263186646E-3</v>
      </c>
      <c r="BE27">
        <f t="shared" si="10"/>
        <v>0</v>
      </c>
      <c r="BF27">
        <f t="shared" si="0"/>
        <v>0</v>
      </c>
      <c r="BG27">
        <f t="shared" si="1"/>
        <v>0</v>
      </c>
      <c r="BH27">
        <f>BG27+regressions!$AR$1*(AI27-B27)</f>
        <v>0</v>
      </c>
      <c r="BI27">
        <f>BG27-regressions!$AO$1*(AI27-B27)</f>
        <v>0</v>
      </c>
      <c r="BJ27">
        <f t="shared" si="2"/>
        <v>0</v>
      </c>
      <c r="BK27">
        <f>BJ27+regressions!$AR$1*(AT27-B27)</f>
        <v>0</v>
      </c>
      <c r="BL27">
        <f>BJ27-regressions!$AO$1*(AT27-B27)</f>
        <v>0</v>
      </c>
      <c r="BM27">
        <f t="shared" si="11"/>
        <v>0</v>
      </c>
      <c r="BN27">
        <f t="shared" si="3"/>
        <v>0</v>
      </c>
      <c r="BO27">
        <f t="shared" si="4"/>
        <v>0</v>
      </c>
      <c r="BP27">
        <f t="shared" si="12"/>
        <v>0</v>
      </c>
      <c r="BQ27">
        <f t="shared" si="13"/>
        <v>0</v>
      </c>
      <c r="BR27">
        <f t="shared" si="14"/>
        <v>0</v>
      </c>
    </row>
    <row r="28" spans="1:70" x14ac:dyDescent="0.35">
      <c r="A28">
        <v>1875</v>
      </c>
      <c r="B28" s="33">
        <v>8.0296207326926057E-3</v>
      </c>
      <c r="C28">
        <f t="shared" si="15"/>
        <v>-3.0580701929174212E-3</v>
      </c>
      <c r="D28">
        <f>IF($B28&lt;=regressions!$L$2,$B28*regressions!$L$1,regressions!$L$1*regressions!$L$2+regressions!$L$3*($B28-regressions!$L$2))</f>
        <v>-6.3817806501312926E-3</v>
      </c>
      <c r="E28">
        <f>regressions!$J$1*B28+regressions!$J$2*B28^2</f>
        <v>-3.6453903287901432E-3</v>
      </c>
      <c r="F28">
        <f>regressions!$V$1*B28</f>
        <v>-6.3817806681478705E-3</v>
      </c>
      <c r="G28">
        <f>regressions!$N$1*B28^2</f>
        <v>-1.1234404304883151E-5</v>
      </c>
      <c r="H28">
        <f>regressions!$R$1*B28^2+regressions!$R$2*B28^6</f>
        <v>-1.2236294597279359E-5</v>
      </c>
      <c r="I28">
        <f>regressions!$P$1*B28^2+regressions!$P$2*B28^7</f>
        <v>-1.1837825550853349E-5</v>
      </c>
      <c r="J28">
        <f>regressions!$T$2+regressions!$T$1*EXP(B28)</f>
        <v>-6.3001396574155488E-5</v>
      </c>
      <c r="K28" s="8">
        <f>(1-EXP(-2*regressions!$X$1*B28))/2/EXP(-regressions!$X$1*B28)</f>
        <v>-3.2681631043434368E-3</v>
      </c>
      <c r="M28" s="33">
        <v>8.0296207326926057E-3</v>
      </c>
      <c r="N28">
        <f t="shared" si="6"/>
        <v>-3.0580701929174212E-3</v>
      </c>
      <c r="O28">
        <f>IF($B28&lt;=regressions!$L$2,$B28*regressions!$L$1,regressions!$L$1*regressions!$L$2+regressions!$L$3*($B28-regressions!$L$2))</f>
        <v>-6.3817806501312926E-3</v>
      </c>
      <c r="P28">
        <f>regressions!$J$1*M28+regressions!$J$2*M28^2</f>
        <v>-3.6453903287901432E-3</v>
      </c>
      <c r="Q28">
        <f>regressions!$V$1*M28</f>
        <v>-6.3817806681478705E-3</v>
      </c>
      <c r="R28">
        <f>regressions!$N$1*M28^2</f>
        <v>-1.1234404304883151E-5</v>
      </c>
      <c r="S28">
        <f>regressions!$R$1*M28^2+regressions!$R$2*M28^6</f>
        <v>-1.2236294597279359E-5</v>
      </c>
      <c r="T28">
        <f>regressions!$P$1*M28^2+regressions!$P$2*M28^7</f>
        <v>-1.1837825550853349E-5</v>
      </c>
      <c r="U28">
        <f>regressions!$T$2+regressions!$T$1*EXP(M28)</f>
        <v>-6.3001396574155488E-5</v>
      </c>
      <c r="V28" s="8">
        <f>(1-EXP(-2*regressions!$X$1*M28))/2/EXP(-regressions!$X$1*M28)</f>
        <v>-3.2681631043434368E-3</v>
      </c>
      <c r="X28" s="33">
        <v>8.0296207326926057E-3</v>
      </c>
      <c r="Y28">
        <f t="shared" si="7"/>
        <v>-3.0580701929174212E-3</v>
      </c>
      <c r="Z28">
        <f>IF($B28&lt;=regressions!$L$2,$B28*regressions!$L$1,regressions!$L$1*regressions!$L$2+regressions!$L$3*($B28-regressions!$L$2))</f>
        <v>-6.3817806501312926E-3</v>
      </c>
      <c r="AA28">
        <f>regressions!$J$1*X28+regressions!$J$2*X28^2</f>
        <v>-3.6453903287901432E-3</v>
      </c>
      <c r="AB28">
        <f>regressions!$V$1*X28</f>
        <v>-6.3817806681478705E-3</v>
      </c>
      <c r="AC28">
        <f>regressions!$N$1*X28^2</f>
        <v>-1.1234404304883151E-5</v>
      </c>
      <c r="AD28">
        <f>regressions!$R$1*X28^2+regressions!$R$2*X28^6</f>
        <v>-1.2236294597279359E-5</v>
      </c>
      <c r="AE28">
        <f>regressions!$P$1*X28^2+regressions!$P$2*X28^7</f>
        <v>-1.1837825550853349E-5</v>
      </c>
      <c r="AF28">
        <f>regressions!$T$2+regressions!$T$1*EXP(X28)</f>
        <v>-6.3001396574155488E-5</v>
      </c>
      <c r="AG28" s="8">
        <f>(1-EXP(-2*regressions!$X$1*X28))/2/EXP(-regressions!$X$1*X28)</f>
        <v>-3.2681631043434368E-3</v>
      </c>
      <c r="AH28" s="8"/>
      <c r="AI28" s="33">
        <v>8.0296207326926057E-3</v>
      </c>
      <c r="AJ28">
        <f t="shared" si="8"/>
        <v>-3.0580701929174212E-3</v>
      </c>
      <c r="AK28">
        <f>IF(AI28&lt;=regressions!$L$2,AI28*regressions!$L$1,regressions!$L$1*regressions!$L$2+regressions!$L$3*(AI28-regressions!$L$2))</f>
        <v>-6.3817806501312926E-3</v>
      </c>
      <c r="AL28">
        <f>regressions!$J$1*AI28+regressions!$J$2*AI28^2</f>
        <v>-3.6453903287901432E-3</v>
      </c>
      <c r="AM28">
        <f>regressions!$V$1*AI28</f>
        <v>-6.3817806681478705E-3</v>
      </c>
      <c r="AN28">
        <f>regressions!$N$1*AI28^2</f>
        <v>-1.1234404304883151E-5</v>
      </c>
      <c r="AO28">
        <f>regressions!$R$1*AI28^2+regressions!$R$2*AI28^6</f>
        <v>-1.2236294597279359E-5</v>
      </c>
      <c r="AP28">
        <f>regressions!$P$1*AI28^2+regressions!$P$2*AI28^7</f>
        <v>-1.1837825550853349E-5</v>
      </c>
      <c r="AQ28">
        <f>regressions!$T$2+regressions!$T$1*EXP(AI28)</f>
        <v>-6.3001396574155488E-5</v>
      </c>
      <c r="AR28" s="8">
        <f>(1-EXP(-2*regressions!$X$1*AI28))/2/EXP(-regressions!$X$1*AI28)</f>
        <v>-3.2681631043434368E-3</v>
      </c>
      <c r="AT28" s="33">
        <v>8.0296207326926057E-3</v>
      </c>
      <c r="AU28">
        <f t="shared" si="9"/>
        <v>-3.0580701929174212E-3</v>
      </c>
      <c r="AV28">
        <f>IF(AT28&lt;=regressions!$L$2,AT28*regressions!$L$1,regressions!$L$1*regressions!$L$2+regressions!$L$3*(AT28-regressions!$L$2))</f>
        <v>-6.3817806501312926E-3</v>
      </c>
      <c r="AW28">
        <f>regressions!$J$1*AT28+regressions!$J$2*AT28^2</f>
        <v>-3.6453903287901432E-3</v>
      </c>
      <c r="AX28">
        <f>regressions!$V$1*AT28</f>
        <v>-6.3817806681478705E-3</v>
      </c>
      <c r="AY28">
        <f>regressions!$N$1*AT28^2</f>
        <v>-1.1234404304883151E-5</v>
      </c>
      <c r="AZ28">
        <f>regressions!$R$1*AT28^2+regressions!$R$2*AT28^6</f>
        <v>-1.2236294597279359E-5</v>
      </c>
      <c r="BA28">
        <f>regressions!$P$1*AT28^2+regressions!$P$2*AT28^7</f>
        <v>-1.1837825550853349E-5</v>
      </c>
      <c r="BB28">
        <f>regressions!$T$2+regressions!$T$1*EXP(AT28)</f>
        <v>-6.3001396574155488E-5</v>
      </c>
      <c r="BC28" s="8">
        <f>(1-EXP(-2*regressions!$X$1*AT28))/2/EXP(-regressions!$X$1*AT28)</f>
        <v>-3.2681631043434368E-3</v>
      </c>
      <c r="BE28">
        <f t="shared" si="10"/>
        <v>0</v>
      </c>
      <c r="BF28">
        <f t="shared" si="0"/>
        <v>0</v>
      </c>
      <c r="BG28">
        <f t="shared" si="1"/>
        <v>0</v>
      </c>
      <c r="BH28">
        <f>BG28+regressions!$AR$1*(AI28-B28)</f>
        <v>0</v>
      </c>
      <c r="BI28">
        <f>BG28-regressions!$AO$1*(AI28-B28)</f>
        <v>0</v>
      </c>
      <c r="BJ28">
        <f t="shared" si="2"/>
        <v>0</v>
      </c>
      <c r="BK28">
        <f>BJ28+regressions!$AR$1*(AT28-B28)</f>
        <v>0</v>
      </c>
      <c r="BL28">
        <f>BJ28-regressions!$AO$1*(AT28-B28)</f>
        <v>0</v>
      </c>
      <c r="BM28">
        <f t="shared" si="11"/>
        <v>0</v>
      </c>
      <c r="BN28">
        <f t="shared" si="3"/>
        <v>0</v>
      </c>
      <c r="BO28">
        <f t="shared" si="4"/>
        <v>0</v>
      </c>
      <c r="BP28">
        <f t="shared" si="12"/>
        <v>0</v>
      </c>
      <c r="BQ28">
        <f t="shared" si="13"/>
        <v>0</v>
      </c>
      <c r="BR28">
        <f t="shared" si="14"/>
        <v>0</v>
      </c>
    </row>
    <row r="29" spans="1:70" x14ac:dyDescent="0.35">
      <c r="A29">
        <v>1876</v>
      </c>
      <c r="B29" s="33">
        <v>8.525829660205814E-3</v>
      </c>
      <c r="C29">
        <f t="shared" si="15"/>
        <v>-3.2473905876057776E-3</v>
      </c>
      <c r="D29">
        <f>IF($B29&lt;=regressions!$L$2,$B29*regressions!$L$1,regressions!$L$1*regressions!$L$2+regressions!$L$3*($B29-regressions!$L$2))</f>
        <v>-6.7761575002274607E-3</v>
      </c>
      <c r="E29">
        <f>regressions!$J$1*B29+regressions!$J$2*B29^2</f>
        <v>-3.8710114099522069E-3</v>
      </c>
      <c r="F29">
        <f>regressions!$V$1*B29</f>
        <v>-6.7761575193574144E-3</v>
      </c>
      <c r="G29">
        <f>regressions!$N$1*B29^2</f>
        <v>-1.2665819285711215E-5</v>
      </c>
      <c r="H29">
        <f>regressions!$R$1*B29^2+regressions!$R$2*B29^6</f>
        <v>-1.3795363945419862E-5</v>
      </c>
      <c r="I29">
        <f>regressions!$P$1*B29^2+regressions!$P$2*B29^7</f>
        <v>-1.3346124555773035E-5</v>
      </c>
      <c r="J29">
        <f>regressions!$T$2+regressions!$T$1*EXP(B29)</f>
        <v>-6.6911334980266843E-5</v>
      </c>
      <c r="K29" s="8">
        <f>(1-EXP(-2*regressions!$X$1*B29))/2/EXP(-regressions!$X$1*B29)</f>
        <v>-3.4701275660325172E-3</v>
      </c>
      <c r="M29" s="33">
        <v>8.525829660205814E-3</v>
      </c>
      <c r="N29">
        <f t="shared" si="6"/>
        <v>-3.2473905876057776E-3</v>
      </c>
      <c r="O29">
        <f>IF($B29&lt;=regressions!$L$2,$B29*regressions!$L$1,regressions!$L$1*regressions!$L$2+regressions!$L$3*($B29-regressions!$L$2))</f>
        <v>-6.7761575002274607E-3</v>
      </c>
      <c r="P29">
        <f>regressions!$J$1*M29+regressions!$J$2*M29^2</f>
        <v>-3.8710114099522069E-3</v>
      </c>
      <c r="Q29">
        <f>regressions!$V$1*M29</f>
        <v>-6.7761575193574144E-3</v>
      </c>
      <c r="R29">
        <f>regressions!$N$1*M29^2</f>
        <v>-1.2665819285711215E-5</v>
      </c>
      <c r="S29">
        <f>regressions!$R$1*M29^2+regressions!$R$2*M29^6</f>
        <v>-1.3795363945419862E-5</v>
      </c>
      <c r="T29">
        <f>regressions!$P$1*M29^2+regressions!$P$2*M29^7</f>
        <v>-1.3346124555773035E-5</v>
      </c>
      <c r="U29">
        <f>regressions!$T$2+regressions!$T$1*EXP(M29)</f>
        <v>-6.6911334980266843E-5</v>
      </c>
      <c r="V29" s="8">
        <f>(1-EXP(-2*regressions!$X$1*M29))/2/EXP(-regressions!$X$1*M29)</f>
        <v>-3.4701275660325172E-3</v>
      </c>
      <c r="X29" s="33">
        <v>8.525829660205814E-3</v>
      </c>
      <c r="Y29">
        <f t="shared" si="7"/>
        <v>-3.2473905876057776E-3</v>
      </c>
      <c r="Z29">
        <f>IF($B29&lt;=regressions!$L$2,$B29*regressions!$L$1,regressions!$L$1*regressions!$L$2+regressions!$L$3*($B29-regressions!$L$2))</f>
        <v>-6.7761575002274607E-3</v>
      </c>
      <c r="AA29">
        <f>regressions!$J$1*X29+regressions!$J$2*X29^2</f>
        <v>-3.8710114099522069E-3</v>
      </c>
      <c r="AB29">
        <f>regressions!$V$1*X29</f>
        <v>-6.7761575193574144E-3</v>
      </c>
      <c r="AC29">
        <f>regressions!$N$1*X29^2</f>
        <v>-1.2665819285711215E-5</v>
      </c>
      <c r="AD29">
        <f>regressions!$R$1*X29^2+regressions!$R$2*X29^6</f>
        <v>-1.3795363945419862E-5</v>
      </c>
      <c r="AE29">
        <f>regressions!$P$1*X29^2+regressions!$P$2*X29^7</f>
        <v>-1.3346124555773035E-5</v>
      </c>
      <c r="AF29">
        <f>regressions!$T$2+regressions!$T$1*EXP(X29)</f>
        <v>-6.6911334980266843E-5</v>
      </c>
      <c r="AG29" s="8">
        <f>(1-EXP(-2*regressions!$X$1*X29))/2/EXP(-regressions!$X$1*X29)</f>
        <v>-3.4701275660325172E-3</v>
      </c>
      <c r="AH29" s="8"/>
      <c r="AI29" s="33">
        <v>8.525829660205814E-3</v>
      </c>
      <c r="AJ29">
        <f t="shared" si="8"/>
        <v>-3.2473905876057776E-3</v>
      </c>
      <c r="AK29">
        <f>IF(AI29&lt;=regressions!$L$2,AI29*regressions!$L$1,regressions!$L$1*regressions!$L$2+regressions!$L$3*(AI29-regressions!$L$2))</f>
        <v>-6.7761575002274607E-3</v>
      </c>
      <c r="AL29">
        <f>regressions!$J$1*AI29+regressions!$J$2*AI29^2</f>
        <v>-3.8710114099522069E-3</v>
      </c>
      <c r="AM29">
        <f>regressions!$V$1*AI29</f>
        <v>-6.7761575193574144E-3</v>
      </c>
      <c r="AN29">
        <f>regressions!$N$1*AI29^2</f>
        <v>-1.2665819285711215E-5</v>
      </c>
      <c r="AO29">
        <f>regressions!$R$1*AI29^2+regressions!$R$2*AI29^6</f>
        <v>-1.3795363945419862E-5</v>
      </c>
      <c r="AP29">
        <f>regressions!$P$1*AI29^2+regressions!$P$2*AI29^7</f>
        <v>-1.3346124555773035E-5</v>
      </c>
      <c r="AQ29">
        <f>regressions!$T$2+regressions!$T$1*EXP(AI29)</f>
        <v>-6.6911334980266843E-5</v>
      </c>
      <c r="AR29" s="8">
        <f>(1-EXP(-2*regressions!$X$1*AI29))/2/EXP(-regressions!$X$1*AI29)</f>
        <v>-3.4701275660325172E-3</v>
      </c>
      <c r="AT29" s="33">
        <v>8.525829660205814E-3</v>
      </c>
      <c r="AU29">
        <f t="shared" si="9"/>
        <v>-3.2473905876057776E-3</v>
      </c>
      <c r="AV29">
        <f>IF(AT29&lt;=regressions!$L$2,AT29*regressions!$L$1,regressions!$L$1*regressions!$L$2+regressions!$L$3*(AT29-regressions!$L$2))</f>
        <v>-6.7761575002274607E-3</v>
      </c>
      <c r="AW29">
        <f>regressions!$J$1*AT29+regressions!$J$2*AT29^2</f>
        <v>-3.8710114099522069E-3</v>
      </c>
      <c r="AX29">
        <f>regressions!$V$1*AT29</f>
        <v>-6.7761575193574144E-3</v>
      </c>
      <c r="AY29">
        <f>regressions!$N$1*AT29^2</f>
        <v>-1.2665819285711215E-5</v>
      </c>
      <c r="AZ29">
        <f>regressions!$R$1*AT29^2+regressions!$R$2*AT29^6</f>
        <v>-1.3795363945419862E-5</v>
      </c>
      <c r="BA29">
        <f>regressions!$P$1*AT29^2+regressions!$P$2*AT29^7</f>
        <v>-1.3346124555773035E-5</v>
      </c>
      <c r="BB29">
        <f>regressions!$T$2+regressions!$T$1*EXP(AT29)</f>
        <v>-6.6911334980266843E-5</v>
      </c>
      <c r="BC29" s="8">
        <f>(1-EXP(-2*regressions!$X$1*AT29))/2/EXP(-regressions!$X$1*AT29)</f>
        <v>-3.4701275660325172E-3</v>
      </c>
      <c r="BE29">
        <f t="shared" si="10"/>
        <v>0</v>
      </c>
      <c r="BF29">
        <f t="shared" si="0"/>
        <v>0</v>
      </c>
      <c r="BG29">
        <f t="shared" si="1"/>
        <v>0</v>
      </c>
      <c r="BH29">
        <f>BG29+regressions!$AR$1*(AI29-B29)</f>
        <v>0</v>
      </c>
      <c r="BI29">
        <f>BG29-regressions!$AO$1*(AI29-B29)</f>
        <v>0</v>
      </c>
      <c r="BJ29">
        <f t="shared" si="2"/>
        <v>0</v>
      </c>
      <c r="BK29">
        <f>BJ29+regressions!$AR$1*(AT29-B29)</f>
        <v>0</v>
      </c>
      <c r="BL29">
        <f>BJ29-regressions!$AO$1*(AT29-B29)</f>
        <v>0</v>
      </c>
      <c r="BM29">
        <f t="shared" si="11"/>
        <v>0</v>
      </c>
      <c r="BN29">
        <f t="shared" si="3"/>
        <v>0</v>
      </c>
      <c r="BO29">
        <f t="shared" si="4"/>
        <v>0</v>
      </c>
      <c r="BP29">
        <f t="shared" si="12"/>
        <v>0</v>
      </c>
      <c r="BQ29">
        <f t="shared" si="13"/>
        <v>0</v>
      </c>
      <c r="BR29">
        <f t="shared" si="14"/>
        <v>0</v>
      </c>
    </row>
    <row r="30" spans="1:70" x14ac:dyDescent="0.35">
      <c r="A30">
        <v>1877</v>
      </c>
      <c r="B30" s="33">
        <v>9.0410271384882852E-3</v>
      </c>
      <c r="C30">
        <f t="shared" si="15"/>
        <v>-3.4439976265789617E-3</v>
      </c>
      <c r="D30">
        <f>IF($B30&lt;=regressions!$L$2,$B30*regressions!$L$1,regressions!$L$1*regressions!$L$2+regressions!$L$3*($B30-regressions!$L$2))</f>
        <v>-7.185626067592407E-3</v>
      </c>
      <c r="E30">
        <f>regressions!$J$1*B30+regressions!$J$2*B30^2</f>
        <v>-4.105308978403807E-3</v>
      </c>
      <c r="F30">
        <f>regressions!$V$1*B30</f>
        <v>-7.1856260878783431E-3</v>
      </c>
      <c r="G30">
        <f>regressions!$N$1*B30^2</f>
        <v>-1.4242805053693936E-5</v>
      </c>
      <c r="H30">
        <f>regressions!$R$1*B30^2+regressions!$R$2*B30^6</f>
        <v>-1.5512986162767925E-5</v>
      </c>
      <c r="I30">
        <f>regressions!$P$1*B30^2+regressions!$P$2*B30^7</f>
        <v>-1.5007813231998053E-5</v>
      </c>
      <c r="J30">
        <f>regressions!$T$2+regressions!$T$1*EXP(B30)</f>
        <v>-7.0972949429811555E-5</v>
      </c>
      <c r="K30" s="8">
        <f>(1-EXP(-2*regressions!$X$1*B30))/2/EXP(-regressions!$X$1*B30)</f>
        <v>-3.6798208020242138E-3</v>
      </c>
      <c r="M30" s="33">
        <v>9.0410271384882852E-3</v>
      </c>
      <c r="N30">
        <f t="shared" si="6"/>
        <v>-3.4439976265789617E-3</v>
      </c>
      <c r="O30">
        <f>IF($B30&lt;=regressions!$L$2,$B30*regressions!$L$1,regressions!$L$1*regressions!$L$2+regressions!$L$3*($B30-regressions!$L$2))</f>
        <v>-7.185626067592407E-3</v>
      </c>
      <c r="P30">
        <f>regressions!$J$1*M30+regressions!$J$2*M30^2</f>
        <v>-4.105308978403807E-3</v>
      </c>
      <c r="Q30">
        <f>regressions!$V$1*M30</f>
        <v>-7.1856260878783431E-3</v>
      </c>
      <c r="R30">
        <f>regressions!$N$1*M30^2</f>
        <v>-1.4242805053693936E-5</v>
      </c>
      <c r="S30">
        <f>regressions!$R$1*M30^2+regressions!$R$2*M30^6</f>
        <v>-1.5512986162767925E-5</v>
      </c>
      <c r="T30">
        <f>regressions!$P$1*M30^2+regressions!$P$2*M30^7</f>
        <v>-1.5007813231998053E-5</v>
      </c>
      <c r="U30">
        <f>regressions!$T$2+regressions!$T$1*EXP(M30)</f>
        <v>-7.0972949429811555E-5</v>
      </c>
      <c r="V30" s="8">
        <f>(1-EXP(-2*regressions!$X$1*M30))/2/EXP(-regressions!$X$1*M30)</f>
        <v>-3.6798208020242138E-3</v>
      </c>
      <c r="X30" s="33">
        <v>9.0410271384882852E-3</v>
      </c>
      <c r="Y30">
        <f t="shared" si="7"/>
        <v>-3.4439976265789617E-3</v>
      </c>
      <c r="Z30">
        <f>IF($B30&lt;=regressions!$L$2,$B30*regressions!$L$1,regressions!$L$1*regressions!$L$2+regressions!$L$3*($B30-regressions!$L$2))</f>
        <v>-7.185626067592407E-3</v>
      </c>
      <c r="AA30">
        <f>regressions!$J$1*X30+regressions!$J$2*X30^2</f>
        <v>-4.105308978403807E-3</v>
      </c>
      <c r="AB30">
        <f>regressions!$V$1*X30</f>
        <v>-7.1856260878783431E-3</v>
      </c>
      <c r="AC30">
        <f>regressions!$N$1*X30^2</f>
        <v>-1.4242805053693936E-5</v>
      </c>
      <c r="AD30">
        <f>regressions!$R$1*X30^2+regressions!$R$2*X30^6</f>
        <v>-1.5512986162767925E-5</v>
      </c>
      <c r="AE30">
        <f>regressions!$P$1*X30^2+regressions!$P$2*X30^7</f>
        <v>-1.5007813231998053E-5</v>
      </c>
      <c r="AF30">
        <f>regressions!$T$2+regressions!$T$1*EXP(X30)</f>
        <v>-7.0972949429811555E-5</v>
      </c>
      <c r="AG30" s="8">
        <f>(1-EXP(-2*regressions!$X$1*X30))/2/EXP(-regressions!$X$1*X30)</f>
        <v>-3.6798208020242138E-3</v>
      </c>
      <c r="AH30" s="8"/>
      <c r="AI30" s="33">
        <v>9.0410271384882852E-3</v>
      </c>
      <c r="AJ30">
        <f t="shared" si="8"/>
        <v>-3.4439976265789617E-3</v>
      </c>
      <c r="AK30">
        <f>IF(AI30&lt;=regressions!$L$2,AI30*regressions!$L$1,regressions!$L$1*regressions!$L$2+regressions!$L$3*(AI30-regressions!$L$2))</f>
        <v>-7.185626067592407E-3</v>
      </c>
      <c r="AL30">
        <f>regressions!$J$1*AI30+regressions!$J$2*AI30^2</f>
        <v>-4.105308978403807E-3</v>
      </c>
      <c r="AM30">
        <f>regressions!$V$1*AI30</f>
        <v>-7.1856260878783431E-3</v>
      </c>
      <c r="AN30">
        <f>regressions!$N$1*AI30^2</f>
        <v>-1.4242805053693936E-5</v>
      </c>
      <c r="AO30">
        <f>regressions!$R$1*AI30^2+regressions!$R$2*AI30^6</f>
        <v>-1.5512986162767925E-5</v>
      </c>
      <c r="AP30">
        <f>regressions!$P$1*AI30^2+regressions!$P$2*AI30^7</f>
        <v>-1.5007813231998053E-5</v>
      </c>
      <c r="AQ30">
        <f>regressions!$T$2+regressions!$T$1*EXP(AI30)</f>
        <v>-7.0972949429811555E-5</v>
      </c>
      <c r="AR30" s="8">
        <f>(1-EXP(-2*regressions!$X$1*AI30))/2/EXP(-regressions!$X$1*AI30)</f>
        <v>-3.6798208020242138E-3</v>
      </c>
      <c r="AT30" s="33">
        <v>9.0410271384882852E-3</v>
      </c>
      <c r="AU30">
        <f t="shared" si="9"/>
        <v>-3.4439976265789617E-3</v>
      </c>
      <c r="AV30">
        <f>IF(AT30&lt;=regressions!$L$2,AT30*regressions!$L$1,regressions!$L$1*regressions!$L$2+regressions!$L$3*(AT30-regressions!$L$2))</f>
        <v>-7.185626067592407E-3</v>
      </c>
      <c r="AW30">
        <f>regressions!$J$1*AT30+regressions!$J$2*AT30^2</f>
        <v>-4.105308978403807E-3</v>
      </c>
      <c r="AX30">
        <f>regressions!$V$1*AT30</f>
        <v>-7.1856260878783431E-3</v>
      </c>
      <c r="AY30">
        <f>regressions!$N$1*AT30^2</f>
        <v>-1.4242805053693936E-5</v>
      </c>
      <c r="AZ30">
        <f>regressions!$R$1*AT30^2+regressions!$R$2*AT30^6</f>
        <v>-1.5512986162767925E-5</v>
      </c>
      <c r="BA30">
        <f>regressions!$P$1*AT30^2+regressions!$P$2*AT30^7</f>
        <v>-1.5007813231998053E-5</v>
      </c>
      <c r="BB30">
        <f>regressions!$T$2+regressions!$T$1*EXP(AT30)</f>
        <v>-7.0972949429811555E-5</v>
      </c>
      <c r="BC30" s="8">
        <f>(1-EXP(-2*regressions!$X$1*AT30))/2/EXP(-regressions!$X$1*AT30)</f>
        <v>-3.6798208020242138E-3</v>
      </c>
      <c r="BE30">
        <f t="shared" si="10"/>
        <v>0</v>
      </c>
      <c r="BF30">
        <f t="shared" si="0"/>
        <v>0</v>
      </c>
      <c r="BG30">
        <f t="shared" si="1"/>
        <v>0</v>
      </c>
      <c r="BH30">
        <f>BG30+regressions!$AR$1*(AI30-B30)</f>
        <v>0</v>
      </c>
      <c r="BI30">
        <f>BG30-regressions!$AO$1*(AI30-B30)</f>
        <v>0</v>
      </c>
      <c r="BJ30">
        <f t="shared" si="2"/>
        <v>0</v>
      </c>
      <c r="BK30">
        <f>BJ30+regressions!$AR$1*(AT30-B30)</f>
        <v>0</v>
      </c>
      <c r="BL30">
        <f>BJ30-regressions!$AO$1*(AT30-B30)</f>
        <v>0</v>
      </c>
      <c r="BM30">
        <f t="shared" si="11"/>
        <v>0</v>
      </c>
      <c r="BN30">
        <f t="shared" si="3"/>
        <v>0</v>
      </c>
      <c r="BO30">
        <f t="shared" si="4"/>
        <v>0</v>
      </c>
      <c r="BP30">
        <f t="shared" si="12"/>
        <v>0</v>
      </c>
      <c r="BQ30">
        <f t="shared" si="13"/>
        <v>0</v>
      </c>
      <c r="BR30">
        <f t="shared" si="14"/>
        <v>0</v>
      </c>
    </row>
    <row r="31" spans="1:70" x14ac:dyDescent="0.35">
      <c r="A31">
        <v>1878</v>
      </c>
      <c r="B31" s="33">
        <v>9.5747312258697339E-3</v>
      </c>
      <c r="C31">
        <f t="shared" si="15"/>
        <v>-3.6477120509902398E-3</v>
      </c>
      <c r="D31">
        <f>IF($B31&lt;=regressions!$L$2,$B31*regressions!$L$1,regressions!$L$1*regressions!$L$2+regressions!$L$3*($B31-regressions!$L$2))</f>
        <v>-7.6098033147043971E-3</v>
      </c>
      <c r="E31">
        <f>regressions!$J$1*B31+regressions!$J$2*B31^2</f>
        <v>-4.3480685955504502E-3</v>
      </c>
      <c r="F31">
        <f>regressions!$V$1*B31</f>
        <v>-7.6098033361878389E-3</v>
      </c>
      <c r="G31">
        <f>regressions!$N$1*B31^2</f>
        <v>-1.5973981147573114E-5</v>
      </c>
      <c r="H31">
        <f>regressions!$R$1*B31^2+regressions!$R$2*B31^6</f>
        <v>-1.7398549483223003E-5</v>
      </c>
      <c r="I31">
        <f>regressions!$P$1*B31^2+regressions!$P$2*B31^7</f>
        <v>-1.6831974090107971E-5</v>
      </c>
      <c r="J31">
        <f>regressions!$T$2+regressions!$T$1*EXP(B31)</f>
        <v>-7.5182669928293422E-5</v>
      </c>
      <c r="K31" s="8">
        <f>(1-EXP(-2*regressions!$X$1*B31))/2/EXP(-regressions!$X$1*B31)</f>
        <v>-3.8970466810885466E-3</v>
      </c>
      <c r="M31" s="33">
        <v>9.5747312258697339E-3</v>
      </c>
      <c r="N31">
        <f t="shared" si="6"/>
        <v>-3.6477120509902398E-3</v>
      </c>
      <c r="O31">
        <f>IF($B31&lt;=regressions!$L$2,$B31*regressions!$L$1,regressions!$L$1*regressions!$L$2+regressions!$L$3*($B31-regressions!$L$2))</f>
        <v>-7.6098033147043971E-3</v>
      </c>
      <c r="P31">
        <f>regressions!$J$1*M31+regressions!$J$2*M31^2</f>
        <v>-4.3480685955504502E-3</v>
      </c>
      <c r="Q31">
        <f>regressions!$V$1*M31</f>
        <v>-7.6098033361878389E-3</v>
      </c>
      <c r="R31">
        <f>regressions!$N$1*M31^2</f>
        <v>-1.5973981147573114E-5</v>
      </c>
      <c r="S31">
        <f>regressions!$R$1*M31^2+regressions!$R$2*M31^6</f>
        <v>-1.7398549483223003E-5</v>
      </c>
      <c r="T31">
        <f>regressions!$P$1*M31^2+regressions!$P$2*M31^7</f>
        <v>-1.6831974090107971E-5</v>
      </c>
      <c r="U31">
        <f>regressions!$T$2+regressions!$T$1*EXP(M31)</f>
        <v>-7.5182669928293422E-5</v>
      </c>
      <c r="V31" s="8">
        <f>(1-EXP(-2*regressions!$X$1*M31))/2/EXP(-regressions!$X$1*M31)</f>
        <v>-3.8970466810885466E-3</v>
      </c>
      <c r="X31" s="33">
        <v>9.5747312258697339E-3</v>
      </c>
      <c r="Y31">
        <f t="shared" si="7"/>
        <v>-3.6477120509902398E-3</v>
      </c>
      <c r="Z31">
        <f>IF($B31&lt;=regressions!$L$2,$B31*regressions!$L$1,regressions!$L$1*regressions!$L$2+regressions!$L$3*($B31-regressions!$L$2))</f>
        <v>-7.6098033147043971E-3</v>
      </c>
      <c r="AA31">
        <f>regressions!$J$1*X31+regressions!$J$2*X31^2</f>
        <v>-4.3480685955504502E-3</v>
      </c>
      <c r="AB31">
        <f>regressions!$V$1*X31</f>
        <v>-7.6098033361878389E-3</v>
      </c>
      <c r="AC31">
        <f>regressions!$N$1*X31^2</f>
        <v>-1.5973981147573114E-5</v>
      </c>
      <c r="AD31">
        <f>regressions!$R$1*X31^2+regressions!$R$2*X31^6</f>
        <v>-1.7398549483223003E-5</v>
      </c>
      <c r="AE31">
        <f>regressions!$P$1*X31^2+regressions!$P$2*X31^7</f>
        <v>-1.6831974090107971E-5</v>
      </c>
      <c r="AF31">
        <f>regressions!$T$2+regressions!$T$1*EXP(X31)</f>
        <v>-7.5182669928293422E-5</v>
      </c>
      <c r="AG31" s="8">
        <f>(1-EXP(-2*regressions!$X$1*X31))/2/EXP(-regressions!$X$1*X31)</f>
        <v>-3.8970466810885466E-3</v>
      </c>
      <c r="AH31" s="8"/>
      <c r="AI31" s="33">
        <v>9.5747312258697339E-3</v>
      </c>
      <c r="AJ31">
        <f t="shared" si="8"/>
        <v>-3.6477120509902398E-3</v>
      </c>
      <c r="AK31">
        <f>IF(AI31&lt;=regressions!$L$2,AI31*regressions!$L$1,regressions!$L$1*regressions!$L$2+regressions!$L$3*(AI31-regressions!$L$2))</f>
        <v>-7.6098033147043971E-3</v>
      </c>
      <c r="AL31">
        <f>regressions!$J$1*AI31+regressions!$J$2*AI31^2</f>
        <v>-4.3480685955504502E-3</v>
      </c>
      <c r="AM31">
        <f>regressions!$V$1*AI31</f>
        <v>-7.6098033361878389E-3</v>
      </c>
      <c r="AN31">
        <f>regressions!$N$1*AI31^2</f>
        <v>-1.5973981147573114E-5</v>
      </c>
      <c r="AO31">
        <f>regressions!$R$1*AI31^2+regressions!$R$2*AI31^6</f>
        <v>-1.7398549483223003E-5</v>
      </c>
      <c r="AP31">
        <f>regressions!$P$1*AI31^2+regressions!$P$2*AI31^7</f>
        <v>-1.6831974090107971E-5</v>
      </c>
      <c r="AQ31">
        <f>regressions!$T$2+regressions!$T$1*EXP(AI31)</f>
        <v>-7.5182669928293422E-5</v>
      </c>
      <c r="AR31" s="8">
        <f>(1-EXP(-2*regressions!$X$1*AI31))/2/EXP(-regressions!$X$1*AI31)</f>
        <v>-3.8970466810885466E-3</v>
      </c>
      <c r="AT31" s="33">
        <v>9.5747312258697339E-3</v>
      </c>
      <c r="AU31">
        <f t="shared" si="9"/>
        <v>-3.6477120509902398E-3</v>
      </c>
      <c r="AV31">
        <f>IF(AT31&lt;=regressions!$L$2,AT31*regressions!$L$1,regressions!$L$1*regressions!$L$2+regressions!$L$3*(AT31-regressions!$L$2))</f>
        <v>-7.6098033147043971E-3</v>
      </c>
      <c r="AW31">
        <f>regressions!$J$1*AT31+regressions!$J$2*AT31^2</f>
        <v>-4.3480685955504502E-3</v>
      </c>
      <c r="AX31">
        <f>regressions!$V$1*AT31</f>
        <v>-7.6098033361878389E-3</v>
      </c>
      <c r="AY31">
        <f>regressions!$N$1*AT31^2</f>
        <v>-1.5973981147573114E-5</v>
      </c>
      <c r="AZ31">
        <f>regressions!$R$1*AT31^2+regressions!$R$2*AT31^6</f>
        <v>-1.7398549483223003E-5</v>
      </c>
      <c r="BA31">
        <f>regressions!$P$1*AT31^2+regressions!$P$2*AT31^7</f>
        <v>-1.6831974090107971E-5</v>
      </c>
      <c r="BB31">
        <f>regressions!$T$2+regressions!$T$1*EXP(AT31)</f>
        <v>-7.5182669928293422E-5</v>
      </c>
      <c r="BC31" s="8">
        <f>(1-EXP(-2*regressions!$X$1*AT31))/2/EXP(-regressions!$X$1*AT31)</f>
        <v>-3.8970466810885466E-3</v>
      </c>
      <c r="BE31">
        <f t="shared" si="10"/>
        <v>0</v>
      </c>
      <c r="BF31">
        <f t="shared" si="0"/>
        <v>0</v>
      </c>
      <c r="BG31">
        <f t="shared" si="1"/>
        <v>0</v>
      </c>
      <c r="BH31">
        <f>BG31+regressions!$AR$1*(AI31-B31)</f>
        <v>0</v>
      </c>
      <c r="BI31">
        <f>BG31-regressions!$AO$1*(AI31-B31)</f>
        <v>0</v>
      </c>
      <c r="BJ31">
        <f t="shared" si="2"/>
        <v>0</v>
      </c>
      <c r="BK31">
        <f>BJ31+regressions!$AR$1*(AT31-B31)</f>
        <v>0</v>
      </c>
      <c r="BL31">
        <f>BJ31-regressions!$AO$1*(AT31-B31)</f>
        <v>0</v>
      </c>
      <c r="BM31">
        <f t="shared" si="11"/>
        <v>0</v>
      </c>
      <c r="BN31">
        <f t="shared" si="3"/>
        <v>0</v>
      </c>
      <c r="BO31">
        <f t="shared" si="4"/>
        <v>0</v>
      </c>
      <c r="BP31">
        <f t="shared" si="12"/>
        <v>0</v>
      </c>
      <c r="BQ31">
        <f t="shared" si="13"/>
        <v>0</v>
      </c>
      <c r="BR31">
        <f t="shared" si="14"/>
        <v>0</v>
      </c>
    </row>
    <row r="32" spans="1:70" x14ac:dyDescent="0.35">
      <c r="A32">
        <v>1879</v>
      </c>
      <c r="B32" s="33">
        <v>1.0126241358831257E-2</v>
      </c>
      <c r="C32">
        <f t="shared" si="15"/>
        <v>-3.8582711284876788E-3</v>
      </c>
      <c r="D32">
        <f>IF($B32&lt;=regressions!$L$2,$B32*regressions!$L$1,regressions!$L$1*regressions!$L$2+regressions!$L$3*($B32-regressions!$L$2))</f>
        <v>-8.0481324478046765E-3</v>
      </c>
      <c r="E32">
        <f>regressions!$J$1*B32+regressions!$J$2*B32^2</f>
        <v>-4.5989763543624771E-3</v>
      </c>
      <c r="F32">
        <f>regressions!$V$1*B32</f>
        <v>-8.0481324705255781E-3</v>
      </c>
      <c r="G32">
        <f>regressions!$N$1*B32^2</f>
        <v>-1.7867201423894908E-5</v>
      </c>
      <c r="H32">
        <f>regressions!$R$1*B32^2+regressions!$R$2*B32^6</f>
        <v>-1.9460608174533795E-5</v>
      </c>
      <c r="I32">
        <f>regressions!$P$1*B32^2+regressions!$P$2*B32^7</f>
        <v>-1.8826882832238099E-5</v>
      </c>
      <c r="J32">
        <f>regressions!$T$2+regressions!$T$1*EXP(B32)</f>
        <v>-7.9535201009311995E-5</v>
      </c>
      <c r="K32" s="8">
        <f>(1-EXP(-2*regressions!$X$1*B32))/2/EXP(-regressions!$X$1*B32)</f>
        <v>-4.1215200914475093E-3</v>
      </c>
      <c r="M32" s="33">
        <v>1.0126241358831257E-2</v>
      </c>
      <c r="N32">
        <f t="shared" si="6"/>
        <v>-3.8582711284876788E-3</v>
      </c>
      <c r="O32">
        <f>IF($B32&lt;=regressions!$L$2,$B32*regressions!$L$1,regressions!$L$1*regressions!$L$2+regressions!$L$3*($B32-regressions!$L$2))</f>
        <v>-8.0481324478046765E-3</v>
      </c>
      <c r="P32">
        <f>regressions!$J$1*M32+regressions!$J$2*M32^2</f>
        <v>-4.5989763543624771E-3</v>
      </c>
      <c r="Q32">
        <f>regressions!$V$1*M32</f>
        <v>-8.0481324705255781E-3</v>
      </c>
      <c r="R32">
        <f>regressions!$N$1*M32^2</f>
        <v>-1.7867201423894908E-5</v>
      </c>
      <c r="S32">
        <f>regressions!$R$1*M32^2+regressions!$R$2*M32^6</f>
        <v>-1.9460608174533795E-5</v>
      </c>
      <c r="T32">
        <f>regressions!$P$1*M32^2+regressions!$P$2*M32^7</f>
        <v>-1.8826882832238099E-5</v>
      </c>
      <c r="U32">
        <f>regressions!$T$2+regressions!$T$1*EXP(M32)</f>
        <v>-7.9535201009311995E-5</v>
      </c>
      <c r="V32" s="8">
        <f>(1-EXP(-2*regressions!$X$1*M32))/2/EXP(-regressions!$X$1*M32)</f>
        <v>-4.1215200914475093E-3</v>
      </c>
      <c r="X32" s="33">
        <v>1.0126241358831257E-2</v>
      </c>
      <c r="Y32">
        <f t="shared" si="7"/>
        <v>-3.8582711284876788E-3</v>
      </c>
      <c r="Z32">
        <f>IF($B32&lt;=regressions!$L$2,$B32*regressions!$L$1,regressions!$L$1*regressions!$L$2+regressions!$L$3*($B32-regressions!$L$2))</f>
        <v>-8.0481324478046765E-3</v>
      </c>
      <c r="AA32">
        <f>regressions!$J$1*X32+regressions!$J$2*X32^2</f>
        <v>-4.5989763543624771E-3</v>
      </c>
      <c r="AB32">
        <f>regressions!$V$1*X32</f>
        <v>-8.0481324705255781E-3</v>
      </c>
      <c r="AC32">
        <f>regressions!$N$1*X32^2</f>
        <v>-1.7867201423894908E-5</v>
      </c>
      <c r="AD32">
        <f>regressions!$R$1*X32^2+regressions!$R$2*X32^6</f>
        <v>-1.9460608174533795E-5</v>
      </c>
      <c r="AE32">
        <f>regressions!$P$1*X32^2+regressions!$P$2*X32^7</f>
        <v>-1.8826882832238099E-5</v>
      </c>
      <c r="AF32">
        <f>regressions!$T$2+regressions!$T$1*EXP(X32)</f>
        <v>-7.9535201009311995E-5</v>
      </c>
      <c r="AG32" s="8">
        <f>(1-EXP(-2*regressions!$X$1*X32))/2/EXP(-regressions!$X$1*X32)</f>
        <v>-4.1215200914475093E-3</v>
      </c>
      <c r="AH32" s="8"/>
      <c r="AI32" s="33">
        <v>1.0126241358831257E-2</v>
      </c>
      <c r="AJ32">
        <f t="shared" si="8"/>
        <v>-3.8582711284876788E-3</v>
      </c>
      <c r="AK32">
        <f>IF(AI32&lt;=regressions!$L$2,AI32*regressions!$L$1,regressions!$L$1*regressions!$L$2+regressions!$L$3*(AI32-regressions!$L$2))</f>
        <v>-8.0481324478046765E-3</v>
      </c>
      <c r="AL32">
        <f>regressions!$J$1*AI32+regressions!$J$2*AI32^2</f>
        <v>-4.5989763543624771E-3</v>
      </c>
      <c r="AM32">
        <f>regressions!$V$1*AI32</f>
        <v>-8.0481324705255781E-3</v>
      </c>
      <c r="AN32">
        <f>regressions!$N$1*AI32^2</f>
        <v>-1.7867201423894908E-5</v>
      </c>
      <c r="AO32">
        <f>regressions!$R$1*AI32^2+regressions!$R$2*AI32^6</f>
        <v>-1.9460608174533795E-5</v>
      </c>
      <c r="AP32">
        <f>regressions!$P$1*AI32^2+regressions!$P$2*AI32^7</f>
        <v>-1.8826882832238099E-5</v>
      </c>
      <c r="AQ32">
        <f>regressions!$T$2+regressions!$T$1*EXP(AI32)</f>
        <v>-7.9535201009311995E-5</v>
      </c>
      <c r="AR32" s="8">
        <f>(1-EXP(-2*regressions!$X$1*AI32))/2/EXP(-regressions!$X$1*AI32)</f>
        <v>-4.1215200914475093E-3</v>
      </c>
      <c r="AT32" s="33">
        <v>1.0126241358831257E-2</v>
      </c>
      <c r="AU32">
        <f t="shared" si="9"/>
        <v>-3.8582711284876788E-3</v>
      </c>
      <c r="AV32">
        <f>IF(AT32&lt;=regressions!$L$2,AT32*regressions!$L$1,regressions!$L$1*regressions!$L$2+regressions!$L$3*(AT32-regressions!$L$2))</f>
        <v>-8.0481324478046765E-3</v>
      </c>
      <c r="AW32">
        <f>regressions!$J$1*AT32+regressions!$J$2*AT32^2</f>
        <v>-4.5989763543624771E-3</v>
      </c>
      <c r="AX32">
        <f>regressions!$V$1*AT32</f>
        <v>-8.0481324705255781E-3</v>
      </c>
      <c r="AY32">
        <f>regressions!$N$1*AT32^2</f>
        <v>-1.7867201423894908E-5</v>
      </c>
      <c r="AZ32">
        <f>regressions!$R$1*AT32^2+regressions!$R$2*AT32^6</f>
        <v>-1.9460608174533795E-5</v>
      </c>
      <c r="BA32">
        <f>regressions!$P$1*AT32^2+regressions!$P$2*AT32^7</f>
        <v>-1.8826882832238099E-5</v>
      </c>
      <c r="BB32">
        <f>regressions!$T$2+regressions!$T$1*EXP(AT32)</f>
        <v>-7.9535201009311995E-5</v>
      </c>
      <c r="BC32" s="8">
        <f>(1-EXP(-2*regressions!$X$1*AT32))/2/EXP(-regressions!$X$1*AT32)</f>
        <v>-4.1215200914475093E-3</v>
      </c>
      <c r="BE32">
        <f t="shared" si="10"/>
        <v>0</v>
      </c>
      <c r="BF32">
        <f t="shared" si="0"/>
        <v>0</v>
      </c>
      <c r="BG32">
        <f t="shared" si="1"/>
        <v>0</v>
      </c>
      <c r="BH32">
        <f>BG32+regressions!$AR$1*(AI32-B32)</f>
        <v>0</v>
      </c>
      <c r="BI32">
        <f>BG32-regressions!$AO$1*(AI32-B32)</f>
        <v>0</v>
      </c>
      <c r="BJ32">
        <f t="shared" si="2"/>
        <v>0</v>
      </c>
      <c r="BK32">
        <f>BJ32+regressions!$AR$1*(AT32-B32)</f>
        <v>0</v>
      </c>
      <c r="BL32">
        <f>BJ32-regressions!$AO$1*(AT32-B32)</f>
        <v>0</v>
      </c>
      <c r="BM32">
        <f t="shared" si="11"/>
        <v>0</v>
      </c>
      <c r="BN32">
        <f t="shared" si="3"/>
        <v>0</v>
      </c>
      <c r="BO32">
        <f t="shared" si="4"/>
        <v>0</v>
      </c>
      <c r="BP32">
        <f t="shared" si="12"/>
        <v>0</v>
      </c>
      <c r="BQ32">
        <f t="shared" si="13"/>
        <v>0</v>
      </c>
      <c r="BR32">
        <f t="shared" si="14"/>
        <v>0</v>
      </c>
    </row>
    <row r="33" spans="1:70" x14ac:dyDescent="0.35">
      <c r="A33">
        <v>1880</v>
      </c>
      <c r="B33" s="33">
        <v>1.0698122940912023E-2</v>
      </c>
      <c r="C33">
        <f t="shared" si="15"/>
        <v>-4.0766593816412393E-3</v>
      </c>
      <c r="D33">
        <f>IF($B33&lt;=regressions!$L$2,$B33*regressions!$L$1,regressions!$L$1*regressions!$L$2+regressions!$L$3*($B33-regressions!$L$2))</f>
        <v>-8.5026523978977194E-3</v>
      </c>
      <c r="E33">
        <f>regressions!$J$1*B33+regressions!$J$2*B33^2</f>
        <v>-4.859204547675966E-3</v>
      </c>
      <c r="F33">
        <f>regressions!$V$1*B33</f>
        <v>-8.5026524219017872E-3</v>
      </c>
      <c r="G33">
        <f>regressions!$N$1*B33^2</f>
        <v>-1.9942295768980593E-5</v>
      </c>
      <c r="H33">
        <f>regressions!$R$1*B33^2+regressions!$R$2*B33^6</f>
        <v>-2.1720760563079603E-5</v>
      </c>
      <c r="I33">
        <f>regressions!$P$1*B33^2+regressions!$P$2*B33^7</f>
        <v>-2.1013434445660921E-5</v>
      </c>
      <c r="J33">
        <f>regressions!$T$2+regressions!$T$1*EXP(B33)</f>
        <v>-8.4051039871134089E-5</v>
      </c>
      <c r="K33" s="8">
        <f>(1-EXP(-2*regressions!$X$1*B33))/2/EXP(-regressions!$X$1*B33)</f>
        <v>-4.3542852256088279E-3</v>
      </c>
      <c r="M33" s="33">
        <v>1.0698122940912023E-2</v>
      </c>
      <c r="N33">
        <f t="shared" si="6"/>
        <v>-4.0766593816412393E-3</v>
      </c>
      <c r="O33">
        <f>IF($B33&lt;=regressions!$L$2,$B33*regressions!$L$1,regressions!$L$1*regressions!$L$2+regressions!$L$3*($B33-regressions!$L$2))</f>
        <v>-8.5026523978977194E-3</v>
      </c>
      <c r="P33">
        <f>regressions!$J$1*M33+regressions!$J$2*M33^2</f>
        <v>-4.859204547675966E-3</v>
      </c>
      <c r="Q33">
        <f>regressions!$V$1*M33</f>
        <v>-8.5026524219017872E-3</v>
      </c>
      <c r="R33">
        <f>regressions!$N$1*M33^2</f>
        <v>-1.9942295768980593E-5</v>
      </c>
      <c r="S33">
        <f>regressions!$R$1*M33^2+regressions!$R$2*M33^6</f>
        <v>-2.1720760563079603E-5</v>
      </c>
      <c r="T33">
        <f>regressions!$P$1*M33^2+regressions!$P$2*M33^7</f>
        <v>-2.1013434445660921E-5</v>
      </c>
      <c r="U33">
        <f>regressions!$T$2+regressions!$T$1*EXP(M33)</f>
        <v>-8.4051039871134089E-5</v>
      </c>
      <c r="V33" s="8">
        <f>(1-EXP(-2*regressions!$X$1*M33))/2/EXP(-regressions!$X$1*M33)</f>
        <v>-4.3542852256088279E-3</v>
      </c>
      <c r="X33" s="33">
        <v>1.0698122940912023E-2</v>
      </c>
      <c r="Y33">
        <f t="shared" si="7"/>
        <v>-4.0766593816412393E-3</v>
      </c>
      <c r="Z33">
        <f>IF($B33&lt;=regressions!$L$2,$B33*regressions!$L$1,regressions!$L$1*regressions!$L$2+regressions!$L$3*($B33-regressions!$L$2))</f>
        <v>-8.5026523978977194E-3</v>
      </c>
      <c r="AA33">
        <f>regressions!$J$1*X33+regressions!$J$2*X33^2</f>
        <v>-4.859204547675966E-3</v>
      </c>
      <c r="AB33">
        <f>regressions!$V$1*X33</f>
        <v>-8.5026524219017872E-3</v>
      </c>
      <c r="AC33">
        <f>regressions!$N$1*X33^2</f>
        <v>-1.9942295768980593E-5</v>
      </c>
      <c r="AD33">
        <f>regressions!$R$1*X33^2+regressions!$R$2*X33^6</f>
        <v>-2.1720760563079603E-5</v>
      </c>
      <c r="AE33">
        <f>regressions!$P$1*X33^2+regressions!$P$2*X33^7</f>
        <v>-2.1013434445660921E-5</v>
      </c>
      <c r="AF33">
        <f>regressions!$T$2+regressions!$T$1*EXP(X33)</f>
        <v>-8.4051039871134089E-5</v>
      </c>
      <c r="AG33" s="8">
        <f>(1-EXP(-2*regressions!$X$1*X33))/2/EXP(-regressions!$X$1*X33)</f>
        <v>-4.3542852256088279E-3</v>
      </c>
      <c r="AH33" s="8"/>
      <c r="AI33" s="33">
        <v>1.0698122940912023E-2</v>
      </c>
      <c r="AJ33">
        <f t="shared" si="8"/>
        <v>-4.0766593816412393E-3</v>
      </c>
      <c r="AK33">
        <f>IF(AI33&lt;=regressions!$L$2,AI33*regressions!$L$1,regressions!$L$1*regressions!$L$2+regressions!$L$3*(AI33-regressions!$L$2))</f>
        <v>-8.5026523978977194E-3</v>
      </c>
      <c r="AL33">
        <f>regressions!$J$1*AI33+regressions!$J$2*AI33^2</f>
        <v>-4.859204547675966E-3</v>
      </c>
      <c r="AM33">
        <f>regressions!$V$1*AI33</f>
        <v>-8.5026524219017872E-3</v>
      </c>
      <c r="AN33">
        <f>regressions!$N$1*AI33^2</f>
        <v>-1.9942295768980593E-5</v>
      </c>
      <c r="AO33">
        <f>regressions!$R$1*AI33^2+regressions!$R$2*AI33^6</f>
        <v>-2.1720760563079603E-5</v>
      </c>
      <c r="AP33">
        <f>regressions!$P$1*AI33^2+regressions!$P$2*AI33^7</f>
        <v>-2.1013434445660921E-5</v>
      </c>
      <c r="AQ33">
        <f>regressions!$T$2+regressions!$T$1*EXP(AI33)</f>
        <v>-8.4051039871134089E-5</v>
      </c>
      <c r="AR33" s="8">
        <f>(1-EXP(-2*regressions!$X$1*AI33))/2/EXP(-regressions!$X$1*AI33)</f>
        <v>-4.3542852256088279E-3</v>
      </c>
      <c r="AT33" s="33">
        <v>1.0698122940912023E-2</v>
      </c>
      <c r="AU33">
        <f t="shared" si="9"/>
        <v>-4.0766593816412393E-3</v>
      </c>
      <c r="AV33">
        <f>IF(AT33&lt;=regressions!$L$2,AT33*regressions!$L$1,regressions!$L$1*regressions!$L$2+regressions!$L$3*(AT33-regressions!$L$2))</f>
        <v>-8.5026523978977194E-3</v>
      </c>
      <c r="AW33">
        <f>regressions!$J$1*AT33+regressions!$J$2*AT33^2</f>
        <v>-4.859204547675966E-3</v>
      </c>
      <c r="AX33">
        <f>regressions!$V$1*AT33</f>
        <v>-8.5026524219017872E-3</v>
      </c>
      <c r="AY33">
        <f>regressions!$N$1*AT33^2</f>
        <v>-1.9942295768980593E-5</v>
      </c>
      <c r="AZ33">
        <f>regressions!$R$1*AT33^2+regressions!$R$2*AT33^6</f>
        <v>-2.1720760563079603E-5</v>
      </c>
      <c r="BA33">
        <f>regressions!$P$1*AT33^2+regressions!$P$2*AT33^7</f>
        <v>-2.1013434445660921E-5</v>
      </c>
      <c r="BB33">
        <f>regressions!$T$2+regressions!$T$1*EXP(AT33)</f>
        <v>-8.4051039871134089E-5</v>
      </c>
      <c r="BC33" s="8">
        <f>(1-EXP(-2*regressions!$X$1*AT33))/2/EXP(-regressions!$X$1*AT33)</f>
        <v>-4.3542852256088279E-3</v>
      </c>
      <c r="BE33">
        <f t="shared" si="10"/>
        <v>0</v>
      </c>
      <c r="BF33">
        <f t="shared" si="0"/>
        <v>0</v>
      </c>
      <c r="BG33">
        <f t="shared" si="1"/>
        <v>0</v>
      </c>
      <c r="BH33">
        <f>BG33+regressions!$AR$1*(AI33-B33)</f>
        <v>0</v>
      </c>
      <c r="BI33">
        <f>BG33-regressions!$AO$1*(AI33-B33)</f>
        <v>0</v>
      </c>
      <c r="BJ33">
        <f t="shared" si="2"/>
        <v>0</v>
      </c>
      <c r="BK33">
        <f>BJ33+regressions!$AR$1*(AT33-B33)</f>
        <v>0</v>
      </c>
      <c r="BL33">
        <f>BJ33-regressions!$AO$1*(AT33-B33)</f>
        <v>0</v>
      </c>
      <c r="BM33">
        <f t="shared" si="11"/>
        <v>0</v>
      </c>
      <c r="BN33">
        <f t="shared" si="3"/>
        <v>0</v>
      </c>
      <c r="BO33">
        <f t="shared" si="4"/>
        <v>0</v>
      </c>
      <c r="BP33">
        <f t="shared" si="12"/>
        <v>0</v>
      </c>
      <c r="BQ33">
        <f t="shared" si="13"/>
        <v>0</v>
      </c>
      <c r="BR33">
        <f t="shared" si="14"/>
        <v>0</v>
      </c>
    </row>
    <row r="34" spans="1:70" x14ac:dyDescent="0.35">
      <c r="A34">
        <v>1881</v>
      </c>
      <c r="B34" s="33">
        <v>1.1295897899698652E-2</v>
      </c>
      <c r="C34">
        <f t="shared" si="15"/>
        <v>-4.304991908075889E-3</v>
      </c>
      <c r="D34">
        <f>IF($B34&lt;=regressions!$L$2,$B34*regressions!$L$1,regressions!$L$1*regressions!$L$2+regressions!$L$3*($B34-regressions!$L$2))</f>
        <v>-8.9777518816859508E-3</v>
      </c>
      <c r="E34">
        <f>regressions!$J$1*B34+regressions!$J$2*B34^2</f>
        <v>-5.131272374059935E-3</v>
      </c>
      <c r="F34">
        <f>regressions!$V$1*B34</f>
        <v>-8.977751907031286E-3</v>
      </c>
      <c r="G34">
        <f>regressions!$N$1*B34^2</f>
        <v>-2.2233175736973498E-5</v>
      </c>
      <c r="H34">
        <f>regressions!$R$1*B34^2+regressions!$R$2*B34^6</f>
        <v>-2.4215942453864679E-5</v>
      </c>
      <c r="I34">
        <f>regressions!$P$1*B34^2+regressions!$P$2*B34^7</f>
        <v>-2.3427361938661762E-5</v>
      </c>
      <c r="J34">
        <f>regressions!$T$2+regressions!$T$1*EXP(B34)</f>
        <v>-8.877410607419263E-5</v>
      </c>
      <c r="K34" s="8">
        <f>(1-EXP(-2*regressions!$X$1*B34))/2/EXP(-regressions!$X$1*B34)</f>
        <v>-4.5975896389167433E-3</v>
      </c>
      <c r="M34" s="33">
        <v>1.1295897899698652E-2</v>
      </c>
      <c r="N34">
        <f t="shared" si="6"/>
        <v>-4.304991908075889E-3</v>
      </c>
      <c r="O34">
        <f>IF($B34&lt;=regressions!$L$2,$B34*regressions!$L$1,regressions!$L$1*regressions!$L$2+regressions!$L$3*($B34-regressions!$L$2))</f>
        <v>-8.9777518816859508E-3</v>
      </c>
      <c r="P34">
        <f>regressions!$J$1*M34+regressions!$J$2*M34^2</f>
        <v>-5.131272374059935E-3</v>
      </c>
      <c r="Q34">
        <f>regressions!$V$1*M34</f>
        <v>-8.977751907031286E-3</v>
      </c>
      <c r="R34">
        <f>regressions!$N$1*M34^2</f>
        <v>-2.2233175736973498E-5</v>
      </c>
      <c r="S34">
        <f>regressions!$R$1*M34^2+regressions!$R$2*M34^6</f>
        <v>-2.4215942453864679E-5</v>
      </c>
      <c r="T34">
        <f>regressions!$P$1*M34^2+regressions!$P$2*M34^7</f>
        <v>-2.3427361938661762E-5</v>
      </c>
      <c r="U34">
        <f>regressions!$T$2+regressions!$T$1*EXP(M34)</f>
        <v>-8.877410607419263E-5</v>
      </c>
      <c r="V34" s="8">
        <f>(1-EXP(-2*regressions!$X$1*M34))/2/EXP(-regressions!$X$1*M34)</f>
        <v>-4.5975896389167433E-3</v>
      </c>
      <c r="X34" s="33">
        <v>1.1295897899698652E-2</v>
      </c>
      <c r="Y34">
        <f t="shared" si="7"/>
        <v>-4.304991908075889E-3</v>
      </c>
      <c r="Z34">
        <f>IF($B34&lt;=regressions!$L$2,$B34*regressions!$L$1,regressions!$L$1*regressions!$L$2+regressions!$L$3*($B34-regressions!$L$2))</f>
        <v>-8.9777518816859508E-3</v>
      </c>
      <c r="AA34">
        <f>regressions!$J$1*X34+regressions!$J$2*X34^2</f>
        <v>-5.131272374059935E-3</v>
      </c>
      <c r="AB34">
        <f>regressions!$V$1*X34</f>
        <v>-8.977751907031286E-3</v>
      </c>
      <c r="AC34">
        <f>regressions!$N$1*X34^2</f>
        <v>-2.2233175736973498E-5</v>
      </c>
      <c r="AD34">
        <f>regressions!$R$1*X34^2+regressions!$R$2*X34^6</f>
        <v>-2.4215942453864679E-5</v>
      </c>
      <c r="AE34">
        <f>regressions!$P$1*X34^2+regressions!$P$2*X34^7</f>
        <v>-2.3427361938661762E-5</v>
      </c>
      <c r="AF34">
        <f>regressions!$T$2+regressions!$T$1*EXP(X34)</f>
        <v>-8.877410607419263E-5</v>
      </c>
      <c r="AG34" s="8">
        <f>(1-EXP(-2*regressions!$X$1*X34))/2/EXP(-regressions!$X$1*X34)</f>
        <v>-4.5975896389167433E-3</v>
      </c>
      <c r="AH34" s="8"/>
      <c r="AI34" s="33">
        <v>1.1295897899698652E-2</v>
      </c>
      <c r="AJ34">
        <f t="shared" si="8"/>
        <v>-4.304991908075889E-3</v>
      </c>
      <c r="AK34">
        <f>IF(AI34&lt;=regressions!$L$2,AI34*regressions!$L$1,regressions!$L$1*regressions!$L$2+regressions!$L$3*(AI34-regressions!$L$2))</f>
        <v>-8.9777518816859508E-3</v>
      </c>
      <c r="AL34">
        <f>regressions!$J$1*AI34+regressions!$J$2*AI34^2</f>
        <v>-5.131272374059935E-3</v>
      </c>
      <c r="AM34">
        <f>regressions!$V$1*AI34</f>
        <v>-8.977751907031286E-3</v>
      </c>
      <c r="AN34">
        <f>regressions!$N$1*AI34^2</f>
        <v>-2.2233175736973498E-5</v>
      </c>
      <c r="AO34">
        <f>regressions!$R$1*AI34^2+regressions!$R$2*AI34^6</f>
        <v>-2.4215942453864679E-5</v>
      </c>
      <c r="AP34">
        <f>regressions!$P$1*AI34^2+regressions!$P$2*AI34^7</f>
        <v>-2.3427361938661762E-5</v>
      </c>
      <c r="AQ34">
        <f>regressions!$T$2+regressions!$T$1*EXP(AI34)</f>
        <v>-8.877410607419263E-5</v>
      </c>
      <c r="AR34" s="8">
        <f>(1-EXP(-2*regressions!$X$1*AI34))/2/EXP(-regressions!$X$1*AI34)</f>
        <v>-4.5975896389167433E-3</v>
      </c>
      <c r="AT34" s="33">
        <v>1.1295897899698652E-2</v>
      </c>
      <c r="AU34">
        <f t="shared" si="9"/>
        <v>-4.304991908075889E-3</v>
      </c>
      <c r="AV34">
        <f>IF(AT34&lt;=regressions!$L$2,AT34*regressions!$L$1,regressions!$L$1*regressions!$L$2+regressions!$L$3*(AT34-regressions!$L$2))</f>
        <v>-8.9777518816859508E-3</v>
      </c>
      <c r="AW34">
        <f>regressions!$J$1*AT34+regressions!$J$2*AT34^2</f>
        <v>-5.131272374059935E-3</v>
      </c>
      <c r="AX34">
        <f>regressions!$V$1*AT34</f>
        <v>-8.977751907031286E-3</v>
      </c>
      <c r="AY34">
        <f>regressions!$N$1*AT34^2</f>
        <v>-2.2233175736973498E-5</v>
      </c>
      <c r="AZ34">
        <f>regressions!$R$1*AT34^2+regressions!$R$2*AT34^6</f>
        <v>-2.4215942453864679E-5</v>
      </c>
      <c r="BA34">
        <f>regressions!$P$1*AT34^2+regressions!$P$2*AT34^7</f>
        <v>-2.3427361938661762E-5</v>
      </c>
      <c r="BB34">
        <f>regressions!$T$2+regressions!$T$1*EXP(AT34)</f>
        <v>-8.877410607419263E-5</v>
      </c>
      <c r="BC34" s="8">
        <f>(1-EXP(-2*regressions!$X$1*AT34))/2/EXP(-regressions!$X$1*AT34)</f>
        <v>-4.5975896389167433E-3</v>
      </c>
      <c r="BE34">
        <f t="shared" si="10"/>
        <v>0</v>
      </c>
      <c r="BF34">
        <f t="shared" si="0"/>
        <v>0</v>
      </c>
      <c r="BG34">
        <f t="shared" si="1"/>
        <v>0</v>
      </c>
      <c r="BH34">
        <f>BG34+regressions!$AR$1*(AI34-B34)</f>
        <v>0</v>
      </c>
      <c r="BI34">
        <f>BG34-regressions!$AO$1*(AI34-B34)</f>
        <v>0</v>
      </c>
      <c r="BJ34">
        <f t="shared" si="2"/>
        <v>0</v>
      </c>
      <c r="BK34">
        <f>BJ34+regressions!$AR$1*(AT34-B34)</f>
        <v>0</v>
      </c>
      <c r="BL34">
        <f>BJ34-regressions!$AO$1*(AT34-B34)</f>
        <v>0</v>
      </c>
      <c r="BM34">
        <f t="shared" si="11"/>
        <v>0</v>
      </c>
      <c r="BN34">
        <f t="shared" si="3"/>
        <v>0</v>
      </c>
      <c r="BO34">
        <f t="shared" si="4"/>
        <v>0</v>
      </c>
      <c r="BP34">
        <f t="shared" si="12"/>
        <v>0</v>
      </c>
      <c r="BQ34">
        <f t="shared" si="13"/>
        <v>0</v>
      </c>
      <c r="BR34">
        <f t="shared" si="14"/>
        <v>0</v>
      </c>
    </row>
    <row r="35" spans="1:70" x14ac:dyDescent="0.35">
      <c r="A35">
        <v>1882</v>
      </c>
      <c r="B35" s="33">
        <v>1.1919526191232535E-2</v>
      </c>
      <c r="C35">
        <f t="shared" si="15"/>
        <v>-4.5432608731575293E-3</v>
      </c>
      <c r="D35">
        <f>IF($B35&lt;=regressions!$L$2,$B35*regressions!$L$1,regressions!$L$1*regressions!$L$2+regressions!$L$3*($B35-regressions!$L$2))</f>
        <v>-9.4733990730385114E-3</v>
      </c>
      <c r="E35">
        <f>regressions!$J$1*B35+regressions!$J$2*B35^2</f>
        <v>-5.4151691927132439E-3</v>
      </c>
      <c r="F35">
        <f>regressions!$V$1*B35</f>
        <v>-9.4733990997831197E-3</v>
      </c>
      <c r="G35">
        <f>regressions!$N$1*B35^2</f>
        <v>-2.4755857194608029E-5</v>
      </c>
      <c r="H35">
        <f>regressions!$R$1*B35^2+regressions!$R$2*B35^6</f>
        <v>-2.6963598017337922E-5</v>
      </c>
      <c r="I35">
        <f>regressions!$P$1*B35^2+regressions!$P$2*B35^7</f>
        <v>-2.6085541420672183E-5</v>
      </c>
      <c r="J35">
        <f>regressions!$T$2+regressions!$T$1*EXP(B35)</f>
        <v>-9.3704451516967921E-5</v>
      </c>
      <c r="K35" s="8">
        <f>(1-EXP(-2*regressions!$X$1*B35))/2/EXP(-regressions!$X$1*B35)</f>
        <v>-4.8514170816553017E-3</v>
      </c>
      <c r="M35" s="33">
        <v>1.1919526191232535E-2</v>
      </c>
      <c r="N35">
        <f t="shared" si="6"/>
        <v>-4.5432608731575293E-3</v>
      </c>
      <c r="O35">
        <f>IF($B35&lt;=regressions!$L$2,$B35*regressions!$L$1,regressions!$L$1*regressions!$L$2+regressions!$L$3*($B35-regressions!$L$2))</f>
        <v>-9.4733990730385114E-3</v>
      </c>
      <c r="P35">
        <f>regressions!$J$1*M35+regressions!$J$2*M35^2</f>
        <v>-5.4151691927132439E-3</v>
      </c>
      <c r="Q35">
        <f>regressions!$V$1*M35</f>
        <v>-9.4733990997831197E-3</v>
      </c>
      <c r="R35">
        <f>regressions!$N$1*M35^2</f>
        <v>-2.4755857194608029E-5</v>
      </c>
      <c r="S35">
        <f>regressions!$R$1*M35^2+regressions!$R$2*M35^6</f>
        <v>-2.6963598017337922E-5</v>
      </c>
      <c r="T35">
        <f>regressions!$P$1*M35^2+regressions!$P$2*M35^7</f>
        <v>-2.6085541420672183E-5</v>
      </c>
      <c r="U35">
        <f>regressions!$T$2+regressions!$T$1*EXP(M35)</f>
        <v>-9.3704451516967921E-5</v>
      </c>
      <c r="V35" s="8">
        <f>(1-EXP(-2*regressions!$X$1*M35))/2/EXP(-regressions!$X$1*M35)</f>
        <v>-4.8514170816553017E-3</v>
      </c>
      <c r="X35" s="33">
        <v>1.1919526191232535E-2</v>
      </c>
      <c r="Y35">
        <f t="shared" si="7"/>
        <v>-4.5432608731575293E-3</v>
      </c>
      <c r="Z35">
        <f>IF($B35&lt;=regressions!$L$2,$B35*regressions!$L$1,regressions!$L$1*regressions!$L$2+regressions!$L$3*($B35-regressions!$L$2))</f>
        <v>-9.4733990730385114E-3</v>
      </c>
      <c r="AA35">
        <f>regressions!$J$1*X35+regressions!$J$2*X35^2</f>
        <v>-5.4151691927132439E-3</v>
      </c>
      <c r="AB35">
        <f>regressions!$V$1*X35</f>
        <v>-9.4733990997831197E-3</v>
      </c>
      <c r="AC35">
        <f>regressions!$N$1*X35^2</f>
        <v>-2.4755857194608029E-5</v>
      </c>
      <c r="AD35">
        <f>regressions!$R$1*X35^2+regressions!$R$2*X35^6</f>
        <v>-2.6963598017337922E-5</v>
      </c>
      <c r="AE35">
        <f>regressions!$P$1*X35^2+regressions!$P$2*X35^7</f>
        <v>-2.6085541420672183E-5</v>
      </c>
      <c r="AF35">
        <f>regressions!$T$2+regressions!$T$1*EXP(X35)</f>
        <v>-9.3704451516967921E-5</v>
      </c>
      <c r="AG35" s="8">
        <f>(1-EXP(-2*regressions!$X$1*X35))/2/EXP(-regressions!$X$1*X35)</f>
        <v>-4.8514170816553017E-3</v>
      </c>
      <c r="AH35" s="8"/>
      <c r="AI35" s="33">
        <v>1.1919526191232535E-2</v>
      </c>
      <c r="AJ35">
        <f t="shared" si="8"/>
        <v>-4.5432608731575293E-3</v>
      </c>
      <c r="AK35">
        <f>IF(AI35&lt;=regressions!$L$2,AI35*regressions!$L$1,regressions!$L$1*regressions!$L$2+regressions!$L$3*(AI35-regressions!$L$2))</f>
        <v>-9.4733990730385114E-3</v>
      </c>
      <c r="AL35">
        <f>regressions!$J$1*AI35+regressions!$J$2*AI35^2</f>
        <v>-5.4151691927132439E-3</v>
      </c>
      <c r="AM35">
        <f>regressions!$V$1*AI35</f>
        <v>-9.4733990997831197E-3</v>
      </c>
      <c r="AN35">
        <f>regressions!$N$1*AI35^2</f>
        <v>-2.4755857194608029E-5</v>
      </c>
      <c r="AO35">
        <f>regressions!$R$1*AI35^2+regressions!$R$2*AI35^6</f>
        <v>-2.6963598017337922E-5</v>
      </c>
      <c r="AP35">
        <f>regressions!$P$1*AI35^2+regressions!$P$2*AI35^7</f>
        <v>-2.6085541420672183E-5</v>
      </c>
      <c r="AQ35">
        <f>regressions!$T$2+regressions!$T$1*EXP(AI35)</f>
        <v>-9.3704451516967921E-5</v>
      </c>
      <c r="AR35" s="8">
        <f>(1-EXP(-2*regressions!$X$1*AI35))/2/EXP(-regressions!$X$1*AI35)</f>
        <v>-4.8514170816553017E-3</v>
      </c>
      <c r="AT35" s="33">
        <v>1.1919526191232535E-2</v>
      </c>
      <c r="AU35">
        <f t="shared" si="9"/>
        <v>-4.5432608731575293E-3</v>
      </c>
      <c r="AV35">
        <f>IF(AT35&lt;=regressions!$L$2,AT35*regressions!$L$1,regressions!$L$1*regressions!$L$2+regressions!$L$3*(AT35-regressions!$L$2))</f>
        <v>-9.4733990730385114E-3</v>
      </c>
      <c r="AW35">
        <f>regressions!$J$1*AT35+regressions!$J$2*AT35^2</f>
        <v>-5.4151691927132439E-3</v>
      </c>
      <c r="AX35">
        <f>regressions!$V$1*AT35</f>
        <v>-9.4733990997831197E-3</v>
      </c>
      <c r="AY35">
        <f>regressions!$N$1*AT35^2</f>
        <v>-2.4755857194608029E-5</v>
      </c>
      <c r="AZ35">
        <f>regressions!$R$1*AT35^2+regressions!$R$2*AT35^6</f>
        <v>-2.6963598017337922E-5</v>
      </c>
      <c r="BA35">
        <f>regressions!$P$1*AT35^2+regressions!$P$2*AT35^7</f>
        <v>-2.6085541420672183E-5</v>
      </c>
      <c r="BB35">
        <f>regressions!$T$2+regressions!$T$1*EXP(AT35)</f>
        <v>-9.3704451516967921E-5</v>
      </c>
      <c r="BC35" s="8">
        <f>(1-EXP(-2*regressions!$X$1*AT35))/2/EXP(-regressions!$X$1*AT35)</f>
        <v>-4.8514170816553017E-3</v>
      </c>
      <c r="BE35">
        <f t="shared" si="10"/>
        <v>0</v>
      </c>
      <c r="BF35">
        <f t="shared" si="0"/>
        <v>0</v>
      </c>
      <c r="BG35">
        <f t="shared" si="1"/>
        <v>0</v>
      </c>
      <c r="BH35">
        <f>BG35+regressions!$AR$1*(AI35-B35)</f>
        <v>0</v>
      </c>
      <c r="BI35">
        <f>BG35-regressions!$AO$1*(AI35-B35)</f>
        <v>0</v>
      </c>
      <c r="BJ35">
        <f t="shared" si="2"/>
        <v>0</v>
      </c>
      <c r="BK35">
        <f>BJ35+regressions!$AR$1*(AT35-B35)</f>
        <v>0</v>
      </c>
      <c r="BL35">
        <f>BJ35-regressions!$AO$1*(AT35-B35)</f>
        <v>0</v>
      </c>
      <c r="BM35">
        <f t="shared" si="11"/>
        <v>0</v>
      </c>
      <c r="BN35">
        <f t="shared" si="3"/>
        <v>0</v>
      </c>
      <c r="BO35">
        <f t="shared" si="4"/>
        <v>0</v>
      </c>
      <c r="BP35">
        <f t="shared" si="12"/>
        <v>0</v>
      </c>
      <c r="BQ35">
        <f t="shared" si="13"/>
        <v>0</v>
      </c>
      <c r="BR35">
        <f t="shared" si="14"/>
        <v>0</v>
      </c>
    </row>
    <row r="36" spans="1:70" x14ac:dyDescent="0.35">
      <c r="A36">
        <v>1883</v>
      </c>
      <c r="B36" s="33">
        <v>1.2570644551733049E-2</v>
      </c>
      <c r="C36">
        <f t="shared" si="15"/>
        <v>-4.7920996544181492E-3</v>
      </c>
      <c r="D36">
        <f>IF($B36&lt;=regressions!$L$2,$B36*regressions!$L$1,regressions!$L$1*regressions!$L$2+regressions!$L$3*($B36-regressions!$L$2))</f>
        <v>-9.9908948168996262E-3</v>
      </c>
      <c r="E36">
        <f>regressions!$J$1*B36+regressions!$J$2*B36^2</f>
        <v>-5.7116482657264918E-3</v>
      </c>
      <c r="F36">
        <f>regressions!$V$1*B36</f>
        <v>-9.9908948451051926E-3</v>
      </c>
      <c r="G36">
        <f>regressions!$N$1*B36^2</f>
        <v>-2.7534365755120084E-5</v>
      </c>
      <c r="H36">
        <f>regressions!$R$1*B36^2+regressions!$R$2*B36^6</f>
        <v>-2.9989895484003342E-5</v>
      </c>
      <c r="I36">
        <f>regressions!$P$1*B36^2+regressions!$P$2*B36^7</f>
        <v>-2.9013288966360702E-5</v>
      </c>
      <c r="J36">
        <f>regressions!$T$2+regressions!$T$1*EXP(B36)</f>
        <v>-9.8855412854455607E-5</v>
      </c>
      <c r="K36" s="8">
        <f>(1-EXP(-2*regressions!$X$1*B36))/2/EXP(-regressions!$X$1*B36)</f>
        <v>-5.1164337891554772E-3</v>
      </c>
      <c r="M36" s="33">
        <v>1.2570644551733049E-2</v>
      </c>
      <c r="N36">
        <f t="shared" si="6"/>
        <v>-4.7920996544181492E-3</v>
      </c>
      <c r="O36">
        <f>IF($B36&lt;=regressions!$L$2,$B36*regressions!$L$1,regressions!$L$1*regressions!$L$2+regressions!$L$3*($B36-regressions!$L$2))</f>
        <v>-9.9908948168996262E-3</v>
      </c>
      <c r="P36">
        <f>regressions!$J$1*M36+regressions!$J$2*M36^2</f>
        <v>-5.7116482657264918E-3</v>
      </c>
      <c r="Q36">
        <f>regressions!$V$1*M36</f>
        <v>-9.9908948451051926E-3</v>
      </c>
      <c r="R36">
        <f>regressions!$N$1*M36^2</f>
        <v>-2.7534365755120084E-5</v>
      </c>
      <c r="S36">
        <f>regressions!$R$1*M36^2+regressions!$R$2*M36^6</f>
        <v>-2.9989895484003342E-5</v>
      </c>
      <c r="T36">
        <f>regressions!$P$1*M36^2+regressions!$P$2*M36^7</f>
        <v>-2.9013288966360702E-5</v>
      </c>
      <c r="U36">
        <f>regressions!$T$2+regressions!$T$1*EXP(M36)</f>
        <v>-9.8855412854455607E-5</v>
      </c>
      <c r="V36" s="8">
        <f>(1-EXP(-2*regressions!$X$1*M36))/2/EXP(-regressions!$X$1*M36)</f>
        <v>-5.1164337891554772E-3</v>
      </c>
      <c r="X36" s="33">
        <v>1.2570644551733049E-2</v>
      </c>
      <c r="Y36">
        <f t="shared" si="7"/>
        <v>-4.7920996544181492E-3</v>
      </c>
      <c r="Z36">
        <f>IF($B36&lt;=regressions!$L$2,$B36*regressions!$L$1,regressions!$L$1*regressions!$L$2+regressions!$L$3*($B36-regressions!$L$2))</f>
        <v>-9.9908948168996262E-3</v>
      </c>
      <c r="AA36">
        <f>regressions!$J$1*X36+regressions!$J$2*X36^2</f>
        <v>-5.7116482657264918E-3</v>
      </c>
      <c r="AB36">
        <f>regressions!$V$1*X36</f>
        <v>-9.9908948451051926E-3</v>
      </c>
      <c r="AC36">
        <f>regressions!$N$1*X36^2</f>
        <v>-2.7534365755120084E-5</v>
      </c>
      <c r="AD36">
        <f>regressions!$R$1*X36^2+regressions!$R$2*X36^6</f>
        <v>-2.9989895484003342E-5</v>
      </c>
      <c r="AE36">
        <f>regressions!$P$1*X36^2+regressions!$P$2*X36^7</f>
        <v>-2.9013288966360702E-5</v>
      </c>
      <c r="AF36">
        <f>regressions!$T$2+regressions!$T$1*EXP(X36)</f>
        <v>-9.8855412854455607E-5</v>
      </c>
      <c r="AG36" s="8">
        <f>(1-EXP(-2*regressions!$X$1*X36))/2/EXP(-regressions!$X$1*X36)</f>
        <v>-5.1164337891554772E-3</v>
      </c>
      <c r="AH36" s="8"/>
      <c r="AI36" s="33">
        <v>1.2570644551733049E-2</v>
      </c>
      <c r="AJ36">
        <f t="shared" si="8"/>
        <v>-4.7920996544181492E-3</v>
      </c>
      <c r="AK36">
        <f>IF(AI36&lt;=regressions!$L$2,AI36*regressions!$L$1,regressions!$L$1*regressions!$L$2+regressions!$L$3*(AI36-regressions!$L$2))</f>
        <v>-9.9908948168996262E-3</v>
      </c>
      <c r="AL36">
        <f>regressions!$J$1*AI36+regressions!$J$2*AI36^2</f>
        <v>-5.7116482657264918E-3</v>
      </c>
      <c r="AM36">
        <f>regressions!$V$1*AI36</f>
        <v>-9.9908948451051926E-3</v>
      </c>
      <c r="AN36">
        <f>regressions!$N$1*AI36^2</f>
        <v>-2.7534365755120084E-5</v>
      </c>
      <c r="AO36">
        <f>regressions!$R$1*AI36^2+regressions!$R$2*AI36^6</f>
        <v>-2.9989895484003342E-5</v>
      </c>
      <c r="AP36">
        <f>regressions!$P$1*AI36^2+regressions!$P$2*AI36^7</f>
        <v>-2.9013288966360702E-5</v>
      </c>
      <c r="AQ36">
        <f>regressions!$T$2+regressions!$T$1*EXP(AI36)</f>
        <v>-9.8855412854455607E-5</v>
      </c>
      <c r="AR36" s="8">
        <f>(1-EXP(-2*regressions!$X$1*AI36))/2/EXP(-regressions!$X$1*AI36)</f>
        <v>-5.1164337891554772E-3</v>
      </c>
      <c r="AT36" s="33">
        <v>1.2570644551733049E-2</v>
      </c>
      <c r="AU36">
        <f t="shared" si="9"/>
        <v>-4.7920996544181492E-3</v>
      </c>
      <c r="AV36">
        <f>IF(AT36&lt;=regressions!$L$2,AT36*regressions!$L$1,regressions!$L$1*regressions!$L$2+regressions!$L$3*(AT36-regressions!$L$2))</f>
        <v>-9.9908948168996262E-3</v>
      </c>
      <c r="AW36">
        <f>regressions!$J$1*AT36+regressions!$J$2*AT36^2</f>
        <v>-5.7116482657264918E-3</v>
      </c>
      <c r="AX36">
        <f>regressions!$V$1*AT36</f>
        <v>-9.9908948451051926E-3</v>
      </c>
      <c r="AY36">
        <f>regressions!$N$1*AT36^2</f>
        <v>-2.7534365755120084E-5</v>
      </c>
      <c r="AZ36">
        <f>regressions!$R$1*AT36^2+regressions!$R$2*AT36^6</f>
        <v>-2.9989895484003342E-5</v>
      </c>
      <c r="BA36">
        <f>regressions!$P$1*AT36^2+regressions!$P$2*AT36^7</f>
        <v>-2.9013288966360702E-5</v>
      </c>
      <c r="BB36">
        <f>regressions!$T$2+regressions!$T$1*EXP(AT36)</f>
        <v>-9.8855412854455607E-5</v>
      </c>
      <c r="BC36" s="8">
        <f>(1-EXP(-2*regressions!$X$1*AT36))/2/EXP(-regressions!$X$1*AT36)</f>
        <v>-5.1164337891554772E-3</v>
      </c>
      <c r="BE36">
        <f t="shared" si="10"/>
        <v>0</v>
      </c>
      <c r="BF36">
        <f t="shared" si="0"/>
        <v>0</v>
      </c>
      <c r="BG36">
        <f t="shared" si="1"/>
        <v>0</v>
      </c>
      <c r="BH36">
        <f>BG36+regressions!$AR$1*(AI36-B36)</f>
        <v>0</v>
      </c>
      <c r="BI36">
        <f>BG36-regressions!$AO$1*(AI36-B36)</f>
        <v>0</v>
      </c>
      <c r="BJ36">
        <f t="shared" si="2"/>
        <v>0</v>
      </c>
      <c r="BK36">
        <f>BJ36+regressions!$AR$1*(AT36-B36)</f>
        <v>0</v>
      </c>
      <c r="BL36">
        <f>BJ36-regressions!$AO$1*(AT36-B36)</f>
        <v>0</v>
      </c>
      <c r="BM36">
        <f t="shared" si="11"/>
        <v>0</v>
      </c>
      <c r="BN36">
        <f t="shared" si="3"/>
        <v>0</v>
      </c>
      <c r="BO36">
        <f t="shared" si="4"/>
        <v>0</v>
      </c>
      <c r="BP36">
        <f t="shared" si="12"/>
        <v>0</v>
      </c>
      <c r="BQ36">
        <f t="shared" si="13"/>
        <v>0</v>
      </c>
      <c r="BR36">
        <f t="shared" si="14"/>
        <v>0</v>
      </c>
    </row>
    <row r="37" spans="1:70" x14ac:dyDescent="0.35">
      <c r="A37">
        <v>1884</v>
      </c>
      <c r="B37" s="33">
        <v>1.3251582837309714E-2</v>
      </c>
      <c r="C37">
        <f t="shared" si="15"/>
        <v>-5.0524076685748822E-3</v>
      </c>
      <c r="D37">
        <f>IF($B37&lt;=regressions!$L$2,$B37*regressions!$L$1,regressions!$L$1*regressions!$L$2+regressions!$L$3*($B37-regressions!$L$2))</f>
        <v>-1.0532090835926232E-2</v>
      </c>
      <c r="E37">
        <f>regressions!$J$1*B37+regressions!$J$2*B37^2</f>
        <v>-6.0217796263203468E-3</v>
      </c>
      <c r="F37">
        <f>regressions!$V$1*B37</f>
        <v>-1.0532090865659663E-2</v>
      </c>
      <c r="G37">
        <f>regressions!$N$1*B37^2</f>
        <v>-3.0598172997117033E-5</v>
      </c>
      <c r="H37">
        <f>regressions!$R$1*B37^2+regressions!$R$2*B37^6</f>
        <v>-3.3326934723892965E-5</v>
      </c>
      <c r="I37">
        <f>regressions!$P$1*B37^2+regressions!$P$2*B37^7</f>
        <v>-3.2241659128936759E-5</v>
      </c>
      <c r="J37">
        <f>regressions!$T$2+regressions!$T$1*EXP(B37)</f>
        <v>-1.0424586697863926E-4</v>
      </c>
      <c r="K37" s="8">
        <f>(1-EXP(-2*regressions!$X$1*B37))/2/EXP(-regressions!$X$1*B37)</f>
        <v>-5.3935881191356193E-3</v>
      </c>
      <c r="M37" s="33">
        <v>1.3251582837309714E-2</v>
      </c>
      <c r="N37">
        <f t="shared" si="6"/>
        <v>-5.0524076685748822E-3</v>
      </c>
      <c r="O37">
        <f>IF($B37&lt;=regressions!$L$2,$B37*regressions!$L$1,regressions!$L$1*regressions!$L$2+regressions!$L$3*($B37-regressions!$L$2))</f>
        <v>-1.0532090835926232E-2</v>
      </c>
      <c r="P37">
        <f>regressions!$J$1*M37+regressions!$J$2*M37^2</f>
        <v>-6.0217796263203468E-3</v>
      </c>
      <c r="Q37">
        <f>regressions!$V$1*M37</f>
        <v>-1.0532090865659663E-2</v>
      </c>
      <c r="R37">
        <f>regressions!$N$1*M37^2</f>
        <v>-3.0598172997117033E-5</v>
      </c>
      <c r="S37">
        <f>regressions!$R$1*M37^2+regressions!$R$2*M37^6</f>
        <v>-3.3326934723892965E-5</v>
      </c>
      <c r="T37">
        <f>regressions!$P$1*M37^2+regressions!$P$2*M37^7</f>
        <v>-3.2241659128936759E-5</v>
      </c>
      <c r="U37">
        <f>regressions!$T$2+regressions!$T$1*EXP(M37)</f>
        <v>-1.0424586697863926E-4</v>
      </c>
      <c r="V37" s="8">
        <f>(1-EXP(-2*regressions!$X$1*M37))/2/EXP(-regressions!$X$1*M37)</f>
        <v>-5.3935881191356193E-3</v>
      </c>
      <c r="X37" s="33">
        <v>1.3251582837309714E-2</v>
      </c>
      <c r="Y37">
        <f t="shared" si="7"/>
        <v>-5.0524076685748822E-3</v>
      </c>
      <c r="Z37">
        <f>IF($B37&lt;=regressions!$L$2,$B37*regressions!$L$1,regressions!$L$1*regressions!$L$2+regressions!$L$3*($B37-regressions!$L$2))</f>
        <v>-1.0532090835926232E-2</v>
      </c>
      <c r="AA37">
        <f>regressions!$J$1*X37+regressions!$J$2*X37^2</f>
        <v>-6.0217796263203468E-3</v>
      </c>
      <c r="AB37">
        <f>regressions!$V$1*X37</f>
        <v>-1.0532090865659663E-2</v>
      </c>
      <c r="AC37">
        <f>regressions!$N$1*X37^2</f>
        <v>-3.0598172997117033E-5</v>
      </c>
      <c r="AD37">
        <f>regressions!$R$1*X37^2+regressions!$R$2*X37^6</f>
        <v>-3.3326934723892965E-5</v>
      </c>
      <c r="AE37">
        <f>regressions!$P$1*X37^2+regressions!$P$2*X37^7</f>
        <v>-3.2241659128936759E-5</v>
      </c>
      <c r="AF37">
        <f>regressions!$T$2+regressions!$T$1*EXP(X37)</f>
        <v>-1.0424586697863926E-4</v>
      </c>
      <c r="AG37" s="8">
        <f>(1-EXP(-2*regressions!$X$1*X37))/2/EXP(-regressions!$X$1*X37)</f>
        <v>-5.3935881191356193E-3</v>
      </c>
      <c r="AH37" s="8"/>
      <c r="AI37" s="33">
        <v>1.3251582837309714E-2</v>
      </c>
      <c r="AJ37">
        <f t="shared" si="8"/>
        <v>-5.0524076685748822E-3</v>
      </c>
      <c r="AK37">
        <f>IF(AI37&lt;=regressions!$L$2,AI37*regressions!$L$1,regressions!$L$1*regressions!$L$2+regressions!$L$3*(AI37-regressions!$L$2))</f>
        <v>-1.0532090835926232E-2</v>
      </c>
      <c r="AL37">
        <f>regressions!$J$1*AI37+regressions!$J$2*AI37^2</f>
        <v>-6.0217796263203468E-3</v>
      </c>
      <c r="AM37">
        <f>regressions!$V$1*AI37</f>
        <v>-1.0532090865659663E-2</v>
      </c>
      <c r="AN37">
        <f>regressions!$N$1*AI37^2</f>
        <v>-3.0598172997117033E-5</v>
      </c>
      <c r="AO37">
        <f>regressions!$R$1*AI37^2+regressions!$R$2*AI37^6</f>
        <v>-3.3326934723892965E-5</v>
      </c>
      <c r="AP37">
        <f>regressions!$P$1*AI37^2+regressions!$P$2*AI37^7</f>
        <v>-3.2241659128936759E-5</v>
      </c>
      <c r="AQ37">
        <f>regressions!$T$2+regressions!$T$1*EXP(AI37)</f>
        <v>-1.0424586697863926E-4</v>
      </c>
      <c r="AR37" s="8">
        <f>(1-EXP(-2*regressions!$X$1*AI37))/2/EXP(-regressions!$X$1*AI37)</f>
        <v>-5.3935881191356193E-3</v>
      </c>
      <c r="AT37" s="33">
        <v>1.3251582837309714E-2</v>
      </c>
      <c r="AU37">
        <f t="shared" si="9"/>
        <v>-5.0524076685748822E-3</v>
      </c>
      <c r="AV37">
        <f>IF(AT37&lt;=regressions!$L$2,AT37*regressions!$L$1,regressions!$L$1*regressions!$L$2+regressions!$L$3*(AT37-regressions!$L$2))</f>
        <v>-1.0532090835926232E-2</v>
      </c>
      <c r="AW37">
        <f>regressions!$J$1*AT37+regressions!$J$2*AT37^2</f>
        <v>-6.0217796263203468E-3</v>
      </c>
      <c r="AX37">
        <f>regressions!$V$1*AT37</f>
        <v>-1.0532090865659663E-2</v>
      </c>
      <c r="AY37">
        <f>regressions!$N$1*AT37^2</f>
        <v>-3.0598172997117033E-5</v>
      </c>
      <c r="AZ37">
        <f>regressions!$R$1*AT37^2+regressions!$R$2*AT37^6</f>
        <v>-3.3326934723892965E-5</v>
      </c>
      <c r="BA37">
        <f>regressions!$P$1*AT37^2+regressions!$P$2*AT37^7</f>
        <v>-3.2241659128936759E-5</v>
      </c>
      <c r="BB37">
        <f>regressions!$T$2+regressions!$T$1*EXP(AT37)</f>
        <v>-1.0424586697863926E-4</v>
      </c>
      <c r="BC37" s="8">
        <f>(1-EXP(-2*regressions!$X$1*AT37))/2/EXP(-regressions!$X$1*AT37)</f>
        <v>-5.3935881191356193E-3</v>
      </c>
      <c r="BE37">
        <f t="shared" si="10"/>
        <v>0</v>
      </c>
      <c r="BF37">
        <f t="shared" si="0"/>
        <v>0</v>
      </c>
      <c r="BG37">
        <f t="shared" si="1"/>
        <v>0</v>
      </c>
      <c r="BH37">
        <f>BG37+regressions!$AR$1*(AI37-B37)</f>
        <v>0</v>
      </c>
      <c r="BI37">
        <f>BG37-regressions!$AO$1*(AI37-B37)</f>
        <v>0</v>
      </c>
      <c r="BJ37">
        <f t="shared" si="2"/>
        <v>0</v>
      </c>
      <c r="BK37">
        <f>BJ37+regressions!$AR$1*(AT37-B37)</f>
        <v>0</v>
      </c>
      <c r="BL37">
        <f>BJ37-regressions!$AO$1*(AT37-B37)</f>
        <v>0</v>
      </c>
      <c r="BM37">
        <f t="shared" si="11"/>
        <v>0</v>
      </c>
      <c r="BN37">
        <f t="shared" si="3"/>
        <v>0</v>
      </c>
      <c r="BO37">
        <f t="shared" si="4"/>
        <v>0</v>
      </c>
      <c r="BP37">
        <f t="shared" si="12"/>
        <v>0</v>
      </c>
      <c r="BQ37">
        <f t="shared" si="13"/>
        <v>0</v>
      </c>
      <c r="BR37">
        <f t="shared" si="14"/>
        <v>0</v>
      </c>
    </row>
    <row r="38" spans="1:70" x14ac:dyDescent="0.35">
      <c r="A38">
        <v>1885</v>
      </c>
      <c r="B38" s="33">
        <v>1.3961032843652819E-2</v>
      </c>
      <c r="C38">
        <f t="shared" si="15"/>
        <v>-5.3236943937308955E-3</v>
      </c>
      <c r="D38">
        <f>IF($B38&lt;=regressions!$L$2,$B38*regressions!$L$1,regressions!$L$1*regressions!$L$2+regressions!$L$3*($B38-regressions!$L$2))</f>
        <v>-1.1095947395711429E-2</v>
      </c>
      <c r="E38">
        <f>regressions!$J$1*B38+regressions!$J$2*B38^2</f>
        <v>-6.3449771898164663E-3</v>
      </c>
      <c r="F38">
        <f>regressions!$V$1*B38</f>
        <v>-1.10959474270367E-2</v>
      </c>
      <c r="G38">
        <f>regressions!$N$1*B38^2</f>
        <v>-3.3962142651084255E-5</v>
      </c>
      <c r="H38">
        <f>regressions!$R$1*B38^2+regressions!$R$2*B38^6</f>
        <v>-3.6990905023067884E-5</v>
      </c>
      <c r="I38">
        <f>regressions!$P$1*B38^2+regressions!$P$2*B38^7</f>
        <v>-3.578631399815123E-5</v>
      </c>
      <c r="J38">
        <f>regressions!$T$2+regressions!$T$1*EXP(B38)</f>
        <v>-1.0986593171267642E-4</v>
      </c>
      <c r="K38" s="8">
        <f>(1-EXP(-2*regressions!$X$1*B38))/2/EXP(-regressions!$X$1*B38)</f>
        <v>-5.6823476816644861E-3</v>
      </c>
      <c r="M38" s="33">
        <v>1.3961032843652819E-2</v>
      </c>
      <c r="N38">
        <f t="shared" si="6"/>
        <v>-5.3236943937308955E-3</v>
      </c>
      <c r="O38">
        <f>IF($B38&lt;=regressions!$L$2,$B38*regressions!$L$1,regressions!$L$1*regressions!$L$2+regressions!$L$3*($B38-regressions!$L$2))</f>
        <v>-1.1095947395711429E-2</v>
      </c>
      <c r="P38">
        <f>regressions!$J$1*M38+regressions!$J$2*M38^2</f>
        <v>-6.3449771898164663E-3</v>
      </c>
      <c r="Q38">
        <f>regressions!$V$1*M38</f>
        <v>-1.10959474270367E-2</v>
      </c>
      <c r="R38">
        <f>regressions!$N$1*M38^2</f>
        <v>-3.3962142651084255E-5</v>
      </c>
      <c r="S38">
        <f>regressions!$R$1*M38^2+regressions!$R$2*M38^6</f>
        <v>-3.6990905023067884E-5</v>
      </c>
      <c r="T38">
        <f>regressions!$P$1*M38^2+regressions!$P$2*M38^7</f>
        <v>-3.578631399815123E-5</v>
      </c>
      <c r="U38">
        <f>regressions!$T$2+regressions!$T$1*EXP(M38)</f>
        <v>-1.0986593171267642E-4</v>
      </c>
      <c r="V38" s="8">
        <f>(1-EXP(-2*regressions!$X$1*M38))/2/EXP(-regressions!$X$1*M38)</f>
        <v>-5.6823476816644861E-3</v>
      </c>
      <c r="X38" s="33">
        <v>1.3961032843652819E-2</v>
      </c>
      <c r="Y38">
        <f t="shared" si="7"/>
        <v>-5.3236943937308955E-3</v>
      </c>
      <c r="Z38">
        <f>IF($B38&lt;=regressions!$L$2,$B38*regressions!$L$1,regressions!$L$1*regressions!$L$2+regressions!$L$3*($B38-regressions!$L$2))</f>
        <v>-1.1095947395711429E-2</v>
      </c>
      <c r="AA38">
        <f>regressions!$J$1*X38+regressions!$J$2*X38^2</f>
        <v>-6.3449771898164663E-3</v>
      </c>
      <c r="AB38">
        <f>regressions!$V$1*X38</f>
        <v>-1.10959474270367E-2</v>
      </c>
      <c r="AC38">
        <f>regressions!$N$1*X38^2</f>
        <v>-3.3962142651084255E-5</v>
      </c>
      <c r="AD38">
        <f>regressions!$R$1*X38^2+regressions!$R$2*X38^6</f>
        <v>-3.6990905023067884E-5</v>
      </c>
      <c r="AE38">
        <f>regressions!$P$1*X38^2+regressions!$P$2*X38^7</f>
        <v>-3.578631399815123E-5</v>
      </c>
      <c r="AF38">
        <f>regressions!$T$2+regressions!$T$1*EXP(X38)</f>
        <v>-1.0986593171267642E-4</v>
      </c>
      <c r="AG38" s="8">
        <f>(1-EXP(-2*regressions!$X$1*X38))/2/EXP(-regressions!$X$1*X38)</f>
        <v>-5.6823476816644861E-3</v>
      </c>
      <c r="AH38" s="8"/>
      <c r="AI38" s="33">
        <v>1.3961032843652819E-2</v>
      </c>
      <c r="AJ38">
        <f t="shared" si="8"/>
        <v>-5.3236943937308955E-3</v>
      </c>
      <c r="AK38">
        <f>IF(AI38&lt;=regressions!$L$2,AI38*regressions!$L$1,regressions!$L$1*regressions!$L$2+regressions!$L$3*(AI38-regressions!$L$2))</f>
        <v>-1.1095947395711429E-2</v>
      </c>
      <c r="AL38">
        <f>regressions!$J$1*AI38+regressions!$J$2*AI38^2</f>
        <v>-6.3449771898164663E-3</v>
      </c>
      <c r="AM38">
        <f>regressions!$V$1*AI38</f>
        <v>-1.10959474270367E-2</v>
      </c>
      <c r="AN38">
        <f>regressions!$N$1*AI38^2</f>
        <v>-3.3962142651084255E-5</v>
      </c>
      <c r="AO38">
        <f>regressions!$R$1*AI38^2+regressions!$R$2*AI38^6</f>
        <v>-3.6990905023067884E-5</v>
      </c>
      <c r="AP38">
        <f>regressions!$P$1*AI38^2+regressions!$P$2*AI38^7</f>
        <v>-3.578631399815123E-5</v>
      </c>
      <c r="AQ38">
        <f>regressions!$T$2+regressions!$T$1*EXP(AI38)</f>
        <v>-1.0986593171267642E-4</v>
      </c>
      <c r="AR38" s="8">
        <f>(1-EXP(-2*regressions!$X$1*AI38))/2/EXP(-regressions!$X$1*AI38)</f>
        <v>-5.6823476816644861E-3</v>
      </c>
      <c r="AT38" s="33">
        <v>1.3961032843652819E-2</v>
      </c>
      <c r="AU38">
        <f t="shared" si="9"/>
        <v>-5.3236943937308955E-3</v>
      </c>
      <c r="AV38">
        <f>IF(AT38&lt;=regressions!$L$2,AT38*regressions!$L$1,regressions!$L$1*regressions!$L$2+regressions!$L$3*(AT38-regressions!$L$2))</f>
        <v>-1.1095947395711429E-2</v>
      </c>
      <c r="AW38">
        <f>regressions!$J$1*AT38+regressions!$J$2*AT38^2</f>
        <v>-6.3449771898164663E-3</v>
      </c>
      <c r="AX38">
        <f>regressions!$V$1*AT38</f>
        <v>-1.10959474270367E-2</v>
      </c>
      <c r="AY38">
        <f>regressions!$N$1*AT38^2</f>
        <v>-3.3962142651084255E-5</v>
      </c>
      <c r="AZ38">
        <f>regressions!$R$1*AT38^2+regressions!$R$2*AT38^6</f>
        <v>-3.6990905023067884E-5</v>
      </c>
      <c r="BA38">
        <f>regressions!$P$1*AT38^2+regressions!$P$2*AT38^7</f>
        <v>-3.578631399815123E-5</v>
      </c>
      <c r="BB38">
        <f>regressions!$T$2+regressions!$T$1*EXP(AT38)</f>
        <v>-1.0986593171267642E-4</v>
      </c>
      <c r="BC38" s="8">
        <f>(1-EXP(-2*regressions!$X$1*AT38))/2/EXP(-regressions!$X$1*AT38)</f>
        <v>-5.6823476816644861E-3</v>
      </c>
      <c r="BE38">
        <f t="shared" si="10"/>
        <v>0</v>
      </c>
      <c r="BF38">
        <f t="shared" si="0"/>
        <v>0</v>
      </c>
      <c r="BG38">
        <f t="shared" si="1"/>
        <v>0</v>
      </c>
      <c r="BH38">
        <f>BG38+regressions!$AR$1*(AI38-B38)</f>
        <v>0</v>
      </c>
      <c r="BI38">
        <f>BG38-regressions!$AO$1*(AI38-B38)</f>
        <v>0</v>
      </c>
      <c r="BJ38">
        <f t="shared" si="2"/>
        <v>0</v>
      </c>
      <c r="BK38">
        <f>BJ38+regressions!$AR$1*(AT38-B38)</f>
        <v>0</v>
      </c>
      <c r="BL38">
        <f>BJ38-regressions!$AO$1*(AT38-B38)</f>
        <v>0</v>
      </c>
      <c r="BM38">
        <f t="shared" si="11"/>
        <v>0</v>
      </c>
      <c r="BN38">
        <f t="shared" si="3"/>
        <v>0</v>
      </c>
      <c r="BO38">
        <f t="shared" si="4"/>
        <v>0</v>
      </c>
      <c r="BP38">
        <f t="shared" si="12"/>
        <v>0</v>
      </c>
      <c r="BQ38">
        <f t="shared" si="13"/>
        <v>0</v>
      </c>
      <c r="BR38">
        <f t="shared" si="14"/>
        <v>0</v>
      </c>
    </row>
    <row r="39" spans="1:70" x14ac:dyDescent="0.35">
      <c r="A39">
        <v>1886</v>
      </c>
      <c r="B39" s="33">
        <v>1.4697592647745854E-2</v>
      </c>
      <c r="C39">
        <f t="shared" si="15"/>
        <v>-5.6054332628908965E-3</v>
      </c>
      <c r="D39">
        <f>IF($B39&lt;=regressions!$L$2,$B39*regressions!$L$1,regressions!$L$1*regressions!$L$2+regressions!$L$3*($B39-regressions!$L$2))</f>
        <v>-1.1681350276109887E-2</v>
      </c>
      <c r="E39">
        <f>regressions!$J$1*B39+regressions!$J$2*B39^2</f>
        <v>-6.6806119645267774E-3</v>
      </c>
      <c r="F39">
        <f>regressions!$V$1*B39</f>
        <v>-1.1681350309087825E-2</v>
      </c>
      <c r="G39">
        <f>regressions!$N$1*B39^2</f>
        <v>-3.7640241155595092E-5</v>
      </c>
      <c r="H39">
        <f>regressions!$R$1*B39^2+regressions!$R$2*B39^6</f>
        <v>-4.0997018354695518E-5</v>
      </c>
      <c r="I39">
        <f>regressions!$P$1*B39^2+regressions!$P$2*B39^7</f>
        <v>-3.9661970176585897E-5</v>
      </c>
      <c r="J39">
        <f>regressions!$T$2+regressions!$T$1*EXP(B39)</f>
        <v>-1.1570497282929575E-4</v>
      </c>
      <c r="K39" s="8">
        <f>(1-EXP(-2*regressions!$X$1*B39))/2/EXP(-regressions!$X$1*B39)</f>
        <v>-5.9821419459229362E-3</v>
      </c>
      <c r="M39" s="33">
        <v>1.4697592647745854E-2</v>
      </c>
      <c r="N39">
        <f t="shared" si="6"/>
        <v>-5.6054332628908965E-3</v>
      </c>
      <c r="O39">
        <f>IF($B39&lt;=regressions!$L$2,$B39*regressions!$L$1,regressions!$L$1*regressions!$L$2+regressions!$L$3*($B39-regressions!$L$2))</f>
        <v>-1.1681350276109887E-2</v>
      </c>
      <c r="P39">
        <f>regressions!$J$1*M39+regressions!$J$2*M39^2</f>
        <v>-6.6806119645267774E-3</v>
      </c>
      <c r="Q39">
        <f>regressions!$V$1*M39</f>
        <v>-1.1681350309087825E-2</v>
      </c>
      <c r="R39">
        <f>regressions!$N$1*M39^2</f>
        <v>-3.7640241155595092E-5</v>
      </c>
      <c r="S39">
        <f>regressions!$R$1*M39^2+regressions!$R$2*M39^6</f>
        <v>-4.0997018354695518E-5</v>
      </c>
      <c r="T39">
        <f>regressions!$P$1*M39^2+regressions!$P$2*M39^7</f>
        <v>-3.9661970176585897E-5</v>
      </c>
      <c r="U39">
        <f>regressions!$T$2+regressions!$T$1*EXP(M39)</f>
        <v>-1.1570497282929575E-4</v>
      </c>
      <c r="V39" s="8">
        <f>(1-EXP(-2*regressions!$X$1*M39))/2/EXP(-regressions!$X$1*M39)</f>
        <v>-5.9821419459229362E-3</v>
      </c>
      <c r="X39" s="33">
        <v>1.4697592647745854E-2</v>
      </c>
      <c r="Y39">
        <f t="shared" si="7"/>
        <v>-5.6054332628908965E-3</v>
      </c>
      <c r="Z39">
        <f>IF($B39&lt;=regressions!$L$2,$B39*regressions!$L$1,regressions!$L$1*regressions!$L$2+regressions!$L$3*($B39-regressions!$L$2))</f>
        <v>-1.1681350276109887E-2</v>
      </c>
      <c r="AA39">
        <f>regressions!$J$1*X39+regressions!$J$2*X39^2</f>
        <v>-6.6806119645267774E-3</v>
      </c>
      <c r="AB39">
        <f>regressions!$V$1*X39</f>
        <v>-1.1681350309087825E-2</v>
      </c>
      <c r="AC39">
        <f>regressions!$N$1*X39^2</f>
        <v>-3.7640241155595092E-5</v>
      </c>
      <c r="AD39">
        <f>regressions!$R$1*X39^2+regressions!$R$2*X39^6</f>
        <v>-4.0997018354695518E-5</v>
      </c>
      <c r="AE39">
        <f>regressions!$P$1*X39^2+regressions!$P$2*X39^7</f>
        <v>-3.9661970176585897E-5</v>
      </c>
      <c r="AF39">
        <f>regressions!$T$2+regressions!$T$1*EXP(X39)</f>
        <v>-1.1570497282929575E-4</v>
      </c>
      <c r="AG39" s="8">
        <f>(1-EXP(-2*regressions!$X$1*X39))/2/EXP(-regressions!$X$1*X39)</f>
        <v>-5.9821419459229362E-3</v>
      </c>
      <c r="AH39" s="8"/>
      <c r="AI39" s="33">
        <v>1.4697592647745854E-2</v>
      </c>
      <c r="AJ39">
        <f t="shared" si="8"/>
        <v>-5.6054332628908965E-3</v>
      </c>
      <c r="AK39">
        <f>IF(AI39&lt;=regressions!$L$2,AI39*regressions!$L$1,regressions!$L$1*regressions!$L$2+regressions!$L$3*(AI39-regressions!$L$2))</f>
        <v>-1.1681350276109887E-2</v>
      </c>
      <c r="AL39">
        <f>regressions!$J$1*AI39+regressions!$J$2*AI39^2</f>
        <v>-6.6806119645267774E-3</v>
      </c>
      <c r="AM39">
        <f>regressions!$V$1*AI39</f>
        <v>-1.1681350309087825E-2</v>
      </c>
      <c r="AN39">
        <f>regressions!$N$1*AI39^2</f>
        <v>-3.7640241155595092E-5</v>
      </c>
      <c r="AO39">
        <f>regressions!$R$1*AI39^2+regressions!$R$2*AI39^6</f>
        <v>-4.0997018354695518E-5</v>
      </c>
      <c r="AP39">
        <f>regressions!$P$1*AI39^2+regressions!$P$2*AI39^7</f>
        <v>-3.9661970176585897E-5</v>
      </c>
      <c r="AQ39">
        <f>regressions!$T$2+regressions!$T$1*EXP(AI39)</f>
        <v>-1.1570497282929575E-4</v>
      </c>
      <c r="AR39" s="8">
        <f>(1-EXP(-2*regressions!$X$1*AI39))/2/EXP(-regressions!$X$1*AI39)</f>
        <v>-5.9821419459229362E-3</v>
      </c>
      <c r="AT39" s="33">
        <v>1.4697592647745854E-2</v>
      </c>
      <c r="AU39">
        <f t="shared" si="9"/>
        <v>-5.6054332628908965E-3</v>
      </c>
      <c r="AV39">
        <f>IF(AT39&lt;=regressions!$L$2,AT39*regressions!$L$1,regressions!$L$1*regressions!$L$2+regressions!$L$3*(AT39-regressions!$L$2))</f>
        <v>-1.1681350276109887E-2</v>
      </c>
      <c r="AW39">
        <f>regressions!$J$1*AT39+regressions!$J$2*AT39^2</f>
        <v>-6.6806119645267774E-3</v>
      </c>
      <c r="AX39">
        <f>regressions!$V$1*AT39</f>
        <v>-1.1681350309087825E-2</v>
      </c>
      <c r="AY39">
        <f>regressions!$N$1*AT39^2</f>
        <v>-3.7640241155595092E-5</v>
      </c>
      <c r="AZ39">
        <f>regressions!$R$1*AT39^2+regressions!$R$2*AT39^6</f>
        <v>-4.0997018354695518E-5</v>
      </c>
      <c r="BA39">
        <f>regressions!$P$1*AT39^2+regressions!$P$2*AT39^7</f>
        <v>-3.9661970176585897E-5</v>
      </c>
      <c r="BB39">
        <f>regressions!$T$2+regressions!$T$1*EXP(AT39)</f>
        <v>-1.1570497282929575E-4</v>
      </c>
      <c r="BC39" s="8">
        <f>(1-EXP(-2*regressions!$X$1*AT39))/2/EXP(-regressions!$X$1*AT39)</f>
        <v>-5.9821419459229362E-3</v>
      </c>
      <c r="BE39">
        <f t="shared" si="10"/>
        <v>0</v>
      </c>
      <c r="BF39">
        <f t="shared" si="0"/>
        <v>0</v>
      </c>
      <c r="BG39">
        <f t="shared" si="1"/>
        <v>0</v>
      </c>
      <c r="BH39">
        <f>BG39+regressions!$AR$1*(AI39-B39)</f>
        <v>0</v>
      </c>
      <c r="BI39">
        <f>BG39-regressions!$AO$1*(AI39-B39)</f>
        <v>0</v>
      </c>
      <c r="BJ39">
        <f t="shared" si="2"/>
        <v>0</v>
      </c>
      <c r="BK39">
        <f>BJ39+regressions!$AR$1*(AT39-B39)</f>
        <v>0</v>
      </c>
      <c r="BL39">
        <f>BJ39-regressions!$AO$1*(AT39-B39)</f>
        <v>0</v>
      </c>
      <c r="BM39">
        <f t="shared" si="11"/>
        <v>0</v>
      </c>
      <c r="BN39">
        <f t="shared" si="3"/>
        <v>0</v>
      </c>
      <c r="BO39">
        <f t="shared" si="4"/>
        <v>0</v>
      </c>
      <c r="BP39">
        <f t="shared" si="12"/>
        <v>0</v>
      </c>
      <c r="BQ39">
        <f t="shared" si="13"/>
        <v>0</v>
      </c>
      <c r="BR39">
        <f t="shared" si="14"/>
        <v>0</v>
      </c>
    </row>
    <row r="40" spans="1:70" x14ac:dyDescent="0.35">
      <c r="A40">
        <v>1887</v>
      </c>
      <c r="B40" s="33">
        <v>1.5460539787959228E-2</v>
      </c>
      <c r="C40">
        <f t="shared" si="15"/>
        <v>-5.8973574348997549E-3</v>
      </c>
      <c r="D40">
        <f>IF($B40&lt;=regressions!$L$2,$B40*regressions!$L$1,regressions!$L$1*regressions!$L$2+regressions!$L$3*($B40-regressions!$L$2))</f>
        <v>-1.2287725279186028E-2</v>
      </c>
      <c r="E40">
        <f>regressions!$J$1*B40+regressions!$J$2*B40^2</f>
        <v>-7.0283643985787876E-3</v>
      </c>
      <c r="F40">
        <f>regressions!$V$1*B40</f>
        <v>-1.2287725313875838E-2</v>
      </c>
      <c r="G40">
        <f>regressions!$N$1*B40^2</f>
        <v>-4.1649451827886378E-5</v>
      </c>
      <c r="H40">
        <f>regressions!$R$1*B40^2+regressions!$R$2*B40^6</f>
        <v>-4.5363772617487951E-5</v>
      </c>
      <c r="I40">
        <f>regressions!$P$1*B40^2+regressions!$P$2*B40^7</f>
        <v>-4.3886523187783285E-5</v>
      </c>
      <c r="J40">
        <f>regressions!$T$2+regressions!$T$1*EXP(B40)</f>
        <v>-1.217577346254925E-4</v>
      </c>
      <c r="K40" s="8">
        <f>(1-EXP(-2*regressions!$X$1*B40))/2/EXP(-regressions!$X$1*B40)</f>
        <v>-6.2926769399354069E-3</v>
      </c>
      <c r="M40" s="33">
        <v>1.5460539787959228E-2</v>
      </c>
      <c r="N40">
        <f t="shared" si="6"/>
        <v>-5.8973574348997549E-3</v>
      </c>
      <c r="O40">
        <f>IF($B40&lt;=regressions!$L$2,$B40*regressions!$L$1,regressions!$L$1*regressions!$L$2+regressions!$L$3*($B40-regressions!$L$2))</f>
        <v>-1.2287725279186028E-2</v>
      </c>
      <c r="P40">
        <f>regressions!$J$1*M40+regressions!$J$2*M40^2</f>
        <v>-7.0283643985787876E-3</v>
      </c>
      <c r="Q40">
        <f>regressions!$V$1*M40</f>
        <v>-1.2287725313875838E-2</v>
      </c>
      <c r="R40">
        <f>regressions!$N$1*M40^2</f>
        <v>-4.1649451827886378E-5</v>
      </c>
      <c r="S40">
        <f>regressions!$R$1*M40^2+regressions!$R$2*M40^6</f>
        <v>-4.5363772617487951E-5</v>
      </c>
      <c r="T40">
        <f>regressions!$P$1*M40^2+regressions!$P$2*M40^7</f>
        <v>-4.3886523187783285E-5</v>
      </c>
      <c r="U40">
        <f>regressions!$T$2+regressions!$T$1*EXP(M40)</f>
        <v>-1.217577346254925E-4</v>
      </c>
      <c r="V40" s="8">
        <f>(1-EXP(-2*regressions!$X$1*M40))/2/EXP(-regressions!$X$1*M40)</f>
        <v>-6.2926769399354069E-3</v>
      </c>
      <c r="X40" s="33">
        <v>1.5460539787959228E-2</v>
      </c>
      <c r="Y40">
        <f t="shared" si="7"/>
        <v>-5.8973574348997549E-3</v>
      </c>
      <c r="Z40">
        <f>IF($B40&lt;=regressions!$L$2,$B40*regressions!$L$1,regressions!$L$1*regressions!$L$2+regressions!$L$3*($B40-regressions!$L$2))</f>
        <v>-1.2287725279186028E-2</v>
      </c>
      <c r="AA40">
        <f>regressions!$J$1*X40+regressions!$J$2*X40^2</f>
        <v>-7.0283643985787876E-3</v>
      </c>
      <c r="AB40">
        <f>regressions!$V$1*X40</f>
        <v>-1.2287725313875838E-2</v>
      </c>
      <c r="AC40">
        <f>regressions!$N$1*X40^2</f>
        <v>-4.1649451827886378E-5</v>
      </c>
      <c r="AD40">
        <f>regressions!$R$1*X40^2+regressions!$R$2*X40^6</f>
        <v>-4.5363772617487951E-5</v>
      </c>
      <c r="AE40">
        <f>regressions!$P$1*X40^2+regressions!$P$2*X40^7</f>
        <v>-4.3886523187783285E-5</v>
      </c>
      <c r="AF40">
        <f>regressions!$T$2+regressions!$T$1*EXP(X40)</f>
        <v>-1.217577346254925E-4</v>
      </c>
      <c r="AG40" s="8">
        <f>(1-EXP(-2*regressions!$X$1*X40))/2/EXP(-regressions!$X$1*X40)</f>
        <v>-6.2926769399354069E-3</v>
      </c>
      <c r="AH40" s="8"/>
      <c r="AI40" s="33">
        <v>1.5460539787959228E-2</v>
      </c>
      <c r="AJ40">
        <f t="shared" si="8"/>
        <v>-5.8973574348997549E-3</v>
      </c>
      <c r="AK40">
        <f>IF(AI40&lt;=regressions!$L$2,AI40*regressions!$L$1,regressions!$L$1*regressions!$L$2+regressions!$L$3*(AI40-regressions!$L$2))</f>
        <v>-1.2287725279186028E-2</v>
      </c>
      <c r="AL40">
        <f>regressions!$J$1*AI40+regressions!$J$2*AI40^2</f>
        <v>-7.0283643985787876E-3</v>
      </c>
      <c r="AM40">
        <f>regressions!$V$1*AI40</f>
        <v>-1.2287725313875838E-2</v>
      </c>
      <c r="AN40">
        <f>regressions!$N$1*AI40^2</f>
        <v>-4.1649451827886378E-5</v>
      </c>
      <c r="AO40">
        <f>regressions!$R$1*AI40^2+regressions!$R$2*AI40^6</f>
        <v>-4.5363772617487951E-5</v>
      </c>
      <c r="AP40">
        <f>regressions!$P$1*AI40^2+regressions!$P$2*AI40^7</f>
        <v>-4.3886523187783285E-5</v>
      </c>
      <c r="AQ40">
        <f>regressions!$T$2+regressions!$T$1*EXP(AI40)</f>
        <v>-1.217577346254925E-4</v>
      </c>
      <c r="AR40" s="8">
        <f>(1-EXP(-2*regressions!$X$1*AI40))/2/EXP(-regressions!$X$1*AI40)</f>
        <v>-6.2926769399354069E-3</v>
      </c>
      <c r="AT40" s="33">
        <v>1.5460539787959228E-2</v>
      </c>
      <c r="AU40">
        <f t="shared" si="9"/>
        <v>-5.8973574348997549E-3</v>
      </c>
      <c r="AV40">
        <f>IF(AT40&lt;=regressions!$L$2,AT40*regressions!$L$1,regressions!$L$1*regressions!$L$2+regressions!$L$3*(AT40-regressions!$L$2))</f>
        <v>-1.2287725279186028E-2</v>
      </c>
      <c r="AW40">
        <f>regressions!$J$1*AT40+regressions!$J$2*AT40^2</f>
        <v>-7.0283643985787876E-3</v>
      </c>
      <c r="AX40">
        <f>regressions!$V$1*AT40</f>
        <v>-1.2287725313875838E-2</v>
      </c>
      <c r="AY40">
        <f>regressions!$N$1*AT40^2</f>
        <v>-4.1649451827886378E-5</v>
      </c>
      <c r="AZ40">
        <f>regressions!$R$1*AT40^2+regressions!$R$2*AT40^6</f>
        <v>-4.5363772617487951E-5</v>
      </c>
      <c r="BA40">
        <f>regressions!$P$1*AT40^2+regressions!$P$2*AT40^7</f>
        <v>-4.3886523187783285E-5</v>
      </c>
      <c r="BB40">
        <f>regressions!$T$2+regressions!$T$1*EXP(AT40)</f>
        <v>-1.217577346254925E-4</v>
      </c>
      <c r="BC40" s="8">
        <f>(1-EXP(-2*regressions!$X$1*AT40))/2/EXP(-regressions!$X$1*AT40)</f>
        <v>-6.2926769399354069E-3</v>
      </c>
      <c r="BE40">
        <f t="shared" si="10"/>
        <v>0</v>
      </c>
      <c r="BF40">
        <f t="shared" si="0"/>
        <v>0</v>
      </c>
      <c r="BG40">
        <f t="shared" si="1"/>
        <v>0</v>
      </c>
      <c r="BH40">
        <f>BG40+regressions!$AR$1*(AI40-B40)</f>
        <v>0</v>
      </c>
      <c r="BI40">
        <f>BG40-regressions!$AO$1*(AI40-B40)</f>
        <v>0</v>
      </c>
      <c r="BJ40">
        <f t="shared" si="2"/>
        <v>0</v>
      </c>
      <c r="BK40">
        <f>BJ40+regressions!$AR$1*(AT40-B40)</f>
        <v>0</v>
      </c>
      <c r="BL40">
        <f>BJ40-regressions!$AO$1*(AT40-B40)</f>
        <v>0</v>
      </c>
      <c r="BM40">
        <f t="shared" si="11"/>
        <v>0</v>
      </c>
      <c r="BN40">
        <f t="shared" si="3"/>
        <v>0</v>
      </c>
      <c r="BO40">
        <f t="shared" si="4"/>
        <v>0</v>
      </c>
      <c r="BP40">
        <f t="shared" si="12"/>
        <v>0</v>
      </c>
      <c r="BQ40">
        <f t="shared" si="13"/>
        <v>0</v>
      </c>
      <c r="BR40">
        <f t="shared" si="14"/>
        <v>0</v>
      </c>
    </row>
    <row r="41" spans="1:70" x14ac:dyDescent="0.35">
      <c r="A41">
        <v>1888</v>
      </c>
      <c r="B41" s="33">
        <v>1.625187628623757E-2</v>
      </c>
      <c r="C41">
        <f t="shared" si="15"/>
        <v>-6.200243031401249E-3</v>
      </c>
      <c r="D41">
        <f>IF($B41&lt;=regressions!$L$2,$B41*regressions!$L$1,regressions!$L$1*regressions!$L$2+regressions!$L$3*($B41-regressions!$L$2))</f>
        <v>-1.2916663571612934E-2</v>
      </c>
      <c r="E41">
        <f>regressions!$J$1*B41+regressions!$J$2*B41^2</f>
        <v>-7.389157272826131E-3</v>
      </c>
      <c r="F41">
        <f>regressions!$V$1*B41</f>
        <v>-1.2916663608078317E-2</v>
      </c>
      <c r="G41">
        <f>regressions!$N$1*B41^2</f>
        <v>-4.6022160179584373E-5</v>
      </c>
      <c r="H41">
        <f>regressions!$R$1*B41^2+regressions!$R$2*B41^6</f>
        <v>-5.0126441480627129E-5</v>
      </c>
      <c r="I41">
        <f>regressions!$P$1*B41^2+regressions!$P$2*B41^7</f>
        <v>-4.8494098030862406E-5</v>
      </c>
      <c r="J41">
        <f>regressions!$T$2+regressions!$T$1*EXP(B41)</f>
        <v>-1.2804060123477491E-4</v>
      </c>
      <c r="K41" s="8">
        <f>(1-EXP(-2*regressions!$X$1*B41))/2/EXP(-regressions!$X$1*B41)</f>
        <v>-6.6147676212061045E-3</v>
      </c>
      <c r="M41" s="33">
        <v>1.625187628623757E-2</v>
      </c>
      <c r="N41">
        <f t="shared" si="6"/>
        <v>-6.200243031401249E-3</v>
      </c>
      <c r="O41">
        <f>IF($B41&lt;=regressions!$L$2,$B41*regressions!$L$1,regressions!$L$1*regressions!$L$2+regressions!$L$3*($B41-regressions!$L$2))</f>
        <v>-1.2916663571612934E-2</v>
      </c>
      <c r="P41">
        <f>regressions!$J$1*M41+regressions!$J$2*M41^2</f>
        <v>-7.389157272826131E-3</v>
      </c>
      <c r="Q41">
        <f>regressions!$V$1*M41</f>
        <v>-1.2916663608078317E-2</v>
      </c>
      <c r="R41">
        <f>regressions!$N$1*M41^2</f>
        <v>-4.6022160179584373E-5</v>
      </c>
      <c r="S41">
        <f>regressions!$R$1*M41^2+regressions!$R$2*M41^6</f>
        <v>-5.0126441480627129E-5</v>
      </c>
      <c r="T41">
        <f>regressions!$P$1*M41^2+regressions!$P$2*M41^7</f>
        <v>-4.8494098030862406E-5</v>
      </c>
      <c r="U41">
        <f>regressions!$T$2+regressions!$T$1*EXP(M41)</f>
        <v>-1.2804060123477491E-4</v>
      </c>
      <c r="V41" s="8">
        <f>(1-EXP(-2*regressions!$X$1*M41))/2/EXP(-regressions!$X$1*M41)</f>
        <v>-6.6147676212061045E-3</v>
      </c>
      <c r="X41" s="33">
        <v>1.625187628623757E-2</v>
      </c>
      <c r="Y41">
        <f t="shared" si="7"/>
        <v>-6.200243031401249E-3</v>
      </c>
      <c r="Z41">
        <f>IF($B41&lt;=regressions!$L$2,$B41*regressions!$L$1,regressions!$L$1*regressions!$L$2+regressions!$L$3*($B41-regressions!$L$2))</f>
        <v>-1.2916663571612934E-2</v>
      </c>
      <c r="AA41">
        <f>regressions!$J$1*X41+regressions!$J$2*X41^2</f>
        <v>-7.389157272826131E-3</v>
      </c>
      <c r="AB41">
        <f>regressions!$V$1*X41</f>
        <v>-1.2916663608078317E-2</v>
      </c>
      <c r="AC41">
        <f>regressions!$N$1*X41^2</f>
        <v>-4.6022160179584373E-5</v>
      </c>
      <c r="AD41">
        <f>regressions!$R$1*X41^2+regressions!$R$2*X41^6</f>
        <v>-5.0126441480627129E-5</v>
      </c>
      <c r="AE41">
        <f>regressions!$P$1*X41^2+regressions!$P$2*X41^7</f>
        <v>-4.8494098030862406E-5</v>
      </c>
      <c r="AF41">
        <f>regressions!$T$2+regressions!$T$1*EXP(X41)</f>
        <v>-1.2804060123477491E-4</v>
      </c>
      <c r="AG41" s="8">
        <f>(1-EXP(-2*regressions!$X$1*X41))/2/EXP(-regressions!$X$1*X41)</f>
        <v>-6.6147676212061045E-3</v>
      </c>
      <c r="AH41" s="8"/>
      <c r="AI41" s="33">
        <v>1.625187628623757E-2</v>
      </c>
      <c r="AJ41">
        <f t="shared" si="8"/>
        <v>-6.200243031401249E-3</v>
      </c>
      <c r="AK41">
        <f>IF(AI41&lt;=regressions!$L$2,AI41*regressions!$L$1,regressions!$L$1*regressions!$L$2+regressions!$L$3*(AI41-regressions!$L$2))</f>
        <v>-1.2916663571612934E-2</v>
      </c>
      <c r="AL41">
        <f>regressions!$J$1*AI41+regressions!$J$2*AI41^2</f>
        <v>-7.389157272826131E-3</v>
      </c>
      <c r="AM41">
        <f>regressions!$V$1*AI41</f>
        <v>-1.2916663608078317E-2</v>
      </c>
      <c r="AN41">
        <f>regressions!$N$1*AI41^2</f>
        <v>-4.6022160179584373E-5</v>
      </c>
      <c r="AO41">
        <f>regressions!$R$1*AI41^2+regressions!$R$2*AI41^6</f>
        <v>-5.0126441480627129E-5</v>
      </c>
      <c r="AP41">
        <f>regressions!$P$1*AI41^2+regressions!$P$2*AI41^7</f>
        <v>-4.8494098030862406E-5</v>
      </c>
      <c r="AQ41">
        <f>regressions!$T$2+regressions!$T$1*EXP(AI41)</f>
        <v>-1.2804060123477491E-4</v>
      </c>
      <c r="AR41" s="8">
        <f>(1-EXP(-2*regressions!$X$1*AI41))/2/EXP(-regressions!$X$1*AI41)</f>
        <v>-6.6147676212061045E-3</v>
      </c>
      <c r="AT41" s="33">
        <v>1.625187628623757E-2</v>
      </c>
      <c r="AU41">
        <f t="shared" si="9"/>
        <v>-6.200243031401249E-3</v>
      </c>
      <c r="AV41">
        <f>IF(AT41&lt;=regressions!$L$2,AT41*regressions!$L$1,regressions!$L$1*regressions!$L$2+regressions!$L$3*(AT41-regressions!$L$2))</f>
        <v>-1.2916663571612934E-2</v>
      </c>
      <c r="AW41">
        <f>regressions!$J$1*AT41+regressions!$J$2*AT41^2</f>
        <v>-7.389157272826131E-3</v>
      </c>
      <c r="AX41">
        <f>regressions!$V$1*AT41</f>
        <v>-1.2916663608078317E-2</v>
      </c>
      <c r="AY41">
        <f>regressions!$N$1*AT41^2</f>
        <v>-4.6022160179584373E-5</v>
      </c>
      <c r="AZ41">
        <f>regressions!$R$1*AT41^2+regressions!$R$2*AT41^6</f>
        <v>-5.0126441480627129E-5</v>
      </c>
      <c r="BA41">
        <f>regressions!$P$1*AT41^2+regressions!$P$2*AT41^7</f>
        <v>-4.8494098030862406E-5</v>
      </c>
      <c r="BB41">
        <f>regressions!$T$2+regressions!$T$1*EXP(AT41)</f>
        <v>-1.2804060123477491E-4</v>
      </c>
      <c r="BC41" s="8">
        <f>(1-EXP(-2*regressions!$X$1*AT41))/2/EXP(-regressions!$X$1*AT41)</f>
        <v>-6.6147676212061045E-3</v>
      </c>
      <c r="BE41">
        <f t="shared" si="10"/>
        <v>0</v>
      </c>
      <c r="BF41">
        <f t="shared" si="0"/>
        <v>0</v>
      </c>
      <c r="BG41">
        <f t="shared" si="1"/>
        <v>0</v>
      </c>
      <c r="BH41">
        <f>BG41+regressions!$AR$1*(AI41-B41)</f>
        <v>0</v>
      </c>
      <c r="BI41">
        <f>BG41-regressions!$AO$1*(AI41-B41)</f>
        <v>0</v>
      </c>
      <c r="BJ41">
        <f t="shared" si="2"/>
        <v>0</v>
      </c>
      <c r="BK41">
        <f>BJ41+regressions!$AR$1*(AT41-B41)</f>
        <v>0</v>
      </c>
      <c r="BL41">
        <f>BJ41-regressions!$AO$1*(AT41-B41)</f>
        <v>0</v>
      </c>
      <c r="BM41">
        <f t="shared" si="11"/>
        <v>0</v>
      </c>
      <c r="BN41">
        <f t="shared" si="3"/>
        <v>0</v>
      </c>
      <c r="BO41">
        <f t="shared" si="4"/>
        <v>0</v>
      </c>
      <c r="BP41">
        <f t="shared" si="12"/>
        <v>0</v>
      </c>
      <c r="BQ41">
        <f t="shared" si="13"/>
        <v>0</v>
      </c>
      <c r="BR41">
        <f t="shared" si="14"/>
        <v>0</v>
      </c>
    </row>
    <row r="42" spans="1:70" x14ac:dyDescent="0.35">
      <c r="A42">
        <v>1889</v>
      </c>
      <c r="B42" s="33">
        <v>1.7078198892277394E-2</v>
      </c>
      <c r="C42">
        <f t="shared" si="15"/>
        <v>-6.5166271077000768E-3</v>
      </c>
      <c r="D42">
        <f>IF($B42&lt;=regressions!$L$2,$B42*regressions!$L$1,regressions!$L$1*regressions!$L$2+regressions!$L$3*($B42-regressions!$L$2))</f>
        <v>-1.3573408117033408E-2</v>
      </c>
      <c r="E42">
        <f>regressions!$J$1*B42+regressions!$J$2*B42^2</f>
        <v>-7.7660105648321804E-3</v>
      </c>
      <c r="F42">
        <f>regressions!$V$1*B42</f>
        <v>-1.3573408155352865E-2</v>
      </c>
      <c r="G42">
        <f>regressions!$N$1*B42^2</f>
        <v>-5.0821106715607231E-5</v>
      </c>
      <c r="H42">
        <f>regressions!$R$1*B42^2+regressions!$R$2*B42^6</f>
        <v>-5.5353360681413742E-5</v>
      </c>
      <c r="I42">
        <f>regressions!$P$1*B42^2+regressions!$P$2*B42^7</f>
        <v>-5.3550805122720989E-5</v>
      </c>
      <c r="J42">
        <f>regressions!$T$2+regressions!$T$1*EXP(B42)</f>
        <v>-1.3460655088089711E-4</v>
      </c>
      <c r="K42" s="8">
        <f>(1-EXP(-2*regressions!$X$1*B42))/2/EXP(-regressions!$X$1*B42)</f>
        <v>-6.951099120743238E-3</v>
      </c>
      <c r="M42" s="33">
        <v>1.7078198892277394E-2</v>
      </c>
      <c r="N42">
        <f t="shared" si="6"/>
        <v>-6.5166271077000768E-3</v>
      </c>
      <c r="O42">
        <f>IF($B42&lt;=regressions!$L$2,$B42*regressions!$L$1,regressions!$L$1*regressions!$L$2+regressions!$L$3*($B42-regressions!$L$2))</f>
        <v>-1.3573408117033408E-2</v>
      </c>
      <c r="P42">
        <f>regressions!$J$1*M42+regressions!$J$2*M42^2</f>
        <v>-7.7660105648321804E-3</v>
      </c>
      <c r="Q42">
        <f>regressions!$V$1*M42</f>
        <v>-1.3573408155352865E-2</v>
      </c>
      <c r="R42">
        <f>regressions!$N$1*M42^2</f>
        <v>-5.0821106715607231E-5</v>
      </c>
      <c r="S42">
        <f>regressions!$R$1*M42^2+regressions!$R$2*M42^6</f>
        <v>-5.5353360681413742E-5</v>
      </c>
      <c r="T42">
        <f>regressions!$P$1*M42^2+regressions!$P$2*M42^7</f>
        <v>-5.3550805122720989E-5</v>
      </c>
      <c r="U42">
        <f>regressions!$T$2+regressions!$T$1*EXP(M42)</f>
        <v>-1.3460655088089711E-4</v>
      </c>
      <c r="V42" s="8">
        <f>(1-EXP(-2*regressions!$X$1*M42))/2/EXP(-regressions!$X$1*M42)</f>
        <v>-6.951099120743238E-3</v>
      </c>
      <c r="X42" s="33">
        <v>1.7078198892277394E-2</v>
      </c>
      <c r="Y42">
        <f t="shared" si="7"/>
        <v>-6.5166271077000768E-3</v>
      </c>
      <c r="Z42">
        <f>IF($B42&lt;=regressions!$L$2,$B42*regressions!$L$1,regressions!$L$1*regressions!$L$2+regressions!$L$3*($B42-regressions!$L$2))</f>
        <v>-1.3573408117033408E-2</v>
      </c>
      <c r="AA42">
        <f>regressions!$J$1*X42+regressions!$J$2*X42^2</f>
        <v>-7.7660105648321804E-3</v>
      </c>
      <c r="AB42">
        <f>regressions!$V$1*X42</f>
        <v>-1.3573408155352865E-2</v>
      </c>
      <c r="AC42">
        <f>regressions!$N$1*X42^2</f>
        <v>-5.0821106715607231E-5</v>
      </c>
      <c r="AD42">
        <f>regressions!$R$1*X42^2+regressions!$R$2*X42^6</f>
        <v>-5.5353360681413742E-5</v>
      </c>
      <c r="AE42">
        <f>regressions!$P$1*X42^2+regressions!$P$2*X42^7</f>
        <v>-5.3550805122720989E-5</v>
      </c>
      <c r="AF42">
        <f>regressions!$T$2+regressions!$T$1*EXP(X42)</f>
        <v>-1.3460655088089711E-4</v>
      </c>
      <c r="AG42" s="8">
        <f>(1-EXP(-2*regressions!$X$1*X42))/2/EXP(-regressions!$X$1*X42)</f>
        <v>-6.951099120743238E-3</v>
      </c>
      <c r="AH42" s="8"/>
      <c r="AI42" s="33">
        <v>1.7078198892277394E-2</v>
      </c>
      <c r="AJ42">
        <f t="shared" si="8"/>
        <v>-6.5166271077000768E-3</v>
      </c>
      <c r="AK42">
        <f>IF(AI42&lt;=regressions!$L$2,AI42*regressions!$L$1,regressions!$L$1*regressions!$L$2+regressions!$L$3*(AI42-regressions!$L$2))</f>
        <v>-1.3573408117033408E-2</v>
      </c>
      <c r="AL42">
        <f>regressions!$J$1*AI42+regressions!$J$2*AI42^2</f>
        <v>-7.7660105648321804E-3</v>
      </c>
      <c r="AM42">
        <f>regressions!$V$1*AI42</f>
        <v>-1.3573408155352865E-2</v>
      </c>
      <c r="AN42">
        <f>regressions!$N$1*AI42^2</f>
        <v>-5.0821106715607231E-5</v>
      </c>
      <c r="AO42">
        <f>regressions!$R$1*AI42^2+regressions!$R$2*AI42^6</f>
        <v>-5.5353360681413742E-5</v>
      </c>
      <c r="AP42">
        <f>regressions!$P$1*AI42^2+regressions!$P$2*AI42^7</f>
        <v>-5.3550805122720989E-5</v>
      </c>
      <c r="AQ42">
        <f>regressions!$T$2+regressions!$T$1*EXP(AI42)</f>
        <v>-1.3460655088089711E-4</v>
      </c>
      <c r="AR42" s="8">
        <f>(1-EXP(-2*regressions!$X$1*AI42))/2/EXP(-regressions!$X$1*AI42)</f>
        <v>-6.951099120743238E-3</v>
      </c>
      <c r="AT42" s="33">
        <v>1.7078198892277394E-2</v>
      </c>
      <c r="AU42">
        <f t="shared" si="9"/>
        <v>-6.5166271077000768E-3</v>
      </c>
      <c r="AV42">
        <f>IF(AT42&lt;=regressions!$L$2,AT42*regressions!$L$1,regressions!$L$1*regressions!$L$2+regressions!$L$3*(AT42-regressions!$L$2))</f>
        <v>-1.3573408117033408E-2</v>
      </c>
      <c r="AW42">
        <f>regressions!$J$1*AT42+regressions!$J$2*AT42^2</f>
        <v>-7.7660105648321804E-3</v>
      </c>
      <c r="AX42">
        <f>regressions!$V$1*AT42</f>
        <v>-1.3573408155352865E-2</v>
      </c>
      <c r="AY42">
        <f>regressions!$N$1*AT42^2</f>
        <v>-5.0821106715607231E-5</v>
      </c>
      <c r="AZ42">
        <f>regressions!$R$1*AT42^2+regressions!$R$2*AT42^6</f>
        <v>-5.5353360681413742E-5</v>
      </c>
      <c r="BA42">
        <f>regressions!$P$1*AT42^2+regressions!$P$2*AT42^7</f>
        <v>-5.3550805122720989E-5</v>
      </c>
      <c r="BB42">
        <f>regressions!$T$2+regressions!$T$1*EXP(AT42)</f>
        <v>-1.3460655088089711E-4</v>
      </c>
      <c r="BC42" s="8">
        <f>(1-EXP(-2*regressions!$X$1*AT42))/2/EXP(-regressions!$X$1*AT42)</f>
        <v>-6.951099120743238E-3</v>
      </c>
      <c r="BE42">
        <f t="shared" si="10"/>
        <v>0</v>
      </c>
      <c r="BF42">
        <f t="shared" si="0"/>
        <v>0</v>
      </c>
      <c r="BG42">
        <f t="shared" si="1"/>
        <v>0</v>
      </c>
      <c r="BH42">
        <f>BG42+regressions!$AR$1*(AI42-B42)</f>
        <v>0</v>
      </c>
      <c r="BI42">
        <f>BG42-regressions!$AO$1*(AI42-B42)</f>
        <v>0</v>
      </c>
      <c r="BJ42">
        <f t="shared" si="2"/>
        <v>0</v>
      </c>
      <c r="BK42">
        <f>BJ42+regressions!$AR$1*(AT42-B42)</f>
        <v>0</v>
      </c>
      <c r="BL42">
        <f>BJ42-regressions!$AO$1*(AT42-B42)</f>
        <v>0</v>
      </c>
      <c r="BM42">
        <f t="shared" si="11"/>
        <v>0</v>
      </c>
      <c r="BN42">
        <f t="shared" si="3"/>
        <v>0</v>
      </c>
      <c r="BO42">
        <f t="shared" si="4"/>
        <v>0</v>
      </c>
      <c r="BP42">
        <f t="shared" si="12"/>
        <v>0</v>
      </c>
      <c r="BQ42">
        <f t="shared" si="13"/>
        <v>0</v>
      </c>
      <c r="BR42">
        <f t="shared" si="14"/>
        <v>0</v>
      </c>
    </row>
    <row r="43" spans="1:70" x14ac:dyDescent="0.35">
      <c r="A43">
        <v>1890</v>
      </c>
      <c r="B43" s="33">
        <v>1.7936984781338306E-2</v>
      </c>
      <c r="C43">
        <f t="shared" si="15"/>
        <v>-6.8455571570122005E-3</v>
      </c>
      <c r="D43">
        <f>IF($B43&lt;=regressions!$L$2,$B43*regressions!$L$1,regressions!$L$1*regressions!$L$2+regressions!$L$3*($B43-regressions!$L$2))</f>
        <v>-1.4255953825213687E-2</v>
      </c>
      <c r="E43">
        <f>regressions!$J$1*B43+regressions!$J$2*B43^2</f>
        <v>-8.1577873656028983E-3</v>
      </c>
      <c r="F43">
        <f>regressions!$V$1*B43</f>
        <v>-1.4255953865460056E-2</v>
      </c>
      <c r="G43">
        <f>regressions!$N$1*B43^2</f>
        <v>-5.6060744832676481E-5</v>
      </c>
      <c r="H43">
        <f>regressions!$R$1*B43^2+regressions!$R$2*B43^6</f>
        <v>-6.1060272578352591E-5</v>
      </c>
      <c r="I43">
        <f>regressions!$P$1*B43^2+regressions!$P$2*B43^7</f>
        <v>-5.9071874179538304E-5</v>
      </c>
      <c r="J43">
        <f>regressions!$T$2+regressions!$T$1*EXP(B43)</f>
        <v>-1.4143620533605197E-4</v>
      </c>
      <c r="K43" s="8">
        <f>(1-EXP(-2*regressions!$X$1*B43))/2/EXP(-regressions!$X$1*B43)</f>
        <v>-7.300644725172647E-3</v>
      </c>
      <c r="M43" s="33">
        <v>1.7936984781338306E-2</v>
      </c>
      <c r="N43">
        <f t="shared" si="6"/>
        <v>-6.8455571570122005E-3</v>
      </c>
      <c r="O43">
        <f>IF($B43&lt;=regressions!$L$2,$B43*regressions!$L$1,regressions!$L$1*regressions!$L$2+regressions!$L$3*($B43-regressions!$L$2))</f>
        <v>-1.4255953825213687E-2</v>
      </c>
      <c r="P43">
        <f>regressions!$J$1*M43+regressions!$J$2*M43^2</f>
        <v>-8.1577873656028983E-3</v>
      </c>
      <c r="Q43">
        <f>regressions!$V$1*M43</f>
        <v>-1.4255953865460056E-2</v>
      </c>
      <c r="R43">
        <f>regressions!$N$1*M43^2</f>
        <v>-5.6060744832676481E-5</v>
      </c>
      <c r="S43">
        <f>regressions!$R$1*M43^2+regressions!$R$2*M43^6</f>
        <v>-6.1060272578352591E-5</v>
      </c>
      <c r="T43">
        <f>regressions!$P$1*M43^2+regressions!$P$2*M43^7</f>
        <v>-5.9071874179538304E-5</v>
      </c>
      <c r="U43">
        <f>regressions!$T$2+regressions!$T$1*EXP(M43)</f>
        <v>-1.4143620533605197E-4</v>
      </c>
      <c r="V43" s="8">
        <f>(1-EXP(-2*regressions!$X$1*M43))/2/EXP(-regressions!$X$1*M43)</f>
        <v>-7.300644725172647E-3</v>
      </c>
      <c r="X43" s="33">
        <v>1.7936984781338306E-2</v>
      </c>
      <c r="Y43">
        <f t="shared" si="7"/>
        <v>-6.8455571570122005E-3</v>
      </c>
      <c r="Z43">
        <f>IF($B43&lt;=regressions!$L$2,$B43*regressions!$L$1,regressions!$L$1*regressions!$L$2+regressions!$L$3*($B43-regressions!$L$2))</f>
        <v>-1.4255953825213687E-2</v>
      </c>
      <c r="AA43">
        <f>regressions!$J$1*X43+regressions!$J$2*X43^2</f>
        <v>-8.1577873656028983E-3</v>
      </c>
      <c r="AB43">
        <f>regressions!$V$1*X43</f>
        <v>-1.4255953865460056E-2</v>
      </c>
      <c r="AC43">
        <f>regressions!$N$1*X43^2</f>
        <v>-5.6060744832676481E-5</v>
      </c>
      <c r="AD43">
        <f>regressions!$R$1*X43^2+regressions!$R$2*X43^6</f>
        <v>-6.1060272578352591E-5</v>
      </c>
      <c r="AE43">
        <f>regressions!$P$1*X43^2+regressions!$P$2*X43^7</f>
        <v>-5.9071874179538304E-5</v>
      </c>
      <c r="AF43">
        <f>regressions!$T$2+regressions!$T$1*EXP(X43)</f>
        <v>-1.4143620533605197E-4</v>
      </c>
      <c r="AG43" s="8">
        <f>(1-EXP(-2*regressions!$X$1*X43))/2/EXP(-regressions!$X$1*X43)</f>
        <v>-7.300644725172647E-3</v>
      </c>
      <c r="AH43" s="8"/>
      <c r="AI43" s="33">
        <v>1.7936984781338306E-2</v>
      </c>
      <c r="AJ43">
        <f t="shared" si="8"/>
        <v>-6.8455571570122005E-3</v>
      </c>
      <c r="AK43">
        <f>IF(AI43&lt;=regressions!$L$2,AI43*regressions!$L$1,regressions!$L$1*regressions!$L$2+regressions!$L$3*(AI43-regressions!$L$2))</f>
        <v>-1.4255953825213687E-2</v>
      </c>
      <c r="AL43">
        <f>regressions!$J$1*AI43+regressions!$J$2*AI43^2</f>
        <v>-8.1577873656028983E-3</v>
      </c>
      <c r="AM43">
        <f>regressions!$V$1*AI43</f>
        <v>-1.4255953865460056E-2</v>
      </c>
      <c r="AN43">
        <f>regressions!$N$1*AI43^2</f>
        <v>-5.6060744832676481E-5</v>
      </c>
      <c r="AO43">
        <f>regressions!$R$1*AI43^2+regressions!$R$2*AI43^6</f>
        <v>-6.1060272578352591E-5</v>
      </c>
      <c r="AP43">
        <f>regressions!$P$1*AI43^2+regressions!$P$2*AI43^7</f>
        <v>-5.9071874179538304E-5</v>
      </c>
      <c r="AQ43">
        <f>regressions!$T$2+regressions!$T$1*EXP(AI43)</f>
        <v>-1.4143620533605197E-4</v>
      </c>
      <c r="AR43" s="8">
        <f>(1-EXP(-2*regressions!$X$1*AI43))/2/EXP(-regressions!$X$1*AI43)</f>
        <v>-7.300644725172647E-3</v>
      </c>
      <c r="AT43" s="33">
        <v>1.7936984781338306E-2</v>
      </c>
      <c r="AU43">
        <f t="shared" si="9"/>
        <v>-6.8455571570122005E-3</v>
      </c>
      <c r="AV43">
        <f>IF(AT43&lt;=regressions!$L$2,AT43*regressions!$L$1,regressions!$L$1*regressions!$L$2+regressions!$L$3*(AT43-regressions!$L$2))</f>
        <v>-1.4255953825213687E-2</v>
      </c>
      <c r="AW43">
        <f>regressions!$J$1*AT43+regressions!$J$2*AT43^2</f>
        <v>-8.1577873656028983E-3</v>
      </c>
      <c r="AX43">
        <f>regressions!$V$1*AT43</f>
        <v>-1.4255953865460056E-2</v>
      </c>
      <c r="AY43">
        <f>regressions!$N$1*AT43^2</f>
        <v>-5.6060744832676481E-5</v>
      </c>
      <c r="AZ43">
        <f>regressions!$R$1*AT43^2+regressions!$R$2*AT43^6</f>
        <v>-6.1060272578352591E-5</v>
      </c>
      <c r="BA43">
        <f>regressions!$P$1*AT43^2+regressions!$P$2*AT43^7</f>
        <v>-5.9071874179538304E-5</v>
      </c>
      <c r="BB43">
        <f>regressions!$T$2+regressions!$T$1*EXP(AT43)</f>
        <v>-1.4143620533605197E-4</v>
      </c>
      <c r="BC43" s="8">
        <f>(1-EXP(-2*regressions!$X$1*AT43))/2/EXP(-regressions!$X$1*AT43)</f>
        <v>-7.300644725172647E-3</v>
      </c>
      <c r="BE43">
        <f t="shared" si="10"/>
        <v>0</v>
      </c>
      <c r="BF43">
        <f t="shared" si="0"/>
        <v>0</v>
      </c>
      <c r="BG43">
        <f t="shared" si="1"/>
        <v>0</v>
      </c>
      <c r="BH43">
        <f>BG43+regressions!$AR$1*(AI43-B43)</f>
        <v>0</v>
      </c>
      <c r="BI43">
        <f>BG43-regressions!$AO$1*(AI43-B43)</f>
        <v>0</v>
      </c>
      <c r="BJ43">
        <f t="shared" si="2"/>
        <v>0</v>
      </c>
      <c r="BK43">
        <f>BJ43+regressions!$AR$1*(AT43-B43)</f>
        <v>0</v>
      </c>
      <c r="BL43">
        <f>BJ43-regressions!$AO$1*(AT43-B43)</f>
        <v>0</v>
      </c>
      <c r="BM43">
        <f t="shared" si="11"/>
        <v>0</v>
      </c>
      <c r="BN43">
        <f t="shared" si="3"/>
        <v>0</v>
      </c>
      <c r="BO43">
        <f t="shared" si="4"/>
        <v>0</v>
      </c>
      <c r="BP43">
        <f t="shared" si="12"/>
        <v>0</v>
      </c>
      <c r="BQ43">
        <f t="shared" si="13"/>
        <v>0</v>
      </c>
      <c r="BR43">
        <f t="shared" si="14"/>
        <v>0</v>
      </c>
    </row>
    <row r="44" spans="1:70" x14ac:dyDescent="0.35">
      <c r="A44">
        <v>1891</v>
      </c>
      <c r="B44" s="33">
        <v>1.8833739347321375E-2</v>
      </c>
      <c r="C44">
        <f t="shared" si="15"/>
        <v>-7.1891564718770421E-3</v>
      </c>
      <c r="D44">
        <f>IF($B44&lt;=regressions!$L$2,$B44*regressions!$L$1,regressions!$L$1*regressions!$L$2+regressions!$L$3*($B44-regressions!$L$2))</f>
        <v>-1.4968676272216305E-2</v>
      </c>
      <c r="E44">
        <f>regressions!$J$1*B44+regressions!$J$2*B44^2</f>
        <v>-8.5670140902140337E-3</v>
      </c>
      <c r="F44">
        <f>regressions!$V$1*B44</f>
        <v>-1.4968676314474781E-2</v>
      </c>
      <c r="G44">
        <f>regressions!$N$1*B44^2</f>
        <v>-6.1806349802489503E-5</v>
      </c>
      <c r="H44">
        <f>regressions!$R$1*B44^2+regressions!$R$2*B44^6</f>
        <v>-6.7318273727401688E-5</v>
      </c>
      <c r="I44">
        <f>regressions!$P$1*B44^2+regressions!$P$2*B44^7</f>
        <v>-6.5126086532141302E-5</v>
      </c>
      <c r="J44">
        <f>regressions!$T$2+regressions!$T$1*EXP(B44)</f>
        <v>-1.4857407543454951E-4</v>
      </c>
      <c r="K44" s="8">
        <f>(1-EXP(-2*regressions!$X$1*B44))/2/EXP(-regressions!$X$1*B44)</f>
        <v>-7.6656454068501391E-3</v>
      </c>
      <c r="M44" s="33">
        <v>1.8833739347321375E-2</v>
      </c>
      <c r="N44">
        <f t="shared" si="6"/>
        <v>-7.1891564718770421E-3</v>
      </c>
      <c r="O44">
        <f>IF($B44&lt;=regressions!$L$2,$B44*regressions!$L$1,regressions!$L$1*regressions!$L$2+regressions!$L$3*($B44-regressions!$L$2))</f>
        <v>-1.4968676272216305E-2</v>
      </c>
      <c r="P44">
        <f>regressions!$J$1*M44+regressions!$J$2*M44^2</f>
        <v>-8.5670140902140337E-3</v>
      </c>
      <c r="Q44">
        <f>regressions!$V$1*M44</f>
        <v>-1.4968676314474781E-2</v>
      </c>
      <c r="R44">
        <f>regressions!$N$1*M44^2</f>
        <v>-6.1806349802489503E-5</v>
      </c>
      <c r="S44">
        <f>regressions!$R$1*M44^2+regressions!$R$2*M44^6</f>
        <v>-6.7318273727401688E-5</v>
      </c>
      <c r="T44">
        <f>regressions!$P$1*M44^2+regressions!$P$2*M44^7</f>
        <v>-6.5126086532141302E-5</v>
      </c>
      <c r="U44">
        <f>regressions!$T$2+regressions!$T$1*EXP(M44)</f>
        <v>-1.4857407543454951E-4</v>
      </c>
      <c r="V44" s="8">
        <f>(1-EXP(-2*regressions!$X$1*M44))/2/EXP(-regressions!$X$1*M44)</f>
        <v>-7.6656454068501391E-3</v>
      </c>
      <c r="X44" s="33">
        <v>1.8833739347321375E-2</v>
      </c>
      <c r="Y44">
        <f t="shared" si="7"/>
        <v>-7.1891564718770421E-3</v>
      </c>
      <c r="Z44">
        <f>IF($B44&lt;=regressions!$L$2,$B44*regressions!$L$1,regressions!$L$1*regressions!$L$2+regressions!$L$3*($B44-regressions!$L$2))</f>
        <v>-1.4968676272216305E-2</v>
      </c>
      <c r="AA44">
        <f>regressions!$J$1*X44+regressions!$J$2*X44^2</f>
        <v>-8.5670140902140337E-3</v>
      </c>
      <c r="AB44">
        <f>regressions!$V$1*X44</f>
        <v>-1.4968676314474781E-2</v>
      </c>
      <c r="AC44">
        <f>regressions!$N$1*X44^2</f>
        <v>-6.1806349802489503E-5</v>
      </c>
      <c r="AD44">
        <f>regressions!$R$1*X44^2+regressions!$R$2*X44^6</f>
        <v>-6.7318273727401688E-5</v>
      </c>
      <c r="AE44">
        <f>regressions!$P$1*X44^2+regressions!$P$2*X44^7</f>
        <v>-6.5126086532141302E-5</v>
      </c>
      <c r="AF44">
        <f>regressions!$T$2+regressions!$T$1*EXP(X44)</f>
        <v>-1.4857407543454951E-4</v>
      </c>
      <c r="AG44" s="8">
        <f>(1-EXP(-2*regressions!$X$1*X44))/2/EXP(-regressions!$X$1*X44)</f>
        <v>-7.6656454068501391E-3</v>
      </c>
      <c r="AH44" s="8"/>
      <c r="AI44" s="33">
        <v>1.8833739347321375E-2</v>
      </c>
      <c r="AJ44">
        <f t="shared" si="8"/>
        <v>-7.1891564718770421E-3</v>
      </c>
      <c r="AK44">
        <f>IF(AI44&lt;=regressions!$L$2,AI44*regressions!$L$1,regressions!$L$1*regressions!$L$2+regressions!$L$3*(AI44-regressions!$L$2))</f>
        <v>-1.4968676272216305E-2</v>
      </c>
      <c r="AL44">
        <f>regressions!$J$1*AI44+regressions!$J$2*AI44^2</f>
        <v>-8.5670140902140337E-3</v>
      </c>
      <c r="AM44">
        <f>regressions!$V$1*AI44</f>
        <v>-1.4968676314474781E-2</v>
      </c>
      <c r="AN44">
        <f>regressions!$N$1*AI44^2</f>
        <v>-6.1806349802489503E-5</v>
      </c>
      <c r="AO44">
        <f>regressions!$R$1*AI44^2+regressions!$R$2*AI44^6</f>
        <v>-6.7318273727401688E-5</v>
      </c>
      <c r="AP44">
        <f>regressions!$P$1*AI44^2+regressions!$P$2*AI44^7</f>
        <v>-6.5126086532141302E-5</v>
      </c>
      <c r="AQ44">
        <f>regressions!$T$2+regressions!$T$1*EXP(AI44)</f>
        <v>-1.4857407543454951E-4</v>
      </c>
      <c r="AR44" s="8">
        <f>(1-EXP(-2*regressions!$X$1*AI44))/2/EXP(-regressions!$X$1*AI44)</f>
        <v>-7.6656454068501391E-3</v>
      </c>
      <c r="AT44" s="33">
        <v>1.8833739347321375E-2</v>
      </c>
      <c r="AU44">
        <f t="shared" si="9"/>
        <v>-7.1891564718770421E-3</v>
      </c>
      <c r="AV44">
        <f>IF(AT44&lt;=regressions!$L$2,AT44*regressions!$L$1,regressions!$L$1*regressions!$L$2+regressions!$L$3*(AT44-regressions!$L$2))</f>
        <v>-1.4968676272216305E-2</v>
      </c>
      <c r="AW44">
        <f>regressions!$J$1*AT44+regressions!$J$2*AT44^2</f>
        <v>-8.5670140902140337E-3</v>
      </c>
      <c r="AX44">
        <f>regressions!$V$1*AT44</f>
        <v>-1.4968676314474781E-2</v>
      </c>
      <c r="AY44">
        <f>regressions!$N$1*AT44^2</f>
        <v>-6.1806349802489503E-5</v>
      </c>
      <c r="AZ44">
        <f>regressions!$R$1*AT44^2+regressions!$R$2*AT44^6</f>
        <v>-6.7318273727401688E-5</v>
      </c>
      <c r="BA44">
        <f>regressions!$P$1*AT44^2+regressions!$P$2*AT44^7</f>
        <v>-6.5126086532141302E-5</v>
      </c>
      <c r="BB44">
        <f>regressions!$T$2+regressions!$T$1*EXP(AT44)</f>
        <v>-1.4857407543454951E-4</v>
      </c>
      <c r="BC44" s="8">
        <f>(1-EXP(-2*regressions!$X$1*AT44))/2/EXP(-regressions!$X$1*AT44)</f>
        <v>-7.6656454068501391E-3</v>
      </c>
      <c r="BE44">
        <f t="shared" si="10"/>
        <v>0</v>
      </c>
      <c r="BF44">
        <f t="shared" si="0"/>
        <v>0</v>
      </c>
      <c r="BG44">
        <f t="shared" si="1"/>
        <v>0</v>
      </c>
      <c r="BH44">
        <f>BG44+regressions!$AR$1*(AI44-B44)</f>
        <v>0</v>
      </c>
      <c r="BI44">
        <f>BG44-regressions!$AO$1*(AI44-B44)</f>
        <v>0</v>
      </c>
      <c r="BJ44">
        <f t="shared" si="2"/>
        <v>0</v>
      </c>
      <c r="BK44">
        <f>BJ44+regressions!$AR$1*(AT44-B44)</f>
        <v>0</v>
      </c>
      <c r="BL44">
        <f>BJ44-regressions!$AO$1*(AT44-B44)</f>
        <v>0</v>
      </c>
      <c r="BM44">
        <f t="shared" si="11"/>
        <v>0</v>
      </c>
      <c r="BN44">
        <f t="shared" si="3"/>
        <v>0</v>
      </c>
      <c r="BO44">
        <f t="shared" si="4"/>
        <v>0</v>
      </c>
      <c r="BP44">
        <f t="shared" si="12"/>
        <v>0</v>
      </c>
      <c r="BQ44">
        <f t="shared" si="13"/>
        <v>0</v>
      </c>
      <c r="BR44">
        <f t="shared" si="14"/>
        <v>0</v>
      </c>
    </row>
    <row r="45" spans="1:70" x14ac:dyDescent="0.35">
      <c r="A45">
        <v>1892</v>
      </c>
      <c r="B45" s="33">
        <v>1.9770018485990068E-2</v>
      </c>
      <c r="C45">
        <f t="shared" si="15"/>
        <v>-7.5480379907457706E-3</v>
      </c>
      <c r="D45">
        <f>IF($B45&lt;=regressions!$L$2,$B45*regressions!$L$1,regressions!$L$1*regressions!$L$2+regressions!$L$3*($B45-regressions!$L$2))</f>
        <v>-1.5712812052621192E-2</v>
      </c>
      <c r="E45">
        <f>regressions!$J$1*B45+regressions!$J$2*B45^2</f>
        <v>-8.9944178085634031E-3</v>
      </c>
      <c r="F45">
        <f>regressions!$V$1*B45</f>
        <v>-1.5712812096980458E-2</v>
      </c>
      <c r="G45">
        <f>regressions!$N$1*B45^2</f>
        <v>-6.8104237523512615E-5</v>
      </c>
      <c r="H45">
        <f>regressions!$R$1*B45^2+regressions!$R$2*B45^6</f>
        <v>-7.4177810504058811E-5</v>
      </c>
      <c r="I45">
        <f>regressions!$P$1*B45^2+regressions!$P$2*B45^7</f>
        <v>-7.1762245794090222E-5</v>
      </c>
      <c r="J45">
        <f>regressions!$T$2+regressions!$T$1*EXP(B45)</f>
        <v>-1.5603338154480256E-4</v>
      </c>
      <c r="K45" s="8">
        <f>(1-EXP(-2*regressions!$X$1*B45))/2/EXP(-regressions!$X$1*B45)</f>
        <v>-8.0467346309283823E-3</v>
      </c>
      <c r="M45" s="33">
        <v>1.9770018485990068E-2</v>
      </c>
      <c r="N45">
        <f t="shared" si="6"/>
        <v>-7.5480379907457706E-3</v>
      </c>
      <c r="O45">
        <f>IF($B45&lt;=regressions!$L$2,$B45*regressions!$L$1,regressions!$L$1*regressions!$L$2+regressions!$L$3*($B45-regressions!$L$2))</f>
        <v>-1.5712812052621192E-2</v>
      </c>
      <c r="P45">
        <f>regressions!$J$1*M45+regressions!$J$2*M45^2</f>
        <v>-8.9944178085634031E-3</v>
      </c>
      <c r="Q45">
        <f>regressions!$V$1*M45</f>
        <v>-1.5712812096980458E-2</v>
      </c>
      <c r="R45">
        <f>regressions!$N$1*M45^2</f>
        <v>-6.8104237523512615E-5</v>
      </c>
      <c r="S45">
        <f>regressions!$R$1*M45^2+regressions!$R$2*M45^6</f>
        <v>-7.4177810504058811E-5</v>
      </c>
      <c r="T45">
        <f>regressions!$P$1*M45^2+regressions!$P$2*M45^7</f>
        <v>-7.1762245794090222E-5</v>
      </c>
      <c r="U45">
        <f>regressions!$T$2+regressions!$T$1*EXP(M45)</f>
        <v>-1.5603338154480256E-4</v>
      </c>
      <c r="V45" s="8">
        <f>(1-EXP(-2*regressions!$X$1*M45))/2/EXP(-regressions!$X$1*M45)</f>
        <v>-8.0467346309283823E-3</v>
      </c>
      <c r="X45" s="33">
        <v>1.9770018485990068E-2</v>
      </c>
      <c r="Y45">
        <f t="shared" si="7"/>
        <v>-7.5480379907457706E-3</v>
      </c>
      <c r="Z45">
        <f>IF($B45&lt;=regressions!$L$2,$B45*regressions!$L$1,regressions!$L$1*regressions!$L$2+regressions!$L$3*($B45-regressions!$L$2))</f>
        <v>-1.5712812052621192E-2</v>
      </c>
      <c r="AA45">
        <f>regressions!$J$1*X45+regressions!$J$2*X45^2</f>
        <v>-8.9944178085634031E-3</v>
      </c>
      <c r="AB45">
        <f>regressions!$V$1*X45</f>
        <v>-1.5712812096980458E-2</v>
      </c>
      <c r="AC45">
        <f>regressions!$N$1*X45^2</f>
        <v>-6.8104237523512615E-5</v>
      </c>
      <c r="AD45">
        <f>regressions!$R$1*X45^2+regressions!$R$2*X45^6</f>
        <v>-7.4177810504058811E-5</v>
      </c>
      <c r="AE45">
        <f>regressions!$P$1*X45^2+regressions!$P$2*X45^7</f>
        <v>-7.1762245794090222E-5</v>
      </c>
      <c r="AF45">
        <f>regressions!$T$2+regressions!$T$1*EXP(X45)</f>
        <v>-1.5603338154480256E-4</v>
      </c>
      <c r="AG45" s="8">
        <f>(1-EXP(-2*regressions!$X$1*X45))/2/EXP(-regressions!$X$1*X45)</f>
        <v>-8.0467346309283823E-3</v>
      </c>
      <c r="AH45" s="8"/>
      <c r="AI45" s="33">
        <v>1.9770018485990068E-2</v>
      </c>
      <c r="AJ45">
        <f t="shared" si="8"/>
        <v>-7.5480379907457706E-3</v>
      </c>
      <c r="AK45">
        <f>IF(AI45&lt;=regressions!$L$2,AI45*regressions!$L$1,regressions!$L$1*regressions!$L$2+regressions!$L$3*(AI45-regressions!$L$2))</f>
        <v>-1.5712812052621192E-2</v>
      </c>
      <c r="AL45">
        <f>regressions!$J$1*AI45+regressions!$J$2*AI45^2</f>
        <v>-8.9944178085634031E-3</v>
      </c>
      <c r="AM45">
        <f>regressions!$V$1*AI45</f>
        <v>-1.5712812096980458E-2</v>
      </c>
      <c r="AN45">
        <f>regressions!$N$1*AI45^2</f>
        <v>-6.8104237523512615E-5</v>
      </c>
      <c r="AO45">
        <f>regressions!$R$1*AI45^2+regressions!$R$2*AI45^6</f>
        <v>-7.4177810504058811E-5</v>
      </c>
      <c r="AP45">
        <f>regressions!$P$1*AI45^2+regressions!$P$2*AI45^7</f>
        <v>-7.1762245794090222E-5</v>
      </c>
      <c r="AQ45">
        <f>regressions!$T$2+regressions!$T$1*EXP(AI45)</f>
        <v>-1.5603338154480256E-4</v>
      </c>
      <c r="AR45" s="8">
        <f>(1-EXP(-2*regressions!$X$1*AI45))/2/EXP(-regressions!$X$1*AI45)</f>
        <v>-8.0467346309283823E-3</v>
      </c>
      <c r="AT45" s="33">
        <v>1.9770018485990068E-2</v>
      </c>
      <c r="AU45">
        <f t="shared" si="9"/>
        <v>-7.5480379907457706E-3</v>
      </c>
      <c r="AV45">
        <f>IF(AT45&lt;=regressions!$L$2,AT45*regressions!$L$1,regressions!$L$1*regressions!$L$2+regressions!$L$3*(AT45-regressions!$L$2))</f>
        <v>-1.5712812052621192E-2</v>
      </c>
      <c r="AW45">
        <f>regressions!$J$1*AT45+regressions!$J$2*AT45^2</f>
        <v>-8.9944178085634031E-3</v>
      </c>
      <c r="AX45">
        <f>regressions!$V$1*AT45</f>
        <v>-1.5712812096980458E-2</v>
      </c>
      <c r="AY45">
        <f>regressions!$N$1*AT45^2</f>
        <v>-6.8104237523512615E-5</v>
      </c>
      <c r="AZ45">
        <f>regressions!$R$1*AT45^2+regressions!$R$2*AT45^6</f>
        <v>-7.4177810504058811E-5</v>
      </c>
      <c r="BA45">
        <f>regressions!$P$1*AT45^2+regressions!$P$2*AT45^7</f>
        <v>-7.1762245794090222E-5</v>
      </c>
      <c r="BB45">
        <f>regressions!$T$2+regressions!$T$1*EXP(AT45)</f>
        <v>-1.5603338154480256E-4</v>
      </c>
      <c r="BC45" s="8">
        <f>(1-EXP(-2*regressions!$X$1*AT45))/2/EXP(-regressions!$X$1*AT45)</f>
        <v>-8.0467346309283823E-3</v>
      </c>
      <c r="BE45">
        <f t="shared" si="10"/>
        <v>0</v>
      </c>
      <c r="BF45">
        <f t="shared" si="0"/>
        <v>0</v>
      </c>
      <c r="BG45">
        <f t="shared" si="1"/>
        <v>0</v>
      </c>
      <c r="BH45">
        <f>BG45+regressions!$AR$1*(AI45-B45)</f>
        <v>0</v>
      </c>
      <c r="BI45">
        <f>BG45-regressions!$AO$1*(AI45-B45)</f>
        <v>0</v>
      </c>
      <c r="BJ45">
        <f t="shared" si="2"/>
        <v>0</v>
      </c>
      <c r="BK45">
        <f>BJ45+regressions!$AR$1*(AT45-B45)</f>
        <v>0</v>
      </c>
      <c r="BL45">
        <f>BJ45-regressions!$AO$1*(AT45-B45)</f>
        <v>0</v>
      </c>
      <c r="BM45">
        <f t="shared" si="11"/>
        <v>0</v>
      </c>
      <c r="BN45">
        <f t="shared" si="3"/>
        <v>0</v>
      </c>
      <c r="BO45">
        <f t="shared" si="4"/>
        <v>0</v>
      </c>
      <c r="BP45">
        <f t="shared" si="12"/>
        <v>0</v>
      </c>
      <c r="BQ45">
        <f t="shared" si="13"/>
        <v>0</v>
      </c>
      <c r="BR45">
        <f t="shared" si="14"/>
        <v>0</v>
      </c>
    </row>
    <row r="46" spans="1:70" x14ac:dyDescent="0.35">
      <c r="A46">
        <v>1893</v>
      </c>
      <c r="B46" s="33">
        <v>2.0743580952469805E-2</v>
      </c>
      <c r="C46">
        <f t="shared" si="15"/>
        <v>-7.9213599770729844E-3</v>
      </c>
      <c r="D46">
        <f>IF($B46&lt;=regressions!$L$2,$B46*regressions!$L$1,regressions!$L$1*regressions!$L$2+regressions!$L$3*($B46-regressions!$L$2))</f>
        <v>-1.6486579870194192E-2</v>
      </c>
      <c r="E46">
        <f>regressions!$J$1*B46+regressions!$J$2*B46^2</f>
        <v>-9.4389930299697052E-3</v>
      </c>
      <c r="F46">
        <f>regressions!$V$1*B46</f>
        <v>-1.6486579916737902E-2</v>
      </c>
      <c r="G46">
        <f>regressions!$N$1*B46^2</f>
        <v>-7.4976893996545909E-5</v>
      </c>
      <c r="H46">
        <f>regressions!$R$1*B46^2+regressions!$R$2*B46^6</f>
        <v>-8.1663374222905289E-5</v>
      </c>
      <c r="I46">
        <f>regressions!$P$1*B46^2+regressions!$P$2*B46^7</f>
        <v>-7.9004045732102354E-5</v>
      </c>
      <c r="J46">
        <f>regressions!$T$2+regressions!$T$1*EXP(B46)</f>
        <v>-1.6379713299368749E-4</v>
      </c>
      <c r="K46" s="8">
        <f>(1-EXP(-2*regressions!$X$1*B46))/2/EXP(-regressions!$X$1*B46)</f>
        <v>-8.4430003498295585E-3</v>
      </c>
      <c r="M46" s="33">
        <v>2.0743580952469805E-2</v>
      </c>
      <c r="N46">
        <f t="shared" si="6"/>
        <v>-7.9213599770729844E-3</v>
      </c>
      <c r="O46">
        <f>IF($B46&lt;=regressions!$L$2,$B46*regressions!$L$1,regressions!$L$1*regressions!$L$2+regressions!$L$3*($B46-regressions!$L$2))</f>
        <v>-1.6486579870194192E-2</v>
      </c>
      <c r="P46">
        <f>regressions!$J$1*M46+regressions!$J$2*M46^2</f>
        <v>-9.4389930299697052E-3</v>
      </c>
      <c r="Q46">
        <f>regressions!$V$1*M46</f>
        <v>-1.6486579916737902E-2</v>
      </c>
      <c r="R46">
        <f>regressions!$N$1*M46^2</f>
        <v>-7.4976893996545909E-5</v>
      </c>
      <c r="S46">
        <f>regressions!$R$1*M46^2+regressions!$R$2*M46^6</f>
        <v>-8.1663374222905289E-5</v>
      </c>
      <c r="T46">
        <f>regressions!$P$1*M46^2+regressions!$P$2*M46^7</f>
        <v>-7.9004045732102354E-5</v>
      </c>
      <c r="U46">
        <f>regressions!$T$2+regressions!$T$1*EXP(M46)</f>
        <v>-1.6379713299368749E-4</v>
      </c>
      <c r="V46" s="8">
        <f>(1-EXP(-2*regressions!$X$1*M46))/2/EXP(-regressions!$X$1*M46)</f>
        <v>-8.4430003498295585E-3</v>
      </c>
      <c r="X46" s="33">
        <v>2.0743580952469805E-2</v>
      </c>
      <c r="Y46">
        <f t="shared" si="7"/>
        <v>-7.9213599770729844E-3</v>
      </c>
      <c r="Z46">
        <f>IF($B46&lt;=regressions!$L$2,$B46*regressions!$L$1,regressions!$L$1*regressions!$L$2+regressions!$L$3*($B46-regressions!$L$2))</f>
        <v>-1.6486579870194192E-2</v>
      </c>
      <c r="AA46">
        <f>regressions!$J$1*X46+regressions!$J$2*X46^2</f>
        <v>-9.4389930299697052E-3</v>
      </c>
      <c r="AB46">
        <f>regressions!$V$1*X46</f>
        <v>-1.6486579916737902E-2</v>
      </c>
      <c r="AC46">
        <f>regressions!$N$1*X46^2</f>
        <v>-7.4976893996545909E-5</v>
      </c>
      <c r="AD46">
        <f>regressions!$R$1*X46^2+regressions!$R$2*X46^6</f>
        <v>-8.1663374222905289E-5</v>
      </c>
      <c r="AE46">
        <f>regressions!$P$1*X46^2+regressions!$P$2*X46^7</f>
        <v>-7.9004045732102354E-5</v>
      </c>
      <c r="AF46">
        <f>regressions!$T$2+regressions!$T$1*EXP(X46)</f>
        <v>-1.6379713299368749E-4</v>
      </c>
      <c r="AG46" s="8">
        <f>(1-EXP(-2*regressions!$X$1*X46))/2/EXP(-regressions!$X$1*X46)</f>
        <v>-8.4430003498295585E-3</v>
      </c>
      <c r="AH46" s="8"/>
      <c r="AI46" s="33">
        <v>2.0743580952469805E-2</v>
      </c>
      <c r="AJ46">
        <f t="shared" si="8"/>
        <v>-7.9213599770729844E-3</v>
      </c>
      <c r="AK46">
        <f>IF(AI46&lt;=regressions!$L$2,AI46*regressions!$L$1,regressions!$L$1*regressions!$L$2+regressions!$L$3*(AI46-regressions!$L$2))</f>
        <v>-1.6486579870194192E-2</v>
      </c>
      <c r="AL46">
        <f>regressions!$J$1*AI46+regressions!$J$2*AI46^2</f>
        <v>-9.4389930299697052E-3</v>
      </c>
      <c r="AM46">
        <f>regressions!$V$1*AI46</f>
        <v>-1.6486579916737902E-2</v>
      </c>
      <c r="AN46">
        <f>regressions!$N$1*AI46^2</f>
        <v>-7.4976893996545909E-5</v>
      </c>
      <c r="AO46">
        <f>regressions!$R$1*AI46^2+regressions!$R$2*AI46^6</f>
        <v>-8.1663374222905289E-5</v>
      </c>
      <c r="AP46">
        <f>regressions!$P$1*AI46^2+regressions!$P$2*AI46^7</f>
        <v>-7.9004045732102354E-5</v>
      </c>
      <c r="AQ46">
        <f>regressions!$T$2+regressions!$T$1*EXP(AI46)</f>
        <v>-1.6379713299368749E-4</v>
      </c>
      <c r="AR46" s="8">
        <f>(1-EXP(-2*regressions!$X$1*AI46))/2/EXP(-regressions!$X$1*AI46)</f>
        <v>-8.4430003498295585E-3</v>
      </c>
      <c r="AT46" s="33">
        <v>2.0743580952469805E-2</v>
      </c>
      <c r="AU46">
        <f t="shared" si="9"/>
        <v>-7.9213599770729844E-3</v>
      </c>
      <c r="AV46">
        <f>IF(AT46&lt;=regressions!$L$2,AT46*regressions!$L$1,regressions!$L$1*regressions!$L$2+regressions!$L$3*(AT46-regressions!$L$2))</f>
        <v>-1.6486579870194192E-2</v>
      </c>
      <c r="AW46">
        <f>regressions!$J$1*AT46+regressions!$J$2*AT46^2</f>
        <v>-9.4389930299697052E-3</v>
      </c>
      <c r="AX46">
        <f>regressions!$V$1*AT46</f>
        <v>-1.6486579916737902E-2</v>
      </c>
      <c r="AY46">
        <f>regressions!$N$1*AT46^2</f>
        <v>-7.4976893996545909E-5</v>
      </c>
      <c r="AZ46">
        <f>regressions!$R$1*AT46^2+regressions!$R$2*AT46^6</f>
        <v>-8.1663374222905289E-5</v>
      </c>
      <c r="BA46">
        <f>regressions!$P$1*AT46^2+regressions!$P$2*AT46^7</f>
        <v>-7.9004045732102354E-5</v>
      </c>
      <c r="BB46">
        <f>regressions!$T$2+regressions!$T$1*EXP(AT46)</f>
        <v>-1.6379713299368749E-4</v>
      </c>
      <c r="BC46" s="8">
        <f>(1-EXP(-2*regressions!$X$1*AT46))/2/EXP(-regressions!$X$1*AT46)</f>
        <v>-8.4430003498295585E-3</v>
      </c>
      <c r="BE46">
        <f t="shared" si="10"/>
        <v>0</v>
      </c>
      <c r="BF46">
        <f t="shared" si="0"/>
        <v>0</v>
      </c>
      <c r="BG46">
        <f t="shared" si="1"/>
        <v>0</v>
      </c>
      <c r="BH46">
        <f>BG46+regressions!$AR$1*(AI46-B46)</f>
        <v>0</v>
      </c>
      <c r="BI46">
        <f>BG46-regressions!$AO$1*(AI46-B46)</f>
        <v>0</v>
      </c>
      <c r="BJ46">
        <f t="shared" si="2"/>
        <v>0</v>
      </c>
      <c r="BK46">
        <f>BJ46+regressions!$AR$1*(AT46-B46)</f>
        <v>0</v>
      </c>
      <c r="BL46">
        <f>BJ46-regressions!$AO$1*(AT46-B46)</f>
        <v>0</v>
      </c>
      <c r="BM46">
        <f t="shared" si="11"/>
        <v>0</v>
      </c>
      <c r="BN46">
        <f t="shared" si="3"/>
        <v>0</v>
      </c>
      <c r="BO46">
        <f t="shared" si="4"/>
        <v>0</v>
      </c>
      <c r="BP46">
        <f t="shared" si="12"/>
        <v>0</v>
      </c>
      <c r="BQ46">
        <f t="shared" si="13"/>
        <v>0</v>
      </c>
      <c r="BR46">
        <f t="shared" si="14"/>
        <v>0</v>
      </c>
    </row>
    <row r="47" spans="1:70" x14ac:dyDescent="0.35">
      <c r="A47">
        <v>1894</v>
      </c>
      <c r="B47" s="33">
        <v>2.1750857262612201E-2</v>
      </c>
      <c r="C47">
        <f t="shared" si="15"/>
        <v>-8.3077703456230952E-3</v>
      </c>
      <c r="D47">
        <f>IF($B47&lt;=regressions!$L$2,$B47*regressions!$L$1,regressions!$L$1*regressions!$L$2+regressions!$L$3*($B47-regressions!$L$2))</f>
        <v>-1.728714277090878E-2</v>
      </c>
      <c r="E47">
        <f>regressions!$J$1*B47+regressions!$J$2*B47^2</f>
        <v>-9.8991266846724813E-3</v>
      </c>
      <c r="F47">
        <f>regressions!$V$1*B47</f>
        <v>-1.7287142819712581E-2</v>
      </c>
      <c r="G47">
        <f>regressions!$N$1*B47^2</f>
        <v>-8.2435208561950499E-5</v>
      </c>
      <c r="H47">
        <f>regressions!$R$1*B47^2+regressions!$R$2*B47^6</f>
        <v>-8.9786825341589178E-5</v>
      </c>
      <c r="I47">
        <f>regressions!$P$1*B47^2+regressions!$P$2*B47^7</f>
        <v>-8.6862960573743292E-5</v>
      </c>
      <c r="J47">
        <f>regressions!$T$2+regressions!$T$1*EXP(B47)</f>
        <v>-1.7183769778600887E-4</v>
      </c>
      <c r="K47" s="8">
        <f>(1-EXP(-2*regressions!$X$1*B47))/2/EXP(-regressions!$X$1*B47)</f>
        <v>-8.8529898924641567E-3</v>
      </c>
      <c r="M47" s="33">
        <v>2.1750857262612201E-2</v>
      </c>
      <c r="N47">
        <f t="shared" si="6"/>
        <v>-8.3077703456230952E-3</v>
      </c>
      <c r="O47">
        <f>IF($B47&lt;=regressions!$L$2,$B47*regressions!$L$1,regressions!$L$1*regressions!$L$2+regressions!$L$3*($B47-regressions!$L$2))</f>
        <v>-1.728714277090878E-2</v>
      </c>
      <c r="P47">
        <f>regressions!$J$1*M47+regressions!$J$2*M47^2</f>
        <v>-9.8991266846724813E-3</v>
      </c>
      <c r="Q47">
        <f>regressions!$V$1*M47</f>
        <v>-1.7287142819712581E-2</v>
      </c>
      <c r="R47">
        <f>regressions!$N$1*M47^2</f>
        <v>-8.2435208561950499E-5</v>
      </c>
      <c r="S47">
        <f>regressions!$R$1*M47^2+regressions!$R$2*M47^6</f>
        <v>-8.9786825341589178E-5</v>
      </c>
      <c r="T47">
        <f>regressions!$P$1*M47^2+regressions!$P$2*M47^7</f>
        <v>-8.6862960573743292E-5</v>
      </c>
      <c r="U47">
        <f>regressions!$T$2+regressions!$T$1*EXP(M47)</f>
        <v>-1.7183769778600887E-4</v>
      </c>
      <c r="V47" s="8">
        <f>(1-EXP(-2*regressions!$X$1*M47))/2/EXP(-regressions!$X$1*M47)</f>
        <v>-8.8529898924641567E-3</v>
      </c>
      <c r="X47" s="33">
        <v>2.1750857262612201E-2</v>
      </c>
      <c r="Y47">
        <f t="shared" si="7"/>
        <v>-8.3077703456230952E-3</v>
      </c>
      <c r="Z47">
        <f>IF($B47&lt;=regressions!$L$2,$B47*regressions!$L$1,regressions!$L$1*regressions!$L$2+regressions!$L$3*($B47-regressions!$L$2))</f>
        <v>-1.728714277090878E-2</v>
      </c>
      <c r="AA47">
        <f>regressions!$J$1*X47+regressions!$J$2*X47^2</f>
        <v>-9.8991266846724813E-3</v>
      </c>
      <c r="AB47">
        <f>regressions!$V$1*X47</f>
        <v>-1.7287142819712581E-2</v>
      </c>
      <c r="AC47">
        <f>regressions!$N$1*X47^2</f>
        <v>-8.2435208561950499E-5</v>
      </c>
      <c r="AD47">
        <f>regressions!$R$1*X47^2+regressions!$R$2*X47^6</f>
        <v>-8.9786825341589178E-5</v>
      </c>
      <c r="AE47">
        <f>regressions!$P$1*X47^2+regressions!$P$2*X47^7</f>
        <v>-8.6862960573743292E-5</v>
      </c>
      <c r="AF47">
        <f>regressions!$T$2+regressions!$T$1*EXP(X47)</f>
        <v>-1.7183769778600887E-4</v>
      </c>
      <c r="AG47" s="8">
        <f>(1-EXP(-2*regressions!$X$1*X47))/2/EXP(-regressions!$X$1*X47)</f>
        <v>-8.8529898924641567E-3</v>
      </c>
      <c r="AH47" s="8"/>
      <c r="AI47" s="33">
        <v>2.1750857262612201E-2</v>
      </c>
      <c r="AJ47">
        <f t="shared" si="8"/>
        <v>-8.3077703456230952E-3</v>
      </c>
      <c r="AK47">
        <f>IF(AI47&lt;=regressions!$L$2,AI47*regressions!$L$1,regressions!$L$1*regressions!$L$2+regressions!$L$3*(AI47-regressions!$L$2))</f>
        <v>-1.728714277090878E-2</v>
      </c>
      <c r="AL47">
        <f>regressions!$J$1*AI47+regressions!$J$2*AI47^2</f>
        <v>-9.8991266846724813E-3</v>
      </c>
      <c r="AM47">
        <f>regressions!$V$1*AI47</f>
        <v>-1.7287142819712581E-2</v>
      </c>
      <c r="AN47">
        <f>regressions!$N$1*AI47^2</f>
        <v>-8.2435208561950499E-5</v>
      </c>
      <c r="AO47">
        <f>regressions!$R$1*AI47^2+regressions!$R$2*AI47^6</f>
        <v>-8.9786825341589178E-5</v>
      </c>
      <c r="AP47">
        <f>regressions!$P$1*AI47^2+regressions!$P$2*AI47^7</f>
        <v>-8.6862960573743292E-5</v>
      </c>
      <c r="AQ47">
        <f>regressions!$T$2+regressions!$T$1*EXP(AI47)</f>
        <v>-1.7183769778600887E-4</v>
      </c>
      <c r="AR47" s="8">
        <f>(1-EXP(-2*regressions!$X$1*AI47))/2/EXP(-regressions!$X$1*AI47)</f>
        <v>-8.8529898924641567E-3</v>
      </c>
      <c r="AT47" s="33">
        <v>2.1750857262612201E-2</v>
      </c>
      <c r="AU47">
        <f t="shared" si="9"/>
        <v>-8.3077703456230952E-3</v>
      </c>
      <c r="AV47">
        <f>IF(AT47&lt;=regressions!$L$2,AT47*regressions!$L$1,regressions!$L$1*regressions!$L$2+regressions!$L$3*(AT47-regressions!$L$2))</f>
        <v>-1.728714277090878E-2</v>
      </c>
      <c r="AW47">
        <f>regressions!$J$1*AT47+regressions!$J$2*AT47^2</f>
        <v>-9.8991266846724813E-3</v>
      </c>
      <c r="AX47">
        <f>regressions!$V$1*AT47</f>
        <v>-1.7287142819712581E-2</v>
      </c>
      <c r="AY47">
        <f>regressions!$N$1*AT47^2</f>
        <v>-8.2435208561950499E-5</v>
      </c>
      <c r="AZ47">
        <f>regressions!$R$1*AT47^2+regressions!$R$2*AT47^6</f>
        <v>-8.9786825341589178E-5</v>
      </c>
      <c r="BA47">
        <f>regressions!$P$1*AT47^2+regressions!$P$2*AT47^7</f>
        <v>-8.6862960573743292E-5</v>
      </c>
      <c r="BB47">
        <f>regressions!$T$2+regressions!$T$1*EXP(AT47)</f>
        <v>-1.7183769778600887E-4</v>
      </c>
      <c r="BC47" s="8">
        <f>(1-EXP(-2*regressions!$X$1*AT47))/2/EXP(-regressions!$X$1*AT47)</f>
        <v>-8.8529898924641567E-3</v>
      </c>
      <c r="BE47">
        <f t="shared" si="10"/>
        <v>0</v>
      </c>
      <c r="BF47">
        <f t="shared" si="0"/>
        <v>0</v>
      </c>
      <c r="BG47">
        <f t="shared" si="1"/>
        <v>0</v>
      </c>
      <c r="BH47">
        <f>BG47+regressions!$AR$1*(AI47-B47)</f>
        <v>0</v>
      </c>
      <c r="BI47">
        <f>BG47-regressions!$AO$1*(AI47-B47)</f>
        <v>0</v>
      </c>
      <c r="BJ47">
        <f t="shared" si="2"/>
        <v>0</v>
      </c>
      <c r="BK47">
        <f>BJ47+regressions!$AR$1*(AT47-B47)</f>
        <v>0</v>
      </c>
      <c r="BL47">
        <f>BJ47-regressions!$AO$1*(AT47-B47)</f>
        <v>0</v>
      </c>
      <c r="BM47">
        <f t="shared" si="11"/>
        <v>0</v>
      </c>
      <c r="BN47">
        <f t="shared" si="3"/>
        <v>0</v>
      </c>
      <c r="BO47">
        <f t="shared" si="4"/>
        <v>0</v>
      </c>
      <c r="BP47">
        <f t="shared" si="12"/>
        <v>0</v>
      </c>
      <c r="BQ47">
        <f t="shared" si="13"/>
        <v>0</v>
      </c>
      <c r="BR47">
        <f t="shared" si="14"/>
        <v>0</v>
      </c>
    </row>
    <row r="48" spans="1:70" x14ac:dyDescent="0.35">
      <c r="A48">
        <v>1895</v>
      </c>
      <c r="B48" s="33">
        <v>2.2793135167774526E-2</v>
      </c>
      <c r="C48">
        <f t="shared" si="15"/>
        <v>-8.7077798233806195E-3</v>
      </c>
      <c r="D48">
        <f>IF($B48&lt;=regressions!$L$2,$B48*regressions!$L$1,regressions!$L$1*regressions!$L$2+regressions!$L$3*($B48-regressions!$L$2))</f>
        <v>-1.8115524233577665E-2</v>
      </c>
      <c r="E48">
        <f>regressions!$J$1*B48+regressions!$J$2*B48^2</f>
        <v>-1.0375424008921998E-2</v>
      </c>
      <c r="F48">
        <f>regressions!$V$1*B48</f>
        <v>-1.8115524284720092E-2</v>
      </c>
      <c r="G48">
        <f>regressions!$N$1*B48^2</f>
        <v>-9.0524913014195676E-5</v>
      </c>
      <c r="H48">
        <f>regressions!$R$1*B48^2+regressions!$R$2*B48^6</f>
        <v>-9.8597974040888397E-5</v>
      </c>
      <c r="I48">
        <f>regressions!$P$1*B48^2+regressions!$P$2*B48^7</f>
        <v>-9.5387178455238366E-5</v>
      </c>
      <c r="J48">
        <f>regressions!$T$2+regressions!$T$1*EXP(B48)</f>
        <v>-1.801661926769272E-4</v>
      </c>
      <c r="K48" s="8">
        <f>(1-EXP(-2*regressions!$X$1*B48))/2/EXP(-regressions!$X$1*B48)</f>
        <v>-9.2772276274683541E-3</v>
      </c>
      <c r="M48" s="33">
        <v>2.2793135167774526E-2</v>
      </c>
      <c r="N48">
        <f t="shared" si="6"/>
        <v>-8.7077798233806195E-3</v>
      </c>
      <c r="O48">
        <f>IF($B48&lt;=regressions!$L$2,$B48*regressions!$L$1,regressions!$L$1*regressions!$L$2+regressions!$L$3*($B48-regressions!$L$2))</f>
        <v>-1.8115524233577665E-2</v>
      </c>
      <c r="P48">
        <f>regressions!$J$1*M48+regressions!$J$2*M48^2</f>
        <v>-1.0375424008921998E-2</v>
      </c>
      <c r="Q48">
        <f>regressions!$V$1*M48</f>
        <v>-1.8115524284720092E-2</v>
      </c>
      <c r="R48">
        <f>regressions!$N$1*M48^2</f>
        <v>-9.0524913014195676E-5</v>
      </c>
      <c r="S48">
        <f>regressions!$R$1*M48^2+regressions!$R$2*M48^6</f>
        <v>-9.8597974040888397E-5</v>
      </c>
      <c r="T48">
        <f>regressions!$P$1*M48^2+regressions!$P$2*M48^7</f>
        <v>-9.5387178455238366E-5</v>
      </c>
      <c r="U48">
        <f>regressions!$T$2+regressions!$T$1*EXP(M48)</f>
        <v>-1.801661926769272E-4</v>
      </c>
      <c r="V48" s="8">
        <f>(1-EXP(-2*regressions!$X$1*M48))/2/EXP(-regressions!$X$1*M48)</f>
        <v>-9.2772276274683541E-3</v>
      </c>
      <c r="X48" s="33">
        <v>2.2793135167774526E-2</v>
      </c>
      <c r="Y48">
        <f t="shared" si="7"/>
        <v>-8.7077798233806195E-3</v>
      </c>
      <c r="Z48">
        <f>IF($B48&lt;=regressions!$L$2,$B48*regressions!$L$1,regressions!$L$1*regressions!$L$2+regressions!$L$3*($B48-regressions!$L$2))</f>
        <v>-1.8115524233577665E-2</v>
      </c>
      <c r="AA48">
        <f>regressions!$J$1*X48+regressions!$J$2*X48^2</f>
        <v>-1.0375424008921998E-2</v>
      </c>
      <c r="AB48">
        <f>regressions!$V$1*X48</f>
        <v>-1.8115524284720092E-2</v>
      </c>
      <c r="AC48">
        <f>regressions!$N$1*X48^2</f>
        <v>-9.0524913014195676E-5</v>
      </c>
      <c r="AD48">
        <f>regressions!$R$1*X48^2+regressions!$R$2*X48^6</f>
        <v>-9.8597974040888397E-5</v>
      </c>
      <c r="AE48">
        <f>regressions!$P$1*X48^2+regressions!$P$2*X48^7</f>
        <v>-9.5387178455238366E-5</v>
      </c>
      <c r="AF48">
        <f>regressions!$T$2+regressions!$T$1*EXP(X48)</f>
        <v>-1.801661926769272E-4</v>
      </c>
      <c r="AG48" s="8">
        <f>(1-EXP(-2*regressions!$X$1*X48))/2/EXP(-regressions!$X$1*X48)</f>
        <v>-9.2772276274683541E-3</v>
      </c>
      <c r="AH48" s="8"/>
      <c r="AI48" s="33">
        <v>2.2793135167774526E-2</v>
      </c>
      <c r="AJ48">
        <f t="shared" si="8"/>
        <v>-8.7077798233806195E-3</v>
      </c>
      <c r="AK48">
        <f>IF(AI48&lt;=regressions!$L$2,AI48*regressions!$L$1,regressions!$L$1*regressions!$L$2+regressions!$L$3*(AI48-regressions!$L$2))</f>
        <v>-1.8115524233577665E-2</v>
      </c>
      <c r="AL48">
        <f>regressions!$J$1*AI48+regressions!$J$2*AI48^2</f>
        <v>-1.0375424008921998E-2</v>
      </c>
      <c r="AM48">
        <f>regressions!$V$1*AI48</f>
        <v>-1.8115524284720092E-2</v>
      </c>
      <c r="AN48">
        <f>regressions!$N$1*AI48^2</f>
        <v>-9.0524913014195676E-5</v>
      </c>
      <c r="AO48">
        <f>regressions!$R$1*AI48^2+regressions!$R$2*AI48^6</f>
        <v>-9.8597974040888397E-5</v>
      </c>
      <c r="AP48">
        <f>regressions!$P$1*AI48^2+regressions!$P$2*AI48^7</f>
        <v>-9.5387178455238366E-5</v>
      </c>
      <c r="AQ48">
        <f>regressions!$T$2+regressions!$T$1*EXP(AI48)</f>
        <v>-1.801661926769272E-4</v>
      </c>
      <c r="AR48" s="8">
        <f>(1-EXP(-2*regressions!$X$1*AI48))/2/EXP(-regressions!$X$1*AI48)</f>
        <v>-9.2772276274683541E-3</v>
      </c>
      <c r="AT48" s="33">
        <v>2.2793135167774526E-2</v>
      </c>
      <c r="AU48">
        <f t="shared" si="9"/>
        <v>-8.7077798233806195E-3</v>
      </c>
      <c r="AV48">
        <f>IF(AT48&lt;=regressions!$L$2,AT48*regressions!$L$1,regressions!$L$1*regressions!$L$2+regressions!$L$3*(AT48-regressions!$L$2))</f>
        <v>-1.8115524233577665E-2</v>
      </c>
      <c r="AW48">
        <f>regressions!$J$1*AT48+regressions!$J$2*AT48^2</f>
        <v>-1.0375424008921998E-2</v>
      </c>
      <c r="AX48">
        <f>regressions!$V$1*AT48</f>
        <v>-1.8115524284720092E-2</v>
      </c>
      <c r="AY48">
        <f>regressions!$N$1*AT48^2</f>
        <v>-9.0524913014195676E-5</v>
      </c>
      <c r="AZ48">
        <f>regressions!$R$1*AT48^2+regressions!$R$2*AT48^6</f>
        <v>-9.8597974040888397E-5</v>
      </c>
      <c r="BA48">
        <f>regressions!$P$1*AT48^2+regressions!$P$2*AT48^7</f>
        <v>-9.5387178455238366E-5</v>
      </c>
      <c r="BB48">
        <f>regressions!$T$2+regressions!$T$1*EXP(AT48)</f>
        <v>-1.801661926769272E-4</v>
      </c>
      <c r="BC48" s="8">
        <f>(1-EXP(-2*regressions!$X$1*AT48))/2/EXP(-regressions!$X$1*AT48)</f>
        <v>-9.2772276274683541E-3</v>
      </c>
      <c r="BE48">
        <f t="shared" si="10"/>
        <v>0</v>
      </c>
      <c r="BF48">
        <f t="shared" si="0"/>
        <v>0</v>
      </c>
      <c r="BG48">
        <f t="shared" si="1"/>
        <v>0</v>
      </c>
      <c r="BH48">
        <f>BG48+regressions!$AR$1*(AI48-B48)</f>
        <v>0</v>
      </c>
      <c r="BI48">
        <f>BG48-regressions!$AO$1*(AI48-B48)</f>
        <v>0</v>
      </c>
      <c r="BJ48">
        <f t="shared" si="2"/>
        <v>0</v>
      </c>
      <c r="BK48">
        <f>BJ48+regressions!$AR$1*(AT48-B48)</f>
        <v>0</v>
      </c>
      <c r="BL48">
        <f>BJ48-regressions!$AO$1*(AT48-B48)</f>
        <v>0</v>
      </c>
      <c r="BM48">
        <f t="shared" si="11"/>
        <v>0</v>
      </c>
      <c r="BN48">
        <f t="shared" si="3"/>
        <v>0</v>
      </c>
      <c r="BO48">
        <f t="shared" si="4"/>
        <v>0</v>
      </c>
      <c r="BP48">
        <f t="shared" si="12"/>
        <v>0</v>
      </c>
      <c r="BQ48">
        <f t="shared" si="13"/>
        <v>0</v>
      </c>
      <c r="BR48">
        <f t="shared" si="14"/>
        <v>0</v>
      </c>
    </row>
    <row r="49" spans="1:70" x14ac:dyDescent="0.35">
      <c r="A49">
        <v>1896</v>
      </c>
      <c r="B49" s="33">
        <v>2.3874202664812515E-2</v>
      </c>
      <c r="C49">
        <f t="shared" si="15"/>
        <v>-9.1228607786262954E-3</v>
      </c>
      <c r="D49">
        <f>IF($B49&lt;=regressions!$L$2,$B49*regressions!$L$1,regressions!$L$1*regressions!$L$2+regressions!$L$3*($B49-regressions!$L$2))</f>
        <v>-1.8974734881721116E-2</v>
      </c>
      <c r="E49">
        <f>regressions!$J$1*B49+regressions!$J$2*B49^2</f>
        <v>-1.086963491262871E-2</v>
      </c>
      <c r="F49">
        <f>regressions!$V$1*B49</f>
        <v>-1.8974734935289204E-2</v>
      </c>
      <c r="G49">
        <f>regressions!$N$1*B49^2</f>
        <v>-9.9315660830497454E-5</v>
      </c>
      <c r="H49">
        <f>regressions!$R$1*B49^2+regressions!$R$2*B49^6</f>
        <v>-1.0817268553301192E-4</v>
      </c>
      <c r="I49">
        <f>regressions!$P$1*B49^2+regressions!$P$2*B49^7</f>
        <v>-1.0465009407468777E-4</v>
      </c>
      <c r="J49">
        <f>regressions!$T$2+regressions!$T$1*EXP(B49)</f>
        <v>-1.8881381835681235E-4</v>
      </c>
      <c r="K49" s="8">
        <f>(1-EXP(-2*regressions!$X$1*B49))/2/EXP(-regressions!$X$1*B49)</f>
        <v>-9.7172556311231357E-3</v>
      </c>
      <c r="M49" s="33">
        <v>2.3874202664812515E-2</v>
      </c>
      <c r="N49">
        <f t="shared" si="6"/>
        <v>-9.1228607786262954E-3</v>
      </c>
      <c r="O49">
        <f>IF($B49&lt;=regressions!$L$2,$B49*regressions!$L$1,regressions!$L$1*regressions!$L$2+regressions!$L$3*($B49-regressions!$L$2))</f>
        <v>-1.8974734881721116E-2</v>
      </c>
      <c r="P49">
        <f>regressions!$J$1*M49+regressions!$J$2*M49^2</f>
        <v>-1.086963491262871E-2</v>
      </c>
      <c r="Q49">
        <f>regressions!$V$1*M49</f>
        <v>-1.8974734935289204E-2</v>
      </c>
      <c r="R49">
        <f>regressions!$N$1*M49^2</f>
        <v>-9.9315660830497454E-5</v>
      </c>
      <c r="S49">
        <f>regressions!$R$1*M49^2+regressions!$R$2*M49^6</f>
        <v>-1.0817268553301192E-4</v>
      </c>
      <c r="T49">
        <f>regressions!$P$1*M49^2+regressions!$P$2*M49^7</f>
        <v>-1.0465009407468777E-4</v>
      </c>
      <c r="U49">
        <f>regressions!$T$2+regressions!$T$1*EXP(M49)</f>
        <v>-1.8881381835681235E-4</v>
      </c>
      <c r="V49" s="8">
        <f>(1-EXP(-2*regressions!$X$1*M49))/2/EXP(-regressions!$X$1*M49)</f>
        <v>-9.7172556311231357E-3</v>
      </c>
      <c r="X49" s="33">
        <v>2.3874202664812515E-2</v>
      </c>
      <c r="Y49">
        <f t="shared" si="7"/>
        <v>-9.1228607786262954E-3</v>
      </c>
      <c r="Z49">
        <f>IF($B49&lt;=regressions!$L$2,$B49*regressions!$L$1,regressions!$L$1*regressions!$L$2+regressions!$L$3*($B49-regressions!$L$2))</f>
        <v>-1.8974734881721116E-2</v>
      </c>
      <c r="AA49">
        <f>regressions!$J$1*X49+regressions!$J$2*X49^2</f>
        <v>-1.086963491262871E-2</v>
      </c>
      <c r="AB49">
        <f>regressions!$V$1*X49</f>
        <v>-1.8974734935289204E-2</v>
      </c>
      <c r="AC49">
        <f>regressions!$N$1*X49^2</f>
        <v>-9.9315660830497454E-5</v>
      </c>
      <c r="AD49">
        <f>regressions!$R$1*X49^2+regressions!$R$2*X49^6</f>
        <v>-1.0817268553301192E-4</v>
      </c>
      <c r="AE49">
        <f>regressions!$P$1*X49^2+regressions!$P$2*X49^7</f>
        <v>-1.0465009407468777E-4</v>
      </c>
      <c r="AF49">
        <f>regressions!$T$2+regressions!$T$1*EXP(X49)</f>
        <v>-1.8881381835681235E-4</v>
      </c>
      <c r="AG49" s="8">
        <f>(1-EXP(-2*regressions!$X$1*X49))/2/EXP(-regressions!$X$1*X49)</f>
        <v>-9.7172556311231357E-3</v>
      </c>
      <c r="AH49" s="8"/>
      <c r="AI49" s="33">
        <v>2.3874202664812515E-2</v>
      </c>
      <c r="AJ49">
        <f t="shared" si="8"/>
        <v>-9.1228607786262954E-3</v>
      </c>
      <c r="AK49">
        <f>IF(AI49&lt;=regressions!$L$2,AI49*regressions!$L$1,regressions!$L$1*regressions!$L$2+regressions!$L$3*(AI49-regressions!$L$2))</f>
        <v>-1.8974734881721116E-2</v>
      </c>
      <c r="AL49">
        <f>regressions!$J$1*AI49+regressions!$J$2*AI49^2</f>
        <v>-1.086963491262871E-2</v>
      </c>
      <c r="AM49">
        <f>regressions!$V$1*AI49</f>
        <v>-1.8974734935289204E-2</v>
      </c>
      <c r="AN49">
        <f>regressions!$N$1*AI49^2</f>
        <v>-9.9315660830497454E-5</v>
      </c>
      <c r="AO49">
        <f>regressions!$R$1*AI49^2+regressions!$R$2*AI49^6</f>
        <v>-1.0817268553301192E-4</v>
      </c>
      <c r="AP49">
        <f>regressions!$P$1*AI49^2+regressions!$P$2*AI49^7</f>
        <v>-1.0465009407468777E-4</v>
      </c>
      <c r="AQ49">
        <f>regressions!$T$2+regressions!$T$1*EXP(AI49)</f>
        <v>-1.8881381835681235E-4</v>
      </c>
      <c r="AR49" s="8">
        <f>(1-EXP(-2*regressions!$X$1*AI49))/2/EXP(-regressions!$X$1*AI49)</f>
        <v>-9.7172556311231357E-3</v>
      </c>
      <c r="AT49" s="33">
        <v>2.3874202664812515E-2</v>
      </c>
      <c r="AU49">
        <f t="shared" si="9"/>
        <v>-9.1228607786262954E-3</v>
      </c>
      <c r="AV49">
        <f>IF(AT49&lt;=regressions!$L$2,AT49*regressions!$L$1,regressions!$L$1*regressions!$L$2+regressions!$L$3*(AT49-regressions!$L$2))</f>
        <v>-1.8974734881721116E-2</v>
      </c>
      <c r="AW49">
        <f>regressions!$J$1*AT49+regressions!$J$2*AT49^2</f>
        <v>-1.086963491262871E-2</v>
      </c>
      <c r="AX49">
        <f>regressions!$V$1*AT49</f>
        <v>-1.8974734935289204E-2</v>
      </c>
      <c r="AY49">
        <f>regressions!$N$1*AT49^2</f>
        <v>-9.9315660830497454E-5</v>
      </c>
      <c r="AZ49">
        <f>regressions!$R$1*AT49^2+regressions!$R$2*AT49^6</f>
        <v>-1.0817268553301192E-4</v>
      </c>
      <c r="BA49">
        <f>regressions!$P$1*AT49^2+regressions!$P$2*AT49^7</f>
        <v>-1.0465009407468777E-4</v>
      </c>
      <c r="BB49">
        <f>regressions!$T$2+regressions!$T$1*EXP(AT49)</f>
        <v>-1.8881381835681235E-4</v>
      </c>
      <c r="BC49" s="8">
        <f>(1-EXP(-2*regressions!$X$1*AT49))/2/EXP(-regressions!$X$1*AT49)</f>
        <v>-9.7172556311231357E-3</v>
      </c>
      <c r="BE49">
        <f t="shared" si="10"/>
        <v>0</v>
      </c>
      <c r="BF49">
        <f t="shared" si="0"/>
        <v>0</v>
      </c>
      <c r="BG49">
        <f t="shared" si="1"/>
        <v>0</v>
      </c>
      <c r="BH49">
        <f>BG49+regressions!$AR$1*(AI49-B49)</f>
        <v>0</v>
      </c>
      <c r="BI49">
        <f>BG49-regressions!$AO$1*(AI49-B49)</f>
        <v>0</v>
      </c>
      <c r="BJ49">
        <f t="shared" si="2"/>
        <v>0</v>
      </c>
      <c r="BK49">
        <f>BJ49+regressions!$AR$1*(AT49-B49)</f>
        <v>0</v>
      </c>
      <c r="BL49">
        <f>BJ49-regressions!$AO$1*(AT49-B49)</f>
        <v>0</v>
      </c>
      <c r="BM49">
        <f t="shared" si="11"/>
        <v>0</v>
      </c>
      <c r="BN49">
        <f t="shared" si="3"/>
        <v>0</v>
      </c>
      <c r="BO49">
        <f t="shared" si="4"/>
        <v>0</v>
      </c>
      <c r="BP49">
        <f t="shared" si="12"/>
        <v>0</v>
      </c>
      <c r="BQ49">
        <f t="shared" si="13"/>
        <v>0</v>
      </c>
      <c r="BR49">
        <f t="shared" si="14"/>
        <v>0</v>
      </c>
    </row>
    <row r="50" spans="1:70" x14ac:dyDescent="0.35">
      <c r="A50">
        <v>1897</v>
      </c>
      <c r="B50" s="33">
        <v>2.4994829973876524E-2</v>
      </c>
      <c r="C50">
        <f t="shared" si="15"/>
        <v>-9.5533294024535732E-3</v>
      </c>
      <c r="D50">
        <f>IF($B50&lt;=regressions!$L$2,$B50*regressions!$L$1,regressions!$L$1*regressions!$L$2+regressions!$L$3*($B50-regressions!$L$2))</f>
        <v>-1.986538687078402E-2</v>
      </c>
      <c r="E50">
        <f>regressions!$J$1*B50+regressions!$J$2*B50^2</f>
        <v>-1.138213227618781E-2</v>
      </c>
      <c r="F50">
        <f>regressions!$V$1*B50</f>
        <v>-1.986538692686653E-2</v>
      </c>
      <c r="G50">
        <f>regressions!$N$1*B50^2</f>
        <v>-1.0885800174422302E-4</v>
      </c>
      <c r="H50">
        <f>regressions!$R$1*B50^2+regressions!$R$2*B50^6</f>
        <v>-1.1856601760403585E-4</v>
      </c>
      <c r="I50">
        <f>regressions!$P$1*B50^2+regressions!$P$2*B50^7</f>
        <v>-1.1470497228788648E-4</v>
      </c>
      <c r="J50">
        <f>regressions!$T$2+regressions!$T$1*EXP(B50)</f>
        <v>-1.9778776261594917E-4</v>
      </c>
      <c r="K50" s="8">
        <f>(1-EXP(-2*regressions!$X$1*B50))/2/EXP(-regressions!$X$1*B50)</f>
        <v>-1.0173387692284791E-2</v>
      </c>
      <c r="M50" s="33">
        <v>2.4994829973876524E-2</v>
      </c>
      <c r="N50">
        <f t="shared" si="6"/>
        <v>-9.5533294024535732E-3</v>
      </c>
      <c r="O50">
        <f>IF($B50&lt;=regressions!$L$2,$B50*regressions!$L$1,regressions!$L$1*regressions!$L$2+regressions!$L$3*($B50-regressions!$L$2))</f>
        <v>-1.986538687078402E-2</v>
      </c>
      <c r="P50">
        <f>regressions!$J$1*M50+regressions!$J$2*M50^2</f>
        <v>-1.138213227618781E-2</v>
      </c>
      <c r="Q50">
        <f>regressions!$V$1*M50</f>
        <v>-1.986538692686653E-2</v>
      </c>
      <c r="R50">
        <f>regressions!$N$1*M50^2</f>
        <v>-1.0885800174422302E-4</v>
      </c>
      <c r="S50">
        <f>regressions!$R$1*M50^2+regressions!$R$2*M50^6</f>
        <v>-1.1856601760403585E-4</v>
      </c>
      <c r="T50">
        <f>regressions!$P$1*M50^2+regressions!$P$2*M50^7</f>
        <v>-1.1470497228788648E-4</v>
      </c>
      <c r="U50">
        <f>regressions!$T$2+regressions!$T$1*EXP(M50)</f>
        <v>-1.9778776261594917E-4</v>
      </c>
      <c r="V50" s="8">
        <f>(1-EXP(-2*regressions!$X$1*M50))/2/EXP(-regressions!$X$1*M50)</f>
        <v>-1.0173387692284791E-2</v>
      </c>
      <c r="X50" s="33">
        <v>2.4994829973876524E-2</v>
      </c>
      <c r="Y50">
        <f t="shared" si="7"/>
        <v>-9.5533294024535732E-3</v>
      </c>
      <c r="Z50">
        <f>IF($B50&lt;=regressions!$L$2,$B50*regressions!$L$1,regressions!$L$1*regressions!$L$2+regressions!$L$3*($B50-regressions!$L$2))</f>
        <v>-1.986538687078402E-2</v>
      </c>
      <c r="AA50">
        <f>regressions!$J$1*X50+regressions!$J$2*X50^2</f>
        <v>-1.138213227618781E-2</v>
      </c>
      <c r="AB50">
        <f>regressions!$V$1*X50</f>
        <v>-1.986538692686653E-2</v>
      </c>
      <c r="AC50">
        <f>regressions!$N$1*X50^2</f>
        <v>-1.0885800174422302E-4</v>
      </c>
      <c r="AD50">
        <f>regressions!$R$1*X50^2+regressions!$R$2*X50^6</f>
        <v>-1.1856601760403585E-4</v>
      </c>
      <c r="AE50">
        <f>regressions!$P$1*X50^2+regressions!$P$2*X50^7</f>
        <v>-1.1470497228788648E-4</v>
      </c>
      <c r="AF50">
        <f>regressions!$T$2+regressions!$T$1*EXP(X50)</f>
        <v>-1.9778776261594917E-4</v>
      </c>
      <c r="AG50" s="8">
        <f>(1-EXP(-2*regressions!$X$1*X50))/2/EXP(-regressions!$X$1*X50)</f>
        <v>-1.0173387692284791E-2</v>
      </c>
      <c r="AH50" s="8"/>
      <c r="AI50" s="33">
        <v>2.4994829973876524E-2</v>
      </c>
      <c r="AJ50">
        <f t="shared" si="8"/>
        <v>-9.5533294024535732E-3</v>
      </c>
      <c r="AK50">
        <f>IF(AI50&lt;=regressions!$L$2,AI50*regressions!$L$1,regressions!$L$1*regressions!$L$2+regressions!$L$3*(AI50-regressions!$L$2))</f>
        <v>-1.986538687078402E-2</v>
      </c>
      <c r="AL50">
        <f>regressions!$J$1*AI50+regressions!$J$2*AI50^2</f>
        <v>-1.138213227618781E-2</v>
      </c>
      <c r="AM50">
        <f>regressions!$V$1*AI50</f>
        <v>-1.986538692686653E-2</v>
      </c>
      <c r="AN50">
        <f>regressions!$N$1*AI50^2</f>
        <v>-1.0885800174422302E-4</v>
      </c>
      <c r="AO50">
        <f>regressions!$R$1*AI50^2+regressions!$R$2*AI50^6</f>
        <v>-1.1856601760403585E-4</v>
      </c>
      <c r="AP50">
        <f>regressions!$P$1*AI50^2+regressions!$P$2*AI50^7</f>
        <v>-1.1470497228788648E-4</v>
      </c>
      <c r="AQ50">
        <f>regressions!$T$2+regressions!$T$1*EXP(AI50)</f>
        <v>-1.9778776261594917E-4</v>
      </c>
      <c r="AR50" s="8">
        <f>(1-EXP(-2*regressions!$X$1*AI50))/2/EXP(-regressions!$X$1*AI50)</f>
        <v>-1.0173387692284791E-2</v>
      </c>
      <c r="AT50" s="33">
        <v>2.4994829973876524E-2</v>
      </c>
      <c r="AU50">
        <f t="shared" si="9"/>
        <v>-9.5533294024535732E-3</v>
      </c>
      <c r="AV50">
        <f>IF(AT50&lt;=regressions!$L$2,AT50*regressions!$L$1,regressions!$L$1*regressions!$L$2+regressions!$L$3*(AT50-regressions!$L$2))</f>
        <v>-1.986538687078402E-2</v>
      </c>
      <c r="AW50">
        <f>regressions!$J$1*AT50+regressions!$J$2*AT50^2</f>
        <v>-1.138213227618781E-2</v>
      </c>
      <c r="AX50">
        <f>regressions!$V$1*AT50</f>
        <v>-1.986538692686653E-2</v>
      </c>
      <c r="AY50">
        <f>regressions!$N$1*AT50^2</f>
        <v>-1.0885800174422302E-4</v>
      </c>
      <c r="AZ50">
        <f>regressions!$R$1*AT50^2+regressions!$R$2*AT50^6</f>
        <v>-1.1856601760403585E-4</v>
      </c>
      <c r="BA50">
        <f>regressions!$P$1*AT50^2+regressions!$P$2*AT50^7</f>
        <v>-1.1470497228788648E-4</v>
      </c>
      <c r="BB50">
        <f>regressions!$T$2+regressions!$T$1*EXP(AT50)</f>
        <v>-1.9778776261594917E-4</v>
      </c>
      <c r="BC50" s="8">
        <f>(1-EXP(-2*regressions!$X$1*AT50))/2/EXP(-regressions!$X$1*AT50)</f>
        <v>-1.0173387692284791E-2</v>
      </c>
      <c r="BE50">
        <f t="shared" si="10"/>
        <v>0</v>
      </c>
      <c r="BF50">
        <f t="shared" si="0"/>
        <v>0</v>
      </c>
      <c r="BG50">
        <f t="shared" si="1"/>
        <v>0</v>
      </c>
      <c r="BH50">
        <f>BG50+regressions!$AR$1*(AI50-B50)</f>
        <v>0</v>
      </c>
      <c r="BI50">
        <f>BG50-regressions!$AO$1*(AI50-B50)</f>
        <v>0</v>
      </c>
      <c r="BJ50">
        <f t="shared" si="2"/>
        <v>0</v>
      </c>
      <c r="BK50">
        <f>BJ50+regressions!$AR$1*(AT50-B50)</f>
        <v>0</v>
      </c>
      <c r="BL50">
        <f>BJ50-regressions!$AO$1*(AT50-B50)</f>
        <v>0</v>
      </c>
      <c r="BM50">
        <f t="shared" si="11"/>
        <v>0</v>
      </c>
      <c r="BN50">
        <f t="shared" si="3"/>
        <v>0</v>
      </c>
      <c r="BO50">
        <f t="shared" si="4"/>
        <v>0</v>
      </c>
      <c r="BP50">
        <f t="shared" si="12"/>
        <v>0</v>
      </c>
      <c r="BQ50">
        <f t="shared" si="13"/>
        <v>0</v>
      </c>
      <c r="BR50">
        <f t="shared" si="14"/>
        <v>0</v>
      </c>
    </row>
    <row r="51" spans="1:70" x14ac:dyDescent="0.35">
      <c r="A51">
        <v>1898</v>
      </c>
      <c r="B51" s="33">
        <v>2.6157868780979782E-2</v>
      </c>
      <c r="C51">
        <f t="shared" si="15"/>
        <v>-1.0000303324716655E-2</v>
      </c>
      <c r="D51">
        <f>IF($B51&lt;=regressions!$L$2,$B51*regressions!$L$1,regressions!$L$1*regressions!$L$2+regressions!$L$3*($B51-regressions!$L$2))</f>
        <v>-2.0789746663308666E-2</v>
      </c>
      <c r="E51">
        <f>regressions!$J$1*B51+regressions!$J$2*B51^2</f>
        <v>-1.1914242806394817E-2</v>
      </c>
      <c r="F51">
        <f>regressions!$V$1*B51</f>
        <v>-2.0789746722000766E-2</v>
      </c>
      <c r="G51">
        <f>regressions!$N$1*B51^2</f>
        <v>-1.192242771275794E-4</v>
      </c>
      <c r="H51">
        <f>regressions!$R$1*B51^2+regressions!$R$2*B51^6</f>
        <v>-1.2985676306908109E-4</v>
      </c>
      <c r="I51">
        <f>regressions!$P$1*B51^2+regressions!$P$2*B51^7</f>
        <v>-1.2562804005988341E-4</v>
      </c>
      <c r="J51">
        <f>regressions!$T$2+regressions!$T$1*EXP(B51)</f>
        <v>-2.0711197732472576E-4</v>
      </c>
      <c r="K51" s="8">
        <f>(1-EXP(-2*regressions!$X$1*B51))/2/EXP(-regressions!$X$1*B51)</f>
        <v>-1.0646784863219003E-2</v>
      </c>
      <c r="M51" s="33">
        <v>2.6157868780979782E-2</v>
      </c>
      <c r="N51">
        <f t="shared" si="6"/>
        <v>-1.0000303324716655E-2</v>
      </c>
      <c r="O51">
        <f>IF($B51&lt;=regressions!$L$2,$B51*regressions!$L$1,regressions!$L$1*regressions!$L$2+regressions!$L$3*($B51-regressions!$L$2))</f>
        <v>-2.0789746663308666E-2</v>
      </c>
      <c r="P51">
        <f>regressions!$J$1*M51+regressions!$J$2*M51^2</f>
        <v>-1.1914242806394817E-2</v>
      </c>
      <c r="Q51">
        <f>regressions!$V$1*M51</f>
        <v>-2.0789746722000766E-2</v>
      </c>
      <c r="R51">
        <f>regressions!$N$1*M51^2</f>
        <v>-1.192242771275794E-4</v>
      </c>
      <c r="S51">
        <f>regressions!$R$1*M51^2+regressions!$R$2*M51^6</f>
        <v>-1.2985676306908109E-4</v>
      </c>
      <c r="T51">
        <f>regressions!$P$1*M51^2+regressions!$P$2*M51^7</f>
        <v>-1.2562804005988341E-4</v>
      </c>
      <c r="U51">
        <f>regressions!$T$2+regressions!$T$1*EXP(M51)</f>
        <v>-2.0711197732472576E-4</v>
      </c>
      <c r="V51" s="8">
        <f>(1-EXP(-2*regressions!$X$1*M51))/2/EXP(-regressions!$X$1*M51)</f>
        <v>-1.0646784863219003E-2</v>
      </c>
      <c r="X51" s="33">
        <v>2.6157868780979782E-2</v>
      </c>
      <c r="Y51">
        <f t="shared" si="7"/>
        <v>-1.0000303324716655E-2</v>
      </c>
      <c r="Z51">
        <f>IF($B51&lt;=regressions!$L$2,$B51*regressions!$L$1,regressions!$L$1*regressions!$L$2+regressions!$L$3*($B51-regressions!$L$2))</f>
        <v>-2.0789746663308666E-2</v>
      </c>
      <c r="AA51">
        <f>regressions!$J$1*X51+regressions!$J$2*X51^2</f>
        <v>-1.1914242806394817E-2</v>
      </c>
      <c r="AB51">
        <f>regressions!$V$1*X51</f>
        <v>-2.0789746722000766E-2</v>
      </c>
      <c r="AC51">
        <f>regressions!$N$1*X51^2</f>
        <v>-1.192242771275794E-4</v>
      </c>
      <c r="AD51">
        <f>regressions!$R$1*X51^2+regressions!$R$2*X51^6</f>
        <v>-1.2985676306908109E-4</v>
      </c>
      <c r="AE51">
        <f>regressions!$P$1*X51^2+regressions!$P$2*X51^7</f>
        <v>-1.2562804005988341E-4</v>
      </c>
      <c r="AF51">
        <f>regressions!$T$2+regressions!$T$1*EXP(X51)</f>
        <v>-2.0711197732472576E-4</v>
      </c>
      <c r="AG51" s="8">
        <f>(1-EXP(-2*regressions!$X$1*X51))/2/EXP(-regressions!$X$1*X51)</f>
        <v>-1.0646784863219003E-2</v>
      </c>
      <c r="AH51" s="8"/>
      <c r="AI51" s="33">
        <v>2.6157868780979782E-2</v>
      </c>
      <c r="AJ51">
        <f t="shared" si="8"/>
        <v>-1.0000303324716655E-2</v>
      </c>
      <c r="AK51">
        <f>IF(AI51&lt;=regressions!$L$2,AI51*regressions!$L$1,regressions!$L$1*regressions!$L$2+regressions!$L$3*(AI51-regressions!$L$2))</f>
        <v>-2.0789746663308666E-2</v>
      </c>
      <c r="AL51">
        <f>regressions!$J$1*AI51+regressions!$J$2*AI51^2</f>
        <v>-1.1914242806394817E-2</v>
      </c>
      <c r="AM51">
        <f>regressions!$V$1*AI51</f>
        <v>-2.0789746722000766E-2</v>
      </c>
      <c r="AN51">
        <f>regressions!$N$1*AI51^2</f>
        <v>-1.192242771275794E-4</v>
      </c>
      <c r="AO51">
        <f>regressions!$R$1*AI51^2+regressions!$R$2*AI51^6</f>
        <v>-1.2985676306908109E-4</v>
      </c>
      <c r="AP51">
        <f>regressions!$P$1*AI51^2+regressions!$P$2*AI51^7</f>
        <v>-1.2562804005988341E-4</v>
      </c>
      <c r="AQ51">
        <f>regressions!$T$2+regressions!$T$1*EXP(AI51)</f>
        <v>-2.0711197732472576E-4</v>
      </c>
      <c r="AR51" s="8">
        <f>(1-EXP(-2*regressions!$X$1*AI51))/2/EXP(-regressions!$X$1*AI51)</f>
        <v>-1.0646784863219003E-2</v>
      </c>
      <c r="AT51" s="33">
        <v>2.6157868780979782E-2</v>
      </c>
      <c r="AU51">
        <f t="shared" si="9"/>
        <v>-1.0000303324716655E-2</v>
      </c>
      <c r="AV51">
        <f>IF(AT51&lt;=regressions!$L$2,AT51*regressions!$L$1,regressions!$L$1*regressions!$L$2+regressions!$L$3*(AT51-regressions!$L$2))</f>
        <v>-2.0789746663308666E-2</v>
      </c>
      <c r="AW51">
        <f>regressions!$J$1*AT51+regressions!$J$2*AT51^2</f>
        <v>-1.1914242806394817E-2</v>
      </c>
      <c r="AX51">
        <f>regressions!$V$1*AT51</f>
        <v>-2.0789746722000766E-2</v>
      </c>
      <c r="AY51">
        <f>regressions!$N$1*AT51^2</f>
        <v>-1.192242771275794E-4</v>
      </c>
      <c r="AZ51">
        <f>regressions!$R$1*AT51^2+regressions!$R$2*AT51^6</f>
        <v>-1.2985676306908109E-4</v>
      </c>
      <c r="BA51">
        <f>regressions!$P$1*AT51^2+regressions!$P$2*AT51^7</f>
        <v>-1.2562804005988341E-4</v>
      </c>
      <c r="BB51">
        <f>regressions!$T$2+regressions!$T$1*EXP(AT51)</f>
        <v>-2.0711197732472576E-4</v>
      </c>
      <c r="BC51" s="8">
        <f>(1-EXP(-2*regressions!$X$1*AT51))/2/EXP(-regressions!$X$1*AT51)</f>
        <v>-1.0646784863219003E-2</v>
      </c>
      <c r="BE51">
        <f t="shared" si="10"/>
        <v>0</v>
      </c>
      <c r="BF51">
        <f t="shared" si="0"/>
        <v>0</v>
      </c>
      <c r="BG51">
        <f t="shared" si="1"/>
        <v>0</v>
      </c>
      <c r="BH51">
        <f>BG51+regressions!$AR$1*(AI51-B51)</f>
        <v>0</v>
      </c>
      <c r="BI51">
        <f>BG51-regressions!$AO$1*(AI51-B51)</f>
        <v>0</v>
      </c>
      <c r="BJ51">
        <f t="shared" si="2"/>
        <v>0</v>
      </c>
      <c r="BK51">
        <f>BJ51+regressions!$AR$1*(AT51-B51)</f>
        <v>0</v>
      </c>
      <c r="BL51">
        <f>BJ51-regressions!$AO$1*(AT51-B51)</f>
        <v>0</v>
      </c>
      <c r="BM51">
        <f t="shared" si="11"/>
        <v>0</v>
      </c>
      <c r="BN51">
        <f t="shared" si="3"/>
        <v>0</v>
      </c>
      <c r="BO51">
        <f t="shared" si="4"/>
        <v>0</v>
      </c>
      <c r="BP51">
        <f t="shared" si="12"/>
        <v>0</v>
      </c>
      <c r="BQ51">
        <f t="shared" si="13"/>
        <v>0</v>
      </c>
      <c r="BR51">
        <f t="shared" si="14"/>
        <v>0</v>
      </c>
    </row>
    <row r="52" spans="1:70" x14ac:dyDescent="0.35">
      <c r="A52">
        <v>1899</v>
      </c>
      <c r="B52" s="33">
        <v>2.7366991004341847E-2</v>
      </c>
      <c r="C52">
        <f t="shared" si="15"/>
        <v>-1.0465218608941595E-2</v>
      </c>
      <c r="D52">
        <f>IF($B52&lt;=regressions!$L$2,$B52*regressions!$L$1,regressions!$L$1*regressions!$L$2+regressions!$L$3*($B52-regressions!$L$2))</f>
        <v>-2.1750732625855893E-2</v>
      </c>
      <c r="E52">
        <f>regressions!$J$1*B52+regressions!$J$2*B52^2</f>
        <v>-1.2467671733130885E-2</v>
      </c>
      <c r="F52">
        <f>regressions!$V$1*B52</f>
        <v>-2.1750732687260976E-2</v>
      </c>
      <c r="G52">
        <f>regressions!$N$1*B52^2</f>
        <v>-1.3050107317914364E-4</v>
      </c>
      <c r="H52">
        <f>regressions!$R$1*B52^2+regressions!$R$2*B52^6</f>
        <v>-1.4213922993099525E-4</v>
      </c>
      <c r="I52">
        <f>regressions!$P$1*B52^2+regressions!$P$2*B52^7</f>
        <v>-1.3751053429884462E-4</v>
      </c>
      <c r="J52">
        <f>regressions!$T$2+regressions!$T$1*EXP(B52)</f>
        <v>-2.1681715237470769E-4</v>
      </c>
      <c r="K52" s="8">
        <f>(1-EXP(-2*regressions!$X$1*B52))/2/EXP(-regressions!$X$1*B52)</f>
        <v>-1.1138942115310068E-2</v>
      </c>
      <c r="M52" s="33">
        <v>2.7366991004341847E-2</v>
      </c>
      <c r="N52">
        <f t="shared" si="6"/>
        <v>-1.0465218608941595E-2</v>
      </c>
      <c r="O52">
        <f>IF($B52&lt;=regressions!$L$2,$B52*regressions!$L$1,regressions!$L$1*regressions!$L$2+regressions!$L$3*($B52-regressions!$L$2))</f>
        <v>-2.1750732625855893E-2</v>
      </c>
      <c r="P52">
        <f>regressions!$J$1*M52+regressions!$J$2*M52^2</f>
        <v>-1.2467671733130885E-2</v>
      </c>
      <c r="Q52">
        <f>regressions!$V$1*M52</f>
        <v>-2.1750732687260976E-2</v>
      </c>
      <c r="R52">
        <f>regressions!$N$1*M52^2</f>
        <v>-1.3050107317914364E-4</v>
      </c>
      <c r="S52">
        <f>regressions!$R$1*M52^2+regressions!$R$2*M52^6</f>
        <v>-1.4213922993099525E-4</v>
      </c>
      <c r="T52">
        <f>regressions!$P$1*M52^2+regressions!$P$2*M52^7</f>
        <v>-1.3751053429884462E-4</v>
      </c>
      <c r="U52">
        <f>regressions!$T$2+regressions!$T$1*EXP(M52)</f>
        <v>-2.1681715237470769E-4</v>
      </c>
      <c r="V52" s="8">
        <f>(1-EXP(-2*regressions!$X$1*M52))/2/EXP(-regressions!$X$1*M52)</f>
        <v>-1.1138942115310068E-2</v>
      </c>
      <c r="X52" s="33">
        <v>2.7366991004341847E-2</v>
      </c>
      <c r="Y52">
        <f t="shared" si="7"/>
        <v>-1.0465218608941595E-2</v>
      </c>
      <c r="Z52">
        <f>IF($B52&lt;=regressions!$L$2,$B52*regressions!$L$1,regressions!$L$1*regressions!$L$2+regressions!$L$3*($B52-regressions!$L$2))</f>
        <v>-2.1750732625855893E-2</v>
      </c>
      <c r="AA52">
        <f>regressions!$J$1*X52+regressions!$J$2*X52^2</f>
        <v>-1.2467671733130885E-2</v>
      </c>
      <c r="AB52">
        <f>regressions!$V$1*X52</f>
        <v>-2.1750732687260976E-2</v>
      </c>
      <c r="AC52">
        <f>regressions!$N$1*X52^2</f>
        <v>-1.3050107317914364E-4</v>
      </c>
      <c r="AD52">
        <f>regressions!$R$1*X52^2+regressions!$R$2*X52^6</f>
        <v>-1.4213922993099525E-4</v>
      </c>
      <c r="AE52">
        <f>regressions!$P$1*X52^2+regressions!$P$2*X52^7</f>
        <v>-1.3751053429884462E-4</v>
      </c>
      <c r="AF52">
        <f>regressions!$T$2+regressions!$T$1*EXP(X52)</f>
        <v>-2.1681715237470769E-4</v>
      </c>
      <c r="AG52" s="8">
        <f>(1-EXP(-2*regressions!$X$1*X52))/2/EXP(-regressions!$X$1*X52)</f>
        <v>-1.1138942115310068E-2</v>
      </c>
      <c r="AH52" s="8"/>
      <c r="AI52" s="33">
        <v>2.7366991004341847E-2</v>
      </c>
      <c r="AJ52">
        <f t="shared" si="8"/>
        <v>-1.0465218608941595E-2</v>
      </c>
      <c r="AK52">
        <f>IF(AI52&lt;=regressions!$L$2,AI52*regressions!$L$1,regressions!$L$1*regressions!$L$2+regressions!$L$3*(AI52-regressions!$L$2))</f>
        <v>-2.1750732625855893E-2</v>
      </c>
      <c r="AL52">
        <f>regressions!$J$1*AI52+regressions!$J$2*AI52^2</f>
        <v>-1.2467671733130885E-2</v>
      </c>
      <c r="AM52">
        <f>regressions!$V$1*AI52</f>
        <v>-2.1750732687260976E-2</v>
      </c>
      <c r="AN52">
        <f>regressions!$N$1*AI52^2</f>
        <v>-1.3050107317914364E-4</v>
      </c>
      <c r="AO52">
        <f>regressions!$R$1*AI52^2+regressions!$R$2*AI52^6</f>
        <v>-1.4213922993099525E-4</v>
      </c>
      <c r="AP52">
        <f>regressions!$P$1*AI52^2+regressions!$P$2*AI52^7</f>
        <v>-1.3751053429884462E-4</v>
      </c>
      <c r="AQ52">
        <f>regressions!$T$2+regressions!$T$1*EXP(AI52)</f>
        <v>-2.1681715237470769E-4</v>
      </c>
      <c r="AR52" s="8">
        <f>(1-EXP(-2*regressions!$X$1*AI52))/2/EXP(-regressions!$X$1*AI52)</f>
        <v>-1.1138942115310068E-2</v>
      </c>
      <c r="AT52" s="33">
        <v>2.7366991004341847E-2</v>
      </c>
      <c r="AU52">
        <f t="shared" si="9"/>
        <v>-1.0465218608941595E-2</v>
      </c>
      <c r="AV52">
        <f>IF(AT52&lt;=regressions!$L$2,AT52*regressions!$L$1,regressions!$L$1*regressions!$L$2+regressions!$L$3*(AT52-regressions!$L$2))</f>
        <v>-2.1750732625855893E-2</v>
      </c>
      <c r="AW52">
        <f>regressions!$J$1*AT52+regressions!$J$2*AT52^2</f>
        <v>-1.2467671733130885E-2</v>
      </c>
      <c r="AX52">
        <f>regressions!$V$1*AT52</f>
        <v>-2.1750732687260976E-2</v>
      </c>
      <c r="AY52">
        <f>regressions!$N$1*AT52^2</f>
        <v>-1.3050107317914364E-4</v>
      </c>
      <c r="AZ52">
        <f>regressions!$R$1*AT52^2+regressions!$R$2*AT52^6</f>
        <v>-1.4213922993099525E-4</v>
      </c>
      <c r="BA52">
        <f>regressions!$P$1*AT52^2+regressions!$P$2*AT52^7</f>
        <v>-1.3751053429884462E-4</v>
      </c>
      <c r="BB52">
        <f>regressions!$T$2+regressions!$T$1*EXP(AT52)</f>
        <v>-2.1681715237470769E-4</v>
      </c>
      <c r="BC52" s="8">
        <f>(1-EXP(-2*regressions!$X$1*AT52))/2/EXP(-regressions!$X$1*AT52)</f>
        <v>-1.1138942115310068E-2</v>
      </c>
      <c r="BE52">
        <f t="shared" si="10"/>
        <v>0</v>
      </c>
      <c r="BF52">
        <f t="shared" si="0"/>
        <v>0</v>
      </c>
      <c r="BG52">
        <f t="shared" si="1"/>
        <v>0</v>
      </c>
      <c r="BH52">
        <f>BG52+regressions!$AR$1*(AI52-B52)</f>
        <v>0</v>
      </c>
      <c r="BI52">
        <f>BG52-regressions!$AO$1*(AI52-B52)</f>
        <v>0</v>
      </c>
      <c r="BJ52">
        <f t="shared" si="2"/>
        <v>0</v>
      </c>
      <c r="BK52">
        <f>BJ52+regressions!$AR$1*(AT52-B52)</f>
        <v>0</v>
      </c>
      <c r="BL52">
        <f>BJ52-regressions!$AO$1*(AT52-B52)</f>
        <v>0</v>
      </c>
      <c r="BM52">
        <f t="shared" si="11"/>
        <v>0</v>
      </c>
      <c r="BN52">
        <f t="shared" si="3"/>
        <v>0</v>
      </c>
      <c r="BO52">
        <f t="shared" si="4"/>
        <v>0</v>
      </c>
      <c r="BP52">
        <f t="shared" si="12"/>
        <v>0</v>
      </c>
      <c r="BQ52">
        <f t="shared" si="13"/>
        <v>0</v>
      </c>
      <c r="BR52">
        <f t="shared" si="14"/>
        <v>0</v>
      </c>
    </row>
    <row r="53" spans="1:70" x14ac:dyDescent="0.35">
      <c r="A53">
        <v>1900</v>
      </c>
      <c r="B53" s="33">
        <v>2.8630075343825643E-2</v>
      </c>
      <c r="C53">
        <f t="shared" si="15"/>
        <v>-1.0951133951853875E-2</v>
      </c>
      <c r="D53">
        <f>IF($B53&lt;=regressions!$L$2,$B53*regressions!$L$1,regressions!$L$1*regressions!$L$2+regressions!$L$3*($B53-regressions!$L$2))</f>
        <v>-2.2754606590211682E-2</v>
      </c>
      <c r="E53">
        <f>regressions!$J$1*B53+regressions!$J$2*B53^2</f>
        <v>-1.3046054952094054E-2</v>
      </c>
      <c r="F53">
        <f>regressions!$V$1*B53</f>
        <v>-2.2754606654450827E-2</v>
      </c>
      <c r="G53">
        <f>regressions!$N$1*B53^2</f>
        <v>-1.4282524118102821E-4</v>
      </c>
      <c r="H53">
        <f>regressions!$R$1*B53^2+regressions!$R$2*B53^6</f>
        <v>-1.5556247394365381E-4</v>
      </c>
      <c r="I53">
        <f>regressions!$P$1*B53^2+regressions!$P$2*B53^7</f>
        <v>-1.5049665682981478E-4</v>
      </c>
      <c r="J53">
        <f>regressions!$T$2+regressions!$T$1*EXP(B53)</f>
        <v>-2.2696800109261138E-4</v>
      </c>
      <c r="K53" s="8">
        <f>(1-EXP(-2*regressions!$X$1*B53))/2/EXP(-regressions!$X$1*B53)</f>
        <v>-1.1653066817898981E-2</v>
      </c>
      <c r="M53" s="33">
        <v>2.8630075343825643E-2</v>
      </c>
      <c r="N53">
        <f t="shared" si="6"/>
        <v>-1.0951133951853875E-2</v>
      </c>
      <c r="O53">
        <f>IF($B53&lt;=regressions!$L$2,$B53*regressions!$L$1,regressions!$L$1*regressions!$L$2+regressions!$L$3*($B53-regressions!$L$2))</f>
        <v>-2.2754606590211682E-2</v>
      </c>
      <c r="P53">
        <f>regressions!$J$1*M53+regressions!$J$2*M53^2</f>
        <v>-1.3046054952094054E-2</v>
      </c>
      <c r="Q53">
        <f>regressions!$V$1*M53</f>
        <v>-2.2754606654450827E-2</v>
      </c>
      <c r="R53">
        <f>regressions!$N$1*M53^2</f>
        <v>-1.4282524118102821E-4</v>
      </c>
      <c r="S53">
        <f>regressions!$R$1*M53^2+regressions!$R$2*M53^6</f>
        <v>-1.5556247394365381E-4</v>
      </c>
      <c r="T53">
        <f>regressions!$P$1*M53^2+regressions!$P$2*M53^7</f>
        <v>-1.5049665682981478E-4</v>
      </c>
      <c r="U53">
        <f>regressions!$T$2+regressions!$T$1*EXP(M53)</f>
        <v>-2.2696800109261138E-4</v>
      </c>
      <c r="V53" s="8">
        <f>(1-EXP(-2*regressions!$X$1*M53))/2/EXP(-regressions!$X$1*M53)</f>
        <v>-1.1653066817898981E-2</v>
      </c>
      <c r="X53" s="33">
        <v>2.8630075343825643E-2</v>
      </c>
      <c r="Y53">
        <f t="shared" si="7"/>
        <v>-1.0951133951853875E-2</v>
      </c>
      <c r="Z53">
        <f>IF($B53&lt;=regressions!$L$2,$B53*regressions!$L$1,regressions!$L$1*regressions!$L$2+regressions!$L$3*($B53-regressions!$L$2))</f>
        <v>-2.2754606590211682E-2</v>
      </c>
      <c r="AA53">
        <f>regressions!$J$1*X53+regressions!$J$2*X53^2</f>
        <v>-1.3046054952094054E-2</v>
      </c>
      <c r="AB53">
        <f>regressions!$V$1*X53</f>
        <v>-2.2754606654450827E-2</v>
      </c>
      <c r="AC53">
        <f>regressions!$N$1*X53^2</f>
        <v>-1.4282524118102821E-4</v>
      </c>
      <c r="AD53">
        <f>regressions!$R$1*X53^2+regressions!$R$2*X53^6</f>
        <v>-1.5556247394365381E-4</v>
      </c>
      <c r="AE53">
        <f>regressions!$P$1*X53^2+regressions!$P$2*X53^7</f>
        <v>-1.5049665682981478E-4</v>
      </c>
      <c r="AF53">
        <f>regressions!$T$2+regressions!$T$1*EXP(X53)</f>
        <v>-2.2696800109261138E-4</v>
      </c>
      <c r="AG53" s="8">
        <f>(1-EXP(-2*regressions!$X$1*X53))/2/EXP(-regressions!$X$1*X53)</f>
        <v>-1.1653066817898981E-2</v>
      </c>
      <c r="AH53" s="8"/>
      <c r="AI53" s="33">
        <v>2.8630075343825643E-2</v>
      </c>
      <c r="AJ53">
        <f t="shared" si="8"/>
        <v>-1.0951133951853875E-2</v>
      </c>
      <c r="AK53">
        <f>IF(AI53&lt;=regressions!$L$2,AI53*regressions!$L$1,regressions!$L$1*regressions!$L$2+regressions!$L$3*(AI53-regressions!$L$2))</f>
        <v>-2.2754606590211682E-2</v>
      </c>
      <c r="AL53">
        <f>regressions!$J$1*AI53+regressions!$J$2*AI53^2</f>
        <v>-1.3046054952094054E-2</v>
      </c>
      <c r="AM53">
        <f>regressions!$V$1*AI53</f>
        <v>-2.2754606654450827E-2</v>
      </c>
      <c r="AN53">
        <f>regressions!$N$1*AI53^2</f>
        <v>-1.4282524118102821E-4</v>
      </c>
      <c r="AO53">
        <f>regressions!$R$1*AI53^2+regressions!$R$2*AI53^6</f>
        <v>-1.5556247394365381E-4</v>
      </c>
      <c r="AP53">
        <f>regressions!$P$1*AI53^2+regressions!$P$2*AI53^7</f>
        <v>-1.5049665682981478E-4</v>
      </c>
      <c r="AQ53">
        <f>regressions!$T$2+regressions!$T$1*EXP(AI53)</f>
        <v>-2.2696800109261138E-4</v>
      </c>
      <c r="AR53" s="8">
        <f>(1-EXP(-2*regressions!$X$1*AI53))/2/EXP(-regressions!$X$1*AI53)</f>
        <v>-1.1653066817898981E-2</v>
      </c>
      <c r="AT53" s="33">
        <v>2.8630075343825643E-2</v>
      </c>
      <c r="AU53">
        <f t="shared" si="9"/>
        <v>-1.0951133951853875E-2</v>
      </c>
      <c r="AV53">
        <f>IF(AT53&lt;=regressions!$L$2,AT53*regressions!$L$1,regressions!$L$1*regressions!$L$2+regressions!$L$3*(AT53-regressions!$L$2))</f>
        <v>-2.2754606590211682E-2</v>
      </c>
      <c r="AW53">
        <f>regressions!$J$1*AT53+regressions!$J$2*AT53^2</f>
        <v>-1.3046054952094054E-2</v>
      </c>
      <c r="AX53">
        <f>regressions!$V$1*AT53</f>
        <v>-2.2754606654450827E-2</v>
      </c>
      <c r="AY53">
        <f>regressions!$N$1*AT53^2</f>
        <v>-1.4282524118102821E-4</v>
      </c>
      <c r="AZ53">
        <f>regressions!$R$1*AT53^2+regressions!$R$2*AT53^6</f>
        <v>-1.5556247394365381E-4</v>
      </c>
      <c r="BA53">
        <f>regressions!$P$1*AT53^2+regressions!$P$2*AT53^7</f>
        <v>-1.5049665682981478E-4</v>
      </c>
      <c r="BB53">
        <f>regressions!$T$2+regressions!$T$1*EXP(AT53)</f>
        <v>-2.2696800109261138E-4</v>
      </c>
      <c r="BC53" s="8">
        <f>(1-EXP(-2*regressions!$X$1*AT53))/2/EXP(-regressions!$X$1*AT53)</f>
        <v>-1.1653066817898981E-2</v>
      </c>
      <c r="BE53">
        <f t="shared" si="10"/>
        <v>0</v>
      </c>
      <c r="BF53">
        <f t="shared" si="0"/>
        <v>0</v>
      </c>
      <c r="BG53">
        <f t="shared" si="1"/>
        <v>0</v>
      </c>
      <c r="BH53">
        <f>BG53+regressions!$AR$1*(AI53-B53)</f>
        <v>0</v>
      </c>
      <c r="BI53">
        <f>BG53-regressions!$AO$1*(AI53-B53)</f>
        <v>0</v>
      </c>
      <c r="BJ53">
        <f t="shared" si="2"/>
        <v>0</v>
      </c>
      <c r="BK53">
        <f>BJ53+regressions!$AR$1*(AT53-B53)</f>
        <v>0</v>
      </c>
      <c r="BL53">
        <f>BJ53-regressions!$AO$1*(AT53-B53)</f>
        <v>0</v>
      </c>
      <c r="BM53">
        <f t="shared" si="11"/>
        <v>0</v>
      </c>
      <c r="BN53">
        <f t="shared" si="3"/>
        <v>0</v>
      </c>
      <c r="BO53">
        <f t="shared" si="4"/>
        <v>0</v>
      </c>
      <c r="BP53">
        <f t="shared" si="12"/>
        <v>0</v>
      </c>
      <c r="BQ53">
        <f t="shared" si="13"/>
        <v>0</v>
      </c>
      <c r="BR53">
        <f t="shared" si="14"/>
        <v>0</v>
      </c>
    </row>
    <row r="54" spans="1:70" x14ac:dyDescent="0.35">
      <c r="A54">
        <v>1901</v>
      </c>
      <c r="B54" s="33">
        <v>2.9950357724836119E-2</v>
      </c>
      <c r="C54">
        <f t="shared" si="15"/>
        <v>-1.1459328180835414E-2</v>
      </c>
      <c r="D54">
        <f>IF($B54&lt;=regressions!$L$2,$B54*regressions!$L$1,regressions!$L$1*regressions!$L$2+regressions!$L$3*($B54-regressions!$L$2))</f>
        <v>-2.3803940404639113E-2</v>
      </c>
      <c r="E54">
        <f>regressions!$J$1*B54+regressions!$J$2*B54^2</f>
        <v>-1.3650908693441488E-2</v>
      </c>
      <c r="F54">
        <f>regressions!$V$1*B54</f>
        <v>-2.3803940471840663E-2</v>
      </c>
      <c r="G54">
        <f>regressions!$N$1*B54^2</f>
        <v>-1.5630181175473572E-4</v>
      </c>
      <c r="H54">
        <f>regressions!$R$1*B54^2+regressions!$R$2*B54^6</f>
        <v>-1.7024089241646239E-4</v>
      </c>
      <c r="I54">
        <f>regressions!$P$1*B54^2+regressions!$P$2*B54^7</f>
        <v>-1.6469707966895947E-4</v>
      </c>
      <c r="J54">
        <f>regressions!$T$2+regressions!$T$1*EXP(B54)</f>
        <v>-2.3759223946369888E-4</v>
      </c>
      <c r="K54" s="8">
        <f>(1-EXP(-2*regressions!$X$1*B54))/2/EXP(-regressions!$X$1*B54)</f>
        <v>-1.219047665370938E-2</v>
      </c>
      <c r="M54" s="33">
        <v>2.9950357724836119E-2</v>
      </c>
      <c r="N54">
        <f t="shared" si="6"/>
        <v>-1.1459328180835414E-2</v>
      </c>
      <c r="O54">
        <f>IF($B54&lt;=regressions!$L$2,$B54*regressions!$L$1,regressions!$L$1*regressions!$L$2+regressions!$L$3*($B54-regressions!$L$2))</f>
        <v>-2.3803940404639113E-2</v>
      </c>
      <c r="P54">
        <f>regressions!$J$1*M54+regressions!$J$2*M54^2</f>
        <v>-1.3650908693441488E-2</v>
      </c>
      <c r="Q54">
        <f>regressions!$V$1*M54</f>
        <v>-2.3803940471840663E-2</v>
      </c>
      <c r="R54">
        <f>regressions!$N$1*M54^2</f>
        <v>-1.5630181175473572E-4</v>
      </c>
      <c r="S54">
        <f>regressions!$R$1*M54^2+regressions!$R$2*M54^6</f>
        <v>-1.7024089241646239E-4</v>
      </c>
      <c r="T54">
        <f>regressions!$P$1*M54^2+regressions!$P$2*M54^7</f>
        <v>-1.6469707966895947E-4</v>
      </c>
      <c r="U54">
        <f>regressions!$T$2+regressions!$T$1*EXP(M54)</f>
        <v>-2.3759223946369888E-4</v>
      </c>
      <c r="V54" s="8">
        <f>(1-EXP(-2*regressions!$X$1*M54))/2/EXP(-regressions!$X$1*M54)</f>
        <v>-1.219047665370938E-2</v>
      </c>
      <c r="X54" s="33">
        <v>2.9950357724836119E-2</v>
      </c>
      <c r="Y54">
        <f t="shared" si="7"/>
        <v>-1.1459328180835414E-2</v>
      </c>
      <c r="Z54">
        <f>IF($B54&lt;=regressions!$L$2,$B54*regressions!$L$1,regressions!$L$1*regressions!$L$2+regressions!$L$3*($B54-regressions!$L$2))</f>
        <v>-2.3803940404639113E-2</v>
      </c>
      <c r="AA54">
        <f>regressions!$J$1*X54+regressions!$J$2*X54^2</f>
        <v>-1.3650908693441488E-2</v>
      </c>
      <c r="AB54">
        <f>regressions!$V$1*X54</f>
        <v>-2.3803940471840663E-2</v>
      </c>
      <c r="AC54">
        <f>regressions!$N$1*X54^2</f>
        <v>-1.5630181175473572E-4</v>
      </c>
      <c r="AD54">
        <f>regressions!$R$1*X54^2+regressions!$R$2*X54^6</f>
        <v>-1.7024089241646239E-4</v>
      </c>
      <c r="AE54">
        <f>regressions!$P$1*X54^2+regressions!$P$2*X54^7</f>
        <v>-1.6469707966895947E-4</v>
      </c>
      <c r="AF54">
        <f>regressions!$T$2+regressions!$T$1*EXP(X54)</f>
        <v>-2.3759223946369888E-4</v>
      </c>
      <c r="AG54" s="8">
        <f>(1-EXP(-2*regressions!$X$1*X54))/2/EXP(-regressions!$X$1*X54)</f>
        <v>-1.219047665370938E-2</v>
      </c>
      <c r="AH54" s="8"/>
      <c r="AI54" s="33">
        <v>2.9950357724836119E-2</v>
      </c>
      <c r="AJ54">
        <f t="shared" si="8"/>
        <v>-1.1459328180835414E-2</v>
      </c>
      <c r="AK54">
        <f>IF(AI54&lt;=regressions!$L$2,AI54*regressions!$L$1,regressions!$L$1*regressions!$L$2+regressions!$L$3*(AI54-regressions!$L$2))</f>
        <v>-2.3803940404639113E-2</v>
      </c>
      <c r="AL54">
        <f>regressions!$J$1*AI54+regressions!$J$2*AI54^2</f>
        <v>-1.3650908693441488E-2</v>
      </c>
      <c r="AM54">
        <f>regressions!$V$1*AI54</f>
        <v>-2.3803940471840663E-2</v>
      </c>
      <c r="AN54">
        <f>regressions!$N$1*AI54^2</f>
        <v>-1.5630181175473572E-4</v>
      </c>
      <c r="AO54">
        <f>regressions!$R$1*AI54^2+regressions!$R$2*AI54^6</f>
        <v>-1.7024089241646239E-4</v>
      </c>
      <c r="AP54">
        <f>regressions!$P$1*AI54^2+regressions!$P$2*AI54^7</f>
        <v>-1.6469707966895947E-4</v>
      </c>
      <c r="AQ54">
        <f>regressions!$T$2+regressions!$T$1*EXP(AI54)</f>
        <v>-2.3759223946369888E-4</v>
      </c>
      <c r="AR54" s="8">
        <f>(1-EXP(-2*regressions!$X$1*AI54))/2/EXP(-regressions!$X$1*AI54)</f>
        <v>-1.219047665370938E-2</v>
      </c>
      <c r="AT54" s="33">
        <v>2.9950357724836119E-2</v>
      </c>
      <c r="AU54">
        <f t="shared" si="9"/>
        <v>-1.1459328180835414E-2</v>
      </c>
      <c r="AV54">
        <f>IF(AT54&lt;=regressions!$L$2,AT54*regressions!$L$1,regressions!$L$1*regressions!$L$2+regressions!$L$3*(AT54-regressions!$L$2))</f>
        <v>-2.3803940404639113E-2</v>
      </c>
      <c r="AW54">
        <f>regressions!$J$1*AT54+regressions!$J$2*AT54^2</f>
        <v>-1.3650908693441488E-2</v>
      </c>
      <c r="AX54">
        <f>regressions!$V$1*AT54</f>
        <v>-2.3803940471840663E-2</v>
      </c>
      <c r="AY54">
        <f>regressions!$N$1*AT54^2</f>
        <v>-1.5630181175473572E-4</v>
      </c>
      <c r="AZ54">
        <f>regressions!$R$1*AT54^2+regressions!$R$2*AT54^6</f>
        <v>-1.7024089241646239E-4</v>
      </c>
      <c r="BA54">
        <f>regressions!$P$1*AT54^2+regressions!$P$2*AT54^7</f>
        <v>-1.6469707966895947E-4</v>
      </c>
      <c r="BB54">
        <f>regressions!$T$2+regressions!$T$1*EXP(AT54)</f>
        <v>-2.3759223946369888E-4</v>
      </c>
      <c r="BC54" s="8">
        <f>(1-EXP(-2*regressions!$X$1*AT54))/2/EXP(-regressions!$X$1*AT54)</f>
        <v>-1.219047665370938E-2</v>
      </c>
      <c r="BE54">
        <f t="shared" si="10"/>
        <v>0</v>
      </c>
      <c r="BF54">
        <f t="shared" si="0"/>
        <v>0</v>
      </c>
      <c r="BG54">
        <f t="shared" si="1"/>
        <v>0</v>
      </c>
      <c r="BH54">
        <f>BG54+regressions!$AR$1*(AI54-B54)</f>
        <v>0</v>
      </c>
      <c r="BI54">
        <f>BG54-regressions!$AO$1*(AI54-B54)</f>
        <v>0</v>
      </c>
      <c r="BJ54">
        <f t="shared" si="2"/>
        <v>0</v>
      </c>
      <c r="BK54">
        <f>BJ54+regressions!$AR$1*(AT54-B54)</f>
        <v>0</v>
      </c>
      <c r="BL54">
        <f>BJ54-regressions!$AO$1*(AT54-B54)</f>
        <v>0</v>
      </c>
      <c r="BM54">
        <f t="shared" si="11"/>
        <v>0</v>
      </c>
      <c r="BN54">
        <f t="shared" si="3"/>
        <v>0</v>
      </c>
      <c r="BO54">
        <f t="shared" si="4"/>
        <v>0</v>
      </c>
      <c r="BP54">
        <f t="shared" si="12"/>
        <v>0</v>
      </c>
      <c r="BQ54">
        <f t="shared" si="13"/>
        <v>0</v>
      </c>
      <c r="BR54">
        <f t="shared" si="14"/>
        <v>0</v>
      </c>
    </row>
    <row r="55" spans="1:70" x14ac:dyDescent="0.35">
      <c r="A55">
        <v>1902</v>
      </c>
      <c r="B55" s="33">
        <v>3.1328512793396213E-2</v>
      </c>
      <c r="C55">
        <f t="shared" si="15"/>
        <v>-1.199009769109936E-2</v>
      </c>
      <c r="D55">
        <f>IF($B55&lt;=regressions!$L$2,$B55*regressions!$L$1,regressions!$L$1*regressions!$L$2+regressions!$L$3*($B55-regressions!$L$2))</f>
        <v>-2.4899270264193748E-2</v>
      </c>
      <c r="E55">
        <f>regressions!$J$1*B55+regressions!$J$2*B55^2</f>
        <v>-1.42825792876249E-2</v>
      </c>
      <c r="F55">
        <f>regressions!$V$1*B55</f>
        <v>-2.4899270334487553E-2</v>
      </c>
      <c r="G55">
        <f>regressions!$N$1*B55^2</f>
        <v>-1.7101710166843759E-4</v>
      </c>
      <c r="H55">
        <f>regressions!$R$1*B55^2+regressions!$R$2*B55^6</f>
        <v>-1.8626849989383893E-4</v>
      </c>
      <c r="I55">
        <f>regressions!$P$1*B55^2+regressions!$P$2*B55^7</f>
        <v>-1.8020275582241867E-4</v>
      </c>
      <c r="J55">
        <f>regressions!$T$2+regressions!$T$1*EXP(B55)</f>
        <v>-2.486971490310453E-4</v>
      </c>
      <c r="K55" s="8">
        <f>(1-EXP(-2*regressions!$X$1*B55))/2/EXP(-regressions!$X$1*B55)</f>
        <v>-1.2751446837590299E-2</v>
      </c>
      <c r="M55" s="33">
        <v>3.1328512793396213E-2</v>
      </c>
      <c r="N55">
        <f t="shared" si="6"/>
        <v>-1.199009769109936E-2</v>
      </c>
      <c r="O55">
        <f>IF($B55&lt;=regressions!$L$2,$B55*regressions!$L$1,regressions!$L$1*regressions!$L$2+regressions!$L$3*($B55-regressions!$L$2))</f>
        <v>-2.4899270264193748E-2</v>
      </c>
      <c r="P55">
        <f>regressions!$J$1*M55+regressions!$J$2*M55^2</f>
        <v>-1.42825792876249E-2</v>
      </c>
      <c r="Q55">
        <f>regressions!$V$1*M55</f>
        <v>-2.4899270334487553E-2</v>
      </c>
      <c r="R55">
        <f>regressions!$N$1*M55^2</f>
        <v>-1.7101710166843759E-4</v>
      </c>
      <c r="S55">
        <f>regressions!$R$1*M55^2+regressions!$R$2*M55^6</f>
        <v>-1.8626849989383893E-4</v>
      </c>
      <c r="T55">
        <f>regressions!$P$1*M55^2+regressions!$P$2*M55^7</f>
        <v>-1.8020275582241867E-4</v>
      </c>
      <c r="U55">
        <f>regressions!$T$2+regressions!$T$1*EXP(M55)</f>
        <v>-2.486971490310453E-4</v>
      </c>
      <c r="V55" s="8">
        <f>(1-EXP(-2*regressions!$X$1*M55))/2/EXP(-regressions!$X$1*M55)</f>
        <v>-1.2751446837590299E-2</v>
      </c>
      <c r="X55" s="33">
        <v>3.1328512793396213E-2</v>
      </c>
      <c r="Y55">
        <f t="shared" si="7"/>
        <v>-1.199009769109936E-2</v>
      </c>
      <c r="Z55">
        <f>IF($B55&lt;=regressions!$L$2,$B55*regressions!$L$1,regressions!$L$1*regressions!$L$2+regressions!$L$3*($B55-regressions!$L$2))</f>
        <v>-2.4899270264193748E-2</v>
      </c>
      <c r="AA55">
        <f>regressions!$J$1*X55+regressions!$J$2*X55^2</f>
        <v>-1.42825792876249E-2</v>
      </c>
      <c r="AB55">
        <f>regressions!$V$1*X55</f>
        <v>-2.4899270334487553E-2</v>
      </c>
      <c r="AC55">
        <f>regressions!$N$1*X55^2</f>
        <v>-1.7101710166843759E-4</v>
      </c>
      <c r="AD55">
        <f>regressions!$R$1*X55^2+regressions!$R$2*X55^6</f>
        <v>-1.8626849989383893E-4</v>
      </c>
      <c r="AE55">
        <f>regressions!$P$1*X55^2+regressions!$P$2*X55^7</f>
        <v>-1.8020275582241867E-4</v>
      </c>
      <c r="AF55">
        <f>regressions!$T$2+regressions!$T$1*EXP(X55)</f>
        <v>-2.486971490310453E-4</v>
      </c>
      <c r="AG55" s="8">
        <f>(1-EXP(-2*regressions!$X$1*X55))/2/EXP(-regressions!$X$1*X55)</f>
        <v>-1.2751446837590299E-2</v>
      </c>
      <c r="AH55" s="8"/>
      <c r="AI55" s="33">
        <v>3.1328512793396213E-2</v>
      </c>
      <c r="AJ55">
        <f t="shared" si="8"/>
        <v>-1.199009769109936E-2</v>
      </c>
      <c r="AK55">
        <f>IF(AI55&lt;=regressions!$L$2,AI55*regressions!$L$1,regressions!$L$1*regressions!$L$2+regressions!$L$3*(AI55-regressions!$L$2))</f>
        <v>-2.4899270264193748E-2</v>
      </c>
      <c r="AL55">
        <f>regressions!$J$1*AI55+regressions!$J$2*AI55^2</f>
        <v>-1.42825792876249E-2</v>
      </c>
      <c r="AM55">
        <f>regressions!$V$1*AI55</f>
        <v>-2.4899270334487553E-2</v>
      </c>
      <c r="AN55">
        <f>regressions!$N$1*AI55^2</f>
        <v>-1.7101710166843759E-4</v>
      </c>
      <c r="AO55">
        <f>regressions!$R$1*AI55^2+regressions!$R$2*AI55^6</f>
        <v>-1.8626849989383893E-4</v>
      </c>
      <c r="AP55">
        <f>regressions!$P$1*AI55^2+regressions!$P$2*AI55^7</f>
        <v>-1.8020275582241867E-4</v>
      </c>
      <c r="AQ55">
        <f>regressions!$T$2+regressions!$T$1*EXP(AI55)</f>
        <v>-2.486971490310453E-4</v>
      </c>
      <c r="AR55" s="8">
        <f>(1-EXP(-2*regressions!$X$1*AI55))/2/EXP(-regressions!$X$1*AI55)</f>
        <v>-1.2751446837590299E-2</v>
      </c>
      <c r="AT55" s="33">
        <v>3.1328512793396213E-2</v>
      </c>
      <c r="AU55">
        <f t="shared" si="9"/>
        <v>-1.199009769109936E-2</v>
      </c>
      <c r="AV55">
        <f>IF(AT55&lt;=regressions!$L$2,AT55*regressions!$L$1,regressions!$L$1*regressions!$L$2+regressions!$L$3*(AT55-regressions!$L$2))</f>
        <v>-2.4899270264193748E-2</v>
      </c>
      <c r="AW55">
        <f>regressions!$J$1*AT55+regressions!$J$2*AT55^2</f>
        <v>-1.42825792876249E-2</v>
      </c>
      <c r="AX55">
        <f>regressions!$V$1*AT55</f>
        <v>-2.4899270334487553E-2</v>
      </c>
      <c r="AY55">
        <f>regressions!$N$1*AT55^2</f>
        <v>-1.7101710166843759E-4</v>
      </c>
      <c r="AZ55">
        <f>regressions!$R$1*AT55^2+regressions!$R$2*AT55^6</f>
        <v>-1.8626849989383893E-4</v>
      </c>
      <c r="BA55">
        <f>regressions!$P$1*AT55^2+regressions!$P$2*AT55^7</f>
        <v>-1.8020275582241867E-4</v>
      </c>
      <c r="BB55">
        <f>regressions!$T$2+regressions!$T$1*EXP(AT55)</f>
        <v>-2.486971490310453E-4</v>
      </c>
      <c r="BC55" s="8">
        <f>(1-EXP(-2*regressions!$X$1*AT55))/2/EXP(-regressions!$X$1*AT55)</f>
        <v>-1.2751446837590299E-2</v>
      </c>
      <c r="BE55">
        <f t="shared" si="10"/>
        <v>0</v>
      </c>
      <c r="BF55">
        <f t="shared" si="0"/>
        <v>0</v>
      </c>
      <c r="BG55">
        <f t="shared" si="1"/>
        <v>0</v>
      </c>
      <c r="BH55">
        <f>BG55+regressions!$AR$1*(AI55-B55)</f>
        <v>0</v>
      </c>
      <c r="BI55">
        <f>BG55-regressions!$AO$1*(AI55-B55)</f>
        <v>0</v>
      </c>
      <c r="BJ55">
        <f t="shared" si="2"/>
        <v>0</v>
      </c>
      <c r="BK55">
        <f>BJ55+regressions!$AR$1*(AT55-B55)</f>
        <v>0</v>
      </c>
      <c r="BL55">
        <f>BJ55-regressions!$AO$1*(AT55-B55)</f>
        <v>0</v>
      </c>
      <c r="BM55">
        <f t="shared" si="11"/>
        <v>0</v>
      </c>
      <c r="BN55">
        <f t="shared" si="3"/>
        <v>0</v>
      </c>
      <c r="BO55">
        <f t="shared" si="4"/>
        <v>0</v>
      </c>
      <c r="BP55">
        <f t="shared" si="12"/>
        <v>0</v>
      </c>
      <c r="BQ55">
        <f t="shared" si="13"/>
        <v>0</v>
      </c>
      <c r="BR55">
        <f t="shared" si="14"/>
        <v>0</v>
      </c>
    </row>
    <row r="56" spans="1:70" x14ac:dyDescent="0.35">
      <c r="A56">
        <v>1903</v>
      </c>
      <c r="B56" s="33">
        <v>3.2764203104741207E-2</v>
      </c>
      <c r="C56">
        <f t="shared" si="15"/>
        <v>-1.2543350955543993E-2</v>
      </c>
      <c r="D56">
        <f>IF($B56&lt;=regressions!$L$2,$B56*regressions!$L$1,regressions!$L$1*regressions!$L$2+regressions!$L$3*($B56-regressions!$L$2))</f>
        <v>-2.6040327974580779E-2</v>
      </c>
      <c r="E56">
        <f>regressions!$J$1*B56+regressions!$J$2*B56^2</f>
        <v>-1.4940951064376089E-2</v>
      </c>
      <c r="F56">
        <f>regressions!$V$1*B56</f>
        <v>-2.6040328048095935E-2</v>
      </c>
      <c r="G56">
        <f>regressions!$N$1*B56^2</f>
        <v>-1.8705064200949154E-4</v>
      </c>
      <c r="H56">
        <f>regressions!$R$1*B56^2+regressions!$R$2*B56^6</f>
        <v>-2.0373192008864247E-4</v>
      </c>
      <c r="I56">
        <f>regressions!$P$1*B56^2+regressions!$P$2*B56^7</f>
        <v>-1.9709748814368167E-4</v>
      </c>
      <c r="J56">
        <f>regressions!$T$2+regressions!$T$1*EXP(B56)</f>
        <v>-2.6028195410718324E-4</v>
      </c>
      <c r="K56" s="8">
        <f>(1-EXP(-2*regressions!$X$1*B56))/2/EXP(-regressions!$X$1*B56)</f>
        <v>-1.3335840684328639E-2</v>
      </c>
      <c r="M56" s="33">
        <v>3.2764203104741207E-2</v>
      </c>
      <c r="N56">
        <f t="shared" si="6"/>
        <v>-1.2543350955543993E-2</v>
      </c>
      <c r="O56">
        <f>IF($B56&lt;=regressions!$L$2,$B56*regressions!$L$1,regressions!$L$1*regressions!$L$2+regressions!$L$3*($B56-regressions!$L$2))</f>
        <v>-2.6040327974580779E-2</v>
      </c>
      <c r="P56">
        <f>regressions!$J$1*M56+regressions!$J$2*M56^2</f>
        <v>-1.4940951064376089E-2</v>
      </c>
      <c r="Q56">
        <f>regressions!$V$1*M56</f>
        <v>-2.6040328048095935E-2</v>
      </c>
      <c r="R56">
        <f>regressions!$N$1*M56^2</f>
        <v>-1.8705064200949154E-4</v>
      </c>
      <c r="S56">
        <f>regressions!$R$1*M56^2+regressions!$R$2*M56^6</f>
        <v>-2.0373192008864247E-4</v>
      </c>
      <c r="T56">
        <f>regressions!$P$1*M56^2+regressions!$P$2*M56^7</f>
        <v>-1.9709748814368167E-4</v>
      </c>
      <c r="U56">
        <f>regressions!$T$2+regressions!$T$1*EXP(M56)</f>
        <v>-2.6028195410718324E-4</v>
      </c>
      <c r="V56" s="8">
        <f>(1-EXP(-2*regressions!$X$1*M56))/2/EXP(-regressions!$X$1*M56)</f>
        <v>-1.3335840684328639E-2</v>
      </c>
      <c r="X56" s="33">
        <v>3.2764203104741207E-2</v>
      </c>
      <c r="Y56">
        <f t="shared" si="7"/>
        <v>-1.2543350955543993E-2</v>
      </c>
      <c r="Z56">
        <f>IF($B56&lt;=regressions!$L$2,$B56*regressions!$L$1,regressions!$L$1*regressions!$L$2+regressions!$L$3*($B56-regressions!$L$2))</f>
        <v>-2.6040327974580779E-2</v>
      </c>
      <c r="AA56">
        <f>regressions!$J$1*X56+regressions!$J$2*X56^2</f>
        <v>-1.4940951064376089E-2</v>
      </c>
      <c r="AB56">
        <f>regressions!$V$1*X56</f>
        <v>-2.6040328048095935E-2</v>
      </c>
      <c r="AC56">
        <f>regressions!$N$1*X56^2</f>
        <v>-1.8705064200949154E-4</v>
      </c>
      <c r="AD56">
        <f>regressions!$R$1*X56^2+regressions!$R$2*X56^6</f>
        <v>-2.0373192008864247E-4</v>
      </c>
      <c r="AE56">
        <f>regressions!$P$1*X56^2+regressions!$P$2*X56^7</f>
        <v>-1.9709748814368167E-4</v>
      </c>
      <c r="AF56">
        <f>regressions!$T$2+regressions!$T$1*EXP(X56)</f>
        <v>-2.6028195410718324E-4</v>
      </c>
      <c r="AG56" s="8">
        <f>(1-EXP(-2*regressions!$X$1*X56))/2/EXP(-regressions!$X$1*X56)</f>
        <v>-1.3335840684328639E-2</v>
      </c>
      <c r="AH56" s="8"/>
      <c r="AI56" s="33">
        <v>3.2764203104741207E-2</v>
      </c>
      <c r="AJ56">
        <f t="shared" si="8"/>
        <v>-1.2543350955543993E-2</v>
      </c>
      <c r="AK56">
        <f>IF(AI56&lt;=regressions!$L$2,AI56*regressions!$L$1,regressions!$L$1*regressions!$L$2+regressions!$L$3*(AI56-regressions!$L$2))</f>
        <v>-2.6040327974580779E-2</v>
      </c>
      <c r="AL56">
        <f>regressions!$J$1*AI56+regressions!$J$2*AI56^2</f>
        <v>-1.4940951064376089E-2</v>
      </c>
      <c r="AM56">
        <f>regressions!$V$1*AI56</f>
        <v>-2.6040328048095935E-2</v>
      </c>
      <c r="AN56">
        <f>regressions!$N$1*AI56^2</f>
        <v>-1.8705064200949154E-4</v>
      </c>
      <c r="AO56">
        <f>regressions!$R$1*AI56^2+regressions!$R$2*AI56^6</f>
        <v>-2.0373192008864247E-4</v>
      </c>
      <c r="AP56">
        <f>regressions!$P$1*AI56^2+regressions!$P$2*AI56^7</f>
        <v>-1.9709748814368167E-4</v>
      </c>
      <c r="AQ56">
        <f>regressions!$T$2+regressions!$T$1*EXP(AI56)</f>
        <v>-2.6028195410718324E-4</v>
      </c>
      <c r="AR56" s="8">
        <f>(1-EXP(-2*regressions!$X$1*AI56))/2/EXP(-regressions!$X$1*AI56)</f>
        <v>-1.3335840684328639E-2</v>
      </c>
      <c r="AT56" s="33">
        <v>3.2764203104741207E-2</v>
      </c>
      <c r="AU56">
        <f t="shared" si="9"/>
        <v>-1.2543350955543993E-2</v>
      </c>
      <c r="AV56">
        <f>IF(AT56&lt;=regressions!$L$2,AT56*regressions!$L$1,regressions!$L$1*regressions!$L$2+regressions!$L$3*(AT56-regressions!$L$2))</f>
        <v>-2.6040327974580779E-2</v>
      </c>
      <c r="AW56">
        <f>regressions!$J$1*AT56+regressions!$J$2*AT56^2</f>
        <v>-1.4940951064376089E-2</v>
      </c>
      <c r="AX56">
        <f>regressions!$V$1*AT56</f>
        <v>-2.6040328048095935E-2</v>
      </c>
      <c r="AY56">
        <f>regressions!$N$1*AT56^2</f>
        <v>-1.8705064200949154E-4</v>
      </c>
      <c r="AZ56">
        <f>regressions!$R$1*AT56^2+regressions!$R$2*AT56^6</f>
        <v>-2.0373192008864247E-4</v>
      </c>
      <c r="BA56">
        <f>regressions!$P$1*AT56^2+regressions!$P$2*AT56^7</f>
        <v>-1.9709748814368167E-4</v>
      </c>
      <c r="BB56">
        <f>regressions!$T$2+regressions!$T$1*EXP(AT56)</f>
        <v>-2.6028195410718324E-4</v>
      </c>
      <c r="BC56" s="8">
        <f>(1-EXP(-2*regressions!$X$1*AT56))/2/EXP(-regressions!$X$1*AT56)</f>
        <v>-1.3335840684328639E-2</v>
      </c>
      <c r="BE56">
        <f t="shared" si="10"/>
        <v>0</v>
      </c>
      <c r="BF56">
        <f t="shared" si="0"/>
        <v>0</v>
      </c>
      <c r="BG56">
        <f t="shared" si="1"/>
        <v>0</v>
      </c>
      <c r="BH56">
        <f>BG56+regressions!$AR$1*(AI56-B56)</f>
        <v>0</v>
      </c>
      <c r="BI56">
        <f>BG56-regressions!$AO$1*(AI56-B56)</f>
        <v>0</v>
      </c>
      <c r="BJ56">
        <f t="shared" si="2"/>
        <v>0</v>
      </c>
      <c r="BK56">
        <f>BJ56+regressions!$AR$1*(AT56-B56)</f>
        <v>0</v>
      </c>
      <c r="BL56">
        <f>BJ56-regressions!$AO$1*(AT56-B56)</f>
        <v>0</v>
      </c>
      <c r="BM56">
        <f t="shared" si="11"/>
        <v>0</v>
      </c>
      <c r="BN56">
        <f t="shared" si="3"/>
        <v>0</v>
      </c>
      <c r="BO56">
        <f t="shared" si="4"/>
        <v>0</v>
      </c>
      <c r="BP56">
        <f t="shared" si="12"/>
        <v>0</v>
      </c>
      <c r="BQ56">
        <f t="shared" si="13"/>
        <v>0</v>
      </c>
      <c r="BR56">
        <f t="shared" si="14"/>
        <v>0</v>
      </c>
    </row>
    <row r="57" spans="1:70" x14ac:dyDescent="0.35">
      <c r="A57">
        <v>1904</v>
      </c>
      <c r="B57" s="33">
        <v>3.4266973946178593E-2</v>
      </c>
      <c r="C57">
        <f t="shared" si="15"/>
        <v>-1.3122809653359498E-2</v>
      </c>
      <c r="D57">
        <f>IF($B57&lt;=regressions!$L$2,$B57*regressions!$L$1,regressions!$L$1*regressions!$L$2+regressions!$L$3*($B57-regressions!$L$2))</f>
        <v>-2.7234699937682284E-2</v>
      </c>
      <c r="E57">
        <f>regressions!$J$1*B57+regressions!$J$2*B57^2</f>
        <v>-1.5630445220300455E-2</v>
      </c>
      <c r="F57">
        <f>regressions!$V$1*B57</f>
        <v>-2.7234700014569305E-2</v>
      </c>
      <c r="G57">
        <f>regressions!$N$1*B57^2</f>
        <v>-2.0460276242040921E-4</v>
      </c>
      <c r="H57">
        <f>regressions!$R$1*B57^2+regressions!$R$2*B57^6</f>
        <v>-2.2284934814972596E-4</v>
      </c>
      <c r="I57">
        <f>regressions!$P$1*B57^2+regressions!$P$2*B57^7</f>
        <v>-2.1559236636179398E-4</v>
      </c>
      <c r="J57">
        <f>regressions!$T$2+regressions!$T$1*EXP(B57)</f>
        <v>-2.7242587147121786E-4</v>
      </c>
      <c r="K57" s="8">
        <f>(1-EXP(-2*regressions!$X$1*B57))/2/EXP(-regressions!$X$1*B57)</f>
        <v>-1.3947544359949281E-2</v>
      </c>
      <c r="M57" s="33">
        <v>3.4266973946178593E-2</v>
      </c>
      <c r="N57">
        <f t="shared" si="6"/>
        <v>-1.3122809653359498E-2</v>
      </c>
      <c r="O57">
        <f>IF($B57&lt;=regressions!$L$2,$B57*regressions!$L$1,regressions!$L$1*regressions!$L$2+regressions!$L$3*($B57-regressions!$L$2))</f>
        <v>-2.7234699937682284E-2</v>
      </c>
      <c r="P57">
        <f>regressions!$J$1*M57+regressions!$J$2*M57^2</f>
        <v>-1.5630445220300455E-2</v>
      </c>
      <c r="Q57">
        <f>regressions!$V$1*M57</f>
        <v>-2.7234700014569305E-2</v>
      </c>
      <c r="R57">
        <f>regressions!$N$1*M57^2</f>
        <v>-2.0460276242040921E-4</v>
      </c>
      <c r="S57">
        <f>regressions!$R$1*M57^2+regressions!$R$2*M57^6</f>
        <v>-2.2284934814972596E-4</v>
      </c>
      <c r="T57">
        <f>regressions!$P$1*M57^2+regressions!$P$2*M57^7</f>
        <v>-2.1559236636179398E-4</v>
      </c>
      <c r="U57">
        <f>regressions!$T$2+regressions!$T$1*EXP(M57)</f>
        <v>-2.7242587147121786E-4</v>
      </c>
      <c r="V57" s="8">
        <f>(1-EXP(-2*regressions!$X$1*M57))/2/EXP(-regressions!$X$1*M57)</f>
        <v>-1.3947544359949281E-2</v>
      </c>
      <c r="X57" s="33">
        <v>3.4266973946178593E-2</v>
      </c>
      <c r="Y57">
        <f t="shared" si="7"/>
        <v>-1.3122809653359498E-2</v>
      </c>
      <c r="Z57">
        <f>IF($B57&lt;=regressions!$L$2,$B57*regressions!$L$1,regressions!$L$1*regressions!$L$2+regressions!$L$3*($B57-regressions!$L$2))</f>
        <v>-2.7234699937682284E-2</v>
      </c>
      <c r="AA57">
        <f>regressions!$J$1*X57+regressions!$J$2*X57^2</f>
        <v>-1.5630445220300455E-2</v>
      </c>
      <c r="AB57">
        <f>regressions!$V$1*X57</f>
        <v>-2.7234700014569305E-2</v>
      </c>
      <c r="AC57">
        <f>regressions!$N$1*X57^2</f>
        <v>-2.0460276242040921E-4</v>
      </c>
      <c r="AD57">
        <f>regressions!$R$1*X57^2+regressions!$R$2*X57^6</f>
        <v>-2.2284934814972596E-4</v>
      </c>
      <c r="AE57">
        <f>regressions!$P$1*X57^2+regressions!$P$2*X57^7</f>
        <v>-2.1559236636179398E-4</v>
      </c>
      <c r="AF57">
        <f>regressions!$T$2+regressions!$T$1*EXP(X57)</f>
        <v>-2.7242587147121786E-4</v>
      </c>
      <c r="AG57" s="8">
        <f>(1-EXP(-2*regressions!$X$1*X57))/2/EXP(-regressions!$X$1*X57)</f>
        <v>-1.3947544359949281E-2</v>
      </c>
      <c r="AH57" s="8"/>
      <c r="AI57" s="33">
        <v>3.4266973946178593E-2</v>
      </c>
      <c r="AJ57">
        <f t="shared" si="8"/>
        <v>-1.3122809653359498E-2</v>
      </c>
      <c r="AK57">
        <f>IF(AI57&lt;=regressions!$L$2,AI57*regressions!$L$1,regressions!$L$1*regressions!$L$2+regressions!$L$3*(AI57-regressions!$L$2))</f>
        <v>-2.7234699937682284E-2</v>
      </c>
      <c r="AL57">
        <f>regressions!$J$1*AI57+regressions!$J$2*AI57^2</f>
        <v>-1.5630445220300455E-2</v>
      </c>
      <c r="AM57">
        <f>regressions!$V$1*AI57</f>
        <v>-2.7234700014569305E-2</v>
      </c>
      <c r="AN57">
        <f>regressions!$N$1*AI57^2</f>
        <v>-2.0460276242040921E-4</v>
      </c>
      <c r="AO57">
        <f>regressions!$R$1*AI57^2+regressions!$R$2*AI57^6</f>
        <v>-2.2284934814972596E-4</v>
      </c>
      <c r="AP57">
        <f>regressions!$P$1*AI57^2+regressions!$P$2*AI57^7</f>
        <v>-2.1559236636179398E-4</v>
      </c>
      <c r="AQ57">
        <f>regressions!$T$2+regressions!$T$1*EXP(AI57)</f>
        <v>-2.7242587147121786E-4</v>
      </c>
      <c r="AR57" s="8">
        <f>(1-EXP(-2*regressions!$X$1*AI57))/2/EXP(-regressions!$X$1*AI57)</f>
        <v>-1.3947544359949281E-2</v>
      </c>
      <c r="AT57" s="33">
        <v>3.4266973946178593E-2</v>
      </c>
      <c r="AU57">
        <f t="shared" si="9"/>
        <v>-1.3122809653359498E-2</v>
      </c>
      <c r="AV57">
        <f>IF(AT57&lt;=regressions!$L$2,AT57*regressions!$L$1,regressions!$L$1*regressions!$L$2+regressions!$L$3*(AT57-regressions!$L$2))</f>
        <v>-2.7234699937682284E-2</v>
      </c>
      <c r="AW57">
        <f>regressions!$J$1*AT57+regressions!$J$2*AT57^2</f>
        <v>-1.5630445220300455E-2</v>
      </c>
      <c r="AX57">
        <f>regressions!$V$1*AT57</f>
        <v>-2.7234700014569305E-2</v>
      </c>
      <c r="AY57">
        <f>regressions!$N$1*AT57^2</f>
        <v>-2.0460276242040921E-4</v>
      </c>
      <c r="AZ57">
        <f>regressions!$R$1*AT57^2+regressions!$R$2*AT57^6</f>
        <v>-2.2284934814972596E-4</v>
      </c>
      <c r="BA57">
        <f>regressions!$P$1*AT57^2+regressions!$P$2*AT57^7</f>
        <v>-2.1559236636179398E-4</v>
      </c>
      <c r="BB57">
        <f>regressions!$T$2+regressions!$T$1*EXP(AT57)</f>
        <v>-2.7242587147121786E-4</v>
      </c>
      <c r="BC57" s="8">
        <f>(1-EXP(-2*regressions!$X$1*AT57))/2/EXP(-regressions!$X$1*AT57)</f>
        <v>-1.3947544359949281E-2</v>
      </c>
      <c r="BE57">
        <f t="shared" si="10"/>
        <v>0</v>
      </c>
      <c r="BF57">
        <f t="shared" si="0"/>
        <v>0</v>
      </c>
      <c r="BG57">
        <f t="shared" si="1"/>
        <v>0</v>
      </c>
      <c r="BH57">
        <f>BG57+regressions!$AR$1*(AI57-B57)</f>
        <v>0</v>
      </c>
      <c r="BI57">
        <f>BG57-regressions!$AO$1*(AI57-B57)</f>
        <v>0</v>
      </c>
      <c r="BJ57">
        <f t="shared" si="2"/>
        <v>0</v>
      </c>
      <c r="BK57">
        <f>BJ57+regressions!$AR$1*(AT57-B57)</f>
        <v>0</v>
      </c>
      <c r="BL57">
        <f>BJ57-regressions!$AO$1*(AT57-B57)</f>
        <v>0</v>
      </c>
      <c r="BM57">
        <f t="shared" si="11"/>
        <v>0</v>
      </c>
      <c r="BN57">
        <f t="shared" si="3"/>
        <v>0</v>
      </c>
      <c r="BO57">
        <f t="shared" si="4"/>
        <v>0</v>
      </c>
      <c r="BP57">
        <f t="shared" si="12"/>
        <v>0</v>
      </c>
      <c r="BQ57">
        <f t="shared" si="13"/>
        <v>0</v>
      </c>
      <c r="BR57">
        <f t="shared" si="14"/>
        <v>0</v>
      </c>
    </row>
    <row r="58" spans="1:70" x14ac:dyDescent="0.35">
      <c r="A58">
        <v>1905</v>
      </c>
      <c r="B58" s="33">
        <v>3.5833893392951316E-2</v>
      </c>
      <c r="C58">
        <f t="shared" si="15"/>
        <v>-1.3727390891474456E-2</v>
      </c>
      <c r="D58">
        <f>IF($B58&lt;=regressions!$L$2,$B58*regressions!$L$1,regressions!$L$1*regressions!$L$2+regressions!$L$3*($B58-regressions!$L$2))</f>
        <v>-2.8480055918820305E-2</v>
      </c>
      <c r="E58">
        <f>regressions!$J$1*B58+regressions!$J$2*B58^2</f>
        <v>-1.6349764867435886E-2</v>
      </c>
      <c r="F58">
        <f>regressions!$V$1*B58</f>
        <v>-2.8480055999223125E-2</v>
      </c>
      <c r="G58">
        <f>regressions!$N$1*B58^2</f>
        <v>-2.2374223853944436E-4</v>
      </c>
      <c r="H58">
        <f>regressions!$R$1*B58^2+regressions!$R$2*B58^6</f>
        <v>-2.4369569316392168E-4</v>
      </c>
      <c r="I58">
        <f>regressions!$P$1*B58^2+regressions!$P$2*B58^7</f>
        <v>-2.357598601854901E-4</v>
      </c>
      <c r="J58">
        <f>regressions!$T$2+regressions!$T$1*EXP(B58)</f>
        <v>-2.8510762453424175E-4</v>
      </c>
      <c r="K58" s="8">
        <f>(1-EXP(-2*regressions!$X$1*B58))/2/EXP(-regressions!$X$1*B58)</f>
        <v>-1.4585365319986584E-2</v>
      </c>
      <c r="M58" s="33">
        <v>3.5833893392951316E-2</v>
      </c>
      <c r="N58">
        <f t="shared" si="6"/>
        <v>-1.3727390891474456E-2</v>
      </c>
      <c r="O58">
        <f>IF($B58&lt;=regressions!$L$2,$B58*regressions!$L$1,regressions!$L$1*regressions!$L$2+regressions!$L$3*($B58-regressions!$L$2))</f>
        <v>-2.8480055918820305E-2</v>
      </c>
      <c r="P58">
        <f>regressions!$J$1*M58+regressions!$J$2*M58^2</f>
        <v>-1.6349764867435886E-2</v>
      </c>
      <c r="Q58">
        <f>regressions!$V$1*M58</f>
        <v>-2.8480055999223125E-2</v>
      </c>
      <c r="R58">
        <f>regressions!$N$1*M58^2</f>
        <v>-2.2374223853944436E-4</v>
      </c>
      <c r="S58">
        <f>regressions!$R$1*M58^2+regressions!$R$2*M58^6</f>
        <v>-2.4369569316392168E-4</v>
      </c>
      <c r="T58">
        <f>regressions!$P$1*M58^2+regressions!$P$2*M58^7</f>
        <v>-2.357598601854901E-4</v>
      </c>
      <c r="U58">
        <f>regressions!$T$2+regressions!$T$1*EXP(M58)</f>
        <v>-2.8510762453424175E-4</v>
      </c>
      <c r="V58" s="8">
        <f>(1-EXP(-2*regressions!$X$1*M58))/2/EXP(-regressions!$X$1*M58)</f>
        <v>-1.4585365319986584E-2</v>
      </c>
      <c r="X58" s="33">
        <v>3.5833893392951316E-2</v>
      </c>
      <c r="Y58">
        <f t="shared" si="7"/>
        <v>-1.3727390891474456E-2</v>
      </c>
      <c r="Z58">
        <f>IF($B58&lt;=regressions!$L$2,$B58*regressions!$L$1,regressions!$L$1*regressions!$L$2+regressions!$L$3*($B58-regressions!$L$2))</f>
        <v>-2.8480055918820305E-2</v>
      </c>
      <c r="AA58">
        <f>regressions!$J$1*X58+regressions!$J$2*X58^2</f>
        <v>-1.6349764867435886E-2</v>
      </c>
      <c r="AB58">
        <f>regressions!$V$1*X58</f>
        <v>-2.8480055999223125E-2</v>
      </c>
      <c r="AC58">
        <f>regressions!$N$1*X58^2</f>
        <v>-2.2374223853944436E-4</v>
      </c>
      <c r="AD58">
        <f>regressions!$R$1*X58^2+regressions!$R$2*X58^6</f>
        <v>-2.4369569316392168E-4</v>
      </c>
      <c r="AE58">
        <f>regressions!$P$1*X58^2+regressions!$P$2*X58^7</f>
        <v>-2.357598601854901E-4</v>
      </c>
      <c r="AF58">
        <f>regressions!$T$2+regressions!$T$1*EXP(X58)</f>
        <v>-2.8510762453424175E-4</v>
      </c>
      <c r="AG58" s="8">
        <f>(1-EXP(-2*regressions!$X$1*X58))/2/EXP(-regressions!$X$1*X58)</f>
        <v>-1.4585365319986584E-2</v>
      </c>
      <c r="AH58" s="8"/>
      <c r="AI58" s="33">
        <v>3.5833893392951316E-2</v>
      </c>
      <c r="AJ58">
        <f t="shared" si="8"/>
        <v>-1.3727390891474456E-2</v>
      </c>
      <c r="AK58">
        <f>IF(AI58&lt;=regressions!$L$2,AI58*regressions!$L$1,regressions!$L$1*regressions!$L$2+regressions!$L$3*(AI58-regressions!$L$2))</f>
        <v>-2.8480055918820305E-2</v>
      </c>
      <c r="AL58">
        <f>regressions!$J$1*AI58+regressions!$J$2*AI58^2</f>
        <v>-1.6349764867435886E-2</v>
      </c>
      <c r="AM58">
        <f>regressions!$V$1*AI58</f>
        <v>-2.8480055999223125E-2</v>
      </c>
      <c r="AN58">
        <f>regressions!$N$1*AI58^2</f>
        <v>-2.2374223853944436E-4</v>
      </c>
      <c r="AO58">
        <f>regressions!$R$1*AI58^2+regressions!$R$2*AI58^6</f>
        <v>-2.4369569316392168E-4</v>
      </c>
      <c r="AP58">
        <f>regressions!$P$1*AI58^2+regressions!$P$2*AI58^7</f>
        <v>-2.357598601854901E-4</v>
      </c>
      <c r="AQ58">
        <f>regressions!$T$2+regressions!$T$1*EXP(AI58)</f>
        <v>-2.8510762453424175E-4</v>
      </c>
      <c r="AR58" s="8">
        <f>(1-EXP(-2*regressions!$X$1*AI58))/2/EXP(-regressions!$X$1*AI58)</f>
        <v>-1.4585365319986584E-2</v>
      </c>
      <c r="AT58" s="33">
        <v>3.5833893392951316E-2</v>
      </c>
      <c r="AU58">
        <f t="shared" si="9"/>
        <v>-1.3727390891474456E-2</v>
      </c>
      <c r="AV58">
        <f>IF(AT58&lt;=regressions!$L$2,AT58*regressions!$L$1,regressions!$L$1*regressions!$L$2+regressions!$L$3*(AT58-regressions!$L$2))</f>
        <v>-2.8480055918820305E-2</v>
      </c>
      <c r="AW58">
        <f>regressions!$J$1*AT58+regressions!$J$2*AT58^2</f>
        <v>-1.6349764867435886E-2</v>
      </c>
      <c r="AX58">
        <f>regressions!$V$1*AT58</f>
        <v>-2.8480055999223125E-2</v>
      </c>
      <c r="AY58">
        <f>regressions!$N$1*AT58^2</f>
        <v>-2.2374223853944436E-4</v>
      </c>
      <c r="AZ58">
        <f>regressions!$R$1*AT58^2+regressions!$R$2*AT58^6</f>
        <v>-2.4369569316392168E-4</v>
      </c>
      <c r="BA58">
        <f>regressions!$P$1*AT58^2+regressions!$P$2*AT58^7</f>
        <v>-2.357598601854901E-4</v>
      </c>
      <c r="BB58">
        <f>regressions!$T$2+regressions!$T$1*EXP(AT58)</f>
        <v>-2.8510762453424175E-4</v>
      </c>
      <c r="BC58" s="8">
        <f>(1-EXP(-2*regressions!$X$1*AT58))/2/EXP(-regressions!$X$1*AT58)</f>
        <v>-1.4585365319986584E-2</v>
      </c>
      <c r="BE58">
        <f t="shared" si="10"/>
        <v>0</v>
      </c>
      <c r="BF58">
        <f t="shared" si="0"/>
        <v>0</v>
      </c>
      <c r="BG58">
        <f t="shared" si="1"/>
        <v>0</v>
      </c>
      <c r="BH58">
        <f>BG58+regressions!$AR$1*(AI58-B58)</f>
        <v>0</v>
      </c>
      <c r="BI58">
        <f>BG58-regressions!$AO$1*(AI58-B58)</f>
        <v>0</v>
      </c>
      <c r="BJ58">
        <f t="shared" si="2"/>
        <v>0</v>
      </c>
      <c r="BK58">
        <f>BJ58+regressions!$AR$1*(AT58-B58)</f>
        <v>0</v>
      </c>
      <c r="BL58">
        <f>BJ58-regressions!$AO$1*(AT58-B58)</f>
        <v>0</v>
      </c>
      <c r="BM58">
        <f t="shared" si="11"/>
        <v>0</v>
      </c>
      <c r="BN58">
        <f t="shared" si="3"/>
        <v>0</v>
      </c>
      <c r="BO58">
        <f t="shared" si="4"/>
        <v>0</v>
      </c>
      <c r="BP58">
        <f t="shared" si="12"/>
        <v>0</v>
      </c>
      <c r="BQ58">
        <f t="shared" si="13"/>
        <v>0</v>
      </c>
      <c r="BR58">
        <f t="shared" si="14"/>
        <v>0</v>
      </c>
    </row>
    <row r="59" spans="1:70" x14ac:dyDescent="0.35">
      <c r="A59">
        <v>1906</v>
      </c>
      <c r="B59" s="33">
        <v>3.747087067667898E-2</v>
      </c>
      <c r="C59">
        <f t="shared" si="15"/>
        <v>-1.4359425595818773E-2</v>
      </c>
      <c r="D59">
        <f>IF($B59&lt;=regressions!$L$2,$B59*regressions!$L$1,regressions!$L$1*regressions!$L$2+regressions!$L$3*($B59-regressions!$L$2))</f>
        <v>-2.9781092456133133E-2</v>
      </c>
      <c r="E59">
        <f>regressions!$J$1*B59+regressions!$J$2*B59^2</f>
        <v>-1.7101674361965961E-2</v>
      </c>
      <c r="F59">
        <f>regressions!$V$1*B59</f>
        <v>-2.9781092540208946E-2</v>
      </c>
      <c r="G59">
        <f>regressions!$N$1*B59^2</f>
        <v>-2.4465131435368802E-4</v>
      </c>
      <c r="H59">
        <f>regressions!$R$1*B59^2+regressions!$R$2*B59^6</f>
        <v>-2.6646945173591086E-4</v>
      </c>
      <c r="I59">
        <f>regressions!$P$1*B59^2+regressions!$P$2*B59^7</f>
        <v>-2.5779200227340565E-4</v>
      </c>
      <c r="J59">
        <f>regressions!$T$2+regressions!$T$1*EXP(B59)</f>
        <v>-2.9837762677016599E-4</v>
      </c>
      <c r="K59" s="8">
        <f>(1-EXP(-2*regressions!$X$1*B59))/2/EXP(-regressions!$X$1*B59)</f>
        <v>-1.525170994893256E-2</v>
      </c>
      <c r="M59" s="33">
        <v>3.747087067667898E-2</v>
      </c>
      <c r="N59">
        <f t="shared" si="6"/>
        <v>-1.4359425595818773E-2</v>
      </c>
      <c r="O59">
        <f>IF($B59&lt;=regressions!$L$2,$B59*regressions!$L$1,regressions!$L$1*regressions!$L$2+regressions!$L$3*($B59-regressions!$L$2))</f>
        <v>-2.9781092456133133E-2</v>
      </c>
      <c r="P59">
        <f>regressions!$J$1*M59+regressions!$J$2*M59^2</f>
        <v>-1.7101674361965961E-2</v>
      </c>
      <c r="Q59">
        <f>regressions!$V$1*M59</f>
        <v>-2.9781092540208946E-2</v>
      </c>
      <c r="R59">
        <f>regressions!$N$1*M59^2</f>
        <v>-2.4465131435368802E-4</v>
      </c>
      <c r="S59">
        <f>regressions!$R$1*M59^2+regressions!$R$2*M59^6</f>
        <v>-2.6646945173591086E-4</v>
      </c>
      <c r="T59">
        <f>regressions!$P$1*M59^2+regressions!$P$2*M59^7</f>
        <v>-2.5779200227340565E-4</v>
      </c>
      <c r="U59">
        <f>regressions!$T$2+regressions!$T$1*EXP(M59)</f>
        <v>-2.9837762677016599E-4</v>
      </c>
      <c r="V59" s="8">
        <f>(1-EXP(-2*regressions!$X$1*M59))/2/EXP(-regressions!$X$1*M59)</f>
        <v>-1.525170994893256E-2</v>
      </c>
      <c r="X59" s="33">
        <v>3.747087067667898E-2</v>
      </c>
      <c r="Y59">
        <f t="shared" si="7"/>
        <v>-1.4359425595818773E-2</v>
      </c>
      <c r="Z59">
        <f>IF($B59&lt;=regressions!$L$2,$B59*regressions!$L$1,regressions!$L$1*regressions!$L$2+regressions!$L$3*($B59-regressions!$L$2))</f>
        <v>-2.9781092456133133E-2</v>
      </c>
      <c r="AA59">
        <f>regressions!$J$1*X59+regressions!$J$2*X59^2</f>
        <v>-1.7101674361965961E-2</v>
      </c>
      <c r="AB59">
        <f>regressions!$V$1*X59</f>
        <v>-2.9781092540208946E-2</v>
      </c>
      <c r="AC59">
        <f>regressions!$N$1*X59^2</f>
        <v>-2.4465131435368802E-4</v>
      </c>
      <c r="AD59">
        <f>regressions!$R$1*X59^2+regressions!$R$2*X59^6</f>
        <v>-2.6646945173591086E-4</v>
      </c>
      <c r="AE59">
        <f>regressions!$P$1*X59^2+regressions!$P$2*X59^7</f>
        <v>-2.5779200227340565E-4</v>
      </c>
      <c r="AF59">
        <f>regressions!$T$2+regressions!$T$1*EXP(X59)</f>
        <v>-2.9837762677016599E-4</v>
      </c>
      <c r="AG59" s="8">
        <f>(1-EXP(-2*regressions!$X$1*X59))/2/EXP(-regressions!$X$1*X59)</f>
        <v>-1.525170994893256E-2</v>
      </c>
      <c r="AH59" s="8"/>
      <c r="AI59" s="33">
        <v>3.747087067667898E-2</v>
      </c>
      <c r="AJ59">
        <f t="shared" si="8"/>
        <v>-1.4359425595818773E-2</v>
      </c>
      <c r="AK59">
        <f>IF(AI59&lt;=regressions!$L$2,AI59*regressions!$L$1,regressions!$L$1*regressions!$L$2+regressions!$L$3*(AI59-regressions!$L$2))</f>
        <v>-2.9781092456133133E-2</v>
      </c>
      <c r="AL59">
        <f>regressions!$J$1*AI59+regressions!$J$2*AI59^2</f>
        <v>-1.7101674361965961E-2</v>
      </c>
      <c r="AM59">
        <f>regressions!$V$1*AI59</f>
        <v>-2.9781092540208946E-2</v>
      </c>
      <c r="AN59">
        <f>regressions!$N$1*AI59^2</f>
        <v>-2.4465131435368802E-4</v>
      </c>
      <c r="AO59">
        <f>regressions!$R$1*AI59^2+regressions!$R$2*AI59^6</f>
        <v>-2.6646945173591086E-4</v>
      </c>
      <c r="AP59">
        <f>regressions!$P$1*AI59^2+regressions!$P$2*AI59^7</f>
        <v>-2.5779200227340565E-4</v>
      </c>
      <c r="AQ59">
        <f>regressions!$T$2+regressions!$T$1*EXP(AI59)</f>
        <v>-2.9837762677016599E-4</v>
      </c>
      <c r="AR59" s="8">
        <f>(1-EXP(-2*regressions!$X$1*AI59))/2/EXP(-regressions!$X$1*AI59)</f>
        <v>-1.525170994893256E-2</v>
      </c>
      <c r="AT59" s="33">
        <v>3.747087067667898E-2</v>
      </c>
      <c r="AU59">
        <f t="shared" si="9"/>
        <v>-1.4359425595818773E-2</v>
      </c>
      <c r="AV59">
        <f>IF(AT59&lt;=regressions!$L$2,AT59*regressions!$L$1,regressions!$L$1*regressions!$L$2+regressions!$L$3*(AT59-regressions!$L$2))</f>
        <v>-2.9781092456133133E-2</v>
      </c>
      <c r="AW59">
        <f>regressions!$J$1*AT59+regressions!$J$2*AT59^2</f>
        <v>-1.7101674361965961E-2</v>
      </c>
      <c r="AX59">
        <f>regressions!$V$1*AT59</f>
        <v>-2.9781092540208946E-2</v>
      </c>
      <c r="AY59">
        <f>regressions!$N$1*AT59^2</f>
        <v>-2.4465131435368802E-4</v>
      </c>
      <c r="AZ59">
        <f>regressions!$R$1*AT59^2+regressions!$R$2*AT59^6</f>
        <v>-2.6646945173591086E-4</v>
      </c>
      <c r="BA59">
        <f>regressions!$P$1*AT59^2+regressions!$P$2*AT59^7</f>
        <v>-2.5779200227340565E-4</v>
      </c>
      <c r="BB59">
        <f>regressions!$T$2+regressions!$T$1*EXP(AT59)</f>
        <v>-2.9837762677016599E-4</v>
      </c>
      <c r="BC59" s="8">
        <f>(1-EXP(-2*regressions!$X$1*AT59))/2/EXP(-regressions!$X$1*AT59)</f>
        <v>-1.525170994893256E-2</v>
      </c>
      <c r="BE59">
        <f t="shared" si="10"/>
        <v>0</v>
      </c>
      <c r="BF59">
        <f t="shared" si="0"/>
        <v>0</v>
      </c>
      <c r="BG59">
        <f t="shared" si="1"/>
        <v>0</v>
      </c>
      <c r="BH59">
        <f>BG59+regressions!$AR$1*(AI59-B59)</f>
        <v>0</v>
      </c>
      <c r="BI59">
        <f>BG59-regressions!$AO$1*(AI59-B59)</f>
        <v>0</v>
      </c>
      <c r="BJ59">
        <f t="shared" si="2"/>
        <v>0</v>
      </c>
      <c r="BK59">
        <f>BJ59+regressions!$AR$1*(AT59-B59)</f>
        <v>0</v>
      </c>
      <c r="BL59">
        <f>BJ59-regressions!$AO$1*(AT59-B59)</f>
        <v>0</v>
      </c>
      <c r="BM59">
        <f t="shared" si="11"/>
        <v>0</v>
      </c>
      <c r="BN59">
        <f t="shared" si="3"/>
        <v>0</v>
      </c>
      <c r="BO59">
        <f t="shared" si="4"/>
        <v>0</v>
      </c>
      <c r="BP59">
        <f t="shared" si="12"/>
        <v>0</v>
      </c>
      <c r="BQ59">
        <f t="shared" si="13"/>
        <v>0</v>
      </c>
      <c r="BR59">
        <f t="shared" si="14"/>
        <v>0</v>
      </c>
    </row>
    <row r="60" spans="1:70" x14ac:dyDescent="0.35">
      <c r="A60">
        <v>1907</v>
      </c>
      <c r="B60" s="33">
        <v>3.918461892109458E-2</v>
      </c>
      <c r="C60">
        <f t="shared" si="15"/>
        <v>-1.5021563889114492E-2</v>
      </c>
      <c r="D60">
        <f>IF($B60&lt;=regressions!$L$2,$B60*regressions!$L$1,regressions!$L$1*regressions!$L$2+regressions!$L$3*($B60-regressions!$L$2))</f>
        <v>-3.1143145005001215E-2</v>
      </c>
      <c r="E60">
        <f>regressions!$J$1*B60+regressions!$J$2*B60^2</f>
        <v>-1.7889316245261955E-2</v>
      </c>
      <c r="F60">
        <f>regressions!$V$1*B60</f>
        <v>-3.1143145092922271E-2</v>
      </c>
      <c r="G60">
        <f>regressions!$N$1*B60^2</f>
        <v>-2.675415502833993E-4</v>
      </c>
      <c r="H60">
        <f>regressions!$R$1*B60^2+regressions!$R$2*B60^6</f>
        <v>-2.9140105135887933E-4</v>
      </c>
      <c r="I60">
        <f>regressions!$P$1*B60^2+regressions!$P$2*B60^7</f>
        <v>-2.8191171635878846E-4</v>
      </c>
      <c r="J60">
        <f>regressions!$T$2+regressions!$T$1*EXP(B60)</f>
        <v>-3.1229325993520178E-4</v>
      </c>
      <c r="K60" s="8">
        <f>(1-EXP(-2*regressions!$X$1*B60))/2/EXP(-regressions!$X$1*B60)</f>
        <v>-1.5949312067468406E-2</v>
      </c>
      <c r="M60" s="33">
        <v>3.918461892109458E-2</v>
      </c>
      <c r="N60">
        <f t="shared" si="6"/>
        <v>-1.5021563889114492E-2</v>
      </c>
      <c r="O60">
        <f>IF($B60&lt;=regressions!$L$2,$B60*regressions!$L$1,regressions!$L$1*regressions!$L$2+regressions!$L$3*($B60-regressions!$L$2))</f>
        <v>-3.1143145005001215E-2</v>
      </c>
      <c r="P60">
        <f>regressions!$J$1*M60+regressions!$J$2*M60^2</f>
        <v>-1.7889316245261955E-2</v>
      </c>
      <c r="Q60">
        <f>regressions!$V$1*M60</f>
        <v>-3.1143145092922271E-2</v>
      </c>
      <c r="R60">
        <f>regressions!$N$1*M60^2</f>
        <v>-2.675415502833993E-4</v>
      </c>
      <c r="S60">
        <f>regressions!$R$1*M60^2+regressions!$R$2*M60^6</f>
        <v>-2.9140105135887933E-4</v>
      </c>
      <c r="T60">
        <f>regressions!$P$1*M60^2+regressions!$P$2*M60^7</f>
        <v>-2.8191171635878846E-4</v>
      </c>
      <c r="U60">
        <f>regressions!$T$2+regressions!$T$1*EXP(M60)</f>
        <v>-3.1229325993520178E-4</v>
      </c>
      <c r="V60" s="8">
        <f>(1-EXP(-2*regressions!$X$1*M60))/2/EXP(-regressions!$X$1*M60)</f>
        <v>-1.5949312067468406E-2</v>
      </c>
      <c r="X60" s="33">
        <v>3.918461892109458E-2</v>
      </c>
      <c r="Y60">
        <f t="shared" si="7"/>
        <v>-1.5021563889114492E-2</v>
      </c>
      <c r="Z60">
        <f>IF($B60&lt;=regressions!$L$2,$B60*regressions!$L$1,regressions!$L$1*regressions!$L$2+regressions!$L$3*($B60-regressions!$L$2))</f>
        <v>-3.1143145005001215E-2</v>
      </c>
      <c r="AA60">
        <f>regressions!$J$1*X60+regressions!$J$2*X60^2</f>
        <v>-1.7889316245261955E-2</v>
      </c>
      <c r="AB60">
        <f>regressions!$V$1*X60</f>
        <v>-3.1143145092922271E-2</v>
      </c>
      <c r="AC60">
        <f>regressions!$N$1*X60^2</f>
        <v>-2.675415502833993E-4</v>
      </c>
      <c r="AD60">
        <f>regressions!$R$1*X60^2+regressions!$R$2*X60^6</f>
        <v>-2.9140105135887933E-4</v>
      </c>
      <c r="AE60">
        <f>regressions!$P$1*X60^2+regressions!$P$2*X60^7</f>
        <v>-2.8191171635878846E-4</v>
      </c>
      <c r="AF60">
        <f>regressions!$T$2+regressions!$T$1*EXP(X60)</f>
        <v>-3.1229325993520178E-4</v>
      </c>
      <c r="AG60" s="8">
        <f>(1-EXP(-2*regressions!$X$1*X60))/2/EXP(-regressions!$X$1*X60)</f>
        <v>-1.5949312067468406E-2</v>
      </c>
      <c r="AH60" s="8"/>
      <c r="AI60" s="33">
        <v>3.918461892109458E-2</v>
      </c>
      <c r="AJ60">
        <f t="shared" si="8"/>
        <v>-1.5021563889114492E-2</v>
      </c>
      <c r="AK60">
        <f>IF(AI60&lt;=regressions!$L$2,AI60*regressions!$L$1,regressions!$L$1*regressions!$L$2+regressions!$L$3*(AI60-regressions!$L$2))</f>
        <v>-3.1143145005001215E-2</v>
      </c>
      <c r="AL60">
        <f>regressions!$J$1*AI60+regressions!$J$2*AI60^2</f>
        <v>-1.7889316245261955E-2</v>
      </c>
      <c r="AM60">
        <f>regressions!$V$1*AI60</f>
        <v>-3.1143145092922271E-2</v>
      </c>
      <c r="AN60">
        <f>regressions!$N$1*AI60^2</f>
        <v>-2.675415502833993E-4</v>
      </c>
      <c r="AO60">
        <f>regressions!$R$1*AI60^2+regressions!$R$2*AI60^6</f>
        <v>-2.9140105135887933E-4</v>
      </c>
      <c r="AP60">
        <f>regressions!$P$1*AI60^2+regressions!$P$2*AI60^7</f>
        <v>-2.8191171635878846E-4</v>
      </c>
      <c r="AQ60">
        <f>regressions!$T$2+regressions!$T$1*EXP(AI60)</f>
        <v>-3.1229325993520178E-4</v>
      </c>
      <c r="AR60" s="8">
        <f>(1-EXP(-2*regressions!$X$1*AI60))/2/EXP(-regressions!$X$1*AI60)</f>
        <v>-1.5949312067468406E-2</v>
      </c>
      <c r="AT60" s="33">
        <v>3.918461892109458E-2</v>
      </c>
      <c r="AU60">
        <f t="shared" si="9"/>
        <v>-1.5021563889114492E-2</v>
      </c>
      <c r="AV60">
        <f>IF(AT60&lt;=regressions!$L$2,AT60*regressions!$L$1,regressions!$L$1*regressions!$L$2+regressions!$L$3*(AT60-regressions!$L$2))</f>
        <v>-3.1143145005001215E-2</v>
      </c>
      <c r="AW60">
        <f>regressions!$J$1*AT60+regressions!$J$2*AT60^2</f>
        <v>-1.7889316245261955E-2</v>
      </c>
      <c r="AX60">
        <f>regressions!$V$1*AT60</f>
        <v>-3.1143145092922271E-2</v>
      </c>
      <c r="AY60">
        <f>regressions!$N$1*AT60^2</f>
        <v>-2.675415502833993E-4</v>
      </c>
      <c r="AZ60">
        <f>regressions!$R$1*AT60^2+regressions!$R$2*AT60^6</f>
        <v>-2.9140105135887933E-4</v>
      </c>
      <c r="BA60">
        <f>regressions!$P$1*AT60^2+regressions!$P$2*AT60^7</f>
        <v>-2.8191171635878846E-4</v>
      </c>
      <c r="BB60">
        <f>regressions!$T$2+regressions!$T$1*EXP(AT60)</f>
        <v>-3.1229325993520178E-4</v>
      </c>
      <c r="BC60" s="8">
        <f>(1-EXP(-2*regressions!$X$1*AT60))/2/EXP(-regressions!$X$1*AT60)</f>
        <v>-1.5949312067468406E-2</v>
      </c>
      <c r="BE60">
        <f t="shared" si="10"/>
        <v>0</v>
      </c>
      <c r="BF60">
        <f t="shared" si="0"/>
        <v>0</v>
      </c>
      <c r="BG60">
        <f t="shared" si="1"/>
        <v>0</v>
      </c>
      <c r="BH60">
        <f>BG60+regressions!$AR$1*(AI60-B60)</f>
        <v>0</v>
      </c>
      <c r="BI60">
        <f>BG60-regressions!$AO$1*(AI60-B60)</f>
        <v>0</v>
      </c>
      <c r="BJ60">
        <f t="shared" si="2"/>
        <v>0</v>
      </c>
      <c r="BK60">
        <f>BJ60+regressions!$AR$1*(AT60-B60)</f>
        <v>0</v>
      </c>
      <c r="BL60">
        <f>BJ60-regressions!$AO$1*(AT60-B60)</f>
        <v>0</v>
      </c>
      <c r="BM60">
        <f t="shared" si="11"/>
        <v>0</v>
      </c>
      <c r="BN60">
        <f t="shared" si="3"/>
        <v>0</v>
      </c>
      <c r="BO60">
        <f t="shared" si="4"/>
        <v>0</v>
      </c>
      <c r="BP60">
        <f t="shared" si="12"/>
        <v>0</v>
      </c>
      <c r="BQ60">
        <f t="shared" si="13"/>
        <v>0</v>
      </c>
      <c r="BR60">
        <f t="shared" si="14"/>
        <v>0</v>
      </c>
    </row>
    <row r="61" spans="1:70" x14ac:dyDescent="0.35">
      <c r="A61">
        <v>1908</v>
      </c>
      <c r="B61" s="33">
        <v>4.0989997424390717E-2</v>
      </c>
      <c r="C61">
        <f t="shared" si="15"/>
        <v>-1.5719616923091529E-2</v>
      </c>
      <c r="D61">
        <f>IF($B61&lt;=regressions!$L$2,$B61*regressions!$L$1,regressions!$L$1*regressions!$L$2+regressions!$L$3*($B61-regressions!$L$2))</f>
        <v>-3.2578023436007103E-2</v>
      </c>
      <c r="E61">
        <f>regressions!$J$1*B61+regressions!$J$2*B61^2</f>
        <v>-1.8719590847007122E-2</v>
      </c>
      <c r="F61">
        <f>regressions!$V$1*B61</f>
        <v>-3.2578023527978998E-2</v>
      </c>
      <c r="G61">
        <f>regressions!$N$1*B61^2</f>
        <v>-2.9276271518428962E-4</v>
      </c>
      <c r="H61">
        <f>regressions!$R$1*B61^2+regressions!$R$2*B61^6</f>
        <v>-3.188714534647469E-4</v>
      </c>
      <c r="I61">
        <f>regressions!$P$1*B61^2+regressions!$P$2*B61^7</f>
        <v>-3.0848755804856003E-4</v>
      </c>
      <c r="J61">
        <f>regressions!$T$2+regressions!$T$1*EXP(B61)</f>
        <v>-3.2697874818837618E-4</v>
      </c>
      <c r="K61" s="8">
        <f>(1-EXP(-2*regressions!$X$1*B61))/2/EXP(-regressions!$X$1*B61)</f>
        <v>-1.6684221799933726E-2</v>
      </c>
      <c r="M61" s="33">
        <v>4.0989997424390717E-2</v>
      </c>
      <c r="N61">
        <f t="shared" si="6"/>
        <v>-1.5719616923091529E-2</v>
      </c>
      <c r="O61">
        <f>IF($B61&lt;=regressions!$L$2,$B61*regressions!$L$1,regressions!$L$1*regressions!$L$2+regressions!$L$3*($B61-regressions!$L$2))</f>
        <v>-3.2578023436007103E-2</v>
      </c>
      <c r="P61">
        <f>regressions!$J$1*M61+regressions!$J$2*M61^2</f>
        <v>-1.8719590847007122E-2</v>
      </c>
      <c r="Q61">
        <f>regressions!$V$1*M61</f>
        <v>-3.2578023527978998E-2</v>
      </c>
      <c r="R61">
        <f>regressions!$N$1*M61^2</f>
        <v>-2.9276271518428962E-4</v>
      </c>
      <c r="S61">
        <f>regressions!$R$1*M61^2+regressions!$R$2*M61^6</f>
        <v>-3.188714534647469E-4</v>
      </c>
      <c r="T61">
        <f>regressions!$P$1*M61^2+regressions!$P$2*M61^7</f>
        <v>-3.0848755804856003E-4</v>
      </c>
      <c r="U61">
        <f>regressions!$T$2+regressions!$T$1*EXP(M61)</f>
        <v>-3.2697874818837618E-4</v>
      </c>
      <c r="V61" s="8">
        <f>(1-EXP(-2*regressions!$X$1*M61))/2/EXP(-regressions!$X$1*M61)</f>
        <v>-1.6684221799933726E-2</v>
      </c>
      <c r="X61" s="33">
        <v>4.0989997424390717E-2</v>
      </c>
      <c r="Y61">
        <f t="shared" si="7"/>
        <v>-1.5719616923091529E-2</v>
      </c>
      <c r="Z61">
        <f>IF($B61&lt;=regressions!$L$2,$B61*regressions!$L$1,regressions!$L$1*regressions!$L$2+regressions!$L$3*($B61-regressions!$L$2))</f>
        <v>-3.2578023436007103E-2</v>
      </c>
      <c r="AA61">
        <f>regressions!$J$1*X61+regressions!$J$2*X61^2</f>
        <v>-1.8719590847007122E-2</v>
      </c>
      <c r="AB61">
        <f>regressions!$V$1*X61</f>
        <v>-3.2578023527978998E-2</v>
      </c>
      <c r="AC61">
        <f>regressions!$N$1*X61^2</f>
        <v>-2.9276271518428962E-4</v>
      </c>
      <c r="AD61">
        <f>regressions!$R$1*X61^2+regressions!$R$2*X61^6</f>
        <v>-3.188714534647469E-4</v>
      </c>
      <c r="AE61">
        <f>regressions!$P$1*X61^2+regressions!$P$2*X61^7</f>
        <v>-3.0848755804856003E-4</v>
      </c>
      <c r="AF61">
        <f>regressions!$T$2+regressions!$T$1*EXP(X61)</f>
        <v>-3.2697874818837618E-4</v>
      </c>
      <c r="AG61" s="8">
        <f>(1-EXP(-2*regressions!$X$1*X61))/2/EXP(-regressions!$X$1*X61)</f>
        <v>-1.6684221799933726E-2</v>
      </c>
      <c r="AH61" s="8"/>
      <c r="AI61" s="33">
        <v>4.0989997424390717E-2</v>
      </c>
      <c r="AJ61">
        <f t="shared" si="8"/>
        <v>-1.5719616923091529E-2</v>
      </c>
      <c r="AK61">
        <f>IF(AI61&lt;=regressions!$L$2,AI61*regressions!$L$1,regressions!$L$1*regressions!$L$2+regressions!$L$3*(AI61-regressions!$L$2))</f>
        <v>-3.2578023436007103E-2</v>
      </c>
      <c r="AL61">
        <f>regressions!$J$1*AI61+regressions!$J$2*AI61^2</f>
        <v>-1.8719590847007122E-2</v>
      </c>
      <c r="AM61">
        <f>regressions!$V$1*AI61</f>
        <v>-3.2578023527978998E-2</v>
      </c>
      <c r="AN61">
        <f>regressions!$N$1*AI61^2</f>
        <v>-2.9276271518428962E-4</v>
      </c>
      <c r="AO61">
        <f>regressions!$R$1*AI61^2+regressions!$R$2*AI61^6</f>
        <v>-3.188714534647469E-4</v>
      </c>
      <c r="AP61">
        <f>regressions!$P$1*AI61^2+regressions!$P$2*AI61^7</f>
        <v>-3.0848755804856003E-4</v>
      </c>
      <c r="AQ61">
        <f>regressions!$T$2+regressions!$T$1*EXP(AI61)</f>
        <v>-3.2697874818837618E-4</v>
      </c>
      <c r="AR61" s="8">
        <f>(1-EXP(-2*regressions!$X$1*AI61))/2/EXP(-regressions!$X$1*AI61)</f>
        <v>-1.6684221799933726E-2</v>
      </c>
      <c r="AT61" s="33">
        <v>4.0989997424390717E-2</v>
      </c>
      <c r="AU61">
        <f t="shared" si="9"/>
        <v>-1.5719616923091529E-2</v>
      </c>
      <c r="AV61">
        <f>IF(AT61&lt;=regressions!$L$2,AT61*regressions!$L$1,regressions!$L$1*regressions!$L$2+regressions!$L$3*(AT61-regressions!$L$2))</f>
        <v>-3.2578023436007103E-2</v>
      </c>
      <c r="AW61">
        <f>regressions!$J$1*AT61+regressions!$J$2*AT61^2</f>
        <v>-1.8719590847007122E-2</v>
      </c>
      <c r="AX61">
        <f>regressions!$V$1*AT61</f>
        <v>-3.2578023527978998E-2</v>
      </c>
      <c r="AY61">
        <f>regressions!$N$1*AT61^2</f>
        <v>-2.9276271518428962E-4</v>
      </c>
      <c r="AZ61">
        <f>regressions!$R$1*AT61^2+regressions!$R$2*AT61^6</f>
        <v>-3.188714534647469E-4</v>
      </c>
      <c r="BA61">
        <f>regressions!$P$1*AT61^2+regressions!$P$2*AT61^7</f>
        <v>-3.0848755804856003E-4</v>
      </c>
      <c r="BB61">
        <f>regressions!$T$2+regressions!$T$1*EXP(AT61)</f>
        <v>-3.2697874818837618E-4</v>
      </c>
      <c r="BC61" s="8">
        <f>(1-EXP(-2*regressions!$X$1*AT61))/2/EXP(-regressions!$X$1*AT61)</f>
        <v>-1.6684221799933726E-2</v>
      </c>
      <c r="BE61">
        <f t="shared" si="10"/>
        <v>0</v>
      </c>
      <c r="BF61">
        <f t="shared" si="0"/>
        <v>0</v>
      </c>
      <c r="BG61">
        <f t="shared" si="1"/>
        <v>0</v>
      </c>
      <c r="BH61">
        <f>BG61+regressions!$AR$1*(AI61-B61)</f>
        <v>0</v>
      </c>
      <c r="BI61">
        <f>BG61-regressions!$AO$1*(AI61-B61)</f>
        <v>0</v>
      </c>
      <c r="BJ61">
        <f t="shared" si="2"/>
        <v>0</v>
      </c>
      <c r="BK61">
        <f>BJ61+regressions!$AR$1*(AT61-B61)</f>
        <v>0</v>
      </c>
      <c r="BL61">
        <f>BJ61-regressions!$AO$1*(AT61-B61)</f>
        <v>0</v>
      </c>
      <c r="BM61">
        <f t="shared" si="11"/>
        <v>0</v>
      </c>
      <c r="BN61">
        <f t="shared" si="3"/>
        <v>0</v>
      </c>
      <c r="BO61">
        <f t="shared" si="4"/>
        <v>0</v>
      </c>
      <c r="BP61">
        <f t="shared" si="12"/>
        <v>0</v>
      </c>
      <c r="BQ61">
        <f t="shared" si="13"/>
        <v>0</v>
      </c>
      <c r="BR61">
        <f t="shared" si="14"/>
        <v>0</v>
      </c>
    </row>
    <row r="62" spans="1:70" x14ac:dyDescent="0.35">
      <c r="A62">
        <v>1909</v>
      </c>
      <c r="B62" s="33">
        <v>4.2871368274712301E-2</v>
      </c>
      <c r="C62">
        <f t="shared" si="15"/>
        <v>-1.6447611250700132E-2</v>
      </c>
      <c r="D62">
        <f>IF($B62&lt;=regressions!$L$2,$B62*regressions!$L$1,regressions!$L$1*regressions!$L$2+regressions!$L$3*($B62-regressions!$L$2))</f>
        <v>-3.407329905212915E-2</v>
      </c>
      <c r="E62">
        <f>regressions!$J$1*B62+regressions!$J$2*B62^2</f>
        <v>-1.9585380444594808E-2</v>
      </c>
      <c r="F62">
        <f>regressions!$V$1*B62</f>
        <v>-3.4073299148322404E-2</v>
      </c>
      <c r="G62">
        <f>regressions!$N$1*B62^2</f>
        <v>-3.2025408156714211E-4</v>
      </c>
      <c r="H62">
        <f>regressions!$R$1*B62^2+regressions!$R$2*B62^6</f>
        <v>-3.4881451485296481E-4</v>
      </c>
      <c r="I62">
        <f>regressions!$P$1*B62^2+regressions!$P$2*B62^7</f>
        <v>-3.3745553806442539E-4</v>
      </c>
      <c r="J62">
        <f>regressions!$T$2+regressions!$T$1*EXP(B62)</f>
        <v>-3.4231061742637063E-4</v>
      </c>
      <c r="K62" s="8">
        <f>(1-EXP(-2*regressions!$X$1*B62))/2/EXP(-regressions!$X$1*B62)</f>
        <v>-1.7450075088708199E-2</v>
      </c>
      <c r="M62" s="33">
        <v>4.2871368274712301E-2</v>
      </c>
      <c r="N62">
        <f t="shared" si="6"/>
        <v>-1.6447611250700132E-2</v>
      </c>
      <c r="O62">
        <f>IF($B62&lt;=regressions!$L$2,$B62*regressions!$L$1,regressions!$L$1*regressions!$L$2+regressions!$L$3*($B62-regressions!$L$2))</f>
        <v>-3.407329905212915E-2</v>
      </c>
      <c r="P62">
        <f>regressions!$J$1*M62+regressions!$J$2*M62^2</f>
        <v>-1.9585380444594808E-2</v>
      </c>
      <c r="Q62">
        <f>regressions!$V$1*M62</f>
        <v>-3.4073299148322404E-2</v>
      </c>
      <c r="R62">
        <f>regressions!$N$1*M62^2</f>
        <v>-3.2025408156714211E-4</v>
      </c>
      <c r="S62">
        <f>regressions!$R$1*M62^2+regressions!$R$2*M62^6</f>
        <v>-3.4881451485296481E-4</v>
      </c>
      <c r="T62">
        <f>regressions!$P$1*M62^2+regressions!$P$2*M62^7</f>
        <v>-3.3745553806442539E-4</v>
      </c>
      <c r="U62">
        <f>regressions!$T$2+regressions!$T$1*EXP(M62)</f>
        <v>-3.4231061742637063E-4</v>
      </c>
      <c r="V62" s="8">
        <f>(1-EXP(-2*regressions!$X$1*M62))/2/EXP(-regressions!$X$1*M62)</f>
        <v>-1.7450075088708199E-2</v>
      </c>
      <c r="X62" s="33">
        <v>4.2871368274712301E-2</v>
      </c>
      <c r="Y62">
        <f t="shared" si="7"/>
        <v>-1.6447611250700132E-2</v>
      </c>
      <c r="Z62">
        <f>IF($B62&lt;=regressions!$L$2,$B62*regressions!$L$1,regressions!$L$1*regressions!$L$2+regressions!$L$3*($B62-regressions!$L$2))</f>
        <v>-3.407329905212915E-2</v>
      </c>
      <c r="AA62">
        <f>regressions!$J$1*X62+regressions!$J$2*X62^2</f>
        <v>-1.9585380444594808E-2</v>
      </c>
      <c r="AB62">
        <f>regressions!$V$1*X62</f>
        <v>-3.4073299148322404E-2</v>
      </c>
      <c r="AC62">
        <f>regressions!$N$1*X62^2</f>
        <v>-3.2025408156714211E-4</v>
      </c>
      <c r="AD62">
        <f>regressions!$R$1*X62^2+regressions!$R$2*X62^6</f>
        <v>-3.4881451485296481E-4</v>
      </c>
      <c r="AE62">
        <f>regressions!$P$1*X62^2+regressions!$P$2*X62^7</f>
        <v>-3.3745553806442539E-4</v>
      </c>
      <c r="AF62">
        <f>regressions!$T$2+regressions!$T$1*EXP(X62)</f>
        <v>-3.4231061742637063E-4</v>
      </c>
      <c r="AG62" s="8">
        <f>(1-EXP(-2*regressions!$X$1*X62))/2/EXP(-regressions!$X$1*X62)</f>
        <v>-1.7450075088708199E-2</v>
      </c>
      <c r="AH62" s="8"/>
      <c r="AI62" s="33">
        <v>4.2871368274712301E-2</v>
      </c>
      <c r="AJ62">
        <f t="shared" si="8"/>
        <v>-1.6447611250700132E-2</v>
      </c>
      <c r="AK62">
        <f>IF(AI62&lt;=regressions!$L$2,AI62*regressions!$L$1,regressions!$L$1*regressions!$L$2+regressions!$L$3*(AI62-regressions!$L$2))</f>
        <v>-3.407329905212915E-2</v>
      </c>
      <c r="AL62">
        <f>regressions!$J$1*AI62+regressions!$J$2*AI62^2</f>
        <v>-1.9585380444594808E-2</v>
      </c>
      <c r="AM62">
        <f>regressions!$V$1*AI62</f>
        <v>-3.4073299148322404E-2</v>
      </c>
      <c r="AN62">
        <f>regressions!$N$1*AI62^2</f>
        <v>-3.2025408156714211E-4</v>
      </c>
      <c r="AO62">
        <f>regressions!$R$1*AI62^2+regressions!$R$2*AI62^6</f>
        <v>-3.4881451485296481E-4</v>
      </c>
      <c r="AP62">
        <f>regressions!$P$1*AI62^2+regressions!$P$2*AI62^7</f>
        <v>-3.3745553806442539E-4</v>
      </c>
      <c r="AQ62">
        <f>regressions!$T$2+regressions!$T$1*EXP(AI62)</f>
        <v>-3.4231061742637063E-4</v>
      </c>
      <c r="AR62" s="8">
        <f>(1-EXP(-2*regressions!$X$1*AI62))/2/EXP(-regressions!$X$1*AI62)</f>
        <v>-1.7450075088708199E-2</v>
      </c>
      <c r="AT62" s="33">
        <v>4.2871368274712301E-2</v>
      </c>
      <c r="AU62">
        <f t="shared" si="9"/>
        <v>-1.6447611250700132E-2</v>
      </c>
      <c r="AV62">
        <f>IF(AT62&lt;=regressions!$L$2,AT62*regressions!$L$1,regressions!$L$1*regressions!$L$2+regressions!$L$3*(AT62-regressions!$L$2))</f>
        <v>-3.407329905212915E-2</v>
      </c>
      <c r="AW62">
        <f>regressions!$J$1*AT62+regressions!$J$2*AT62^2</f>
        <v>-1.9585380444594808E-2</v>
      </c>
      <c r="AX62">
        <f>regressions!$V$1*AT62</f>
        <v>-3.4073299148322404E-2</v>
      </c>
      <c r="AY62">
        <f>regressions!$N$1*AT62^2</f>
        <v>-3.2025408156714211E-4</v>
      </c>
      <c r="AZ62">
        <f>regressions!$R$1*AT62^2+regressions!$R$2*AT62^6</f>
        <v>-3.4881451485296481E-4</v>
      </c>
      <c r="BA62">
        <f>regressions!$P$1*AT62^2+regressions!$P$2*AT62^7</f>
        <v>-3.3745553806442539E-4</v>
      </c>
      <c r="BB62">
        <f>regressions!$T$2+regressions!$T$1*EXP(AT62)</f>
        <v>-3.4231061742637063E-4</v>
      </c>
      <c r="BC62" s="8">
        <f>(1-EXP(-2*regressions!$X$1*AT62))/2/EXP(-regressions!$X$1*AT62)</f>
        <v>-1.7450075088708199E-2</v>
      </c>
      <c r="BE62">
        <f t="shared" si="10"/>
        <v>0</v>
      </c>
      <c r="BF62">
        <f t="shared" si="0"/>
        <v>0</v>
      </c>
      <c r="BG62">
        <f t="shared" si="1"/>
        <v>0</v>
      </c>
      <c r="BH62">
        <f>BG62+regressions!$AR$1*(AI62-B62)</f>
        <v>0</v>
      </c>
      <c r="BI62">
        <f>BG62-regressions!$AO$1*(AI62-B62)</f>
        <v>0</v>
      </c>
      <c r="BJ62">
        <f t="shared" si="2"/>
        <v>0</v>
      </c>
      <c r="BK62">
        <f>BJ62+regressions!$AR$1*(AT62-B62)</f>
        <v>0</v>
      </c>
      <c r="BL62">
        <f>BJ62-regressions!$AO$1*(AT62-B62)</f>
        <v>0</v>
      </c>
      <c r="BM62">
        <f t="shared" si="11"/>
        <v>0</v>
      </c>
      <c r="BN62">
        <f t="shared" si="3"/>
        <v>0</v>
      </c>
      <c r="BO62">
        <f t="shared" si="4"/>
        <v>0</v>
      </c>
      <c r="BP62">
        <f t="shared" si="12"/>
        <v>0</v>
      </c>
      <c r="BQ62">
        <f t="shared" si="13"/>
        <v>0</v>
      </c>
      <c r="BR62">
        <f t="shared" si="14"/>
        <v>0</v>
      </c>
    </row>
    <row r="63" spans="1:70" x14ac:dyDescent="0.35">
      <c r="A63">
        <v>1910</v>
      </c>
      <c r="B63" s="33">
        <v>4.4832938889018327E-2</v>
      </c>
      <c r="C63">
        <f t="shared" si="15"/>
        <v>-1.7207246073586157E-2</v>
      </c>
      <c r="D63">
        <f>IF($B63&lt;=regressions!$L$2,$B63*regressions!$L$1,regressions!$L$1*regressions!$L$2+regressions!$L$3*($B63-regressions!$L$2))</f>
        <v>-3.5632315823528583E-2</v>
      </c>
      <c r="E63">
        <f>regressions!$J$1*B63+regressions!$J$2*B63^2</f>
        <v>-2.0488693359714059E-2</v>
      </c>
      <c r="F63">
        <f>regressions!$V$1*B63</f>
        <v>-3.5632315924123137E-2</v>
      </c>
      <c r="G63">
        <f>regressions!$N$1*B63^2</f>
        <v>-3.5023085277238996E-4</v>
      </c>
      <c r="H63">
        <f>regressions!$R$1*B63^2+regressions!$R$2*B63^6</f>
        <v>-3.814646308138889E-4</v>
      </c>
      <c r="I63">
        <f>regressions!$P$1*B63^2+regressions!$P$2*B63^7</f>
        <v>-3.6904241872798147E-4</v>
      </c>
      <c r="J63">
        <f>regressions!$T$2+regressions!$T$1*EXP(B63)</f>
        <v>-3.5832680448048826E-4</v>
      </c>
      <c r="K63" s="8">
        <f>(1-EXP(-2*regressions!$X$1*B63))/2/EXP(-regressions!$X$1*B63)</f>
        <v>-1.8248586353676339E-2</v>
      </c>
      <c r="M63" s="33">
        <v>4.4832938889018327E-2</v>
      </c>
      <c r="N63">
        <f t="shared" si="6"/>
        <v>-1.7207246073586157E-2</v>
      </c>
      <c r="O63">
        <f>IF($B63&lt;=regressions!$L$2,$B63*regressions!$L$1,regressions!$L$1*regressions!$L$2+regressions!$L$3*($B63-regressions!$L$2))</f>
        <v>-3.5632315823528583E-2</v>
      </c>
      <c r="P63">
        <f>regressions!$J$1*M63+regressions!$J$2*M63^2</f>
        <v>-2.0488693359714059E-2</v>
      </c>
      <c r="Q63">
        <f>regressions!$V$1*M63</f>
        <v>-3.5632315924123137E-2</v>
      </c>
      <c r="R63">
        <f>regressions!$N$1*M63^2</f>
        <v>-3.5023085277238996E-4</v>
      </c>
      <c r="S63">
        <f>regressions!$R$1*M63^2+regressions!$R$2*M63^6</f>
        <v>-3.814646308138889E-4</v>
      </c>
      <c r="T63">
        <f>regressions!$P$1*M63^2+regressions!$P$2*M63^7</f>
        <v>-3.6904241872798147E-4</v>
      </c>
      <c r="U63">
        <f>regressions!$T$2+regressions!$T$1*EXP(M63)</f>
        <v>-3.5832680448048826E-4</v>
      </c>
      <c r="V63" s="8">
        <f>(1-EXP(-2*regressions!$X$1*M63))/2/EXP(-regressions!$X$1*M63)</f>
        <v>-1.8248586353676339E-2</v>
      </c>
      <c r="X63" s="33">
        <v>4.4832938889018327E-2</v>
      </c>
      <c r="Y63">
        <f t="shared" si="7"/>
        <v>-1.7207246073586157E-2</v>
      </c>
      <c r="Z63">
        <f>IF($B63&lt;=regressions!$L$2,$B63*regressions!$L$1,regressions!$L$1*regressions!$L$2+regressions!$L$3*($B63-regressions!$L$2))</f>
        <v>-3.5632315823528583E-2</v>
      </c>
      <c r="AA63">
        <f>regressions!$J$1*X63+regressions!$J$2*X63^2</f>
        <v>-2.0488693359714059E-2</v>
      </c>
      <c r="AB63">
        <f>regressions!$V$1*X63</f>
        <v>-3.5632315924123137E-2</v>
      </c>
      <c r="AC63">
        <f>regressions!$N$1*X63^2</f>
        <v>-3.5023085277238996E-4</v>
      </c>
      <c r="AD63">
        <f>regressions!$R$1*X63^2+regressions!$R$2*X63^6</f>
        <v>-3.814646308138889E-4</v>
      </c>
      <c r="AE63">
        <f>regressions!$P$1*X63^2+regressions!$P$2*X63^7</f>
        <v>-3.6904241872798147E-4</v>
      </c>
      <c r="AF63">
        <f>regressions!$T$2+regressions!$T$1*EXP(X63)</f>
        <v>-3.5832680448048826E-4</v>
      </c>
      <c r="AG63" s="8">
        <f>(1-EXP(-2*regressions!$X$1*X63))/2/EXP(-regressions!$X$1*X63)</f>
        <v>-1.8248586353676339E-2</v>
      </c>
      <c r="AH63" s="8"/>
      <c r="AI63" s="33">
        <v>4.4832938889018327E-2</v>
      </c>
      <c r="AJ63">
        <f t="shared" si="8"/>
        <v>-1.7207246073586157E-2</v>
      </c>
      <c r="AK63">
        <f>IF(AI63&lt;=regressions!$L$2,AI63*regressions!$L$1,regressions!$L$1*regressions!$L$2+regressions!$L$3*(AI63-regressions!$L$2))</f>
        <v>-3.5632315823528583E-2</v>
      </c>
      <c r="AL63">
        <f>regressions!$J$1*AI63+regressions!$J$2*AI63^2</f>
        <v>-2.0488693359714059E-2</v>
      </c>
      <c r="AM63">
        <f>regressions!$V$1*AI63</f>
        <v>-3.5632315924123137E-2</v>
      </c>
      <c r="AN63">
        <f>regressions!$N$1*AI63^2</f>
        <v>-3.5023085277238996E-4</v>
      </c>
      <c r="AO63">
        <f>regressions!$R$1*AI63^2+regressions!$R$2*AI63^6</f>
        <v>-3.814646308138889E-4</v>
      </c>
      <c r="AP63">
        <f>regressions!$P$1*AI63^2+regressions!$P$2*AI63^7</f>
        <v>-3.6904241872798147E-4</v>
      </c>
      <c r="AQ63">
        <f>regressions!$T$2+regressions!$T$1*EXP(AI63)</f>
        <v>-3.5832680448048826E-4</v>
      </c>
      <c r="AR63" s="8">
        <f>(1-EXP(-2*regressions!$X$1*AI63))/2/EXP(-regressions!$X$1*AI63)</f>
        <v>-1.8248586353676339E-2</v>
      </c>
      <c r="AT63" s="33">
        <v>4.4832938889018327E-2</v>
      </c>
      <c r="AU63">
        <f t="shared" si="9"/>
        <v>-1.7207246073586157E-2</v>
      </c>
      <c r="AV63">
        <f>IF(AT63&lt;=regressions!$L$2,AT63*regressions!$L$1,regressions!$L$1*regressions!$L$2+regressions!$L$3*(AT63-regressions!$L$2))</f>
        <v>-3.5632315823528583E-2</v>
      </c>
      <c r="AW63">
        <f>regressions!$J$1*AT63+regressions!$J$2*AT63^2</f>
        <v>-2.0488693359714059E-2</v>
      </c>
      <c r="AX63">
        <f>regressions!$V$1*AT63</f>
        <v>-3.5632315924123137E-2</v>
      </c>
      <c r="AY63">
        <f>regressions!$N$1*AT63^2</f>
        <v>-3.5023085277238996E-4</v>
      </c>
      <c r="AZ63">
        <f>regressions!$R$1*AT63^2+regressions!$R$2*AT63^6</f>
        <v>-3.814646308138889E-4</v>
      </c>
      <c r="BA63">
        <f>regressions!$P$1*AT63^2+regressions!$P$2*AT63^7</f>
        <v>-3.6904241872798147E-4</v>
      </c>
      <c r="BB63">
        <f>regressions!$T$2+regressions!$T$1*EXP(AT63)</f>
        <v>-3.5832680448048826E-4</v>
      </c>
      <c r="BC63" s="8">
        <f>(1-EXP(-2*regressions!$X$1*AT63))/2/EXP(-regressions!$X$1*AT63)</f>
        <v>-1.8248586353676339E-2</v>
      </c>
      <c r="BE63">
        <f t="shared" si="10"/>
        <v>0</v>
      </c>
      <c r="BF63">
        <f t="shared" si="0"/>
        <v>0</v>
      </c>
      <c r="BG63">
        <f t="shared" si="1"/>
        <v>0</v>
      </c>
      <c r="BH63">
        <f>BG63+regressions!$AR$1*(AI63-B63)</f>
        <v>0</v>
      </c>
      <c r="BI63">
        <f>BG63-regressions!$AO$1*(AI63-B63)</f>
        <v>0</v>
      </c>
      <c r="BJ63">
        <f t="shared" si="2"/>
        <v>0</v>
      </c>
      <c r="BK63">
        <f>BJ63+regressions!$AR$1*(AT63-B63)</f>
        <v>0</v>
      </c>
      <c r="BL63">
        <f>BJ63-regressions!$AO$1*(AT63-B63)</f>
        <v>0</v>
      </c>
      <c r="BM63">
        <f t="shared" si="11"/>
        <v>0</v>
      </c>
      <c r="BN63">
        <f t="shared" si="3"/>
        <v>0</v>
      </c>
      <c r="BO63">
        <f t="shared" si="4"/>
        <v>0</v>
      </c>
      <c r="BP63">
        <f t="shared" si="12"/>
        <v>0</v>
      </c>
      <c r="BQ63">
        <f t="shared" si="13"/>
        <v>0</v>
      </c>
      <c r="BR63">
        <f t="shared" si="14"/>
        <v>0</v>
      </c>
    </row>
    <row r="64" spans="1:70" x14ac:dyDescent="0.35">
      <c r="A64">
        <v>1911</v>
      </c>
      <c r="B64" s="33">
        <v>4.6878225278025966E-2</v>
      </c>
      <c r="C64">
        <f t="shared" si="15"/>
        <v>-1.7999960846349562E-2</v>
      </c>
      <c r="D64">
        <f>IF($B64&lt;=regressions!$L$2,$B64*regressions!$L$1,regressions!$L$1*regressions!$L$2+regressions!$L$3*($B64-regressions!$L$2))</f>
        <v>-3.7257868204627023E-2</v>
      </c>
      <c r="E64">
        <f>regressions!$J$1*B64+regressions!$J$2*B64^2</f>
        <v>-2.1431227619312959E-2</v>
      </c>
      <c r="F64">
        <f>regressions!$V$1*B64</f>
        <v>-3.7257868309810718E-2</v>
      </c>
      <c r="G64">
        <f>regressions!$N$1*B64^2</f>
        <v>-3.8291493683412139E-4</v>
      </c>
      <c r="H64">
        <f>regressions!$R$1*B64^2+regressions!$R$2*B64^6</f>
        <v>-4.1706349925942559E-4</v>
      </c>
      <c r="I64">
        <f>regressions!$P$1*B64^2+regressions!$P$2*B64^7</f>
        <v>-4.0348202717633967E-4</v>
      </c>
      <c r="J64">
        <f>regressions!$T$2+regressions!$T$1*EXP(B64)</f>
        <v>-3.7506001973036836E-4</v>
      </c>
      <c r="K64" s="8">
        <f>(1-EXP(-2*regressions!$X$1*B64))/2/EXP(-regressions!$X$1*B64)</f>
        <v>-1.9081188821966615E-2</v>
      </c>
      <c r="M64" s="33">
        <v>4.6878225278025966E-2</v>
      </c>
      <c r="N64">
        <f t="shared" si="6"/>
        <v>-1.7999960846349562E-2</v>
      </c>
      <c r="O64">
        <f>IF($B64&lt;=regressions!$L$2,$B64*regressions!$L$1,regressions!$L$1*regressions!$L$2+regressions!$L$3*($B64-regressions!$L$2))</f>
        <v>-3.7257868204627023E-2</v>
      </c>
      <c r="P64">
        <f>regressions!$J$1*M64+regressions!$J$2*M64^2</f>
        <v>-2.1431227619312959E-2</v>
      </c>
      <c r="Q64">
        <f>regressions!$V$1*M64</f>
        <v>-3.7257868309810718E-2</v>
      </c>
      <c r="R64">
        <f>regressions!$N$1*M64^2</f>
        <v>-3.8291493683412139E-4</v>
      </c>
      <c r="S64">
        <f>regressions!$R$1*M64^2+regressions!$R$2*M64^6</f>
        <v>-4.1706349925942559E-4</v>
      </c>
      <c r="T64">
        <f>regressions!$P$1*M64^2+regressions!$P$2*M64^7</f>
        <v>-4.0348202717633967E-4</v>
      </c>
      <c r="U64">
        <f>regressions!$T$2+regressions!$T$1*EXP(M64)</f>
        <v>-3.7506001973036836E-4</v>
      </c>
      <c r="V64" s="8">
        <f>(1-EXP(-2*regressions!$X$1*M64))/2/EXP(-regressions!$X$1*M64)</f>
        <v>-1.9081188821966615E-2</v>
      </c>
      <c r="X64" s="33">
        <v>4.6878225278025966E-2</v>
      </c>
      <c r="Y64">
        <f t="shared" si="7"/>
        <v>-1.7999960846349562E-2</v>
      </c>
      <c r="Z64">
        <f>IF($B64&lt;=regressions!$L$2,$B64*regressions!$L$1,regressions!$L$1*regressions!$L$2+regressions!$L$3*($B64-regressions!$L$2))</f>
        <v>-3.7257868204627023E-2</v>
      </c>
      <c r="AA64">
        <f>regressions!$J$1*X64+regressions!$J$2*X64^2</f>
        <v>-2.1431227619312959E-2</v>
      </c>
      <c r="AB64">
        <f>regressions!$V$1*X64</f>
        <v>-3.7257868309810718E-2</v>
      </c>
      <c r="AC64">
        <f>regressions!$N$1*X64^2</f>
        <v>-3.8291493683412139E-4</v>
      </c>
      <c r="AD64">
        <f>regressions!$R$1*X64^2+regressions!$R$2*X64^6</f>
        <v>-4.1706349925942559E-4</v>
      </c>
      <c r="AE64">
        <f>regressions!$P$1*X64^2+regressions!$P$2*X64^7</f>
        <v>-4.0348202717633967E-4</v>
      </c>
      <c r="AF64">
        <f>regressions!$T$2+regressions!$T$1*EXP(X64)</f>
        <v>-3.7506001973036836E-4</v>
      </c>
      <c r="AG64" s="8">
        <f>(1-EXP(-2*regressions!$X$1*X64))/2/EXP(-regressions!$X$1*X64)</f>
        <v>-1.9081188821966615E-2</v>
      </c>
      <c r="AH64" s="8"/>
      <c r="AI64" s="33">
        <v>4.6878225278025966E-2</v>
      </c>
      <c r="AJ64">
        <f t="shared" si="8"/>
        <v>-1.7999960846349562E-2</v>
      </c>
      <c r="AK64">
        <f>IF(AI64&lt;=regressions!$L$2,AI64*regressions!$L$1,regressions!$L$1*regressions!$L$2+regressions!$L$3*(AI64-regressions!$L$2))</f>
        <v>-3.7257868204627023E-2</v>
      </c>
      <c r="AL64">
        <f>regressions!$J$1*AI64+regressions!$J$2*AI64^2</f>
        <v>-2.1431227619312959E-2</v>
      </c>
      <c r="AM64">
        <f>regressions!$V$1*AI64</f>
        <v>-3.7257868309810718E-2</v>
      </c>
      <c r="AN64">
        <f>regressions!$N$1*AI64^2</f>
        <v>-3.8291493683412139E-4</v>
      </c>
      <c r="AO64">
        <f>regressions!$R$1*AI64^2+regressions!$R$2*AI64^6</f>
        <v>-4.1706349925942559E-4</v>
      </c>
      <c r="AP64">
        <f>regressions!$P$1*AI64^2+regressions!$P$2*AI64^7</f>
        <v>-4.0348202717633967E-4</v>
      </c>
      <c r="AQ64">
        <f>regressions!$T$2+regressions!$T$1*EXP(AI64)</f>
        <v>-3.7506001973036836E-4</v>
      </c>
      <c r="AR64" s="8">
        <f>(1-EXP(-2*regressions!$X$1*AI64))/2/EXP(-regressions!$X$1*AI64)</f>
        <v>-1.9081188821966615E-2</v>
      </c>
      <c r="AT64" s="33">
        <v>4.6878225278025966E-2</v>
      </c>
      <c r="AU64">
        <f t="shared" si="9"/>
        <v>-1.7999960846349562E-2</v>
      </c>
      <c r="AV64">
        <f>IF(AT64&lt;=regressions!$L$2,AT64*regressions!$L$1,regressions!$L$1*regressions!$L$2+regressions!$L$3*(AT64-regressions!$L$2))</f>
        <v>-3.7257868204627023E-2</v>
      </c>
      <c r="AW64">
        <f>regressions!$J$1*AT64+regressions!$J$2*AT64^2</f>
        <v>-2.1431227619312959E-2</v>
      </c>
      <c r="AX64">
        <f>regressions!$V$1*AT64</f>
        <v>-3.7257868309810718E-2</v>
      </c>
      <c r="AY64">
        <f>regressions!$N$1*AT64^2</f>
        <v>-3.8291493683412139E-4</v>
      </c>
      <c r="AZ64">
        <f>regressions!$R$1*AT64^2+regressions!$R$2*AT64^6</f>
        <v>-4.1706349925942559E-4</v>
      </c>
      <c r="BA64">
        <f>regressions!$P$1*AT64^2+regressions!$P$2*AT64^7</f>
        <v>-4.0348202717633967E-4</v>
      </c>
      <c r="BB64">
        <f>regressions!$T$2+regressions!$T$1*EXP(AT64)</f>
        <v>-3.7506001973036836E-4</v>
      </c>
      <c r="BC64" s="8">
        <f>(1-EXP(-2*regressions!$X$1*AT64))/2/EXP(-regressions!$X$1*AT64)</f>
        <v>-1.9081188821966615E-2</v>
      </c>
      <c r="BE64">
        <f t="shared" si="10"/>
        <v>0</v>
      </c>
      <c r="BF64">
        <f t="shared" si="0"/>
        <v>0</v>
      </c>
      <c r="BG64">
        <f t="shared" si="1"/>
        <v>0</v>
      </c>
      <c r="BH64">
        <f>BG64+regressions!$AR$1*(AI64-B64)</f>
        <v>0</v>
      </c>
      <c r="BI64">
        <f>BG64-regressions!$AO$1*(AI64-B64)</f>
        <v>0</v>
      </c>
      <c r="BJ64">
        <f t="shared" si="2"/>
        <v>0</v>
      </c>
      <c r="BK64">
        <f>BJ64+regressions!$AR$1*(AT64-B64)</f>
        <v>0</v>
      </c>
      <c r="BL64">
        <f>BJ64-regressions!$AO$1*(AT64-B64)</f>
        <v>0</v>
      </c>
      <c r="BM64">
        <f t="shared" si="11"/>
        <v>0</v>
      </c>
      <c r="BN64">
        <f t="shared" si="3"/>
        <v>0</v>
      </c>
      <c r="BO64">
        <f t="shared" si="4"/>
        <v>0</v>
      </c>
      <c r="BP64">
        <f t="shared" si="12"/>
        <v>0</v>
      </c>
      <c r="BQ64">
        <f t="shared" si="13"/>
        <v>0</v>
      </c>
      <c r="BR64">
        <f t="shared" si="14"/>
        <v>0</v>
      </c>
    </row>
    <row r="65" spans="1:70" x14ac:dyDescent="0.35">
      <c r="A65">
        <v>1912</v>
      </c>
      <c r="B65" s="33">
        <v>4.9005965557766346E-2</v>
      </c>
      <c r="C65">
        <f t="shared" si="15"/>
        <v>-1.8825348727276217E-2</v>
      </c>
      <c r="D65">
        <f>IF($B65&lt;=regressions!$L$2,$B65*regressions!$L$1,regressions!$L$1*regressions!$L$2+regressions!$L$3*($B65-regressions!$L$2))</f>
        <v>-3.8948953275490472E-2</v>
      </c>
      <c r="E65">
        <f>regressions!$J$1*B65+regressions!$J$2*B65^2</f>
        <v>-2.2412485024001269E-2</v>
      </c>
      <c r="F65">
        <f>regressions!$V$1*B65</f>
        <v>-3.8948953385448314E-2</v>
      </c>
      <c r="G65">
        <f>regressions!$N$1*B65^2</f>
        <v>-4.1846379101705177E-4</v>
      </c>
      <c r="H65">
        <f>regressions!$R$1*B65^2+regressions!$R$2*B65^6</f>
        <v>-4.5578261957705677E-4</v>
      </c>
      <c r="I65">
        <f>regressions!$P$1*B65^2+regressions!$P$2*B65^7</f>
        <v>-4.4094027800369614E-4</v>
      </c>
      <c r="J65">
        <f>regressions!$T$2+regressions!$T$1*EXP(B65)</f>
        <v>-3.9250417935656791E-4</v>
      </c>
      <c r="K65" s="8">
        <f>(1-EXP(-2*regressions!$X$1*B65))/2/EXP(-regressions!$X$1*B65)</f>
        <v>-1.9947370955356241E-2</v>
      </c>
      <c r="M65" s="33">
        <v>4.9005965557766346E-2</v>
      </c>
      <c r="N65">
        <f t="shared" si="6"/>
        <v>-1.8825348727276217E-2</v>
      </c>
      <c r="O65">
        <f>IF($B65&lt;=regressions!$L$2,$B65*regressions!$L$1,regressions!$L$1*regressions!$L$2+regressions!$L$3*($B65-regressions!$L$2))</f>
        <v>-3.8948953275490472E-2</v>
      </c>
      <c r="P65">
        <f>regressions!$J$1*M65+regressions!$J$2*M65^2</f>
        <v>-2.2412485024001269E-2</v>
      </c>
      <c r="Q65">
        <f>regressions!$V$1*M65</f>
        <v>-3.8948953385448314E-2</v>
      </c>
      <c r="R65">
        <f>regressions!$N$1*M65^2</f>
        <v>-4.1846379101705177E-4</v>
      </c>
      <c r="S65">
        <f>regressions!$R$1*M65^2+regressions!$R$2*M65^6</f>
        <v>-4.5578261957705677E-4</v>
      </c>
      <c r="T65">
        <f>regressions!$P$1*M65^2+regressions!$P$2*M65^7</f>
        <v>-4.4094027800369614E-4</v>
      </c>
      <c r="U65">
        <f>regressions!$T$2+regressions!$T$1*EXP(M65)</f>
        <v>-3.9250417935656791E-4</v>
      </c>
      <c r="V65" s="8">
        <f>(1-EXP(-2*regressions!$X$1*M65))/2/EXP(-regressions!$X$1*M65)</f>
        <v>-1.9947370955356241E-2</v>
      </c>
      <c r="X65" s="33">
        <v>4.9005965557766346E-2</v>
      </c>
      <c r="Y65">
        <f t="shared" si="7"/>
        <v>-1.8825348727276217E-2</v>
      </c>
      <c r="Z65">
        <f>IF($B65&lt;=regressions!$L$2,$B65*regressions!$L$1,regressions!$L$1*regressions!$L$2+regressions!$L$3*($B65-regressions!$L$2))</f>
        <v>-3.8948953275490472E-2</v>
      </c>
      <c r="AA65">
        <f>regressions!$J$1*X65+regressions!$J$2*X65^2</f>
        <v>-2.2412485024001269E-2</v>
      </c>
      <c r="AB65">
        <f>regressions!$V$1*X65</f>
        <v>-3.8948953385448314E-2</v>
      </c>
      <c r="AC65">
        <f>regressions!$N$1*X65^2</f>
        <v>-4.1846379101705177E-4</v>
      </c>
      <c r="AD65">
        <f>regressions!$R$1*X65^2+regressions!$R$2*X65^6</f>
        <v>-4.5578261957705677E-4</v>
      </c>
      <c r="AE65">
        <f>regressions!$P$1*X65^2+regressions!$P$2*X65^7</f>
        <v>-4.4094027800369614E-4</v>
      </c>
      <c r="AF65">
        <f>regressions!$T$2+regressions!$T$1*EXP(X65)</f>
        <v>-3.9250417935656791E-4</v>
      </c>
      <c r="AG65" s="8">
        <f>(1-EXP(-2*regressions!$X$1*X65))/2/EXP(-regressions!$X$1*X65)</f>
        <v>-1.9947370955356241E-2</v>
      </c>
      <c r="AH65" s="8"/>
      <c r="AI65" s="33">
        <v>4.9005965557766346E-2</v>
      </c>
      <c r="AJ65">
        <f t="shared" si="8"/>
        <v>-1.8825348727276217E-2</v>
      </c>
      <c r="AK65">
        <f>IF(AI65&lt;=regressions!$L$2,AI65*regressions!$L$1,regressions!$L$1*regressions!$L$2+regressions!$L$3*(AI65-regressions!$L$2))</f>
        <v>-3.8948953275490472E-2</v>
      </c>
      <c r="AL65">
        <f>regressions!$J$1*AI65+regressions!$J$2*AI65^2</f>
        <v>-2.2412485024001269E-2</v>
      </c>
      <c r="AM65">
        <f>regressions!$V$1*AI65</f>
        <v>-3.8948953385448314E-2</v>
      </c>
      <c r="AN65">
        <f>regressions!$N$1*AI65^2</f>
        <v>-4.1846379101705177E-4</v>
      </c>
      <c r="AO65">
        <f>regressions!$R$1*AI65^2+regressions!$R$2*AI65^6</f>
        <v>-4.5578261957705677E-4</v>
      </c>
      <c r="AP65">
        <f>regressions!$P$1*AI65^2+regressions!$P$2*AI65^7</f>
        <v>-4.4094027800369614E-4</v>
      </c>
      <c r="AQ65">
        <f>regressions!$T$2+regressions!$T$1*EXP(AI65)</f>
        <v>-3.9250417935656791E-4</v>
      </c>
      <c r="AR65" s="8">
        <f>(1-EXP(-2*regressions!$X$1*AI65))/2/EXP(-regressions!$X$1*AI65)</f>
        <v>-1.9947370955356241E-2</v>
      </c>
      <c r="AT65" s="33">
        <v>4.9005965557766346E-2</v>
      </c>
      <c r="AU65">
        <f t="shared" si="9"/>
        <v>-1.8825348727276217E-2</v>
      </c>
      <c r="AV65">
        <f>IF(AT65&lt;=regressions!$L$2,AT65*regressions!$L$1,regressions!$L$1*regressions!$L$2+regressions!$L$3*(AT65-regressions!$L$2))</f>
        <v>-3.8948953275490472E-2</v>
      </c>
      <c r="AW65">
        <f>regressions!$J$1*AT65+regressions!$J$2*AT65^2</f>
        <v>-2.2412485024001269E-2</v>
      </c>
      <c r="AX65">
        <f>regressions!$V$1*AT65</f>
        <v>-3.8948953385448314E-2</v>
      </c>
      <c r="AY65">
        <f>regressions!$N$1*AT65^2</f>
        <v>-4.1846379101705177E-4</v>
      </c>
      <c r="AZ65">
        <f>regressions!$R$1*AT65^2+regressions!$R$2*AT65^6</f>
        <v>-4.5578261957705677E-4</v>
      </c>
      <c r="BA65">
        <f>regressions!$P$1*AT65^2+regressions!$P$2*AT65^7</f>
        <v>-4.4094027800369614E-4</v>
      </c>
      <c r="BB65">
        <f>regressions!$T$2+regressions!$T$1*EXP(AT65)</f>
        <v>-3.9250417935656791E-4</v>
      </c>
      <c r="BC65" s="8">
        <f>(1-EXP(-2*regressions!$X$1*AT65))/2/EXP(-regressions!$X$1*AT65)</f>
        <v>-1.9947370955356241E-2</v>
      </c>
      <c r="BE65">
        <f t="shared" si="10"/>
        <v>0</v>
      </c>
      <c r="BF65">
        <f t="shared" si="0"/>
        <v>0</v>
      </c>
      <c r="BG65">
        <f t="shared" si="1"/>
        <v>0</v>
      </c>
      <c r="BH65">
        <f>BG65+regressions!$AR$1*(AI65-B65)</f>
        <v>0</v>
      </c>
      <c r="BI65">
        <f>BG65-regressions!$AO$1*(AI65-B65)</f>
        <v>0</v>
      </c>
      <c r="BJ65">
        <f t="shared" si="2"/>
        <v>0</v>
      </c>
      <c r="BK65">
        <f>BJ65+regressions!$AR$1*(AT65-B65)</f>
        <v>0</v>
      </c>
      <c r="BL65">
        <f>BJ65-regressions!$AO$1*(AT65-B65)</f>
        <v>0</v>
      </c>
      <c r="BM65">
        <f t="shared" si="11"/>
        <v>0</v>
      </c>
      <c r="BN65">
        <f t="shared" si="3"/>
        <v>0</v>
      </c>
      <c r="BO65">
        <f t="shared" si="4"/>
        <v>0</v>
      </c>
      <c r="BP65">
        <f t="shared" si="12"/>
        <v>0</v>
      </c>
      <c r="BQ65">
        <f t="shared" si="13"/>
        <v>0</v>
      </c>
      <c r="BR65">
        <f t="shared" si="14"/>
        <v>0</v>
      </c>
    </row>
    <row r="66" spans="1:70" x14ac:dyDescent="0.35">
      <c r="A66">
        <v>1913</v>
      </c>
      <c r="B66" s="33">
        <v>5.12218738923522E-2</v>
      </c>
      <c r="C66">
        <f t="shared" si="15"/>
        <v>-1.9685714306013079E-2</v>
      </c>
      <c r="D66">
        <f>IF($B66&lt;=regressions!$L$2,$B66*regressions!$L$1,regressions!$L$1*regressions!$L$2+regressions!$L$3*($B66-regressions!$L$2))</f>
        <v>-4.0710112538536083E-2</v>
      </c>
      <c r="E66">
        <f>regressions!$J$1*B66+regressions!$J$2*B66^2</f>
        <v>-2.3435189891656289E-2</v>
      </c>
      <c r="F66">
        <f>regressions!$V$1*B66</f>
        <v>-4.0710112653465906E-2</v>
      </c>
      <c r="G66">
        <f>regressions!$N$1*B66^2</f>
        <v>-4.5716282675602323E-4</v>
      </c>
      <c r="H66">
        <f>regressions!$R$1*B66^2+regressions!$R$2*B66^6</f>
        <v>-4.9793285634630743E-4</v>
      </c>
      <c r="I66">
        <f>regressions!$P$1*B66^2+regressions!$P$2*B66^7</f>
        <v>-4.8171791263647621E-4</v>
      </c>
      <c r="J66">
        <f>regressions!$T$2+regressions!$T$1*EXP(B66)</f>
        <v>-4.1071067854704657E-4</v>
      </c>
      <c r="K66" s="8">
        <f>(1-EXP(-2*regressions!$X$1*B66))/2/EXP(-regressions!$X$1*B66)</f>
        <v>-2.0849461348902084E-2</v>
      </c>
      <c r="M66" s="33">
        <v>5.12218738923522E-2</v>
      </c>
      <c r="N66">
        <f t="shared" si="6"/>
        <v>-1.9685714306013079E-2</v>
      </c>
      <c r="O66">
        <f>IF($B66&lt;=regressions!$L$2,$B66*regressions!$L$1,regressions!$L$1*regressions!$L$2+regressions!$L$3*($B66-regressions!$L$2))</f>
        <v>-4.0710112538536083E-2</v>
      </c>
      <c r="P66">
        <f>regressions!$J$1*M66+regressions!$J$2*M66^2</f>
        <v>-2.3435189891656289E-2</v>
      </c>
      <c r="Q66">
        <f>regressions!$V$1*M66</f>
        <v>-4.0710112653465906E-2</v>
      </c>
      <c r="R66">
        <f>regressions!$N$1*M66^2</f>
        <v>-4.5716282675602323E-4</v>
      </c>
      <c r="S66">
        <f>regressions!$R$1*M66^2+regressions!$R$2*M66^6</f>
        <v>-4.9793285634630743E-4</v>
      </c>
      <c r="T66">
        <f>regressions!$P$1*M66^2+regressions!$P$2*M66^7</f>
        <v>-4.8171791263647621E-4</v>
      </c>
      <c r="U66">
        <f>regressions!$T$2+regressions!$T$1*EXP(M66)</f>
        <v>-4.1071067854704657E-4</v>
      </c>
      <c r="V66" s="8">
        <f>(1-EXP(-2*regressions!$X$1*M66))/2/EXP(-regressions!$X$1*M66)</f>
        <v>-2.0849461348902084E-2</v>
      </c>
      <c r="X66" s="33">
        <v>5.12218738923522E-2</v>
      </c>
      <c r="Y66">
        <f t="shared" si="7"/>
        <v>-1.9685714306013079E-2</v>
      </c>
      <c r="Z66">
        <f>IF($B66&lt;=regressions!$L$2,$B66*regressions!$L$1,regressions!$L$1*regressions!$L$2+regressions!$L$3*($B66-regressions!$L$2))</f>
        <v>-4.0710112538536083E-2</v>
      </c>
      <c r="AA66">
        <f>regressions!$J$1*X66+regressions!$J$2*X66^2</f>
        <v>-2.3435189891656289E-2</v>
      </c>
      <c r="AB66">
        <f>regressions!$V$1*X66</f>
        <v>-4.0710112653465906E-2</v>
      </c>
      <c r="AC66">
        <f>regressions!$N$1*X66^2</f>
        <v>-4.5716282675602323E-4</v>
      </c>
      <c r="AD66">
        <f>regressions!$R$1*X66^2+regressions!$R$2*X66^6</f>
        <v>-4.9793285634630743E-4</v>
      </c>
      <c r="AE66">
        <f>regressions!$P$1*X66^2+regressions!$P$2*X66^7</f>
        <v>-4.8171791263647621E-4</v>
      </c>
      <c r="AF66">
        <f>regressions!$T$2+regressions!$T$1*EXP(X66)</f>
        <v>-4.1071067854704657E-4</v>
      </c>
      <c r="AG66" s="8">
        <f>(1-EXP(-2*regressions!$X$1*X66))/2/EXP(-regressions!$X$1*X66)</f>
        <v>-2.0849461348902084E-2</v>
      </c>
      <c r="AH66" s="8"/>
      <c r="AI66" s="33">
        <v>5.12218738923522E-2</v>
      </c>
      <c r="AJ66">
        <f t="shared" si="8"/>
        <v>-1.9685714306013079E-2</v>
      </c>
      <c r="AK66">
        <f>IF(AI66&lt;=regressions!$L$2,AI66*regressions!$L$1,regressions!$L$1*regressions!$L$2+regressions!$L$3*(AI66-regressions!$L$2))</f>
        <v>-4.0710112538536083E-2</v>
      </c>
      <c r="AL66">
        <f>regressions!$J$1*AI66+regressions!$J$2*AI66^2</f>
        <v>-2.3435189891656289E-2</v>
      </c>
      <c r="AM66">
        <f>regressions!$V$1*AI66</f>
        <v>-4.0710112653465906E-2</v>
      </c>
      <c r="AN66">
        <f>regressions!$N$1*AI66^2</f>
        <v>-4.5716282675602323E-4</v>
      </c>
      <c r="AO66">
        <f>regressions!$R$1*AI66^2+regressions!$R$2*AI66^6</f>
        <v>-4.9793285634630743E-4</v>
      </c>
      <c r="AP66">
        <f>regressions!$P$1*AI66^2+regressions!$P$2*AI66^7</f>
        <v>-4.8171791263647621E-4</v>
      </c>
      <c r="AQ66">
        <f>regressions!$T$2+regressions!$T$1*EXP(AI66)</f>
        <v>-4.1071067854704657E-4</v>
      </c>
      <c r="AR66" s="8">
        <f>(1-EXP(-2*regressions!$X$1*AI66))/2/EXP(-regressions!$X$1*AI66)</f>
        <v>-2.0849461348902084E-2</v>
      </c>
      <c r="AT66" s="33">
        <v>5.12218738923522E-2</v>
      </c>
      <c r="AU66">
        <f t="shared" si="9"/>
        <v>-1.9685714306013079E-2</v>
      </c>
      <c r="AV66">
        <f>IF(AT66&lt;=regressions!$L$2,AT66*regressions!$L$1,regressions!$L$1*regressions!$L$2+regressions!$L$3*(AT66-regressions!$L$2))</f>
        <v>-4.0710112538536083E-2</v>
      </c>
      <c r="AW66">
        <f>regressions!$J$1*AT66+regressions!$J$2*AT66^2</f>
        <v>-2.3435189891656289E-2</v>
      </c>
      <c r="AX66">
        <f>regressions!$V$1*AT66</f>
        <v>-4.0710112653465906E-2</v>
      </c>
      <c r="AY66">
        <f>regressions!$N$1*AT66^2</f>
        <v>-4.5716282675602323E-4</v>
      </c>
      <c r="AZ66">
        <f>regressions!$R$1*AT66^2+regressions!$R$2*AT66^6</f>
        <v>-4.9793285634630743E-4</v>
      </c>
      <c r="BA66">
        <f>regressions!$P$1*AT66^2+regressions!$P$2*AT66^7</f>
        <v>-4.8171791263647621E-4</v>
      </c>
      <c r="BB66">
        <f>regressions!$T$2+regressions!$T$1*EXP(AT66)</f>
        <v>-4.1071067854704657E-4</v>
      </c>
      <c r="BC66" s="8">
        <f>(1-EXP(-2*regressions!$X$1*AT66))/2/EXP(-regressions!$X$1*AT66)</f>
        <v>-2.0849461348902084E-2</v>
      </c>
      <c r="BE66">
        <f t="shared" si="10"/>
        <v>0</v>
      </c>
      <c r="BF66">
        <f t="shared" si="0"/>
        <v>0</v>
      </c>
      <c r="BG66">
        <f t="shared" si="1"/>
        <v>0</v>
      </c>
      <c r="BH66">
        <f>BG66+regressions!$AR$1*(AI66-B66)</f>
        <v>0</v>
      </c>
      <c r="BI66">
        <f>BG66-regressions!$AO$1*(AI66-B66)</f>
        <v>0</v>
      </c>
      <c r="BJ66">
        <f t="shared" si="2"/>
        <v>0</v>
      </c>
      <c r="BK66">
        <f>BJ66+regressions!$AR$1*(AT66-B66)</f>
        <v>0</v>
      </c>
      <c r="BL66">
        <f>BJ66-regressions!$AO$1*(AT66-B66)</f>
        <v>0</v>
      </c>
      <c r="BM66">
        <f t="shared" si="11"/>
        <v>0</v>
      </c>
      <c r="BN66">
        <f t="shared" si="3"/>
        <v>0</v>
      </c>
      <c r="BO66">
        <f t="shared" si="4"/>
        <v>0</v>
      </c>
      <c r="BP66">
        <f t="shared" si="12"/>
        <v>0</v>
      </c>
      <c r="BQ66">
        <f t="shared" si="13"/>
        <v>0</v>
      </c>
      <c r="BR66">
        <f t="shared" si="14"/>
        <v>0</v>
      </c>
    </row>
    <row r="67" spans="1:70" x14ac:dyDescent="0.35">
      <c r="A67">
        <v>1914</v>
      </c>
      <c r="B67" s="33">
        <v>5.3536627533307124E-2</v>
      </c>
      <c r="C67">
        <f t="shared" si="15"/>
        <v>-2.0585303710991432E-2</v>
      </c>
      <c r="D67">
        <f>IF($B67&lt;=regressions!$L$2,$B67*regressions!$L$1,regressions!$L$1*regressions!$L$2+regressions!$L$3*($B67-regressions!$L$2))</f>
        <v>-4.2549832057980116E-2</v>
      </c>
      <c r="E67">
        <f>regressions!$J$1*B67+regressions!$J$2*B67^2</f>
        <v>-2.4504371853413486E-2</v>
      </c>
      <c r="F67">
        <f>regressions!$V$1*B67</f>
        <v>-4.2549832178103701E-2</v>
      </c>
      <c r="G67">
        <f>regressions!$N$1*B67^2</f>
        <v>-4.9941548503841028E-4</v>
      </c>
      <c r="H67">
        <f>regressions!$R$1*B67^2+regressions!$R$2*B67^6</f>
        <v>-5.4395362963809938E-4</v>
      </c>
      <c r="I67">
        <f>regressions!$P$1*B67^2+regressions!$P$2*B67^7</f>
        <v>-5.2624004164563028E-4</v>
      </c>
      <c r="J67">
        <f>regressions!$T$2+regressions!$T$1*EXP(B67)</f>
        <v>-4.2977245007813462E-4</v>
      </c>
      <c r="K67" s="8">
        <f>(1-EXP(-2*regressions!$X$1*B67))/2/EXP(-regressions!$X$1*B67)</f>
        <v>-2.1791809526807024E-2</v>
      </c>
      <c r="M67" s="33">
        <v>5.3536627533307124E-2</v>
      </c>
      <c r="N67">
        <f t="shared" si="6"/>
        <v>-2.0585303710991432E-2</v>
      </c>
      <c r="O67">
        <f>IF($B67&lt;=regressions!$L$2,$B67*regressions!$L$1,regressions!$L$1*regressions!$L$2+regressions!$L$3*($B67-regressions!$L$2))</f>
        <v>-4.2549832057980116E-2</v>
      </c>
      <c r="P67">
        <f>regressions!$J$1*M67+regressions!$J$2*M67^2</f>
        <v>-2.4504371853413486E-2</v>
      </c>
      <c r="Q67">
        <f>regressions!$V$1*M67</f>
        <v>-4.2549832178103701E-2</v>
      </c>
      <c r="R67">
        <f>regressions!$N$1*M67^2</f>
        <v>-4.9941548503841028E-4</v>
      </c>
      <c r="S67">
        <f>regressions!$R$1*M67^2+regressions!$R$2*M67^6</f>
        <v>-5.4395362963809938E-4</v>
      </c>
      <c r="T67">
        <f>regressions!$P$1*M67^2+regressions!$P$2*M67^7</f>
        <v>-5.2624004164563028E-4</v>
      </c>
      <c r="U67">
        <f>regressions!$T$2+regressions!$T$1*EXP(M67)</f>
        <v>-4.2977245007813462E-4</v>
      </c>
      <c r="V67" s="8">
        <f>(1-EXP(-2*regressions!$X$1*M67))/2/EXP(-regressions!$X$1*M67)</f>
        <v>-2.1791809526807024E-2</v>
      </c>
      <c r="X67" s="33">
        <v>5.3536627533307124E-2</v>
      </c>
      <c r="Y67">
        <f t="shared" si="7"/>
        <v>-2.0585303710991432E-2</v>
      </c>
      <c r="Z67">
        <f>IF($B67&lt;=regressions!$L$2,$B67*regressions!$L$1,regressions!$L$1*regressions!$L$2+regressions!$L$3*($B67-regressions!$L$2))</f>
        <v>-4.2549832057980116E-2</v>
      </c>
      <c r="AA67">
        <f>regressions!$J$1*X67+regressions!$J$2*X67^2</f>
        <v>-2.4504371853413486E-2</v>
      </c>
      <c r="AB67">
        <f>regressions!$V$1*X67</f>
        <v>-4.2549832178103701E-2</v>
      </c>
      <c r="AC67">
        <f>regressions!$N$1*X67^2</f>
        <v>-4.9941548503841028E-4</v>
      </c>
      <c r="AD67">
        <f>regressions!$R$1*X67^2+regressions!$R$2*X67^6</f>
        <v>-5.4395362963809938E-4</v>
      </c>
      <c r="AE67">
        <f>regressions!$P$1*X67^2+regressions!$P$2*X67^7</f>
        <v>-5.2624004164563028E-4</v>
      </c>
      <c r="AF67">
        <f>regressions!$T$2+regressions!$T$1*EXP(X67)</f>
        <v>-4.2977245007813462E-4</v>
      </c>
      <c r="AG67" s="8">
        <f>(1-EXP(-2*regressions!$X$1*X67))/2/EXP(-regressions!$X$1*X67)</f>
        <v>-2.1791809526807024E-2</v>
      </c>
      <c r="AH67" s="8"/>
      <c r="AI67" s="33">
        <v>5.3536627533307124E-2</v>
      </c>
      <c r="AJ67">
        <f t="shared" si="8"/>
        <v>-2.0585303710991432E-2</v>
      </c>
      <c r="AK67">
        <f>IF(AI67&lt;=regressions!$L$2,AI67*regressions!$L$1,regressions!$L$1*regressions!$L$2+regressions!$L$3*(AI67-regressions!$L$2))</f>
        <v>-4.2549832057980116E-2</v>
      </c>
      <c r="AL67">
        <f>regressions!$J$1*AI67+regressions!$J$2*AI67^2</f>
        <v>-2.4504371853413486E-2</v>
      </c>
      <c r="AM67">
        <f>regressions!$V$1*AI67</f>
        <v>-4.2549832178103701E-2</v>
      </c>
      <c r="AN67">
        <f>regressions!$N$1*AI67^2</f>
        <v>-4.9941548503841028E-4</v>
      </c>
      <c r="AO67">
        <f>regressions!$R$1*AI67^2+regressions!$R$2*AI67^6</f>
        <v>-5.4395362963809938E-4</v>
      </c>
      <c r="AP67">
        <f>regressions!$P$1*AI67^2+regressions!$P$2*AI67^7</f>
        <v>-5.2624004164563028E-4</v>
      </c>
      <c r="AQ67">
        <f>regressions!$T$2+regressions!$T$1*EXP(AI67)</f>
        <v>-4.2977245007813462E-4</v>
      </c>
      <c r="AR67" s="8">
        <f>(1-EXP(-2*regressions!$X$1*AI67))/2/EXP(-regressions!$X$1*AI67)</f>
        <v>-2.1791809526807024E-2</v>
      </c>
      <c r="AT67" s="33">
        <v>5.3536627533307124E-2</v>
      </c>
      <c r="AU67">
        <f t="shared" si="9"/>
        <v>-2.0585303710991432E-2</v>
      </c>
      <c r="AV67">
        <f>IF(AT67&lt;=regressions!$L$2,AT67*regressions!$L$1,regressions!$L$1*regressions!$L$2+regressions!$L$3*(AT67-regressions!$L$2))</f>
        <v>-4.2549832057980116E-2</v>
      </c>
      <c r="AW67">
        <f>regressions!$J$1*AT67+regressions!$J$2*AT67^2</f>
        <v>-2.4504371853413486E-2</v>
      </c>
      <c r="AX67">
        <f>regressions!$V$1*AT67</f>
        <v>-4.2549832178103701E-2</v>
      </c>
      <c r="AY67">
        <f>regressions!$N$1*AT67^2</f>
        <v>-4.9941548503841028E-4</v>
      </c>
      <c r="AZ67">
        <f>regressions!$R$1*AT67^2+regressions!$R$2*AT67^6</f>
        <v>-5.4395362963809938E-4</v>
      </c>
      <c r="BA67">
        <f>regressions!$P$1*AT67^2+regressions!$P$2*AT67^7</f>
        <v>-5.2624004164563028E-4</v>
      </c>
      <c r="BB67">
        <f>regressions!$T$2+regressions!$T$1*EXP(AT67)</f>
        <v>-4.2977245007813462E-4</v>
      </c>
      <c r="BC67" s="8">
        <f>(1-EXP(-2*regressions!$X$1*AT67))/2/EXP(-regressions!$X$1*AT67)</f>
        <v>-2.1791809526807024E-2</v>
      </c>
      <c r="BE67">
        <f t="shared" si="10"/>
        <v>0</v>
      </c>
      <c r="BF67">
        <f t="shared" ref="BF67:BF130" si="16">Y67-C67</f>
        <v>0</v>
      </c>
      <c r="BG67">
        <f t="shared" ref="BG67:BG130" si="17">AJ67-C67</f>
        <v>0</v>
      </c>
      <c r="BH67">
        <f>BG67+regressions!$AR$1*(AI67-B67)</f>
        <v>0</v>
      </c>
      <c r="BI67">
        <f>BG67-regressions!$AO$1*(AI67-B67)</f>
        <v>0</v>
      </c>
      <c r="BJ67">
        <f t="shared" ref="BJ67:BJ130" si="18">AU67-C67</f>
        <v>0</v>
      </c>
      <c r="BK67">
        <f>BJ67+regressions!$AR$1*(AT67-B67)</f>
        <v>0</v>
      </c>
      <c r="BL67">
        <f>BJ67-regressions!$AO$1*(AT67-B67)</f>
        <v>0</v>
      </c>
      <c r="BM67">
        <f t="shared" si="11"/>
        <v>0</v>
      </c>
      <c r="BN67">
        <f t="shared" ref="BN67:BN130" si="19">AJ67-N67</f>
        <v>0</v>
      </c>
      <c r="BO67">
        <f t="shared" ref="BO67:BO130" si="20">AU67-N67</f>
        <v>0</v>
      </c>
      <c r="BP67">
        <f t="shared" si="12"/>
        <v>0</v>
      </c>
      <c r="BQ67">
        <f t="shared" si="13"/>
        <v>0</v>
      </c>
      <c r="BR67">
        <f t="shared" si="14"/>
        <v>0</v>
      </c>
    </row>
    <row r="68" spans="1:70" x14ac:dyDescent="0.35">
      <c r="A68">
        <v>1915</v>
      </c>
      <c r="B68" s="33">
        <v>5.5918861583819202E-2</v>
      </c>
      <c r="C68">
        <f t="shared" si="15"/>
        <v>-2.1512020347633706E-2</v>
      </c>
      <c r="D68">
        <f>IF($B68&lt;=regressions!$L$2,$B68*regressions!$L$1,regressions!$L$1*regressions!$L$2+regressions!$L$3*($B68-regressions!$L$2))</f>
        <v>-4.4443183646274101E-2</v>
      </c>
      <c r="E68">
        <f>regressions!$J$1*B68+regressions!$J$2*B68^2</f>
        <v>-2.5605637476985223E-2</v>
      </c>
      <c r="F68">
        <f>regressions!$V$1*B68</f>
        <v>-4.4443183771742854E-2</v>
      </c>
      <c r="G68">
        <f>regressions!$N$1*B68^2</f>
        <v>-5.4484958803499258E-4</v>
      </c>
      <c r="H68">
        <f>regressions!$R$1*B68^2+regressions!$R$2*B68^6</f>
        <v>-5.9343957059882207E-4</v>
      </c>
      <c r="I68">
        <f>regressions!$P$1*B68^2+regressions!$P$2*B68^7</f>
        <v>-5.7411449682206496E-4</v>
      </c>
      <c r="J68">
        <f>regressions!$T$2+regressions!$T$1*EXP(B68)</f>
        <v>-4.4943604213124565E-4</v>
      </c>
      <c r="K68" s="8">
        <f>(1-EXP(-2*regressions!$X$1*B68))/2/EXP(-regressions!$X$1*B68)</f>
        <v>-2.2761649533723505E-2</v>
      </c>
      <c r="M68" s="33">
        <v>5.5918861583819202E-2</v>
      </c>
      <c r="N68">
        <f t="shared" ref="N68:N131" si="21">SUMPRODUCT(O$2:V$2,O68:V68)</f>
        <v>-2.1512020347633706E-2</v>
      </c>
      <c r="O68">
        <f>IF($B68&lt;=regressions!$L$2,$B68*regressions!$L$1,regressions!$L$1*regressions!$L$2+regressions!$L$3*($B68-regressions!$L$2))</f>
        <v>-4.4443183646274101E-2</v>
      </c>
      <c r="P68">
        <f>regressions!$J$1*M68+regressions!$J$2*M68^2</f>
        <v>-2.5605637476985223E-2</v>
      </c>
      <c r="Q68">
        <f>regressions!$V$1*M68</f>
        <v>-4.4443183771742854E-2</v>
      </c>
      <c r="R68">
        <f>regressions!$N$1*M68^2</f>
        <v>-5.4484958803499258E-4</v>
      </c>
      <c r="S68">
        <f>regressions!$R$1*M68^2+regressions!$R$2*M68^6</f>
        <v>-5.9343957059882207E-4</v>
      </c>
      <c r="T68">
        <f>regressions!$P$1*M68^2+regressions!$P$2*M68^7</f>
        <v>-5.7411449682206496E-4</v>
      </c>
      <c r="U68">
        <f>regressions!$T$2+regressions!$T$1*EXP(M68)</f>
        <v>-4.4943604213124565E-4</v>
      </c>
      <c r="V68" s="8">
        <f>(1-EXP(-2*regressions!$X$1*M68))/2/EXP(-regressions!$X$1*M68)</f>
        <v>-2.2761649533723505E-2</v>
      </c>
      <c r="X68" s="33">
        <v>5.5918861583819202E-2</v>
      </c>
      <c r="Y68">
        <f t="shared" ref="Y68:Y131" si="22">SUMPRODUCT(Z$2:AG$2,Z68:AG68)</f>
        <v>-2.1512020347633706E-2</v>
      </c>
      <c r="Z68">
        <f>IF($B68&lt;=regressions!$L$2,$B68*regressions!$L$1,regressions!$L$1*regressions!$L$2+regressions!$L$3*($B68-regressions!$L$2))</f>
        <v>-4.4443183646274101E-2</v>
      </c>
      <c r="AA68">
        <f>regressions!$J$1*X68+regressions!$J$2*X68^2</f>
        <v>-2.5605637476985223E-2</v>
      </c>
      <c r="AB68">
        <f>regressions!$V$1*X68</f>
        <v>-4.4443183771742854E-2</v>
      </c>
      <c r="AC68">
        <f>regressions!$N$1*X68^2</f>
        <v>-5.4484958803499258E-4</v>
      </c>
      <c r="AD68">
        <f>regressions!$R$1*X68^2+regressions!$R$2*X68^6</f>
        <v>-5.9343957059882207E-4</v>
      </c>
      <c r="AE68">
        <f>regressions!$P$1*X68^2+regressions!$P$2*X68^7</f>
        <v>-5.7411449682206496E-4</v>
      </c>
      <c r="AF68">
        <f>regressions!$T$2+regressions!$T$1*EXP(X68)</f>
        <v>-4.4943604213124565E-4</v>
      </c>
      <c r="AG68" s="8">
        <f>(1-EXP(-2*regressions!$X$1*X68))/2/EXP(-regressions!$X$1*X68)</f>
        <v>-2.2761649533723505E-2</v>
      </c>
      <c r="AH68" s="8"/>
      <c r="AI68" s="33">
        <v>5.5918861583819202E-2</v>
      </c>
      <c r="AJ68">
        <f t="shared" ref="AJ68:AJ131" si="23">SUMPRODUCT(AK$2:AR$2,AK68:AR68)</f>
        <v>-2.1512020347633706E-2</v>
      </c>
      <c r="AK68">
        <f>IF(AI68&lt;=regressions!$L$2,AI68*regressions!$L$1,regressions!$L$1*regressions!$L$2+regressions!$L$3*(AI68-regressions!$L$2))</f>
        <v>-4.4443183646274101E-2</v>
      </c>
      <c r="AL68">
        <f>regressions!$J$1*AI68+regressions!$J$2*AI68^2</f>
        <v>-2.5605637476985223E-2</v>
      </c>
      <c r="AM68">
        <f>regressions!$V$1*AI68</f>
        <v>-4.4443183771742854E-2</v>
      </c>
      <c r="AN68">
        <f>regressions!$N$1*AI68^2</f>
        <v>-5.4484958803499258E-4</v>
      </c>
      <c r="AO68">
        <f>regressions!$R$1*AI68^2+regressions!$R$2*AI68^6</f>
        <v>-5.9343957059882207E-4</v>
      </c>
      <c r="AP68">
        <f>regressions!$P$1*AI68^2+regressions!$P$2*AI68^7</f>
        <v>-5.7411449682206496E-4</v>
      </c>
      <c r="AQ68">
        <f>regressions!$T$2+regressions!$T$1*EXP(AI68)</f>
        <v>-4.4943604213124565E-4</v>
      </c>
      <c r="AR68" s="8">
        <f>(1-EXP(-2*regressions!$X$1*AI68))/2/EXP(-regressions!$X$1*AI68)</f>
        <v>-2.2761649533723505E-2</v>
      </c>
      <c r="AT68" s="33">
        <v>5.5918861583819202E-2</v>
      </c>
      <c r="AU68">
        <f t="shared" ref="AU68:AU131" si="24">SUMPRODUCT(AV$2:BC$2,AV68:BC68)</f>
        <v>-2.1512020347633706E-2</v>
      </c>
      <c r="AV68">
        <f>IF(AT68&lt;=regressions!$L$2,AT68*regressions!$L$1,regressions!$L$1*regressions!$L$2+regressions!$L$3*(AT68-regressions!$L$2))</f>
        <v>-4.4443183646274101E-2</v>
      </c>
      <c r="AW68">
        <f>regressions!$J$1*AT68+regressions!$J$2*AT68^2</f>
        <v>-2.5605637476985223E-2</v>
      </c>
      <c r="AX68">
        <f>regressions!$V$1*AT68</f>
        <v>-4.4443183771742854E-2</v>
      </c>
      <c r="AY68">
        <f>regressions!$N$1*AT68^2</f>
        <v>-5.4484958803499258E-4</v>
      </c>
      <c r="AZ68">
        <f>regressions!$R$1*AT68^2+regressions!$R$2*AT68^6</f>
        <v>-5.9343957059882207E-4</v>
      </c>
      <c r="BA68">
        <f>regressions!$P$1*AT68^2+regressions!$P$2*AT68^7</f>
        <v>-5.7411449682206496E-4</v>
      </c>
      <c r="BB68">
        <f>regressions!$T$2+regressions!$T$1*EXP(AT68)</f>
        <v>-4.4943604213124565E-4</v>
      </c>
      <c r="BC68" s="8">
        <f>(1-EXP(-2*regressions!$X$1*AT68))/2/EXP(-regressions!$X$1*AT68)</f>
        <v>-2.2761649533723505E-2</v>
      </c>
      <c r="BE68">
        <f t="shared" ref="BE68:BE131" si="25">N68-C68</f>
        <v>0</v>
      </c>
      <c r="BF68">
        <f t="shared" si="16"/>
        <v>0</v>
      </c>
      <c r="BG68">
        <f t="shared" si="17"/>
        <v>0</v>
      </c>
      <c r="BH68">
        <f>BG68+regressions!$AR$1*(AI68-B68)</f>
        <v>0</v>
      </c>
      <c r="BI68">
        <f>BG68-regressions!$AO$1*(AI68-B68)</f>
        <v>0</v>
      </c>
      <c r="BJ68">
        <f t="shared" si="18"/>
        <v>0</v>
      </c>
      <c r="BK68">
        <f>BJ68+regressions!$AR$1*(AT68-B68)</f>
        <v>0</v>
      </c>
      <c r="BL68">
        <f>BJ68-regressions!$AO$1*(AT68-B68)</f>
        <v>0</v>
      </c>
      <c r="BM68">
        <f t="shared" ref="BM68:BM131" si="26">Y68-N68</f>
        <v>0</v>
      </c>
      <c r="BN68">
        <f t="shared" si="19"/>
        <v>0</v>
      </c>
      <c r="BO68">
        <f t="shared" si="20"/>
        <v>0</v>
      </c>
      <c r="BP68">
        <f t="shared" ref="BP68:BP131" si="27">AJ68-Y68</f>
        <v>0</v>
      </c>
      <c r="BQ68">
        <f t="shared" ref="BQ68:BQ131" si="28">AU68-Y68</f>
        <v>0</v>
      </c>
      <c r="BR68">
        <f t="shared" ref="BR68:BR131" si="29">AU68-AJ68</f>
        <v>0</v>
      </c>
    </row>
    <row r="69" spans="1:70" x14ac:dyDescent="0.35">
      <c r="A69">
        <v>1916</v>
      </c>
      <c r="B69" s="33">
        <v>5.8361484989191074E-2</v>
      </c>
      <c r="C69">
        <f t="shared" si="15"/>
        <v>-2.2463179482448865E-2</v>
      </c>
      <c r="D69">
        <f>IF($B69&lt;=regressions!$L$2,$B69*regressions!$L$1,regressions!$L$1*regressions!$L$2+regressions!$L$3*($B69-regressions!$L$2))</f>
        <v>-4.6384531476127672E-2</v>
      </c>
      <c r="E69">
        <f>regressions!$J$1*B69+regressions!$J$2*B69^2</f>
        <v>-2.673578330801105E-2</v>
      </c>
      <c r="F69">
        <f>regressions!$V$1*B69</f>
        <v>-4.6384531607077097E-2</v>
      </c>
      <c r="G69">
        <f>regressions!$N$1*B69^2</f>
        <v>-5.9348896992153521E-4</v>
      </c>
      <c r="H69">
        <f>regressions!$R$1*B69^2+regressions!$R$2*B69^6</f>
        <v>-6.4641663894495296E-4</v>
      </c>
      <c r="I69">
        <f>regressions!$P$1*B69^2+regressions!$P$2*B69^7</f>
        <v>-6.2536639252047362E-4</v>
      </c>
      <c r="J69">
        <f>regressions!$T$2+regressions!$T$1*EXP(B69)</f>
        <v>-4.6964680244498611E-4</v>
      </c>
      <c r="K69" s="8">
        <f>(1-EXP(-2*regressions!$X$1*B69))/2/EXP(-regressions!$X$1*B69)</f>
        <v>-2.3756097098819023E-2</v>
      </c>
      <c r="M69" s="33">
        <v>5.8361484989191074E-2</v>
      </c>
      <c r="N69">
        <f t="shared" si="21"/>
        <v>-2.2463179482448865E-2</v>
      </c>
      <c r="O69">
        <f>IF($B69&lt;=regressions!$L$2,$B69*regressions!$L$1,regressions!$L$1*regressions!$L$2+regressions!$L$3*($B69-regressions!$L$2))</f>
        <v>-4.6384531476127672E-2</v>
      </c>
      <c r="P69">
        <f>regressions!$J$1*M69+regressions!$J$2*M69^2</f>
        <v>-2.673578330801105E-2</v>
      </c>
      <c r="Q69">
        <f>regressions!$V$1*M69</f>
        <v>-4.6384531607077097E-2</v>
      </c>
      <c r="R69">
        <f>regressions!$N$1*M69^2</f>
        <v>-5.9348896992153521E-4</v>
      </c>
      <c r="S69">
        <f>regressions!$R$1*M69^2+regressions!$R$2*M69^6</f>
        <v>-6.4641663894495296E-4</v>
      </c>
      <c r="T69">
        <f>regressions!$P$1*M69^2+regressions!$P$2*M69^7</f>
        <v>-6.2536639252047362E-4</v>
      </c>
      <c r="U69">
        <f>regressions!$T$2+regressions!$T$1*EXP(M69)</f>
        <v>-4.6964680244498611E-4</v>
      </c>
      <c r="V69" s="8">
        <f>(1-EXP(-2*regressions!$X$1*M69))/2/EXP(-regressions!$X$1*M69)</f>
        <v>-2.3756097098819023E-2</v>
      </c>
      <c r="X69" s="33">
        <v>5.8361484989191074E-2</v>
      </c>
      <c r="Y69">
        <f t="shared" si="22"/>
        <v>-2.2463179482448865E-2</v>
      </c>
      <c r="Z69">
        <f>IF($B69&lt;=regressions!$L$2,$B69*regressions!$L$1,regressions!$L$1*regressions!$L$2+regressions!$L$3*($B69-regressions!$L$2))</f>
        <v>-4.6384531476127672E-2</v>
      </c>
      <c r="AA69">
        <f>regressions!$J$1*X69+regressions!$J$2*X69^2</f>
        <v>-2.673578330801105E-2</v>
      </c>
      <c r="AB69">
        <f>regressions!$V$1*X69</f>
        <v>-4.6384531607077097E-2</v>
      </c>
      <c r="AC69">
        <f>regressions!$N$1*X69^2</f>
        <v>-5.9348896992153521E-4</v>
      </c>
      <c r="AD69">
        <f>regressions!$R$1*X69^2+regressions!$R$2*X69^6</f>
        <v>-6.4641663894495296E-4</v>
      </c>
      <c r="AE69">
        <f>regressions!$P$1*X69^2+regressions!$P$2*X69^7</f>
        <v>-6.2536639252047362E-4</v>
      </c>
      <c r="AF69">
        <f>regressions!$T$2+regressions!$T$1*EXP(X69)</f>
        <v>-4.6964680244498611E-4</v>
      </c>
      <c r="AG69" s="8">
        <f>(1-EXP(-2*regressions!$X$1*X69))/2/EXP(-regressions!$X$1*X69)</f>
        <v>-2.3756097098819023E-2</v>
      </c>
      <c r="AH69" s="8"/>
      <c r="AI69" s="33">
        <v>5.8361484989191074E-2</v>
      </c>
      <c r="AJ69">
        <f t="shared" si="23"/>
        <v>-2.2463179482448865E-2</v>
      </c>
      <c r="AK69">
        <f>IF(AI69&lt;=regressions!$L$2,AI69*regressions!$L$1,regressions!$L$1*regressions!$L$2+regressions!$L$3*(AI69-regressions!$L$2))</f>
        <v>-4.6384531476127672E-2</v>
      </c>
      <c r="AL69">
        <f>regressions!$J$1*AI69+regressions!$J$2*AI69^2</f>
        <v>-2.673578330801105E-2</v>
      </c>
      <c r="AM69">
        <f>regressions!$V$1*AI69</f>
        <v>-4.6384531607077097E-2</v>
      </c>
      <c r="AN69">
        <f>regressions!$N$1*AI69^2</f>
        <v>-5.9348896992153521E-4</v>
      </c>
      <c r="AO69">
        <f>regressions!$R$1*AI69^2+regressions!$R$2*AI69^6</f>
        <v>-6.4641663894495296E-4</v>
      </c>
      <c r="AP69">
        <f>regressions!$P$1*AI69^2+regressions!$P$2*AI69^7</f>
        <v>-6.2536639252047362E-4</v>
      </c>
      <c r="AQ69">
        <f>regressions!$T$2+regressions!$T$1*EXP(AI69)</f>
        <v>-4.6964680244498611E-4</v>
      </c>
      <c r="AR69" s="8">
        <f>(1-EXP(-2*regressions!$X$1*AI69))/2/EXP(-regressions!$X$1*AI69)</f>
        <v>-2.3756097098819023E-2</v>
      </c>
      <c r="AT69" s="33">
        <v>5.8361484989191074E-2</v>
      </c>
      <c r="AU69">
        <f t="shared" si="24"/>
        <v>-2.2463179482448865E-2</v>
      </c>
      <c r="AV69">
        <f>IF(AT69&lt;=regressions!$L$2,AT69*regressions!$L$1,regressions!$L$1*regressions!$L$2+regressions!$L$3*(AT69-regressions!$L$2))</f>
        <v>-4.6384531476127672E-2</v>
      </c>
      <c r="AW69">
        <f>regressions!$J$1*AT69+regressions!$J$2*AT69^2</f>
        <v>-2.673578330801105E-2</v>
      </c>
      <c r="AX69">
        <f>regressions!$V$1*AT69</f>
        <v>-4.6384531607077097E-2</v>
      </c>
      <c r="AY69">
        <f>regressions!$N$1*AT69^2</f>
        <v>-5.9348896992153521E-4</v>
      </c>
      <c r="AZ69">
        <f>regressions!$R$1*AT69^2+regressions!$R$2*AT69^6</f>
        <v>-6.4641663894495296E-4</v>
      </c>
      <c r="BA69">
        <f>regressions!$P$1*AT69^2+regressions!$P$2*AT69^7</f>
        <v>-6.2536639252047362E-4</v>
      </c>
      <c r="BB69">
        <f>regressions!$T$2+regressions!$T$1*EXP(AT69)</f>
        <v>-4.6964680244498611E-4</v>
      </c>
      <c r="BC69" s="8">
        <f>(1-EXP(-2*regressions!$X$1*AT69))/2/EXP(-regressions!$X$1*AT69)</f>
        <v>-2.3756097098819023E-2</v>
      </c>
      <c r="BE69">
        <f t="shared" si="25"/>
        <v>0</v>
      </c>
      <c r="BF69">
        <f t="shared" si="16"/>
        <v>0</v>
      </c>
      <c r="BG69">
        <f t="shared" si="17"/>
        <v>0</v>
      </c>
      <c r="BH69">
        <f>BG69+regressions!$AR$1*(AI69-B69)</f>
        <v>0</v>
      </c>
      <c r="BI69">
        <f>BG69-regressions!$AO$1*(AI69-B69)</f>
        <v>0</v>
      </c>
      <c r="BJ69">
        <f t="shared" si="18"/>
        <v>0</v>
      </c>
      <c r="BK69">
        <f>BJ69+regressions!$AR$1*(AT69-B69)</f>
        <v>0</v>
      </c>
      <c r="BL69">
        <f>BJ69-regressions!$AO$1*(AT69-B69)</f>
        <v>0</v>
      </c>
      <c r="BM69">
        <f t="shared" si="26"/>
        <v>0</v>
      </c>
      <c r="BN69">
        <f t="shared" si="19"/>
        <v>0</v>
      </c>
      <c r="BO69">
        <f t="shared" si="20"/>
        <v>0</v>
      </c>
      <c r="BP69">
        <f t="shared" si="27"/>
        <v>0</v>
      </c>
      <c r="BQ69">
        <f t="shared" si="28"/>
        <v>0</v>
      </c>
      <c r="BR69">
        <f t="shared" si="29"/>
        <v>0</v>
      </c>
    </row>
    <row r="70" spans="1:70" x14ac:dyDescent="0.35">
      <c r="A70">
        <v>1917</v>
      </c>
      <c r="B70" s="33">
        <v>6.0877406442914832E-2</v>
      </c>
      <c r="C70">
        <f t="shared" si="15"/>
        <v>-2.3443887083174447E-2</v>
      </c>
      <c r="D70">
        <f>IF($B70&lt;=regressions!$L$2,$B70*regressions!$L$1,regressions!$L$1*regressions!$L$2+regressions!$L$3*($B70-regressions!$L$2))</f>
        <v>-4.8384135116839144E-2</v>
      </c>
      <c r="E70">
        <f>regressions!$J$1*B70+regressions!$J$2*B70^2</f>
        <v>-2.7900862113531145E-2</v>
      </c>
      <c r="F70">
        <f>regressions!$V$1*B70</f>
        <v>-4.8384135253433706E-2</v>
      </c>
      <c r="G70">
        <f>regressions!$N$1*B70^2</f>
        <v>-6.4576167708110127E-4</v>
      </c>
      <c r="H70">
        <f>regressions!$R$1*B70^2+regressions!$R$2*B70^6</f>
        <v>-7.0335105446316137E-4</v>
      </c>
      <c r="I70">
        <f>regressions!$P$1*B70^2+regressions!$P$2*B70^7</f>
        <v>-6.8044676631012302E-4</v>
      </c>
      <c r="J70">
        <f>regressions!$T$2+regressions!$T$1*EXP(B70)</f>
        <v>-4.9051572160812781E-4</v>
      </c>
      <c r="K70" s="8">
        <f>(1-EXP(-2*regressions!$X$1*B70))/2/EXP(-regressions!$X$1*B70)</f>
        <v>-2.4780410525204542E-2</v>
      </c>
      <c r="M70" s="33">
        <v>6.0877406442914832E-2</v>
      </c>
      <c r="N70">
        <f t="shared" si="21"/>
        <v>-2.3443887083174447E-2</v>
      </c>
      <c r="O70">
        <f>IF($B70&lt;=regressions!$L$2,$B70*regressions!$L$1,regressions!$L$1*regressions!$L$2+regressions!$L$3*($B70-regressions!$L$2))</f>
        <v>-4.8384135116839144E-2</v>
      </c>
      <c r="P70">
        <f>regressions!$J$1*M70+regressions!$J$2*M70^2</f>
        <v>-2.7900862113531145E-2</v>
      </c>
      <c r="Q70">
        <f>regressions!$V$1*M70</f>
        <v>-4.8384135253433706E-2</v>
      </c>
      <c r="R70">
        <f>regressions!$N$1*M70^2</f>
        <v>-6.4576167708110127E-4</v>
      </c>
      <c r="S70">
        <f>regressions!$R$1*M70^2+regressions!$R$2*M70^6</f>
        <v>-7.0335105446316137E-4</v>
      </c>
      <c r="T70">
        <f>regressions!$P$1*M70^2+regressions!$P$2*M70^7</f>
        <v>-6.8044676631012302E-4</v>
      </c>
      <c r="U70">
        <f>regressions!$T$2+regressions!$T$1*EXP(M70)</f>
        <v>-4.9051572160812781E-4</v>
      </c>
      <c r="V70" s="8">
        <f>(1-EXP(-2*regressions!$X$1*M70))/2/EXP(-regressions!$X$1*M70)</f>
        <v>-2.4780410525204542E-2</v>
      </c>
      <c r="X70" s="33">
        <v>6.0877406442914832E-2</v>
      </c>
      <c r="Y70">
        <f t="shared" si="22"/>
        <v>-2.3443887083174447E-2</v>
      </c>
      <c r="Z70">
        <f>IF($B70&lt;=regressions!$L$2,$B70*regressions!$L$1,regressions!$L$1*regressions!$L$2+regressions!$L$3*($B70-regressions!$L$2))</f>
        <v>-4.8384135116839144E-2</v>
      </c>
      <c r="AA70">
        <f>regressions!$J$1*X70+regressions!$J$2*X70^2</f>
        <v>-2.7900862113531145E-2</v>
      </c>
      <c r="AB70">
        <f>regressions!$V$1*X70</f>
        <v>-4.8384135253433706E-2</v>
      </c>
      <c r="AC70">
        <f>regressions!$N$1*X70^2</f>
        <v>-6.4576167708110127E-4</v>
      </c>
      <c r="AD70">
        <f>regressions!$R$1*X70^2+regressions!$R$2*X70^6</f>
        <v>-7.0335105446316137E-4</v>
      </c>
      <c r="AE70">
        <f>regressions!$P$1*X70^2+regressions!$P$2*X70^7</f>
        <v>-6.8044676631012302E-4</v>
      </c>
      <c r="AF70">
        <f>regressions!$T$2+regressions!$T$1*EXP(X70)</f>
        <v>-4.9051572160812781E-4</v>
      </c>
      <c r="AG70" s="8">
        <f>(1-EXP(-2*regressions!$X$1*X70))/2/EXP(-regressions!$X$1*X70)</f>
        <v>-2.4780410525204542E-2</v>
      </c>
      <c r="AH70" s="8"/>
      <c r="AI70" s="33">
        <v>6.0877406442914832E-2</v>
      </c>
      <c r="AJ70">
        <f t="shared" si="23"/>
        <v>-2.3443887083174447E-2</v>
      </c>
      <c r="AK70">
        <f>IF(AI70&lt;=regressions!$L$2,AI70*regressions!$L$1,regressions!$L$1*regressions!$L$2+regressions!$L$3*(AI70-regressions!$L$2))</f>
        <v>-4.8384135116839144E-2</v>
      </c>
      <c r="AL70">
        <f>regressions!$J$1*AI70+regressions!$J$2*AI70^2</f>
        <v>-2.7900862113531145E-2</v>
      </c>
      <c r="AM70">
        <f>regressions!$V$1*AI70</f>
        <v>-4.8384135253433706E-2</v>
      </c>
      <c r="AN70">
        <f>regressions!$N$1*AI70^2</f>
        <v>-6.4576167708110127E-4</v>
      </c>
      <c r="AO70">
        <f>regressions!$R$1*AI70^2+regressions!$R$2*AI70^6</f>
        <v>-7.0335105446316137E-4</v>
      </c>
      <c r="AP70">
        <f>regressions!$P$1*AI70^2+regressions!$P$2*AI70^7</f>
        <v>-6.8044676631012302E-4</v>
      </c>
      <c r="AQ70">
        <f>regressions!$T$2+regressions!$T$1*EXP(AI70)</f>
        <v>-4.9051572160812781E-4</v>
      </c>
      <c r="AR70" s="8">
        <f>(1-EXP(-2*regressions!$X$1*AI70))/2/EXP(-regressions!$X$1*AI70)</f>
        <v>-2.4780410525204542E-2</v>
      </c>
      <c r="AT70" s="33">
        <v>6.0877406442914832E-2</v>
      </c>
      <c r="AU70">
        <f t="shared" si="24"/>
        <v>-2.3443887083174447E-2</v>
      </c>
      <c r="AV70">
        <f>IF(AT70&lt;=regressions!$L$2,AT70*regressions!$L$1,regressions!$L$1*regressions!$L$2+regressions!$L$3*(AT70-regressions!$L$2))</f>
        <v>-4.8384135116839144E-2</v>
      </c>
      <c r="AW70">
        <f>regressions!$J$1*AT70+regressions!$J$2*AT70^2</f>
        <v>-2.7900862113531145E-2</v>
      </c>
      <c r="AX70">
        <f>regressions!$V$1*AT70</f>
        <v>-4.8384135253433706E-2</v>
      </c>
      <c r="AY70">
        <f>regressions!$N$1*AT70^2</f>
        <v>-6.4576167708110127E-4</v>
      </c>
      <c r="AZ70">
        <f>regressions!$R$1*AT70^2+regressions!$R$2*AT70^6</f>
        <v>-7.0335105446316137E-4</v>
      </c>
      <c r="BA70">
        <f>regressions!$P$1*AT70^2+regressions!$P$2*AT70^7</f>
        <v>-6.8044676631012302E-4</v>
      </c>
      <c r="BB70">
        <f>regressions!$T$2+regressions!$T$1*EXP(AT70)</f>
        <v>-4.9051572160812781E-4</v>
      </c>
      <c r="BC70" s="8">
        <f>(1-EXP(-2*regressions!$X$1*AT70))/2/EXP(-regressions!$X$1*AT70)</f>
        <v>-2.4780410525204542E-2</v>
      </c>
      <c r="BE70">
        <f t="shared" si="25"/>
        <v>0</v>
      </c>
      <c r="BF70">
        <f t="shared" si="16"/>
        <v>0</v>
      </c>
      <c r="BG70">
        <f t="shared" si="17"/>
        <v>0</v>
      </c>
      <c r="BH70">
        <f>BG70+regressions!$AR$1*(AI70-B70)</f>
        <v>0</v>
      </c>
      <c r="BI70">
        <f>BG70-regressions!$AO$1*(AI70-B70)</f>
        <v>0</v>
      </c>
      <c r="BJ70">
        <f t="shared" si="18"/>
        <v>0</v>
      </c>
      <c r="BK70">
        <f>BJ70+regressions!$AR$1*(AT70-B70)</f>
        <v>0</v>
      </c>
      <c r="BL70">
        <f>BJ70-regressions!$AO$1*(AT70-B70)</f>
        <v>0</v>
      </c>
      <c r="BM70">
        <f t="shared" si="26"/>
        <v>0</v>
      </c>
      <c r="BN70">
        <f t="shared" si="19"/>
        <v>0</v>
      </c>
      <c r="BO70">
        <f t="shared" si="20"/>
        <v>0</v>
      </c>
      <c r="BP70">
        <f t="shared" si="27"/>
        <v>0</v>
      </c>
      <c r="BQ70">
        <f t="shared" si="28"/>
        <v>0</v>
      </c>
      <c r="BR70">
        <f t="shared" si="29"/>
        <v>0</v>
      </c>
    </row>
    <row r="71" spans="1:70" x14ac:dyDescent="0.35">
      <c r="A71">
        <v>1918</v>
      </c>
      <c r="B71" s="33">
        <v>6.3475716018011441E-2</v>
      </c>
      <c r="C71">
        <f t="shared" si="15"/>
        <v>-2.4457781548327347E-2</v>
      </c>
      <c r="D71">
        <f>IF($B71&lt;=regressions!$L$2,$B71*regressions!$L$1,regressions!$L$1*regressions!$L$2+regressions!$L$3*($B71-regressions!$L$2))</f>
        <v>-5.0449219175154554E-2</v>
      </c>
      <c r="E71">
        <f>regressions!$J$1*B71+regressions!$J$2*B71^2</f>
        <v>-2.9105179504943703E-2</v>
      </c>
      <c r="F71">
        <f>regressions!$V$1*B71</f>
        <v>-5.0449219317579112E-2</v>
      </c>
      <c r="G71">
        <f>regressions!$N$1*B71^2</f>
        <v>-7.0206157050358418E-4</v>
      </c>
      <c r="H71">
        <f>regressions!$R$1*B71^2+regressions!$R$2*B71^6</f>
        <v>-7.646718028734399E-4</v>
      </c>
      <c r="I71">
        <f>regressions!$P$1*B71^2+regressions!$P$2*B71^7</f>
        <v>-7.3977063420453746E-4</v>
      </c>
      <c r="J71">
        <f>regressions!$T$2+regressions!$T$1*EXP(B71)</f>
        <v>-5.1212321161830596E-4</v>
      </c>
      <c r="K71" s="8">
        <f>(1-EXP(-2*regressions!$X$1*B71))/2/EXP(-regressions!$X$1*B71)</f>
        <v>-2.5838294121925381E-2</v>
      </c>
      <c r="M71" s="33">
        <v>6.3475716018011441E-2</v>
      </c>
      <c r="N71">
        <f t="shared" si="21"/>
        <v>-2.4457781548327347E-2</v>
      </c>
      <c r="O71">
        <f>IF($B71&lt;=regressions!$L$2,$B71*regressions!$L$1,regressions!$L$1*regressions!$L$2+regressions!$L$3*($B71-regressions!$L$2))</f>
        <v>-5.0449219175154554E-2</v>
      </c>
      <c r="P71">
        <f>regressions!$J$1*M71+regressions!$J$2*M71^2</f>
        <v>-2.9105179504943703E-2</v>
      </c>
      <c r="Q71">
        <f>regressions!$V$1*M71</f>
        <v>-5.0449219317579112E-2</v>
      </c>
      <c r="R71">
        <f>regressions!$N$1*M71^2</f>
        <v>-7.0206157050358418E-4</v>
      </c>
      <c r="S71">
        <f>regressions!$R$1*M71^2+regressions!$R$2*M71^6</f>
        <v>-7.646718028734399E-4</v>
      </c>
      <c r="T71">
        <f>regressions!$P$1*M71^2+regressions!$P$2*M71^7</f>
        <v>-7.3977063420453746E-4</v>
      </c>
      <c r="U71">
        <f>regressions!$T$2+regressions!$T$1*EXP(M71)</f>
        <v>-5.1212321161830596E-4</v>
      </c>
      <c r="V71" s="8">
        <f>(1-EXP(-2*regressions!$X$1*M71))/2/EXP(-regressions!$X$1*M71)</f>
        <v>-2.5838294121925381E-2</v>
      </c>
      <c r="X71" s="33">
        <v>6.3475716018011441E-2</v>
      </c>
      <c r="Y71">
        <f t="shared" si="22"/>
        <v>-2.4457781548327347E-2</v>
      </c>
      <c r="Z71">
        <f>IF($B71&lt;=regressions!$L$2,$B71*regressions!$L$1,regressions!$L$1*regressions!$L$2+regressions!$L$3*($B71-regressions!$L$2))</f>
        <v>-5.0449219175154554E-2</v>
      </c>
      <c r="AA71">
        <f>regressions!$J$1*X71+regressions!$J$2*X71^2</f>
        <v>-2.9105179504943703E-2</v>
      </c>
      <c r="AB71">
        <f>regressions!$V$1*X71</f>
        <v>-5.0449219317579112E-2</v>
      </c>
      <c r="AC71">
        <f>regressions!$N$1*X71^2</f>
        <v>-7.0206157050358418E-4</v>
      </c>
      <c r="AD71">
        <f>regressions!$R$1*X71^2+regressions!$R$2*X71^6</f>
        <v>-7.646718028734399E-4</v>
      </c>
      <c r="AE71">
        <f>regressions!$P$1*X71^2+regressions!$P$2*X71^7</f>
        <v>-7.3977063420453746E-4</v>
      </c>
      <c r="AF71">
        <f>regressions!$T$2+regressions!$T$1*EXP(X71)</f>
        <v>-5.1212321161830596E-4</v>
      </c>
      <c r="AG71" s="8">
        <f>(1-EXP(-2*regressions!$X$1*X71))/2/EXP(-regressions!$X$1*X71)</f>
        <v>-2.5838294121925381E-2</v>
      </c>
      <c r="AH71" s="8"/>
      <c r="AI71" s="33">
        <v>6.3475716018011441E-2</v>
      </c>
      <c r="AJ71">
        <f t="shared" si="23"/>
        <v>-2.4457781548327347E-2</v>
      </c>
      <c r="AK71">
        <f>IF(AI71&lt;=regressions!$L$2,AI71*regressions!$L$1,regressions!$L$1*regressions!$L$2+regressions!$L$3*(AI71-regressions!$L$2))</f>
        <v>-5.0449219175154554E-2</v>
      </c>
      <c r="AL71">
        <f>regressions!$J$1*AI71+regressions!$J$2*AI71^2</f>
        <v>-2.9105179504943703E-2</v>
      </c>
      <c r="AM71">
        <f>regressions!$V$1*AI71</f>
        <v>-5.0449219317579112E-2</v>
      </c>
      <c r="AN71">
        <f>regressions!$N$1*AI71^2</f>
        <v>-7.0206157050358418E-4</v>
      </c>
      <c r="AO71">
        <f>regressions!$R$1*AI71^2+regressions!$R$2*AI71^6</f>
        <v>-7.646718028734399E-4</v>
      </c>
      <c r="AP71">
        <f>regressions!$P$1*AI71^2+regressions!$P$2*AI71^7</f>
        <v>-7.3977063420453746E-4</v>
      </c>
      <c r="AQ71">
        <f>regressions!$T$2+regressions!$T$1*EXP(AI71)</f>
        <v>-5.1212321161830596E-4</v>
      </c>
      <c r="AR71" s="8">
        <f>(1-EXP(-2*regressions!$X$1*AI71))/2/EXP(-regressions!$X$1*AI71)</f>
        <v>-2.5838294121925381E-2</v>
      </c>
      <c r="AT71" s="33">
        <v>6.3475716018011441E-2</v>
      </c>
      <c r="AU71">
        <f t="shared" si="24"/>
        <v>-2.4457781548327347E-2</v>
      </c>
      <c r="AV71">
        <f>IF(AT71&lt;=regressions!$L$2,AT71*regressions!$L$1,regressions!$L$1*regressions!$L$2+regressions!$L$3*(AT71-regressions!$L$2))</f>
        <v>-5.0449219175154554E-2</v>
      </c>
      <c r="AW71">
        <f>regressions!$J$1*AT71+regressions!$J$2*AT71^2</f>
        <v>-2.9105179504943703E-2</v>
      </c>
      <c r="AX71">
        <f>regressions!$V$1*AT71</f>
        <v>-5.0449219317579112E-2</v>
      </c>
      <c r="AY71">
        <f>regressions!$N$1*AT71^2</f>
        <v>-7.0206157050358418E-4</v>
      </c>
      <c r="AZ71">
        <f>regressions!$R$1*AT71^2+regressions!$R$2*AT71^6</f>
        <v>-7.646718028734399E-4</v>
      </c>
      <c r="BA71">
        <f>regressions!$P$1*AT71^2+regressions!$P$2*AT71^7</f>
        <v>-7.3977063420453746E-4</v>
      </c>
      <c r="BB71">
        <f>regressions!$T$2+regressions!$T$1*EXP(AT71)</f>
        <v>-5.1212321161830596E-4</v>
      </c>
      <c r="BC71" s="8">
        <f>(1-EXP(-2*regressions!$X$1*AT71))/2/EXP(-regressions!$X$1*AT71)</f>
        <v>-2.5838294121925381E-2</v>
      </c>
      <c r="BE71">
        <f t="shared" si="25"/>
        <v>0</v>
      </c>
      <c r="BF71">
        <f t="shared" si="16"/>
        <v>0</v>
      </c>
      <c r="BG71">
        <f t="shared" si="17"/>
        <v>0</v>
      </c>
      <c r="BH71">
        <f>BG71+regressions!$AR$1*(AI71-B71)</f>
        <v>0</v>
      </c>
      <c r="BI71">
        <f>BG71-regressions!$AO$1*(AI71-B71)</f>
        <v>0</v>
      </c>
      <c r="BJ71">
        <f t="shared" si="18"/>
        <v>0</v>
      </c>
      <c r="BK71">
        <f>BJ71+regressions!$AR$1*(AT71-B71)</f>
        <v>0</v>
      </c>
      <c r="BL71">
        <f>BJ71-regressions!$AO$1*(AT71-B71)</f>
        <v>0</v>
      </c>
      <c r="BM71">
        <f t="shared" si="26"/>
        <v>0</v>
      </c>
      <c r="BN71">
        <f t="shared" si="19"/>
        <v>0</v>
      </c>
      <c r="BO71">
        <f t="shared" si="20"/>
        <v>0</v>
      </c>
      <c r="BP71">
        <f t="shared" si="27"/>
        <v>0</v>
      </c>
      <c r="BQ71">
        <f t="shared" si="28"/>
        <v>0</v>
      </c>
      <c r="BR71">
        <f t="shared" si="29"/>
        <v>0</v>
      </c>
    </row>
    <row r="72" spans="1:70" x14ac:dyDescent="0.35">
      <c r="A72">
        <v>1919</v>
      </c>
      <c r="B72" s="33">
        <v>6.6145583507941169E-2</v>
      </c>
      <c r="C72">
        <f t="shared" si="15"/>
        <v>-2.5500733668536262E-2</v>
      </c>
      <c r="D72">
        <f>IF($B72&lt;=regressions!$L$2,$B72*regressions!$L$1,regressions!$L$1*regressions!$L$2+regressions!$L$3*($B72-regressions!$L$2))</f>
        <v>-5.2571176021294977E-2</v>
      </c>
      <c r="E72">
        <f>regressions!$J$1*B72+regressions!$J$2*B72^2</f>
        <v>-3.0343813621339241E-2</v>
      </c>
      <c r="F72">
        <f>regressions!$V$1*B72</f>
        <v>-5.257117616971009E-2</v>
      </c>
      <c r="G72">
        <f>regressions!$N$1*B72^2</f>
        <v>-7.6236278547527417E-4</v>
      </c>
      <c r="H72">
        <f>regressions!$R$1*B72^2+regressions!$R$2*B72^6</f>
        <v>-8.3035071282495465E-4</v>
      </c>
      <c r="I72">
        <f>regressions!$P$1*B72^2+regressions!$P$2*B72^7</f>
        <v>-8.0331074224691313E-4</v>
      </c>
      <c r="J72">
        <f>regressions!$T$2+regressions!$T$1*EXP(B72)</f>
        <v>-5.3438433676711999E-4</v>
      </c>
      <c r="K72" s="8">
        <f>(1-EXP(-2*regressions!$X$1*B72))/2/EXP(-regressions!$X$1*B72)</f>
        <v>-2.6925342137526748E-2</v>
      </c>
      <c r="M72" s="33">
        <v>6.6145583507941169E-2</v>
      </c>
      <c r="N72">
        <f t="shared" si="21"/>
        <v>-2.5500733668536262E-2</v>
      </c>
      <c r="O72">
        <f>IF($B72&lt;=regressions!$L$2,$B72*regressions!$L$1,regressions!$L$1*regressions!$L$2+regressions!$L$3*($B72-regressions!$L$2))</f>
        <v>-5.2571176021294977E-2</v>
      </c>
      <c r="P72">
        <f>regressions!$J$1*M72+regressions!$J$2*M72^2</f>
        <v>-3.0343813621339241E-2</v>
      </c>
      <c r="Q72">
        <f>regressions!$V$1*M72</f>
        <v>-5.257117616971009E-2</v>
      </c>
      <c r="R72">
        <f>regressions!$N$1*M72^2</f>
        <v>-7.6236278547527417E-4</v>
      </c>
      <c r="S72">
        <f>regressions!$R$1*M72^2+regressions!$R$2*M72^6</f>
        <v>-8.3035071282495465E-4</v>
      </c>
      <c r="T72">
        <f>regressions!$P$1*M72^2+regressions!$P$2*M72^7</f>
        <v>-8.0331074224691313E-4</v>
      </c>
      <c r="U72">
        <f>regressions!$T$2+regressions!$T$1*EXP(M72)</f>
        <v>-5.3438433676711999E-4</v>
      </c>
      <c r="V72" s="8">
        <f>(1-EXP(-2*regressions!$X$1*M72))/2/EXP(-regressions!$X$1*M72)</f>
        <v>-2.6925342137526748E-2</v>
      </c>
      <c r="X72" s="33">
        <v>6.6145583507941169E-2</v>
      </c>
      <c r="Y72">
        <f t="shared" si="22"/>
        <v>-2.5500733668536262E-2</v>
      </c>
      <c r="Z72">
        <f>IF($B72&lt;=regressions!$L$2,$B72*regressions!$L$1,regressions!$L$1*regressions!$L$2+regressions!$L$3*($B72-regressions!$L$2))</f>
        <v>-5.2571176021294977E-2</v>
      </c>
      <c r="AA72">
        <f>regressions!$J$1*X72+regressions!$J$2*X72^2</f>
        <v>-3.0343813621339241E-2</v>
      </c>
      <c r="AB72">
        <f>regressions!$V$1*X72</f>
        <v>-5.257117616971009E-2</v>
      </c>
      <c r="AC72">
        <f>regressions!$N$1*X72^2</f>
        <v>-7.6236278547527417E-4</v>
      </c>
      <c r="AD72">
        <f>regressions!$R$1*X72^2+regressions!$R$2*X72^6</f>
        <v>-8.3035071282495465E-4</v>
      </c>
      <c r="AE72">
        <f>regressions!$P$1*X72^2+regressions!$P$2*X72^7</f>
        <v>-8.0331074224691313E-4</v>
      </c>
      <c r="AF72">
        <f>regressions!$T$2+regressions!$T$1*EXP(X72)</f>
        <v>-5.3438433676711999E-4</v>
      </c>
      <c r="AG72" s="8">
        <f>(1-EXP(-2*regressions!$X$1*X72))/2/EXP(-regressions!$X$1*X72)</f>
        <v>-2.6925342137526748E-2</v>
      </c>
      <c r="AH72" s="8"/>
      <c r="AI72" s="33">
        <v>6.6145583507941169E-2</v>
      </c>
      <c r="AJ72">
        <f t="shared" si="23"/>
        <v>-2.5500733668536262E-2</v>
      </c>
      <c r="AK72">
        <f>IF(AI72&lt;=regressions!$L$2,AI72*regressions!$L$1,regressions!$L$1*regressions!$L$2+regressions!$L$3*(AI72-regressions!$L$2))</f>
        <v>-5.2571176021294977E-2</v>
      </c>
      <c r="AL72">
        <f>regressions!$J$1*AI72+regressions!$J$2*AI72^2</f>
        <v>-3.0343813621339241E-2</v>
      </c>
      <c r="AM72">
        <f>regressions!$V$1*AI72</f>
        <v>-5.257117616971009E-2</v>
      </c>
      <c r="AN72">
        <f>regressions!$N$1*AI72^2</f>
        <v>-7.6236278547527417E-4</v>
      </c>
      <c r="AO72">
        <f>regressions!$R$1*AI72^2+regressions!$R$2*AI72^6</f>
        <v>-8.3035071282495465E-4</v>
      </c>
      <c r="AP72">
        <f>regressions!$P$1*AI72^2+regressions!$P$2*AI72^7</f>
        <v>-8.0331074224691313E-4</v>
      </c>
      <c r="AQ72">
        <f>regressions!$T$2+regressions!$T$1*EXP(AI72)</f>
        <v>-5.3438433676711999E-4</v>
      </c>
      <c r="AR72" s="8">
        <f>(1-EXP(-2*regressions!$X$1*AI72))/2/EXP(-regressions!$X$1*AI72)</f>
        <v>-2.6925342137526748E-2</v>
      </c>
      <c r="AT72" s="33">
        <v>6.6145583507941169E-2</v>
      </c>
      <c r="AU72">
        <f t="shared" si="24"/>
        <v>-2.5500733668536262E-2</v>
      </c>
      <c r="AV72">
        <f>IF(AT72&lt;=regressions!$L$2,AT72*regressions!$L$1,regressions!$L$1*regressions!$L$2+regressions!$L$3*(AT72-regressions!$L$2))</f>
        <v>-5.2571176021294977E-2</v>
      </c>
      <c r="AW72">
        <f>regressions!$J$1*AT72+regressions!$J$2*AT72^2</f>
        <v>-3.0343813621339241E-2</v>
      </c>
      <c r="AX72">
        <f>regressions!$V$1*AT72</f>
        <v>-5.257117616971009E-2</v>
      </c>
      <c r="AY72">
        <f>regressions!$N$1*AT72^2</f>
        <v>-7.6236278547527417E-4</v>
      </c>
      <c r="AZ72">
        <f>regressions!$R$1*AT72^2+regressions!$R$2*AT72^6</f>
        <v>-8.3035071282495465E-4</v>
      </c>
      <c r="BA72">
        <f>regressions!$P$1*AT72^2+regressions!$P$2*AT72^7</f>
        <v>-8.0331074224691313E-4</v>
      </c>
      <c r="BB72">
        <f>regressions!$T$2+regressions!$T$1*EXP(AT72)</f>
        <v>-5.3438433676711999E-4</v>
      </c>
      <c r="BC72" s="8">
        <f>(1-EXP(-2*regressions!$X$1*AT72))/2/EXP(-regressions!$X$1*AT72)</f>
        <v>-2.6925342137526748E-2</v>
      </c>
      <c r="BE72">
        <f t="shared" si="25"/>
        <v>0</v>
      </c>
      <c r="BF72">
        <f t="shared" si="16"/>
        <v>0</v>
      </c>
      <c r="BG72">
        <f t="shared" si="17"/>
        <v>0</v>
      </c>
      <c r="BH72">
        <f>BG72+regressions!$AR$1*(AI72-B72)</f>
        <v>0</v>
      </c>
      <c r="BI72">
        <f>BG72-regressions!$AO$1*(AI72-B72)</f>
        <v>0</v>
      </c>
      <c r="BJ72">
        <f t="shared" si="18"/>
        <v>0</v>
      </c>
      <c r="BK72">
        <f>BJ72+regressions!$AR$1*(AT72-B72)</f>
        <v>0</v>
      </c>
      <c r="BL72">
        <f>BJ72-regressions!$AO$1*(AT72-B72)</f>
        <v>0</v>
      </c>
      <c r="BM72">
        <f t="shared" si="26"/>
        <v>0</v>
      </c>
      <c r="BN72">
        <f t="shared" si="19"/>
        <v>0</v>
      </c>
      <c r="BO72">
        <f t="shared" si="20"/>
        <v>0</v>
      </c>
      <c r="BP72">
        <f t="shared" si="27"/>
        <v>0</v>
      </c>
      <c r="BQ72">
        <f t="shared" si="28"/>
        <v>0</v>
      </c>
      <c r="BR72">
        <f t="shared" si="29"/>
        <v>0</v>
      </c>
    </row>
    <row r="73" spans="1:70" x14ac:dyDescent="0.35">
      <c r="A73">
        <v>1920</v>
      </c>
      <c r="B73" s="33">
        <v>6.8848356260846663E-2</v>
      </c>
      <c r="C73">
        <f t="shared" si="15"/>
        <v>-2.6557711650532917E-2</v>
      </c>
      <c r="D73">
        <f>IF($B73&lt;=regressions!$L$2,$B73*regressions!$L$1,regressions!$L$1*regressions!$L$2+regressions!$L$3*($B73-regressions!$L$2))</f>
        <v>-5.4719285306951158E-2</v>
      </c>
      <c r="E73">
        <f>regressions!$J$1*B73+regressions!$J$2*B73^2</f>
        <v>-3.1598900358816372E-2</v>
      </c>
      <c r="F73">
        <f>regressions!$V$1*B73</f>
        <v>-5.4719285461430657E-2</v>
      </c>
      <c r="G73">
        <f>regressions!$N$1*B73^2</f>
        <v>-8.2593740776900086E-4</v>
      </c>
      <c r="H73">
        <f>regressions!$R$1*B73^2+regressions!$R$2*B73^6</f>
        <v>-8.9959495429717924E-4</v>
      </c>
      <c r="I73">
        <f>regressions!$P$1*B73^2+regressions!$P$2*B73^7</f>
        <v>-8.7030007855089188E-4</v>
      </c>
      <c r="J73">
        <f>regressions!$T$2+regressions!$T$1*EXP(B73)</f>
        <v>-5.5698044224562239E-4</v>
      </c>
      <c r="K73" s="8">
        <f>(1-EXP(-2*regressions!$X$1*B73))/2/EXP(-regressions!$X$1*B73)</f>
        <v>-2.802582006268579E-2</v>
      </c>
      <c r="M73" s="33">
        <v>6.8848356260846663E-2</v>
      </c>
      <c r="N73">
        <f t="shared" si="21"/>
        <v>-2.6557711650532917E-2</v>
      </c>
      <c r="O73">
        <f>IF($B73&lt;=regressions!$L$2,$B73*regressions!$L$1,regressions!$L$1*regressions!$L$2+regressions!$L$3*($B73-regressions!$L$2))</f>
        <v>-5.4719285306951158E-2</v>
      </c>
      <c r="P73">
        <f>regressions!$J$1*M73+regressions!$J$2*M73^2</f>
        <v>-3.1598900358816372E-2</v>
      </c>
      <c r="Q73">
        <f>regressions!$V$1*M73</f>
        <v>-5.4719285461430657E-2</v>
      </c>
      <c r="R73">
        <f>regressions!$N$1*M73^2</f>
        <v>-8.2593740776900086E-4</v>
      </c>
      <c r="S73">
        <f>regressions!$R$1*M73^2+regressions!$R$2*M73^6</f>
        <v>-8.9959495429717924E-4</v>
      </c>
      <c r="T73">
        <f>regressions!$P$1*M73^2+regressions!$P$2*M73^7</f>
        <v>-8.7030007855089188E-4</v>
      </c>
      <c r="U73">
        <f>regressions!$T$2+regressions!$T$1*EXP(M73)</f>
        <v>-5.5698044224562239E-4</v>
      </c>
      <c r="V73" s="8">
        <f>(1-EXP(-2*regressions!$X$1*M73))/2/EXP(-regressions!$X$1*M73)</f>
        <v>-2.802582006268579E-2</v>
      </c>
      <c r="X73" s="33">
        <v>6.8848356260846663E-2</v>
      </c>
      <c r="Y73">
        <f t="shared" si="22"/>
        <v>-2.6557711650532917E-2</v>
      </c>
      <c r="Z73">
        <f>IF($B73&lt;=regressions!$L$2,$B73*regressions!$L$1,regressions!$L$1*regressions!$L$2+regressions!$L$3*($B73-regressions!$L$2))</f>
        <v>-5.4719285306951158E-2</v>
      </c>
      <c r="AA73">
        <f>regressions!$J$1*X73+regressions!$J$2*X73^2</f>
        <v>-3.1598900358816372E-2</v>
      </c>
      <c r="AB73">
        <f>regressions!$V$1*X73</f>
        <v>-5.4719285461430657E-2</v>
      </c>
      <c r="AC73">
        <f>regressions!$N$1*X73^2</f>
        <v>-8.2593740776900086E-4</v>
      </c>
      <c r="AD73">
        <f>regressions!$R$1*X73^2+regressions!$R$2*X73^6</f>
        <v>-8.9959495429717924E-4</v>
      </c>
      <c r="AE73">
        <f>regressions!$P$1*X73^2+regressions!$P$2*X73^7</f>
        <v>-8.7030007855089188E-4</v>
      </c>
      <c r="AF73">
        <f>regressions!$T$2+regressions!$T$1*EXP(X73)</f>
        <v>-5.5698044224562239E-4</v>
      </c>
      <c r="AG73" s="8">
        <f>(1-EXP(-2*regressions!$X$1*X73))/2/EXP(-regressions!$X$1*X73)</f>
        <v>-2.802582006268579E-2</v>
      </c>
      <c r="AH73" s="8"/>
      <c r="AI73" s="33">
        <v>6.8848356260846663E-2</v>
      </c>
      <c r="AJ73">
        <f t="shared" si="23"/>
        <v>-2.6557711650532917E-2</v>
      </c>
      <c r="AK73">
        <f>IF(AI73&lt;=regressions!$L$2,AI73*regressions!$L$1,regressions!$L$1*regressions!$L$2+regressions!$L$3*(AI73-regressions!$L$2))</f>
        <v>-5.4719285306951158E-2</v>
      </c>
      <c r="AL73">
        <f>regressions!$J$1*AI73+regressions!$J$2*AI73^2</f>
        <v>-3.1598900358816372E-2</v>
      </c>
      <c r="AM73">
        <f>regressions!$V$1*AI73</f>
        <v>-5.4719285461430657E-2</v>
      </c>
      <c r="AN73">
        <f>regressions!$N$1*AI73^2</f>
        <v>-8.2593740776900086E-4</v>
      </c>
      <c r="AO73">
        <f>regressions!$R$1*AI73^2+regressions!$R$2*AI73^6</f>
        <v>-8.9959495429717924E-4</v>
      </c>
      <c r="AP73">
        <f>regressions!$P$1*AI73^2+regressions!$P$2*AI73^7</f>
        <v>-8.7030007855089188E-4</v>
      </c>
      <c r="AQ73">
        <f>regressions!$T$2+regressions!$T$1*EXP(AI73)</f>
        <v>-5.5698044224562239E-4</v>
      </c>
      <c r="AR73" s="8">
        <f>(1-EXP(-2*regressions!$X$1*AI73))/2/EXP(-regressions!$X$1*AI73)</f>
        <v>-2.802582006268579E-2</v>
      </c>
      <c r="AT73" s="33">
        <v>6.8848356260846663E-2</v>
      </c>
      <c r="AU73">
        <f t="shared" si="24"/>
        <v>-2.6557711650532917E-2</v>
      </c>
      <c r="AV73">
        <f>IF(AT73&lt;=regressions!$L$2,AT73*regressions!$L$1,regressions!$L$1*regressions!$L$2+regressions!$L$3*(AT73-regressions!$L$2))</f>
        <v>-5.4719285306951158E-2</v>
      </c>
      <c r="AW73">
        <f>regressions!$J$1*AT73+regressions!$J$2*AT73^2</f>
        <v>-3.1598900358816372E-2</v>
      </c>
      <c r="AX73">
        <f>regressions!$V$1*AT73</f>
        <v>-5.4719285461430657E-2</v>
      </c>
      <c r="AY73">
        <f>regressions!$N$1*AT73^2</f>
        <v>-8.2593740776900086E-4</v>
      </c>
      <c r="AZ73">
        <f>regressions!$R$1*AT73^2+regressions!$R$2*AT73^6</f>
        <v>-8.9959495429717924E-4</v>
      </c>
      <c r="BA73">
        <f>regressions!$P$1*AT73^2+regressions!$P$2*AT73^7</f>
        <v>-8.7030007855089188E-4</v>
      </c>
      <c r="BB73">
        <f>regressions!$T$2+regressions!$T$1*EXP(AT73)</f>
        <v>-5.5698044224562239E-4</v>
      </c>
      <c r="BC73" s="8">
        <f>(1-EXP(-2*regressions!$X$1*AT73))/2/EXP(-regressions!$X$1*AT73)</f>
        <v>-2.802582006268579E-2</v>
      </c>
      <c r="BE73">
        <f t="shared" si="25"/>
        <v>0</v>
      </c>
      <c r="BF73">
        <f t="shared" si="16"/>
        <v>0</v>
      </c>
      <c r="BG73">
        <f t="shared" si="17"/>
        <v>0</v>
      </c>
      <c r="BH73">
        <f>BG73+regressions!$AR$1*(AI73-B73)</f>
        <v>0</v>
      </c>
      <c r="BI73">
        <f>BG73-regressions!$AO$1*(AI73-B73)</f>
        <v>0</v>
      </c>
      <c r="BJ73">
        <f t="shared" si="18"/>
        <v>0</v>
      </c>
      <c r="BK73">
        <f>BJ73+regressions!$AR$1*(AT73-B73)</f>
        <v>0</v>
      </c>
      <c r="BL73">
        <f>BJ73-regressions!$AO$1*(AT73-B73)</f>
        <v>0</v>
      </c>
      <c r="BM73">
        <f t="shared" si="26"/>
        <v>0</v>
      </c>
      <c r="BN73">
        <f t="shared" si="19"/>
        <v>0</v>
      </c>
      <c r="BO73">
        <f t="shared" si="20"/>
        <v>0</v>
      </c>
      <c r="BP73">
        <f t="shared" si="27"/>
        <v>0</v>
      </c>
      <c r="BQ73">
        <f t="shared" si="28"/>
        <v>0</v>
      </c>
      <c r="BR73">
        <f t="shared" si="29"/>
        <v>0</v>
      </c>
    </row>
    <row r="74" spans="1:70" x14ac:dyDescent="0.35">
      <c r="A74">
        <v>1921</v>
      </c>
      <c r="B74" s="33">
        <v>7.1615563487529135E-2</v>
      </c>
      <c r="C74">
        <f t="shared" si="15"/>
        <v>-2.7641109856602449E-2</v>
      </c>
      <c r="D74">
        <f>IF($B74&lt;=regressions!$L$2,$B74*regressions!$L$1,regressions!$L$1*regressions!$L$2+regressions!$L$3*($B74-regressions!$L$2))</f>
        <v>-5.691860581311705E-2</v>
      </c>
      <c r="E74">
        <f>regressions!$J$1*B74+regressions!$J$2*B74^2</f>
        <v>-3.288514569860955E-2</v>
      </c>
      <c r="F74">
        <f>regressions!$V$1*B74</f>
        <v>-5.6918605973805513E-2</v>
      </c>
      <c r="G74">
        <f>regressions!$N$1*B74^2</f>
        <v>-8.9366512703876501E-4</v>
      </c>
      <c r="H74">
        <f>regressions!$R$1*B74^2+regressions!$R$2*B74^6</f>
        <v>-9.7336266813260813E-4</v>
      </c>
      <c r="I74">
        <f>regressions!$P$1*B74^2+regressions!$P$2*B74^7</f>
        <v>-9.4166558257662502E-4</v>
      </c>
      <c r="J74">
        <f>regressions!$T$2+regressions!$T$1*EXP(B74)</f>
        <v>-5.8017860237476182E-4</v>
      </c>
      <c r="K74" s="8">
        <f>(1-EXP(-2*regressions!$X$1*B74))/2/EXP(-regressions!$X$1*B74)</f>
        <v>-2.9152568681308021E-2</v>
      </c>
      <c r="M74" s="33">
        <v>7.1615563487529135E-2</v>
      </c>
      <c r="N74">
        <f t="shared" si="21"/>
        <v>-2.7641109856602449E-2</v>
      </c>
      <c r="O74">
        <f>IF($B74&lt;=regressions!$L$2,$B74*regressions!$L$1,regressions!$L$1*regressions!$L$2+regressions!$L$3*($B74-regressions!$L$2))</f>
        <v>-5.691860581311705E-2</v>
      </c>
      <c r="P74">
        <f>regressions!$J$1*M74+regressions!$J$2*M74^2</f>
        <v>-3.288514569860955E-2</v>
      </c>
      <c r="Q74">
        <f>regressions!$V$1*M74</f>
        <v>-5.6918605973805513E-2</v>
      </c>
      <c r="R74">
        <f>regressions!$N$1*M74^2</f>
        <v>-8.9366512703876501E-4</v>
      </c>
      <c r="S74">
        <f>regressions!$R$1*M74^2+regressions!$R$2*M74^6</f>
        <v>-9.7336266813260813E-4</v>
      </c>
      <c r="T74">
        <f>regressions!$P$1*M74^2+regressions!$P$2*M74^7</f>
        <v>-9.4166558257662502E-4</v>
      </c>
      <c r="U74">
        <f>regressions!$T$2+regressions!$T$1*EXP(M74)</f>
        <v>-5.8017860237476182E-4</v>
      </c>
      <c r="V74" s="8">
        <f>(1-EXP(-2*regressions!$X$1*M74))/2/EXP(-regressions!$X$1*M74)</f>
        <v>-2.9152568681308021E-2</v>
      </c>
      <c r="X74" s="33">
        <v>7.1615563487529135E-2</v>
      </c>
      <c r="Y74">
        <f t="shared" si="22"/>
        <v>-2.7641109856602449E-2</v>
      </c>
      <c r="Z74">
        <f>IF($B74&lt;=regressions!$L$2,$B74*regressions!$L$1,regressions!$L$1*regressions!$L$2+regressions!$L$3*($B74-regressions!$L$2))</f>
        <v>-5.691860581311705E-2</v>
      </c>
      <c r="AA74">
        <f>regressions!$J$1*X74+regressions!$J$2*X74^2</f>
        <v>-3.288514569860955E-2</v>
      </c>
      <c r="AB74">
        <f>regressions!$V$1*X74</f>
        <v>-5.6918605973805513E-2</v>
      </c>
      <c r="AC74">
        <f>regressions!$N$1*X74^2</f>
        <v>-8.9366512703876501E-4</v>
      </c>
      <c r="AD74">
        <f>regressions!$R$1*X74^2+regressions!$R$2*X74^6</f>
        <v>-9.7336266813260813E-4</v>
      </c>
      <c r="AE74">
        <f>regressions!$P$1*X74^2+regressions!$P$2*X74^7</f>
        <v>-9.4166558257662502E-4</v>
      </c>
      <c r="AF74">
        <f>regressions!$T$2+regressions!$T$1*EXP(X74)</f>
        <v>-5.8017860237476182E-4</v>
      </c>
      <c r="AG74" s="8">
        <f>(1-EXP(-2*regressions!$X$1*X74))/2/EXP(-regressions!$X$1*X74)</f>
        <v>-2.9152568681308021E-2</v>
      </c>
      <c r="AH74" s="8"/>
      <c r="AI74" s="33">
        <v>7.1615563487529135E-2</v>
      </c>
      <c r="AJ74">
        <f t="shared" si="23"/>
        <v>-2.7641109856602449E-2</v>
      </c>
      <c r="AK74">
        <f>IF(AI74&lt;=regressions!$L$2,AI74*regressions!$L$1,regressions!$L$1*regressions!$L$2+regressions!$L$3*(AI74-regressions!$L$2))</f>
        <v>-5.691860581311705E-2</v>
      </c>
      <c r="AL74">
        <f>regressions!$J$1*AI74+regressions!$J$2*AI74^2</f>
        <v>-3.288514569860955E-2</v>
      </c>
      <c r="AM74">
        <f>regressions!$V$1*AI74</f>
        <v>-5.6918605973805513E-2</v>
      </c>
      <c r="AN74">
        <f>regressions!$N$1*AI74^2</f>
        <v>-8.9366512703876501E-4</v>
      </c>
      <c r="AO74">
        <f>regressions!$R$1*AI74^2+regressions!$R$2*AI74^6</f>
        <v>-9.7336266813260813E-4</v>
      </c>
      <c r="AP74">
        <f>regressions!$P$1*AI74^2+regressions!$P$2*AI74^7</f>
        <v>-9.4166558257662502E-4</v>
      </c>
      <c r="AQ74">
        <f>regressions!$T$2+regressions!$T$1*EXP(AI74)</f>
        <v>-5.8017860237476182E-4</v>
      </c>
      <c r="AR74" s="8">
        <f>(1-EXP(-2*regressions!$X$1*AI74))/2/EXP(-regressions!$X$1*AI74)</f>
        <v>-2.9152568681308021E-2</v>
      </c>
      <c r="AT74" s="33">
        <v>7.1615563487529135E-2</v>
      </c>
      <c r="AU74">
        <f t="shared" si="24"/>
        <v>-2.7641109856602449E-2</v>
      </c>
      <c r="AV74">
        <f>IF(AT74&lt;=regressions!$L$2,AT74*regressions!$L$1,regressions!$L$1*regressions!$L$2+regressions!$L$3*(AT74-regressions!$L$2))</f>
        <v>-5.691860581311705E-2</v>
      </c>
      <c r="AW74">
        <f>regressions!$J$1*AT74+regressions!$J$2*AT74^2</f>
        <v>-3.288514569860955E-2</v>
      </c>
      <c r="AX74">
        <f>regressions!$V$1*AT74</f>
        <v>-5.6918605973805513E-2</v>
      </c>
      <c r="AY74">
        <f>regressions!$N$1*AT74^2</f>
        <v>-8.9366512703876501E-4</v>
      </c>
      <c r="AZ74">
        <f>regressions!$R$1*AT74^2+regressions!$R$2*AT74^6</f>
        <v>-9.7336266813260813E-4</v>
      </c>
      <c r="BA74">
        <f>regressions!$P$1*AT74^2+regressions!$P$2*AT74^7</f>
        <v>-9.4166558257662502E-4</v>
      </c>
      <c r="BB74">
        <f>regressions!$T$2+regressions!$T$1*EXP(AT74)</f>
        <v>-5.8017860237476182E-4</v>
      </c>
      <c r="BC74" s="8">
        <f>(1-EXP(-2*regressions!$X$1*AT74))/2/EXP(-regressions!$X$1*AT74)</f>
        <v>-2.9152568681308021E-2</v>
      </c>
      <c r="BE74">
        <f t="shared" si="25"/>
        <v>0</v>
      </c>
      <c r="BF74">
        <f t="shared" si="16"/>
        <v>0</v>
      </c>
      <c r="BG74">
        <f t="shared" si="17"/>
        <v>0</v>
      </c>
      <c r="BH74">
        <f>BG74+regressions!$AR$1*(AI74-B74)</f>
        <v>0</v>
      </c>
      <c r="BI74">
        <f>BG74-regressions!$AO$1*(AI74-B74)</f>
        <v>0</v>
      </c>
      <c r="BJ74">
        <f t="shared" si="18"/>
        <v>0</v>
      </c>
      <c r="BK74">
        <f>BJ74+regressions!$AR$1*(AT74-B74)</f>
        <v>0</v>
      </c>
      <c r="BL74">
        <f>BJ74-regressions!$AO$1*(AT74-B74)</f>
        <v>0</v>
      </c>
      <c r="BM74">
        <f t="shared" si="26"/>
        <v>0</v>
      </c>
      <c r="BN74">
        <f t="shared" si="19"/>
        <v>0</v>
      </c>
      <c r="BO74">
        <f t="shared" si="20"/>
        <v>0</v>
      </c>
      <c r="BP74">
        <f t="shared" si="27"/>
        <v>0</v>
      </c>
      <c r="BQ74">
        <f t="shared" si="28"/>
        <v>0</v>
      </c>
      <c r="BR74">
        <f t="shared" si="29"/>
        <v>0</v>
      </c>
    </row>
    <row r="75" spans="1:70" x14ac:dyDescent="0.35">
      <c r="A75">
        <v>1922</v>
      </c>
      <c r="B75" s="33">
        <v>7.4408978278973359E-2</v>
      </c>
      <c r="C75">
        <f t="shared" si="15"/>
        <v>-2.8736022652429149E-2</v>
      </c>
      <c r="D75">
        <f>IF($B75&lt;=regressions!$L$2,$B75*regressions!$L$1,regressions!$L$1*regressions!$L$2+regressions!$L$3*($B75-regressions!$L$2))</f>
        <v>-5.9138755563309713E-2</v>
      </c>
      <c r="E75">
        <f>regressions!$J$1*B75+regressions!$J$2*B75^2</f>
        <v>-3.4184842337480655E-2</v>
      </c>
      <c r="F75">
        <f>regressions!$V$1*B75</f>
        <v>-5.9138755730265939E-2</v>
      </c>
      <c r="G75">
        <f>regressions!$N$1*B75^2</f>
        <v>-9.6474084654292892E-4</v>
      </c>
      <c r="H75">
        <f>regressions!$R$1*B75^2+regressions!$R$2*B75^6</f>
        <v>-1.0507769586155789E-3</v>
      </c>
      <c r="I75">
        <f>regressions!$P$1*B75^2+regressions!$P$2*B75^7</f>
        <v>-1.0165589143034445E-3</v>
      </c>
      <c r="J75">
        <f>regressions!$T$2+regressions!$T$1*EXP(B75)</f>
        <v>-6.0366166647278161E-4</v>
      </c>
      <c r="K75" s="8">
        <f>(1-EXP(-2*regressions!$X$1*B75))/2/EXP(-regressions!$X$1*B75)</f>
        <v>-3.0290025981812938E-2</v>
      </c>
      <c r="M75" s="33">
        <v>7.4408978278973359E-2</v>
      </c>
      <c r="N75">
        <f t="shared" si="21"/>
        <v>-2.8736022652429149E-2</v>
      </c>
      <c r="O75">
        <f>IF($B75&lt;=regressions!$L$2,$B75*regressions!$L$1,regressions!$L$1*regressions!$L$2+regressions!$L$3*($B75-regressions!$L$2))</f>
        <v>-5.9138755563309713E-2</v>
      </c>
      <c r="P75">
        <f>regressions!$J$1*M75+regressions!$J$2*M75^2</f>
        <v>-3.4184842337480655E-2</v>
      </c>
      <c r="Q75">
        <f>regressions!$V$1*M75</f>
        <v>-5.9138755730265939E-2</v>
      </c>
      <c r="R75">
        <f>regressions!$N$1*M75^2</f>
        <v>-9.6474084654292892E-4</v>
      </c>
      <c r="S75">
        <f>regressions!$R$1*M75^2+regressions!$R$2*M75^6</f>
        <v>-1.0507769586155789E-3</v>
      </c>
      <c r="T75">
        <f>regressions!$P$1*M75^2+regressions!$P$2*M75^7</f>
        <v>-1.0165589143034445E-3</v>
      </c>
      <c r="U75">
        <f>regressions!$T$2+regressions!$T$1*EXP(M75)</f>
        <v>-6.0366166647278161E-4</v>
      </c>
      <c r="V75" s="8">
        <f>(1-EXP(-2*regressions!$X$1*M75))/2/EXP(-regressions!$X$1*M75)</f>
        <v>-3.0290025981812938E-2</v>
      </c>
      <c r="X75" s="33">
        <v>7.4408978278973359E-2</v>
      </c>
      <c r="Y75">
        <f t="shared" si="22"/>
        <v>-2.8736022652429149E-2</v>
      </c>
      <c r="Z75">
        <f>IF($B75&lt;=regressions!$L$2,$B75*regressions!$L$1,regressions!$L$1*regressions!$L$2+regressions!$L$3*($B75-regressions!$L$2))</f>
        <v>-5.9138755563309713E-2</v>
      </c>
      <c r="AA75">
        <f>regressions!$J$1*X75+regressions!$J$2*X75^2</f>
        <v>-3.4184842337480655E-2</v>
      </c>
      <c r="AB75">
        <f>regressions!$V$1*X75</f>
        <v>-5.9138755730265939E-2</v>
      </c>
      <c r="AC75">
        <f>regressions!$N$1*X75^2</f>
        <v>-9.6474084654292892E-4</v>
      </c>
      <c r="AD75">
        <f>regressions!$R$1*X75^2+regressions!$R$2*X75^6</f>
        <v>-1.0507769586155789E-3</v>
      </c>
      <c r="AE75">
        <f>regressions!$P$1*X75^2+regressions!$P$2*X75^7</f>
        <v>-1.0165589143034445E-3</v>
      </c>
      <c r="AF75">
        <f>regressions!$T$2+regressions!$T$1*EXP(X75)</f>
        <v>-6.0366166647278161E-4</v>
      </c>
      <c r="AG75" s="8">
        <f>(1-EXP(-2*regressions!$X$1*X75))/2/EXP(-regressions!$X$1*X75)</f>
        <v>-3.0290025981812938E-2</v>
      </c>
      <c r="AH75" s="8"/>
      <c r="AI75" s="33">
        <v>7.4408978278973359E-2</v>
      </c>
      <c r="AJ75">
        <f t="shared" si="23"/>
        <v>-2.8736022652429149E-2</v>
      </c>
      <c r="AK75">
        <f>IF(AI75&lt;=regressions!$L$2,AI75*regressions!$L$1,regressions!$L$1*regressions!$L$2+regressions!$L$3*(AI75-regressions!$L$2))</f>
        <v>-5.9138755563309713E-2</v>
      </c>
      <c r="AL75">
        <f>regressions!$J$1*AI75+regressions!$J$2*AI75^2</f>
        <v>-3.4184842337480655E-2</v>
      </c>
      <c r="AM75">
        <f>regressions!$V$1*AI75</f>
        <v>-5.9138755730265939E-2</v>
      </c>
      <c r="AN75">
        <f>regressions!$N$1*AI75^2</f>
        <v>-9.6474084654292892E-4</v>
      </c>
      <c r="AO75">
        <f>regressions!$R$1*AI75^2+regressions!$R$2*AI75^6</f>
        <v>-1.0507769586155789E-3</v>
      </c>
      <c r="AP75">
        <f>regressions!$P$1*AI75^2+regressions!$P$2*AI75^7</f>
        <v>-1.0165589143034445E-3</v>
      </c>
      <c r="AQ75">
        <f>regressions!$T$2+regressions!$T$1*EXP(AI75)</f>
        <v>-6.0366166647278161E-4</v>
      </c>
      <c r="AR75" s="8">
        <f>(1-EXP(-2*regressions!$X$1*AI75))/2/EXP(-regressions!$X$1*AI75)</f>
        <v>-3.0290025981812938E-2</v>
      </c>
      <c r="AT75" s="33">
        <v>7.4408978278973359E-2</v>
      </c>
      <c r="AU75">
        <f t="shared" si="24"/>
        <v>-2.8736022652429149E-2</v>
      </c>
      <c r="AV75">
        <f>IF(AT75&lt;=regressions!$L$2,AT75*regressions!$L$1,regressions!$L$1*regressions!$L$2+regressions!$L$3*(AT75-regressions!$L$2))</f>
        <v>-5.9138755563309713E-2</v>
      </c>
      <c r="AW75">
        <f>regressions!$J$1*AT75+regressions!$J$2*AT75^2</f>
        <v>-3.4184842337480655E-2</v>
      </c>
      <c r="AX75">
        <f>regressions!$V$1*AT75</f>
        <v>-5.9138755730265939E-2</v>
      </c>
      <c r="AY75">
        <f>regressions!$N$1*AT75^2</f>
        <v>-9.6474084654292892E-4</v>
      </c>
      <c r="AZ75">
        <f>regressions!$R$1*AT75^2+regressions!$R$2*AT75^6</f>
        <v>-1.0507769586155789E-3</v>
      </c>
      <c r="BA75">
        <f>regressions!$P$1*AT75^2+regressions!$P$2*AT75^7</f>
        <v>-1.0165589143034445E-3</v>
      </c>
      <c r="BB75">
        <f>regressions!$T$2+regressions!$T$1*EXP(AT75)</f>
        <v>-6.0366166647278161E-4</v>
      </c>
      <c r="BC75" s="8">
        <f>(1-EXP(-2*regressions!$X$1*AT75))/2/EXP(-regressions!$X$1*AT75)</f>
        <v>-3.0290025981812938E-2</v>
      </c>
      <c r="BE75">
        <f t="shared" si="25"/>
        <v>0</v>
      </c>
      <c r="BF75">
        <f t="shared" si="16"/>
        <v>0</v>
      </c>
      <c r="BG75">
        <f t="shared" si="17"/>
        <v>0</v>
      </c>
      <c r="BH75">
        <f>BG75+regressions!$AR$1*(AI75-B75)</f>
        <v>0</v>
      </c>
      <c r="BI75">
        <f>BG75-regressions!$AO$1*(AI75-B75)</f>
        <v>0</v>
      </c>
      <c r="BJ75">
        <f t="shared" si="18"/>
        <v>0</v>
      </c>
      <c r="BK75">
        <f>BJ75+regressions!$AR$1*(AT75-B75)</f>
        <v>0</v>
      </c>
      <c r="BL75">
        <f>BJ75-regressions!$AO$1*(AT75-B75)</f>
        <v>0</v>
      </c>
      <c r="BM75">
        <f t="shared" si="26"/>
        <v>0</v>
      </c>
      <c r="BN75">
        <f t="shared" si="19"/>
        <v>0</v>
      </c>
      <c r="BO75">
        <f t="shared" si="20"/>
        <v>0</v>
      </c>
      <c r="BP75">
        <f t="shared" si="27"/>
        <v>0</v>
      </c>
      <c r="BQ75">
        <f t="shared" si="28"/>
        <v>0</v>
      </c>
      <c r="BR75">
        <f t="shared" si="29"/>
        <v>0</v>
      </c>
    </row>
    <row r="76" spans="1:70" x14ac:dyDescent="0.35">
      <c r="A76">
        <v>1923</v>
      </c>
      <c r="B76" s="33">
        <v>7.7238425583046846E-2</v>
      </c>
      <c r="C76">
        <f t="shared" si="15"/>
        <v>-2.9846343462943646E-2</v>
      </c>
      <c r="D76">
        <f>IF($B76&lt;=regressions!$L$2,$B76*regressions!$L$1,regressions!$L$1*regressions!$L$2+regressions!$L$3*($B76-regressions!$L$2))</f>
        <v>-6.1387543227985279E-2</v>
      </c>
      <c r="E76">
        <f>regressions!$J$1*B76+regressions!$J$2*B76^2</f>
        <v>-3.5502604225913247E-2</v>
      </c>
      <c r="F76">
        <f>regressions!$V$1*B76</f>
        <v>-6.1387543401290122E-2</v>
      </c>
      <c r="G76">
        <f>regressions!$N$1*B76^2</f>
        <v>-1.0395055429311532E-3</v>
      </c>
      <c r="H76">
        <f>regressions!$R$1*B76^2+regressions!$R$2*B76^6</f>
        <v>-1.1322092108639339E-3</v>
      </c>
      <c r="I76">
        <f>regressions!$P$1*B76^2+regressions!$P$2*B76^7</f>
        <v>-1.0953393648859358E-3</v>
      </c>
      <c r="J76">
        <f>regressions!$T$2+regressions!$T$1*EXP(B76)</f>
        <v>-6.2751460768027505E-4</v>
      </c>
      <c r="K76" s="8">
        <f>(1-EXP(-2*regressions!$X$1*B76))/2/EXP(-regressions!$X$1*B76)</f>
        <v>-3.1442195370187463E-2</v>
      </c>
      <c r="M76" s="33">
        <v>7.7238425583046846E-2</v>
      </c>
      <c r="N76">
        <f t="shared" si="21"/>
        <v>-2.9846343462943646E-2</v>
      </c>
      <c r="O76">
        <f>IF($B76&lt;=regressions!$L$2,$B76*regressions!$L$1,regressions!$L$1*regressions!$L$2+regressions!$L$3*($B76-regressions!$L$2))</f>
        <v>-6.1387543227985279E-2</v>
      </c>
      <c r="P76">
        <f>regressions!$J$1*M76+regressions!$J$2*M76^2</f>
        <v>-3.5502604225913247E-2</v>
      </c>
      <c r="Q76">
        <f>regressions!$V$1*M76</f>
        <v>-6.1387543401290122E-2</v>
      </c>
      <c r="R76">
        <f>regressions!$N$1*M76^2</f>
        <v>-1.0395055429311532E-3</v>
      </c>
      <c r="S76">
        <f>regressions!$R$1*M76^2+regressions!$R$2*M76^6</f>
        <v>-1.1322092108639339E-3</v>
      </c>
      <c r="T76">
        <f>regressions!$P$1*M76^2+regressions!$P$2*M76^7</f>
        <v>-1.0953393648859358E-3</v>
      </c>
      <c r="U76">
        <f>regressions!$T$2+regressions!$T$1*EXP(M76)</f>
        <v>-6.2751460768027505E-4</v>
      </c>
      <c r="V76" s="8">
        <f>(1-EXP(-2*regressions!$X$1*M76))/2/EXP(-regressions!$X$1*M76)</f>
        <v>-3.1442195370187463E-2</v>
      </c>
      <c r="X76" s="33">
        <v>7.7238425583046846E-2</v>
      </c>
      <c r="Y76">
        <f t="shared" si="22"/>
        <v>-2.9846343462943646E-2</v>
      </c>
      <c r="Z76">
        <f>IF($B76&lt;=regressions!$L$2,$B76*regressions!$L$1,regressions!$L$1*regressions!$L$2+regressions!$L$3*($B76-regressions!$L$2))</f>
        <v>-6.1387543227985279E-2</v>
      </c>
      <c r="AA76">
        <f>regressions!$J$1*X76+regressions!$J$2*X76^2</f>
        <v>-3.5502604225913247E-2</v>
      </c>
      <c r="AB76">
        <f>regressions!$V$1*X76</f>
        <v>-6.1387543401290122E-2</v>
      </c>
      <c r="AC76">
        <f>regressions!$N$1*X76^2</f>
        <v>-1.0395055429311532E-3</v>
      </c>
      <c r="AD76">
        <f>regressions!$R$1*X76^2+regressions!$R$2*X76^6</f>
        <v>-1.1322092108639339E-3</v>
      </c>
      <c r="AE76">
        <f>regressions!$P$1*X76^2+regressions!$P$2*X76^7</f>
        <v>-1.0953393648859358E-3</v>
      </c>
      <c r="AF76">
        <f>regressions!$T$2+regressions!$T$1*EXP(X76)</f>
        <v>-6.2751460768027505E-4</v>
      </c>
      <c r="AG76" s="8">
        <f>(1-EXP(-2*regressions!$X$1*X76))/2/EXP(-regressions!$X$1*X76)</f>
        <v>-3.1442195370187463E-2</v>
      </c>
      <c r="AH76" s="8"/>
      <c r="AI76" s="33">
        <v>7.7238425583046846E-2</v>
      </c>
      <c r="AJ76">
        <f t="shared" si="23"/>
        <v>-2.9846343462943646E-2</v>
      </c>
      <c r="AK76">
        <f>IF(AI76&lt;=regressions!$L$2,AI76*regressions!$L$1,regressions!$L$1*regressions!$L$2+regressions!$L$3*(AI76-regressions!$L$2))</f>
        <v>-6.1387543227985279E-2</v>
      </c>
      <c r="AL76">
        <f>regressions!$J$1*AI76+regressions!$J$2*AI76^2</f>
        <v>-3.5502604225913247E-2</v>
      </c>
      <c r="AM76">
        <f>regressions!$V$1*AI76</f>
        <v>-6.1387543401290122E-2</v>
      </c>
      <c r="AN76">
        <f>regressions!$N$1*AI76^2</f>
        <v>-1.0395055429311532E-3</v>
      </c>
      <c r="AO76">
        <f>regressions!$R$1*AI76^2+regressions!$R$2*AI76^6</f>
        <v>-1.1322092108639339E-3</v>
      </c>
      <c r="AP76">
        <f>regressions!$P$1*AI76^2+regressions!$P$2*AI76^7</f>
        <v>-1.0953393648859358E-3</v>
      </c>
      <c r="AQ76">
        <f>regressions!$T$2+regressions!$T$1*EXP(AI76)</f>
        <v>-6.2751460768027505E-4</v>
      </c>
      <c r="AR76" s="8">
        <f>(1-EXP(-2*regressions!$X$1*AI76))/2/EXP(-regressions!$X$1*AI76)</f>
        <v>-3.1442195370187463E-2</v>
      </c>
      <c r="AT76" s="33">
        <v>7.7238425583046846E-2</v>
      </c>
      <c r="AU76">
        <f t="shared" si="24"/>
        <v>-2.9846343462943646E-2</v>
      </c>
      <c r="AV76">
        <f>IF(AT76&lt;=regressions!$L$2,AT76*regressions!$L$1,regressions!$L$1*regressions!$L$2+regressions!$L$3*(AT76-regressions!$L$2))</f>
        <v>-6.1387543227985279E-2</v>
      </c>
      <c r="AW76">
        <f>regressions!$J$1*AT76+regressions!$J$2*AT76^2</f>
        <v>-3.5502604225913247E-2</v>
      </c>
      <c r="AX76">
        <f>regressions!$V$1*AT76</f>
        <v>-6.1387543401290122E-2</v>
      </c>
      <c r="AY76">
        <f>regressions!$N$1*AT76^2</f>
        <v>-1.0395055429311532E-3</v>
      </c>
      <c r="AZ76">
        <f>regressions!$R$1*AT76^2+regressions!$R$2*AT76^6</f>
        <v>-1.1322092108639339E-3</v>
      </c>
      <c r="BA76">
        <f>regressions!$P$1*AT76^2+regressions!$P$2*AT76^7</f>
        <v>-1.0953393648859358E-3</v>
      </c>
      <c r="BB76">
        <f>regressions!$T$2+regressions!$T$1*EXP(AT76)</f>
        <v>-6.2751460768027505E-4</v>
      </c>
      <c r="BC76" s="8">
        <f>(1-EXP(-2*regressions!$X$1*AT76))/2/EXP(-regressions!$X$1*AT76)</f>
        <v>-3.1442195370187463E-2</v>
      </c>
      <c r="BE76">
        <f t="shared" si="25"/>
        <v>0</v>
      </c>
      <c r="BF76">
        <f t="shared" si="16"/>
        <v>0</v>
      </c>
      <c r="BG76">
        <f t="shared" si="17"/>
        <v>0</v>
      </c>
      <c r="BH76">
        <f>BG76+regressions!$AR$1*(AI76-B76)</f>
        <v>0</v>
      </c>
      <c r="BI76">
        <f>BG76-regressions!$AO$1*(AI76-B76)</f>
        <v>0</v>
      </c>
      <c r="BJ76">
        <f t="shared" si="18"/>
        <v>0</v>
      </c>
      <c r="BK76">
        <f>BJ76+regressions!$AR$1*(AT76-B76)</f>
        <v>0</v>
      </c>
      <c r="BL76">
        <f>BJ76-regressions!$AO$1*(AT76-B76)</f>
        <v>0</v>
      </c>
      <c r="BM76">
        <f t="shared" si="26"/>
        <v>0</v>
      </c>
      <c r="BN76">
        <f t="shared" si="19"/>
        <v>0</v>
      </c>
      <c r="BO76">
        <f t="shared" si="20"/>
        <v>0</v>
      </c>
      <c r="BP76">
        <f t="shared" si="27"/>
        <v>0</v>
      </c>
      <c r="BQ76">
        <f t="shared" si="28"/>
        <v>0</v>
      </c>
      <c r="BR76">
        <f t="shared" si="29"/>
        <v>0</v>
      </c>
    </row>
    <row r="77" spans="1:70" x14ac:dyDescent="0.35">
      <c r="A77">
        <v>1924</v>
      </c>
      <c r="B77" s="33">
        <v>8.0133954235709098E-2</v>
      </c>
      <c r="C77">
        <f t="shared" si="15"/>
        <v>-3.0983934448822484E-2</v>
      </c>
      <c r="D77">
        <f>IF($B77&lt;=regressions!$L$2,$B77*regressions!$L$1,regressions!$L$1*regressions!$L$2+regressions!$L$3*($B77-regressions!$L$2))</f>
        <v>-6.3688851016063613E-2</v>
      </c>
      <c r="E77">
        <f>regressions!$J$1*B77+regressions!$J$2*B77^2</f>
        <v>-3.685249713972677E-2</v>
      </c>
      <c r="F77">
        <f>regressions!$V$1*B77</f>
        <v>-6.3688851195865329E-2</v>
      </c>
      <c r="G77">
        <f>regressions!$N$1*B77^2</f>
        <v>-1.118904786226643E-3</v>
      </c>
      <c r="H77">
        <f>regressions!$R$1*B77^2+regressions!$R$2*B77^6</f>
        <v>-1.2186893213273866E-3</v>
      </c>
      <c r="I77">
        <f>regressions!$P$1*B77^2+regressions!$P$2*B77^7</f>
        <v>-1.1790032927134111E-3</v>
      </c>
      <c r="J77">
        <f>regressions!$T$2+regressions!$T$1*EXP(B77)</f>
        <v>-6.5199460490051112E-4</v>
      </c>
      <c r="K77" s="8">
        <f>(1-EXP(-2*regressions!$X$1*B77))/2/EXP(-regressions!$X$1*B77)</f>
        <v>-3.2621316698643266E-2</v>
      </c>
      <c r="M77" s="33">
        <v>8.0133954235709098E-2</v>
      </c>
      <c r="N77">
        <f t="shared" si="21"/>
        <v>-3.0983934448822484E-2</v>
      </c>
      <c r="O77">
        <f>IF($B77&lt;=regressions!$L$2,$B77*regressions!$L$1,regressions!$L$1*regressions!$L$2+regressions!$L$3*($B77-regressions!$L$2))</f>
        <v>-6.3688851016063613E-2</v>
      </c>
      <c r="P77">
        <f>regressions!$J$1*M77+regressions!$J$2*M77^2</f>
        <v>-3.685249713972677E-2</v>
      </c>
      <c r="Q77">
        <f>regressions!$V$1*M77</f>
        <v>-6.3688851195865329E-2</v>
      </c>
      <c r="R77">
        <f>regressions!$N$1*M77^2</f>
        <v>-1.118904786226643E-3</v>
      </c>
      <c r="S77">
        <f>regressions!$R$1*M77^2+regressions!$R$2*M77^6</f>
        <v>-1.2186893213273866E-3</v>
      </c>
      <c r="T77">
        <f>regressions!$P$1*M77^2+regressions!$P$2*M77^7</f>
        <v>-1.1790032927134111E-3</v>
      </c>
      <c r="U77">
        <f>regressions!$T$2+regressions!$T$1*EXP(M77)</f>
        <v>-6.5199460490051112E-4</v>
      </c>
      <c r="V77" s="8">
        <f>(1-EXP(-2*regressions!$X$1*M77))/2/EXP(-regressions!$X$1*M77)</f>
        <v>-3.2621316698643266E-2</v>
      </c>
      <c r="X77" s="33">
        <v>8.0133954235709098E-2</v>
      </c>
      <c r="Y77">
        <f t="shared" si="22"/>
        <v>-3.0983934448822484E-2</v>
      </c>
      <c r="Z77">
        <f>IF($B77&lt;=regressions!$L$2,$B77*regressions!$L$1,regressions!$L$1*regressions!$L$2+regressions!$L$3*($B77-regressions!$L$2))</f>
        <v>-6.3688851016063613E-2</v>
      </c>
      <c r="AA77">
        <f>regressions!$J$1*X77+regressions!$J$2*X77^2</f>
        <v>-3.685249713972677E-2</v>
      </c>
      <c r="AB77">
        <f>regressions!$V$1*X77</f>
        <v>-6.3688851195865329E-2</v>
      </c>
      <c r="AC77">
        <f>regressions!$N$1*X77^2</f>
        <v>-1.118904786226643E-3</v>
      </c>
      <c r="AD77">
        <f>regressions!$R$1*X77^2+regressions!$R$2*X77^6</f>
        <v>-1.2186893213273866E-3</v>
      </c>
      <c r="AE77">
        <f>regressions!$P$1*X77^2+regressions!$P$2*X77^7</f>
        <v>-1.1790032927134111E-3</v>
      </c>
      <c r="AF77">
        <f>regressions!$T$2+regressions!$T$1*EXP(X77)</f>
        <v>-6.5199460490051112E-4</v>
      </c>
      <c r="AG77" s="8">
        <f>(1-EXP(-2*regressions!$X$1*X77))/2/EXP(-regressions!$X$1*X77)</f>
        <v>-3.2621316698643266E-2</v>
      </c>
      <c r="AH77" s="8"/>
      <c r="AI77" s="33">
        <v>8.0133954235709098E-2</v>
      </c>
      <c r="AJ77">
        <f t="shared" si="23"/>
        <v>-3.0983934448822484E-2</v>
      </c>
      <c r="AK77">
        <f>IF(AI77&lt;=regressions!$L$2,AI77*regressions!$L$1,regressions!$L$1*regressions!$L$2+regressions!$L$3*(AI77-regressions!$L$2))</f>
        <v>-6.3688851016063613E-2</v>
      </c>
      <c r="AL77">
        <f>regressions!$J$1*AI77+regressions!$J$2*AI77^2</f>
        <v>-3.685249713972677E-2</v>
      </c>
      <c r="AM77">
        <f>regressions!$V$1*AI77</f>
        <v>-6.3688851195865329E-2</v>
      </c>
      <c r="AN77">
        <f>regressions!$N$1*AI77^2</f>
        <v>-1.118904786226643E-3</v>
      </c>
      <c r="AO77">
        <f>regressions!$R$1*AI77^2+regressions!$R$2*AI77^6</f>
        <v>-1.2186893213273866E-3</v>
      </c>
      <c r="AP77">
        <f>regressions!$P$1*AI77^2+regressions!$P$2*AI77^7</f>
        <v>-1.1790032927134111E-3</v>
      </c>
      <c r="AQ77">
        <f>regressions!$T$2+regressions!$T$1*EXP(AI77)</f>
        <v>-6.5199460490051112E-4</v>
      </c>
      <c r="AR77" s="8">
        <f>(1-EXP(-2*regressions!$X$1*AI77))/2/EXP(-regressions!$X$1*AI77)</f>
        <v>-3.2621316698643266E-2</v>
      </c>
      <c r="AT77" s="33">
        <v>8.0133954235709098E-2</v>
      </c>
      <c r="AU77">
        <f t="shared" si="24"/>
        <v>-3.0983934448822484E-2</v>
      </c>
      <c r="AV77">
        <f>IF(AT77&lt;=regressions!$L$2,AT77*regressions!$L$1,regressions!$L$1*regressions!$L$2+regressions!$L$3*(AT77-regressions!$L$2))</f>
        <v>-6.3688851016063613E-2</v>
      </c>
      <c r="AW77">
        <f>regressions!$J$1*AT77+regressions!$J$2*AT77^2</f>
        <v>-3.685249713972677E-2</v>
      </c>
      <c r="AX77">
        <f>regressions!$V$1*AT77</f>
        <v>-6.3688851195865329E-2</v>
      </c>
      <c r="AY77">
        <f>regressions!$N$1*AT77^2</f>
        <v>-1.118904786226643E-3</v>
      </c>
      <c r="AZ77">
        <f>regressions!$R$1*AT77^2+regressions!$R$2*AT77^6</f>
        <v>-1.2186893213273866E-3</v>
      </c>
      <c r="BA77">
        <f>regressions!$P$1*AT77^2+regressions!$P$2*AT77^7</f>
        <v>-1.1790032927134111E-3</v>
      </c>
      <c r="BB77">
        <f>regressions!$T$2+regressions!$T$1*EXP(AT77)</f>
        <v>-6.5199460490051112E-4</v>
      </c>
      <c r="BC77" s="8">
        <f>(1-EXP(-2*regressions!$X$1*AT77))/2/EXP(-regressions!$X$1*AT77)</f>
        <v>-3.2621316698643266E-2</v>
      </c>
      <c r="BE77">
        <f t="shared" si="25"/>
        <v>0</v>
      </c>
      <c r="BF77">
        <f t="shared" si="16"/>
        <v>0</v>
      </c>
      <c r="BG77">
        <f t="shared" si="17"/>
        <v>0</v>
      </c>
      <c r="BH77">
        <f>BG77+regressions!$AR$1*(AI77-B77)</f>
        <v>0</v>
      </c>
      <c r="BI77">
        <f>BG77-regressions!$AO$1*(AI77-B77)</f>
        <v>0</v>
      </c>
      <c r="BJ77">
        <f t="shared" si="18"/>
        <v>0</v>
      </c>
      <c r="BK77">
        <f>BJ77+regressions!$AR$1*(AT77-B77)</f>
        <v>0</v>
      </c>
      <c r="BL77">
        <f>BJ77-regressions!$AO$1*(AT77-B77)</f>
        <v>0</v>
      </c>
      <c r="BM77">
        <f t="shared" si="26"/>
        <v>0</v>
      </c>
      <c r="BN77">
        <f t="shared" si="19"/>
        <v>0</v>
      </c>
      <c r="BO77">
        <f t="shared" si="20"/>
        <v>0</v>
      </c>
      <c r="BP77">
        <f t="shared" si="27"/>
        <v>0</v>
      </c>
      <c r="BQ77">
        <f t="shared" si="28"/>
        <v>0</v>
      </c>
      <c r="BR77">
        <f t="shared" si="29"/>
        <v>0</v>
      </c>
    </row>
    <row r="78" spans="1:70" x14ac:dyDescent="0.35">
      <c r="A78">
        <v>1925</v>
      </c>
      <c r="B78" s="33">
        <v>8.3088389618400732E-2</v>
      </c>
      <c r="C78">
        <f t="shared" si="15"/>
        <v>-3.2146064762613086E-2</v>
      </c>
      <c r="D78">
        <f>IF($B78&lt;=regressions!$L$2,$B78*regressions!$L$1,regressions!$L$1*regressions!$L$2+regressions!$L$3*($B78-regressions!$L$2))</f>
        <v>-6.6036976685381762E-2</v>
      </c>
      <c r="E78">
        <f>regressions!$J$1*B78+regressions!$J$2*B78^2</f>
        <v>-3.823126494423975E-2</v>
      </c>
      <c r="F78">
        <f>regressions!$V$1*B78</f>
        <v>-6.6036976871812536E-2</v>
      </c>
      <c r="G78">
        <f>regressions!$N$1*B78^2</f>
        <v>-1.2029308636808799E-3</v>
      </c>
      <c r="H78">
        <f>regressions!$R$1*B78^2+regressions!$R$2*B78^6</f>
        <v>-1.3102088894092229E-3</v>
      </c>
      <c r="I78">
        <f>regressions!$P$1*B78^2+regressions!$P$2*B78^7</f>
        <v>-1.2675425707706946E-3</v>
      </c>
      <c r="J78">
        <f>regressions!$T$2+regressions!$T$1*EXP(B78)</f>
        <v>-6.7704579155896533E-4</v>
      </c>
      <c r="K78" s="8">
        <f>(1-EXP(-2*regressions!$X$1*B78))/2/EXP(-regressions!$X$1*B78)</f>
        <v>-3.3824472821392199E-2</v>
      </c>
      <c r="M78" s="33">
        <v>8.3088389618400732E-2</v>
      </c>
      <c r="N78">
        <f t="shared" si="21"/>
        <v>-3.2146064762613086E-2</v>
      </c>
      <c r="O78">
        <f>IF($B78&lt;=regressions!$L$2,$B78*regressions!$L$1,regressions!$L$1*regressions!$L$2+regressions!$L$3*($B78-regressions!$L$2))</f>
        <v>-6.6036976685381762E-2</v>
      </c>
      <c r="P78">
        <f>regressions!$J$1*M78+regressions!$J$2*M78^2</f>
        <v>-3.823126494423975E-2</v>
      </c>
      <c r="Q78">
        <f>regressions!$V$1*M78</f>
        <v>-6.6036976871812536E-2</v>
      </c>
      <c r="R78">
        <f>regressions!$N$1*M78^2</f>
        <v>-1.2029308636808799E-3</v>
      </c>
      <c r="S78">
        <f>regressions!$R$1*M78^2+regressions!$R$2*M78^6</f>
        <v>-1.3102088894092229E-3</v>
      </c>
      <c r="T78">
        <f>regressions!$P$1*M78^2+regressions!$P$2*M78^7</f>
        <v>-1.2675425707706946E-3</v>
      </c>
      <c r="U78">
        <f>regressions!$T$2+regressions!$T$1*EXP(M78)</f>
        <v>-6.7704579155896533E-4</v>
      </c>
      <c r="V78" s="8">
        <f>(1-EXP(-2*regressions!$X$1*M78))/2/EXP(-regressions!$X$1*M78)</f>
        <v>-3.3824472821392199E-2</v>
      </c>
      <c r="X78" s="33">
        <v>8.3088389618400732E-2</v>
      </c>
      <c r="Y78">
        <f t="shared" si="22"/>
        <v>-3.2146064762613086E-2</v>
      </c>
      <c r="Z78">
        <f>IF($B78&lt;=regressions!$L$2,$B78*regressions!$L$1,regressions!$L$1*regressions!$L$2+regressions!$L$3*($B78-regressions!$L$2))</f>
        <v>-6.6036976685381762E-2</v>
      </c>
      <c r="AA78">
        <f>regressions!$J$1*X78+regressions!$J$2*X78^2</f>
        <v>-3.823126494423975E-2</v>
      </c>
      <c r="AB78">
        <f>regressions!$V$1*X78</f>
        <v>-6.6036976871812536E-2</v>
      </c>
      <c r="AC78">
        <f>regressions!$N$1*X78^2</f>
        <v>-1.2029308636808799E-3</v>
      </c>
      <c r="AD78">
        <f>regressions!$R$1*X78^2+regressions!$R$2*X78^6</f>
        <v>-1.3102088894092229E-3</v>
      </c>
      <c r="AE78">
        <f>regressions!$P$1*X78^2+regressions!$P$2*X78^7</f>
        <v>-1.2675425707706946E-3</v>
      </c>
      <c r="AF78">
        <f>regressions!$T$2+regressions!$T$1*EXP(X78)</f>
        <v>-6.7704579155896533E-4</v>
      </c>
      <c r="AG78" s="8">
        <f>(1-EXP(-2*regressions!$X$1*X78))/2/EXP(-regressions!$X$1*X78)</f>
        <v>-3.3824472821392199E-2</v>
      </c>
      <c r="AH78" s="8"/>
      <c r="AI78" s="33">
        <v>8.3088389618400732E-2</v>
      </c>
      <c r="AJ78">
        <f t="shared" si="23"/>
        <v>-3.2146064762613086E-2</v>
      </c>
      <c r="AK78">
        <f>IF(AI78&lt;=regressions!$L$2,AI78*regressions!$L$1,regressions!$L$1*regressions!$L$2+regressions!$L$3*(AI78-regressions!$L$2))</f>
        <v>-6.6036976685381762E-2</v>
      </c>
      <c r="AL78">
        <f>regressions!$J$1*AI78+regressions!$J$2*AI78^2</f>
        <v>-3.823126494423975E-2</v>
      </c>
      <c r="AM78">
        <f>regressions!$V$1*AI78</f>
        <v>-6.6036976871812536E-2</v>
      </c>
      <c r="AN78">
        <f>regressions!$N$1*AI78^2</f>
        <v>-1.2029308636808799E-3</v>
      </c>
      <c r="AO78">
        <f>regressions!$R$1*AI78^2+regressions!$R$2*AI78^6</f>
        <v>-1.3102088894092229E-3</v>
      </c>
      <c r="AP78">
        <f>regressions!$P$1*AI78^2+regressions!$P$2*AI78^7</f>
        <v>-1.2675425707706946E-3</v>
      </c>
      <c r="AQ78">
        <f>regressions!$T$2+regressions!$T$1*EXP(AI78)</f>
        <v>-6.7704579155896533E-4</v>
      </c>
      <c r="AR78" s="8">
        <f>(1-EXP(-2*regressions!$X$1*AI78))/2/EXP(-regressions!$X$1*AI78)</f>
        <v>-3.3824472821392199E-2</v>
      </c>
      <c r="AT78" s="33">
        <v>8.3088389618400732E-2</v>
      </c>
      <c r="AU78">
        <f t="shared" si="24"/>
        <v>-3.2146064762613086E-2</v>
      </c>
      <c r="AV78">
        <f>IF(AT78&lt;=regressions!$L$2,AT78*regressions!$L$1,regressions!$L$1*regressions!$L$2+regressions!$L$3*(AT78-regressions!$L$2))</f>
        <v>-6.6036976685381762E-2</v>
      </c>
      <c r="AW78">
        <f>regressions!$J$1*AT78+regressions!$J$2*AT78^2</f>
        <v>-3.823126494423975E-2</v>
      </c>
      <c r="AX78">
        <f>regressions!$V$1*AT78</f>
        <v>-6.6036976871812536E-2</v>
      </c>
      <c r="AY78">
        <f>regressions!$N$1*AT78^2</f>
        <v>-1.2029308636808799E-3</v>
      </c>
      <c r="AZ78">
        <f>regressions!$R$1*AT78^2+regressions!$R$2*AT78^6</f>
        <v>-1.3102088894092229E-3</v>
      </c>
      <c r="BA78">
        <f>regressions!$P$1*AT78^2+regressions!$P$2*AT78^7</f>
        <v>-1.2675425707706946E-3</v>
      </c>
      <c r="BB78">
        <f>regressions!$T$2+regressions!$T$1*EXP(AT78)</f>
        <v>-6.7704579155896533E-4</v>
      </c>
      <c r="BC78" s="8">
        <f>(1-EXP(-2*regressions!$X$1*AT78))/2/EXP(-regressions!$X$1*AT78)</f>
        <v>-3.3824472821392199E-2</v>
      </c>
      <c r="BE78">
        <f t="shared" si="25"/>
        <v>0</v>
      </c>
      <c r="BF78">
        <f t="shared" si="16"/>
        <v>0</v>
      </c>
      <c r="BG78">
        <f t="shared" si="17"/>
        <v>0</v>
      </c>
      <c r="BH78">
        <f>BG78+regressions!$AR$1*(AI78-B78)</f>
        <v>0</v>
      </c>
      <c r="BI78">
        <f>BG78-regressions!$AO$1*(AI78-B78)</f>
        <v>0</v>
      </c>
      <c r="BJ78">
        <f t="shared" si="18"/>
        <v>0</v>
      </c>
      <c r="BK78">
        <f>BJ78+regressions!$AR$1*(AT78-B78)</f>
        <v>0</v>
      </c>
      <c r="BL78">
        <f>BJ78-regressions!$AO$1*(AT78-B78)</f>
        <v>0</v>
      </c>
      <c r="BM78">
        <f t="shared" si="26"/>
        <v>0</v>
      </c>
      <c r="BN78">
        <f t="shared" si="19"/>
        <v>0</v>
      </c>
      <c r="BO78">
        <f t="shared" si="20"/>
        <v>0</v>
      </c>
      <c r="BP78">
        <f t="shared" si="27"/>
        <v>0</v>
      </c>
      <c r="BQ78">
        <f t="shared" si="28"/>
        <v>0</v>
      </c>
      <c r="BR78">
        <f t="shared" si="29"/>
        <v>0</v>
      </c>
    </row>
    <row r="79" spans="1:70" x14ac:dyDescent="0.35">
      <c r="A79">
        <v>1926</v>
      </c>
      <c r="B79" s="33">
        <v>8.610037659936258E-2</v>
      </c>
      <c r="C79">
        <f t="shared" si="15"/>
        <v>-3.3332285041119056E-2</v>
      </c>
      <c r="D79">
        <f>IF($B79&lt;=regressions!$L$2,$B79*regressions!$L$1,regressions!$L$1*regressions!$L$2+regressions!$L$3*($B79-regressions!$L$2))</f>
        <v>-6.8430843204542235E-2</v>
      </c>
      <c r="E79">
        <f>regressions!$J$1*B79+regressions!$J$2*B79^2</f>
        <v>-3.9638359582993353E-2</v>
      </c>
      <c r="F79">
        <f>regressions!$V$1*B79</f>
        <v>-6.8430843397731214E-2</v>
      </c>
      <c r="G79">
        <f>regressions!$N$1*B79^2</f>
        <v>-1.29172506352192E-3</v>
      </c>
      <c r="H79">
        <f>regressions!$R$1*B79^2+regressions!$R$2*B79^6</f>
        <v>-1.4069218034727866E-3</v>
      </c>
      <c r="I79">
        <f>regressions!$P$1*B79^2+regressions!$P$2*B79^7</f>
        <v>-1.3611060761452767E-3</v>
      </c>
      <c r="J79">
        <f>regressions!$T$2+regressions!$T$1*EXP(B79)</f>
        <v>-7.0266127140633516E-4</v>
      </c>
      <c r="K79" s="8">
        <f>(1-EXP(-2*regressions!$X$1*B79))/2/EXP(-regressions!$X$1*B79)</f>
        <v>-3.5051116458243485E-2</v>
      </c>
      <c r="M79" s="33">
        <v>8.610037659936258E-2</v>
      </c>
      <c r="N79">
        <f t="shared" si="21"/>
        <v>-3.3332285041119056E-2</v>
      </c>
      <c r="O79">
        <f>IF($B79&lt;=regressions!$L$2,$B79*regressions!$L$1,regressions!$L$1*regressions!$L$2+regressions!$L$3*($B79-regressions!$L$2))</f>
        <v>-6.8430843204542235E-2</v>
      </c>
      <c r="P79">
        <f>regressions!$J$1*M79+regressions!$J$2*M79^2</f>
        <v>-3.9638359582993353E-2</v>
      </c>
      <c r="Q79">
        <f>regressions!$V$1*M79</f>
        <v>-6.8430843397731214E-2</v>
      </c>
      <c r="R79">
        <f>regressions!$N$1*M79^2</f>
        <v>-1.29172506352192E-3</v>
      </c>
      <c r="S79">
        <f>regressions!$R$1*M79^2+regressions!$R$2*M79^6</f>
        <v>-1.4069218034727866E-3</v>
      </c>
      <c r="T79">
        <f>regressions!$P$1*M79^2+regressions!$P$2*M79^7</f>
        <v>-1.3611060761452767E-3</v>
      </c>
      <c r="U79">
        <f>regressions!$T$2+regressions!$T$1*EXP(M79)</f>
        <v>-7.0266127140633516E-4</v>
      </c>
      <c r="V79" s="8">
        <f>(1-EXP(-2*regressions!$X$1*M79))/2/EXP(-regressions!$X$1*M79)</f>
        <v>-3.5051116458243485E-2</v>
      </c>
      <c r="X79" s="33">
        <v>8.610037659936258E-2</v>
      </c>
      <c r="Y79">
        <f t="shared" si="22"/>
        <v>-3.3332285041119056E-2</v>
      </c>
      <c r="Z79">
        <f>IF($B79&lt;=regressions!$L$2,$B79*regressions!$L$1,regressions!$L$1*regressions!$L$2+regressions!$L$3*($B79-regressions!$L$2))</f>
        <v>-6.8430843204542235E-2</v>
      </c>
      <c r="AA79">
        <f>regressions!$J$1*X79+regressions!$J$2*X79^2</f>
        <v>-3.9638359582993353E-2</v>
      </c>
      <c r="AB79">
        <f>regressions!$V$1*X79</f>
        <v>-6.8430843397731214E-2</v>
      </c>
      <c r="AC79">
        <f>regressions!$N$1*X79^2</f>
        <v>-1.29172506352192E-3</v>
      </c>
      <c r="AD79">
        <f>regressions!$R$1*X79^2+regressions!$R$2*X79^6</f>
        <v>-1.4069218034727866E-3</v>
      </c>
      <c r="AE79">
        <f>regressions!$P$1*X79^2+regressions!$P$2*X79^7</f>
        <v>-1.3611060761452767E-3</v>
      </c>
      <c r="AF79">
        <f>regressions!$T$2+regressions!$T$1*EXP(X79)</f>
        <v>-7.0266127140633516E-4</v>
      </c>
      <c r="AG79" s="8">
        <f>(1-EXP(-2*regressions!$X$1*X79))/2/EXP(-regressions!$X$1*X79)</f>
        <v>-3.5051116458243485E-2</v>
      </c>
      <c r="AH79" s="8"/>
      <c r="AI79" s="33">
        <v>8.610037659936258E-2</v>
      </c>
      <c r="AJ79">
        <f t="shared" si="23"/>
        <v>-3.3332285041119056E-2</v>
      </c>
      <c r="AK79">
        <f>IF(AI79&lt;=regressions!$L$2,AI79*regressions!$L$1,regressions!$L$1*regressions!$L$2+regressions!$L$3*(AI79-regressions!$L$2))</f>
        <v>-6.8430843204542235E-2</v>
      </c>
      <c r="AL79">
        <f>regressions!$J$1*AI79+regressions!$J$2*AI79^2</f>
        <v>-3.9638359582993353E-2</v>
      </c>
      <c r="AM79">
        <f>regressions!$V$1*AI79</f>
        <v>-6.8430843397731214E-2</v>
      </c>
      <c r="AN79">
        <f>regressions!$N$1*AI79^2</f>
        <v>-1.29172506352192E-3</v>
      </c>
      <c r="AO79">
        <f>regressions!$R$1*AI79^2+regressions!$R$2*AI79^6</f>
        <v>-1.4069218034727866E-3</v>
      </c>
      <c r="AP79">
        <f>regressions!$P$1*AI79^2+regressions!$P$2*AI79^7</f>
        <v>-1.3611060761452767E-3</v>
      </c>
      <c r="AQ79">
        <f>regressions!$T$2+regressions!$T$1*EXP(AI79)</f>
        <v>-7.0266127140633516E-4</v>
      </c>
      <c r="AR79" s="8">
        <f>(1-EXP(-2*regressions!$X$1*AI79))/2/EXP(-regressions!$X$1*AI79)</f>
        <v>-3.5051116458243485E-2</v>
      </c>
      <c r="AT79" s="33">
        <v>8.610037659936258E-2</v>
      </c>
      <c r="AU79">
        <f t="shared" si="24"/>
        <v>-3.3332285041119056E-2</v>
      </c>
      <c r="AV79">
        <f>IF(AT79&lt;=regressions!$L$2,AT79*regressions!$L$1,regressions!$L$1*regressions!$L$2+regressions!$L$3*(AT79-regressions!$L$2))</f>
        <v>-6.8430843204542235E-2</v>
      </c>
      <c r="AW79">
        <f>regressions!$J$1*AT79+regressions!$J$2*AT79^2</f>
        <v>-3.9638359582993353E-2</v>
      </c>
      <c r="AX79">
        <f>regressions!$V$1*AT79</f>
        <v>-6.8430843397731214E-2</v>
      </c>
      <c r="AY79">
        <f>regressions!$N$1*AT79^2</f>
        <v>-1.29172506352192E-3</v>
      </c>
      <c r="AZ79">
        <f>regressions!$R$1*AT79^2+regressions!$R$2*AT79^6</f>
        <v>-1.4069218034727866E-3</v>
      </c>
      <c r="BA79">
        <f>regressions!$P$1*AT79^2+regressions!$P$2*AT79^7</f>
        <v>-1.3611060761452767E-3</v>
      </c>
      <c r="BB79">
        <f>regressions!$T$2+regressions!$T$1*EXP(AT79)</f>
        <v>-7.0266127140633516E-4</v>
      </c>
      <c r="BC79" s="8">
        <f>(1-EXP(-2*regressions!$X$1*AT79))/2/EXP(-regressions!$X$1*AT79)</f>
        <v>-3.5051116458243485E-2</v>
      </c>
      <c r="BE79">
        <f t="shared" si="25"/>
        <v>0</v>
      </c>
      <c r="BF79">
        <f t="shared" si="16"/>
        <v>0</v>
      </c>
      <c r="BG79">
        <f t="shared" si="17"/>
        <v>0</v>
      </c>
      <c r="BH79">
        <f>BG79+regressions!$AR$1*(AI79-B79)</f>
        <v>0</v>
      </c>
      <c r="BI79">
        <f>BG79-regressions!$AO$1*(AI79-B79)</f>
        <v>0</v>
      </c>
      <c r="BJ79">
        <f t="shared" si="18"/>
        <v>0</v>
      </c>
      <c r="BK79">
        <f>BJ79+regressions!$AR$1*(AT79-B79)</f>
        <v>0</v>
      </c>
      <c r="BL79">
        <f>BJ79-regressions!$AO$1*(AT79-B79)</f>
        <v>0</v>
      </c>
      <c r="BM79">
        <f t="shared" si="26"/>
        <v>0</v>
      </c>
      <c r="BN79">
        <f t="shared" si="19"/>
        <v>0</v>
      </c>
      <c r="BO79">
        <f t="shared" si="20"/>
        <v>0</v>
      </c>
      <c r="BP79">
        <f t="shared" si="27"/>
        <v>0</v>
      </c>
      <c r="BQ79">
        <f t="shared" si="28"/>
        <v>0</v>
      </c>
      <c r="BR79">
        <f t="shared" si="29"/>
        <v>0</v>
      </c>
    </row>
    <row r="80" spans="1:70" x14ac:dyDescent="0.35">
      <c r="A80">
        <v>1927</v>
      </c>
      <c r="B80" s="33">
        <v>8.9167708166425025E-2</v>
      </c>
      <c r="C80">
        <f t="shared" si="15"/>
        <v>-3.4541808821554026E-2</v>
      </c>
      <c r="D80">
        <f>IF($B80&lt;=regressions!$L$2,$B80*regressions!$L$1,regressions!$L$1*regressions!$L$2+regressions!$L$3*($B80-regressions!$L$2))</f>
        <v>-7.0868696484774549E-2</v>
      </c>
      <c r="E80">
        <f>regressions!$J$1*B80+regressions!$J$2*B80^2</f>
        <v>-4.1072833375223071E-2</v>
      </c>
      <c r="F80">
        <f>regressions!$V$1*B80</f>
        <v>-7.0868696684845883E-2</v>
      </c>
      <c r="G80">
        <f>regressions!$N$1*B80^2</f>
        <v>-1.385400030642636E-3</v>
      </c>
      <c r="H80">
        <f>regressions!$R$1*B80^2+regressions!$R$2*B80^6</f>
        <v>-1.5089507541139208E-3</v>
      </c>
      <c r="I80">
        <f>regressions!$P$1*B80^2+regressions!$P$2*B80^7</f>
        <v>-1.4598125041013306E-3</v>
      </c>
      <c r="J80">
        <f>regressions!$T$2+regressions!$T$1*EXP(B80)</f>
        <v>-7.2882684399280633E-4</v>
      </c>
      <c r="K80" s="8">
        <f>(1-EXP(-2*regressions!$X$1*B80))/2/EXP(-regressions!$X$1*B80)</f>
        <v>-3.6300353546908165E-2</v>
      </c>
      <c r="M80" s="33">
        <v>8.9167708166425025E-2</v>
      </c>
      <c r="N80">
        <f t="shared" si="21"/>
        <v>-3.4541808821554026E-2</v>
      </c>
      <c r="O80">
        <f>IF($B80&lt;=regressions!$L$2,$B80*regressions!$L$1,regressions!$L$1*regressions!$L$2+regressions!$L$3*($B80-regressions!$L$2))</f>
        <v>-7.0868696484774549E-2</v>
      </c>
      <c r="P80">
        <f>regressions!$J$1*M80+regressions!$J$2*M80^2</f>
        <v>-4.1072833375223071E-2</v>
      </c>
      <c r="Q80">
        <f>regressions!$V$1*M80</f>
        <v>-7.0868696684845883E-2</v>
      </c>
      <c r="R80">
        <f>regressions!$N$1*M80^2</f>
        <v>-1.385400030642636E-3</v>
      </c>
      <c r="S80">
        <f>regressions!$R$1*M80^2+regressions!$R$2*M80^6</f>
        <v>-1.5089507541139208E-3</v>
      </c>
      <c r="T80">
        <f>regressions!$P$1*M80^2+regressions!$P$2*M80^7</f>
        <v>-1.4598125041013306E-3</v>
      </c>
      <c r="U80">
        <f>regressions!$T$2+regressions!$T$1*EXP(M80)</f>
        <v>-7.2882684399280633E-4</v>
      </c>
      <c r="V80" s="8">
        <f>(1-EXP(-2*regressions!$X$1*M80))/2/EXP(-regressions!$X$1*M80)</f>
        <v>-3.6300353546908165E-2</v>
      </c>
      <c r="X80" s="33">
        <v>8.9167708166425025E-2</v>
      </c>
      <c r="Y80">
        <f t="shared" si="22"/>
        <v>-3.4541808821554026E-2</v>
      </c>
      <c r="Z80">
        <f>IF($B80&lt;=regressions!$L$2,$B80*regressions!$L$1,regressions!$L$1*regressions!$L$2+regressions!$L$3*($B80-regressions!$L$2))</f>
        <v>-7.0868696484774549E-2</v>
      </c>
      <c r="AA80">
        <f>regressions!$J$1*X80+regressions!$J$2*X80^2</f>
        <v>-4.1072833375223071E-2</v>
      </c>
      <c r="AB80">
        <f>regressions!$V$1*X80</f>
        <v>-7.0868696684845883E-2</v>
      </c>
      <c r="AC80">
        <f>regressions!$N$1*X80^2</f>
        <v>-1.385400030642636E-3</v>
      </c>
      <c r="AD80">
        <f>regressions!$R$1*X80^2+regressions!$R$2*X80^6</f>
        <v>-1.5089507541139208E-3</v>
      </c>
      <c r="AE80">
        <f>regressions!$P$1*X80^2+regressions!$P$2*X80^7</f>
        <v>-1.4598125041013306E-3</v>
      </c>
      <c r="AF80">
        <f>regressions!$T$2+regressions!$T$1*EXP(X80)</f>
        <v>-7.2882684399280633E-4</v>
      </c>
      <c r="AG80" s="8">
        <f>(1-EXP(-2*regressions!$X$1*X80))/2/EXP(-regressions!$X$1*X80)</f>
        <v>-3.6300353546908165E-2</v>
      </c>
      <c r="AH80" s="8"/>
      <c r="AI80" s="33">
        <v>8.9167708166425025E-2</v>
      </c>
      <c r="AJ80">
        <f t="shared" si="23"/>
        <v>-3.4541808821554026E-2</v>
      </c>
      <c r="AK80">
        <f>IF(AI80&lt;=regressions!$L$2,AI80*regressions!$L$1,regressions!$L$1*regressions!$L$2+regressions!$L$3*(AI80-regressions!$L$2))</f>
        <v>-7.0868696484774549E-2</v>
      </c>
      <c r="AL80">
        <f>regressions!$J$1*AI80+regressions!$J$2*AI80^2</f>
        <v>-4.1072833375223071E-2</v>
      </c>
      <c r="AM80">
        <f>regressions!$V$1*AI80</f>
        <v>-7.0868696684845883E-2</v>
      </c>
      <c r="AN80">
        <f>regressions!$N$1*AI80^2</f>
        <v>-1.385400030642636E-3</v>
      </c>
      <c r="AO80">
        <f>regressions!$R$1*AI80^2+regressions!$R$2*AI80^6</f>
        <v>-1.5089507541139208E-3</v>
      </c>
      <c r="AP80">
        <f>regressions!$P$1*AI80^2+regressions!$P$2*AI80^7</f>
        <v>-1.4598125041013306E-3</v>
      </c>
      <c r="AQ80">
        <f>regressions!$T$2+regressions!$T$1*EXP(AI80)</f>
        <v>-7.2882684399280633E-4</v>
      </c>
      <c r="AR80" s="8">
        <f>(1-EXP(-2*regressions!$X$1*AI80))/2/EXP(-regressions!$X$1*AI80)</f>
        <v>-3.6300353546908165E-2</v>
      </c>
      <c r="AT80" s="33">
        <v>8.9167708166425025E-2</v>
      </c>
      <c r="AU80">
        <f t="shared" si="24"/>
        <v>-3.4541808821554026E-2</v>
      </c>
      <c r="AV80">
        <f>IF(AT80&lt;=regressions!$L$2,AT80*regressions!$L$1,regressions!$L$1*regressions!$L$2+regressions!$L$3*(AT80-regressions!$L$2))</f>
        <v>-7.0868696484774549E-2</v>
      </c>
      <c r="AW80">
        <f>regressions!$J$1*AT80+regressions!$J$2*AT80^2</f>
        <v>-4.1072833375223071E-2</v>
      </c>
      <c r="AX80">
        <f>regressions!$V$1*AT80</f>
        <v>-7.0868696684845883E-2</v>
      </c>
      <c r="AY80">
        <f>regressions!$N$1*AT80^2</f>
        <v>-1.385400030642636E-3</v>
      </c>
      <c r="AZ80">
        <f>regressions!$R$1*AT80^2+regressions!$R$2*AT80^6</f>
        <v>-1.5089507541139208E-3</v>
      </c>
      <c r="BA80">
        <f>regressions!$P$1*AT80^2+regressions!$P$2*AT80^7</f>
        <v>-1.4598125041013306E-3</v>
      </c>
      <c r="BB80">
        <f>regressions!$T$2+regressions!$T$1*EXP(AT80)</f>
        <v>-7.2882684399280633E-4</v>
      </c>
      <c r="BC80" s="8">
        <f>(1-EXP(-2*regressions!$X$1*AT80))/2/EXP(-regressions!$X$1*AT80)</f>
        <v>-3.6300353546908165E-2</v>
      </c>
      <c r="BE80">
        <f t="shared" si="25"/>
        <v>0</v>
      </c>
      <c r="BF80">
        <f t="shared" si="16"/>
        <v>0</v>
      </c>
      <c r="BG80">
        <f t="shared" si="17"/>
        <v>0</v>
      </c>
      <c r="BH80">
        <f>BG80+regressions!$AR$1*(AI80-B80)</f>
        <v>0</v>
      </c>
      <c r="BI80">
        <f>BG80-regressions!$AO$1*(AI80-B80)</f>
        <v>0</v>
      </c>
      <c r="BJ80">
        <f t="shared" si="18"/>
        <v>0</v>
      </c>
      <c r="BK80">
        <f>BJ80+regressions!$AR$1*(AT80-B80)</f>
        <v>0</v>
      </c>
      <c r="BL80">
        <f>BJ80-regressions!$AO$1*(AT80-B80)</f>
        <v>0</v>
      </c>
      <c r="BM80">
        <f t="shared" si="26"/>
        <v>0</v>
      </c>
      <c r="BN80">
        <f t="shared" si="19"/>
        <v>0</v>
      </c>
      <c r="BO80">
        <f t="shared" si="20"/>
        <v>0</v>
      </c>
      <c r="BP80">
        <f t="shared" si="27"/>
        <v>0</v>
      </c>
      <c r="BQ80">
        <f t="shared" si="28"/>
        <v>0</v>
      </c>
      <c r="BR80">
        <f t="shared" si="29"/>
        <v>0</v>
      </c>
    </row>
    <row r="81" spans="1:70" x14ac:dyDescent="0.35">
      <c r="A81">
        <v>1928</v>
      </c>
      <c r="B81" s="33">
        <v>9.2306759438297498E-2</v>
      </c>
      <c r="C81">
        <f t="shared" si="15"/>
        <v>-3.5781188224104962E-2</v>
      </c>
      <c r="D81">
        <f>IF($B81&lt;=regressions!$L$2,$B81*regressions!$L$1,regressions!$L$1*regressions!$L$2+regressions!$L$3*($B81-regressions!$L$2))</f>
        <v>-7.3363551140243205E-2</v>
      </c>
      <c r="E81">
        <f>regressions!$J$1*B81+regressions!$J$2*B81^2</f>
        <v>-4.2542440074707082E-2</v>
      </c>
      <c r="F81">
        <f>regressions!$V$1*B81</f>
        <v>-7.3363551347357836E-2</v>
      </c>
      <c r="G81">
        <f>regressions!$N$1*B81^2</f>
        <v>-1.4846599514938381E-3</v>
      </c>
      <c r="H81">
        <f>regressions!$R$1*B81^2+regressions!$R$2*B81^6</f>
        <v>-1.6170627274716023E-3</v>
      </c>
      <c r="I81">
        <f>regressions!$P$1*B81^2+regressions!$P$2*B81^7</f>
        <v>-1.5644038642842054E-3</v>
      </c>
      <c r="J81">
        <f>regressions!$T$2+regressions!$T$1*EXP(B81)</f>
        <v>-7.5568743939032935E-4</v>
      </c>
      <c r="K81" s="8">
        <f>(1-EXP(-2*regressions!$X$1*B81))/2/EXP(-regressions!$X$1*B81)</f>
        <v>-3.7578858629357663E-2</v>
      </c>
      <c r="M81" s="33">
        <v>9.2306759438297498E-2</v>
      </c>
      <c r="N81">
        <f t="shared" si="21"/>
        <v>-3.5781188224104962E-2</v>
      </c>
      <c r="O81">
        <f>IF($B81&lt;=regressions!$L$2,$B81*regressions!$L$1,regressions!$L$1*regressions!$L$2+regressions!$L$3*($B81-regressions!$L$2))</f>
        <v>-7.3363551140243205E-2</v>
      </c>
      <c r="P81">
        <f>regressions!$J$1*M81+regressions!$J$2*M81^2</f>
        <v>-4.2542440074707082E-2</v>
      </c>
      <c r="Q81">
        <f>regressions!$V$1*M81</f>
        <v>-7.3363551347357836E-2</v>
      </c>
      <c r="R81">
        <f>regressions!$N$1*M81^2</f>
        <v>-1.4846599514938381E-3</v>
      </c>
      <c r="S81">
        <f>regressions!$R$1*M81^2+regressions!$R$2*M81^6</f>
        <v>-1.6170627274716023E-3</v>
      </c>
      <c r="T81">
        <f>regressions!$P$1*M81^2+regressions!$P$2*M81^7</f>
        <v>-1.5644038642842054E-3</v>
      </c>
      <c r="U81">
        <f>regressions!$T$2+regressions!$T$1*EXP(M81)</f>
        <v>-7.5568743939032935E-4</v>
      </c>
      <c r="V81" s="8">
        <f>(1-EXP(-2*regressions!$X$1*M81))/2/EXP(-regressions!$X$1*M81)</f>
        <v>-3.7578858629357663E-2</v>
      </c>
      <c r="X81" s="33">
        <v>9.2306759438297498E-2</v>
      </c>
      <c r="Y81">
        <f t="shared" si="22"/>
        <v>-3.5781188224104962E-2</v>
      </c>
      <c r="Z81">
        <f>IF($B81&lt;=regressions!$L$2,$B81*regressions!$L$1,regressions!$L$1*regressions!$L$2+regressions!$L$3*($B81-regressions!$L$2))</f>
        <v>-7.3363551140243205E-2</v>
      </c>
      <c r="AA81">
        <f>regressions!$J$1*X81+regressions!$J$2*X81^2</f>
        <v>-4.2542440074707082E-2</v>
      </c>
      <c r="AB81">
        <f>regressions!$V$1*X81</f>
        <v>-7.3363551347357836E-2</v>
      </c>
      <c r="AC81">
        <f>regressions!$N$1*X81^2</f>
        <v>-1.4846599514938381E-3</v>
      </c>
      <c r="AD81">
        <f>regressions!$R$1*X81^2+regressions!$R$2*X81^6</f>
        <v>-1.6170627274716023E-3</v>
      </c>
      <c r="AE81">
        <f>regressions!$P$1*X81^2+regressions!$P$2*X81^7</f>
        <v>-1.5644038642842054E-3</v>
      </c>
      <c r="AF81">
        <f>regressions!$T$2+regressions!$T$1*EXP(X81)</f>
        <v>-7.5568743939032935E-4</v>
      </c>
      <c r="AG81" s="8">
        <f>(1-EXP(-2*regressions!$X$1*X81))/2/EXP(-regressions!$X$1*X81)</f>
        <v>-3.7578858629357663E-2</v>
      </c>
      <c r="AH81" s="8"/>
      <c r="AI81" s="33">
        <v>9.2306759438297498E-2</v>
      </c>
      <c r="AJ81">
        <f t="shared" si="23"/>
        <v>-3.5781188224104962E-2</v>
      </c>
      <c r="AK81">
        <f>IF(AI81&lt;=regressions!$L$2,AI81*regressions!$L$1,regressions!$L$1*regressions!$L$2+regressions!$L$3*(AI81-regressions!$L$2))</f>
        <v>-7.3363551140243205E-2</v>
      </c>
      <c r="AL81">
        <f>regressions!$J$1*AI81+regressions!$J$2*AI81^2</f>
        <v>-4.2542440074707082E-2</v>
      </c>
      <c r="AM81">
        <f>regressions!$V$1*AI81</f>
        <v>-7.3363551347357836E-2</v>
      </c>
      <c r="AN81">
        <f>regressions!$N$1*AI81^2</f>
        <v>-1.4846599514938381E-3</v>
      </c>
      <c r="AO81">
        <f>regressions!$R$1*AI81^2+regressions!$R$2*AI81^6</f>
        <v>-1.6170627274716023E-3</v>
      </c>
      <c r="AP81">
        <f>regressions!$P$1*AI81^2+regressions!$P$2*AI81^7</f>
        <v>-1.5644038642842054E-3</v>
      </c>
      <c r="AQ81">
        <f>regressions!$T$2+regressions!$T$1*EXP(AI81)</f>
        <v>-7.5568743939032935E-4</v>
      </c>
      <c r="AR81" s="8">
        <f>(1-EXP(-2*regressions!$X$1*AI81))/2/EXP(-regressions!$X$1*AI81)</f>
        <v>-3.7578858629357663E-2</v>
      </c>
      <c r="AT81" s="33">
        <v>9.2306759438297498E-2</v>
      </c>
      <c r="AU81">
        <f t="shared" si="24"/>
        <v>-3.5781188224104962E-2</v>
      </c>
      <c r="AV81">
        <f>IF(AT81&lt;=regressions!$L$2,AT81*regressions!$L$1,regressions!$L$1*regressions!$L$2+regressions!$L$3*(AT81-regressions!$L$2))</f>
        <v>-7.3363551140243205E-2</v>
      </c>
      <c r="AW81">
        <f>regressions!$J$1*AT81+regressions!$J$2*AT81^2</f>
        <v>-4.2542440074707082E-2</v>
      </c>
      <c r="AX81">
        <f>regressions!$V$1*AT81</f>
        <v>-7.3363551347357836E-2</v>
      </c>
      <c r="AY81">
        <f>regressions!$N$1*AT81^2</f>
        <v>-1.4846599514938381E-3</v>
      </c>
      <c r="AZ81">
        <f>regressions!$R$1*AT81^2+regressions!$R$2*AT81^6</f>
        <v>-1.6170627274716023E-3</v>
      </c>
      <c r="BA81">
        <f>regressions!$P$1*AT81^2+regressions!$P$2*AT81^7</f>
        <v>-1.5644038642842054E-3</v>
      </c>
      <c r="BB81">
        <f>regressions!$T$2+regressions!$T$1*EXP(AT81)</f>
        <v>-7.5568743939032935E-4</v>
      </c>
      <c r="BC81" s="8">
        <f>(1-EXP(-2*regressions!$X$1*AT81))/2/EXP(-regressions!$X$1*AT81)</f>
        <v>-3.7578858629357663E-2</v>
      </c>
      <c r="BE81">
        <f t="shared" si="25"/>
        <v>0</v>
      </c>
      <c r="BF81">
        <f t="shared" si="16"/>
        <v>0</v>
      </c>
      <c r="BG81">
        <f t="shared" si="17"/>
        <v>0</v>
      </c>
      <c r="BH81">
        <f>BG81+regressions!$AR$1*(AI81-B81)</f>
        <v>0</v>
      </c>
      <c r="BI81">
        <f>BG81-regressions!$AO$1*(AI81-B81)</f>
        <v>0</v>
      </c>
      <c r="BJ81">
        <f t="shared" si="18"/>
        <v>0</v>
      </c>
      <c r="BK81">
        <f>BJ81+regressions!$AR$1*(AT81-B81)</f>
        <v>0</v>
      </c>
      <c r="BL81">
        <f>BJ81-regressions!$AO$1*(AT81-B81)</f>
        <v>0</v>
      </c>
      <c r="BM81">
        <f t="shared" si="26"/>
        <v>0</v>
      </c>
      <c r="BN81">
        <f t="shared" si="19"/>
        <v>0</v>
      </c>
      <c r="BO81">
        <f t="shared" si="20"/>
        <v>0</v>
      </c>
      <c r="BP81">
        <f t="shared" si="27"/>
        <v>0</v>
      </c>
      <c r="BQ81">
        <f t="shared" si="28"/>
        <v>0</v>
      </c>
      <c r="BR81">
        <f t="shared" si="29"/>
        <v>0</v>
      </c>
    </row>
    <row r="82" spans="1:70" x14ac:dyDescent="0.35">
      <c r="A82">
        <v>1929</v>
      </c>
      <c r="B82" s="33">
        <v>9.5512703889939085E-2</v>
      </c>
      <c r="C82">
        <f t="shared" si="15"/>
        <v>-3.704862344428185E-2</v>
      </c>
      <c r="D82">
        <f>IF($B82&lt;=regressions!$L$2,$B82*regressions!$L$1,regressions!$L$1*regressions!$L$2+regressions!$L$3*($B82-regressions!$L$2))</f>
        <v>-7.5911571146167103E-2</v>
      </c>
      <c r="E82">
        <f>regressions!$J$1*B82+regressions!$J$2*B82^2</f>
        <v>-4.4045026686733539E-2</v>
      </c>
      <c r="F82">
        <f>regressions!$V$1*B82</f>
        <v>-7.5911571360475105E-2</v>
      </c>
      <c r="G82">
        <f>regressions!$N$1*B82^2</f>
        <v>-1.5895795385744516E-3</v>
      </c>
      <c r="H82">
        <f>regressions!$R$1*B82^2+regressions!$R$2*B82^6</f>
        <v>-1.7313390989028485E-3</v>
      </c>
      <c r="I82">
        <f>regressions!$P$1*B82^2+regressions!$P$2*B82^7</f>
        <v>-1.6749588821428163E-3</v>
      </c>
      <c r="J82">
        <f>regressions!$T$2+regressions!$T$1*EXP(B82)</f>
        <v>-7.8320760385423675E-4</v>
      </c>
      <c r="K82" s="8">
        <f>(1-EXP(-2*regressions!$X$1*B82))/2/EXP(-regressions!$X$1*B82)</f>
        <v>-3.8884671985748819E-2</v>
      </c>
      <c r="M82" s="33">
        <v>9.5512703889939085E-2</v>
      </c>
      <c r="N82">
        <f t="shared" si="21"/>
        <v>-3.704862344428185E-2</v>
      </c>
      <c r="O82">
        <f>IF($B82&lt;=regressions!$L$2,$B82*regressions!$L$1,regressions!$L$1*regressions!$L$2+regressions!$L$3*($B82-regressions!$L$2))</f>
        <v>-7.5911571146167103E-2</v>
      </c>
      <c r="P82">
        <f>regressions!$J$1*M82+regressions!$J$2*M82^2</f>
        <v>-4.4045026686733539E-2</v>
      </c>
      <c r="Q82">
        <f>regressions!$V$1*M82</f>
        <v>-7.5911571360475105E-2</v>
      </c>
      <c r="R82">
        <f>regressions!$N$1*M82^2</f>
        <v>-1.5895795385744516E-3</v>
      </c>
      <c r="S82">
        <f>regressions!$R$1*M82^2+regressions!$R$2*M82^6</f>
        <v>-1.7313390989028485E-3</v>
      </c>
      <c r="T82">
        <f>regressions!$P$1*M82^2+regressions!$P$2*M82^7</f>
        <v>-1.6749588821428163E-3</v>
      </c>
      <c r="U82">
        <f>regressions!$T$2+regressions!$T$1*EXP(M82)</f>
        <v>-7.8320760385423675E-4</v>
      </c>
      <c r="V82" s="8">
        <f>(1-EXP(-2*regressions!$X$1*M82))/2/EXP(-regressions!$X$1*M82)</f>
        <v>-3.8884671985748819E-2</v>
      </c>
      <c r="X82" s="33">
        <v>9.5512703889939085E-2</v>
      </c>
      <c r="Y82">
        <f t="shared" si="22"/>
        <v>-3.704862344428185E-2</v>
      </c>
      <c r="Z82">
        <f>IF($B82&lt;=regressions!$L$2,$B82*regressions!$L$1,regressions!$L$1*regressions!$L$2+regressions!$L$3*($B82-regressions!$L$2))</f>
        <v>-7.5911571146167103E-2</v>
      </c>
      <c r="AA82">
        <f>regressions!$J$1*X82+regressions!$J$2*X82^2</f>
        <v>-4.4045026686733539E-2</v>
      </c>
      <c r="AB82">
        <f>regressions!$V$1*X82</f>
        <v>-7.5911571360475105E-2</v>
      </c>
      <c r="AC82">
        <f>regressions!$N$1*X82^2</f>
        <v>-1.5895795385744516E-3</v>
      </c>
      <c r="AD82">
        <f>regressions!$R$1*X82^2+regressions!$R$2*X82^6</f>
        <v>-1.7313390989028485E-3</v>
      </c>
      <c r="AE82">
        <f>regressions!$P$1*X82^2+regressions!$P$2*X82^7</f>
        <v>-1.6749588821428163E-3</v>
      </c>
      <c r="AF82">
        <f>regressions!$T$2+regressions!$T$1*EXP(X82)</f>
        <v>-7.8320760385423675E-4</v>
      </c>
      <c r="AG82" s="8">
        <f>(1-EXP(-2*regressions!$X$1*X82))/2/EXP(-regressions!$X$1*X82)</f>
        <v>-3.8884671985748819E-2</v>
      </c>
      <c r="AH82" s="8"/>
      <c r="AI82" s="33">
        <v>9.5512703889939085E-2</v>
      </c>
      <c r="AJ82">
        <f t="shared" si="23"/>
        <v>-3.704862344428185E-2</v>
      </c>
      <c r="AK82">
        <f>IF(AI82&lt;=regressions!$L$2,AI82*regressions!$L$1,regressions!$L$1*regressions!$L$2+regressions!$L$3*(AI82-regressions!$L$2))</f>
        <v>-7.5911571146167103E-2</v>
      </c>
      <c r="AL82">
        <f>regressions!$J$1*AI82+regressions!$J$2*AI82^2</f>
        <v>-4.4045026686733539E-2</v>
      </c>
      <c r="AM82">
        <f>regressions!$V$1*AI82</f>
        <v>-7.5911571360475105E-2</v>
      </c>
      <c r="AN82">
        <f>regressions!$N$1*AI82^2</f>
        <v>-1.5895795385744516E-3</v>
      </c>
      <c r="AO82">
        <f>regressions!$R$1*AI82^2+regressions!$R$2*AI82^6</f>
        <v>-1.7313390989028485E-3</v>
      </c>
      <c r="AP82">
        <f>regressions!$P$1*AI82^2+regressions!$P$2*AI82^7</f>
        <v>-1.6749588821428163E-3</v>
      </c>
      <c r="AQ82">
        <f>regressions!$T$2+regressions!$T$1*EXP(AI82)</f>
        <v>-7.8320760385423675E-4</v>
      </c>
      <c r="AR82" s="8">
        <f>(1-EXP(-2*regressions!$X$1*AI82))/2/EXP(-regressions!$X$1*AI82)</f>
        <v>-3.8884671985748819E-2</v>
      </c>
      <c r="AT82" s="33">
        <v>9.5512703889939085E-2</v>
      </c>
      <c r="AU82">
        <f t="shared" si="24"/>
        <v>-3.704862344428185E-2</v>
      </c>
      <c r="AV82">
        <f>IF(AT82&lt;=regressions!$L$2,AT82*regressions!$L$1,regressions!$L$1*regressions!$L$2+regressions!$L$3*(AT82-regressions!$L$2))</f>
        <v>-7.5911571146167103E-2</v>
      </c>
      <c r="AW82">
        <f>regressions!$J$1*AT82+regressions!$J$2*AT82^2</f>
        <v>-4.4045026686733539E-2</v>
      </c>
      <c r="AX82">
        <f>regressions!$V$1*AT82</f>
        <v>-7.5911571360475105E-2</v>
      </c>
      <c r="AY82">
        <f>regressions!$N$1*AT82^2</f>
        <v>-1.5895795385744516E-3</v>
      </c>
      <c r="AZ82">
        <f>regressions!$R$1*AT82^2+regressions!$R$2*AT82^6</f>
        <v>-1.7313390989028485E-3</v>
      </c>
      <c r="BA82">
        <f>regressions!$P$1*AT82^2+regressions!$P$2*AT82^7</f>
        <v>-1.6749588821428163E-3</v>
      </c>
      <c r="BB82">
        <f>regressions!$T$2+regressions!$T$1*EXP(AT82)</f>
        <v>-7.8320760385423675E-4</v>
      </c>
      <c r="BC82" s="8">
        <f>(1-EXP(-2*regressions!$X$1*AT82))/2/EXP(-regressions!$X$1*AT82)</f>
        <v>-3.8884671985748819E-2</v>
      </c>
      <c r="BE82">
        <f t="shared" si="25"/>
        <v>0</v>
      </c>
      <c r="BF82">
        <f t="shared" si="16"/>
        <v>0</v>
      </c>
      <c r="BG82">
        <f t="shared" si="17"/>
        <v>0</v>
      </c>
      <c r="BH82">
        <f>BG82+regressions!$AR$1*(AI82-B82)</f>
        <v>0</v>
      </c>
      <c r="BI82">
        <f>BG82-regressions!$AO$1*(AI82-B82)</f>
        <v>0</v>
      </c>
      <c r="BJ82">
        <f t="shared" si="18"/>
        <v>0</v>
      </c>
      <c r="BK82">
        <f>BJ82+regressions!$AR$1*(AT82-B82)</f>
        <v>0</v>
      </c>
      <c r="BL82">
        <f>BJ82-regressions!$AO$1*(AT82-B82)</f>
        <v>0</v>
      </c>
      <c r="BM82">
        <f t="shared" si="26"/>
        <v>0</v>
      </c>
      <c r="BN82">
        <f t="shared" si="19"/>
        <v>0</v>
      </c>
      <c r="BO82">
        <f t="shared" si="20"/>
        <v>0</v>
      </c>
      <c r="BP82">
        <f t="shared" si="27"/>
        <v>0</v>
      </c>
      <c r="BQ82">
        <f t="shared" si="28"/>
        <v>0</v>
      </c>
      <c r="BR82">
        <f t="shared" si="29"/>
        <v>0</v>
      </c>
    </row>
    <row r="83" spans="1:70" x14ac:dyDescent="0.35">
      <c r="A83">
        <v>1930</v>
      </c>
      <c r="B83" s="33">
        <v>9.8801194033327683E-2</v>
      </c>
      <c r="C83">
        <f t="shared" ref="C83:C146" si="30">SUMPRODUCT(D$2:K$2,D83:K83)</f>
        <v>-3.8350419328330554E-2</v>
      </c>
      <c r="D83">
        <f>IF($B83&lt;=regressions!$L$2,$B83*regressions!$L$1,regressions!$L$1*regressions!$L$2+regressions!$L$3*($B83-regressions!$L$2))</f>
        <v>-7.8525196803451089E-2</v>
      </c>
      <c r="E83">
        <f>regressions!$J$1*B83+regressions!$J$2*B83^2</f>
        <v>-4.5588047015263929E-2</v>
      </c>
      <c r="F83">
        <f>regressions!$V$1*B83</f>
        <v>-7.8525197025137689E-2</v>
      </c>
      <c r="G83">
        <f>regressions!$N$1*B83^2</f>
        <v>-1.7009218909309124E-3</v>
      </c>
      <c r="H83">
        <f>regressions!$R$1*B83^2+regressions!$R$2*B83^6</f>
        <v>-1.8526110209800819E-3</v>
      </c>
      <c r="I83">
        <f>regressions!$P$1*B83^2+regressions!$P$2*B83^7</f>
        <v>-1.7922816442255257E-3</v>
      </c>
      <c r="J83">
        <f>regressions!$T$2+regressions!$T$1*EXP(B83)</f>
        <v>-8.1152816371250422E-4</v>
      </c>
      <c r="K83" s="8">
        <f>(1-EXP(-2*regressions!$X$1*B83))/2/EXP(-regressions!$X$1*B83)</f>
        <v>-4.0224175837152258E-2</v>
      </c>
      <c r="M83" s="33">
        <v>9.8801194033327683E-2</v>
      </c>
      <c r="N83">
        <f t="shared" si="21"/>
        <v>-3.8350419328330554E-2</v>
      </c>
      <c r="O83">
        <f>IF($B83&lt;=regressions!$L$2,$B83*regressions!$L$1,regressions!$L$1*regressions!$L$2+regressions!$L$3*($B83-regressions!$L$2))</f>
        <v>-7.8525196803451089E-2</v>
      </c>
      <c r="P83">
        <f>regressions!$J$1*M83+regressions!$J$2*M83^2</f>
        <v>-4.5588047015263929E-2</v>
      </c>
      <c r="Q83">
        <f>regressions!$V$1*M83</f>
        <v>-7.8525197025137689E-2</v>
      </c>
      <c r="R83">
        <f>regressions!$N$1*M83^2</f>
        <v>-1.7009218909309124E-3</v>
      </c>
      <c r="S83">
        <f>regressions!$R$1*M83^2+regressions!$R$2*M83^6</f>
        <v>-1.8526110209800819E-3</v>
      </c>
      <c r="T83">
        <f>regressions!$P$1*M83^2+regressions!$P$2*M83^7</f>
        <v>-1.7922816442255257E-3</v>
      </c>
      <c r="U83">
        <f>regressions!$T$2+regressions!$T$1*EXP(M83)</f>
        <v>-8.1152816371250422E-4</v>
      </c>
      <c r="V83" s="8">
        <f>(1-EXP(-2*regressions!$X$1*M83))/2/EXP(-regressions!$X$1*M83)</f>
        <v>-4.0224175837152258E-2</v>
      </c>
      <c r="X83" s="33">
        <v>9.8801194033327683E-2</v>
      </c>
      <c r="Y83">
        <f t="shared" si="22"/>
        <v>-3.8350419328330554E-2</v>
      </c>
      <c r="Z83">
        <f>IF($B83&lt;=regressions!$L$2,$B83*regressions!$L$1,regressions!$L$1*regressions!$L$2+regressions!$L$3*($B83-regressions!$L$2))</f>
        <v>-7.8525196803451089E-2</v>
      </c>
      <c r="AA83">
        <f>regressions!$J$1*X83+regressions!$J$2*X83^2</f>
        <v>-4.5588047015263929E-2</v>
      </c>
      <c r="AB83">
        <f>regressions!$V$1*X83</f>
        <v>-7.8525197025137689E-2</v>
      </c>
      <c r="AC83">
        <f>regressions!$N$1*X83^2</f>
        <v>-1.7009218909309124E-3</v>
      </c>
      <c r="AD83">
        <f>regressions!$R$1*X83^2+regressions!$R$2*X83^6</f>
        <v>-1.8526110209800819E-3</v>
      </c>
      <c r="AE83">
        <f>regressions!$P$1*X83^2+regressions!$P$2*X83^7</f>
        <v>-1.7922816442255257E-3</v>
      </c>
      <c r="AF83">
        <f>regressions!$T$2+regressions!$T$1*EXP(X83)</f>
        <v>-8.1152816371250422E-4</v>
      </c>
      <c r="AG83" s="8">
        <f>(1-EXP(-2*regressions!$X$1*X83))/2/EXP(-regressions!$X$1*X83)</f>
        <v>-4.0224175837152258E-2</v>
      </c>
      <c r="AH83" s="8"/>
      <c r="AI83" s="33">
        <v>9.8801194033327683E-2</v>
      </c>
      <c r="AJ83">
        <f t="shared" si="23"/>
        <v>-3.8350419328330554E-2</v>
      </c>
      <c r="AK83">
        <f>IF(AI83&lt;=regressions!$L$2,AI83*regressions!$L$1,regressions!$L$1*regressions!$L$2+regressions!$L$3*(AI83-regressions!$L$2))</f>
        <v>-7.8525196803451089E-2</v>
      </c>
      <c r="AL83">
        <f>regressions!$J$1*AI83+regressions!$J$2*AI83^2</f>
        <v>-4.5588047015263929E-2</v>
      </c>
      <c r="AM83">
        <f>regressions!$V$1*AI83</f>
        <v>-7.8525197025137689E-2</v>
      </c>
      <c r="AN83">
        <f>regressions!$N$1*AI83^2</f>
        <v>-1.7009218909309124E-3</v>
      </c>
      <c r="AO83">
        <f>regressions!$R$1*AI83^2+regressions!$R$2*AI83^6</f>
        <v>-1.8526110209800819E-3</v>
      </c>
      <c r="AP83">
        <f>regressions!$P$1*AI83^2+regressions!$P$2*AI83^7</f>
        <v>-1.7922816442255257E-3</v>
      </c>
      <c r="AQ83">
        <f>regressions!$T$2+regressions!$T$1*EXP(AI83)</f>
        <v>-8.1152816371250422E-4</v>
      </c>
      <c r="AR83" s="8">
        <f>(1-EXP(-2*regressions!$X$1*AI83))/2/EXP(-regressions!$X$1*AI83)</f>
        <v>-4.0224175837152258E-2</v>
      </c>
      <c r="AT83" s="33">
        <v>9.8801194033327683E-2</v>
      </c>
      <c r="AU83">
        <f t="shared" si="24"/>
        <v>-3.8350419328330554E-2</v>
      </c>
      <c r="AV83">
        <f>IF(AT83&lt;=regressions!$L$2,AT83*regressions!$L$1,regressions!$L$1*regressions!$L$2+regressions!$L$3*(AT83-regressions!$L$2))</f>
        <v>-7.8525196803451089E-2</v>
      </c>
      <c r="AW83">
        <f>regressions!$J$1*AT83+regressions!$J$2*AT83^2</f>
        <v>-4.5588047015263929E-2</v>
      </c>
      <c r="AX83">
        <f>regressions!$V$1*AT83</f>
        <v>-7.8525197025137689E-2</v>
      </c>
      <c r="AY83">
        <f>regressions!$N$1*AT83^2</f>
        <v>-1.7009218909309124E-3</v>
      </c>
      <c r="AZ83">
        <f>regressions!$R$1*AT83^2+regressions!$R$2*AT83^6</f>
        <v>-1.8526110209800819E-3</v>
      </c>
      <c r="BA83">
        <f>regressions!$P$1*AT83^2+regressions!$P$2*AT83^7</f>
        <v>-1.7922816442255257E-3</v>
      </c>
      <c r="BB83">
        <f>regressions!$T$2+regressions!$T$1*EXP(AT83)</f>
        <v>-8.1152816371250422E-4</v>
      </c>
      <c r="BC83" s="8">
        <f>(1-EXP(-2*regressions!$X$1*AT83))/2/EXP(-regressions!$X$1*AT83)</f>
        <v>-4.0224175837152258E-2</v>
      </c>
      <c r="BE83">
        <f t="shared" si="25"/>
        <v>0</v>
      </c>
      <c r="BF83">
        <f t="shared" si="16"/>
        <v>0</v>
      </c>
      <c r="BG83">
        <f t="shared" si="17"/>
        <v>0</v>
      </c>
      <c r="BH83">
        <f>BG83+regressions!$AR$1*(AI83-B83)</f>
        <v>0</v>
      </c>
      <c r="BI83">
        <f>BG83-regressions!$AO$1*(AI83-B83)</f>
        <v>0</v>
      </c>
      <c r="BJ83">
        <f t="shared" si="18"/>
        <v>0</v>
      </c>
      <c r="BK83">
        <f>BJ83+regressions!$AR$1*(AT83-B83)</f>
        <v>0</v>
      </c>
      <c r="BL83">
        <f>BJ83-regressions!$AO$1*(AT83-B83)</f>
        <v>0</v>
      </c>
      <c r="BM83">
        <f t="shared" si="26"/>
        <v>0</v>
      </c>
      <c r="BN83">
        <f t="shared" si="19"/>
        <v>0</v>
      </c>
      <c r="BO83">
        <f t="shared" si="20"/>
        <v>0</v>
      </c>
      <c r="BP83">
        <f t="shared" si="27"/>
        <v>0</v>
      </c>
      <c r="BQ83">
        <f t="shared" si="28"/>
        <v>0</v>
      </c>
      <c r="BR83">
        <f t="shared" si="29"/>
        <v>0</v>
      </c>
    </row>
    <row r="84" spans="1:70" x14ac:dyDescent="0.35">
      <c r="A84">
        <v>1931</v>
      </c>
      <c r="B84" s="33">
        <v>0.10214210971757685</v>
      </c>
      <c r="C84">
        <f t="shared" si="30"/>
        <v>-3.9674760162592769E-2</v>
      </c>
      <c r="D84">
        <f>IF($B84&lt;=regressions!$L$2,$B84*regressions!$L$1,regressions!$L$1*regressions!$L$2+regressions!$L$3*($B84-regressions!$L$2))</f>
        <v>-8.1180489223509358E-2</v>
      </c>
      <c r="E84">
        <f>regressions!$J$1*B84+regressions!$J$2*B84^2</f>
        <v>-4.7157476629166577E-2</v>
      </c>
      <c r="F84">
        <f>regressions!$V$1*B84</f>
        <v>-8.1180489452692212E-2</v>
      </c>
      <c r="G84">
        <f>regressions!$N$1*B84^2</f>
        <v>-1.8178985027132431E-3</v>
      </c>
      <c r="H84">
        <f>regressions!$R$1*B84^2+regressions!$R$2*B84^6</f>
        <v>-1.9800196684272198E-3</v>
      </c>
      <c r="I84">
        <f>regressions!$P$1*B84^2+regressions!$P$2*B84^7</f>
        <v>-1.9155412925310924E-3</v>
      </c>
      <c r="J84">
        <f>regressions!$T$2+regressions!$T$1*EXP(B84)</f>
        <v>-8.4039574310128262E-4</v>
      </c>
      <c r="K84" s="8">
        <f>(1-EXP(-2*regressions!$X$1*B84))/2/EXP(-regressions!$X$1*B84)</f>
        <v>-4.1585108040233618E-2</v>
      </c>
      <c r="M84" s="33">
        <v>0.10214210971757685</v>
      </c>
      <c r="N84">
        <f t="shared" si="21"/>
        <v>-3.9674760162592769E-2</v>
      </c>
      <c r="O84">
        <f>IF($B84&lt;=regressions!$L$2,$B84*regressions!$L$1,regressions!$L$1*regressions!$L$2+regressions!$L$3*($B84-regressions!$L$2))</f>
        <v>-8.1180489223509358E-2</v>
      </c>
      <c r="P84">
        <f>regressions!$J$1*M84+regressions!$J$2*M84^2</f>
        <v>-4.7157476629166577E-2</v>
      </c>
      <c r="Q84">
        <f>regressions!$V$1*M84</f>
        <v>-8.1180489452692212E-2</v>
      </c>
      <c r="R84">
        <f>regressions!$N$1*M84^2</f>
        <v>-1.8178985027132431E-3</v>
      </c>
      <c r="S84">
        <f>regressions!$R$1*M84^2+regressions!$R$2*M84^6</f>
        <v>-1.9800196684272198E-3</v>
      </c>
      <c r="T84">
        <f>regressions!$P$1*M84^2+regressions!$P$2*M84^7</f>
        <v>-1.9155412925310924E-3</v>
      </c>
      <c r="U84">
        <f>regressions!$T$2+regressions!$T$1*EXP(M84)</f>
        <v>-8.4039574310128262E-4</v>
      </c>
      <c r="V84" s="8">
        <f>(1-EXP(-2*regressions!$X$1*M84))/2/EXP(-regressions!$X$1*M84)</f>
        <v>-4.1585108040233618E-2</v>
      </c>
      <c r="X84" s="33">
        <v>0.10214210971757685</v>
      </c>
      <c r="Y84">
        <f t="shared" si="22"/>
        <v>-3.9674760162592769E-2</v>
      </c>
      <c r="Z84">
        <f>IF($B84&lt;=regressions!$L$2,$B84*regressions!$L$1,regressions!$L$1*regressions!$L$2+regressions!$L$3*($B84-regressions!$L$2))</f>
        <v>-8.1180489223509358E-2</v>
      </c>
      <c r="AA84">
        <f>regressions!$J$1*X84+regressions!$J$2*X84^2</f>
        <v>-4.7157476629166577E-2</v>
      </c>
      <c r="AB84">
        <f>regressions!$V$1*X84</f>
        <v>-8.1180489452692212E-2</v>
      </c>
      <c r="AC84">
        <f>regressions!$N$1*X84^2</f>
        <v>-1.8178985027132431E-3</v>
      </c>
      <c r="AD84">
        <f>regressions!$R$1*X84^2+regressions!$R$2*X84^6</f>
        <v>-1.9800196684272198E-3</v>
      </c>
      <c r="AE84">
        <f>regressions!$P$1*X84^2+regressions!$P$2*X84^7</f>
        <v>-1.9155412925310924E-3</v>
      </c>
      <c r="AF84">
        <f>regressions!$T$2+regressions!$T$1*EXP(X84)</f>
        <v>-8.4039574310128262E-4</v>
      </c>
      <c r="AG84" s="8">
        <f>(1-EXP(-2*regressions!$X$1*X84))/2/EXP(-regressions!$X$1*X84)</f>
        <v>-4.1585108040233618E-2</v>
      </c>
      <c r="AH84" s="8"/>
      <c r="AI84" s="33">
        <v>0.10214210971757685</v>
      </c>
      <c r="AJ84">
        <f t="shared" si="23"/>
        <v>-3.9674760162592769E-2</v>
      </c>
      <c r="AK84">
        <f>IF(AI84&lt;=regressions!$L$2,AI84*regressions!$L$1,regressions!$L$1*regressions!$L$2+regressions!$L$3*(AI84-regressions!$L$2))</f>
        <v>-8.1180489223509358E-2</v>
      </c>
      <c r="AL84">
        <f>regressions!$J$1*AI84+regressions!$J$2*AI84^2</f>
        <v>-4.7157476629166577E-2</v>
      </c>
      <c r="AM84">
        <f>regressions!$V$1*AI84</f>
        <v>-8.1180489452692212E-2</v>
      </c>
      <c r="AN84">
        <f>regressions!$N$1*AI84^2</f>
        <v>-1.8178985027132431E-3</v>
      </c>
      <c r="AO84">
        <f>regressions!$R$1*AI84^2+regressions!$R$2*AI84^6</f>
        <v>-1.9800196684272198E-3</v>
      </c>
      <c r="AP84">
        <f>regressions!$P$1*AI84^2+regressions!$P$2*AI84^7</f>
        <v>-1.9155412925310924E-3</v>
      </c>
      <c r="AQ84">
        <f>regressions!$T$2+regressions!$T$1*EXP(AI84)</f>
        <v>-8.4039574310128262E-4</v>
      </c>
      <c r="AR84" s="8">
        <f>(1-EXP(-2*regressions!$X$1*AI84))/2/EXP(-regressions!$X$1*AI84)</f>
        <v>-4.1585108040233618E-2</v>
      </c>
      <c r="AT84" s="33">
        <v>0.10214210971757685</v>
      </c>
      <c r="AU84">
        <f t="shared" si="24"/>
        <v>-3.9674760162592769E-2</v>
      </c>
      <c r="AV84">
        <f>IF(AT84&lt;=regressions!$L$2,AT84*regressions!$L$1,regressions!$L$1*regressions!$L$2+regressions!$L$3*(AT84-regressions!$L$2))</f>
        <v>-8.1180489223509358E-2</v>
      </c>
      <c r="AW84">
        <f>regressions!$J$1*AT84+regressions!$J$2*AT84^2</f>
        <v>-4.7157476629166577E-2</v>
      </c>
      <c r="AX84">
        <f>regressions!$V$1*AT84</f>
        <v>-8.1180489452692212E-2</v>
      </c>
      <c r="AY84">
        <f>regressions!$N$1*AT84^2</f>
        <v>-1.8178985027132431E-3</v>
      </c>
      <c r="AZ84">
        <f>regressions!$R$1*AT84^2+regressions!$R$2*AT84^6</f>
        <v>-1.9800196684272198E-3</v>
      </c>
      <c r="BA84">
        <f>regressions!$P$1*AT84^2+regressions!$P$2*AT84^7</f>
        <v>-1.9155412925310924E-3</v>
      </c>
      <c r="BB84">
        <f>regressions!$T$2+regressions!$T$1*EXP(AT84)</f>
        <v>-8.4039574310128262E-4</v>
      </c>
      <c r="BC84" s="8">
        <f>(1-EXP(-2*regressions!$X$1*AT84))/2/EXP(-regressions!$X$1*AT84)</f>
        <v>-4.1585108040233618E-2</v>
      </c>
      <c r="BE84">
        <f t="shared" si="25"/>
        <v>0</v>
      </c>
      <c r="BF84">
        <f t="shared" si="16"/>
        <v>0</v>
      </c>
      <c r="BG84">
        <f t="shared" si="17"/>
        <v>0</v>
      </c>
      <c r="BH84">
        <f>BG84+regressions!$AR$1*(AI84-B84)</f>
        <v>0</v>
      </c>
      <c r="BI84">
        <f>BG84-regressions!$AO$1*(AI84-B84)</f>
        <v>0</v>
      </c>
      <c r="BJ84">
        <f t="shared" si="18"/>
        <v>0</v>
      </c>
      <c r="BK84">
        <f>BJ84+regressions!$AR$1*(AT84-B84)</f>
        <v>0</v>
      </c>
      <c r="BL84">
        <f>BJ84-regressions!$AO$1*(AT84-B84)</f>
        <v>0</v>
      </c>
      <c r="BM84">
        <f t="shared" si="26"/>
        <v>0</v>
      </c>
      <c r="BN84">
        <f t="shared" si="19"/>
        <v>0</v>
      </c>
      <c r="BO84">
        <f t="shared" si="20"/>
        <v>0</v>
      </c>
      <c r="BP84">
        <f t="shared" si="27"/>
        <v>0</v>
      </c>
      <c r="BQ84">
        <f t="shared" si="28"/>
        <v>0</v>
      </c>
      <c r="BR84">
        <f t="shared" si="29"/>
        <v>0</v>
      </c>
    </row>
    <row r="85" spans="1:70" x14ac:dyDescent="0.35">
      <c r="A85">
        <v>1932</v>
      </c>
      <c r="B85" s="33">
        <v>0.10550295209251202</v>
      </c>
      <c r="C85">
        <f t="shared" si="30"/>
        <v>-4.1008822292182376E-2</v>
      </c>
      <c r="D85">
        <f>IF($B85&lt;=regressions!$L$2,$B85*regressions!$L$1,regressions!$L$1*regressions!$L$2+regressions!$L$3*($B85-regressions!$L$2))</f>
        <v>-8.3851618975525719E-2</v>
      </c>
      <c r="E85">
        <f>regressions!$J$1*B85+regressions!$J$2*B85^2</f>
        <v>-4.8738107936469058E-2</v>
      </c>
      <c r="F85">
        <f>regressions!$V$1*B85</f>
        <v>-8.3851619212249498E-2</v>
      </c>
      <c r="G85">
        <f>regressions!$N$1*B85^2</f>
        <v>-1.939497427785185E-3</v>
      </c>
      <c r="H85">
        <f>regressions!$R$1*B85^2+regressions!$R$2*B85^6</f>
        <v>-2.1124628491609185E-3</v>
      </c>
      <c r="I85">
        <f>regressions!$P$1*B85^2+regressions!$P$2*B85^7</f>
        <v>-2.0436715273687896E-3</v>
      </c>
      <c r="J85">
        <f>regressions!$T$2+regressions!$T$1*EXP(B85)</f>
        <v>-8.6953297352778541E-4</v>
      </c>
      <c r="K85" s="8">
        <f>(1-EXP(-2*regressions!$X$1*B85))/2/EXP(-regressions!$X$1*B85)</f>
        <v>-4.2954235028584829E-2</v>
      </c>
      <c r="M85" s="33">
        <v>0.10550295209251202</v>
      </c>
      <c r="N85">
        <f t="shared" si="21"/>
        <v>-4.1008822292182376E-2</v>
      </c>
      <c r="O85">
        <f>IF($B85&lt;=regressions!$L$2,$B85*regressions!$L$1,regressions!$L$1*regressions!$L$2+regressions!$L$3*($B85-regressions!$L$2))</f>
        <v>-8.3851618975525719E-2</v>
      </c>
      <c r="P85">
        <f>regressions!$J$1*M85+regressions!$J$2*M85^2</f>
        <v>-4.8738107936469058E-2</v>
      </c>
      <c r="Q85">
        <f>regressions!$V$1*M85</f>
        <v>-8.3851619212249498E-2</v>
      </c>
      <c r="R85">
        <f>regressions!$N$1*M85^2</f>
        <v>-1.939497427785185E-3</v>
      </c>
      <c r="S85">
        <f>regressions!$R$1*M85^2+regressions!$R$2*M85^6</f>
        <v>-2.1124628491609185E-3</v>
      </c>
      <c r="T85">
        <f>regressions!$P$1*M85^2+regressions!$P$2*M85^7</f>
        <v>-2.0436715273687896E-3</v>
      </c>
      <c r="U85">
        <f>regressions!$T$2+regressions!$T$1*EXP(M85)</f>
        <v>-8.6953297352778541E-4</v>
      </c>
      <c r="V85" s="8">
        <f>(1-EXP(-2*regressions!$X$1*M85))/2/EXP(-regressions!$X$1*M85)</f>
        <v>-4.2954235028584829E-2</v>
      </c>
      <c r="X85" s="33">
        <v>0.10550295209251202</v>
      </c>
      <c r="Y85">
        <f t="shared" si="22"/>
        <v>-4.1008822292182376E-2</v>
      </c>
      <c r="Z85">
        <f>IF($B85&lt;=regressions!$L$2,$B85*regressions!$L$1,regressions!$L$1*regressions!$L$2+regressions!$L$3*($B85-regressions!$L$2))</f>
        <v>-8.3851618975525719E-2</v>
      </c>
      <c r="AA85">
        <f>regressions!$J$1*X85+regressions!$J$2*X85^2</f>
        <v>-4.8738107936469058E-2</v>
      </c>
      <c r="AB85">
        <f>regressions!$V$1*X85</f>
        <v>-8.3851619212249498E-2</v>
      </c>
      <c r="AC85">
        <f>regressions!$N$1*X85^2</f>
        <v>-1.939497427785185E-3</v>
      </c>
      <c r="AD85">
        <f>regressions!$R$1*X85^2+regressions!$R$2*X85^6</f>
        <v>-2.1124628491609185E-3</v>
      </c>
      <c r="AE85">
        <f>regressions!$P$1*X85^2+regressions!$P$2*X85^7</f>
        <v>-2.0436715273687896E-3</v>
      </c>
      <c r="AF85">
        <f>regressions!$T$2+regressions!$T$1*EXP(X85)</f>
        <v>-8.6953297352778541E-4</v>
      </c>
      <c r="AG85" s="8">
        <f>(1-EXP(-2*regressions!$X$1*X85))/2/EXP(-regressions!$X$1*X85)</f>
        <v>-4.2954235028584829E-2</v>
      </c>
      <c r="AH85" s="8"/>
      <c r="AI85" s="33">
        <v>0.10550295209251202</v>
      </c>
      <c r="AJ85">
        <f t="shared" si="23"/>
        <v>-4.1008822292182376E-2</v>
      </c>
      <c r="AK85">
        <f>IF(AI85&lt;=regressions!$L$2,AI85*regressions!$L$1,regressions!$L$1*regressions!$L$2+regressions!$L$3*(AI85-regressions!$L$2))</f>
        <v>-8.3851618975525719E-2</v>
      </c>
      <c r="AL85">
        <f>regressions!$J$1*AI85+regressions!$J$2*AI85^2</f>
        <v>-4.8738107936469058E-2</v>
      </c>
      <c r="AM85">
        <f>regressions!$V$1*AI85</f>
        <v>-8.3851619212249498E-2</v>
      </c>
      <c r="AN85">
        <f>regressions!$N$1*AI85^2</f>
        <v>-1.939497427785185E-3</v>
      </c>
      <c r="AO85">
        <f>regressions!$R$1*AI85^2+regressions!$R$2*AI85^6</f>
        <v>-2.1124628491609185E-3</v>
      </c>
      <c r="AP85">
        <f>regressions!$P$1*AI85^2+regressions!$P$2*AI85^7</f>
        <v>-2.0436715273687896E-3</v>
      </c>
      <c r="AQ85">
        <f>regressions!$T$2+regressions!$T$1*EXP(AI85)</f>
        <v>-8.6953297352778541E-4</v>
      </c>
      <c r="AR85" s="8">
        <f>(1-EXP(-2*regressions!$X$1*AI85))/2/EXP(-regressions!$X$1*AI85)</f>
        <v>-4.2954235028584829E-2</v>
      </c>
      <c r="AT85" s="33">
        <v>0.10550295209251202</v>
      </c>
      <c r="AU85">
        <f t="shared" si="24"/>
        <v>-4.1008822292182376E-2</v>
      </c>
      <c r="AV85">
        <f>IF(AT85&lt;=regressions!$L$2,AT85*regressions!$L$1,regressions!$L$1*regressions!$L$2+regressions!$L$3*(AT85-regressions!$L$2))</f>
        <v>-8.3851618975525719E-2</v>
      </c>
      <c r="AW85">
        <f>regressions!$J$1*AT85+regressions!$J$2*AT85^2</f>
        <v>-4.8738107936469058E-2</v>
      </c>
      <c r="AX85">
        <f>regressions!$V$1*AT85</f>
        <v>-8.3851619212249498E-2</v>
      </c>
      <c r="AY85">
        <f>regressions!$N$1*AT85^2</f>
        <v>-1.939497427785185E-3</v>
      </c>
      <c r="AZ85">
        <f>regressions!$R$1*AT85^2+regressions!$R$2*AT85^6</f>
        <v>-2.1124628491609185E-3</v>
      </c>
      <c r="BA85">
        <f>regressions!$P$1*AT85^2+regressions!$P$2*AT85^7</f>
        <v>-2.0436715273687896E-3</v>
      </c>
      <c r="BB85">
        <f>regressions!$T$2+regressions!$T$1*EXP(AT85)</f>
        <v>-8.6953297352778541E-4</v>
      </c>
      <c r="BC85" s="8">
        <f>(1-EXP(-2*regressions!$X$1*AT85))/2/EXP(-regressions!$X$1*AT85)</f>
        <v>-4.2954235028584829E-2</v>
      </c>
      <c r="BE85">
        <f t="shared" si="25"/>
        <v>0</v>
      </c>
      <c r="BF85">
        <f t="shared" si="16"/>
        <v>0</v>
      </c>
      <c r="BG85">
        <f t="shared" si="17"/>
        <v>0</v>
      </c>
      <c r="BH85">
        <f>BG85+regressions!$AR$1*(AI85-B85)</f>
        <v>0</v>
      </c>
      <c r="BI85">
        <f>BG85-regressions!$AO$1*(AI85-B85)</f>
        <v>0</v>
      </c>
      <c r="BJ85">
        <f t="shared" si="18"/>
        <v>0</v>
      </c>
      <c r="BK85">
        <f>BJ85+regressions!$AR$1*(AT85-B85)</f>
        <v>0</v>
      </c>
      <c r="BL85">
        <f>BJ85-regressions!$AO$1*(AT85-B85)</f>
        <v>0</v>
      </c>
      <c r="BM85">
        <f t="shared" si="26"/>
        <v>0</v>
      </c>
      <c r="BN85">
        <f t="shared" si="19"/>
        <v>0</v>
      </c>
      <c r="BO85">
        <f t="shared" si="20"/>
        <v>0</v>
      </c>
      <c r="BP85">
        <f t="shared" si="27"/>
        <v>0</v>
      </c>
      <c r="BQ85">
        <f t="shared" si="28"/>
        <v>0</v>
      </c>
      <c r="BR85">
        <f t="shared" si="29"/>
        <v>0</v>
      </c>
    </row>
    <row r="86" spans="1:70" x14ac:dyDescent="0.35">
      <c r="A86">
        <v>1933</v>
      </c>
      <c r="B86" s="33">
        <v>0.10885920407479248</v>
      </c>
      <c r="C86">
        <f t="shared" si="30"/>
        <v>-4.2342886761085712E-2</v>
      </c>
      <c r="D86">
        <f>IF($B86&lt;=regressions!$L$2,$B86*regressions!$L$1,regressions!$L$1*regressions!$L$2+regressions!$L$3*($B86-regressions!$L$2))</f>
        <v>-8.6519100376020175E-2</v>
      </c>
      <c r="E86">
        <f>regressions!$J$1*B86+regressions!$J$2*B86^2</f>
        <v>-5.0318422962485163E-2</v>
      </c>
      <c r="F86">
        <f>regressions!$V$1*B86</f>
        <v>-8.6519100620274597E-2</v>
      </c>
      <c r="G86">
        <f>regressions!$N$1*B86^2</f>
        <v>-2.0648584891900961E-3</v>
      </c>
      <c r="H86">
        <f>regressions!$R$1*B86^2+regressions!$R$2*B86^6</f>
        <v>-2.2490036751360866E-3</v>
      </c>
      <c r="I86">
        <f>regressions!$P$1*B86^2+regressions!$P$2*B86^7</f>
        <v>-2.1757659700390895E-3</v>
      </c>
      <c r="J86">
        <f>regressions!$T$2+regressions!$T$1*EXP(B86)</f>
        <v>-8.9872829634524837E-4</v>
      </c>
      <c r="K86" s="8">
        <f>(1-EXP(-2*regressions!$X$1*B86))/2/EXP(-regressions!$X$1*B86)</f>
        <v>-4.4321572209225717E-2</v>
      </c>
      <c r="M86" s="33">
        <v>0.10885920407479248</v>
      </c>
      <c r="N86">
        <f t="shared" si="21"/>
        <v>-4.2342886761085712E-2</v>
      </c>
      <c r="O86">
        <f>IF($B86&lt;=regressions!$L$2,$B86*regressions!$L$1,regressions!$L$1*regressions!$L$2+regressions!$L$3*($B86-regressions!$L$2))</f>
        <v>-8.6519100376020175E-2</v>
      </c>
      <c r="P86">
        <f>regressions!$J$1*M86+regressions!$J$2*M86^2</f>
        <v>-5.0318422962485163E-2</v>
      </c>
      <c r="Q86">
        <f>regressions!$V$1*M86</f>
        <v>-8.6519100620274597E-2</v>
      </c>
      <c r="R86">
        <f>regressions!$N$1*M86^2</f>
        <v>-2.0648584891900961E-3</v>
      </c>
      <c r="S86">
        <f>regressions!$R$1*M86^2+regressions!$R$2*M86^6</f>
        <v>-2.2490036751360866E-3</v>
      </c>
      <c r="T86">
        <f>regressions!$P$1*M86^2+regressions!$P$2*M86^7</f>
        <v>-2.1757659700390895E-3</v>
      </c>
      <c r="U86">
        <f>regressions!$T$2+regressions!$T$1*EXP(M86)</f>
        <v>-8.9872829634524837E-4</v>
      </c>
      <c r="V86" s="8">
        <f>(1-EXP(-2*regressions!$X$1*M86))/2/EXP(-regressions!$X$1*M86)</f>
        <v>-4.4321572209225717E-2</v>
      </c>
      <c r="X86" s="33">
        <v>0.10885920407479248</v>
      </c>
      <c r="Y86">
        <f t="shared" si="22"/>
        <v>-4.2342886761085712E-2</v>
      </c>
      <c r="Z86">
        <f>IF($B86&lt;=regressions!$L$2,$B86*regressions!$L$1,regressions!$L$1*regressions!$L$2+regressions!$L$3*($B86-regressions!$L$2))</f>
        <v>-8.6519100376020175E-2</v>
      </c>
      <c r="AA86">
        <f>regressions!$J$1*X86+regressions!$J$2*X86^2</f>
        <v>-5.0318422962485163E-2</v>
      </c>
      <c r="AB86">
        <f>regressions!$V$1*X86</f>
        <v>-8.6519100620274597E-2</v>
      </c>
      <c r="AC86">
        <f>regressions!$N$1*X86^2</f>
        <v>-2.0648584891900961E-3</v>
      </c>
      <c r="AD86">
        <f>regressions!$R$1*X86^2+regressions!$R$2*X86^6</f>
        <v>-2.2490036751360866E-3</v>
      </c>
      <c r="AE86">
        <f>regressions!$P$1*X86^2+regressions!$P$2*X86^7</f>
        <v>-2.1757659700390895E-3</v>
      </c>
      <c r="AF86">
        <f>regressions!$T$2+regressions!$T$1*EXP(X86)</f>
        <v>-8.9872829634524837E-4</v>
      </c>
      <c r="AG86" s="8">
        <f>(1-EXP(-2*regressions!$X$1*X86))/2/EXP(-regressions!$X$1*X86)</f>
        <v>-4.4321572209225717E-2</v>
      </c>
      <c r="AH86" s="8"/>
      <c r="AI86" s="33">
        <v>0.10885920407479248</v>
      </c>
      <c r="AJ86">
        <f t="shared" si="23"/>
        <v>-4.2342886761085712E-2</v>
      </c>
      <c r="AK86">
        <f>IF(AI86&lt;=regressions!$L$2,AI86*regressions!$L$1,regressions!$L$1*regressions!$L$2+regressions!$L$3*(AI86-regressions!$L$2))</f>
        <v>-8.6519100376020175E-2</v>
      </c>
      <c r="AL86">
        <f>regressions!$J$1*AI86+regressions!$J$2*AI86^2</f>
        <v>-5.0318422962485163E-2</v>
      </c>
      <c r="AM86">
        <f>regressions!$V$1*AI86</f>
        <v>-8.6519100620274597E-2</v>
      </c>
      <c r="AN86">
        <f>regressions!$N$1*AI86^2</f>
        <v>-2.0648584891900961E-3</v>
      </c>
      <c r="AO86">
        <f>regressions!$R$1*AI86^2+regressions!$R$2*AI86^6</f>
        <v>-2.2490036751360866E-3</v>
      </c>
      <c r="AP86">
        <f>regressions!$P$1*AI86^2+regressions!$P$2*AI86^7</f>
        <v>-2.1757659700390895E-3</v>
      </c>
      <c r="AQ86">
        <f>regressions!$T$2+regressions!$T$1*EXP(AI86)</f>
        <v>-8.9872829634524837E-4</v>
      </c>
      <c r="AR86" s="8">
        <f>(1-EXP(-2*regressions!$X$1*AI86))/2/EXP(-regressions!$X$1*AI86)</f>
        <v>-4.4321572209225717E-2</v>
      </c>
      <c r="AT86" s="33">
        <v>0.10885920407479248</v>
      </c>
      <c r="AU86">
        <f t="shared" si="24"/>
        <v>-4.2342886761085712E-2</v>
      </c>
      <c r="AV86">
        <f>IF(AT86&lt;=regressions!$L$2,AT86*regressions!$L$1,regressions!$L$1*regressions!$L$2+regressions!$L$3*(AT86-regressions!$L$2))</f>
        <v>-8.6519100376020175E-2</v>
      </c>
      <c r="AW86">
        <f>regressions!$J$1*AT86+regressions!$J$2*AT86^2</f>
        <v>-5.0318422962485163E-2</v>
      </c>
      <c r="AX86">
        <f>regressions!$V$1*AT86</f>
        <v>-8.6519100620274597E-2</v>
      </c>
      <c r="AY86">
        <f>regressions!$N$1*AT86^2</f>
        <v>-2.0648584891900961E-3</v>
      </c>
      <c r="AZ86">
        <f>regressions!$R$1*AT86^2+regressions!$R$2*AT86^6</f>
        <v>-2.2490036751360866E-3</v>
      </c>
      <c r="BA86">
        <f>regressions!$P$1*AT86^2+regressions!$P$2*AT86^7</f>
        <v>-2.1757659700390895E-3</v>
      </c>
      <c r="BB86">
        <f>regressions!$T$2+regressions!$T$1*EXP(AT86)</f>
        <v>-8.9872829634524837E-4</v>
      </c>
      <c r="BC86" s="8">
        <f>(1-EXP(-2*regressions!$X$1*AT86))/2/EXP(-regressions!$X$1*AT86)</f>
        <v>-4.4321572209225717E-2</v>
      </c>
      <c r="BE86">
        <f t="shared" si="25"/>
        <v>0</v>
      </c>
      <c r="BF86">
        <f t="shared" si="16"/>
        <v>0</v>
      </c>
      <c r="BG86">
        <f t="shared" si="17"/>
        <v>0</v>
      </c>
      <c r="BH86">
        <f>BG86+regressions!$AR$1*(AI86-B86)</f>
        <v>0</v>
      </c>
      <c r="BI86">
        <f>BG86-regressions!$AO$1*(AI86-B86)</f>
        <v>0</v>
      </c>
      <c r="BJ86">
        <f t="shared" si="18"/>
        <v>0</v>
      </c>
      <c r="BK86">
        <f>BJ86+regressions!$AR$1*(AT86-B86)</f>
        <v>0</v>
      </c>
      <c r="BL86">
        <f>BJ86-regressions!$AO$1*(AT86-B86)</f>
        <v>0</v>
      </c>
      <c r="BM86">
        <f t="shared" si="26"/>
        <v>0</v>
      </c>
      <c r="BN86">
        <f t="shared" si="19"/>
        <v>0</v>
      </c>
      <c r="BO86">
        <f t="shared" si="20"/>
        <v>0</v>
      </c>
      <c r="BP86">
        <f t="shared" si="27"/>
        <v>0</v>
      </c>
      <c r="BQ86">
        <f t="shared" si="28"/>
        <v>0</v>
      </c>
      <c r="BR86">
        <f t="shared" si="29"/>
        <v>0</v>
      </c>
    </row>
    <row r="87" spans="1:70" x14ac:dyDescent="0.35">
      <c r="A87">
        <v>1934</v>
      </c>
      <c r="B87" s="33">
        <v>0.11222389287601003</v>
      </c>
      <c r="C87">
        <f t="shared" si="30"/>
        <v>-4.3682135292266985E-2</v>
      </c>
      <c r="D87">
        <f>IF($B87&lt;=regressions!$L$2,$B87*regressions!$L$1,regressions!$L$1*regressions!$L$2+regressions!$L$3*($B87-regressions!$L$2))</f>
        <v>-8.9193287190086942E-2</v>
      </c>
      <c r="E87">
        <f>regressions!$J$1*B87+regressions!$J$2*B87^2</f>
        <v>-5.1904558831618201E-2</v>
      </c>
      <c r="F87">
        <f>regressions!$V$1*B87</f>
        <v>-8.9193287441890923E-2</v>
      </c>
      <c r="G87">
        <f>regressions!$N$1*B87^2</f>
        <v>-2.194475029894798E-3</v>
      </c>
      <c r="H87">
        <f>regressions!$R$1*B87^2+regressions!$R$2*B87^6</f>
        <v>-2.3901794858391073E-3</v>
      </c>
      <c r="I87">
        <f>regressions!$P$1*B87^2+regressions!$P$2*B87^7</f>
        <v>-2.3123444618977202E-3</v>
      </c>
      <c r="J87">
        <f>regressions!$T$2+regressions!$T$1*EXP(B87)</f>
        <v>-9.2809553141798978E-4</v>
      </c>
      <c r="K87" s="8">
        <f>(1-EXP(-2*regressions!$X$1*B87))/2/EXP(-regressions!$X$1*B87)</f>
        <v>-4.5692429571077414E-2</v>
      </c>
      <c r="M87" s="33">
        <v>0.11222389287601003</v>
      </c>
      <c r="N87">
        <f t="shared" si="21"/>
        <v>-4.3682135292266985E-2</v>
      </c>
      <c r="O87">
        <f>IF($B87&lt;=regressions!$L$2,$B87*regressions!$L$1,regressions!$L$1*regressions!$L$2+regressions!$L$3*($B87-regressions!$L$2))</f>
        <v>-8.9193287190086942E-2</v>
      </c>
      <c r="P87">
        <f>regressions!$J$1*M87+regressions!$J$2*M87^2</f>
        <v>-5.1904558831618201E-2</v>
      </c>
      <c r="Q87">
        <f>regressions!$V$1*M87</f>
        <v>-8.9193287441890923E-2</v>
      </c>
      <c r="R87">
        <f>regressions!$N$1*M87^2</f>
        <v>-2.194475029894798E-3</v>
      </c>
      <c r="S87">
        <f>regressions!$R$1*M87^2+regressions!$R$2*M87^6</f>
        <v>-2.3901794858391073E-3</v>
      </c>
      <c r="T87">
        <f>regressions!$P$1*M87^2+regressions!$P$2*M87^7</f>
        <v>-2.3123444618977202E-3</v>
      </c>
      <c r="U87">
        <f>regressions!$T$2+regressions!$T$1*EXP(M87)</f>
        <v>-9.2809553141798978E-4</v>
      </c>
      <c r="V87" s="8">
        <f>(1-EXP(-2*regressions!$X$1*M87))/2/EXP(-regressions!$X$1*M87)</f>
        <v>-4.5692429571077414E-2</v>
      </c>
      <c r="X87" s="33">
        <v>0.11222389287601003</v>
      </c>
      <c r="Y87">
        <f t="shared" si="22"/>
        <v>-4.3682135292266985E-2</v>
      </c>
      <c r="Z87">
        <f>IF($B87&lt;=regressions!$L$2,$B87*regressions!$L$1,regressions!$L$1*regressions!$L$2+regressions!$L$3*($B87-regressions!$L$2))</f>
        <v>-8.9193287190086942E-2</v>
      </c>
      <c r="AA87">
        <f>regressions!$J$1*X87+regressions!$J$2*X87^2</f>
        <v>-5.1904558831618201E-2</v>
      </c>
      <c r="AB87">
        <f>regressions!$V$1*X87</f>
        <v>-8.9193287441890923E-2</v>
      </c>
      <c r="AC87">
        <f>regressions!$N$1*X87^2</f>
        <v>-2.194475029894798E-3</v>
      </c>
      <c r="AD87">
        <f>regressions!$R$1*X87^2+regressions!$R$2*X87^6</f>
        <v>-2.3901794858391073E-3</v>
      </c>
      <c r="AE87">
        <f>regressions!$P$1*X87^2+regressions!$P$2*X87^7</f>
        <v>-2.3123444618977202E-3</v>
      </c>
      <c r="AF87">
        <f>regressions!$T$2+regressions!$T$1*EXP(X87)</f>
        <v>-9.2809553141798978E-4</v>
      </c>
      <c r="AG87" s="8">
        <f>(1-EXP(-2*regressions!$X$1*X87))/2/EXP(-regressions!$X$1*X87)</f>
        <v>-4.5692429571077414E-2</v>
      </c>
      <c r="AH87" s="8"/>
      <c r="AI87" s="33">
        <v>0.11222389287601003</v>
      </c>
      <c r="AJ87">
        <f t="shared" si="23"/>
        <v>-4.3682135292266985E-2</v>
      </c>
      <c r="AK87">
        <f>IF(AI87&lt;=regressions!$L$2,AI87*regressions!$L$1,regressions!$L$1*regressions!$L$2+regressions!$L$3*(AI87-regressions!$L$2))</f>
        <v>-8.9193287190086942E-2</v>
      </c>
      <c r="AL87">
        <f>regressions!$J$1*AI87+regressions!$J$2*AI87^2</f>
        <v>-5.1904558831618201E-2</v>
      </c>
      <c r="AM87">
        <f>regressions!$V$1*AI87</f>
        <v>-8.9193287441890923E-2</v>
      </c>
      <c r="AN87">
        <f>regressions!$N$1*AI87^2</f>
        <v>-2.194475029894798E-3</v>
      </c>
      <c r="AO87">
        <f>regressions!$R$1*AI87^2+regressions!$R$2*AI87^6</f>
        <v>-2.3901794858391073E-3</v>
      </c>
      <c r="AP87">
        <f>regressions!$P$1*AI87^2+regressions!$P$2*AI87^7</f>
        <v>-2.3123444618977202E-3</v>
      </c>
      <c r="AQ87">
        <f>regressions!$T$2+regressions!$T$1*EXP(AI87)</f>
        <v>-9.2809553141798978E-4</v>
      </c>
      <c r="AR87" s="8">
        <f>(1-EXP(-2*regressions!$X$1*AI87))/2/EXP(-regressions!$X$1*AI87)</f>
        <v>-4.5692429571077414E-2</v>
      </c>
      <c r="AT87" s="33">
        <v>0.11222389287601003</v>
      </c>
      <c r="AU87">
        <f t="shared" si="24"/>
        <v>-4.3682135292266985E-2</v>
      </c>
      <c r="AV87">
        <f>IF(AT87&lt;=regressions!$L$2,AT87*regressions!$L$1,regressions!$L$1*regressions!$L$2+regressions!$L$3*(AT87-regressions!$L$2))</f>
        <v>-8.9193287190086942E-2</v>
      </c>
      <c r="AW87">
        <f>regressions!$J$1*AT87+regressions!$J$2*AT87^2</f>
        <v>-5.1904558831618201E-2</v>
      </c>
      <c r="AX87">
        <f>regressions!$V$1*AT87</f>
        <v>-8.9193287441890923E-2</v>
      </c>
      <c r="AY87">
        <f>regressions!$N$1*AT87^2</f>
        <v>-2.194475029894798E-3</v>
      </c>
      <c r="AZ87">
        <f>regressions!$R$1*AT87^2+regressions!$R$2*AT87^6</f>
        <v>-2.3901794858391073E-3</v>
      </c>
      <c r="BA87">
        <f>regressions!$P$1*AT87^2+regressions!$P$2*AT87^7</f>
        <v>-2.3123444618977202E-3</v>
      </c>
      <c r="BB87">
        <f>regressions!$T$2+regressions!$T$1*EXP(AT87)</f>
        <v>-9.2809553141798978E-4</v>
      </c>
      <c r="BC87" s="8">
        <f>(1-EXP(-2*regressions!$X$1*AT87))/2/EXP(-regressions!$X$1*AT87)</f>
        <v>-4.5692429571077414E-2</v>
      </c>
      <c r="BE87">
        <f t="shared" si="25"/>
        <v>0</v>
      </c>
      <c r="BF87">
        <f t="shared" si="16"/>
        <v>0</v>
      </c>
      <c r="BG87">
        <f t="shared" si="17"/>
        <v>0</v>
      </c>
      <c r="BH87">
        <f>BG87+regressions!$AR$1*(AI87-B87)</f>
        <v>0</v>
      </c>
      <c r="BI87">
        <f>BG87-regressions!$AO$1*(AI87-B87)</f>
        <v>0</v>
      </c>
      <c r="BJ87">
        <f t="shared" si="18"/>
        <v>0</v>
      </c>
      <c r="BK87">
        <f>BJ87+regressions!$AR$1*(AT87-B87)</f>
        <v>0</v>
      </c>
      <c r="BL87">
        <f>BJ87-regressions!$AO$1*(AT87-B87)</f>
        <v>0</v>
      </c>
      <c r="BM87">
        <f t="shared" si="26"/>
        <v>0</v>
      </c>
      <c r="BN87">
        <f t="shared" si="19"/>
        <v>0</v>
      </c>
      <c r="BO87">
        <f t="shared" si="20"/>
        <v>0</v>
      </c>
      <c r="BP87">
        <f t="shared" si="27"/>
        <v>0</v>
      </c>
      <c r="BQ87">
        <f t="shared" si="28"/>
        <v>0</v>
      </c>
      <c r="BR87">
        <f t="shared" si="29"/>
        <v>0</v>
      </c>
    </row>
    <row r="88" spans="1:70" x14ac:dyDescent="0.35">
      <c r="A88">
        <v>1935</v>
      </c>
      <c r="B88" s="33">
        <v>0.1156169741493546</v>
      </c>
      <c r="C88">
        <f t="shared" si="30"/>
        <v>-4.5034541448465866E-2</v>
      </c>
      <c r="D88">
        <f>IF($B88&lt;=regressions!$L$2,$B88*regressions!$L$1,regressions!$L$1*regressions!$L$2+regressions!$L$3*($B88-regressions!$L$2))</f>
        <v>-9.1890039768498175E-2</v>
      </c>
      <c r="E88">
        <f>regressions!$J$1*B88+regressions!$J$2*B88^2</f>
        <v>-5.3505953211732474E-2</v>
      </c>
      <c r="F88">
        <f>regressions!$V$1*B88</f>
        <v>-9.189004002791544E-2</v>
      </c>
      <c r="G88">
        <f>regressions!$N$1*B88^2</f>
        <v>-2.329180698288929E-3</v>
      </c>
      <c r="H88">
        <f>regressions!$R$1*B88^2+regressions!$R$2*B88^6</f>
        <v>-2.5368982747774396E-3</v>
      </c>
      <c r="I88">
        <f>regressions!$P$1*B88^2+regressions!$P$2*B88^7</f>
        <v>-2.4542854281750614E-3</v>
      </c>
      <c r="J88">
        <f>regressions!$T$2+regressions!$T$1*EXP(B88)</f>
        <v>-9.5781081325971643E-4</v>
      </c>
      <c r="K88" s="8">
        <f>(1-EXP(-2*regressions!$X$1*B88))/2/EXP(-regressions!$X$1*B88)</f>
        <v>-4.707494151663448E-2</v>
      </c>
      <c r="M88" s="33">
        <v>0.1156169741493546</v>
      </c>
      <c r="N88">
        <f t="shared" si="21"/>
        <v>-4.5034541448465866E-2</v>
      </c>
      <c r="O88">
        <f>IF($B88&lt;=regressions!$L$2,$B88*regressions!$L$1,regressions!$L$1*regressions!$L$2+regressions!$L$3*($B88-regressions!$L$2))</f>
        <v>-9.1890039768498175E-2</v>
      </c>
      <c r="P88">
        <f>regressions!$J$1*M88+regressions!$J$2*M88^2</f>
        <v>-5.3505953211732474E-2</v>
      </c>
      <c r="Q88">
        <f>regressions!$V$1*M88</f>
        <v>-9.189004002791544E-2</v>
      </c>
      <c r="R88">
        <f>regressions!$N$1*M88^2</f>
        <v>-2.329180698288929E-3</v>
      </c>
      <c r="S88">
        <f>regressions!$R$1*M88^2+regressions!$R$2*M88^6</f>
        <v>-2.5368982747774396E-3</v>
      </c>
      <c r="T88">
        <f>regressions!$P$1*M88^2+regressions!$P$2*M88^7</f>
        <v>-2.4542854281750614E-3</v>
      </c>
      <c r="U88">
        <f>regressions!$T$2+regressions!$T$1*EXP(M88)</f>
        <v>-9.5781081325971643E-4</v>
      </c>
      <c r="V88" s="8">
        <f>(1-EXP(-2*regressions!$X$1*M88))/2/EXP(-regressions!$X$1*M88)</f>
        <v>-4.707494151663448E-2</v>
      </c>
      <c r="X88" s="33">
        <v>0.1156169741493546</v>
      </c>
      <c r="Y88">
        <f t="shared" si="22"/>
        <v>-4.5034541448465866E-2</v>
      </c>
      <c r="Z88">
        <f>IF($B88&lt;=regressions!$L$2,$B88*regressions!$L$1,regressions!$L$1*regressions!$L$2+regressions!$L$3*($B88-regressions!$L$2))</f>
        <v>-9.1890039768498175E-2</v>
      </c>
      <c r="AA88">
        <f>regressions!$J$1*X88+regressions!$J$2*X88^2</f>
        <v>-5.3505953211732474E-2</v>
      </c>
      <c r="AB88">
        <f>regressions!$V$1*X88</f>
        <v>-9.189004002791544E-2</v>
      </c>
      <c r="AC88">
        <f>regressions!$N$1*X88^2</f>
        <v>-2.329180698288929E-3</v>
      </c>
      <c r="AD88">
        <f>regressions!$R$1*X88^2+regressions!$R$2*X88^6</f>
        <v>-2.5368982747774396E-3</v>
      </c>
      <c r="AE88">
        <f>regressions!$P$1*X88^2+regressions!$P$2*X88^7</f>
        <v>-2.4542854281750614E-3</v>
      </c>
      <c r="AF88">
        <f>regressions!$T$2+regressions!$T$1*EXP(X88)</f>
        <v>-9.5781081325971643E-4</v>
      </c>
      <c r="AG88" s="8">
        <f>(1-EXP(-2*regressions!$X$1*X88))/2/EXP(-regressions!$X$1*X88)</f>
        <v>-4.707494151663448E-2</v>
      </c>
      <c r="AH88" s="8"/>
      <c r="AI88" s="33">
        <v>0.1156169741493546</v>
      </c>
      <c r="AJ88">
        <f t="shared" si="23"/>
        <v>-4.5034541448465866E-2</v>
      </c>
      <c r="AK88">
        <f>IF(AI88&lt;=regressions!$L$2,AI88*regressions!$L$1,regressions!$L$1*regressions!$L$2+regressions!$L$3*(AI88-regressions!$L$2))</f>
        <v>-9.1890039768498175E-2</v>
      </c>
      <c r="AL88">
        <f>regressions!$J$1*AI88+regressions!$J$2*AI88^2</f>
        <v>-5.3505953211732474E-2</v>
      </c>
      <c r="AM88">
        <f>regressions!$V$1*AI88</f>
        <v>-9.189004002791544E-2</v>
      </c>
      <c r="AN88">
        <f>regressions!$N$1*AI88^2</f>
        <v>-2.329180698288929E-3</v>
      </c>
      <c r="AO88">
        <f>regressions!$R$1*AI88^2+regressions!$R$2*AI88^6</f>
        <v>-2.5368982747774396E-3</v>
      </c>
      <c r="AP88">
        <f>regressions!$P$1*AI88^2+regressions!$P$2*AI88^7</f>
        <v>-2.4542854281750614E-3</v>
      </c>
      <c r="AQ88">
        <f>regressions!$T$2+regressions!$T$1*EXP(AI88)</f>
        <v>-9.5781081325971643E-4</v>
      </c>
      <c r="AR88" s="8">
        <f>(1-EXP(-2*regressions!$X$1*AI88))/2/EXP(-regressions!$X$1*AI88)</f>
        <v>-4.707494151663448E-2</v>
      </c>
      <c r="AT88" s="33">
        <v>0.1156169741493546</v>
      </c>
      <c r="AU88">
        <f t="shared" si="24"/>
        <v>-4.5034541448465866E-2</v>
      </c>
      <c r="AV88">
        <f>IF(AT88&lt;=regressions!$L$2,AT88*regressions!$L$1,regressions!$L$1*regressions!$L$2+regressions!$L$3*(AT88-regressions!$L$2))</f>
        <v>-9.1890039768498175E-2</v>
      </c>
      <c r="AW88">
        <f>regressions!$J$1*AT88+regressions!$J$2*AT88^2</f>
        <v>-5.3505953211732474E-2</v>
      </c>
      <c r="AX88">
        <f>regressions!$V$1*AT88</f>
        <v>-9.189004002791544E-2</v>
      </c>
      <c r="AY88">
        <f>regressions!$N$1*AT88^2</f>
        <v>-2.329180698288929E-3</v>
      </c>
      <c r="AZ88">
        <f>regressions!$R$1*AT88^2+regressions!$R$2*AT88^6</f>
        <v>-2.5368982747774396E-3</v>
      </c>
      <c r="BA88">
        <f>regressions!$P$1*AT88^2+regressions!$P$2*AT88^7</f>
        <v>-2.4542854281750614E-3</v>
      </c>
      <c r="BB88">
        <f>regressions!$T$2+regressions!$T$1*EXP(AT88)</f>
        <v>-9.5781081325971643E-4</v>
      </c>
      <c r="BC88" s="8">
        <f>(1-EXP(-2*regressions!$X$1*AT88))/2/EXP(-regressions!$X$1*AT88)</f>
        <v>-4.707494151663448E-2</v>
      </c>
      <c r="BE88">
        <f t="shared" si="25"/>
        <v>0</v>
      </c>
      <c r="BF88">
        <f t="shared" si="16"/>
        <v>0</v>
      </c>
      <c r="BG88">
        <f t="shared" si="17"/>
        <v>0</v>
      </c>
      <c r="BH88">
        <f>BG88+regressions!$AR$1*(AI88-B88)</f>
        <v>0</v>
      </c>
      <c r="BI88">
        <f>BG88-regressions!$AO$1*(AI88-B88)</f>
        <v>0</v>
      </c>
      <c r="BJ88">
        <f t="shared" si="18"/>
        <v>0</v>
      </c>
      <c r="BK88">
        <f>BJ88+regressions!$AR$1*(AT88-B88)</f>
        <v>0</v>
      </c>
      <c r="BL88">
        <f>BJ88-regressions!$AO$1*(AT88-B88)</f>
        <v>0</v>
      </c>
      <c r="BM88">
        <f t="shared" si="26"/>
        <v>0</v>
      </c>
      <c r="BN88">
        <f t="shared" si="19"/>
        <v>0</v>
      </c>
      <c r="BO88">
        <f t="shared" si="20"/>
        <v>0</v>
      </c>
      <c r="BP88">
        <f t="shared" si="27"/>
        <v>0</v>
      </c>
      <c r="BQ88">
        <f t="shared" si="28"/>
        <v>0</v>
      </c>
      <c r="BR88">
        <f t="shared" si="29"/>
        <v>0</v>
      </c>
    </row>
    <row r="89" spans="1:70" x14ac:dyDescent="0.35">
      <c r="A89">
        <v>1936</v>
      </c>
      <c r="B89" s="33">
        <v>0.11904961647345401</v>
      </c>
      <c r="C89">
        <f t="shared" si="30"/>
        <v>-4.6404613309279315E-2</v>
      </c>
      <c r="D89">
        <f>IF($B89&lt;=regressions!$L$2,$B89*regressions!$L$1,regressions!$L$1*regressions!$L$2+regressions!$L$3*($B89-regressions!$L$2))</f>
        <v>-9.4618234672345577E-2</v>
      </c>
      <c r="E89">
        <f>regressions!$J$1*B89+regressions!$J$2*B89^2</f>
        <v>-5.5127933809420222E-2</v>
      </c>
      <c r="F89">
        <f>regressions!$V$1*B89</f>
        <v>-9.4618234939464876E-2</v>
      </c>
      <c r="G89">
        <f>regressions!$N$1*B89^2</f>
        <v>-2.4695395481802869E-3</v>
      </c>
      <c r="H89">
        <f>regressions!$R$1*B89^2+regressions!$R$2*B89^6</f>
        <v>-2.6897743982744414E-3</v>
      </c>
      <c r="I89">
        <f>regressions!$P$1*B89^2+regressions!$P$2*B89^7</f>
        <v>-2.6021832190810949E-3</v>
      </c>
      <c r="J89">
        <f>regressions!$T$2+regressions!$T$1*EXP(B89)</f>
        <v>-9.8797532753144325E-4</v>
      </c>
      <c r="K89" s="8">
        <f>(1-EXP(-2*regressions!$X$1*B89))/2/EXP(-regressions!$X$1*B89)</f>
        <v>-4.8473663993523118E-2</v>
      </c>
      <c r="M89" s="33">
        <v>0.11904961647345401</v>
      </c>
      <c r="N89">
        <f t="shared" si="21"/>
        <v>-4.6404613309279315E-2</v>
      </c>
      <c r="O89">
        <f>IF($B89&lt;=regressions!$L$2,$B89*regressions!$L$1,regressions!$L$1*regressions!$L$2+regressions!$L$3*($B89-regressions!$L$2))</f>
        <v>-9.4618234672345577E-2</v>
      </c>
      <c r="P89">
        <f>regressions!$J$1*M89+regressions!$J$2*M89^2</f>
        <v>-5.5127933809420222E-2</v>
      </c>
      <c r="Q89">
        <f>regressions!$V$1*M89</f>
        <v>-9.4618234939464876E-2</v>
      </c>
      <c r="R89">
        <f>regressions!$N$1*M89^2</f>
        <v>-2.4695395481802869E-3</v>
      </c>
      <c r="S89">
        <f>regressions!$R$1*M89^2+regressions!$R$2*M89^6</f>
        <v>-2.6897743982744414E-3</v>
      </c>
      <c r="T89">
        <f>regressions!$P$1*M89^2+regressions!$P$2*M89^7</f>
        <v>-2.6021832190810949E-3</v>
      </c>
      <c r="U89">
        <f>regressions!$T$2+regressions!$T$1*EXP(M89)</f>
        <v>-9.8797532753144325E-4</v>
      </c>
      <c r="V89" s="8">
        <f>(1-EXP(-2*regressions!$X$1*M89))/2/EXP(-regressions!$X$1*M89)</f>
        <v>-4.8473663993523118E-2</v>
      </c>
      <c r="X89" s="33">
        <v>0.11904961647345401</v>
      </c>
      <c r="Y89">
        <f t="shared" si="22"/>
        <v>-4.6404613309279315E-2</v>
      </c>
      <c r="Z89">
        <f>IF($B89&lt;=regressions!$L$2,$B89*regressions!$L$1,regressions!$L$1*regressions!$L$2+regressions!$L$3*($B89-regressions!$L$2))</f>
        <v>-9.4618234672345577E-2</v>
      </c>
      <c r="AA89">
        <f>regressions!$J$1*X89+regressions!$J$2*X89^2</f>
        <v>-5.5127933809420222E-2</v>
      </c>
      <c r="AB89">
        <f>regressions!$V$1*X89</f>
        <v>-9.4618234939464876E-2</v>
      </c>
      <c r="AC89">
        <f>regressions!$N$1*X89^2</f>
        <v>-2.4695395481802869E-3</v>
      </c>
      <c r="AD89">
        <f>regressions!$R$1*X89^2+regressions!$R$2*X89^6</f>
        <v>-2.6897743982744414E-3</v>
      </c>
      <c r="AE89">
        <f>regressions!$P$1*X89^2+regressions!$P$2*X89^7</f>
        <v>-2.6021832190810949E-3</v>
      </c>
      <c r="AF89">
        <f>regressions!$T$2+regressions!$T$1*EXP(X89)</f>
        <v>-9.8797532753144325E-4</v>
      </c>
      <c r="AG89" s="8">
        <f>(1-EXP(-2*regressions!$X$1*X89))/2/EXP(-regressions!$X$1*X89)</f>
        <v>-4.8473663993523118E-2</v>
      </c>
      <c r="AH89" s="8"/>
      <c r="AI89" s="33">
        <v>0.11904961647345401</v>
      </c>
      <c r="AJ89">
        <f t="shared" si="23"/>
        <v>-4.6404613309279315E-2</v>
      </c>
      <c r="AK89">
        <f>IF(AI89&lt;=regressions!$L$2,AI89*regressions!$L$1,regressions!$L$1*regressions!$L$2+regressions!$L$3*(AI89-regressions!$L$2))</f>
        <v>-9.4618234672345577E-2</v>
      </c>
      <c r="AL89">
        <f>regressions!$J$1*AI89+regressions!$J$2*AI89^2</f>
        <v>-5.5127933809420222E-2</v>
      </c>
      <c r="AM89">
        <f>regressions!$V$1*AI89</f>
        <v>-9.4618234939464876E-2</v>
      </c>
      <c r="AN89">
        <f>regressions!$N$1*AI89^2</f>
        <v>-2.4695395481802869E-3</v>
      </c>
      <c r="AO89">
        <f>regressions!$R$1*AI89^2+regressions!$R$2*AI89^6</f>
        <v>-2.6897743982744414E-3</v>
      </c>
      <c r="AP89">
        <f>regressions!$P$1*AI89^2+regressions!$P$2*AI89^7</f>
        <v>-2.6021832190810949E-3</v>
      </c>
      <c r="AQ89">
        <f>regressions!$T$2+regressions!$T$1*EXP(AI89)</f>
        <v>-9.8797532753144325E-4</v>
      </c>
      <c r="AR89" s="8">
        <f>(1-EXP(-2*regressions!$X$1*AI89))/2/EXP(-regressions!$X$1*AI89)</f>
        <v>-4.8473663993523118E-2</v>
      </c>
      <c r="AT89" s="33">
        <v>0.11904961647345401</v>
      </c>
      <c r="AU89">
        <f t="shared" si="24"/>
        <v>-4.6404613309279315E-2</v>
      </c>
      <c r="AV89">
        <f>IF(AT89&lt;=regressions!$L$2,AT89*regressions!$L$1,regressions!$L$1*regressions!$L$2+regressions!$L$3*(AT89-regressions!$L$2))</f>
        <v>-9.4618234672345577E-2</v>
      </c>
      <c r="AW89">
        <f>regressions!$J$1*AT89+regressions!$J$2*AT89^2</f>
        <v>-5.5127933809420222E-2</v>
      </c>
      <c r="AX89">
        <f>regressions!$V$1*AT89</f>
        <v>-9.4618234939464876E-2</v>
      </c>
      <c r="AY89">
        <f>regressions!$N$1*AT89^2</f>
        <v>-2.4695395481802869E-3</v>
      </c>
      <c r="AZ89">
        <f>regressions!$R$1*AT89^2+regressions!$R$2*AT89^6</f>
        <v>-2.6897743982744414E-3</v>
      </c>
      <c r="BA89">
        <f>regressions!$P$1*AT89^2+regressions!$P$2*AT89^7</f>
        <v>-2.6021832190810949E-3</v>
      </c>
      <c r="BB89">
        <f>regressions!$T$2+regressions!$T$1*EXP(AT89)</f>
        <v>-9.8797532753144325E-4</v>
      </c>
      <c r="BC89" s="8">
        <f>(1-EXP(-2*regressions!$X$1*AT89))/2/EXP(-regressions!$X$1*AT89)</f>
        <v>-4.8473663993523118E-2</v>
      </c>
      <c r="BE89">
        <f t="shared" si="25"/>
        <v>0</v>
      </c>
      <c r="BF89">
        <f t="shared" si="16"/>
        <v>0</v>
      </c>
      <c r="BG89">
        <f t="shared" si="17"/>
        <v>0</v>
      </c>
      <c r="BH89">
        <f>BG89+regressions!$AR$1*(AI89-B89)</f>
        <v>0</v>
      </c>
      <c r="BI89">
        <f>BG89-regressions!$AO$1*(AI89-B89)</f>
        <v>0</v>
      </c>
      <c r="BJ89">
        <f t="shared" si="18"/>
        <v>0</v>
      </c>
      <c r="BK89">
        <f>BJ89+regressions!$AR$1*(AT89-B89)</f>
        <v>0</v>
      </c>
      <c r="BL89">
        <f>BJ89-regressions!$AO$1*(AT89-B89)</f>
        <v>0</v>
      </c>
      <c r="BM89">
        <f t="shared" si="26"/>
        <v>0</v>
      </c>
      <c r="BN89">
        <f t="shared" si="19"/>
        <v>0</v>
      </c>
      <c r="BO89">
        <f t="shared" si="20"/>
        <v>0</v>
      </c>
      <c r="BP89">
        <f t="shared" si="27"/>
        <v>0</v>
      </c>
      <c r="BQ89">
        <f t="shared" si="28"/>
        <v>0</v>
      </c>
      <c r="BR89">
        <f t="shared" si="29"/>
        <v>0</v>
      </c>
    </row>
    <row r="90" spans="1:70" x14ac:dyDescent="0.35">
      <c r="A90">
        <v>1937</v>
      </c>
      <c r="B90" s="33">
        <v>0.12254456453151981</v>
      </c>
      <c r="C90">
        <f t="shared" si="30"/>
        <v>-4.7801514601988157E-2</v>
      </c>
      <c r="D90">
        <f>IF($B90&lt;=regressions!$L$2,$B90*regressions!$L$1,regressions!$L$1*regressions!$L$2+regressions!$L$3*($B90-regressions!$L$2))</f>
        <v>-9.7395948917224862E-2</v>
      </c>
      <c r="E90">
        <f>regressions!$J$1*B90+regressions!$J$2*B90^2</f>
        <v>-5.6781333794834993E-2</v>
      </c>
      <c r="F90">
        <f>regressions!$V$1*B90</f>
        <v>-9.7395949192185999E-2</v>
      </c>
      <c r="G90">
        <f>regressions!$N$1*B90^2</f>
        <v>-2.6166647865969082E-3</v>
      </c>
      <c r="H90">
        <f>regressions!$R$1*B90^2+regressions!$R$2*B90^6</f>
        <v>-2.8500203396135291E-3</v>
      </c>
      <c r="I90">
        <f>regressions!$P$1*B90^2+regressions!$P$2*B90^7</f>
        <v>-2.7572108341104261E-3</v>
      </c>
      <c r="J90">
        <f>regressions!$T$2+regressions!$T$1*EXP(B90)</f>
        <v>-1.0187939217083889E-3</v>
      </c>
      <c r="K90" s="8">
        <f>(1-EXP(-2*regressions!$X$1*B90))/2/EXP(-regressions!$X$1*B90)</f>
        <v>-4.9897871845983301E-2</v>
      </c>
      <c r="M90" s="33">
        <v>0.12254456453151981</v>
      </c>
      <c r="N90">
        <f t="shared" si="21"/>
        <v>-4.7801514601988157E-2</v>
      </c>
      <c r="O90">
        <f>IF($B90&lt;=regressions!$L$2,$B90*regressions!$L$1,regressions!$L$1*regressions!$L$2+regressions!$L$3*($B90-regressions!$L$2))</f>
        <v>-9.7395948917224862E-2</v>
      </c>
      <c r="P90">
        <f>regressions!$J$1*M90+regressions!$J$2*M90^2</f>
        <v>-5.6781333794834993E-2</v>
      </c>
      <c r="Q90">
        <f>regressions!$V$1*M90</f>
        <v>-9.7395949192185999E-2</v>
      </c>
      <c r="R90">
        <f>regressions!$N$1*M90^2</f>
        <v>-2.6166647865969082E-3</v>
      </c>
      <c r="S90">
        <f>regressions!$R$1*M90^2+regressions!$R$2*M90^6</f>
        <v>-2.8500203396135291E-3</v>
      </c>
      <c r="T90">
        <f>regressions!$P$1*M90^2+regressions!$P$2*M90^7</f>
        <v>-2.7572108341104261E-3</v>
      </c>
      <c r="U90">
        <f>regressions!$T$2+regressions!$T$1*EXP(M90)</f>
        <v>-1.0187939217083889E-3</v>
      </c>
      <c r="V90" s="8">
        <f>(1-EXP(-2*regressions!$X$1*M90))/2/EXP(-regressions!$X$1*M90)</f>
        <v>-4.9897871845983301E-2</v>
      </c>
      <c r="X90" s="33">
        <v>0.12254456453151981</v>
      </c>
      <c r="Y90">
        <f t="shared" si="22"/>
        <v>-4.7801514601988157E-2</v>
      </c>
      <c r="Z90">
        <f>IF($B90&lt;=regressions!$L$2,$B90*regressions!$L$1,regressions!$L$1*regressions!$L$2+regressions!$L$3*($B90-regressions!$L$2))</f>
        <v>-9.7395948917224862E-2</v>
      </c>
      <c r="AA90">
        <f>regressions!$J$1*X90+regressions!$J$2*X90^2</f>
        <v>-5.6781333794834993E-2</v>
      </c>
      <c r="AB90">
        <f>regressions!$V$1*X90</f>
        <v>-9.7395949192185999E-2</v>
      </c>
      <c r="AC90">
        <f>regressions!$N$1*X90^2</f>
        <v>-2.6166647865969082E-3</v>
      </c>
      <c r="AD90">
        <f>regressions!$R$1*X90^2+regressions!$R$2*X90^6</f>
        <v>-2.8500203396135291E-3</v>
      </c>
      <c r="AE90">
        <f>regressions!$P$1*X90^2+regressions!$P$2*X90^7</f>
        <v>-2.7572108341104261E-3</v>
      </c>
      <c r="AF90">
        <f>regressions!$T$2+regressions!$T$1*EXP(X90)</f>
        <v>-1.0187939217083889E-3</v>
      </c>
      <c r="AG90" s="8">
        <f>(1-EXP(-2*regressions!$X$1*X90))/2/EXP(-regressions!$X$1*X90)</f>
        <v>-4.9897871845983301E-2</v>
      </c>
      <c r="AH90" s="8"/>
      <c r="AI90" s="33">
        <v>0.12254456453151981</v>
      </c>
      <c r="AJ90">
        <f t="shared" si="23"/>
        <v>-4.7801514601988157E-2</v>
      </c>
      <c r="AK90">
        <f>IF(AI90&lt;=regressions!$L$2,AI90*regressions!$L$1,regressions!$L$1*regressions!$L$2+regressions!$L$3*(AI90-regressions!$L$2))</f>
        <v>-9.7395948917224862E-2</v>
      </c>
      <c r="AL90">
        <f>regressions!$J$1*AI90+regressions!$J$2*AI90^2</f>
        <v>-5.6781333794834993E-2</v>
      </c>
      <c r="AM90">
        <f>regressions!$V$1*AI90</f>
        <v>-9.7395949192185999E-2</v>
      </c>
      <c r="AN90">
        <f>regressions!$N$1*AI90^2</f>
        <v>-2.6166647865969082E-3</v>
      </c>
      <c r="AO90">
        <f>regressions!$R$1*AI90^2+regressions!$R$2*AI90^6</f>
        <v>-2.8500203396135291E-3</v>
      </c>
      <c r="AP90">
        <f>regressions!$P$1*AI90^2+regressions!$P$2*AI90^7</f>
        <v>-2.7572108341104261E-3</v>
      </c>
      <c r="AQ90">
        <f>regressions!$T$2+regressions!$T$1*EXP(AI90)</f>
        <v>-1.0187939217083889E-3</v>
      </c>
      <c r="AR90" s="8">
        <f>(1-EXP(-2*regressions!$X$1*AI90))/2/EXP(-regressions!$X$1*AI90)</f>
        <v>-4.9897871845983301E-2</v>
      </c>
      <c r="AT90" s="33">
        <v>0.12254456453151981</v>
      </c>
      <c r="AU90">
        <f t="shared" si="24"/>
        <v>-4.7801514601988157E-2</v>
      </c>
      <c r="AV90">
        <f>IF(AT90&lt;=regressions!$L$2,AT90*regressions!$L$1,regressions!$L$1*regressions!$L$2+regressions!$L$3*(AT90-regressions!$L$2))</f>
        <v>-9.7395948917224862E-2</v>
      </c>
      <c r="AW90">
        <f>regressions!$J$1*AT90+regressions!$J$2*AT90^2</f>
        <v>-5.6781333794834993E-2</v>
      </c>
      <c r="AX90">
        <f>regressions!$V$1*AT90</f>
        <v>-9.7395949192185999E-2</v>
      </c>
      <c r="AY90">
        <f>regressions!$N$1*AT90^2</f>
        <v>-2.6166647865969082E-3</v>
      </c>
      <c r="AZ90">
        <f>regressions!$R$1*AT90^2+regressions!$R$2*AT90^6</f>
        <v>-2.8500203396135291E-3</v>
      </c>
      <c r="BA90">
        <f>regressions!$P$1*AT90^2+regressions!$P$2*AT90^7</f>
        <v>-2.7572108341104261E-3</v>
      </c>
      <c r="BB90">
        <f>regressions!$T$2+regressions!$T$1*EXP(AT90)</f>
        <v>-1.0187939217083889E-3</v>
      </c>
      <c r="BC90" s="8">
        <f>(1-EXP(-2*regressions!$X$1*AT90))/2/EXP(-regressions!$X$1*AT90)</f>
        <v>-4.9897871845983301E-2</v>
      </c>
      <c r="BE90">
        <f t="shared" si="25"/>
        <v>0</v>
      </c>
      <c r="BF90">
        <f t="shared" si="16"/>
        <v>0</v>
      </c>
      <c r="BG90">
        <f t="shared" si="17"/>
        <v>0</v>
      </c>
      <c r="BH90">
        <f>BG90+regressions!$AR$1*(AI90-B90)</f>
        <v>0</v>
      </c>
      <c r="BI90">
        <f>BG90-regressions!$AO$1*(AI90-B90)</f>
        <v>0</v>
      </c>
      <c r="BJ90">
        <f t="shared" si="18"/>
        <v>0</v>
      </c>
      <c r="BK90">
        <f>BJ90+regressions!$AR$1*(AT90-B90)</f>
        <v>0</v>
      </c>
      <c r="BL90">
        <f>BJ90-regressions!$AO$1*(AT90-B90)</f>
        <v>0</v>
      </c>
      <c r="BM90">
        <f t="shared" si="26"/>
        <v>0</v>
      </c>
      <c r="BN90">
        <f t="shared" si="19"/>
        <v>0</v>
      </c>
      <c r="BO90">
        <f t="shared" si="20"/>
        <v>0</v>
      </c>
      <c r="BP90">
        <f t="shared" si="27"/>
        <v>0</v>
      </c>
      <c r="BQ90">
        <f t="shared" si="28"/>
        <v>0</v>
      </c>
      <c r="BR90">
        <f t="shared" si="29"/>
        <v>0</v>
      </c>
    </row>
    <row r="91" spans="1:70" x14ac:dyDescent="0.35">
      <c r="A91">
        <v>1938</v>
      </c>
      <c r="B91" s="33">
        <v>0.12611642011793292</v>
      </c>
      <c r="C91">
        <f t="shared" si="30"/>
        <v>-4.9231200464379669E-2</v>
      </c>
      <c r="D91">
        <f>IF($B91&lt;=regressions!$L$2,$B91*regressions!$L$1,regressions!$L$1*regressions!$L$2+regressions!$L$3*($B91-regressions!$L$2))</f>
        <v>-0.10023478771488133</v>
      </c>
      <c r="E91">
        <f>regressions!$J$1*B91+regressions!$J$2*B91^2</f>
        <v>-5.8473180492973682E-2</v>
      </c>
      <c r="F91">
        <f>regressions!$V$1*B91</f>
        <v>-0.10023478799785687</v>
      </c>
      <c r="G91">
        <f>regressions!$N$1*B91^2</f>
        <v>-2.7714257857513499E-3</v>
      </c>
      <c r="H91">
        <f>regressions!$R$1*B91^2+regressions!$R$2*B91^6</f>
        <v>-3.0185830019181376E-3</v>
      </c>
      <c r="I91">
        <f>regressions!$P$1*B91^2+regressions!$P$2*B91^7</f>
        <v>-2.9202843411094792E-3</v>
      </c>
      <c r="J91">
        <f>regressions!$T$2+regressions!$T$1*EXP(B91)</f>
        <v>-1.05040217790155E-3</v>
      </c>
      <c r="K91" s="8">
        <f>(1-EXP(-2*regressions!$X$1*B91))/2/EXP(-regressions!$X$1*B91)</f>
        <v>-5.1353524225738495E-2</v>
      </c>
      <c r="M91" s="33">
        <v>0.12611642011793292</v>
      </c>
      <c r="N91">
        <f t="shared" si="21"/>
        <v>-4.9231200464379669E-2</v>
      </c>
      <c r="O91">
        <f>IF($B91&lt;=regressions!$L$2,$B91*regressions!$L$1,regressions!$L$1*regressions!$L$2+regressions!$L$3*($B91-regressions!$L$2))</f>
        <v>-0.10023478771488133</v>
      </c>
      <c r="P91">
        <f>regressions!$J$1*M91+regressions!$J$2*M91^2</f>
        <v>-5.8473180492973682E-2</v>
      </c>
      <c r="Q91">
        <f>regressions!$V$1*M91</f>
        <v>-0.10023478799785687</v>
      </c>
      <c r="R91">
        <f>regressions!$N$1*M91^2</f>
        <v>-2.7714257857513499E-3</v>
      </c>
      <c r="S91">
        <f>regressions!$R$1*M91^2+regressions!$R$2*M91^6</f>
        <v>-3.0185830019181376E-3</v>
      </c>
      <c r="T91">
        <f>regressions!$P$1*M91^2+regressions!$P$2*M91^7</f>
        <v>-2.9202843411094792E-3</v>
      </c>
      <c r="U91">
        <f>regressions!$T$2+regressions!$T$1*EXP(M91)</f>
        <v>-1.05040217790155E-3</v>
      </c>
      <c r="V91" s="8">
        <f>(1-EXP(-2*regressions!$X$1*M91))/2/EXP(-regressions!$X$1*M91)</f>
        <v>-5.1353524225738495E-2</v>
      </c>
      <c r="X91" s="33">
        <v>0.12611642011793292</v>
      </c>
      <c r="Y91">
        <f t="shared" si="22"/>
        <v>-4.9231200464379669E-2</v>
      </c>
      <c r="Z91">
        <f>IF($B91&lt;=regressions!$L$2,$B91*regressions!$L$1,regressions!$L$1*regressions!$L$2+regressions!$L$3*($B91-regressions!$L$2))</f>
        <v>-0.10023478771488133</v>
      </c>
      <c r="AA91">
        <f>regressions!$J$1*X91+regressions!$J$2*X91^2</f>
        <v>-5.8473180492973682E-2</v>
      </c>
      <c r="AB91">
        <f>regressions!$V$1*X91</f>
        <v>-0.10023478799785687</v>
      </c>
      <c r="AC91">
        <f>regressions!$N$1*X91^2</f>
        <v>-2.7714257857513499E-3</v>
      </c>
      <c r="AD91">
        <f>regressions!$R$1*X91^2+regressions!$R$2*X91^6</f>
        <v>-3.0185830019181376E-3</v>
      </c>
      <c r="AE91">
        <f>regressions!$P$1*X91^2+regressions!$P$2*X91^7</f>
        <v>-2.9202843411094792E-3</v>
      </c>
      <c r="AF91">
        <f>regressions!$T$2+regressions!$T$1*EXP(X91)</f>
        <v>-1.05040217790155E-3</v>
      </c>
      <c r="AG91" s="8">
        <f>(1-EXP(-2*regressions!$X$1*X91))/2/EXP(-regressions!$X$1*X91)</f>
        <v>-5.1353524225738495E-2</v>
      </c>
      <c r="AH91" s="8"/>
      <c r="AI91" s="33">
        <v>0.12611642011793292</v>
      </c>
      <c r="AJ91">
        <f t="shared" si="23"/>
        <v>-4.9231200464379669E-2</v>
      </c>
      <c r="AK91">
        <f>IF(AI91&lt;=regressions!$L$2,AI91*regressions!$L$1,regressions!$L$1*regressions!$L$2+regressions!$L$3*(AI91-regressions!$L$2))</f>
        <v>-0.10023478771488133</v>
      </c>
      <c r="AL91">
        <f>regressions!$J$1*AI91+regressions!$J$2*AI91^2</f>
        <v>-5.8473180492973682E-2</v>
      </c>
      <c r="AM91">
        <f>regressions!$V$1*AI91</f>
        <v>-0.10023478799785687</v>
      </c>
      <c r="AN91">
        <f>regressions!$N$1*AI91^2</f>
        <v>-2.7714257857513499E-3</v>
      </c>
      <c r="AO91">
        <f>regressions!$R$1*AI91^2+regressions!$R$2*AI91^6</f>
        <v>-3.0185830019181376E-3</v>
      </c>
      <c r="AP91">
        <f>regressions!$P$1*AI91^2+regressions!$P$2*AI91^7</f>
        <v>-2.9202843411094792E-3</v>
      </c>
      <c r="AQ91">
        <f>regressions!$T$2+regressions!$T$1*EXP(AI91)</f>
        <v>-1.05040217790155E-3</v>
      </c>
      <c r="AR91" s="8">
        <f>(1-EXP(-2*regressions!$X$1*AI91))/2/EXP(-regressions!$X$1*AI91)</f>
        <v>-5.1353524225738495E-2</v>
      </c>
      <c r="AT91" s="33">
        <v>0.12611642011793292</v>
      </c>
      <c r="AU91">
        <f t="shared" si="24"/>
        <v>-4.9231200464379669E-2</v>
      </c>
      <c r="AV91">
        <f>IF(AT91&lt;=regressions!$L$2,AT91*regressions!$L$1,regressions!$L$1*regressions!$L$2+regressions!$L$3*(AT91-regressions!$L$2))</f>
        <v>-0.10023478771488133</v>
      </c>
      <c r="AW91">
        <f>regressions!$J$1*AT91+regressions!$J$2*AT91^2</f>
        <v>-5.8473180492973682E-2</v>
      </c>
      <c r="AX91">
        <f>regressions!$V$1*AT91</f>
        <v>-0.10023478799785687</v>
      </c>
      <c r="AY91">
        <f>regressions!$N$1*AT91^2</f>
        <v>-2.7714257857513499E-3</v>
      </c>
      <c r="AZ91">
        <f>regressions!$R$1*AT91^2+regressions!$R$2*AT91^6</f>
        <v>-3.0185830019181376E-3</v>
      </c>
      <c r="BA91">
        <f>regressions!$P$1*AT91^2+regressions!$P$2*AT91^7</f>
        <v>-2.9202843411094792E-3</v>
      </c>
      <c r="BB91">
        <f>regressions!$T$2+regressions!$T$1*EXP(AT91)</f>
        <v>-1.05040217790155E-3</v>
      </c>
      <c r="BC91" s="8">
        <f>(1-EXP(-2*regressions!$X$1*AT91))/2/EXP(-regressions!$X$1*AT91)</f>
        <v>-5.1353524225738495E-2</v>
      </c>
      <c r="BE91">
        <f t="shared" si="25"/>
        <v>0</v>
      </c>
      <c r="BF91">
        <f t="shared" si="16"/>
        <v>0</v>
      </c>
      <c r="BG91">
        <f t="shared" si="17"/>
        <v>0</v>
      </c>
      <c r="BH91">
        <f>BG91+regressions!$AR$1*(AI91-B91)</f>
        <v>0</v>
      </c>
      <c r="BI91">
        <f>BG91-regressions!$AO$1*(AI91-B91)</f>
        <v>0</v>
      </c>
      <c r="BJ91">
        <f t="shared" si="18"/>
        <v>0</v>
      </c>
      <c r="BK91">
        <f>BJ91+regressions!$AR$1*(AT91-B91)</f>
        <v>0</v>
      </c>
      <c r="BL91">
        <f>BJ91-regressions!$AO$1*(AT91-B91)</f>
        <v>0</v>
      </c>
      <c r="BM91">
        <f t="shared" si="26"/>
        <v>0</v>
      </c>
      <c r="BN91">
        <f t="shared" si="19"/>
        <v>0</v>
      </c>
      <c r="BO91">
        <f t="shared" si="20"/>
        <v>0</v>
      </c>
      <c r="BP91">
        <f t="shared" si="27"/>
        <v>0</v>
      </c>
      <c r="BQ91">
        <f t="shared" si="28"/>
        <v>0</v>
      </c>
      <c r="BR91">
        <f t="shared" si="29"/>
        <v>0</v>
      </c>
    </row>
    <row r="92" spans="1:70" x14ac:dyDescent="0.35">
      <c r="A92">
        <v>1939</v>
      </c>
      <c r="B92" s="33">
        <v>0.12974138774579511</v>
      </c>
      <c r="C92">
        <f t="shared" si="30"/>
        <v>-5.0684259600766793E-2</v>
      </c>
      <c r="D92">
        <f>IF($B92&lt;=regressions!$L$2,$B92*regressions!$L$1,regressions!$L$1*regressions!$L$2+regressions!$L$3*($B92-regressions!$L$2))</f>
        <v>-0.10311583889213732</v>
      </c>
      <c r="E92">
        <f>regressions!$J$1*B92+regressions!$J$2*B92^2</f>
        <v>-6.019231654370355E-2</v>
      </c>
      <c r="F92">
        <f>regressions!$V$1*B92</f>
        <v>-0.10311583918324645</v>
      </c>
      <c r="G92">
        <f>regressions!$N$1*B92^2</f>
        <v>-2.9330337618510053E-3</v>
      </c>
      <c r="H92">
        <f>regressions!$R$1*B92^2+regressions!$R$2*B92^6</f>
        <v>-3.1946032571042843E-3</v>
      </c>
      <c r="I92">
        <f>regressions!$P$1*B92^2+regressions!$P$2*B92^7</f>
        <v>-3.0905725892037767E-3</v>
      </c>
      <c r="J92">
        <f>regressions!$T$2+regressions!$T$1*EXP(B92)</f>
        <v>-1.0825960752451243E-3</v>
      </c>
      <c r="K92" s="8">
        <f>(1-EXP(-2*regressions!$X$1*B92))/2/EXP(-regressions!$X$1*B92)</f>
        <v>-5.2830932549454E-2</v>
      </c>
      <c r="M92" s="33">
        <v>0.12974138774579511</v>
      </c>
      <c r="N92">
        <f t="shared" si="21"/>
        <v>-5.0684259600766793E-2</v>
      </c>
      <c r="O92">
        <f>IF($B92&lt;=regressions!$L$2,$B92*regressions!$L$1,regressions!$L$1*regressions!$L$2+regressions!$L$3*($B92-regressions!$L$2))</f>
        <v>-0.10311583889213732</v>
      </c>
      <c r="P92">
        <f>regressions!$J$1*M92+regressions!$J$2*M92^2</f>
        <v>-6.019231654370355E-2</v>
      </c>
      <c r="Q92">
        <f>regressions!$V$1*M92</f>
        <v>-0.10311583918324645</v>
      </c>
      <c r="R92">
        <f>regressions!$N$1*M92^2</f>
        <v>-2.9330337618510053E-3</v>
      </c>
      <c r="S92">
        <f>regressions!$R$1*M92^2+regressions!$R$2*M92^6</f>
        <v>-3.1946032571042843E-3</v>
      </c>
      <c r="T92">
        <f>regressions!$P$1*M92^2+regressions!$P$2*M92^7</f>
        <v>-3.0905725892037767E-3</v>
      </c>
      <c r="U92">
        <f>regressions!$T$2+regressions!$T$1*EXP(M92)</f>
        <v>-1.0825960752451243E-3</v>
      </c>
      <c r="V92" s="8">
        <f>(1-EXP(-2*regressions!$X$1*M92))/2/EXP(-regressions!$X$1*M92)</f>
        <v>-5.2830932549454E-2</v>
      </c>
      <c r="X92" s="33">
        <v>0.12974138774579511</v>
      </c>
      <c r="Y92">
        <f t="shared" si="22"/>
        <v>-5.0684259600766793E-2</v>
      </c>
      <c r="Z92">
        <f>IF($B92&lt;=regressions!$L$2,$B92*regressions!$L$1,regressions!$L$1*regressions!$L$2+regressions!$L$3*($B92-regressions!$L$2))</f>
        <v>-0.10311583889213732</v>
      </c>
      <c r="AA92">
        <f>regressions!$J$1*X92+regressions!$J$2*X92^2</f>
        <v>-6.019231654370355E-2</v>
      </c>
      <c r="AB92">
        <f>regressions!$V$1*X92</f>
        <v>-0.10311583918324645</v>
      </c>
      <c r="AC92">
        <f>regressions!$N$1*X92^2</f>
        <v>-2.9330337618510053E-3</v>
      </c>
      <c r="AD92">
        <f>regressions!$R$1*X92^2+regressions!$R$2*X92^6</f>
        <v>-3.1946032571042843E-3</v>
      </c>
      <c r="AE92">
        <f>regressions!$P$1*X92^2+regressions!$P$2*X92^7</f>
        <v>-3.0905725892037767E-3</v>
      </c>
      <c r="AF92">
        <f>regressions!$T$2+regressions!$T$1*EXP(X92)</f>
        <v>-1.0825960752451243E-3</v>
      </c>
      <c r="AG92" s="8">
        <f>(1-EXP(-2*regressions!$X$1*X92))/2/EXP(-regressions!$X$1*X92)</f>
        <v>-5.2830932549454E-2</v>
      </c>
      <c r="AH92" s="8"/>
      <c r="AI92" s="33">
        <v>0.12974138774579511</v>
      </c>
      <c r="AJ92">
        <f t="shared" si="23"/>
        <v>-5.0684259600766793E-2</v>
      </c>
      <c r="AK92">
        <f>IF(AI92&lt;=regressions!$L$2,AI92*regressions!$L$1,regressions!$L$1*regressions!$L$2+regressions!$L$3*(AI92-regressions!$L$2))</f>
        <v>-0.10311583889213732</v>
      </c>
      <c r="AL92">
        <f>regressions!$J$1*AI92+regressions!$J$2*AI92^2</f>
        <v>-6.019231654370355E-2</v>
      </c>
      <c r="AM92">
        <f>regressions!$V$1*AI92</f>
        <v>-0.10311583918324645</v>
      </c>
      <c r="AN92">
        <f>regressions!$N$1*AI92^2</f>
        <v>-2.9330337618510053E-3</v>
      </c>
      <c r="AO92">
        <f>regressions!$R$1*AI92^2+regressions!$R$2*AI92^6</f>
        <v>-3.1946032571042843E-3</v>
      </c>
      <c r="AP92">
        <f>regressions!$P$1*AI92^2+regressions!$P$2*AI92^7</f>
        <v>-3.0905725892037767E-3</v>
      </c>
      <c r="AQ92">
        <f>regressions!$T$2+regressions!$T$1*EXP(AI92)</f>
        <v>-1.0825960752451243E-3</v>
      </c>
      <c r="AR92" s="8">
        <f>(1-EXP(-2*regressions!$X$1*AI92))/2/EXP(-regressions!$X$1*AI92)</f>
        <v>-5.2830932549454E-2</v>
      </c>
      <c r="AT92" s="33">
        <v>0.12974138774579511</v>
      </c>
      <c r="AU92">
        <f t="shared" si="24"/>
        <v>-5.0684259600766793E-2</v>
      </c>
      <c r="AV92">
        <f>IF(AT92&lt;=regressions!$L$2,AT92*regressions!$L$1,regressions!$L$1*regressions!$L$2+regressions!$L$3*(AT92-regressions!$L$2))</f>
        <v>-0.10311583889213732</v>
      </c>
      <c r="AW92">
        <f>regressions!$J$1*AT92+regressions!$J$2*AT92^2</f>
        <v>-6.019231654370355E-2</v>
      </c>
      <c r="AX92">
        <f>regressions!$V$1*AT92</f>
        <v>-0.10311583918324645</v>
      </c>
      <c r="AY92">
        <f>regressions!$N$1*AT92^2</f>
        <v>-2.9330337618510053E-3</v>
      </c>
      <c r="AZ92">
        <f>regressions!$R$1*AT92^2+regressions!$R$2*AT92^6</f>
        <v>-3.1946032571042843E-3</v>
      </c>
      <c r="BA92">
        <f>regressions!$P$1*AT92^2+regressions!$P$2*AT92^7</f>
        <v>-3.0905725892037767E-3</v>
      </c>
      <c r="BB92">
        <f>regressions!$T$2+regressions!$T$1*EXP(AT92)</f>
        <v>-1.0825960752451243E-3</v>
      </c>
      <c r="BC92" s="8">
        <f>(1-EXP(-2*regressions!$X$1*AT92))/2/EXP(-regressions!$X$1*AT92)</f>
        <v>-5.2830932549454E-2</v>
      </c>
      <c r="BE92">
        <f t="shared" si="25"/>
        <v>0</v>
      </c>
      <c r="BF92">
        <f t="shared" si="16"/>
        <v>0</v>
      </c>
      <c r="BG92">
        <f t="shared" si="17"/>
        <v>0</v>
      </c>
      <c r="BH92">
        <f>BG92+regressions!$AR$1*(AI92-B92)</f>
        <v>0</v>
      </c>
      <c r="BI92">
        <f>BG92-regressions!$AO$1*(AI92-B92)</f>
        <v>0</v>
      </c>
      <c r="BJ92">
        <f t="shared" si="18"/>
        <v>0</v>
      </c>
      <c r="BK92">
        <f>BJ92+regressions!$AR$1*(AT92-B92)</f>
        <v>0</v>
      </c>
      <c r="BL92">
        <f>BJ92-regressions!$AO$1*(AT92-B92)</f>
        <v>0</v>
      </c>
      <c r="BM92">
        <f t="shared" si="26"/>
        <v>0</v>
      </c>
      <c r="BN92">
        <f t="shared" si="19"/>
        <v>0</v>
      </c>
      <c r="BO92">
        <f t="shared" si="20"/>
        <v>0</v>
      </c>
      <c r="BP92">
        <f t="shared" si="27"/>
        <v>0</v>
      </c>
      <c r="BQ92">
        <f t="shared" si="28"/>
        <v>0</v>
      </c>
      <c r="BR92">
        <f t="shared" si="29"/>
        <v>0</v>
      </c>
    </row>
    <row r="93" spans="1:70" x14ac:dyDescent="0.35">
      <c r="A93">
        <v>1940</v>
      </c>
      <c r="B93" s="33">
        <v>0.1334281966195113</v>
      </c>
      <c r="C93">
        <f t="shared" si="30"/>
        <v>-5.2164293065293972E-2</v>
      </c>
      <c r="D93">
        <f>IF($B93&lt;=regressions!$L$2,$B93*regressions!$L$1,regressions!$L$1*regressions!$L$2+regressions!$L$3*($B93-regressions!$L$2))</f>
        <v>-0.10604604024463937</v>
      </c>
      <c r="E93">
        <f>regressions!$J$1*B93+regressions!$J$2*B93^2</f>
        <v>-6.1942984017864897E-2</v>
      </c>
      <c r="F93">
        <f>regressions!$V$1*B93</f>
        <v>-0.10604604054402084</v>
      </c>
      <c r="G93">
        <f>regressions!$N$1*B93^2</f>
        <v>-3.1020958788570033E-3</v>
      </c>
      <c r="H93">
        <f>regressions!$R$1*B93^2+regressions!$R$2*B93^6</f>
        <v>-3.3787424161382273E-3</v>
      </c>
      <c r="I93">
        <f>regressions!$P$1*B93^2+regressions!$P$2*B93^7</f>
        <v>-3.2687153542830553E-3</v>
      </c>
      <c r="J93">
        <f>regressions!$T$2+regressions!$T$1*EXP(B93)</f>
        <v>-1.1154591191283782E-3</v>
      </c>
      <c r="K93" s="8">
        <f>(1-EXP(-2*regressions!$X$1*B93))/2/EXP(-regressions!$X$1*B93)</f>
        <v>-5.4333663155392911E-2</v>
      </c>
      <c r="M93" s="33">
        <v>0.1334281966195113</v>
      </c>
      <c r="N93">
        <f t="shared" si="21"/>
        <v>-5.2164293065293972E-2</v>
      </c>
      <c r="O93">
        <f>IF($B93&lt;=regressions!$L$2,$B93*regressions!$L$1,regressions!$L$1*regressions!$L$2+regressions!$L$3*($B93-regressions!$L$2))</f>
        <v>-0.10604604024463937</v>
      </c>
      <c r="P93">
        <f>regressions!$J$1*M93+regressions!$J$2*M93^2</f>
        <v>-6.1942984017864897E-2</v>
      </c>
      <c r="Q93">
        <f>regressions!$V$1*M93</f>
        <v>-0.10604604054402084</v>
      </c>
      <c r="R93">
        <f>regressions!$N$1*M93^2</f>
        <v>-3.1020958788570033E-3</v>
      </c>
      <c r="S93">
        <f>regressions!$R$1*M93^2+regressions!$R$2*M93^6</f>
        <v>-3.3787424161382273E-3</v>
      </c>
      <c r="T93">
        <f>regressions!$P$1*M93^2+regressions!$P$2*M93^7</f>
        <v>-3.2687153542830553E-3</v>
      </c>
      <c r="U93">
        <f>regressions!$T$2+regressions!$T$1*EXP(M93)</f>
        <v>-1.1154591191283782E-3</v>
      </c>
      <c r="V93" s="8">
        <f>(1-EXP(-2*regressions!$X$1*M93))/2/EXP(-regressions!$X$1*M93)</f>
        <v>-5.4333663155392911E-2</v>
      </c>
      <c r="X93" s="33">
        <v>0.1334281966195113</v>
      </c>
      <c r="Y93">
        <f t="shared" si="22"/>
        <v>-5.2164293065293972E-2</v>
      </c>
      <c r="Z93">
        <f>IF($B93&lt;=regressions!$L$2,$B93*regressions!$L$1,regressions!$L$1*regressions!$L$2+regressions!$L$3*($B93-regressions!$L$2))</f>
        <v>-0.10604604024463937</v>
      </c>
      <c r="AA93">
        <f>regressions!$J$1*X93+regressions!$J$2*X93^2</f>
        <v>-6.1942984017864897E-2</v>
      </c>
      <c r="AB93">
        <f>regressions!$V$1*X93</f>
        <v>-0.10604604054402084</v>
      </c>
      <c r="AC93">
        <f>regressions!$N$1*X93^2</f>
        <v>-3.1020958788570033E-3</v>
      </c>
      <c r="AD93">
        <f>regressions!$R$1*X93^2+regressions!$R$2*X93^6</f>
        <v>-3.3787424161382273E-3</v>
      </c>
      <c r="AE93">
        <f>regressions!$P$1*X93^2+regressions!$P$2*X93^7</f>
        <v>-3.2687153542830553E-3</v>
      </c>
      <c r="AF93">
        <f>regressions!$T$2+regressions!$T$1*EXP(X93)</f>
        <v>-1.1154591191283782E-3</v>
      </c>
      <c r="AG93" s="8">
        <f>(1-EXP(-2*regressions!$X$1*X93))/2/EXP(-regressions!$X$1*X93)</f>
        <v>-5.4333663155392911E-2</v>
      </c>
      <c r="AH93" s="8"/>
      <c r="AI93" s="33">
        <v>0.1334281966195113</v>
      </c>
      <c r="AJ93">
        <f t="shared" si="23"/>
        <v>-5.2164293065293972E-2</v>
      </c>
      <c r="AK93">
        <f>IF(AI93&lt;=regressions!$L$2,AI93*regressions!$L$1,regressions!$L$1*regressions!$L$2+regressions!$L$3*(AI93-regressions!$L$2))</f>
        <v>-0.10604604024463937</v>
      </c>
      <c r="AL93">
        <f>regressions!$J$1*AI93+regressions!$J$2*AI93^2</f>
        <v>-6.1942984017864897E-2</v>
      </c>
      <c r="AM93">
        <f>regressions!$V$1*AI93</f>
        <v>-0.10604604054402084</v>
      </c>
      <c r="AN93">
        <f>regressions!$N$1*AI93^2</f>
        <v>-3.1020958788570033E-3</v>
      </c>
      <c r="AO93">
        <f>regressions!$R$1*AI93^2+regressions!$R$2*AI93^6</f>
        <v>-3.3787424161382273E-3</v>
      </c>
      <c r="AP93">
        <f>regressions!$P$1*AI93^2+regressions!$P$2*AI93^7</f>
        <v>-3.2687153542830553E-3</v>
      </c>
      <c r="AQ93">
        <f>regressions!$T$2+regressions!$T$1*EXP(AI93)</f>
        <v>-1.1154591191283782E-3</v>
      </c>
      <c r="AR93" s="8">
        <f>(1-EXP(-2*regressions!$X$1*AI93))/2/EXP(-regressions!$X$1*AI93)</f>
        <v>-5.4333663155392911E-2</v>
      </c>
      <c r="AT93" s="33">
        <v>0.1334281966195113</v>
      </c>
      <c r="AU93">
        <f t="shared" si="24"/>
        <v>-5.2164293065293972E-2</v>
      </c>
      <c r="AV93">
        <f>IF(AT93&lt;=regressions!$L$2,AT93*regressions!$L$1,regressions!$L$1*regressions!$L$2+regressions!$L$3*(AT93-regressions!$L$2))</f>
        <v>-0.10604604024463937</v>
      </c>
      <c r="AW93">
        <f>regressions!$J$1*AT93+regressions!$J$2*AT93^2</f>
        <v>-6.1942984017864897E-2</v>
      </c>
      <c r="AX93">
        <f>regressions!$V$1*AT93</f>
        <v>-0.10604604054402084</v>
      </c>
      <c r="AY93">
        <f>regressions!$N$1*AT93^2</f>
        <v>-3.1020958788570033E-3</v>
      </c>
      <c r="AZ93">
        <f>regressions!$R$1*AT93^2+regressions!$R$2*AT93^6</f>
        <v>-3.3787424161382273E-3</v>
      </c>
      <c r="BA93">
        <f>regressions!$P$1*AT93^2+regressions!$P$2*AT93^7</f>
        <v>-3.2687153542830553E-3</v>
      </c>
      <c r="BB93">
        <f>regressions!$T$2+regressions!$T$1*EXP(AT93)</f>
        <v>-1.1154591191283782E-3</v>
      </c>
      <c r="BC93" s="8">
        <f>(1-EXP(-2*regressions!$X$1*AT93))/2/EXP(-regressions!$X$1*AT93)</f>
        <v>-5.4333663155392911E-2</v>
      </c>
      <c r="BE93">
        <f t="shared" si="25"/>
        <v>0</v>
      </c>
      <c r="BF93">
        <f t="shared" si="16"/>
        <v>0</v>
      </c>
      <c r="BG93">
        <f t="shared" si="17"/>
        <v>0</v>
      </c>
      <c r="BH93">
        <f>BG93+regressions!$AR$1*(AI93-B93)</f>
        <v>0</v>
      </c>
      <c r="BI93">
        <f>BG93-regressions!$AO$1*(AI93-B93)</f>
        <v>0</v>
      </c>
      <c r="BJ93">
        <f t="shared" si="18"/>
        <v>0</v>
      </c>
      <c r="BK93">
        <f>BJ93+regressions!$AR$1*(AT93-B93)</f>
        <v>0</v>
      </c>
      <c r="BL93">
        <f>BJ93-regressions!$AO$1*(AT93-B93)</f>
        <v>0</v>
      </c>
      <c r="BM93">
        <f t="shared" si="26"/>
        <v>0</v>
      </c>
      <c r="BN93">
        <f t="shared" si="19"/>
        <v>0</v>
      </c>
      <c r="BO93">
        <f t="shared" si="20"/>
        <v>0</v>
      </c>
      <c r="BP93">
        <f t="shared" si="27"/>
        <v>0</v>
      </c>
      <c r="BQ93">
        <f t="shared" si="28"/>
        <v>0</v>
      </c>
      <c r="BR93">
        <f t="shared" si="29"/>
        <v>0</v>
      </c>
    </row>
    <row r="94" spans="1:70" x14ac:dyDescent="0.35">
      <c r="A94">
        <v>1941</v>
      </c>
      <c r="B94" s="33">
        <v>0.13719926944435365</v>
      </c>
      <c r="C94">
        <f t="shared" si="30"/>
        <v>-5.3680434117525253E-2</v>
      </c>
      <c r="D94">
        <f>IF($B94&lt;=regressions!$L$2,$B94*regressions!$L$1,regressions!$L$1*regressions!$L$2+regressions!$L$3*($B94-regressions!$L$2))</f>
        <v>-0.10904321288640931</v>
      </c>
      <c r="E94">
        <f>regressions!$J$1*B94+regressions!$J$2*B94^2</f>
        <v>-6.3735962601274648E-2</v>
      </c>
      <c r="F94">
        <f>regressions!$V$1*B94</f>
        <v>-0.10904321319425216</v>
      </c>
      <c r="G94">
        <f>regressions!$N$1*B94^2</f>
        <v>-3.2799224992481868E-3</v>
      </c>
      <c r="H94">
        <f>regressions!$R$1*B94^2+regressions!$R$2*B94^6</f>
        <v>-3.5724277000472216E-3</v>
      </c>
      <c r="I94">
        <f>regressions!$P$1*B94^2+regressions!$P$2*B94^7</f>
        <v>-3.456093380884612E-3</v>
      </c>
      <c r="J94">
        <f>regressions!$T$2+regressions!$T$1*EXP(B94)</f>
        <v>-1.1491988451601508E-3</v>
      </c>
      <c r="K94" s="8">
        <f>(1-EXP(-2*regressions!$X$1*B94))/2/EXP(-regressions!$X$1*B94)</f>
        <v>-5.5870866055744615E-2</v>
      </c>
      <c r="M94" s="33">
        <v>0.13719926944435365</v>
      </c>
      <c r="N94">
        <f t="shared" si="21"/>
        <v>-5.3680434117525253E-2</v>
      </c>
      <c r="O94">
        <f>IF($B94&lt;=regressions!$L$2,$B94*regressions!$L$1,regressions!$L$1*regressions!$L$2+regressions!$L$3*($B94-regressions!$L$2))</f>
        <v>-0.10904321288640931</v>
      </c>
      <c r="P94">
        <f>regressions!$J$1*M94+regressions!$J$2*M94^2</f>
        <v>-6.3735962601274648E-2</v>
      </c>
      <c r="Q94">
        <f>regressions!$V$1*M94</f>
        <v>-0.10904321319425216</v>
      </c>
      <c r="R94">
        <f>regressions!$N$1*M94^2</f>
        <v>-3.2799224992481868E-3</v>
      </c>
      <c r="S94">
        <f>regressions!$R$1*M94^2+regressions!$R$2*M94^6</f>
        <v>-3.5724277000472216E-3</v>
      </c>
      <c r="T94">
        <f>regressions!$P$1*M94^2+regressions!$P$2*M94^7</f>
        <v>-3.456093380884612E-3</v>
      </c>
      <c r="U94">
        <f>regressions!$T$2+regressions!$T$1*EXP(M94)</f>
        <v>-1.1491988451601508E-3</v>
      </c>
      <c r="V94" s="8">
        <f>(1-EXP(-2*regressions!$X$1*M94))/2/EXP(-regressions!$X$1*M94)</f>
        <v>-5.5870866055744615E-2</v>
      </c>
      <c r="X94" s="33">
        <v>0.13719926944435365</v>
      </c>
      <c r="Y94">
        <f t="shared" si="22"/>
        <v>-5.3680434117525253E-2</v>
      </c>
      <c r="Z94">
        <f>IF($B94&lt;=regressions!$L$2,$B94*regressions!$L$1,regressions!$L$1*regressions!$L$2+regressions!$L$3*($B94-regressions!$L$2))</f>
        <v>-0.10904321288640931</v>
      </c>
      <c r="AA94">
        <f>regressions!$J$1*X94+regressions!$J$2*X94^2</f>
        <v>-6.3735962601274648E-2</v>
      </c>
      <c r="AB94">
        <f>regressions!$V$1*X94</f>
        <v>-0.10904321319425216</v>
      </c>
      <c r="AC94">
        <f>regressions!$N$1*X94^2</f>
        <v>-3.2799224992481868E-3</v>
      </c>
      <c r="AD94">
        <f>regressions!$R$1*X94^2+regressions!$R$2*X94^6</f>
        <v>-3.5724277000472216E-3</v>
      </c>
      <c r="AE94">
        <f>regressions!$P$1*X94^2+regressions!$P$2*X94^7</f>
        <v>-3.456093380884612E-3</v>
      </c>
      <c r="AF94">
        <f>regressions!$T$2+regressions!$T$1*EXP(X94)</f>
        <v>-1.1491988451601508E-3</v>
      </c>
      <c r="AG94" s="8">
        <f>(1-EXP(-2*regressions!$X$1*X94))/2/EXP(-regressions!$X$1*X94)</f>
        <v>-5.5870866055744615E-2</v>
      </c>
      <c r="AH94" s="8"/>
      <c r="AI94" s="33">
        <v>0.13719926944435365</v>
      </c>
      <c r="AJ94">
        <f t="shared" si="23"/>
        <v>-5.3680434117525253E-2</v>
      </c>
      <c r="AK94">
        <f>IF(AI94&lt;=regressions!$L$2,AI94*regressions!$L$1,regressions!$L$1*regressions!$L$2+regressions!$L$3*(AI94-regressions!$L$2))</f>
        <v>-0.10904321288640931</v>
      </c>
      <c r="AL94">
        <f>regressions!$J$1*AI94+regressions!$J$2*AI94^2</f>
        <v>-6.3735962601274648E-2</v>
      </c>
      <c r="AM94">
        <f>regressions!$V$1*AI94</f>
        <v>-0.10904321319425216</v>
      </c>
      <c r="AN94">
        <f>regressions!$N$1*AI94^2</f>
        <v>-3.2799224992481868E-3</v>
      </c>
      <c r="AO94">
        <f>regressions!$R$1*AI94^2+regressions!$R$2*AI94^6</f>
        <v>-3.5724277000472216E-3</v>
      </c>
      <c r="AP94">
        <f>regressions!$P$1*AI94^2+regressions!$P$2*AI94^7</f>
        <v>-3.456093380884612E-3</v>
      </c>
      <c r="AQ94">
        <f>regressions!$T$2+regressions!$T$1*EXP(AI94)</f>
        <v>-1.1491988451601508E-3</v>
      </c>
      <c r="AR94" s="8">
        <f>(1-EXP(-2*regressions!$X$1*AI94))/2/EXP(-regressions!$X$1*AI94)</f>
        <v>-5.5870866055744615E-2</v>
      </c>
      <c r="AT94" s="33">
        <v>0.13719926944435365</v>
      </c>
      <c r="AU94">
        <f t="shared" si="24"/>
        <v>-5.3680434117525253E-2</v>
      </c>
      <c r="AV94">
        <f>IF(AT94&lt;=regressions!$L$2,AT94*regressions!$L$1,regressions!$L$1*regressions!$L$2+regressions!$L$3*(AT94-regressions!$L$2))</f>
        <v>-0.10904321288640931</v>
      </c>
      <c r="AW94">
        <f>regressions!$J$1*AT94+regressions!$J$2*AT94^2</f>
        <v>-6.3735962601274648E-2</v>
      </c>
      <c r="AX94">
        <f>regressions!$V$1*AT94</f>
        <v>-0.10904321319425216</v>
      </c>
      <c r="AY94">
        <f>regressions!$N$1*AT94^2</f>
        <v>-3.2799224992481868E-3</v>
      </c>
      <c r="AZ94">
        <f>regressions!$R$1*AT94^2+regressions!$R$2*AT94^6</f>
        <v>-3.5724277000472216E-3</v>
      </c>
      <c r="BA94">
        <f>regressions!$P$1*AT94^2+regressions!$P$2*AT94^7</f>
        <v>-3.456093380884612E-3</v>
      </c>
      <c r="BB94">
        <f>regressions!$T$2+regressions!$T$1*EXP(AT94)</f>
        <v>-1.1491988451601508E-3</v>
      </c>
      <c r="BC94" s="8">
        <f>(1-EXP(-2*regressions!$X$1*AT94))/2/EXP(-regressions!$X$1*AT94)</f>
        <v>-5.5870866055744615E-2</v>
      </c>
      <c r="BE94">
        <f t="shared" si="25"/>
        <v>0</v>
      </c>
      <c r="BF94">
        <f t="shared" si="16"/>
        <v>0</v>
      </c>
      <c r="BG94">
        <f t="shared" si="17"/>
        <v>0</v>
      </c>
      <c r="BH94">
        <f>BG94+regressions!$AR$1*(AI94-B94)</f>
        <v>0</v>
      </c>
      <c r="BI94">
        <f>BG94-regressions!$AO$1*(AI94-B94)</f>
        <v>0</v>
      </c>
      <c r="BJ94">
        <f t="shared" si="18"/>
        <v>0</v>
      </c>
      <c r="BK94">
        <f>BJ94+regressions!$AR$1*(AT94-B94)</f>
        <v>0</v>
      </c>
      <c r="BL94">
        <f>BJ94-regressions!$AO$1*(AT94-B94)</f>
        <v>0</v>
      </c>
      <c r="BM94">
        <f t="shared" si="26"/>
        <v>0</v>
      </c>
      <c r="BN94">
        <f t="shared" si="19"/>
        <v>0</v>
      </c>
      <c r="BO94">
        <f t="shared" si="20"/>
        <v>0</v>
      </c>
      <c r="BP94">
        <f t="shared" si="27"/>
        <v>0</v>
      </c>
      <c r="BQ94">
        <f t="shared" si="28"/>
        <v>0</v>
      </c>
      <c r="BR94">
        <f t="shared" si="29"/>
        <v>0</v>
      </c>
    </row>
    <row r="95" spans="1:70" x14ac:dyDescent="0.35">
      <c r="A95">
        <v>1942</v>
      </c>
      <c r="B95" s="33">
        <v>0.14105660922623808</v>
      </c>
      <c r="C95">
        <f t="shared" si="30"/>
        <v>-5.5233645181429258E-2</v>
      </c>
      <c r="D95">
        <f>IF($B95&lt;=regressions!$L$2,$B95*regressions!$L$1,regressions!$L$1*regressions!$L$2+regressions!$L$3*($B95-regressions!$L$2))</f>
        <v>-0.11210894876616073</v>
      </c>
      <c r="E95">
        <f>regressions!$J$1*B95+regressions!$J$2*B95^2</f>
        <v>-6.5572362347001575E-2</v>
      </c>
      <c r="F95">
        <f>regressions!$V$1*B95</f>
        <v>-0.11210894908265855</v>
      </c>
      <c r="G95">
        <f>regressions!$N$1*B95^2</f>
        <v>-3.4669442976778763E-3</v>
      </c>
      <c r="H95">
        <f>regressions!$R$1*B95^2+regressions!$R$2*B95^6</f>
        <v>-3.7761281909956296E-3</v>
      </c>
      <c r="I95">
        <f>regressions!$P$1*B95^2+regressions!$P$2*B95^7</f>
        <v>-3.6531604760117811E-3</v>
      </c>
      <c r="J95">
        <f>regressions!$T$2+regressions!$T$1*EXP(B95)</f>
        <v>-1.1838422867263484E-3</v>
      </c>
      <c r="K95" s="8">
        <f>(1-EXP(-2*regressions!$X$1*B95))/2/EXP(-regressions!$X$1*B95)</f>
        <v>-5.7443370169206281E-2</v>
      </c>
      <c r="M95" s="33">
        <v>0.14105660922623808</v>
      </c>
      <c r="N95">
        <f t="shared" si="21"/>
        <v>-5.5233645181429258E-2</v>
      </c>
      <c r="O95">
        <f>IF($B95&lt;=regressions!$L$2,$B95*regressions!$L$1,regressions!$L$1*regressions!$L$2+regressions!$L$3*($B95-regressions!$L$2))</f>
        <v>-0.11210894876616073</v>
      </c>
      <c r="P95">
        <f>regressions!$J$1*M95+regressions!$J$2*M95^2</f>
        <v>-6.5572362347001575E-2</v>
      </c>
      <c r="Q95">
        <f>regressions!$V$1*M95</f>
        <v>-0.11210894908265855</v>
      </c>
      <c r="R95">
        <f>regressions!$N$1*M95^2</f>
        <v>-3.4669442976778763E-3</v>
      </c>
      <c r="S95">
        <f>regressions!$R$1*M95^2+regressions!$R$2*M95^6</f>
        <v>-3.7761281909956296E-3</v>
      </c>
      <c r="T95">
        <f>regressions!$P$1*M95^2+regressions!$P$2*M95^7</f>
        <v>-3.6531604760117811E-3</v>
      </c>
      <c r="U95">
        <f>regressions!$T$2+regressions!$T$1*EXP(M95)</f>
        <v>-1.1838422867263484E-3</v>
      </c>
      <c r="V95" s="8">
        <f>(1-EXP(-2*regressions!$X$1*M95))/2/EXP(-regressions!$X$1*M95)</f>
        <v>-5.7443370169206281E-2</v>
      </c>
      <c r="X95" s="33">
        <v>0.14105660922623808</v>
      </c>
      <c r="Y95">
        <f t="shared" si="22"/>
        <v>-5.5233645181429258E-2</v>
      </c>
      <c r="Z95">
        <f>IF($B95&lt;=regressions!$L$2,$B95*regressions!$L$1,regressions!$L$1*regressions!$L$2+regressions!$L$3*($B95-regressions!$L$2))</f>
        <v>-0.11210894876616073</v>
      </c>
      <c r="AA95">
        <f>regressions!$J$1*X95+regressions!$J$2*X95^2</f>
        <v>-6.5572362347001575E-2</v>
      </c>
      <c r="AB95">
        <f>regressions!$V$1*X95</f>
        <v>-0.11210894908265855</v>
      </c>
      <c r="AC95">
        <f>regressions!$N$1*X95^2</f>
        <v>-3.4669442976778763E-3</v>
      </c>
      <c r="AD95">
        <f>regressions!$R$1*X95^2+regressions!$R$2*X95^6</f>
        <v>-3.7761281909956296E-3</v>
      </c>
      <c r="AE95">
        <f>regressions!$P$1*X95^2+regressions!$P$2*X95^7</f>
        <v>-3.6531604760117811E-3</v>
      </c>
      <c r="AF95">
        <f>regressions!$T$2+regressions!$T$1*EXP(X95)</f>
        <v>-1.1838422867263484E-3</v>
      </c>
      <c r="AG95" s="8">
        <f>(1-EXP(-2*regressions!$X$1*X95))/2/EXP(-regressions!$X$1*X95)</f>
        <v>-5.7443370169206281E-2</v>
      </c>
      <c r="AH95" s="8"/>
      <c r="AI95" s="33">
        <v>0.14105660922623808</v>
      </c>
      <c r="AJ95">
        <f t="shared" si="23"/>
        <v>-5.5233645181429258E-2</v>
      </c>
      <c r="AK95">
        <f>IF(AI95&lt;=regressions!$L$2,AI95*regressions!$L$1,regressions!$L$1*regressions!$L$2+regressions!$L$3*(AI95-regressions!$L$2))</f>
        <v>-0.11210894876616073</v>
      </c>
      <c r="AL95">
        <f>regressions!$J$1*AI95+regressions!$J$2*AI95^2</f>
        <v>-6.5572362347001575E-2</v>
      </c>
      <c r="AM95">
        <f>regressions!$V$1*AI95</f>
        <v>-0.11210894908265855</v>
      </c>
      <c r="AN95">
        <f>regressions!$N$1*AI95^2</f>
        <v>-3.4669442976778763E-3</v>
      </c>
      <c r="AO95">
        <f>regressions!$R$1*AI95^2+regressions!$R$2*AI95^6</f>
        <v>-3.7761281909956296E-3</v>
      </c>
      <c r="AP95">
        <f>regressions!$P$1*AI95^2+regressions!$P$2*AI95^7</f>
        <v>-3.6531604760117811E-3</v>
      </c>
      <c r="AQ95">
        <f>regressions!$T$2+regressions!$T$1*EXP(AI95)</f>
        <v>-1.1838422867263484E-3</v>
      </c>
      <c r="AR95" s="8">
        <f>(1-EXP(-2*regressions!$X$1*AI95))/2/EXP(-regressions!$X$1*AI95)</f>
        <v>-5.7443370169206281E-2</v>
      </c>
      <c r="AT95" s="33">
        <v>0.14105660922623808</v>
      </c>
      <c r="AU95">
        <f t="shared" si="24"/>
        <v>-5.5233645181429258E-2</v>
      </c>
      <c r="AV95">
        <f>IF(AT95&lt;=regressions!$L$2,AT95*regressions!$L$1,regressions!$L$1*regressions!$L$2+regressions!$L$3*(AT95-regressions!$L$2))</f>
        <v>-0.11210894876616073</v>
      </c>
      <c r="AW95">
        <f>regressions!$J$1*AT95+regressions!$J$2*AT95^2</f>
        <v>-6.5572362347001575E-2</v>
      </c>
      <c r="AX95">
        <f>regressions!$V$1*AT95</f>
        <v>-0.11210894908265855</v>
      </c>
      <c r="AY95">
        <f>regressions!$N$1*AT95^2</f>
        <v>-3.4669442976778763E-3</v>
      </c>
      <c r="AZ95">
        <f>regressions!$R$1*AT95^2+regressions!$R$2*AT95^6</f>
        <v>-3.7761281909956296E-3</v>
      </c>
      <c r="BA95">
        <f>regressions!$P$1*AT95^2+regressions!$P$2*AT95^7</f>
        <v>-3.6531604760117811E-3</v>
      </c>
      <c r="BB95">
        <f>regressions!$T$2+regressions!$T$1*EXP(AT95)</f>
        <v>-1.1838422867263484E-3</v>
      </c>
      <c r="BC95" s="8">
        <f>(1-EXP(-2*regressions!$X$1*AT95))/2/EXP(-regressions!$X$1*AT95)</f>
        <v>-5.7443370169206281E-2</v>
      </c>
      <c r="BE95">
        <f t="shared" si="25"/>
        <v>0</v>
      </c>
      <c r="BF95">
        <f t="shared" si="16"/>
        <v>0</v>
      </c>
      <c r="BG95">
        <f t="shared" si="17"/>
        <v>0</v>
      </c>
      <c r="BH95">
        <f>BG95+regressions!$AR$1*(AI95-B95)</f>
        <v>0</v>
      </c>
      <c r="BI95">
        <f>BG95-regressions!$AO$1*(AI95-B95)</f>
        <v>0</v>
      </c>
      <c r="BJ95">
        <f t="shared" si="18"/>
        <v>0</v>
      </c>
      <c r="BK95">
        <f>BJ95+regressions!$AR$1*(AT95-B95)</f>
        <v>0</v>
      </c>
      <c r="BL95">
        <f>BJ95-regressions!$AO$1*(AT95-B95)</f>
        <v>0</v>
      </c>
      <c r="BM95">
        <f t="shared" si="26"/>
        <v>0</v>
      </c>
      <c r="BN95">
        <f t="shared" si="19"/>
        <v>0</v>
      </c>
      <c r="BO95">
        <f t="shared" si="20"/>
        <v>0</v>
      </c>
      <c r="BP95">
        <f t="shared" si="27"/>
        <v>0</v>
      </c>
      <c r="BQ95">
        <f t="shared" si="28"/>
        <v>0</v>
      </c>
      <c r="BR95">
        <f t="shared" si="29"/>
        <v>0</v>
      </c>
    </row>
    <row r="96" spans="1:70" x14ac:dyDescent="0.35">
      <c r="A96">
        <v>1943</v>
      </c>
      <c r="B96" s="33">
        <v>0.14499543042698584</v>
      </c>
      <c r="C96">
        <f t="shared" si="30"/>
        <v>-5.6822157380897215E-2</v>
      </c>
      <c r="D96">
        <f>IF($B96&lt;=regressions!$L$2,$B96*regressions!$L$1,regressions!$L$1*regressions!$L$2+regressions!$L$3*($B96-regressions!$L$2))</f>
        <v>-0.11523944443464416</v>
      </c>
      <c r="E96">
        <f>regressions!$J$1*B96+regressions!$J$2*B96^2</f>
        <v>-6.7450063553320769E-2</v>
      </c>
      <c r="F96">
        <f>regressions!$V$1*B96</f>
        <v>-0.11523944475997977</v>
      </c>
      <c r="G96">
        <f>regressions!$N$1*B96^2</f>
        <v>-3.6632673510305436E-3</v>
      </c>
      <c r="H96">
        <f>regressions!$R$1*B96^2+regressions!$R$2*B96^6</f>
        <v>-3.9899594255541305E-3</v>
      </c>
      <c r="I96">
        <f>regressions!$P$1*B96^2+regressions!$P$2*B96^7</f>
        <v>-3.8600284141341564E-3</v>
      </c>
      <c r="J96">
        <f>regressions!$T$2+regressions!$T$1*EXP(B96)</f>
        <v>-1.2193556927193022E-3</v>
      </c>
      <c r="K96" s="8">
        <f>(1-EXP(-2*regressions!$X$1*B96))/2/EXP(-regressions!$X$1*B96)</f>
        <v>-5.9049237576812519E-2</v>
      </c>
      <c r="M96" s="33">
        <v>0.14499543042698584</v>
      </c>
      <c r="N96">
        <f t="shared" si="21"/>
        <v>-5.6822157380897215E-2</v>
      </c>
      <c r="O96">
        <f>IF($B96&lt;=regressions!$L$2,$B96*regressions!$L$1,regressions!$L$1*regressions!$L$2+regressions!$L$3*($B96-regressions!$L$2))</f>
        <v>-0.11523944443464416</v>
      </c>
      <c r="P96">
        <f>regressions!$J$1*M96+regressions!$J$2*M96^2</f>
        <v>-6.7450063553320769E-2</v>
      </c>
      <c r="Q96">
        <f>regressions!$V$1*M96</f>
        <v>-0.11523944475997977</v>
      </c>
      <c r="R96">
        <f>regressions!$N$1*M96^2</f>
        <v>-3.6632673510305436E-3</v>
      </c>
      <c r="S96">
        <f>regressions!$R$1*M96^2+regressions!$R$2*M96^6</f>
        <v>-3.9899594255541305E-3</v>
      </c>
      <c r="T96">
        <f>regressions!$P$1*M96^2+regressions!$P$2*M96^7</f>
        <v>-3.8600284141341564E-3</v>
      </c>
      <c r="U96">
        <f>regressions!$T$2+regressions!$T$1*EXP(M96)</f>
        <v>-1.2193556927193022E-3</v>
      </c>
      <c r="V96" s="8">
        <f>(1-EXP(-2*regressions!$X$1*M96))/2/EXP(-regressions!$X$1*M96)</f>
        <v>-5.9049237576812519E-2</v>
      </c>
      <c r="X96" s="33">
        <v>0.14499543042698584</v>
      </c>
      <c r="Y96">
        <f t="shared" si="22"/>
        <v>-5.6822157380897215E-2</v>
      </c>
      <c r="Z96">
        <f>IF($B96&lt;=regressions!$L$2,$B96*regressions!$L$1,regressions!$L$1*regressions!$L$2+regressions!$L$3*($B96-regressions!$L$2))</f>
        <v>-0.11523944443464416</v>
      </c>
      <c r="AA96">
        <f>regressions!$J$1*X96+regressions!$J$2*X96^2</f>
        <v>-6.7450063553320769E-2</v>
      </c>
      <c r="AB96">
        <f>regressions!$V$1*X96</f>
        <v>-0.11523944475997977</v>
      </c>
      <c r="AC96">
        <f>regressions!$N$1*X96^2</f>
        <v>-3.6632673510305436E-3</v>
      </c>
      <c r="AD96">
        <f>regressions!$R$1*X96^2+regressions!$R$2*X96^6</f>
        <v>-3.9899594255541305E-3</v>
      </c>
      <c r="AE96">
        <f>regressions!$P$1*X96^2+regressions!$P$2*X96^7</f>
        <v>-3.8600284141341564E-3</v>
      </c>
      <c r="AF96">
        <f>regressions!$T$2+regressions!$T$1*EXP(X96)</f>
        <v>-1.2193556927193022E-3</v>
      </c>
      <c r="AG96" s="8">
        <f>(1-EXP(-2*regressions!$X$1*X96))/2/EXP(-regressions!$X$1*X96)</f>
        <v>-5.9049237576812519E-2</v>
      </c>
      <c r="AH96" s="8"/>
      <c r="AI96" s="33">
        <v>0.14499543042698584</v>
      </c>
      <c r="AJ96">
        <f t="shared" si="23"/>
        <v>-5.6822157380897215E-2</v>
      </c>
      <c r="AK96">
        <f>IF(AI96&lt;=regressions!$L$2,AI96*regressions!$L$1,regressions!$L$1*regressions!$L$2+regressions!$L$3*(AI96-regressions!$L$2))</f>
        <v>-0.11523944443464416</v>
      </c>
      <c r="AL96">
        <f>regressions!$J$1*AI96+regressions!$J$2*AI96^2</f>
        <v>-6.7450063553320769E-2</v>
      </c>
      <c r="AM96">
        <f>regressions!$V$1*AI96</f>
        <v>-0.11523944475997977</v>
      </c>
      <c r="AN96">
        <f>regressions!$N$1*AI96^2</f>
        <v>-3.6632673510305436E-3</v>
      </c>
      <c r="AO96">
        <f>regressions!$R$1*AI96^2+regressions!$R$2*AI96^6</f>
        <v>-3.9899594255541305E-3</v>
      </c>
      <c r="AP96">
        <f>regressions!$P$1*AI96^2+regressions!$P$2*AI96^7</f>
        <v>-3.8600284141341564E-3</v>
      </c>
      <c r="AQ96">
        <f>regressions!$T$2+regressions!$T$1*EXP(AI96)</f>
        <v>-1.2193556927193022E-3</v>
      </c>
      <c r="AR96" s="8">
        <f>(1-EXP(-2*regressions!$X$1*AI96))/2/EXP(-regressions!$X$1*AI96)</f>
        <v>-5.9049237576812519E-2</v>
      </c>
      <c r="AT96" s="33">
        <v>0.14499543042698584</v>
      </c>
      <c r="AU96">
        <f t="shared" si="24"/>
        <v>-5.6822157380897215E-2</v>
      </c>
      <c r="AV96">
        <f>IF(AT96&lt;=regressions!$L$2,AT96*regressions!$L$1,regressions!$L$1*regressions!$L$2+regressions!$L$3*(AT96-regressions!$L$2))</f>
        <v>-0.11523944443464416</v>
      </c>
      <c r="AW96">
        <f>regressions!$J$1*AT96+regressions!$J$2*AT96^2</f>
        <v>-6.7450063553320769E-2</v>
      </c>
      <c r="AX96">
        <f>regressions!$V$1*AT96</f>
        <v>-0.11523944475997977</v>
      </c>
      <c r="AY96">
        <f>regressions!$N$1*AT96^2</f>
        <v>-3.6632673510305436E-3</v>
      </c>
      <c r="AZ96">
        <f>regressions!$R$1*AT96^2+regressions!$R$2*AT96^6</f>
        <v>-3.9899594255541305E-3</v>
      </c>
      <c r="BA96">
        <f>regressions!$P$1*AT96^2+regressions!$P$2*AT96^7</f>
        <v>-3.8600284141341564E-3</v>
      </c>
      <c r="BB96">
        <f>regressions!$T$2+regressions!$T$1*EXP(AT96)</f>
        <v>-1.2193556927193022E-3</v>
      </c>
      <c r="BC96" s="8">
        <f>(1-EXP(-2*regressions!$X$1*AT96))/2/EXP(-regressions!$X$1*AT96)</f>
        <v>-5.9049237576812519E-2</v>
      </c>
      <c r="BE96">
        <f t="shared" si="25"/>
        <v>0</v>
      </c>
      <c r="BF96">
        <f t="shared" si="16"/>
        <v>0</v>
      </c>
      <c r="BG96">
        <f t="shared" si="17"/>
        <v>0</v>
      </c>
      <c r="BH96">
        <f>BG96+regressions!$AR$1*(AI96-B96)</f>
        <v>0</v>
      </c>
      <c r="BI96">
        <f>BG96-regressions!$AO$1*(AI96-B96)</f>
        <v>0</v>
      </c>
      <c r="BJ96">
        <f t="shared" si="18"/>
        <v>0</v>
      </c>
      <c r="BK96">
        <f>BJ96+regressions!$AR$1*(AT96-B96)</f>
        <v>0</v>
      </c>
      <c r="BL96">
        <f>BJ96-regressions!$AO$1*(AT96-B96)</f>
        <v>0</v>
      </c>
      <c r="BM96">
        <f t="shared" si="26"/>
        <v>0</v>
      </c>
      <c r="BN96">
        <f t="shared" si="19"/>
        <v>0</v>
      </c>
      <c r="BO96">
        <f t="shared" si="20"/>
        <v>0</v>
      </c>
      <c r="BP96">
        <f t="shared" si="27"/>
        <v>0</v>
      </c>
      <c r="BQ96">
        <f t="shared" si="28"/>
        <v>0</v>
      </c>
      <c r="BR96">
        <f t="shared" si="29"/>
        <v>0</v>
      </c>
    </row>
    <row r="97" spans="1:70" x14ac:dyDescent="0.35">
      <c r="A97">
        <v>1944</v>
      </c>
      <c r="B97" s="33">
        <v>0.1490220152429946</v>
      </c>
      <c r="C97">
        <f t="shared" si="30"/>
        <v>-5.8448667393814567E-2</v>
      </c>
      <c r="D97">
        <f>IF($B97&lt;=regressions!$L$2,$B97*regressions!$L$1,regressions!$L$1*regressions!$L$2+regressions!$L$3*($B97-regressions!$L$2))</f>
        <v>-0.11843969285488309</v>
      </c>
      <c r="E97">
        <f>regressions!$J$1*B97+regressions!$J$2*B97^2</f>
        <v>-6.93722245907131E-2</v>
      </c>
      <c r="F97">
        <f>regressions!$V$1*B97</f>
        <v>-0.1184396931892534</v>
      </c>
      <c r="G97">
        <f>regressions!$N$1*B97^2</f>
        <v>-3.8695534371344501E-3</v>
      </c>
      <c r="H97">
        <f>regressions!$R$1*B97^2+regressions!$R$2*B97^6</f>
        <v>-4.2146421988575834E-3</v>
      </c>
      <c r="I97">
        <f>regressions!$P$1*B97^2+regressions!$P$2*B97^7</f>
        <v>-4.0773945184190332E-3</v>
      </c>
      <c r="J97">
        <f>regressions!$T$2+regressions!$T$1*EXP(B97)</f>
        <v>-1.2558052778494731E-3</v>
      </c>
      <c r="K97" s="8">
        <f>(1-EXP(-2*regressions!$X$1*B97))/2/EXP(-regressions!$X$1*B97)</f>
        <v>-6.0691043336798083E-2</v>
      </c>
      <c r="M97" s="33">
        <v>0.1490220152429946</v>
      </c>
      <c r="N97">
        <f t="shared" si="21"/>
        <v>-5.8448667393814567E-2</v>
      </c>
      <c r="O97">
        <f>IF($B97&lt;=regressions!$L$2,$B97*regressions!$L$1,regressions!$L$1*regressions!$L$2+regressions!$L$3*($B97-regressions!$L$2))</f>
        <v>-0.11843969285488309</v>
      </c>
      <c r="P97">
        <f>regressions!$J$1*M97+regressions!$J$2*M97^2</f>
        <v>-6.93722245907131E-2</v>
      </c>
      <c r="Q97">
        <f>regressions!$V$1*M97</f>
        <v>-0.1184396931892534</v>
      </c>
      <c r="R97">
        <f>regressions!$N$1*M97^2</f>
        <v>-3.8695534371344501E-3</v>
      </c>
      <c r="S97">
        <f>regressions!$R$1*M97^2+regressions!$R$2*M97^6</f>
        <v>-4.2146421988575834E-3</v>
      </c>
      <c r="T97">
        <f>regressions!$P$1*M97^2+regressions!$P$2*M97^7</f>
        <v>-4.0773945184190332E-3</v>
      </c>
      <c r="U97">
        <f>regressions!$T$2+regressions!$T$1*EXP(M97)</f>
        <v>-1.2558052778494731E-3</v>
      </c>
      <c r="V97" s="8">
        <f>(1-EXP(-2*regressions!$X$1*M97))/2/EXP(-regressions!$X$1*M97)</f>
        <v>-6.0691043336798083E-2</v>
      </c>
      <c r="X97" s="33">
        <v>0.1490220152429946</v>
      </c>
      <c r="Y97">
        <f t="shared" si="22"/>
        <v>-5.8448667393814567E-2</v>
      </c>
      <c r="Z97">
        <f>IF($B97&lt;=regressions!$L$2,$B97*regressions!$L$1,regressions!$L$1*regressions!$L$2+regressions!$L$3*($B97-regressions!$L$2))</f>
        <v>-0.11843969285488309</v>
      </c>
      <c r="AA97">
        <f>regressions!$J$1*X97+regressions!$J$2*X97^2</f>
        <v>-6.93722245907131E-2</v>
      </c>
      <c r="AB97">
        <f>regressions!$V$1*X97</f>
        <v>-0.1184396931892534</v>
      </c>
      <c r="AC97">
        <f>regressions!$N$1*X97^2</f>
        <v>-3.8695534371344501E-3</v>
      </c>
      <c r="AD97">
        <f>regressions!$R$1*X97^2+regressions!$R$2*X97^6</f>
        <v>-4.2146421988575834E-3</v>
      </c>
      <c r="AE97">
        <f>regressions!$P$1*X97^2+regressions!$P$2*X97^7</f>
        <v>-4.0773945184190332E-3</v>
      </c>
      <c r="AF97">
        <f>regressions!$T$2+regressions!$T$1*EXP(X97)</f>
        <v>-1.2558052778494731E-3</v>
      </c>
      <c r="AG97" s="8">
        <f>(1-EXP(-2*regressions!$X$1*X97))/2/EXP(-regressions!$X$1*X97)</f>
        <v>-6.0691043336798083E-2</v>
      </c>
      <c r="AH97" s="8"/>
      <c r="AI97" s="33">
        <v>0.1490220152429946</v>
      </c>
      <c r="AJ97">
        <f t="shared" si="23"/>
        <v>-5.8448667393814567E-2</v>
      </c>
      <c r="AK97">
        <f>IF(AI97&lt;=regressions!$L$2,AI97*regressions!$L$1,regressions!$L$1*regressions!$L$2+regressions!$L$3*(AI97-regressions!$L$2))</f>
        <v>-0.11843969285488309</v>
      </c>
      <c r="AL97">
        <f>regressions!$J$1*AI97+regressions!$J$2*AI97^2</f>
        <v>-6.93722245907131E-2</v>
      </c>
      <c r="AM97">
        <f>regressions!$V$1*AI97</f>
        <v>-0.1184396931892534</v>
      </c>
      <c r="AN97">
        <f>regressions!$N$1*AI97^2</f>
        <v>-3.8695534371344501E-3</v>
      </c>
      <c r="AO97">
        <f>regressions!$R$1*AI97^2+regressions!$R$2*AI97^6</f>
        <v>-4.2146421988575834E-3</v>
      </c>
      <c r="AP97">
        <f>regressions!$P$1*AI97^2+regressions!$P$2*AI97^7</f>
        <v>-4.0773945184190332E-3</v>
      </c>
      <c r="AQ97">
        <f>regressions!$T$2+regressions!$T$1*EXP(AI97)</f>
        <v>-1.2558052778494731E-3</v>
      </c>
      <c r="AR97" s="8">
        <f>(1-EXP(-2*regressions!$X$1*AI97))/2/EXP(-regressions!$X$1*AI97)</f>
        <v>-6.0691043336798083E-2</v>
      </c>
      <c r="AT97" s="33">
        <v>0.1490220152429946</v>
      </c>
      <c r="AU97">
        <f t="shared" si="24"/>
        <v>-5.8448667393814567E-2</v>
      </c>
      <c r="AV97">
        <f>IF(AT97&lt;=regressions!$L$2,AT97*regressions!$L$1,regressions!$L$1*regressions!$L$2+regressions!$L$3*(AT97-regressions!$L$2))</f>
        <v>-0.11843969285488309</v>
      </c>
      <c r="AW97">
        <f>regressions!$J$1*AT97+regressions!$J$2*AT97^2</f>
        <v>-6.93722245907131E-2</v>
      </c>
      <c r="AX97">
        <f>regressions!$V$1*AT97</f>
        <v>-0.1184396931892534</v>
      </c>
      <c r="AY97">
        <f>regressions!$N$1*AT97^2</f>
        <v>-3.8695534371344501E-3</v>
      </c>
      <c r="AZ97">
        <f>regressions!$R$1*AT97^2+regressions!$R$2*AT97^6</f>
        <v>-4.2146421988575834E-3</v>
      </c>
      <c r="BA97">
        <f>regressions!$P$1*AT97^2+regressions!$P$2*AT97^7</f>
        <v>-4.0773945184190332E-3</v>
      </c>
      <c r="BB97">
        <f>regressions!$T$2+regressions!$T$1*EXP(AT97)</f>
        <v>-1.2558052778494731E-3</v>
      </c>
      <c r="BC97" s="8">
        <f>(1-EXP(-2*regressions!$X$1*AT97))/2/EXP(-regressions!$X$1*AT97)</f>
        <v>-6.0691043336798083E-2</v>
      </c>
      <c r="BE97">
        <f t="shared" si="25"/>
        <v>0</v>
      </c>
      <c r="BF97">
        <f t="shared" si="16"/>
        <v>0</v>
      </c>
      <c r="BG97">
        <f t="shared" si="17"/>
        <v>0</v>
      </c>
      <c r="BH97">
        <f>BG97+regressions!$AR$1*(AI97-B97)</f>
        <v>0</v>
      </c>
      <c r="BI97">
        <f>BG97-regressions!$AO$1*(AI97-B97)</f>
        <v>0</v>
      </c>
      <c r="BJ97">
        <f t="shared" si="18"/>
        <v>0</v>
      </c>
      <c r="BK97">
        <f>BJ97+regressions!$AR$1*(AT97-B97)</f>
        <v>0</v>
      </c>
      <c r="BL97">
        <f>BJ97-regressions!$AO$1*(AT97-B97)</f>
        <v>0</v>
      </c>
      <c r="BM97">
        <f t="shared" si="26"/>
        <v>0</v>
      </c>
      <c r="BN97">
        <f t="shared" si="19"/>
        <v>0</v>
      </c>
      <c r="BO97">
        <f t="shared" si="20"/>
        <v>0</v>
      </c>
      <c r="BP97">
        <f t="shared" si="27"/>
        <v>0</v>
      </c>
      <c r="BQ97">
        <f t="shared" si="28"/>
        <v>0</v>
      </c>
      <c r="BR97">
        <f t="shared" si="29"/>
        <v>0</v>
      </c>
    </row>
    <row r="98" spans="1:70" x14ac:dyDescent="0.35">
      <c r="A98">
        <v>1945</v>
      </c>
      <c r="B98" s="33">
        <v>0.15312763154869058</v>
      </c>
      <c r="C98">
        <f t="shared" si="30"/>
        <v>-6.0109812134874735E-2</v>
      </c>
      <c r="D98">
        <f>IF($B98&lt;=regressions!$L$2,$B98*regressions!$L$1,regressions!$L$1*regressions!$L$2+regressions!$L$3*($B98-regressions!$L$2))</f>
        <v>-0.12170275390954488</v>
      </c>
      <c r="E98">
        <f>regressions!$J$1*B98+regressions!$J$2*B98^2</f>
        <v>-7.133484158640177E-2</v>
      </c>
      <c r="F98">
        <f>regressions!$V$1*B98</f>
        <v>-0.12170275425312722</v>
      </c>
      <c r="G98">
        <f>regressions!$N$1*B98^2</f>
        <v>-4.0857060226239614E-3</v>
      </c>
      <c r="H98">
        <f>regressions!$R$1*B98^2+regressions!$R$2*B98^6</f>
        <v>-4.4500713682524406E-3</v>
      </c>
      <c r="I98">
        <f>regressions!$P$1*B98^2+regressions!$P$2*B98^7</f>
        <v>-4.3051570705013292E-3</v>
      </c>
      <c r="J98">
        <f>regressions!$T$2+regressions!$T$1*EXP(B98)</f>
        <v>-1.2931216997191936E-3</v>
      </c>
      <c r="K98" s="8">
        <f>(1-EXP(-2*regressions!$X$1*B98))/2/EXP(-regressions!$X$1*B98)</f>
        <v>-6.2365241385772749E-2</v>
      </c>
      <c r="M98" s="33">
        <v>0.15312763154869058</v>
      </c>
      <c r="N98">
        <f t="shared" si="21"/>
        <v>-6.0109812134874735E-2</v>
      </c>
      <c r="O98">
        <f>IF($B98&lt;=regressions!$L$2,$B98*regressions!$L$1,regressions!$L$1*regressions!$L$2+regressions!$L$3*($B98-regressions!$L$2))</f>
        <v>-0.12170275390954488</v>
      </c>
      <c r="P98">
        <f>regressions!$J$1*M98+regressions!$J$2*M98^2</f>
        <v>-7.133484158640177E-2</v>
      </c>
      <c r="Q98">
        <f>regressions!$V$1*M98</f>
        <v>-0.12170275425312722</v>
      </c>
      <c r="R98">
        <f>regressions!$N$1*M98^2</f>
        <v>-4.0857060226239614E-3</v>
      </c>
      <c r="S98">
        <f>regressions!$R$1*M98^2+regressions!$R$2*M98^6</f>
        <v>-4.4500713682524406E-3</v>
      </c>
      <c r="T98">
        <f>regressions!$P$1*M98^2+regressions!$P$2*M98^7</f>
        <v>-4.3051570705013292E-3</v>
      </c>
      <c r="U98">
        <f>regressions!$T$2+regressions!$T$1*EXP(M98)</f>
        <v>-1.2931216997191936E-3</v>
      </c>
      <c r="V98" s="8">
        <f>(1-EXP(-2*regressions!$X$1*M98))/2/EXP(-regressions!$X$1*M98)</f>
        <v>-6.2365241385772749E-2</v>
      </c>
      <c r="X98" s="33">
        <v>0.15312763154869058</v>
      </c>
      <c r="Y98">
        <f t="shared" si="22"/>
        <v>-6.0109812134874735E-2</v>
      </c>
      <c r="Z98">
        <f>IF($B98&lt;=regressions!$L$2,$B98*regressions!$L$1,regressions!$L$1*regressions!$L$2+regressions!$L$3*($B98-regressions!$L$2))</f>
        <v>-0.12170275390954488</v>
      </c>
      <c r="AA98">
        <f>regressions!$J$1*X98+regressions!$J$2*X98^2</f>
        <v>-7.133484158640177E-2</v>
      </c>
      <c r="AB98">
        <f>regressions!$V$1*X98</f>
        <v>-0.12170275425312722</v>
      </c>
      <c r="AC98">
        <f>regressions!$N$1*X98^2</f>
        <v>-4.0857060226239614E-3</v>
      </c>
      <c r="AD98">
        <f>regressions!$R$1*X98^2+regressions!$R$2*X98^6</f>
        <v>-4.4500713682524406E-3</v>
      </c>
      <c r="AE98">
        <f>regressions!$P$1*X98^2+regressions!$P$2*X98^7</f>
        <v>-4.3051570705013292E-3</v>
      </c>
      <c r="AF98">
        <f>regressions!$T$2+regressions!$T$1*EXP(X98)</f>
        <v>-1.2931216997191936E-3</v>
      </c>
      <c r="AG98" s="8">
        <f>(1-EXP(-2*regressions!$X$1*X98))/2/EXP(-regressions!$X$1*X98)</f>
        <v>-6.2365241385772749E-2</v>
      </c>
      <c r="AH98" s="8"/>
      <c r="AI98" s="33">
        <v>0.15312763154869058</v>
      </c>
      <c r="AJ98">
        <f t="shared" si="23"/>
        <v>-6.0109812134874735E-2</v>
      </c>
      <c r="AK98">
        <f>IF(AI98&lt;=regressions!$L$2,AI98*regressions!$L$1,regressions!$L$1*regressions!$L$2+regressions!$L$3*(AI98-regressions!$L$2))</f>
        <v>-0.12170275390954488</v>
      </c>
      <c r="AL98">
        <f>regressions!$J$1*AI98+regressions!$J$2*AI98^2</f>
        <v>-7.133484158640177E-2</v>
      </c>
      <c r="AM98">
        <f>regressions!$V$1*AI98</f>
        <v>-0.12170275425312722</v>
      </c>
      <c r="AN98">
        <f>regressions!$N$1*AI98^2</f>
        <v>-4.0857060226239614E-3</v>
      </c>
      <c r="AO98">
        <f>regressions!$R$1*AI98^2+regressions!$R$2*AI98^6</f>
        <v>-4.4500713682524406E-3</v>
      </c>
      <c r="AP98">
        <f>regressions!$P$1*AI98^2+regressions!$P$2*AI98^7</f>
        <v>-4.3051570705013292E-3</v>
      </c>
      <c r="AQ98">
        <f>regressions!$T$2+regressions!$T$1*EXP(AI98)</f>
        <v>-1.2931216997191936E-3</v>
      </c>
      <c r="AR98" s="8">
        <f>(1-EXP(-2*regressions!$X$1*AI98))/2/EXP(-regressions!$X$1*AI98)</f>
        <v>-6.2365241385772749E-2</v>
      </c>
      <c r="AT98" s="33">
        <v>0.15312763154869058</v>
      </c>
      <c r="AU98">
        <f t="shared" si="24"/>
        <v>-6.0109812134874735E-2</v>
      </c>
      <c r="AV98">
        <f>IF(AT98&lt;=regressions!$L$2,AT98*regressions!$L$1,regressions!$L$1*regressions!$L$2+regressions!$L$3*(AT98-regressions!$L$2))</f>
        <v>-0.12170275390954488</v>
      </c>
      <c r="AW98">
        <f>regressions!$J$1*AT98+regressions!$J$2*AT98^2</f>
        <v>-7.133484158640177E-2</v>
      </c>
      <c r="AX98">
        <f>regressions!$V$1*AT98</f>
        <v>-0.12170275425312722</v>
      </c>
      <c r="AY98">
        <f>regressions!$N$1*AT98^2</f>
        <v>-4.0857060226239614E-3</v>
      </c>
      <c r="AZ98">
        <f>regressions!$R$1*AT98^2+regressions!$R$2*AT98^6</f>
        <v>-4.4500713682524406E-3</v>
      </c>
      <c r="BA98">
        <f>regressions!$P$1*AT98^2+regressions!$P$2*AT98^7</f>
        <v>-4.3051570705013292E-3</v>
      </c>
      <c r="BB98">
        <f>regressions!$T$2+regressions!$T$1*EXP(AT98)</f>
        <v>-1.2931216997191936E-3</v>
      </c>
      <c r="BC98" s="8">
        <f>(1-EXP(-2*regressions!$X$1*AT98))/2/EXP(-regressions!$X$1*AT98)</f>
        <v>-6.2365241385772749E-2</v>
      </c>
      <c r="BE98">
        <f t="shared" si="25"/>
        <v>0</v>
      </c>
      <c r="BF98">
        <f t="shared" si="16"/>
        <v>0</v>
      </c>
      <c r="BG98">
        <f t="shared" si="17"/>
        <v>0</v>
      </c>
      <c r="BH98">
        <f>BG98+regressions!$AR$1*(AI98-B98)</f>
        <v>0</v>
      </c>
      <c r="BI98">
        <f>BG98-regressions!$AO$1*(AI98-B98)</f>
        <v>0</v>
      </c>
      <c r="BJ98">
        <f t="shared" si="18"/>
        <v>0</v>
      </c>
      <c r="BK98">
        <f>BJ98+regressions!$AR$1*(AT98-B98)</f>
        <v>0</v>
      </c>
      <c r="BL98">
        <f>BJ98-regressions!$AO$1*(AT98-B98)</f>
        <v>0</v>
      </c>
      <c r="BM98">
        <f t="shared" si="26"/>
        <v>0</v>
      </c>
      <c r="BN98">
        <f t="shared" si="19"/>
        <v>0</v>
      </c>
      <c r="BO98">
        <f t="shared" si="20"/>
        <v>0</v>
      </c>
      <c r="BP98">
        <f t="shared" si="27"/>
        <v>0</v>
      </c>
      <c r="BQ98">
        <f t="shared" si="28"/>
        <v>0</v>
      </c>
      <c r="BR98">
        <f t="shared" si="29"/>
        <v>0</v>
      </c>
    </row>
    <row r="99" spans="1:70" x14ac:dyDescent="0.35">
      <c r="A99">
        <v>1946</v>
      </c>
      <c r="B99" s="33">
        <v>0.15724994302937331</v>
      </c>
      <c r="C99">
        <f t="shared" si="30"/>
        <v>-6.1780466190820699E-2</v>
      </c>
      <c r="D99">
        <f>IF($B99&lt;=regressions!$L$2,$B99*regressions!$L$1,regressions!$L$1*regressions!$L$2+regressions!$L$3*($B99-regressions!$L$2))</f>
        <v>-0.12497908395264684</v>
      </c>
      <c r="E99">
        <f>regressions!$J$1*B99+regressions!$J$2*B99^2</f>
        <v>-7.3308211651708491E-2</v>
      </c>
      <c r="F99">
        <f>regressions!$V$1*B99</f>
        <v>-0.12497908430547867</v>
      </c>
      <c r="G99">
        <f>regressions!$N$1*B99^2</f>
        <v>-4.3086476275061864E-3</v>
      </c>
      <c r="H99">
        <f>regressions!$R$1*B99^2+regressions!$R$2*B99^6</f>
        <v>-4.6928950023172305E-3</v>
      </c>
      <c r="I99">
        <f>regressions!$P$1*B99^2+regressions!$P$2*B99^7</f>
        <v>-4.5400732930739379E-3</v>
      </c>
      <c r="J99">
        <f>regressions!$T$2+regressions!$T$1*EXP(B99)</f>
        <v>-1.3307443263693951E-3</v>
      </c>
      <c r="K99" s="8">
        <f>(1-EXP(-2*regressions!$X$1*B99))/2/EXP(-regressions!$X$1*B99)</f>
        <v>-6.4046422649936291E-2</v>
      </c>
      <c r="M99" s="33">
        <v>0.15724994302937331</v>
      </c>
      <c r="N99">
        <f t="shared" si="21"/>
        <v>-6.1780466190820699E-2</v>
      </c>
      <c r="O99">
        <f>IF($B99&lt;=regressions!$L$2,$B99*regressions!$L$1,regressions!$L$1*regressions!$L$2+regressions!$L$3*($B99-regressions!$L$2))</f>
        <v>-0.12497908395264684</v>
      </c>
      <c r="P99">
        <f>regressions!$J$1*M99+regressions!$J$2*M99^2</f>
        <v>-7.3308211651708491E-2</v>
      </c>
      <c r="Q99">
        <f>regressions!$V$1*M99</f>
        <v>-0.12497908430547867</v>
      </c>
      <c r="R99">
        <f>regressions!$N$1*M99^2</f>
        <v>-4.3086476275061864E-3</v>
      </c>
      <c r="S99">
        <f>regressions!$R$1*M99^2+regressions!$R$2*M99^6</f>
        <v>-4.6928950023172305E-3</v>
      </c>
      <c r="T99">
        <f>regressions!$P$1*M99^2+regressions!$P$2*M99^7</f>
        <v>-4.5400732930739379E-3</v>
      </c>
      <c r="U99">
        <f>regressions!$T$2+regressions!$T$1*EXP(M99)</f>
        <v>-1.3307443263693951E-3</v>
      </c>
      <c r="V99" s="8">
        <f>(1-EXP(-2*regressions!$X$1*M99))/2/EXP(-regressions!$X$1*M99)</f>
        <v>-6.4046422649936291E-2</v>
      </c>
      <c r="X99" s="33">
        <v>0.15724994302937331</v>
      </c>
      <c r="Y99">
        <f t="shared" si="22"/>
        <v>-6.1780466190820699E-2</v>
      </c>
      <c r="Z99">
        <f>IF($B99&lt;=regressions!$L$2,$B99*regressions!$L$1,regressions!$L$1*regressions!$L$2+regressions!$L$3*($B99-regressions!$L$2))</f>
        <v>-0.12497908395264684</v>
      </c>
      <c r="AA99">
        <f>regressions!$J$1*X99+regressions!$J$2*X99^2</f>
        <v>-7.3308211651708491E-2</v>
      </c>
      <c r="AB99">
        <f>regressions!$V$1*X99</f>
        <v>-0.12497908430547867</v>
      </c>
      <c r="AC99">
        <f>regressions!$N$1*X99^2</f>
        <v>-4.3086476275061864E-3</v>
      </c>
      <c r="AD99">
        <f>regressions!$R$1*X99^2+regressions!$R$2*X99^6</f>
        <v>-4.6928950023172305E-3</v>
      </c>
      <c r="AE99">
        <f>regressions!$P$1*X99^2+regressions!$P$2*X99^7</f>
        <v>-4.5400732930739379E-3</v>
      </c>
      <c r="AF99">
        <f>regressions!$T$2+regressions!$T$1*EXP(X99)</f>
        <v>-1.3307443263693951E-3</v>
      </c>
      <c r="AG99" s="8">
        <f>(1-EXP(-2*regressions!$X$1*X99))/2/EXP(-regressions!$X$1*X99)</f>
        <v>-6.4046422649936291E-2</v>
      </c>
      <c r="AH99" s="8"/>
      <c r="AI99" s="33">
        <v>0.15724994302937331</v>
      </c>
      <c r="AJ99">
        <f t="shared" si="23"/>
        <v>-6.1780466190820699E-2</v>
      </c>
      <c r="AK99">
        <f>IF(AI99&lt;=regressions!$L$2,AI99*regressions!$L$1,regressions!$L$1*regressions!$L$2+regressions!$L$3*(AI99-regressions!$L$2))</f>
        <v>-0.12497908395264684</v>
      </c>
      <c r="AL99">
        <f>regressions!$J$1*AI99+regressions!$J$2*AI99^2</f>
        <v>-7.3308211651708491E-2</v>
      </c>
      <c r="AM99">
        <f>regressions!$V$1*AI99</f>
        <v>-0.12497908430547867</v>
      </c>
      <c r="AN99">
        <f>regressions!$N$1*AI99^2</f>
        <v>-4.3086476275061864E-3</v>
      </c>
      <c r="AO99">
        <f>regressions!$R$1*AI99^2+regressions!$R$2*AI99^6</f>
        <v>-4.6928950023172305E-3</v>
      </c>
      <c r="AP99">
        <f>regressions!$P$1*AI99^2+regressions!$P$2*AI99^7</f>
        <v>-4.5400732930739379E-3</v>
      </c>
      <c r="AQ99">
        <f>regressions!$T$2+regressions!$T$1*EXP(AI99)</f>
        <v>-1.3307443263693951E-3</v>
      </c>
      <c r="AR99" s="8">
        <f>(1-EXP(-2*regressions!$X$1*AI99))/2/EXP(-regressions!$X$1*AI99)</f>
        <v>-6.4046422649936291E-2</v>
      </c>
      <c r="AT99" s="33">
        <v>0.15724994302937331</v>
      </c>
      <c r="AU99">
        <f t="shared" si="24"/>
        <v>-6.1780466190820699E-2</v>
      </c>
      <c r="AV99">
        <f>IF(AT99&lt;=regressions!$L$2,AT99*regressions!$L$1,regressions!$L$1*regressions!$L$2+regressions!$L$3*(AT99-regressions!$L$2))</f>
        <v>-0.12497908395264684</v>
      </c>
      <c r="AW99">
        <f>regressions!$J$1*AT99+regressions!$J$2*AT99^2</f>
        <v>-7.3308211651708491E-2</v>
      </c>
      <c r="AX99">
        <f>regressions!$V$1*AT99</f>
        <v>-0.12497908430547867</v>
      </c>
      <c r="AY99">
        <f>regressions!$N$1*AT99^2</f>
        <v>-4.3086476275061864E-3</v>
      </c>
      <c r="AZ99">
        <f>regressions!$R$1*AT99^2+regressions!$R$2*AT99^6</f>
        <v>-4.6928950023172305E-3</v>
      </c>
      <c r="BA99">
        <f>regressions!$P$1*AT99^2+regressions!$P$2*AT99^7</f>
        <v>-4.5400732930739379E-3</v>
      </c>
      <c r="BB99">
        <f>regressions!$T$2+regressions!$T$1*EXP(AT99)</f>
        <v>-1.3307443263693951E-3</v>
      </c>
      <c r="BC99" s="8">
        <f>(1-EXP(-2*regressions!$X$1*AT99))/2/EXP(-regressions!$X$1*AT99)</f>
        <v>-6.4046422649936291E-2</v>
      </c>
      <c r="BE99">
        <f t="shared" si="25"/>
        <v>0</v>
      </c>
      <c r="BF99">
        <f t="shared" si="16"/>
        <v>0</v>
      </c>
      <c r="BG99">
        <f t="shared" si="17"/>
        <v>0</v>
      </c>
      <c r="BH99">
        <f>BG99+regressions!$AR$1*(AI99-B99)</f>
        <v>0</v>
      </c>
      <c r="BI99">
        <f>BG99-regressions!$AO$1*(AI99-B99)</f>
        <v>0</v>
      </c>
      <c r="BJ99">
        <f t="shared" si="18"/>
        <v>0</v>
      </c>
      <c r="BK99">
        <f>BJ99+regressions!$AR$1*(AT99-B99)</f>
        <v>0</v>
      </c>
      <c r="BL99">
        <f>BJ99-regressions!$AO$1*(AT99-B99)</f>
        <v>0</v>
      </c>
      <c r="BM99">
        <f t="shared" si="26"/>
        <v>0</v>
      </c>
      <c r="BN99">
        <f t="shared" si="19"/>
        <v>0</v>
      </c>
      <c r="BO99">
        <f t="shared" si="20"/>
        <v>0</v>
      </c>
      <c r="BP99">
        <f t="shared" si="27"/>
        <v>0</v>
      </c>
      <c r="BQ99">
        <f t="shared" si="28"/>
        <v>0</v>
      </c>
      <c r="BR99">
        <f t="shared" si="29"/>
        <v>0</v>
      </c>
    </row>
    <row r="100" spans="1:70" x14ac:dyDescent="0.35">
      <c r="A100">
        <v>1947</v>
      </c>
      <c r="B100" s="33">
        <v>0.16140873667708008</v>
      </c>
      <c r="C100">
        <f t="shared" si="30"/>
        <v>-6.3468702984347092E-2</v>
      </c>
      <c r="D100">
        <f>IF($B100&lt;=regressions!$L$2,$B100*regressions!$L$1,regressions!$L$1*regressions!$L$2+regressions!$L$3*($B100-regressions!$L$2))</f>
        <v>-0.12828440928647789</v>
      </c>
      <c r="E100">
        <f>regressions!$J$1*B100+regressions!$J$2*B100^2</f>
        <v>-7.5301860750769695E-2</v>
      </c>
      <c r="F100">
        <f>regressions!$V$1*B100</f>
        <v>-0.1282844096486411</v>
      </c>
      <c r="G100">
        <f>regressions!$N$1*B100^2</f>
        <v>-4.5395631397685777E-3</v>
      </c>
      <c r="H100">
        <f>regressions!$R$1*B100^2+regressions!$R$2*B100^6</f>
        <v>-4.9444036574664311E-3</v>
      </c>
      <c r="I100">
        <f>regressions!$P$1*B100^2+regressions!$P$2*B100^7</f>
        <v>-4.7833917167025911E-3</v>
      </c>
      <c r="J100">
        <f>regressions!$T$2+regressions!$T$1*EXP(B100)</f>
        <v>-1.3688573940021688E-3</v>
      </c>
      <c r="K100" s="8">
        <f>(1-EXP(-2*regressions!$X$1*B100))/2/EXP(-regressions!$X$1*B100)</f>
        <v>-6.5742664963471767E-2</v>
      </c>
      <c r="M100" s="33">
        <v>0.16140873667708008</v>
      </c>
      <c r="N100">
        <f t="shared" si="21"/>
        <v>-6.3468702984347092E-2</v>
      </c>
      <c r="O100">
        <f>IF($B100&lt;=regressions!$L$2,$B100*regressions!$L$1,regressions!$L$1*regressions!$L$2+regressions!$L$3*($B100-regressions!$L$2))</f>
        <v>-0.12828440928647789</v>
      </c>
      <c r="P100">
        <f>regressions!$J$1*M100+regressions!$J$2*M100^2</f>
        <v>-7.5301860750769695E-2</v>
      </c>
      <c r="Q100">
        <f>regressions!$V$1*M100</f>
        <v>-0.1282844096486411</v>
      </c>
      <c r="R100">
        <f>regressions!$N$1*M100^2</f>
        <v>-4.5395631397685777E-3</v>
      </c>
      <c r="S100">
        <f>regressions!$R$1*M100^2+regressions!$R$2*M100^6</f>
        <v>-4.9444036574664311E-3</v>
      </c>
      <c r="T100">
        <f>regressions!$P$1*M100^2+regressions!$P$2*M100^7</f>
        <v>-4.7833917167025911E-3</v>
      </c>
      <c r="U100">
        <f>regressions!$T$2+regressions!$T$1*EXP(M100)</f>
        <v>-1.3688573940021688E-3</v>
      </c>
      <c r="V100" s="8">
        <f>(1-EXP(-2*regressions!$X$1*M100))/2/EXP(-regressions!$X$1*M100)</f>
        <v>-6.5742664963471767E-2</v>
      </c>
      <c r="X100" s="33">
        <v>0.16140873667708008</v>
      </c>
      <c r="Y100">
        <f t="shared" si="22"/>
        <v>-6.3468702984347092E-2</v>
      </c>
      <c r="Z100">
        <f>IF($B100&lt;=regressions!$L$2,$B100*regressions!$L$1,regressions!$L$1*regressions!$L$2+regressions!$L$3*($B100-regressions!$L$2))</f>
        <v>-0.12828440928647789</v>
      </c>
      <c r="AA100">
        <f>regressions!$J$1*X100+regressions!$J$2*X100^2</f>
        <v>-7.5301860750769695E-2</v>
      </c>
      <c r="AB100">
        <f>regressions!$V$1*X100</f>
        <v>-0.1282844096486411</v>
      </c>
      <c r="AC100">
        <f>regressions!$N$1*X100^2</f>
        <v>-4.5395631397685777E-3</v>
      </c>
      <c r="AD100">
        <f>regressions!$R$1*X100^2+regressions!$R$2*X100^6</f>
        <v>-4.9444036574664311E-3</v>
      </c>
      <c r="AE100">
        <f>regressions!$P$1*X100^2+regressions!$P$2*X100^7</f>
        <v>-4.7833917167025911E-3</v>
      </c>
      <c r="AF100">
        <f>regressions!$T$2+regressions!$T$1*EXP(X100)</f>
        <v>-1.3688573940021688E-3</v>
      </c>
      <c r="AG100" s="8">
        <f>(1-EXP(-2*regressions!$X$1*X100))/2/EXP(-regressions!$X$1*X100)</f>
        <v>-6.5742664963471767E-2</v>
      </c>
      <c r="AH100" s="8"/>
      <c r="AI100" s="33">
        <v>0.16140873667708008</v>
      </c>
      <c r="AJ100">
        <f t="shared" si="23"/>
        <v>-6.3468702984347092E-2</v>
      </c>
      <c r="AK100">
        <f>IF(AI100&lt;=regressions!$L$2,AI100*regressions!$L$1,regressions!$L$1*regressions!$L$2+regressions!$L$3*(AI100-regressions!$L$2))</f>
        <v>-0.12828440928647789</v>
      </c>
      <c r="AL100">
        <f>regressions!$J$1*AI100+regressions!$J$2*AI100^2</f>
        <v>-7.5301860750769695E-2</v>
      </c>
      <c r="AM100">
        <f>regressions!$V$1*AI100</f>
        <v>-0.1282844096486411</v>
      </c>
      <c r="AN100">
        <f>regressions!$N$1*AI100^2</f>
        <v>-4.5395631397685777E-3</v>
      </c>
      <c r="AO100">
        <f>regressions!$R$1*AI100^2+regressions!$R$2*AI100^6</f>
        <v>-4.9444036574664311E-3</v>
      </c>
      <c r="AP100">
        <f>regressions!$P$1*AI100^2+regressions!$P$2*AI100^7</f>
        <v>-4.7833917167025911E-3</v>
      </c>
      <c r="AQ100">
        <f>regressions!$T$2+regressions!$T$1*EXP(AI100)</f>
        <v>-1.3688573940021688E-3</v>
      </c>
      <c r="AR100" s="8">
        <f>(1-EXP(-2*regressions!$X$1*AI100))/2/EXP(-regressions!$X$1*AI100)</f>
        <v>-6.5742664963471767E-2</v>
      </c>
      <c r="AT100" s="33">
        <v>0.16140873667708008</v>
      </c>
      <c r="AU100">
        <f t="shared" si="24"/>
        <v>-6.3468702984347092E-2</v>
      </c>
      <c r="AV100">
        <f>IF(AT100&lt;=regressions!$L$2,AT100*regressions!$L$1,regressions!$L$1*regressions!$L$2+regressions!$L$3*(AT100-regressions!$L$2))</f>
        <v>-0.12828440928647789</v>
      </c>
      <c r="AW100">
        <f>regressions!$J$1*AT100+regressions!$J$2*AT100^2</f>
        <v>-7.5301860750769695E-2</v>
      </c>
      <c r="AX100">
        <f>regressions!$V$1*AT100</f>
        <v>-0.1282844096486411</v>
      </c>
      <c r="AY100">
        <f>regressions!$N$1*AT100^2</f>
        <v>-4.5395631397685777E-3</v>
      </c>
      <c r="AZ100">
        <f>regressions!$R$1*AT100^2+regressions!$R$2*AT100^6</f>
        <v>-4.9444036574664311E-3</v>
      </c>
      <c r="BA100">
        <f>regressions!$P$1*AT100^2+regressions!$P$2*AT100^7</f>
        <v>-4.7833917167025911E-3</v>
      </c>
      <c r="BB100">
        <f>regressions!$T$2+regressions!$T$1*EXP(AT100)</f>
        <v>-1.3688573940021688E-3</v>
      </c>
      <c r="BC100" s="8">
        <f>(1-EXP(-2*regressions!$X$1*AT100))/2/EXP(-regressions!$X$1*AT100)</f>
        <v>-6.5742664963471767E-2</v>
      </c>
      <c r="BE100">
        <f t="shared" si="25"/>
        <v>0</v>
      </c>
      <c r="BF100">
        <f t="shared" si="16"/>
        <v>0</v>
      </c>
      <c r="BG100">
        <f t="shared" si="17"/>
        <v>0</v>
      </c>
      <c r="BH100">
        <f>BG100+regressions!$AR$1*(AI100-B100)</f>
        <v>0</v>
      </c>
      <c r="BI100">
        <f>BG100-regressions!$AO$1*(AI100-B100)</f>
        <v>0</v>
      </c>
      <c r="BJ100">
        <f t="shared" si="18"/>
        <v>0</v>
      </c>
      <c r="BK100">
        <f>BJ100+regressions!$AR$1*(AT100-B100)</f>
        <v>0</v>
      </c>
      <c r="BL100">
        <f>BJ100-regressions!$AO$1*(AT100-B100)</f>
        <v>0</v>
      </c>
      <c r="BM100">
        <f t="shared" si="26"/>
        <v>0</v>
      </c>
      <c r="BN100">
        <f t="shared" si="19"/>
        <v>0</v>
      </c>
      <c r="BO100">
        <f t="shared" si="20"/>
        <v>0</v>
      </c>
      <c r="BP100">
        <f t="shared" si="27"/>
        <v>0</v>
      </c>
      <c r="BQ100">
        <f t="shared" si="28"/>
        <v>0</v>
      </c>
      <c r="BR100">
        <f t="shared" si="29"/>
        <v>0</v>
      </c>
    </row>
    <row r="101" spans="1:70" x14ac:dyDescent="0.35">
      <c r="A101">
        <v>1948</v>
      </c>
      <c r="B101" s="33">
        <v>0.16564045236154279</v>
      </c>
      <c r="C101">
        <f t="shared" si="30"/>
        <v>-6.5189427128600791E-2</v>
      </c>
      <c r="D101">
        <f>IF($B101&lt;=regressions!$L$2,$B101*regressions!$L$1,regressions!$L$1*regressions!$L$2+regressions!$L$3*($B101-regressions!$L$2))</f>
        <v>-0.13164769158473225</v>
      </c>
      <c r="E101">
        <f>regressions!$J$1*B101+regressions!$J$2*B101^2</f>
        <v>-7.7333369375430408E-2</v>
      </c>
      <c r="F101">
        <f>regressions!$V$1*B101</f>
        <v>-0.13164769195639042</v>
      </c>
      <c r="G101">
        <f>regressions!$N$1*B101^2</f>
        <v>-4.7807144034022267E-3</v>
      </c>
      <c r="H101">
        <f>regressions!$R$1*B101^2+regressions!$R$2*B101^6</f>
        <v>-5.2070608893881251E-3</v>
      </c>
      <c r="I101">
        <f>regressions!$P$1*B101^2+regressions!$P$2*B101^7</f>
        <v>-5.0374956733090469E-3</v>
      </c>
      <c r="J101">
        <f>regressions!$T$2+regressions!$T$1*EXP(B101)</f>
        <v>-1.4078017926144482E-3</v>
      </c>
      <c r="K101" s="8">
        <f>(1-EXP(-2*regressions!$X$1*B101))/2/EXP(-regressions!$X$1*B101)</f>
        <v>-6.7468843279503338E-2</v>
      </c>
      <c r="M101" s="33">
        <v>0.16564045236154279</v>
      </c>
      <c r="N101">
        <f t="shared" si="21"/>
        <v>-6.5189427128600791E-2</v>
      </c>
      <c r="O101">
        <f>IF($B101&lt;=regressions!$L$2,$B101*regressions!$L$1,regressions!$L$1*regressions!$L$2+regressions!$L$3*($B101-regressions!$L$2))</f>
        <v>-0.13164769158473225</v>
      </c>
      <c r="P101">
        <f>regressions!$J$1*M101+regressions!$J$2*M101^2</f>
        <v>-7.7333369375430408E-2</v>
      </c>
      <c r="Q101">
        <f>regressions!$V$1*M101</f>
        <v>-0.13164769195639042</v>
      </c>
      <c r="R101">
        <f>regressions!$N$1*M101^2</f>
        <v>-4.7807144034022267E-3</v>
      </c>
      <c r="S101">
        <f>regressions!$R$1*M101^2+regressions!$R$2*M101^6</f>
        <v>-5.2070608893881251E-3</v>
      </c>
      <c r="T101">
        <f>regressions!$P$1*M101^2+regressions!$P$2*M101^7</f>
        <v>-5.0374956733090469E-3</v>
      </c>
      <c r="U101">
        <f>regressions!$T$2+regressions!$T$1*EXP(M101)</f>
        <v>-1.4078017926144482E-3</v>
      </c>
      <c r="V101" s="8">
        <f>(1-EXP(-2*regressions!$X$1*M101))/2/EXP(-regressions!$X$1*M101)</f>
        <v>-6.7468843279503338E-2</v>
      </c>
      <c r="X101" s="33">
        <v>0.16564045236154279</v>
      </c>
      <c r="Y101">
        <f t="shared" si="22"/>
        <v>-6.5189427128600791E-2</v>
      </c>
      <c r="Z101">
        <f>IF($B101&lt;=regressions!$L$2,$B101*regressions!$L$1,regressions!$L$1*regressions!$L$2+regressions!$L$3*($B101-regressions!$L$2))</f>
        <v>-0.13164769158473225</v>
      </c>
      <c r="AA101">
        <f>regressions!$J$1*X101+regressions!$J$2*X101^2</f>
        <v>-7.7333369375430408E-2</v>
      </c>
      <c r="AB101">
        <f>regressions!$V$1*X101</f>
        <v>-0.13164769195639042</v>
      </c>
      <c r="AC101">
        <f>regressions!$N$1*X101^2</f>
        <v>-4.7807144034022267E-3</v>
      </c>
      <c r="AD101">
        <f>regressions!$R$1*X101^2+regressions!$R$2*X101^6</f>
        <v>-5.2070608893881251E-3</v>
      </c>
      <c r="AE101">
        <f>regressions!$P$1*X101^2+regressions!$P$2*X101^7</f>
        <v>-5.0374956733090469E-3</v>
      </c>
      <c r="AF101">
        <f>regressions!$T$2+regressions!$T$1*EXP(X101)</f>
        <v>-1.4078017926144482E-3</v>
      </c>
      <c r="AG101" s="8">
        <f>(1-EXP(-2*regressions!$X$1*X101))/2/EXP(-regressions!$X$1*X101)</f>
        <v>-6.7468843279503338E-2</v>
      </c>
      <c r="AH101" s="8"/>
      <c r="AI101" s="33">
        <v>0.16564045236154279</v>
      </c>
      <c r="AJ101">
        <f t="shared" si="23"/>
        <v>-6.5189427128600791E-2</v>
      </c>
      <c r="AK101">
        <f>IF(AI101&lt;=regressions!$L$2,AI101*regressions!$L$1,regressions!$L$1*regressions!$L$2+regressions!$L$3*(AI101-regressions!$L$2))</f>
        <v>-0.13164769158473225</v>
      </c>
      <c r="AL101">
        <f>regressions!$J$1*AI101+regressions!$J$2*AI101^2</f>
        <v>-7.7333369375430408E-2</v>
      </c>
      <c r="AM101">
        <f>regressions!$V$1*AI101</f>
        <v>-0.13164769195639042</v>
      </c>
      <c r="AN101">
        <f>regressions!$N$1*AI101^2</f>
        <v>-4.7807144034022267E-3</v>
      </c>
      <c r="AO101">
        <f>regressions!$R$1*AI101^2+regressions!$R$2*AI101^6</f>
        <v>-5.2070608893881251E-3</v>
      </c>
      <c r="AP101">
        <f>regressions!$P$1*AI101^2+regressions!$P$2*AI101^7</f>
        <v>-5.0374956733090469E-3</v>
      </c>
      <c r="AQ101">
        <f>regressions!$T$2+regressions!$T$1*EXP(AI101)</f>
        <v>-1.4078017926144482E-3</v>
      </c>
      <c r="AR101" s="8">
        <f>(1-EXP(-2*regressions!$X$1*AI101))/2/EXP(-regressions!$X$1*AI101)</f>
        <v>-6.7468843279503338E-2</v>
      </c>
      <c r="AT101" s="33">
        <v>0.16564045236154279</v>
      </c>
      <c r="AU101">
        <f t="shared" si="24"/>
        <v>-6.5189427128600791E-2</v>
      </c>
      <c r="AV101">
        <f>IF(AT101&lt;=regressions!$L$2,AT101*regressions!$L$1,regressions!$L$1*regressions!$L$2+regressions!$L$3*(AT101-regressions!$L$2))</f>
        <v>-0.13164769158473225</v>
      </c>
      <c r="AW101">
        <f>regressions!$J$1*AT101+regressions!$J$2*AT101^2</f>
        <v>-7.7333369375430408E-2</v>
      </c>
      <c r="AX101">
        <f>regressions!$V$1*AT101</f>
        <v>-0.13164769195639042</v>
      </c>
      <c r="AY101">
        <f>regressions!$N$1*AT101^2</f>
        <v>-4.7807144034022267E-3</v>
      </c>
      <c r="AZ101">
        <f>regressions!$R$1*AT101^2+regressions!$R$2*AT101^6</f>
        <v>-5.2070608893881251E-3</v>
      </c>
      <c r="BA101">
        <f>regressions!$P$1*AT101^2+regressions!$P$2*AT101^7</f>
        <v>-5.0374956733090469E-3</v>
      </c>
      <c r="BB101">
        <f>regressions!$T$2+regressions!$T$1*EXP(AT101)</f>
        <v>-1.4078017926144482E-3</v>
      </c>
      <c r="BC101" s="8">
        <f>(1-EXP(-2*regressions!$X$1*AT101))/2/EXP(-regressions!$X$1*AT101)</f>
        <v>-6.7468843279503338E-2</v>
      </c>
      <c r="BE101">
        <f t="shared" si="25"/>
        <v>0</v>
      </c>
      <c r="BF101">
        <f t="shared" si="16"/>
        <v>0</v>
      </c>
      <c r="BG101">
        <f t="shared" si="17"/>
        <v>0</v>
      </c>
      <c r="BH101">
        <f>BG101+regressions!$AR$1*(AI101-B101)</f>
        <v>0</v>
      </c>
      <c r="BI101">
        <f>BG101-regressions!$AO$1*(AI101-B101)</f>
        <v>0</v>
      </c>
      <c r="BJ101">
        <f t="shared" si="18"/>
        <v>0</v>
      </c>
      <c r="BK101">
        <f>BJ101+regressions!$AR$1*(AT101-B101)</f>
        <v>0</v>
      </c>
      <c r="BL101">
        <f>BJ101-regressions!$AO$1*(AT101-B101)</f>
        <v>0</v>
      </c>
      <c r="BM101">
        <f t="shared" si="26"/>
        <v>0</v>
      </c>
      <c r="BN101">
        <f t="shared" si="19"/>
        <v>0</v>
      </c>
      <c r="BO101">
        <f t="shared" si="20"/>
        <v>0</v>
      </c>
      <c r="BP101">
        <f t="shared" si="27"/>
        <v>0</v>
      </c>
      <c r="BQ101">
        <f t="shared" si="28"/>
        <v>0</v>
      </c>
      <c r="BR101">
        <f t="shared" si="29"/>
        <v>0</v>
      </c>
    </row>
    <row r="102" spans="1:70" x14ac:dyDescent="0.35">
      <c r="A102">
        <v>1949</v>
      </c>
      <c r="B102" s="33">
        <v>0.16995835437989892</v>
      </c>
      <c r="C102">
        <f t="shared" si="30"/>
        <v>-6.6948197445651336E-2</v>
      </c>
      <c r="D102">
        <f>IF($B102&lt;=regressions!$L$2,$B102*regressions!$L$1,regressions!$L$1*regressions!$L$2+regressions!$L$3*($B102-regressions!$L$2))</f>
        <v>-0.13507947304331525</v>
      </c>
      <c r="E102">
        <f>regressions!$J$1*B102+regressions!$J$2*B102^2</f>
        <v>-7.9409270547929026E-2</v>
      </c>
      <c r="F102">
        <f>regressions!$V$1*B102</f>
        <v>-0.13507947342466176</v>
      </c>
      <c r="G102">
        <f>regressions!$N$1*B102^2</f>
        <v>-5.0332096318115279E-3</v>
      </c>
      <c r="H102">
        <f>regressions!$R$1*B102^2+regressions!$R$2*B102^6</f>
        <v>-5.4820737417799392E-3</v>
      </c>
      <c r="I102">
        <f>regressions!$P$1*B102^2+regressions!$P$2*B102^7</f>
        <v>-5.3035529005317937E-3</v>
      </c>
      <c r="J102">
        <f>regressions!$T$2+regressions!$T$1*EXP(B102)</f>
        <v>-1.4477095977515498E-3</v>
      </c>
      <c r="K102" s="8">
        <f>(1-EXP(-2*regressions!$X$1*B102))/2/EXP(-regressions!$X$1*B102)</f>
        <v>-6.9230384593779379E-2</v>
      </c>
      <c r="M102" s="33">
        <v>0.16995835437989892</v>
      </c>
      <c r="N102">
        <f t="shared" si="21"/>
        <v>-6.6948197445651336E-2</v>
      </c>
      <c r="O102">
        <f>IF($B102&lt;=regressions!$L$2,$B102*regressions!$L$1,regressions!$L$1*regressions!$L$2+regressions!$L$3*($B102-regressions!$L$2))</f>
        <v>-0.13507947304331525</v>
      </c>
      <c r="P102">
        <f>regressions!$J$1*M102+regressions!$J$2*M102^2</f>
        <v>-7.9409270547929026E-2</v>
      </c>
      <c r="Q102">
        <f>regressions!$V$1*M102</f>
        <v>-0.13507947342466176</v>
      </c>
      <c r="R102">
        <f>regressions!$N$1*M102^2</f>
        <v>-5.0332096318115279E-3</v>
      </c>
      <c r="S102">
        <f>regressions!$R$1*M102^2+regressions!$R$2*M102^6</f>
        <v>-5.4820737417799392E-3</v>
      </c>
      <c r="T102">
        <f>regressions!$P$1*M102^2+regressions!$P$2*M102^7</f>
        <v>-5.3035529005317937E-3</v>
      </c>
      <c r="U102">
        <f>regressions!$T$2+regressions!$T$1*EXP(M102)</f>
        <v>-1.4477095977515498E-3</v>
      </c>
      <c r="V102" s="8">
        <f>(1-EXP(-2*regressions!$X$1*M102))/2/EXP(-regressions!$X$1*M102)</f>
        <v>-6.9230384593779379E-2</v>
      </c>
      <c r="X102" s="33">
        <v>0.16995835437989892</v>
      </c>
      <c r="Y102">
        <f t="shared" si="22"/>
        <v>-6.6948197445651336E-2</v>
      </c>
      <c r="Z102">
        <f>IF($B102&lt;=regressions!$L$2,$B102*regressions!$L$1,regressions!$L$1*regressions!$L$2+regressions!$L$3*($B102-regressions!$L$2))</f>
        <v>-0.13507947304331525</v>
      </c>
      <c r="AA102">
        <f>regressions!$J$1*X102+regressions!$J$2*X102^2</f>
        <v>-7.9409270547929026E-2</v>
      </c>
      <c r="AB102">
        <f>regressions!$V$1*X102</f>
        <v>-0.13507947342466176</v>
      </c>
      <c r="AC102">
        <f>regressions!$N$1*X102^2</f>
        <v>-5.0332096318115279E-3</v>
      </c>
      <c r="AD102">
        <f>regressions!$R$1*X102^2+regressions!$R$2*X102^6</f>
        <v>-5.4820737417799392E-3</v>
      </c>
      <c r="AE102">
        <f>regressions!$P$1*X102^2+regressions!$P$2*X102^7</f>
        <v>-5.3035529005317937E-3</v>
      </c>
      <c r="AF102">
        <f>regressions!$T$2+regressions!$T$1*EXP(X102)</f>
        <v>-1.4477095977515498E-3</v>
      </c>
      <c r="AG102" s="8">
        <f>(1-EXP(-2*regressions!$X$1*X102))/2/EXP(-regressions!$X$1*X102)</f>
        <v>-6.9230384593779379E-2</v>
      </c>
      <c r="AH102" s="8"/>
      <c r="AI102" s="33">
        <v>0.16995835437989892</v>
      </c>
      <c r="AJ102">
        <f t="shared" si="23"/>
        <v>-6.6948197445651336E-2</v>
      </c>
      <c r="AK102">
        <f>IF(AI102&lt;=regressions!$L$2,AI102*regressions!$L$1,regressions!$L$1*regressions!$L$2+regressions!$L$3*(AI102-regressions!$L$2))</f>
        <v>-0.13507947304331525</v>
      </c>
      <c r="AL102">
        <f>regressions!$J$1*AI102+regressions!$J$2*AI102^2</f>
        <v>-7.9409270547929026E-2</v>
      </c>
      <c r="AM102">
        <f>regressions!$V$1*AI102</f>
        <v>-0.13507947342466176</v>
      </c>
      <c r="AN102">
        <f>regressions!$N$1*AI102^2</f>
        <v>-5.0332096318115279E-3</v>
      </c>
      <c r="AO102">
        <f>regressions!$R$1*AI102^2+regressions!$R$2*AI102^6</f>
        <v>-5.4820737417799392E-3</v>
      </c>
      <c r="AP102">
        <f>regressions!$P$1*AI102^2+regressions!$P$2*AI102^7</f>
        <v>-5.3035529005317937E-3</v>
      </c>
      <c r="AQ102">
        <f>regressions!$T$2+regressions!$T$1*EXP(AI102)</f>
        <v>-1.4477095977515498E-3</v>
      </c>
      <c r="AR102" s="8">
        <f>(1-EXP(-2*regressions!$X$1*AI102))/2/EXP(-regressions!$X$1*AI102)</f>
        <v>-6.9230384593779379E-2</v>
      </c>
      <c r="AT102" s="33">
        <v>0.16995835437989892</v>
      </c>
      <c r="AU102">
        <f t="shared" si="24"/>
        <v>-6.6948197445651336E-2</v>
      </c>
      <c r="AV102">
        <f>IF(AT102&lt;=regressions!$L$2,AT102*regressions!$L$1,regressions!$L$1*regressions!$L$2+regressions!$L$3*(AT102-regressions!$L$2))</f>
        <v>-0.13507947304331525</v>
      </c>
      <c r="AW102">
        <f>regressions!$J$1*AT102+regressions!$J$2*AT102^2</f>
        <v>-7.9409270547929026E-2</v>
      </c>
      <c r="AX102">
        <f>regressions!$V$1*AT102</f>
        <v>-0.13507947342466176</v>
      </c>
      <c r="AY102">
        <f>regressions!$N$1*AT102^2</f>
        <v>-5.0332096318115279E-3</v>
      </c>
      <c r="AZ102">
        <f>regressions!$R$1*AT102^2+regressions!$R$2*AT102^6</f>
        <v>-5.4820737417799392E-3</v>
      </c>
      <c r="BA102">
        <f>regressions!$P$1*AT102^2+regressions!$P$2*AT102^7</f>
        <v>-5.3035529005317937E-3</v>
      </c>
      <c r="BB102">
        <f>regressions!$T$2+regressions!$T$1*EXP(AT102)</f>
        <v>-1.4477095977515498E-3</v>
      </c>
      <c r="BC102" s="8">
        <f>(1-EXP(-2*regressions!$X$1*AT102))/2/EXP(-regressions!$X$1*AT102)</f>
        <v>-6.9230384593779379E-2</v>
      </c>
      <c r="BE102">
        <f t="shared" si="25"/>
        <v>0</v>
      </c>
      <c r="BF102">
        <f t="shared" si="16"/>
        <v>0</v>
      </c>
      <c r="BG102">
        <f t="shared" si="17"/>
        <v>0</v>
      </c>
      <c r="BH102">
        <f>BG102+regressions!$AR$1*(AI102-B102)</f>
        <v>0</v>
      </c>
      <c r="BI102">
        <f>BG102-regressions!$AO$1*(AI102-B102)</f>
        <v>0</v>
      </c>
      <c r="BJ102">
        <f t="shared" si="18"/>
        <v>0</v>
      </c>
      <c r="BK102">
        <f>BJ102+regressions!$AR$1*(AT102-B102)</f>
        <v>0</v>
      </c>
      <c r="BL102">
        <f>BJ102-regressions!$AO$1*(AT102-B102)</f>
        <v>0</v>
      </c>
      <c r="BM102">
        <f t="shared" si="26"/>
        <v>0</v>
      </c>
      <c r="BN102">
        <f t="shared" si="19"/>
        <v>0</v>
      </c>
      <c r="BO102">
        <f t="shared" si="20"/>
        <v>0</v>
      </c>
      <c r="BP102">
        <f t="shared" si="27"/>
        <v>0</v>
      </c>
      <c r="BQ102">
        <f t="shared" si="28"/>
        <v>0</v>
      </c>
      <c r="BR102">
        <f t="shared" si="29"/>
        <v>0</v>
      </c>
    </row>
    <row r="103" spans="1:70" x14ac:dyDescent="0.35">
      <c r="A103">
        <v>1950</v>
      </c>
      <c r="B103" s="33">
        <v>0.17434261610197593</v>
      </c>
      <c r="C103">
        <f t="shared" si="30"/>
        <v>-6.873709947474721E-2</v>
      </c>
      <c r="D103">
        <f>IF($B103&lt;=regressions!$L$2,$B103*regressions!$L$1,regressions!$L$1*regressions!$L$2+regressions!$L$3*($B103-regressions!$L$2))</f>
        <v>-0.13856399585634727</v>
      </c>
      <c r="E103">
        <f>regressions!$J$1*B103+regressions!$J$2*B103^2</f>
        <v>-8.152019355624926E-2</v>
      </c>
      <c r="F103">
        <f>regressions!$V$1*B103</f>
        <v>-0.13856399624753105</v>
      </c>
      <c r="G103">
        <f>regressions!$N$1*B103^2</f>
        <v>-5.2962332228860967E-3</v>
      </c>
      <c r="H103">
        <f>regressions!$R$1*B103^2+regressions!$R$2*B103^6</f>
        <v>-5.7685538761061243E-3</v>
      </c>
      <c r="I103">
        <f>regressions!$P$1*B103^2+regressions!$P$2*B103^7</f>
        <v>-5.5807039887025966E-3</v>
      </c>
      <c r="J103">
        <f>regressions!$T$2+regressions!$T$1*EXP(B103)</f>
        <v>-1.4884074220922316E-3</v>
      </c>
      <c r="K103" s="8">
        <f>(1-EXP(-2*regressions!$X$1*B103))/2/EXP(-regressions!$X$1*B103)</f>
        <v>-7.1019216974491262E-2</v>
      </c>
      <c r="M103" s="33">
        <v>0.17434261610197593</v>
      </c>
      <c r="N103">
        <f t="shared" si="21"/>
        <v>-6.873709947474721E-2</v>
      </c>
      <c r="O103">
        <f>IF($B103&lt;=regressions!$L$2,$B103*regressions!$L$1,regressions!$L$1*regressions!$L$2+regressions!$L$3*($B103-regressions!$L$2))</f>
        <v>-0.13856399585634727</v>
      </c>
      <c r="P103">
        <f>regressions!$J$1*M103+regressions!$J$2*M103^2</f>
        <v>-8.152019355624926E-2</v>
      </c>
      <c r="Q103">
        <f>regressions!$V$1*M103</f>
        <v>-0.13856399624753105</v>
      </c>
      <c r="R103">
        <f>regressions!$N$1*M103^2</f>
        <v>-5.2962332228860967E-3</v>
      </c>
      <c r="S103">
        <f>regressions!$R$1*M103^2+regressions!$R$2*M103^6</f>
        <v>-5.7685538761061243E-3</v>
      </c>
      <c r="T103">
        <f>regressions!$P$1*M103^2+regressions!$P$2*M103^7</f>
        <v>-5.5807039887025966E-3</v>
      </c>
      <c r="U103">
        <f>regressions!$T$2+regressions!$T$1*EXP(M103)</f>
        <v>-1.4884074220922316E-3</v>
      </c>
      <c r="V103" s="8">
        <f>(1-EXP(-2*regressions!$X$1*M103))/2/EXP(-regressions!$X$1*M103)</f>
        <v>-7.1019216974491262E-2</v>
      </c>
      <c r="X103" s="33">
        <v>0.17434261610197593</v>
      </c>
      <c r="Y103">
        <f t="shared" si="22"/>
        <v>-6.873709947474721E-2</v>
      </c>
      <c r="Z103">
        <f>IF($B103&lt;=regressions!$L$2,$B103*regressions!$L$1,regressions!$L$1*regressions!$L$2+regressions!$L$3*($B103-regressions!$L$2))</f>
        <v>-0.13856399585634727</v>
      </c>
      <c r="AA103">
        <f>regressions!$J$1*X103+regressions!$J$2*X103^2</f>
        <v>-8.152019355624926E-2</v>
      </c>
      <c r="AB103">
        <f>regressions!$V$1*X103</f>
        <v>-0.13856399624753105</v>
      </c>
      <c r="AC103">
        <f>regressions!$N$1*X103^2</f>
        <v>-5.2962332228860967E-3</v>
      </c>
      <c r="AD103">
        <f>regressions!$R$1*X103^2+regressions!$R$2*X103^6</f>
        <v>-5.7685538761061243E-3</v>
      </c>
      <c r="AE103">
        <f>regressions!$P$1*X103^2+regressions!$P$2*X103^7</f>
        <v>-5.5807039887025966E-3</v>
      </c>
      <c r="AF103">
        <f>regressions!$T$2+regressions!$T$1*EXP(X103)</f>
        <v>-1.4884074220922316E-3</v>
      </c>
      <c r="AG103" s="8">
        <f>(1-EXP(-2*regressions!$X$1*X103))/2/EXP(-regressions!$X$1*X103)</f>
        <v>-7.1019216974491262E-2</v>
      </c>
      <c r="AH103" s="8"/>
      <c r="AI103" s="33">
        <v>0.17434261610197593</v>
      </c>
      <c r="AJ103">
        <f t="shared" si="23"/>
        <v>-6.873709947474721E-2</v>
      </c>
      <c r="AK103">
        <f>IF(AI103&lt;=regressions!$L$2,AI103*regressions!$L$1,regressions!$L$1*regressions!$L$2+regressions!$L$3*(AI103-regressions!$L$2))</f>
        <v>-0.13856399585634727</v>
      </c>
      <c r="AL103">
        <f>regressions!$J$1*AI103+regressions!$J$2*AI103^2</f>
        <v>-8.152019355624926E-2</v>
      </c>
      <c r="AM103">
        <f>regressions!$V$1*AI103</f>
        <v>-0.13856399624753105</v>
      </c>
      <c r="AN103">
        <f>regressions!$N$1*AI103^2</f>
        <v>-5.2962332228860967E-3</v>
      </c>
      <c r="AO103">
        <f>regressions!$R$1*AI103^2+regressions!$R$2*AI103^6</f>
        <v>-5.7685538761061243E-3</v>
      </c>
      <c r="AP103">
        <f>regressions!$P$1*AI103^2+regressions!$P$2*AI103^7</f>
        <v>-5.5807039887025966E-3</v>
      </c>
      <c r="AQ103">
        <f>regressions!$T$2+regressions!$T$1*EXP(AI103)</f>
        <v>-1.4884074220922316E-3</v>
      </c>
      <c r="AR103" s="8">
        <f>(1-EXP(-2*regressions!$X$1*AI103))/2/EXP(-regressions!$X$1*AI103)</f>
        <v>-7.1019216974491262E-2</v>
      </c>
      <c r="AT103" s="33">
        <v>0.17434261610197593</v>
      </c>
      <c r="AU103">
        <f t="shared" si="24"/>
        <v>-6.873709947474721E-2</v>
      </c>
      <c r="AV103">
        <f>IF(AT103&lt;=regressions!$L$2,AT103*regressions!$L$1,regressions!$L$1*regressions!$L$2+regressions!$L$3*(AT103-regressions!$L$2))</f>
        <v>-0.13856399585634727</v>
      </c>
      <c r="AW103">
        <f>regressions!$J$1*AT103+regressions!$J$2*AT103^2</f>
        <v>-8.152019355624926E-2</v>
      </c>
      <c r="AX103">
        <f>regressions!$V$1*AT103</f>
        <v>-0.13856399624753105</v>
      </c>
      <c r="AY103">
        <f>regressions!$N$1*AT103^2</f>
        <v>-5.2962332228860967E-3</v>
      </c>
      <c r="AZ103">
        <f>regressions!$R$1*AT103^2+regressions!$R$2*AT103^6</f>
        <v>-5.7685538761061243E-3</v>
      </c>
      <c r="BA103">
        <f>regressions!$P$1*AT103^2+regressions!$P$2*AT103^7</f>
        <v>-5.5807039887025966E-3</v>
      </c>
      <c r="BB103">
        <f>regressions!$T$2+regressions!$T$1*EXP(AT103)</f>
        <v>-1.4884074220922316E-3</v>
      </c>
      <c r="BC103" s="8">
        <f>(1-EXP(-2*regressions!$X$1*AT103))/2/EXP(-regressions!$X$1*AT103)</f>
        <v>-7.1019216974491262E-2</v>
      </c>
      <c r="BE103">
        <f t="shared" si="25"/>
        <v>0</v>
      </c>
      <c r="BF103">
        <f t="shared" si="16"/>
        <v>0</v>
      </c>
      <c r="BG103">
        <f t="shared" si="17"/>
        <v>0</v>
      </c>
      <c r="BH103">
        <f>BG103+regressions!$AR$1*(AI103-B103)</f>
        <v>0</v>
      </c>
      <c r="BI103">
        <f>BG103-regressions!$AO$1*(AI103-B103)</f>
        <v>0</v>
      </c>
      <c r="BJ103">
        <f t="shared" si="18"/>
        <v>0</v>
      </c>
      <c r="BK103">
        <f>BJ103+regressions!$AR$1*(AT103-B103)</f>
        <v>0</v>
      </c>
      <c r="BL103">
        <f>BJ103-regressions!$AO$1*(AT103-B103)</f>
        <v>0</v>
      </c>
      <c r="BM103">
        <f t="shared" si="26"/>
        <v>0</v>
      </c>
      <c r="BN103">
        <f t="shared" si="19"/>
        <v>0</v>
      </c>
      <c r="BO103">
        <f t="shared" si="20"/>
        <v>0</v>
      </c>
      <c r="BP103">
        <f t="shared" si="27"/>
        <v>0</v>
      </c>
      <c r="BQ103">
        <f t="shared" si="28"/>
        <v>0</v>
      </c>
      <c r="BR103">
        <f t="shared" si="29"/>
        <v>0</v>
      </c>
    </row>
    <row r="104" spans="1:70" x14ac:dyDescent="0.35">
      <c r="A104">
        <v>1951</v>
      </c>
      <c r="B104" s="33">
        <v>0.17884136111347468</v>
      </c>
      <c r="C104">
        <f t="shared" si="30"/>
        <v>-7.0575964125473942E-2</v>
      </c>
      <c r="D104">
        <f>IF($B104&lt;=regressions!$L$2,$B104*regressions!$L$1,regressions!$L$1*regressions!$L$2+regressions!$L$3*($B104-regressions!$L$2))</f>
        <v>-0.14213950767938577</v>
      </c>
      <c r="E104">
        <f>regressions!$J$1*B104+regressions!$J$2*B104^2</f>
        <v>-8.368950394142155E-2</v>
      </c>
      <c r="F104">
        <f>regressions!$V$1*B104</f>
        <v>-0.14213950808066367</v>
      </c>
      <c r="G104">
        <f>regressions!$N$1*B104^2</f>
        <v>-5.5730882126322047E-3</v>
      </c>
      <c r="H104">
        <f>regressions!$R$1*B104^2+regressions!$R$2*B104^6</f>
        <v>-6.0700988935190109E-3</v>
      </c>
      <c r="I104">
        <f>regressions!$P$1*B104^2+regressions!$P$2*B104^7</f>
        <v>-5.8724293861490574E-3</v>
      </c>
      <c r="J104">
        <f>regressions!$T$2+regressions!$T$1*EXP(B104)</f>
        <v>-1.5303538553254614E-3</v>
      </c>
      <c r="K104" s="8">
        <f>(1-EXP(-2*regressions!$X$1*B104))/2/EXP(-regressions!$X$1*B104)</f>
        <v>-7.285499506706003E-2</v>
      </c>
      <c r="M104" s="33">
        <v>0.17884136111347468</v>
      </c>
      <c r="N104">
        <f t="shared" si="21"/>
        <v>-7.0575964125473942E-2</v>
      </c>
      <c r="O104">
        <f>IF($B104&lt;=regressions!$L$2,$B104*regressions!$L$1,regressions!$L$1*regressions!$L$2+regressions!$L$3*($B104-regressions!$L$2))</f>
        <v>-0.14213950767938577</v>
      </c>
      <c r="P104">
        <f>regressions!$J$1*M104+regressions!$J$2*M104^2</f>
        <v>-8.368950394142155E-2</v>
      </c>
      <c r="Q104">
        <f>regressions!$V$1*M104</f>
        <v>-0.14213950808066367</v>
      </c>
      <c r="R104">
        <f>regressions!$N$1*M104^2</f>
        <v>-5.5730882126322047E-3</v>
      </c>
      <c r="S104">
        <f>regressions!$R$1*M104^2+regressions!$R$2*M104^6</f>
        <v>-6.0700988935190109E-3</v>
      </c>
      <c r="T104">
        <f>regressions!$P$1*M104^2+regressions!$P$2*M104^7</f>
        <v>-5.8724293861490574E-3</v>
      </c>
      <c r="U104">
        <f>regressions!$T$2+regressions!$T$1*EXP(M104)</f>
        <v>-1.5303538553254614E-3</v>
      </c>
      <c r="V104" s="8">
        <f>(1-EXP(-2*regressions!$X$1*M104))/2/EXP(-regressions!$X$1*M104)</f>
        <v>-7.285499506706003E-2</v>
      </c>
      <c r="X104" s="33">
        <v>0.17884136111347468</v>
      </c>
      <c r="Y104">
        <f t="shared" si="22"/>
        <v>-7.0575964125473942E-2</v>
      </c>
      <c r="Z104">
        <f>IF($B104&lt;=regressions!$L$2,$B104*regressions!$L$1,regressions!$L$1*regressions!$L$2+regressions!$L$3*($B104-regressions!$L$2))</f>
        <v>-0.14213950767938577</v>
      </c>
      <c r="AA104">
        <f>regressions!$J$1*X104+regressions!$J$2*X104^2</f>
        <v>-8.368950394142155E-2</v>
      </c>
      <c r="AB104">
        <f>regressions!$V$1*X104</f>
        <v>-0.14213950808066367</v>
      </c>
      <c r="AC104">
        <f>regressions!$N$1*X104^2</f>
        <v>-5.5730882126322047E-3</v>
      </c>
      <c r="AD104">
        <f>regressions!$R$1*X104^2+regressions!$R$2*X104^6</f>
        <v>-6.0700988935190109E-3</v>
      </c>
      <c r="AE104">
        <f>regressions!$P$1*X104^2+regressions!$P$2*X104^7</f>
        <v>-5.8724293861490574E-3</v>
      </c>
      <c r="AF104">
        <f>regressions!$T$2+regressions!$T$1*EXP(X104)</f>
        <v>-1.5303538553254614E-3</v>
      </c>
      <c r="AG104" s="8">
        <f>(1-EXP(-2*regressions!$X$1*X104))/2/EXP(-regressions!$X$1*X104)</f>
        <v>-7.285499506706003E-2</v>
      </c>
      <c r="AH104" s="8"/>
      <c r="AI104" s="33">
        <v>0.17884136111347468</v>
      </c>
      <c r="AJ104">
        <f t="shared" si="23"/>
        <v>-7.0575964125473942E-2</v>
      </c>
      <c r="AK104">
        <f>IF(AI104&lt;=regressions!$L$2,AI104*regressions!$L$1,regressions!$L$1*regressions!$L$2+regressions!$L$3*(AI104-regressions!$L$2))</f>
        <v>-0.14213950767938577</v>
      </c>
      <c r="AL104">
        <f>regressions!$J$1*AI104+regressions!$J$2*AI104^2</f>
        <v>-8.368950394142155E-2</v>
      </c>
      <c r="AM104">
        <f>regressions!$V$1*AI104</f>
        <v>-0.14213950808066367</v>
      </c>
      <c r="AN104">
        <f>regressions!$N$1*AI104^2</f>
        <v>-5.5730882126322047E-3</v>
      </c>
      <c r="AO104">
        <f>regressions!$R$1*AI104^2+regressions!$R$2*AI104^6</f>
        <v>-6.0700988935190109E-3</v>
      </c>
      <c r="AP104">
        <f>regressions!$P$1*AI104^2+regressions!$P$2*AI104^7</f>
        <v>-5.8724293861490574E-3</v>
      </c>
      <c r="AQ104">
        <f>regressions!$T$2+regressions!$T$1*EXP(AI104)</f>
        <v>-1.5303538553254614E-3</v>
      </c>
      <c r="AR104" s="8">
        <f>(1-EXP(-2*regressions!$X$1*AI104))/2/EXP(-regressions!$X$1*AI104)</f>
        <v>-7.285499506706003E-2</v>
      </c>
      <c r="AT104" s="33">
        <v>0.17884136111347468</v>
      </c>
      <c r="AU104">
        <f t="shared" si="24"/>
        <v>-7.0575964125473942E-2</v>
      </c>
      <c r="AV104">
        <f>IF(AT104&lt;=regressions!$L$2,AT104*regressions!$L$1,regressions!$L$1*regressions!$L$2+regressions!$L$3*(AT104-regressions!$L$2))</f>
        <v>-0.14213950767938577</v>
      </c>
      <c r="AW104">
        <f>regressions!$J$1*AT104+regressions!$J$2*AT104^2</f>
        <v>-8.368950394142155E-2</v>
      </c>
      <c r="AX104">
        <f>regressions!$V$1*AT104</f>
        <v>-0.14213950808066367</v>
      </c>
      <c r="AY104">
        <f>regressions!$N$1*AT104^2</f>
        <v>-5.5730882126322047E-3</v>
      </c>
      <c r="AZ104">
        <f>regressions!$R$1*AT104^2+regressions!$R$2*AT104^6</f>
        <v>-6.0700988935190109E-3</v>
      </c>
      <c r="BA104">
        <f>regressions!$P$1*AT104^2+regressions!$P$2*AT104^7</f>
        <v>-5.8724293861490574E-3</v>
      </c>
      <c r="BB104">
        <f>regressions!$T$2+regressions!$T$1*EXP(AT104)</f>
        <v>-1.5303538553254614E-3</v>
      </c>
      <c r="BC104" s="8">
        <f>(1-EXP(-2*regressions!$X$1*AT104))/2/EXP(-regressions!$X$1*AT104)</f>
        <v>-7.285499506706003E-2</v>
      </c>
      <c r="BE104">
        <f t="shared" si="25"/>
        <v>0</v>
      </c>
      <c r="BF104">
        <f t="shared" si="16"/>
        <v>0</v>
      </c>
      <c r="BG104">
        <f t="shared" si="17"/>
        <v>0</v>
      </c>
      <c r="BH104">
        <f>BG104+regressions!$AR$1*(AI104-B104)</f>
        <v>0</v>
      </c>
      <c r="BI104">
        <f>BG104-regressions!$AO$1*(AI104-B104)</f>
        <v>0</v>
      </c>
      <c r="BJ104">
        <f t="shared" si="18"/>
        <v>0</v>
      </c>
      <c r="BK104">
        <f>BJ104+regressions!$AR$1*(AT104-B104)</f>
        <v>0</v>
      </c>
      <c r="BL104">
        <f>BJ104-regressions!$AO$1*(AT104-B104)</f>
        <v>0</v>
      </c>
      <c r="BM104">
        <f t="shared" si="26"/>
        <v>0</v>
      </c>
      <c r="BN104">
        <f t="shared" si="19"/>
        <v>0</v>
      </c>
      <c r="BO104">
        <f t="shared" si="20"/>
        <v>0</v>
      </c>
      <c r="BP104">
        <f t="shared" si="27"/>
        <v>0</v>
      </c>
      <c r="BQ104">
        <f t="shared" si="28"/>
        <v>0</v>
      </c>
      <c r="BR104">
        <f t="shared" si="29"/>
        <v>0</v>
      </c>
    </row>
    <row r="105" spans="1:70" x14ac:dyDescent="0.35">
      <c r="A105">
        <v>1952</v>
      </c>
      <c r="B105" s="33">
        <v>0.18347942600191769</v>
      </c>
      <c r="C105">
        <f t="shared" si="30"/>
        <v>-7.2475223595096006E-2</v>
      </c>
      <c r="D105">
        <f>IF($B105&lt;=regressions!$L$2,$B105*regressions!$L$1,regressions!$L$1*regressions!$L$2+regressions!$L$3*($B105-regressions!$L$2))</f>
        <v>-0.14582574813139193</v>
      </c>
      <c r="E105">
        <f>regressions!$J$1*B105+regressions!$J$2*B105^2</f>
        <v>-8.5929458475246454E-2</v>
      </c>
      <c r="F105">
        <f>regressions!$V$1*B105</f>
        <v>-0.14582574854307656</v>
      </c>
      <c r="G105">
        <f>regressions!$N$1*B105^2</f>
        <v>-5.8659010114046391E-3</v>
      </c>
      <c r="H105">
        <f>regressions!$R$1*B105^2+regressions!$R$2*B105^6</f>
        <v>-6.3890248373047256E-3</v>
      </c>
      <c r="I105">
        <f>regressions!$P$1*B105^2+regressions!$P$2*B105^7</f>
        <v>-6.1809697167389613E-3</v>
      </c>
      <c r="J105">
        <f>regressions!$T$2+regressions!$T$1*EXP(B105)</f>
        <v>-1.5737973282847137E-3</v>
      </c>
      <c r="K105" s="8">
        <f>(1-EXP(-2*regressions!$X$1*B105))/2/EXP(-regressions!$X$1*B105)</f>
        <v>-7.474788044787338E-2</v>
      </c>
      <c r="M105" s="33">
        <v>0.18347942600191769</v>
      </c>
      <c r="N105">
        <f t="shared" si="21"/>
        <v>-7.2475223595096006E-2</v>
      </c>
      <c r="O105">
        <f>IF($B105&lt;=regressions!$L$2,$B105*regressions!$L$1,regressions!$L$1*regressions!$L$2+regressions!$L$3*($B105-regressions!$L$2))</f>
        <v>-0.14582574813139193</v>
      </c>
      <c r="P105">
        <f>regressions!$J$1*M105+regressions!$J$2*M105^2</f>
        <v>-8.5929458475246454E-2</v>
      </c>
      <c r="Q105">
        <f>regressions!$V$1*M105</f>
        <v>-0.14582574854307656</v>
      </c>
      <c r="R105">
        <f>regressions!$N$1*M105^2</f>
        <v>-5.8659010114046391E-3</v>
      </c>
      <c r="S105">
        <f>regressions!$R$1*M105^2+regressions!$R$2*M105^6</f>
        <v>-6.3890248373047256E-3</v>
      </c>
      <c r="T105">
        <f>regressions!$P$1*M105^2+regressions!$P$2*M105^7</f>
        <v>-6.1809697167389613E-3</v>
      </c>
      <c r="U105">
        <f>regressions!$T$2+regressions!$T$1*EXP(M105)</f>
        <v>-1.5737973282847137E-3</v>
      </c>
      <c r="V105" s="8">
        <f>(1-EXP(-2*regressions!$X$1*M105))/2/EXP(-regressions!$X$1*M105)</f>
        <v>-7.474788044787338E-2</v>
      </c>
      <c r="X105" s="33">
        <v>0.18347942600191769</v>
      </c>
      <c r="Y105">
        <f t="shared" si="22"/>
        <v>-7.2475223595096006E-2</v>
      </c>
      <c r="Z105">
        <f>IF($B105&lt;=regressions!$L$2,$B105*regressions!$L$1,regressions!$L$1*regressions!$L$2+regressions!$L$3*($B105-regressions!$L$2))</f>
        <v>-0.14582574813139193</v>
      </c>
      <c r="AA105">
        <f>regressions!$J$1*X105+regressions!$J$2*X105^2</f>
        <v>-8.5929458475246454E-2</v>
      </c>
      <c r="AB105">
        <f>regressions!$V$1*X105</f>
        <v>-0.14582574854307656</v>
      </c>
      <c r="AC105">
        <f>regressions!$N$1*X105^2</f>
        <v>-5.8659010114046391E-3</v>
      </c>
      <c r="AD105">
        <f>regressions!$R$1*X105^2+regressions!$R$2*X105^6</f>
        <v>-6.3890248373047256E-3</v>
      </c>
      <c r="AE105">
        <f>regressions!$P$1*X105^2+regressions!$P$2*X105^7</f>
        <v>-6.1809697167389613E-3</v>
      </c>
      <c r="AF105">
        <f>regressions!$T$2+regressions!$T$1*EXP(X105)</f>
        <v>-1.5737973282847137E-3</v>
      </c>
      <c r="AG105" s="8">
        <f>(1-EXP(-2*regressions!$X$1*X105))/2/EXP(-regressions!$X$1*X105)</f>
        <v>-7.474788044787338E-2</v>
      </c>
      <c r="AH105" s="8"/>
      <c r="AI105" s="33">
        <v>0.18347942600191769</v>
      </c>
      <c r="AJ105">
        <f t="shared" si="23"/>
        <v>-7.2475223595096006E-2</v>
      </c>
      <c r="AK105">
        <f>IF(AI105&lt;=regressions!$L$2,AI105*regressions!$L$1,regressions!$L$1*regressions!$L$2+regressions!$L$3*(AI105-regressions!$L$2))</f>
        <v>-0.14582574813139193</v>
      </c>
      <c r="AL105">
        <f>regressions!$J$1*AI105+regressions!$J$2*AI105^2</f>
        <v>-8.5929458475246454E-2</v>
      </c>
      <c r="AM105">
        <f>regressions!$V$1*AI105</f>
        <v>-0.14582574854307656</v>
      </c>
      <c r="AN105">
        <f>regressions!$N$1*AI105^2</f>
        <v>-5.8659010114046391E-3</v>
      </c>
      <c r="AO105">
        <f>regressions!$R$1*AI105^2+regressions!$R$2*AI105^6</f>
        <v>-6.3890248373047256E-3</v>
      </c>
      <c r="AP105">
        <f>regressions!$P$1*AI105^2+regressions!$P$2*AI105^7</f>
        <v>-6.1809697167389613E-3</v>
      </c>
      <c r="AQ105">
        <f>regressions!$T$2+regressions!$T$1*EXP(AI105)</f>
        <v>-1.5737973282847137E-3</v>
      </c>
      <c r="AR105" s="8">
        <f>(1-EXP(-2*regressions!$X$1*AI105))/2/EXP(-regressions!$X$1*AI105)</f>
        <v>-7.474788044787338E-2</v>
      </c>
      <c r="AT105" s="33">
        <v>0.18347942600191769</v>
      </c>
      <c r="AU105">
        <f t="shared" si="24"/>
        <v>-7.2475223595096006E-2</v>
      </c>
      <c r="AV105">
        <f>IF(AT105&lt;=regressions!$L$2,AT105*regressions!$L$1,regressions!$L$1*regressions!$L$2+regressions!$L$3*(AT105-regressions!$L$2))</f>
        <v>-0.14582574813139193</v>
      </c>
      <c r="AW105">
        <f>regressions!$J$1*AT105+regressions!$J$2*AT105^2</f>
        <v>-8.5929458475246454E-2</v>
      </c>
      <c r="AX105">
        <f>regressions!$V$1*AT105</f>
        <v>-0.14582574854307656</v>
      </c>
      <c r="AY105">
        <f>regressions!$N$1*AT105^2</f>
        <v>-5.8659010114046391E-3</v>
      </c>
      <c r="AZ105">
        <f>regressions!$R$1*AT105^2+regressions!$R$2*AT105^6</f>
        <v>-6.3890248373047256E-3</v>
      </c>
      <c r="BA105">
        <f>regressions!$P$1*AT105^2+regressions!$P$2*AT105^7</f>
        <v>-6.1809697167389613E-3</v>
      </c>
      <c r="BB105">
        <f>regressions!$T$2+regressions!$T$1*EXP(AT105)</f>
        <v>-1.5737973282847137E-3</v>
      </c>
      <c r="BC105" s="8">
        <f>(1-EXP(-2*regressions!$X$1*AT105))/2/EXP(-regressions!$X$1*AT105)</f>
        <v>-7.474788044787338E-2</v>
      </c>
      <c r="BE105">
        <f t="shared" si="25"/>
        <v>0</v>
      </c>
      <c r="BF105">
        <f t="shared" si="16"/>
        <v>0</v>
      </c>
      <c r="BG105">
        <f t="shared" si="17"/>
        <v>0</v>
      </c>
      <c r="BH105">
        <f>BG105+regressions!$AR$1*(AI105-B105)</f>
        <v>0</v>
      </c>
      <c r="BI105">
        <f>BG105-regressions!$AO$1*(AI105-B105)</f>
        <v>0</v>
      </c>
      <c r="BJ105">
        <f t="shared" si="18"/>
        <v>0</v>
      </c>
      <c r="BK105">
        <f>BJ105+regressions!$AR$1*(AT105-B105)</f>
        <v>0</v>
      </c>
      <c r="BL105">
        <f>BJ105-regressions!$AO$1*(AT105-B105)</f>
        <v>0</v>
      </c>
      <c r="BM105">
        <f t="shared" si="26"/>
        <v>0</v>
      </c>
      <c r="BN105">
        <f t="shared" si="19"/>
        <v>0</v>
      </c>
      <c r="BO105">
        <f t="shared" si="20"/>
        <v>0</v>
      </c>
      <c r="BP105">
        <f t="shared" si="27"/>
        <v>0</v>
      </c>
      <c r="BQ105">
        <f t="shared" si="28"/>
        <v>0</v>
      </c>
      <c r="BR105">
        <f t="shared" si="29"/>
        <v>0</v>
      </c>
    </row>
    <row r="106" spans="1:70" x14ac:dyDescent="0.35">
      <c r="A106">
        <v>1953</v>
      </c>
      <c r="B106" s="33">
        <v>0.18825235076080757</v>
      </c>
      <c r="C106">
        <f t="shared" si="30"/>
        <v>-7.4433363043122897E-2</v>
      </c>
      <c r="D106">
        <f>IF($B106&lt;=regressions!$L$2,$B106*regressions!$L$1,regressions!$L$1*regressions!$L$2+regressions!$L$3*($B106-regressions!$L$2))</f>
        <v>-0.14961917248913265</v>
      </c>
      <c r="E106">
        <f>regressions!$J$1*B106+regressions!$J$2*B106^2</f>
        <v>-8.8238214908436016E-2</v>
      </c>
      <c r="F106">
        <f>regressions!$V$1*B106</f>
        <v>-0.1496191729115266</v>
      </c>
      <c r="G106">
        <f>regressions!$N$1*B106^2</f>
        <v>-6.1750545770855193E-3</v>
      </c>
      <c r="H106">
        <f>regressions!$R$1*B106^2+regressions!$R$2*B106^6</f>
        <v>-6.7257488163309899E-3</v>
      </c>
      <c r="I106">
        <f>regressions!$P$1*B106^2+regressions!$P$2*B106^7</f>
        <v>-6.5067285077147893E-3</v>
      </c>
      <c r="J106">
        <f>regressions!$T$2+regressions!$T$1*EXP(B106)</f>
        <v>-1.6187148614958471E-3</v>
      </c>
      <c r="K106" s="8">
        <f>(1-EXP(-2*regressions!$X$1*B106))/2/EXP(-regressions!$X$1*B106)</f>
        <v>-7.6696082961367124E-2</v>
      </c>
      <c r="M106" s="33">
        <v>0.18825235076080757</v>
      </c>
      <c r="N106">
        <f t="shared" si="21"/>
        <v>-7.4433363043122897E-2</v>
      </c>
      <c r="O106">
        <f>IF($B106&lt;=regressions!$L$2,$B106*regressions!$L$1,regressions!$L$1*regressions!$L$2+regressions!$L$3*($B106-regressions!$L$2))</f>
        <v>-0.14961917248913265</v>
      </c>
      <c r="P106">
        <f>regressions!$J$1*M106+regressions!$J$2*M106^2</f>
        <v>-8.8238214908436016E-2</v>
      </c>
      <c r="Q106">
        <f>regressions!$V$1*M106</f>
        <v>-0.1496191729115266</v>
      </c>
      <c r="R106">
        <f>regressions!$N$1*M106^2</f>
        <v>-6.1750545770855193E-3</v>
      </c>
      <c r="S106">
        <f>regressions!$R$1*M106^2+regressions!$R$2*M106^6</f>
        <v>-6.7257488163309899E-3</v>
      </c>
      <c r="T106">
        <f>regressions!$P$1*M106^2+regressions!$P$2*M106^7</f>
        <v>-6.5067285077147893E-3</v>
      </c>
      <c r="U106">
        <f>regressions!$T$2+regressions!$T$1*EXP(M106)</f>
        <v>-1.6187148614958471E-3</v>
      </c>
      <c r="V106" s="8">
        <f>(1-EXP(-2*regressions!$X$1*M106))/2/EXP(-regressions!$X$1*M106)</f>
        <v>-7.6696082961367124E-2</v>
      </c>
      <c r="X106" s="33">
        <v>0.18825235076080757</v>
      </c>
      <c r="Y106">
        <f t="shared" si="22"/>
        <v>-7.4433363043122897E-2</v>
      </c>
      <c r="Z106">
        <f>IF($B106&lt;=regressions!$L$2,$B106*regressions!$L$1,regressions!$L$1*regressions!$L$2+regressions!$L$3*($B106-regressions!$L$2))</f>
        <v>-0.14961917248913265</v>
      </c>
      <c r="AA106">
        <f>regressions!$J$1*X106+regressions!$J$2*X106^2</f>
        <v>-8.8238214908436016E-2</v>
      </c>
      <c r="AB106">
        <f>regressions!$V$1*X106</f>
        <v>-0.1496191729115266</v>
      </c>
      <c r="AC106">
        <f>regressions!$N$1*X106^2</f>
        <v>-6.1750545770855193E-3</v>
      </c>
      <c r="AD106">
        <f>regressions!$R$1*X106^2+regressions!$R$2*X106^6</f>
        <v>-6.7257488163309899E-3</v>
      </c>
      <c r="AE106">
        <f>regressions!$P$1*X106^2+regressions!$P$2*X106^7</f>
        <v>-6.5067285077147893E-3</v>
      </c>
      <c r="AF106">
        <f>regressions!$T$2+regressions!$T$1*EXP(X106)</f>
        <v>-1.6187148614958471E-3</v>
      </c>
      <c r="AG106" s="8">
        <f>(1-EXP(-2*regressions!$X$1*X106))/2/EXP(-regressions!$X$1*X106)</f>
        <v>-7.6696082961367124E-2</v>
      </c>
      <c r="AH106" s="8"/>
      <c r="AI106" s="33">
        <v>0.18825235076080757</v>
      </c>
      <c r="AJ106">
        <f t="shared" si="23"/>
        <v>-7.4433363043122897E-2</v>
      </c>
      <c r="AK106">
        <f>IF(AI106&lt;=regressions!$L$2,AI106*regressions!$L$1,regressions!$L$1*regressions!$L$2+regressions!$L$3*(AI106-regressions!$L$2))</f>
        <v>-0.14961917248913265</v>
      </c>
      <c r="AL106">
        <f>regressions!$J$1*AI106+regressions!$J$2*AI106^2</f>
        <v>-8.8238214908436016E-2</v>
      </c>
      <c r="AM106">
        <f>regressions!$V$1*AI106</f>
        <v>-0.1496191729115266</v>
      </c>
      <c r="AN106">
        <f>regressions!$N$1*AI106^2</f>
        <v>-6.1750545770855193E-3</v>
      </c>
      <c r="AO106">
        <f>regressions!$R$1*AI106^2+regressions!$R$2*AI106^6</f>
        <v>-6.7257488163309899E-3</v>
      </c>
      <c r="AP106">
        <f>regressions!$P$1*AI106^2+regressions!$P$2*AI106^7</f>
        <v>-6.5067285077147893E-3</v>
      </c>
      <c r="AQ106">
        <f>regressions!$T$2+regressions!$T$1*EXP(AI106)</f>
        <v>-1.6187148614958471E-3</v>
      </c>
      <c r="AR106" s="8">
        <f>(1-EXP(-2*regressions!$X$1*AI106))/2/EXP(-regressions!$X$1*AI106)</f>
        <v>-7.6696082961367124E-2</v>
      </c>
      <c r="AT106" s="33">
        <v>0.18825235076080757</v>
      </c>
      <c r="AU106">
        <f t="shared" si="24"/>
        <v>-7.4433363043122897E-2</v>
      </c>
      <c r="AV106">
        <f>IF(AT106&lt;=regressions!$L$2,AT106*regressions!$L$1,regressions!$L$1*regressions!$L$2+regressions!$L$3*(AT106-regressions!$L$2))</f>
        <v>-0.14961917248913265</v>
      </c>
      <c r="AW106">
        <f>regressions!$J$1*AT106+regressions!$J$2*AT106^2</f>
        <v>-8.8238214908436016E-2</v>
      </c>
      <c r="AX106">
        <f>regressions!$V$1*AT106</f>
        <v>-0.1496191729115266</v>
      </c>
      <c r="AY106">
        <f>regressions!$N$1*AT106^2</f>
        <v>-6.1750545770855193E-3</v>
      </c>
      <c r="AZ106">
        <f>regressions!$R$1*AT106^2+regressions!$R$2*AT106^6</f>
        <v>-6.7257488163309899E-3</v>
      </c>
      <c r="BA106">
        <f>regressions!$P$1*AT106^2+regressions!$P$2*AT106^7</f>
        <v>-6.5067285077147893E-3</v>
      </c>
      <c r="BB106">
        <f>regressions!$T$2+regressions!$T$1*EXP(AT106)</f>
        <v>-1.6187148614958471E-3</v>
      </c>
      <c r="BC106" s="8">
        <f>(1-EXP(-2*regressions!$X$1*AT106))/2/EXP(-regressions!$X$1*AT106)</f>
        <v>-7.6696082961367124E-2</v>
      </c>
      <c r="BE106">
        <f t="shared" si="25"/>
        <v>0</v>
      </c>
      <c r="BF106">
        <f t="shared" si="16"/>
        <v>0</v>
      </c>
      <c r="BG106">
        <f t="shared" si="17"/>
        <v>0</v>
      </c>
      <c r="BH106">
        <f>BG106+regressions!$AR$1*(AI106-B106)</f>
        <v>0</v>
      </c>
      <c r="BI106">
        <f>BG106-regressions!$AO$1*(AI106-B106)</f>
        <v>0</v>
      </c>
      <c r="BJ106">
        <f t="shared" si="18"/>
        <v>0</v>
      </c>
      <c r="BK106">
        <f>BJ106+regressions!$AR$1*(AT106-B106)</f>
        <v>0</v>
      </c>
      <c r="BL106">
        <f>BJ106-regressions!$AO$1*(AT106-B106)</f>
        <v>0</v>
      </c>
      <c r="BM106">
        <f t="shared" si="26"/>
        <v>0</v>
      </c>
      <c r="BN106">
        <f t="shared" si="19"/>
        <v>0</v>
      </c>
      <c r="BO106">
        <f t="shared" si="20"/>
        <v>0</v>
      </c>
      <c r="BP106">
        <f t="shared" si="27"/>
        <v>0</v>
      </c>
      <c r="BQ106">
        <f t="shared" si="28"/>
        <v>0</v>
      </c>
      <c r="BR106">
        <f t="shared" si="29"/>
        <v>0</v>
      </c>
    </row>
    <row r="107" spans="1:70" x14ac:dyDescent="0.35">
      <c r="A107">
        <v>1954</v>
      </c>
      <c r="B107" s="33">
        <v>0.19316116675736356</v>
      </c>
      <c r="C107">
        <f t="shared" si="30"/>
        <v>-7.6451122471044394E-2</v>
      </c>
      <c r="D107">
        <f>IF($B107&lt;=regressions!$L$2,$B107*regressions!$L$1,regressions!$L$1*regressions!$L$2+regressions!$L$3*($B107-regressions!$L$2))</f>
        <v>-0.15352060046247742</v>
      </c>
      <c r="E107">
        <f>regressions!$J$1*B107+regressions!$J$2*B107^2</f>
        <v>-9.0616589021893484E-2</v>
      </c>
      <c r="F107">
        <f>regressions!$V$1*B107</f>
        <v>-0.15352060089588557</v>
      </c>
      <c r="G107">
        <f>regressions!$N$1*B107^2</f>
        <v>-6.5012912790814968E-3</v>
      </c>
      <c r="H107">
        <f>regressions!$R$1*B107^2+regressions!$R$2*B107^6</f>
        <v>-7.0810794032070508E-3</v>
      </c>
      <c r="I107">
        <f>regressions!$P$1*B107^2+regressions!$P$2*B107^7</f>
        <v>-6.8504880025124278E-3</v>
      </c>
      <c r="J107">
        <f>regressions!$T$2+regressions!$T$1*EXP(B107)</f>
        <v>-1.6651354294506086E-3</v>
      </c>
      <c r="K107" s="8">
        <f>(1-EXP(-2*regressions!$X$1*B107))/2/EXP(-regressions!$X$1*B107)</f>
        <v>-7.8700055269010208E-2</v>
      </c>
      <c r="M107" s="33">
        <v>0.19316116675736356</v>
      </c>
      <c r="N107">
        <f t="shared" si="21"/>
        <v>-7.6451122471044394E-2</v>
      </c>
      <c r="O107">
        <f>IF($B107&lt;=regressions!$L$2,$B107*regressions!$L$1,regressions!$L$1*regressions!$L$2+regressions!$L$3*($B107-regressions!$L$2))</f>
        <v>-0.15352060046247742</v>
      </c>
      <c r="P107">
        <f>regressions!$J$1*M107+regressions!$J$2*M107^2</f>
        <v>-9.0616589021893484E-2</v>
      </c>
      <c r="Q107">
        <f>regressions!$V$1*M107</f>
        <v>-0.15352060089588557</v>
      </c>
      <c r="R107">
        <f>regressions!$N$1*M107^2</f>
        <v>-6.5012912790814968E-3</v>
      </c>
      <c r="S107">
        <f>regressions!$R$1*M107^2+regressions!$R$2*M107^6</f>
        <v>-7.0810794032070508E-3</v>
      </c>
      <c r="T107">
        <f>regressions!$P$1*M107^2+regressions!$P$2*M107^7</f>
        <v>-6.8504880025124278E-3</v>
      </c>
      <c r="U107">
        <f>regressions!$T$2+regressions!$T$1*EXP(M107)</f>
        <v>-1.6651354294506086E-3</v>
      </c>
      <c r="V107" s="8">
        <f>(1-EXP(-2*regressions!$X$1*M107))/2/EXP(-regressions!$X$1*M107)</f>
        <v>-7.8700055269010208E-2</v>
      </c>
      <c r="X107" s="33">
        <v>0.19316116675736356</v>
      </c>
      <c r="Y107">
        <f t="shared" si="22"/>
        <v>-7.6451122471044394E-2</v>
      </c>
      <c r="Z107">
        <f>IF($B107&lt;=regressions!$L$2,$B107*regressions!$L$1,regressions!$L$1*regressions!$L$2+regressions!$L$3*($B107-regressions!$L$2))</f>
        <v>-0.15352060046247742</v>
      </c>
      <c r="AA107">
        <f>regressions!$J$1*X107+regressions!$J$2*X107^2</f>
        <v>-9.0616589021893484E-2</v>
      </c>
      <c r="AB107">
        <f>regressions!$V$1*X107</f>
        <v>-0.15352060089588557</v>
      </c>
      <c r="AC107">
        <f>regressions!$N$1*X107^2</f>
        <v>-6.5012912790814968E-3</v>
      </c>
      <c r="AD107">
        <f>regressions!$R$1*X107^2+regressions!$R$2*X107^6</f>
        <v>-7.0810794032070508E-3</v>
      </c>
      <c r="AE107">
        <f>regressions!$P$1*X107^2+regressions!$P$2*X107^7</f>
        <v>-6.8504880025124278E-3</v>
      </c>
      <c r="AF107">
        <f>regressions!$T$2+regressions!$T$1*EXP(X107)</f>
        <v>-1.6651354294506086E-3</v>
      </c>
      <c r="AG107" s="8">
        <f>(1-EXP(-2*regressions!$X$1*X107))/2/EXP(-regressions!$X$1*X107)</f>
        <v>-7.8700055269010208E-2</v>
      </c>
      <c r="AH107" s="8"/>
      <c r="AI107" s="33">
        <v>0.19316116675736356</v>
      </c>
      <c r="AJ107">
        <f t="shared" si="23"/>
        <v>-7.6451122471044394E-2</v>
      </c>
      <c r="AK107">
        <f>IF(AI107&lt;=regressions!$L$2,AI107*regressions!$L$1,regressions!$L$1*regressions!$L$2+regressions!$L$3*(AI107-regressions!$L$2))</f>
        <v>-0.15352060046247742</v>
      </c>
      <c r="AL107">
        <f>regressions!$J$1*AI107+regressions!$J$2*AI107^2</f>
        <v>-9.0616589021893484E-2</v>
      </c>
      <c r="AM107">
        <f>regressions!$V$1*AI107</f>
        <v>-0.15352060089588557</v>
      </c>
      <c r="AN107">
        <f>regressions!$N$1*AI107^2</f>
        <v>-6.5012912790814968E-3</v>
      </c>
      <c r="AO107">
        <f>regressions!$R$1*AI107^2+regressions!$R$2*AI107^6</f>
        <v>-7.0810794032070508E-3</v>
      </c>
      <c r="AP107">
        <f>regressions!$P$1*AI107^2+regressions!$P$2*AI107^7</f>
        <v>-6.8504880025124278E-3</v>
      </c>
      <c r="AQ107">
        <f>regressions!$T$2+regressions!$T$1*EXP(AI107)</f>
        <v>-1.6651354294506086E-3</v>
      </c>
      <c r="AR107" s="8">
        <f>(1-EXP(-2*regressions!$X$1*AI107))/2/EXP(-regressions!$X$1*AI107)</f>
        <v>-7.8700055269010208E-2</v>
      </c>
      <c r="AT107" s="33">
        <v>0.19316116675736356</v>
      </c>
      <c r="AU107">
        <f t="shared" si="24"/>
        <v>-7.6451122471044394E-2</v>
      </c>
      <c r="AV107">
        <f>IF(AT107&lt;=regressions!$L$2,AT107*regressions!$L$1,regressions!$L$1*regressions!$L$2+regressions!$L$3*(AT107-regressions!$L$2))</f>
        <v>-0.15352060046247742</v>
      </c>
      <c r="AW107">
        <f>regressions!$J$1*AT107+regressions!$J$2*AT107^2</f>
        <v>-9.0616589021893484E-2</v>
      </c>
      <c r="AX107">
        <f>regressions!$V$1*AT107</f>
        <v>-0.15352060089588557</v>
      </c>
      <c r="AY107">
        <f>regressions!$N$1*AT107^2</f>
        <v>-6.5012912790814968E-3</v>
      </c>
      <c r="AZ107">
        <f>regressions!$R$1*AT107^2+regressions!$R$2*AT107^6</f>
        <v>-7.0810794032070508E-3</v>
      </c>
      <c r="BA107">
        <f>regressions!$P$1*AT107^2+regressions!$P$2*AT107^7</f>
        <v>-6.8504880025124278E-3</v>
      </c>
      <c r="BB107">
        <f>regressions!$T$2+regressions!$T$1*EXP(AT107)</f>
        <v>-1.6651354294506086E-3</v>
      </c>
      <c r="BC107" s="8">
        <f>(1-EXP(-2*regressions!$X$1*AT107))/2/EXP(-regressions!$X$1*AT107)</f>
        <v>-7.8700055269010208E-2</v>
      </c>
      <c r="BE107">
        <f t="shared" si="25"/>
        <v>0</v>
      </c>
      <c r="BF107">
        <f t="shared" si="16"/>
        <v>0</v>
      </c>
      <c r="BG107">
        <f t="shared" si="17"/>
        <v>0</v>
      </c>
      <c r="BH107">
        <f>BG107+regressions!$AR$1*(AI107-B107)</f>
        <v>0</v>
      </c>
      <c r="BI107">
        <f>BG107-regressions!$AO$1*(AI107-B107)</f>
        <v>0</v>
      </c>
      <c r="BJ107">
        <f t="shared" si="18"/>
        <v>0</v>
      </c>
      <c r="BK107">
        <f>BJ107+regressions!$AR$1*(AT107-B107)</f>
        <v>0</v>
      </c>
      <c r="BL107">
        <f>BJ107-regressions!$AO$1*(AT107-B107)</f>
        <v>0</v>
      </c>
      <c r="BM107">
        <f t="shared" si="26"/>
        <v>0</v>
      </c>
      <c r="BN107">
        <f t="shared" si="19"/>
        <v>0</v>
      </c>
      <c r="BO107">
        <f t="shared" si="20"/>
        <v>0</v>
      </c>
      <c r="BP107">
        <f t="shared" si="27"/>
        <v>0</v>
      </c>
      <c r="BQ107">
        <f t="shared" si="28"/>
        <v>0</v>
      </c>
      <c r="BR107">
        <f t="shared" si="29"/>
        <v>0</v>
      </c>
    </row>
    <row r="108" spans="1:70" x14ac:dyDescent="0.35">
      <c r="A108">
        <v>1955</v>
      </c>
      <c r="B108" s="33">
        <v>0.19820158418545988</v>
      </c>
      <c r="C108">
        <f t="shared" si="30"/>
        <v>-7.8527060620544265E-2</v>
      </c>
      <c r="D108">
        <f>IF($B108&lt;=regressions!$L$2,$B108*regressions!$L$1,regressions!$L$1*regressions!$L$2+regressions!$L$3*($B108-regressions!$L$2))</f>
        <v>-0.15752662260001654</v>
      </c>
      <c r="E108">
        <f>regressions!$J$1*B108+regressions!$J$2*B108^2</f>
        <v>-9.3062824229949007E-2</v>
      </c>
      <c r="F108">
        <f>regressions!$V$1*B108</f>
        <v>-0.15752662304473422</v>
      </c>
      <c r="G108">
        <f>regressions!$N$1*B108^2</f>
        <v>-6.8450122080445748E-3</v>
      </c>
      <c r="H108">
        <f>regressions!$R$1*B108^2+regressions!$R$2*B108^6</f>
        <v>-7.4554534561922072E-3</v>
      </c>
      <c r="I108">
        <f>regressions!$P$1*B108^2+regressions!$P$2*B108^7</f>
        <v>-7.2126708350748426E-3</v>
      </c>
      <c r="J108">
        <f>regressions!$T$2+regressions!$T$1*EXP(B108)</f>
        <v>-1.7130382045190753E-3</v>
      </c>
      <c r="K108" s="8">
        <f>(1-EXP(-2*regressions!$X$1*B108))/2/EXP(-regressions!$X$1*B108)</f>
        <v>-8.0758079447817904E-2</v>
      </c>
      <c r="M108" s="33">
        <v>0.19820158418545988</v>
      </c>
      <c r="N108">
        <f t="shared" si="21"/>
        <v>-7.8527060620544265E-2</v>
      </c>
      <c r="O108">
        <f>IF($B108&lt;=regressions!$L$2,$B108*regressions!$L$1,regressions!$L$1*regressions!$L$2+regressions!$L$3*($B108-regressions!$L$2))</f>
        <v>-0.15752662260001654</v>
      </c>
      <c r="P108">
        <f>regressions!$J$1*M108+regressions!$J$2*M108^2</f>
        <v>-9.3062824229949007E-2</v>
      </c>
      <c r="Q108">
        <f>regressions!$V$1*M108</f>
        <v>-0.15752662304473422</v>
      </c>
      <c r="R108">
        <f>regressions!$N$1*M108^2</f>
        <v>-6.8450122080445748E-3</v>
      </c>
      <c r="S108">
        <f>regressions!$R$1*M108^2+regressions!$R$2*M108^6</f>
        <v>-7.4554534561922072E-3</v>
      </c>
      <c r="T108">
        <f>regressions!$P$1*M108^2+regressions!$P$2*M108^7</f>
        <v>-7.2126708350748426E-3</v>
      </c>
      <c r="U108">
        <f>regressions!$T$2+regressions!$T$1*EXP(M108)</f>
        <v>-1.7130382045190753E-3</v>
      </c>
      <c r="V108" s="8">
        <f>(1-EXP(-2*regressions!$X$1*M108))/2/EXP(-regressions!$X$1*M108)</f>
        <v>-8.0758079447817904E-2</v>
      </c>
      <c r="X108" s="33">
        <v>0.19820158418545988</v>
      </c>
      <c r="Y108">
        <f t="shared" si="22"/>
        <v>-7.8527060620544265E-2</v>
      </c>
      <c r="Z108">
        <f>IF($B108&lt;=regressions!$L$2,$B108*regressions!$L$1,regressions!$L$1*regressions!$L$2+regressions!$L$3*($B108-regressions!$L$2))</f>
        <v>-0.15752662260001654</v>
      </c>
      <c r="AA108">
        <f>regressions!$J$1*X108+regressions!$J$2*X108^2</f>
        <v>-9.3062824229949007E-2</v>
      </c>
      <c r="AB108">
        <f>regressions!$V$1*X108</f>
        <v>-0.15752662304473422</v>
      </c>
      <c r="AC108">
        <f>regressions!$N$1*X108^2</f>
        <v>-6.8450122080445748E-3</v>
      </c>
      <c r="AD108">
        <f>regressions!$R$1*X108^2+regressions!$R$2*X108^6</f>
        <v>-7.4554534561922072E-3</v>
      </c>
      <c r="AE108">
        <f>regressions!$P$1*X108^2+regressions!$P$2*X108^7</f>
        <v>-7.2126708350748426E-3</v>
      </c>
      <c r="AF108">
        <f>regressions!$T$2+regressions!$T$1*EXP(X108)</f>
        <v>-1.7130382045190753E-3</v>
      </c>
      <c r="AG108" s="8">
        <f>(1-EXP(-2*regressions!$X$1*X108))/2/EXP(-regressions!$X$1*X108)</f>
        <v>-8.0758079447817904E-2</v>
      </c>
      <c r="AH108" s="8"/>
      <c r="AI108" s="33">
        <v>0.19820158418545988</v>
      </c>
      <c r="AJ108">
        <f t="shared" si="23"/>
        <v>-7.8527060620544265E-2</v>
      </c>
      <c r="AK108">
        <f>IF(AI108&lt;=regressions!$L$2,AI108*regressions!$L$1,regressions!$L$1*regressions!$L$2+regressions!$L$3*(AI108-regressions!$L$2))</f>
        <v>-0.15752662260001654</v>
      </c>
      <c r="AL108">
        <f>regressions!$J$1*AI108+regressions!$J$2*AI108^2</f>
        <v>-9.3062824229949007E-2</v>
      </c>
      <c r="AM108">
        <f>regressions!$V$1*AI108</f>
        <v>-0.15752662304473422</v>
      </c>
      <c r="AN108">
        <f>regressions!$N$1*AI108^2</f>
        <v>-6.8450122080445748E-3</v>
      </c>
      <c r="AO108">
        <f>regressions!$R$1*AI108^2+regressions!$R$2*AI108^6</f>
        <v>-7.4554534561922072E-3</v>
      </c>
      <c r="AP108">
        <f>regressions!$P$1*AI108^2+regressions!$P$2*AI108^7</f>
        <v>-7.2126708350748426E-3</v>
      </c>
      <c r="AQ108">
        <f>regressions!$T$2+regressions!$T$1*EXP(AI108)</f>
        <v>-1.7130382045190753E-3</v>
      </c>
      <c r="AR108" s="8">
        <f>(1-EXP(-2*regressions!$X$1*AI108))/2/EXP(-regressions!$X$1*AI108)</f>
        <v>-8.0758079447817904E-2</v>
      </c>
      <c r="AT108" s="33">
        <v>0.19820158418545988</v>
      </c>
      <c r="AU108">
        <f t="shared" si="24"/>
        <v>-7.8527060620544265E-2</v>
      </c>
      <c r="AV108">
        <f>IF(AT108&lt;=regressions!$L$2,AT108*regressions!$L$1,regressions!$L$1*regressions!$L$2+regressions!$L$3*(AT108-regressions!$L$2))</f>
        <v>-0.15752662260001654</v>
      </c>
      <c r="AW108">
        <f>regressions!$J$1*AT108+regressions!$J$2*AT108^2</f>
        <v>-9.3062824229949007E-2</v>
      </c>
      <c r="AX108">
        <f>regressions!$V$1*AT108</f>
        <v>-0.15752662304473422</v>
      </c>
      <c r="AY108">
        <f>regressions!$N$1*AT108^2</f>
        <v>-6.8450122080445748E-3</v>
      </c>
      <c r="AZ108">
        <f>regressions!$R$1*AT108^2+regressions!$R$2*AT108^6</f>
        <v>-7.4554534561922072E-3</v>
      </c>
      <c r="BA108">
        <f>regressions!$P$1*AT108^2+regressions!$P$2*AT108^7</f>
        <v>-7.2126708350748426E-3</v>
      </c>
      <c r="BB108">
        <f>regressions!$T$2+regressions!$T$1*EXP(AT108)</f>
        <v>-1.7130382045190753E-3</v>
      </c>
      <c r="BC108" s="8">
        <f>(1-EXP(-2*regressions!$X$1*AT108))/2/EXP(-regressions!$X$1*AT108)</f>
        <v>-8.0758079447817904E-2</v>
      </c>
      <c r="BE108">
        <f t="shared" si="25"/>
        <v>0</v>
      </c>
      <c r="BF108">
        <f t="shared" si="16"/>
        <v>0</v>
      </c>
      <c r="BG108">
        <f t="shared" si="17"/>
        <v>0</v>
      </c>
      <c r="BH108">
        <f>BG108+regressions!$AR$1*(AI108-B108)</f>
        <v>0</v>
      </c>
      <c r="BI108">
        <f>BG108-regressions!$AO$1*(AI108-B108)</f>
        <v>0</v>
      </c>
      <c r="BJ108">
        <f t="shared" si="18"/>
        <v>0</v>
      </c>
      <c r="BK108">
        <f>BJ108+regressions!$AR$1*(AT108-B108)</f>
        <v>0</v>
      </c>
      <c r="BL108">
        <f>BJ108-regressions!$AO$1*(AT108-B108)</f>
        <v>0</v>
      </c>
      <c r="BM108">
        <f t="shared" si="26"/>
        <v>0</v>
      </c>
      <c r="BN108">
        <f t="shared" si="19"/>
        <v>0</v>
      </c>
      <c r="BO108">
        <f t="shared" si="20"/>
        <v>0</v>
      </c>
      <c r="BP108">
        <f t="shared" si="27"/>
        <v>0</v>
      </c>
      <c r="BQ108">
        <f t="shared" si="28"/>
        <v>0</v>
      </c>
      <c r="BR108">
        <f t="shared" si="29"/>
        <v>0</v>
      </c>
    </row>
    <row r="109" spans="1:70" x14ac:dyDescent="0.35">
      <c r="A109">
        <v>1956</v>
      </c>
      <c r="B109" s="33">
        <v>0.20340835115695327</v>
      </c>
      <c r="C109">
        <f t="shared" si="30"/>
        <v>-8.0675858149783231E-2</v>
      </c>
      <c r="D109">
        <f>IF($B109&lt;=regressions!$L$2,$B109*regressions!$L$1,regressions!$L$1*regressions!$L$2+regressions!$L$3*($B109-regressions!$L$2))</f>
        <v>-0.1616648560003974</v>
      </c>
      <c r="E109">
        <f>regressions!$J$1*B109+regressions!$J$2*B109^2</f>
        <v>-9.5594153709762944E-2</v>
      </c>
      <c r="F109">
        <f>regressions!$V$1*B109</f>
        <v>-0.16166485645679785</v>
      </c>
      <c r="G109">
        <f>regressions!$N$1*B109^2</f>
        <v>-7.2093737855838443E-3</v>
      </c>
      <c r="H109">
        <f>regressions!$R$1*B109^2+regressions!$R$2*B109^6</f>
        <v>-7.85230888525878E-3</v>
      </c>
      <c r="I109">
        <f>regressions!$P$1*B109^2+regressions!$P$2*B109^7</f>
        <v>-7.5966029643460518E-3</v>
      </c>
      <c r="J109">
        <f>regressions!$T$2+regressions!$T$1*EXP(B109)</f>
        <v>-1.7627761095528448E-3</v>
      </c>
      <c r="K109" s="8">
        <f>(1-EXP(-2*regressions!$X$1*B109))/2/EXP(-regressions!$X$1*B109)</f>
        <v>-8.2884381861300621E-2</v>
      </c>
      <c r="M109" s="33">
        <v>0.20340835115695327</v>
      </c>
      <c r="N109">
        <f t="shared" si="21"/>
        <v>-8.0675858149783231E-2</v>
      </c>
      <c r="O109">
        <f>IF($B109&lt;=regressions!$L$2,$B109*regressions!$L$1,regressions!$L$1*regressions!$L$2+regressions!$L$3*($B109-regressions!$L$2))</f>
        <v>-0.1616648560003974</v>
      </c>
      <c r="P109">
        <f>regressions!$J$1*M109+regressions!$J$2*M109^2</f>
        <v>-9.5594153709762944E-2</v>
      </c>
      <c r="Q109">
        <f>regressions!$V$1*M109</f>
        <v>-0.16166485645679785</v>
      </c>
      <c r="R109">
        <f>regressions!$N$1*M109^2</f>
        <v>-7.2093737855838443E-3</v>
      </c>
      <c r="S109">
        <f>regressions!$R$1*M109^2+regressions!$R$2*M109^6</f>
        <v>-7.85230888525878E-3</v>
      </c>
      <c r="T109">
        <f>regressions!$P$1*M109^2+regressions!$P$2*M109^7</f>
        <v>-7.5966029643460518E-3</v>
      </c>
      <c r="U109">
        <f>regressions!$T$2+regressions!$T$1*EXP(M109)</f>
        <v>-1.7627761095528448E-3</v>
      </c>
      <c r="V109" s="8">
        <f>(1-EXP(-2*regressions!$X$1*M109))/2/EXP(-regressions!$X$1*M109)</f>
        <v>-8.2884381861300621E-2</v>
      </c>
      <c r="X109" s="33">
        <v>0.20340835115695327</v>
      </c>
      <c r="Y109">
        <f t="shared" si="22"/>
        <v>-8.0675858149783231E-2</v>
      </c>
      <c r="Z109">
        <f>IF($B109&lt;=regressions!$L$2,$B109*regressions!$L$1,regressions!$L$1*regressions!$L$2+regressions!$L$3*($B109-regressions!$L$2))</f>
        <v>-0.1616648560003974</v>
      </c>
      <c r="AA109">
        <f>regressions!$J$1*X109+regressions!$J$2*X109^2</f>
        <v>-9.5594153709762944E-2</v>
      </c>
      <c r="AB109">
        <f>regressions!$V$1*X109</f>
        <v>-0.16166485645679785</v>
      </c>
      <c r="AC109">
        <f>regressions!$N$1*X109^2</f>
        <v>-7.2093737855838443E-3</v>
      </c>
      <c r="AD109">
        <f>regressions!$R$1*X109^2+regressions!$R$2*X109^6</f>
        <v>-7.85230888525878E-3</v>
      </c>
      <c r="AE109">
        <f>regressions!$P$1*X109^2+regressions!$P$2*X109^7</f>
        <v>-7.5966029643460518E-3</v>
      </c>
      <c r="AF109">
        <f>regressions!$T$2+regressions!$T$1*EXP(X109)</f>
        <v>-1.7627761095528448E-3</v>
      </c>
      <c r="AG109" s="8">
        <f>(1-EXP(-2*regressions!$X$1*X109))/2/EXP(-regressions!$X$1*X109)</f>
        <v>-8.2884381861300621E-2</v>
      </c>
      <c r="AH109" s="8"/>
      <c r="AI109" s="33">
        <v>0.20340835115695327</v>
      </c>
      <c r="AJ109">
        <f t="shared" si="23"/>
        <v>-8.0675858149783231E-2</v>
      </c>
      <c r="AK109">
        <f>IF(AI109&lt;=regressions!$L$2,AI109*regressions!$L$1,regressions!$L$1*regressions!$L$2+regressions!$L$3*(AI109-regressions!$L$2))</f>
        <v>-0.1616648560003974</v>
      </c>
      <c r="AL109">
        <f>regressions!$J$1*AI109+regressions!$J$2*AI109^2</f>
        <v>-9.5594153709762944E-2</v>
      </c>
      <c r="AM109">
        <f>regressions!$V$1*AI109</f>
        <v>-0.16166485645679785</v>
      </c>
      <c r="AN109">
        <f>regressions!$N$1*AI109^2</f>
        <v>-7.2093737855838443E-3</v>
      </c>
      <c r="AO109">
        <f>regressions!$R$1*AI109^2+regressions!$R$2*AI109^6</f>
        <v>-7.85230888525878E-3</v>
      </c>
      <c r="AP109">
        <f>regressions!$P$1*AI109^2+regressions!$P$2*AI109^7</f>
        <v>-7.5966029643460518E-3</v>
      </c>
      <c r="AQ109">
        <f>regressions!$T$2+regressions!$T$1*EXP(AI109)</f>
        <v>-1.7627761095528448E-3</v>
      </c>
      <c r="AR109" s="8">
        <f>(1-EXP(-2*regressions!$X$1*AI109))/2/EXP(-regressions!$X$1*AI109)</f>
        <v>-8.2884381861300621E-2</v>
      </c>
      <c r="AT109" s="33">
        <v>0.20340835115695327</v>
      </c>
      <c r="AU109">
        <f t="shared" si="24"/>
        <v>-8.0675858149783231E-2</v>
      </c>
      <c r="AV109">
        <f>IF(AT109&lt;=regressions!$L$2,AT109*regressions!$L$1,regressions!$L$1*regressions!$L$2+regressions!$L$3*(AT109-regressions!$L$2))</f>
        <v>-0.1616648560003974</v>
      </c>
      <c r="AW109">
        <f>regressions!$J$1*AT109+regressions!$J$2*AT109^2</f>
        <v>-9.5594153709762944E-2</v>
      </c>
      <c r="AX109">
        <f>regressions!$V$1*AT109</f>
        <v>-0.16166485645679785</v>
      </c>
      <c r="AY109">
        <f>regressions!$N$1*AT109^2</f>
        <v>-7.2093737855838443E-3</v>
      </c>
      <c r="AZ109">
        <f>regressions!$R$1*AT109^2+regressions!$R$2*AT109^6</f>
        <v>-7.85230888525878E-3</v>
      </c>
      <c r="BA109">
        <f>regressions!$P$1*AT109^2+regressions!$P$2*AT109^7</f>
        <v>-7.5966029643460518E-3</v>
      </c>
      <c r="BB109">
        <f>regressions!$T$2+regressions!$T$1*EXP(AT109)</f>
        <v>-1.7627761095528448E-3</v>
      </c>
      <c r="BC109" s="8">
        <f>(1-EXP(-2*regressions!$X$1*AT109))/2/EXP(-regressions!$X$1*AT109)</f>
        <v>-8.2884381861300621E-2</v>
      </c>
      <c r="BE109">
        <f t="shared" si="25"/>
        <v>0</v>
      </c>
      <c r="BF109">
        <f t="shared" si="16"/>
        <v>0</v>
      </c>
      <c r="BG109">
        <f t="shared" si="17"/>
        <v>0</v>
      </c>
      <c r="BH109">
        <f>BG109+regressions!$AR$1*(AI109-B109)</f>
        <v>0</v>
      </c>
      <c r="BI109">
        <f>BG109-regressions!$AO$1*(AI109-B109)</f>
        <v>0</v>
      </c>
      <c r="BJ109">
        <f t="shared" si="18"/>
        <v>0</v>
      </c>
      <c r="BK109">
        <f>BJ109+regressions!$AR$1*(AT109-B109)</f>
        <v>0</v>
      </c>
      <c r="BL109">
        <f>BJ109-regressions!$AO$1*(AT109-B109)</f>
        <v>0</v>
      </c>
      <c r="BM109">
        <f t="shared" si="26"/>
        <v>0</v>
      </c>
      <c r="BN109">
        <f t="shared" si="19"/>
        <v>0</v>
      </c>
      <c r="BO109">
        <f t="shared" si="20"/>
        <v>0</v>
      </c>
      <c r="BP109">
        <f t="shared" si="27"/>
        <v>0</v>
      </c>
      <c r="BQ109">
        <f t="shared" si="28"/>
        <v>0</v>
      </c>
      <c r="BR109">
        <f t="shared" si="29"/>
        <v>0</v>
      </c>
    </row>
    <row r="110" spans="1:70" x14ac:dyDescent="0.35">
      <c r="A110">
        <v>1957</v>
      </c>
      <c r="B110" s="33">
        <v>0.20880190611047458</v>
      </c>
      <c r="C110">
        <f t="shared" si="30"/>
        <v>-8.2906401613597719E-2</v>
      </c>
      <c r="D110">
        <f>IF($B110&lt;=regressions!$L$2,$B110*regressions!$L$1,regressions!$L$1*regressions!$L$2+regressions!$L$3*($B110-regressions!$L$2))</f>
        <v>-0.16595154472252585</v>
      </c>
      <c r="E110">
        <f>regressions!$J$1*B110+regressions!$J$2*B110^2</f>
        <v>-9.8220965282977107E-2</v>
      </c>
      <c r="F110">
        <f>regressions!$V$1*B110</f>
        <v>-0.16595154519102814</v>
      </c>
      <c r="G110">
        <f>regressions!$N$1*B110^2</f>
        <v>-7.5967686745576114E-3</v>
      </c>
      <c r="H110">
        <f>regressions!$R$1*B110^2+regressions!$R$2*B110^6</f>
        <v>-8.2742517287938289E-3</v>
      </c>
      <c r="I110">
        <f>regressions!$P$1*B110^2+regressions!$P$2*B110^7</f>
        <v>-8.0048055675676182E-3</v>
      </c>
      <c r="J110">
        <f>regressions!$T$2+regressions!$T$1*EXP(B110)</f>
        <v>-1.8145721214544927E-3</v>
      </c>
      <c r="K110" s="8">
        <f>(1-EXP(-2*regressions!$X$1*B110))/2/EXP(-regressions!$X$1*B110)</f>
        <v>-8.5087356052950758E-2</v>
      </c>
      <c r="M110" s="33">
        <v>0.20880190611047458</v>
      </c>
      <c r="N110">
        <f t="shared" si="21"/>
        <v>-8.2906401613597719E-2</v>
      </c>
      <c r="O110">
        <f>IF($B110&lt;=regressions!$L$2,$B110*regressions!$L$1,regressions!$L$1*regressions!$L$2+regressions!$L$3*($B110-regressions!$L$2))</f>
        <v>-0.16595154472252585</v>
      </c>
      <c r="P110">
        <f>regressions!$J$1*M110+regressions!$J$2*M110^2</f>
        <v>-9.8220965282977107E-2</v>
      </c>
      <c r="Q110">
        <f>regressions!$V$1*M110</f>
        <v>-0.16595154519102814</v>
      </c>
      <c r="R110">
        <f>regressions!$N$1*M110^2</f>
        <v>-7.5967686745576114E-3</v>
      </c>
      <c r="S110">
        <f>regressions!$R$1*M110^2+regressions!$R$2*M110^6</f>
        <v>-8.2742517287938289E-3</v>
      </c>
      <c r="T110">
        <f>regressions!$P$1*M110^2+regressions!$P$2*M110^7</f>
        <v>-8.0048055675676182E-3</v>
      </c>
      <c r="U110">
        <f>regressions!$T$2+regressions!$T$1*EXP(M110)</f>
        <v>-1.8145721214544927E-3</v>
      </c>
      <c r="V110" s="8">
        <f>(1-EXP(-2*regressions!$X$1*M110))/2/EXP(-regressions!$X$1*M110)</f>
        <v>-8.5087356052950758E-2</v>
      </c>
      <c r="X110" s="33">
        <v>0.20880190611047458</v>
      </c>
      <c r="Y110">
        <f t="shared" si="22"/>
        <v>-8.2906401613597719E-2</v>
      </c>
      <c r="Z110">
        <f>IF($B110&lt;=regressions!$L$2,$B110*regressions!$L$1,regressions!$L$1*regressions!$L$2+regressions!$L$3*($B110-regressions!$L$2))</f>
        <v>-0.16595154472252585</v>
      </c>
      <c r="AA110">
        <f>regressions!$J$1*X110+regressions!$J$2*X110^2</f>
        <v>-9.8220965282977107E-2</v>
      </c>
      <c r="AB110">
        <f>regressions!$V$1*X110</f>
        <v>-0.16595154519102814</v>
      </c>
      <c r="AC110">
        <f>regressions!$N$1*X110^2</f>
        <v>-7.5967686745576114E-3</v>
      </c>
      <c r="AD110">
        <f>regressions!$R$1*X110^2+regressions!$R$2*X110^6</f>
        <v>-8.2742517287938289E-3</v>
      </c>
      <c r="AE110">
        <f>regressions!$P$1*X110^2+regressions!$P$2*X110^7</f>
        <v>-8.0048055675676182E-3</v>
      </c>
      <c r="AF110">
        <f>regressions!$T$2+regressions!$T$1*EXP(X110)</f>
        <v>-1.8145721214544927E-3</v>
      </c>
      <c r="AG110" s="8">
        <f>(1-EXP(-2*regressions!$X$1*X110))/2/EXP(-regressions!$X$1*X110)</f>
        <v>-8.5087356052950758E-2</v>
      </c>
      <c r="AH110" s="8"/>
      <c r="AI110" s="33">
        <v>0.20880190611047458</v>
      </c>
      <c r="AJ110">
        <f t="shared" si="23"/>
        <v>-8.2906401613597719E-2</v>
      </c>
      <c r="AK110">
        <f>IF(AI110&lt;=regressions!$L$2,AI110*regressions!$L$1,regressions!$L$1*regressions!$L$2+regressions!$L$3*(AI110-regressions!$L$2))</f>
        <v>-0.16595154472252585</v>
      </c>
      <c r="AL110">
        <f>regressions!$J$1*AI110+regressions!$J$2*AI110^2</f>
        <v>-9.8220965282977107E-2</v>
      </c>
      <c r="AM110">
        <f>regressions!$V$1*AI110</f>
        <v>-0.16595154519102814</v>
      </c>
      <c r="AN110">
        <f>regressions!$N$1*AI110^2</f>
        <v>-7.5967686745576114E-3</v>
      </c>
      <c r="AO110">
        <f>regressions!$R$1*AI110^2+regressions!$R$2*AI110^6</f>
        <v>-8.2742517287938289E-3</v>
      </c>
      <c r="AP110">
        <f>regressions!$P$1*AI110^2+regressions!$P$2*AI110^7</f>
        <v>-8.0048055675676182E-3</v>
      </c>
      <c r="AQ110">
        <f>regressions!$T$2+regressions!$T$1*EXP(AI110)</f>
        <v>-1.8145721214544927E-3</v>
      </c>
      <c r="AR110" s="8">
        <f>(1-EXP(-2*regressions!$X$1*AI110))/2/EXP(-regressions!$X$1*AI110)</f>
        <v>-8.5087356052950758E-2</v>
      </c>
      <c r="AT110" s="33">
        <v>0.20880190611047458</v>
      </c>
      <c r="AU110">
        <f t="shared" si="24"/>
        <v>-8.2906401613597719E-2</v>
      </c>
      <c r="AV110">
        <f>IF(AT110&lt;=regressions!$L$2,AT110*regressions!$L$1,regressions!$L$1*regressions!$L$2+regressions!$L$3*(AT110-regressions!$L$2))</f>
        <v>-0.16595154472252585</v>
      </c>
      <c r="AW110">
        <f>regressions!$J$1*AT110+regressions!$J$2*AT110^2</f>
        <v>-9.8220965282977107E-2</v>
      </c>
      <c r="AX110">
        <f>regressions!$V$1*AT110</f>
        <v>-0.16595154519102814</v>
      </c>
      <c r="AY110">
        <f>regressions!$N$1*AT110^2</f>
        <v>-7.5967686745576114E-3</v>
      </c>
      <c r="AZ110">
        <f>regressions!$R$1*AT110^2+regressions!$R$2*AT110^6</f>
        <v>-8.2742517287938289E-3</v>
      </c>
      <c r="BA110">
        <f>regressions!$P$1*AT110^2+regressions!$P$2*AT110^7</f>
        <v>-8.0048055675676182E-3</v>
      </c>
      <c r="BB110">
        <f>regressions!$T$2+regressions!$T$1*EXP(AT110)</f>
        <v>-1.8145721214544927E-3</v>
      </c>
      <c r="BC110" s="8">
        <f>(1-EXP(-2*regressions!$X$1*AT110))/2/EXP(-regressions!$X$1*AT110)</f>
        <v>-8.5087356052950758E-2</v>
      </c>
      <c r="BE110">
        <f t="shared" si="25"/>
        <v>0</v>
      </c>
      <c r="BF110">
        <f t="shared" si="16"/>
        <v>0</v>
      </c>
      <c r="BG110">
        <f t="shared" si="17"/>
        <v>0</v>
      </c>
      <c r="BH110">
        <f>BG110+regressions!$AR$1*(AI110-B110)</f>
        <v>0</v>
      </c>
      <c r="BI110">
        <f>BG110-regressions!$AO$1*(AI110-B110)</f>
        <v>0</v>
      </c>
      <c r="BJ110">
        <f t="shared" si="18"/>
        <v>0</v>
      </c>
      <c r="BK110">
        <f>BJ110+regressions!$AR$1*(AT110-B110)</f>
        <v>0</v>
      </c>
      <c r="BL110">
        <f>BJ110-regressions!$AO$1*(AT110-B110)</f>
        <v>0</v>
      </c>
      <c r="BM110">
        <f t="shared" si="26"/>
        <v>0</v>
      </c>
      <c r="BN110">
        <f t="shared" si="19"/>
        <v>0</v>
      </c>
      <c r="BO110">
        <f t="shared" si="20"/>
        <v>0</v>
      </c>
      <c r="BP110">
        <f t="shared" si="27"/>
        <v>0</v>
      </c>
      <c r="BQ110">
        <f t="shared" si="28"/>
        <v>0</v>
      </c>
      <c r="BR110">
        <f t="shared" si="29"/>
        <v>0</v>
      </c>
    </row>
    <row r="111" spans="1:70" x14ac:dyDescent="0.35">
      <c r="A111">
        <v>1958</v>
      </c>
      <c r="B111" s="33">
        <v>0.21439086150272479</v>
      </c>
      <c r="C111">
        <f t="shared" si="30"/>
        <v>-8.5222758988861391E-2</v>
      </c>
      <c r="D111">
        <f>IF($B111&lt;=regressions!$L$2,$B111*regressions!$L$1,regressions!$L$1*regressions!$L$2+regressions!$L$3*($B111-regressions!$L$2))</f>
        <v>-0.17039353377332736</v>
      </c>
      <c r="E111">
        <f>regressions!$J$1*B111+regressions!$J$2*B111^2</f>
        <v>-0.1009479591690684</v>
      </c>
      <c r="F111">
        <f>regressions!$V$1*B111</f>
        <v>-0.17039353425436995</v>
      </c>
      <c r="G111">
        <f>regressions!$N$1*B111^2</f>
        <v>-8.0088935838566553E-3</v>
      </c>
      <c r="H111">
        <f>regressions!$R$1*B111^2+regressions!$R$2*B111^6</f>
        <v>-8.7231300052281052E-3</v>
      </c>
      <c r="I111">
        <f>regressions!$P$1*B111^2+regressions!$P$2*B111^7</f>
        <v>-8.4390664869841633E-3</v>
      </c>
      <c r="J111">
        <f>regressions!$T$2+regressions!$T$1*EXP(B111)</f>
        <v>-1.8685401704326404E-3</v>
      </c>
      <c r="K111" s="8">
        <f>(1-EXP(-2*regressions!$X$1*B111))/2/EXP(-regressions!$X$1*B111)</f>
        <v>-8.7370573440699512E-2</v>
      </c>
      <c r="M111" s="33">
        <v>0.21439086150272479</v>
      </c>
      <c r="N111">
        <f t="shared" si="21"/>
        <v>-8.5222758988861391E-2</v>
      </c>
      <c r="O111">
        <f>IF($B111&lt;=regressions!$L$2,$B111*regressions!$L$1,regressions!$L$1*regressions!$L$2+regressions!$L$3*($B111-regressions!$L$2))</f>
        <v>-0.17039353377332736</v>
      </c>
      <c r="P111">
        <f>regressions!$J$1*M111+regressions!$J$2*M111^2</f>
        <v>-0.1009479591690684</v>
      </c>
      <c r="Q111">
        <f>regressions!$V$1*M111</f>
        <v>-0.17039353425436995</v>
      </c>
      <c r="R111">
        <f>regressions!$N$1*M111^2</f>
        <v>-8.0088935838566553E-3</v>
      </c>
      <c r="S111">
        <f>regressions!$R$1*M111^2+regressions!$R$2*M111^6</f>
        <v>-8.7231300052281052E-3</v>
      </c>
      <c r="T111">
        <f>regressions!$P$1*M111^2+regressions!$P$2*M111^7</f>
        <v>-8.4390664869841633E-3</v>
      </c>
      <c r="U111">
        <f>regressions!$T$2+regressions!$T$1*EXP(M111)</f>
        <v>-1.8685401704326404E-3</v>
      </c>
      <c r="V111" s="8">
        <f>(1-EXP(-2*regressions!$X$1*M111))/2/EXP(-regressions!$X$1*M111)</f>
        <v>-8.7370573440699512E-2</v>
      </c>
      <c r="X111" s="33">
        <v>0.21439086150272479</v>
      </c>
      <c r="Y111">
        <f t="shared" si="22"/>
        <v>-8.5222758988861391E-2</v>
      </c>
      <c r="Z111">
        <f>IF($B111&lt;=regressions!$L$2,$B111*regressions!$L$1,regressions!$L$1*regressions!$L$2+regressions!$L$3*($B111-regressions!$L$2))</f>
        <v>-0.17039353377332736</v>
      </c>
      <c r="AA111">
        <f>regressions!$J$1*X111+regressions!$J$2*X111^2</f>
        <v>-0.1009479591690684</v>
      </c>
      <c r="AB111">
        <f>regressions!$V$1*X111</f>
        <v>-0.17039353425436995</v>
      </c>
      <c r="AC111">
        <f>regressions!$N$1*X111^2</f>
        <v>-8.0088935838566553E-3</v>
      </c>
      <c r="AD111">
        <f>regressions!$R$1*X111^2+regressions!$R$2*X111^6</f>
        <v>-8.7231300052281052E-3</v>
      </c>
      <c r="AE111">
        <f>regressions!$P$1*X111^2+regressions!$P$2*X111^7</f>
        <v>-8.4390664869841633E-3</v>
      </c>
      <c r="AF111">
        <f>regressions!$T$2+regressions!$T$1*EXP(X111)</f>
        <v>-1.8685401704326404E-3</v>
      </c>
      <c r="AG111" s="8">
        <f>(1-EXP(-2*regressions!$X$1*X111))/2/EXP(-regressions!$X$1*X111)</f>
        <v>-8.7370573440699512E-2</v>
      </c>
      <c r="AH111" s="8"/>
      <c r="AI111" s="33">
        <v>0.21439086150272479</v>
      </c>
      <c r="AJ111">
        <f t="shared" si="23"/>
        <v>-8.5222758988861391E-2</v>
      </c>
      <c r="AK111">
        <f>IF(AI111&lt;=regressions!$L$2,AI111*regressions!$L$1,regressions!$L$1*regressions!$L$2+regressions!$L$3*(AI111-regressions!$L$2))</f>
        <v>-0.17039353377332736</v>
      </c>
      <c r="AL111">
        <f>regressions!$J$1*AI111+regressions!$J$2*AI111^2</f>
        <v>-0.1009479591690684</v>
      </c>
      <c r="AM111">
        <f>regressions!$V$1*AI111</f>
        <v>-0.17039353425436995</v>
      </c>
      <c r="AN111">
        <f>regressions!$N$1*AI111^2</f>
        <v>-8.0088935838566553E-3</v>
      </c>
      <c r="AO111">
        <f>regressions!$R$1*AI111^2+regressions!$R$2*AI111^6</f>
        <v>-8.7231300052281052E-3</v>
      </c>
      <c r="AP111">
        <f>regressions!$P$1*AI111^2+regressions!$P$2*AI111^7</f>
        <v>-8.4390664869841633E-3</v>
      </c>
      <c r="AQ111">
        <f>regressions!$T$2+regressions!$T$1*EXP(AI111)</f>
        <v>-1.8685401704326404E-3</v>
      </c>
      <c r="AR111" s="8">
        <f>(1-EXP(-2*regressions!$X$1*AI111))/2/EXP(-regressions!$X$1*AI111)</f>
        <v>-8.7370573440699512E-2</v>
      </c>
      <c r="AT111" s="33">
        <v>0.21439086150272479</v>
      </c>
      <c r="AU111">
        <f t="shared" si="24"/>
        <v>-8.5222758988861391E-2</v>
      </c>
      <c r="AV111">
        <f>IF(AT111&lt;=regressions!$L$2,AT111*regressions!$L$1,regressions!$L$1*regressions!$L$2+regressions!$L$3*(AT111-regressions!$L$2))</f>
        <v>-0.17039353377332736</v>
      </c>
      <c r="AW111">
        <f>regressions!$J$1*AT111+regressions!$J$2*AT111^2</f>
        <v>-0.1009479591690684</v>
      </c>
      <c r="AX111">
        <f>regressions!$V$1*AT111</f>
        <v>-0.17039353425436995</v>
      </c>
      <c r="AY111">
        <f>regressions!$N$1*AT111^2</f>
        <v>-8.0088935838566553E-3</v>
      </c>
      <c r="AZ111">
        <f>regressions!$R$1*AT111^2+regressions!$R$2*AT111^6</f>
        <v>-8.7231300052281052E-3</v>
      </c>
      <c r="BA111">
        <f>regressions!$P$1*AT111^2+regressions!$P$2*AT111^7</f>
        <v>-8.4390664869841633E-3</v>
      </c>
      <c r="BB111">
        <f>regressions!$T$2+regressions!$T$1*EXP(AT111)</f>
        <v>-1.8685401704326404E-3</v>
      </c>
      <c r="BC111" s="8">
        <f>(1-EXP(-2*regressions!$X$1*AT111))/2/EXP(-regressions!$X$1*AT111)</f>
        <v>-8.7370573440699512E-2</v>
      </c>
      <c r="BE111">
        <f t="shared" si="25"/>
        <v>0</v>
      </c>
      <c r="BF111">
        <f t="shared" si="16"/>
        <v>0</v>
      </c>
      <c r="BG111">
        <f t="shared" si="17"/>
        <v>0</v>
      </c>
      <c r="BH111">
        <f>BG111+regressions!$AR$1*(AI111-B111)</f>
        <v>0</v>
      </c>
      <c r="BI111">
        <f>BG111-regressions!$AO$1*(AI111-B111)</f>
        <v>0</v>
      </c>
      <c r="BJ111">
        <f t="shared" si="18"/>
        <v>0</v>
      </c>
      <c r="BK111">
        <f>BJ111+regressions!$AR$1*(AT111-B111)</f>
        <v>0</v>
      </c>
      <c r="BL111">
        <f>BJ111-regressions!$AO$1*(AT111-B111)</f>
        <v>0</v>
      </c>
      <c r="BM111">
        <f t="shared" si="26"/>
        <v>0</v>
      </c>
      <c r="BN111">
        <f t="shared" si="19"/>
        <v>0</v>
      </c>
      <c r="BO111">
        <f t="shared" si="20"/>
        <v>0</v>
      </c>
      <c r="BP111">
        <f t="shared" si="27"/>
        <v>0</v>
      </c>
      <c r="BQ111">
        <f t="shared" si="28"/>
        <v>0</v>
      </c>
      <c r="BR111">
        <f t="shared" si="29"/>
        <v>0</v>
      </c>
    </row>
    <row r="112" spans="1:70" x14ac:dyDescent="0.35">
      <c r="A112">
        <v>1959</v>
      </c>
      <c r="B112" s="33">
        <v>0.22017521954962055</v>
      </c>
      <c r="C112">
        <f t="shared" si="30"/>
        <v>-8.7625467613732383E-2</v>
      </c>
      <c r="D112">
        <f>IF($B112&lt;=regressions!$L$2,$B112*regressions!$L$1,regressions!$L$1*regressions!$L$2+regressions!$L$3*($B112-regressions!$L$2))</f>
        <v>-0.17499082491396778</v>
      </c>
      <c r="E112">
        <f>regressions!$J$1*B112+regressions!$J$2*B112^2</f>
        <v>-0.10377567201045428</v>
      </c>
      <c r="F112">
        <f>regressions!$V$1*B112</f>
        <v>-0.17499082540798913</v>
      </c>
      <c r="G112">
        <f>regressions!$N$1*B112^2</f>
        <v>-8.4468904240208188E-3</v>
      </c>
      <c r="H112">
        <f>regressions!$R$1*B112^2+regressions!$R$2*B112^6</f>
        <v>-9.2001874569397849E-3</v>
      </c>
      <c r="I112">
        <f>regressions!$P$1*B112^2+regressions!$P$2*B112^7</f>
        <v>-8.9005889671944175E-3</v>
      </c>
      <c r="J112">
        <f>regressions!$T$2+regressions!$T$1*EXP(B112)</f>
        <v>-1.9247136034039394E-3</v>
      </c>
      <c r="K112" s="8">
        <f>(1-EXP(-2*regressions!$X$1*B112))/2/EXP(-regressions!$X$1*B112)</f>
        <v>-8.9734093566614131E-2</v>
      </c>
      <c r="M112" s="33">
        <v>0.22017521954962055</v>
      </c>
      <c r="N112">
        <f t="shared" si="21"/>
        <v>-8.7625467613732383E-2</v>
      </c>
      <c r="O112">
        <f>IF($B112&lt;=regressions!$L$2,$B112*regressions!$L$1,regressions!$L$1*regressions!$L$2+regressions!$L$3*($B112-regressions!$L$2))</f>
        <v>-0.17499082491396778</v>
      </c>
      <c r="P112">
        <f>regressions!$J$1*M112+regressions!$J$2*M112^2</f>
        <v>-0.10377567201045428</v>
      </c>
      <c r="Q112">
        <f>regressions!$V$1*M112</f>
        <v>-0.17499082540798913</v>
      </c>
      <c r="R112">
        <f>regressions!$N$1*M112^2</f>
        <v>-8.4468904240208188E-3</v>
      </c>
      <c r="S112">
        <f>regressions!$R$1*M112^2+regressions!$R$2*M112^6</f>
        <v>-9.2001874569397849E-3</v>
      </c>
      <c r="T112">
        <f>regressions!$P$1*M112^2+regressions!$P$2*M112^7</f>
        <v>-8.9005889671944175E-3</v>
      </c>
      <c r="U112">
        <f>regressions!$T$2+regressions!$T$1*EXP(M112)</f>
        <v>-1.9247136034039394E-3</v>
      </c>
      <c r="V112" s="8">
        <f>(1-EXP(-2*regressions!$X$1*M112))/2/EXP(-regressions!$X$1*M112)</f>
        <v>-8.9734093566614131E-2</v>
      </c>
      <c r="X112" s="33">
        <v>0.22017521954962055</v>
      </c>
      <c r="Y112">
        <f t="shared" si="22"/>
        <v>-8.7625467613732383E-2</v>
      </c>
      <c r="Z112">
        <f>IF($B112&lt;=regressions!$L$2,$B112*regressions!$L$1,regressions!$L$1*regressions!$L$2+regressions!$L$3*($B112-regressions!$L$2))</f>
        <v>-0.17499082491396778</v>
      </c>
      <c r="AA112">
        <f>regressions!$J$1*X112+regressions!$J$2*X112^2</f>
        <v>-0.10377567201045428</v>
      </c>
      <c r="AB112">
        <f>regressions!$V$1*X112</f>
        <v>-0.17499082540798913</v>
      </c>
      <c r="AC112">
        <f>regressions!$N$1*X112^2</f>
        <v>-8.4468904240208188E-3</v>
      </c>
      <c r="AD112">
        <f>regressions!$R$1*X112^2+regressions!$R$2*X112^6</f>
        <v>-9.2001874569397849E-3</v>
      </c>
      <c r="AE112">
        <f>regressions!$P$1*X112^2+regressions!$P$2*X112^7</f>
        <v>-8.9005889671944175E-3</v>
      </c>
      <c r="AF112">
        <f>regressions!$T$2+regressions!$T$1*EXP(X112)</f>
        <v>-1.9247136034039394E-3</v>
      </c>
      <c r="AG112" s="8">
        <f>(1-EXP(-2*regressions!$X$1*X112))/2/EXP(-regressions!$X$1*X112)</f>
        <v>-8.9734093566614131E-2</v>
      </c>
      <c r="AH112" s="8"/>
      <c r="AI112" s="33">
        <v>0.22017521954962055</v>
      </c>
      <c r="AJ112">
        <f t="shared" si="23"/>
        <v>-8.7625467613732383E-2</v>
      </c>
      <c r="AK112">
        <f>IF(AI112&lt;=regressions!$L$2,AI112*regressions!$L$1,regressions!$L$1*regressions!$L$2+regressions!$L$3*(AI112-regressions!$L$2))</f>
        <v>-0.17499082491396778</v>
      </c>
      <c r="AL112">
        <f>regressions!$J$1*AI112+regressions!$J$2*AI112^2</f>
        <v>-0.10377567201045428</v>
      </c>
      <c r="AM112">
        <f>regressions!$V$1*AI112</f>
        <v>-0.17499082540798913</v>
      </c>
      <c r="AN112">
        <f>regressions!$N$1*AI112^2</f>
        <v>-8.4468904240208188E-3</v>
      </c>
      <c r="AO112">
        <f>regressions!$R$1*AI112^2+regressions!$R$2*AI112^6</f>
        <v>-9.2001874569397849E-3</v>
      </c>
      <c r="AP112">
        <f>regressions!$P$1*AI112^2+regressions!$P$2*AI112^7</f>
        <v>-8.9005889671944175E-3</v>
      </c>
      <c r="AQ112">
        <f>regressions!$T$2+regressions!$T$1*EXP(AI112)</f>
        <v>-1.9247136034039394E-3</v>
      </c>
      <c r="AR112" s="8">
        <f>(1-EXP(-2*regressions!$X$1*AI112))/2/EXP(-regressions!$X$1*AI112)</f>
        <v>-8.9734093566614131E-2</v>
      </c>
      <c r="AT112" s="33">
        <v>0.22017521954962055</v>
      </c>
      <c r="AU112">
        <f t="shared" si="24"/>
        <v>-8.7625467613732383E-2</v>
      </c>
      <c r="AV112">
        <f>IF(AT112&lt;=regressions!$L$2,AT112*regressions!$L$1,regressions!$L$1*regressions!$L$2+regressions!$L$3*(AT112-regressions!$L$2))</f>
        <v>-0.17499082491396778</v>
      </c>
      <c r="AW112">
        <f>regressions!$J$1*AT112+regressions!$J$2*AT112^2</f>
        <v>-0.10377567201045428</v>
      </c>
      <c r="AX112">
        <f>regressions!$V$1*AT112</f>
        <v>-0.17499082540798913</v>
      </c>
      <c r="AY112">
        <f>regressions!$N$1*AT112^2</f>
        <v>-8.4468904240208188E-3</v>
      </c>
      <c r="AZ112">
        <f>regressions!$R$1*AT112^2+regressions!$R$2*AT112^6</f>
        <v>-9.2001874569397849E-3</v>
      </c>
      <c r="BA112">
        <f>regressions!$P$1*AT112^2+regressions!$P$2*AT112^7</f>
        <v>-8.9005889671944175E-3</v>
      </c>
      <c r="BB112">
        <f>regressions!$T$2+regressions!$T$1*EXP(AT112)</f>
        <v>-1.9247136034039394E-3</v>
      </c>
      <c r="BC112" s="8">
        <f>(1-EXP(-2*regressions!$X$1*AT112))/2/EXP(-regressions!$X$1*AT112)</f>
        <v>-8.9734093566614131E-2</v>
      </c>
      <c r="BE112">
        <f t="shared" si="25"/>
        <v>0</v>
      </c>
      <c r="BF112">
        <f t="shared" si="16"/>
        <v>0</v>
      </c>
      <c r="BG112">
        <f t="shared" si="17"/>
        <v>0</v>
      </c>
      <c r="BH112">
        <f>BG112+regressions!$AR$1*(AI112-B112)</f>
        <v>0</v>
      </c>
      <c r="BI112">
        <f>BG112-regressions!$AO$1*(AI112-B112)</f>
        <v>0</v>
      </c>
      <c r="BJ112">
        <f t="shared" si="18"/>
        <v>0</v>
      </c>
      <c r="BK112">
        <f>BJ112+regressions!$AR$1*(AT112-B112)</f>
        <v>0</v>
      </c>
      <c r="BL112">
        <f>BJ112-regressions!$AO$1*(AT112-B112)</f>
        <v>0</v>
      </c>
      <c r="BM112">
        <f t="shared" si="26"/>
        <v>0</v>
      </c>
      <c r="BN112">
        <f t="shared" si="19"/>
        <v>0</v>
      </c>
      <c r="BO112">
        <f t="shared" si="20"/>
        <v>0</v>
      </c>
      <c r="BP112">
        <f t="shared" si="27"/>
        <v>0</v>
      </c>
      <c r="BQ112">
        <f t="shared" si="28"/>
        <v>0</v>
      </c>
      <c r="BR112">
        <f t="shared" si="29"/>
        <v>0</v>
      </c>
    </row>
    <row r="113" spans="1:70" x14ac:dyDescent="0.35">
      <c r="A113">
        <v>1960</v>
      </c>
      <c r="B113" s="33">
        <v>0.22617113381987539</v>
      </c>
      <c r="C113">
        <f t="shared" si="30"/>
        <v>-9.0121816331314178E-2</v>
      </c>
      <c r="D113">
        <f>IF($B113&lt;=regressions!$L$2,$B113*regressions!$L$1,regressions!$L$1*regressions!$L$2+regressions!$L$3*($B113-regressions!$L$2))</f>
        <v>-0.17975625667514228</v>
      </c>
      <c r="E113">
        <f>regressions!$J$1*B113+regressions!$J$2*B113^2</f>
        <v>-0.10671257829836436</v>
      </c>
      <c r="F113">
        <f>regressions!$V$1*B113</f>
        <v>-0.17975625718261704</v>
      </c>
      <c r="G113">
        <f>regressions!$N$1*B113^2</f>
        <v>-8.9132140184501763E-3</v>
      </c>
      <c r="H113">
        <f>regressions!$R$1*B113^2+regressions!$R$2*B113^6</f>
        <v>-9.708097824053092E-3</v>
      </c>
      <c r="I113">
        <f>regressions!$P$1*B113^2+regressions!$P$2*B113^7</f>
        <v>-9.3919596846645872E-3</v>
      </c>
      <c r="J113">
        <f>regressions!$T$2+regressions!$T$1*EXP(B113)</f>
        <v>-1.9832855033567014E-3</v>
      </c>
      <c r="K113" s="8">
        <f>(1-EXP(-2*regressions!$X$1*B113))/2/EXP(-regressions!$X$1*B113)</f>
        <v>-9.2184581877349028E-2</v>
      </c>
      <c r="M113" s="33">
        <v>0.22617113381987539</v>
      </c>
      <c r="N113">
        <f t="shared" si="21"/>
        <v>-9.0121816331314178E-2</v>
      </c>
      <c r="O113">
        <f>IF($B113&lt;=regressions!$L$2,$B113*regressions!$L$1,regressions!$L$1*regressions!$L$2+regressions!$L$3*($B113-regressions!$L$2))</f>
        <v>-0.17975625667514228</v>
      </c>
      <c r="P113">
        <f>regressions!$J$1*M113+regressions!$J$2*M113^2</f>
        <v>-0.10671257829836436</v>
      </c>
      <c r="Q113">
        <f>regressions!$V$1*M113</f>
        <v>-0.17975625718261704</v>
      </c>
      <c r="R113">
        <f>regressions!$N$1*M113^2</f>
        <v>-8.9132140184501763E-3</v>
      </c>
      <c r="S113">
        <f>regressions!$R$1*M113^2+regressions!$R$2*M113^6</f>
        <v>-9.708097824053092E-3</v>
      </c>
      <c r="T113">
        <f>regressions!$P$1*M113^2+regressions!$P$2*M113^7</f>
        <v>-9.3919596846645872E-3</v>
      </c>
      <c r="U113">
        <f>regressions!$T$2+regressions!$T$1*EXP(M113)</f>
        <v>-1.9832855033567014E-3</v>
      </c>
      <c r="V113" s="8">
        <f>(1-EXP(-2*regressions!$X$1*M113))/2/EXP(-regressions!$X$1*M113)</f>
        <v>-9.2184581877349028E-2</v>
      </c>
      <c r="X113" s="33">
        <v>0.22617113381987539</v>
      </c>
      <c r="Y113">
        <f t="shared" si="22"/>
        <v>-9.0121816331314178E-2</v>
      </c>
      <c r="Z113">
        <f>IF($B113&lt;=regressions!$L$2,$B113*regressions!$L$1,regressions!$L$1*regressions!$L$2+regressions!$L$3*($B113-regressions!$L$2))</f>
        <v>-0.17975625667514228</v>
      </c>
      <c r="AA113">
        <f>regressions!$J$1*X113+regressions!$J$2*X113^2</f>
        <v>-0.10671257829836436</v>
      </c>
      <c r="AB113">
        <f>regressions!$V$1*X113</f>
        <v>-0.17975625718261704</v>
      </c>
      <c r="AC113">
        <f>regressions!$N$1*X113^2</f>
        <v>-8.9132140184501763E-3</v>
      </c>
      <c r="AD113">
        <f>regressions!$R$1*X113^2+regressions!$R$2*X113^6</f>
        <v>-9.708097824053092E-3</v>
      </c>
      <c r="AE113">
        <f>regressions!$P$1*X113^2+regressions!$P$2*X113^7</f>
        <v>-9.3919596846645872E-3</v>
      </c>
      <c r="AF113">
        <f>regressions!$T$2+regressions!$T$1*EXP(X113)</f>
        <v>-1.9832855033567014E-3</v>
      </c>
      <c r="AG113" s="8">
        <f>(1-EXP(-2*regressions!$X$1*X113))/2/EXP(-regressions!$X$1*X113)</f>
        <v>-9.2184581877349028E-2</v>
      </c>
      <c r="AH113" s="8"/>
      <c r="AI113" s="33">
        <v>0.22617113381987539</v>
      </c>
      <c r="AJ113">
        <f t="shared" si="23"/>
        <v>-9.0121816331314178E-2</v>
      </c>
      <c r="AK113">
        <f>IF(AI113&lt;=regressions!$L$2,AI113*regressions!$L$1,regressions!$L$1*regressions!$L$2+regressions!$L$3*(AI113-regressions!$L$2))</f>
        <v>-0.17975625667514228</v>
      </c>
      <c r="AL113">
        <f>regressions!$J$1*AI113+regressions!$J$2*AI113^2</f>
        <v>-0.10671257829836436</v>
      </c>
      <c r="AM113">
        <f>regressions!$V$1*AI113</f>
        <v>-0.17975625718261704</v>
      </c>
      <c r="AN113">
        <f>regressions!$N$1*AI113^2</f>
        <v>-8.9132140184501763E-3</v>
      </c>
      <c r="AO113">
        <f>regressions!$R$1*AI113^2+regressions!$R$2*AI113^6</f>
        <v>-9.708097824053092E-3</v>
      </c>
      <c r="AP113">
        <f>regressions!$P$1*AI113^2+regressions!$P$2*AI113^7</f>
        <v>-9.3919596846645872E-3</v>
      </c>
      <c r="AQ113">
        <f>regressions!$T$2+regressions!$T$1*EXP(AI113)</f>
        <v>-1.9832855033567014E-3</v>
      </c>
      <c r="AR113" s="8">
        <f>(1-EXP(-2*regressions!$X$1*AI113))/2/EXP(-regressions!$X$1*AI113)</f>
        <v>-9.2184581877349028E-2</v>
      </c>
      <c r="AT113" s="33">
        <v>0.22617113381987539</v>
      </c>
      <c r="AU113">
        <f t="shared" si="24"/>
        <v>-9.0121816331314178E-2</v>
      </c>
      <c r="AV113">
        <f>IF(AT113&lt;=regressions!$L$2,AT113*regressions!$L$1,regressions!$L$1*regressions!$L$2+regressions!$L$3*(AT113-regressions!$L$2))</f>
        <v>-0.17975625667514228</v>
      </c>
      <c r="AW113">
        <f>regressions!$J$1*AT113+regressions!$J$2*AT113^2</f>
        <v>-0.10671257829836436</v>
      </c>
      <c r="AX113">
        <f>regressions!$V$1*AT113</f>
        <v>-0.17975625718261704</v>
      </c>
      <c r="AY113">
        <f>regressions!$N$1*AT113^2</f>
        <v>-8.9132140184501763E-3</v>
      </c>
      <c r="AZ113">
        <f>regressions!$R$1*AT113^2+regressions!$R$2*AT113^6</f>
        <v>-9.708097824053092E-3</v>
      </c>
      <c r="BA113">
        <f>regressions!$P$1*AT113^2+regressions!$P$2*AT113^7</f>
        <v>-9.3919596846645872E-3</v>
      </c>
      <c r="BB113">
        <f>regressions!$T$2+regressions!$T$1*EXP(AT113)</f>
        <v>-1.9832855033567014E-3</v>
      </c>
      <c r="BC113" s="8">
        <f>(1-EXP(-2*regressions!$X$1*AT113))/2/EXP(-regressions!$X$1*AT113)</f>
        <v>-9.2184581877349028E-2</v>
      </c>
      <c r="BE113">
        <f t="shared" si="25"/>
        <v>0</v>
      </c>
      <c r="BF113">
        <f t="shared" si="16"/>
        <v>0</v>
      </c>
      <c r="BG113">
        <f t="shared" si="17"/>
        <v>0</v>
      </c>
      <c r="BH113">
        <f>BG113+regressions!$AR$1*(AI113-B113)</f>
        <v>0</v>
      </c>
      <c r="BI113">
        <f>BG113-regressions!$AO$1*(AI113-B113)</f>
        <v>0</v>
      </c>
      <c r="BJ113">
        <f t="shared" si="18"/>
        <v>0</v>
      </c>
      <c r="BK113">
        <f>BJ113+regressions!$AR$1*(AT113-B113)</f>
        <v>0</v>
      </c>
      <c r="BL113">
        <f>BJ113-regressions!$AO$1*(AT113-B113)</f>
        <v>0</v>
      </c>
      <c r="BM113">
        <f t="shared" si="26"/>
        <v>0</v>
      </c>
      <c r="BN113">
        <f t="shared" si="19"/>
        <v>0</v>
      </c>
      <c r="BO113">
        <f t="shared" si="20"/>
        <v>0</v>
      </c>
      <c r="BP113">
        <f t="shared" si="27"/>
        <v>0</v>
      </c>
      <c r="BQ113">
        <f t="shared" si="28"/>
        <v>0</v>
      </c>
      <c r="BR113">
        <f t="shared" si="29"/>
        <v>0</v>
      </c>
    </row>
    <row r="114" spans="1:70" x14ac:dyDescent="0.35">
      <c r="A114">
        <v>1961</v>
      </c>
      <c r="B114" s="33">
        <v>0.23239110879129998</v>
      </c>
      <c r="C114">
        <f t="shared" si="30"/>
        <v>-9.2717653811033751E-2</v>
      </c>
      <c r="D114">
        <f>IF($B114&lt;=regressions!$L$2,$B114*regressions!$L$1,regressions!$L$1*regressions!$L$2+regressions!$L$3*($B114-regressions!$L$2))</f>
        <v>-0.18469976736367605</v>
      </c>
      <c r="E114">
        <f>regressions!$J$1*B114+regressions!$J$2*B114^2</f>
        <v>-0.10976544383853989</v>
      </c>
      <c r="F114">
        <f>regressions!$V$1*B114</f>
        <v>-0.18469976788510697</v>
      </c>
      <c r="G114">
        <f>regressions!$N$1*B114^2</f>
        <v>-9.4102031758692244E-3</v>
      </c>
      <c r="H114">
        <f>regressions!$R$1*B114^2+regressions!$R$2*B114^6</f>
        <v>-1.0249408484668576E-2</v>
      </c>
      <c r="I114">
        <f>regressions!$P$1*B114^2+regressions!$P$2*B114^7</f>
        <v>-9.9156430697767174E-3</v>
      </c>
      <c r="J114">
        <f>regressions!$T$2+regressions!$T$1*EXP(B114)</f>
        <v>-2.044418436062477E-3</v>
      </c>
      <c r="K114" s="8">
        <f>(1-EXP(-2*regressions!$X$1*B114))/2/EXP(-regressions!$X$1*B114)</f>
        <v>-9.4727222598585861E-2</v>
      </c>
      <c r="M114" s="33">
        <v>0.23239110879129998</v>
      </c>
      <c r="N114">
        <f t="shared" si="21"/>
        <v>-9.2717653811033751E-2</v>
      </c>
      <c r="O114">
        <f>IF($B114&lt;=regressions!$L$2,$B114*regressions!$L$1,regressions!$L$1*regressions!$L$2+regressions!$L$3*($B114-regressions!$L$2))</f>
        <v>-0.18469976736367605</v>
      </c>
      <c r="P114">
        <f>regressions!$J$1*M114+regressions!$J$2*M114^2</f>
        <v>-0.10976544383853989</v>
      </c>
      <c r="Q114">
        <f>regressions!$V$1*M114</f>
        <v>-0.18469976788510697</v>
      </c>
      <c r="R114">
        <f>regressions!$N$1*M114^2</f>
        <v>-9.4102031758692244E-3</v>
      </c>
      <c r="S114">
        <f>regressions!$R$1*M114^2+regressions!$R$2*M114^6</f>
        <v>-1.0249408484668576E-2</v>
      </c>
      <c r="T114">
        <f>regressions!$P$1*M114^2+regressions!$P$2*M114^7</f>
        <v>-9.9156430697767174E-3</v>
      </c>
      <c r="U114">
        <f>regressions!$T$2+regressions!$T$1*EXP(M114)</f>
        <v>-2.044418436062477E-3</v>
      </c>
      <c r="V114" s="8">
        <f>(1-EXP(-2*regressions!$X$1*M114))/2/EXP(-regressions!$X$1*M114)</f>
        <v>-9.4727222598585861E-2</v>
      </c>
      <c r="X114" s="33">
        <v>0.23239110879129998</v>
      </c>
      <c r="Y114">
        <f t="shared" si="22"/>
        <v>-9.2717653811033751E-2</v>
      </c>
      <c r="Z114">
        <f>IF($B114&lt;=regressions!$L$2,$B114*regressions!$L$1,regressions!$L$1*regressions!$L$2+regressions!$L$3*($B114-regressions!$L$2))</f>
        <v>-0.18469976736367605</v>
      </c>
      <c r="AA114">
        <f>regressions!$J$1*X114+regressions!$J$2*X114^2</f>
        <v>-0.10976544383853989</v>
      </c>
      <c r="AB114">
        <f>regressions!$V$1*X114</f>
        <v>-0.18469976788510697</v>
      </c>
      <c r="AC114">
        <f>regressions!$N$1*X114^2</f>
        <v>-9.4102031758692244E-3</v>
      </c>
      <c r="AD114">
        <f>regressions!$R$1*X114^2+regressions!$R$2*X114^6</f>
        <v>-1.0249408484668576E-2</v>
      </c>
      <c r="AE114">
        <f>regressions!$P$1*X114^2+regressions!$P$2*X114^7</f>
        <v>-9.9156430697767174E-3</v>
      </c>
      <c r="AF114">
        <f>regressions!$T$2+regressions!$T$1*EXP(X114)</f>
        <v>-2.044418436062477E-3</v>
      </c>
      <c r="AG114" s="8">
        <f>(1-EXP(-2*regressions!$X$1*X114))/2/EXP(-regressions!$X$1*X114)</f>
        <v>-9.4727222598585861E-2</v>
      </c>
      <c r="AH114" s="8"/>
      <c r="AI114" s="33">
        <v>0.23239110879129998</v>
      </c>
      <c r="AJ114">
        <f t="shared" si="23"/>
        <v>-9.2717653811033751E-2</v>
      </c>
      <c r="AK114">
        <f>IF(AI114&lt;=regressions!$L$2,AI114*regressions!$L$1,regressions!$L$1*regressions!$L$2+regressions!$L$3*(AI114-regressions!$L$2))</f>
        <v>-0.18469976736367605</v>
      </c>
      <c r="AL114">
        <f>regressions!$J$1*AI114+regressions!$J$2*AI114^2</f>
        <v>-0.10976544383853989</v>
      </c>
      <c r="AM114">
        <f>regressions!$V$1*AI114</f>
        <v>-0.18469976788510697</v>
      </c>
      <c r="AN114">
        <f>regressions!$N$1*AI114^2</f>
        <v>-9.4102031758692244E-3</v>
      </c>
      <c r="AO114">
        <f>regressions!$R$1*AI114^2+regressions!$R$2*AI114^6</f>
        <v>-1.0249408484668576E-2</v>
      </c>
      <c r="AP114">
        <f>regressions!$P$1*AI114^2+regressions!$P$2*AI114^7</f>
        <v>-9.9156430697767174E-3</v>
      </c>
      <c r="AQ114">
        <f>regressions!$T$2+regressions!$T$1*EXP(AI114)</f>
        <v>-2.044418436062477E-3</v>
      </c>
      <c r="AR114" s="8">
        <f>(1-EXP(-2*regressions!$X$1*AI114))/2/EXP(-regressions!$X$1*AI114)</f>
        <v>-9.4727222598585861E-2</v>
      </c>
      <c r="AT114" s="33">
        <v>0.23239110879129998</v>
      </c>
      <c r="AU114">
        <f t="shared" si="24"/>
        <v>-9.2717653811033751E-2</v>
      </c>
      <c r="AV114">
        <f>IF(AT114&lt;=regressions!$L$2,AT114*regressions!$L$1,regressions!$L$1*regressions!$L$2+regressions!$L$3*(AT114-regressions!$L$2))</f>
        <v>-0.18469976736367605</v>
      </c>
      <c r="AW114">
        <f>regressions!$J$1*AT114+regressions!$J$2*AT114^2</f>
        <v>-0.10976544383853989</v>
      </c>
      <c r="AX114">
        <f>regressions!$V$1*AT114</f>
        <v>-0.18469976788510697</v>
      </c>
      <c r="AY114">
        <f>regressions!$N$1*AT114^2</f>
        <v>-9.4102031758692244E-3</v>
      </c>
      <c r="AZ114">
        <f>regressions!$R$1*AT114^2+regressions!$R$2*AT114^6</f>
        <v>-1.0249408484668576E-2</v>
      </c>
      <c r="BA114">
        <f>regressions!$P$1*AT114^2+regressions!$P$2*AT114^7</f>
        <v>-9.9156430697767174E-3</v>
      </c>
      <c r="BB114">
        <f>regressions!$T$2+regressions!$T$1*EXP(AT114)</f>
        <v>-2.044418436062477E-3</v>
      </c>
      <c r="BC114" s="8">
        <f>(1-EXP(-2*regressions!$X$1*AT114))/2/EXP(-regressions!$X$1*AT114)</f>
        <v>-9.4727222598585861E-2</v>
      </c>
      <c r="BE114">
        <f t="shared" si="25"/>
        <v>0</v>
      </c>
      <c r="BF114">
        <f t="shared" si="16"/>
        <v>0</v>
      </c>
      <c r="BG114">
        <f t="shared" si="17"/>
        <v>0</v>
      </c>
      <c r="BH114">
        <f>BG114+regressions!$AR$1*(AI114-B114)</f>
        <v>0</v>
      </c>
      <c r="BI114">
        <f>BG114-regressions!$AO$1*(AI114-B114)</f>
        <v>0</v>
      </c>
      <c r="BJ114">
        <f t="shared" si="18"/>
        <v>0</v>
      </c>
      <c r="BK114">
        <f>BJ114+regressions!$AR$1*(AT114-B114)</f>
        <v>0</v>
      </c>
      <c r="BL114">
        <f>BJ114-regressions!$AO$1*(AT114-B114)</f>
        <v>0</v>
      </c>
      <c r="BM114">
        <f t="shared" si="26"/>
        <v>0</v>
      </c>
      <c r="BN114">
        <f t="shared" si="19"/>
        <v>0</v>
      </c>
      <c r="BO114">
        <f t="shared" si="20"/>
        <v>0</v>
      </c>
      <c r="BP114">
        <f t="shared" si="27"/>
        <v>0</v>
      </c>
      <c r="BQ114">
        <f t="shared" si="28"/>
        <v>0</v>
      </c>
      <c r="BR114">
        <f t="shared" si="29"/>
        <v>0</v>
      </c>
    </row>
    <row r="115" spans="1:70" x14ac:dyDescent="0.35">
      <c r="A115">
        <v>1962</v>
      </c>
      <c r="B115" s="33">
        <v>0.23882105855511165</v>
      </c>
      <c r="C115">
        <f t="shared" si="30"/>
        <v>-9.5407765110694695E-2</v>
      </c>
      <c r="D115">
        <f>IF($B115&lt;=regressions!$L$2,$B115*regressions!$L$1,regressions!$L$1*regressions!$L$2+regressions!$L$3*($B115-regressions!$L$2))</f>
        <v>-0.1898101617832951</v>
      </c>
      <c r="E115">
        <f>regressions!$J$1*B115+regressions!$J$2*B115^2</f>
        <v>-0.11292801650055954</v>
      </c>
      <c r="F115">
        <f>regressions!$V$1*B115</f>
        <v>-0.18981016231915332</v>
      </c>
      <c r="G115">
        <f>regressions!$N$1*B115^2</f>
        <v>-9.938142558371419E-3</v>
      </c>
      <c r="H115">
        <f>regressions!$R$1*B115^2+regressions!$R$2*B115^6</f>
        <v>-1.0824429480254324E-2</v>
      </c>
      <c r="I115">
        <f>regressions!$P$1*B115^2+regressions!$P$2*B115^7</f>
        <v>-1.0471939074137045E-2</v>
      </c>
      <c r="J115">
        <f>regressions!$T$2+regressions!$T$1*EXP(B115)</f>
        <v>-2.1080160932767465E-3</v>
      </c>
      <c r="K115" s="8">
        <f>(1-EXP(-2*regressions!$X$1*B115))/2/EXP(-regressions!$X$1*B115)</f>
        <v>-9.7356336536123453E-2</v>
      </c>
      <c r="M115" s="33">
        <v>0.23882105855511165</v>
      </c>
      <c r="N115">
        <f t="shared" si="21"/>
        <v>-9.5407765110694695E-2</v>
      </c>
      <c r="O115">
        <f>IF($B115&lt;=regressions!$L$2,$B115*regressions!$L$1,regressions!$L$1*regressions!$L$2+regressions!$L$3*($B115-regressions!$L$2))</f>
        <v>-0.1898101617832951</v>
      </c>
      <c r="P115">
        <f>regressions!$J$1*M115+regressions!$J$2*M115^2</f>
        <v>-0.11292801650055954</v>
      </c>
      <c r="Q115">
        <f>regressions!$V$1*M115</f>
        <v>-0.18981016231915332</v>
      </c>
      <c r="R115">
        <f>regressions!$N$1*M115^2</f>
        <v>-9.938142558371419E-3</v>
      </c>
      <c r="S115">
        <f>regressions!$R$1*M115^2+regressions!$R$2*M115^6</f>
        <v>-1.0824429480254324E-2</v>
      </c>
      <c r="T115">
        <f>regressions!$P$1*M115^2+regressions!$P$2*M115^7</f>
        <v>-1.0471939074137045E-2</v>
      </c>
      <c r="U115">
        <f>regressions!$T$2+regressions!$T$1*EXP(M115)</f>
        <v>-2.1080160932767465E-3</v>
      </c>
      <c r="V115" s="8">
        <f>(1-EXP(-2*regressions!$X$1*M115))/2/EXP(-regressions!$X$1*M115)</f>
        <v>-9.7356336536123453E-2</v>
      </c>
      <c r="X115" s="33">
        <v>0.23882105855511165</v>
      </c>
      <c r="Y115">
        <f t="shared" si="22"/>
        <v>-9.5407765110694695E-2</v>
      </c>
      <c r="Z115">
        <f>IF($B115&lt;=regressions!$L$2,$B115*regressions!$L$1,regressions!$L$1*regressions!$L$2+regressions!$L$3*($B115-regressions!$L$2))</f>
        <v>-0.1898101617832951</v>
      </c>
      <c r="AA115">
        <f>regressions!$J$1*X115+regressions!$J$2*X115^2</f>
        <v>-0.11292801650055954</v>
      </c>
      <c r="AB115">
        <f>regressions!$V$1*X115</f>
        <v>-0.18981016231915332</v>
      </c>
      <c r="AC115">
        <f>regressions!$N$1*X115^2</f>
        <v>-9.938142558371419E-3</v>
      </c>
      <c r="AD115">
        <f>regressions!$R$1*X115^2+regressions!$R$2*X115^6</f>
        <v>-1.0824429480254324E-2</v>
      </c>
      <c r="AE115">
        <f>regressions!$P$1*X115^2+regressions!$P$2*X115^7</f>
        <v>-1.0471939074137045E-2</v>
      </c>
      <c r="AF115">
        <f>regressions!$T$2+regressions!$T$1*EXP(X115)</f>
        <v>-2.1080160932767465E-3</v>
      </c>
      <c r="AG115" s="8">
        <f>(1-EXP(-2*regressions!$X$1*X115))/2/EXP(-regressions!$X$1*X115)</f>
        <v>-9.7356336536123453E-2</v>
      </c>
      <c r="AH115" s="8"/>
      <c r="AI115" s="33">
        <v>0.23882105855511165</v>
      </c>
      <c r="AJ115">
        <f t="shared" si="23"/>
        <v>-9.5407765110694695E-2</v>
      </c>
      <c r="AK115">
        <f>IF(AI115&lt;=regressions!$L$2,AI115*regressions!$L$1,regressions!$L$1*regressions!$L$2+regressions!$L$3*(AI115-regressions!$L$2))</f>
        <v>-0.1898101617832951</v>
      </c>
      <c r="AL115">
        <f>regressions!$J$1*AI115+regressions!$J$2*AI115^2</f>
        <v>-0.11292801650055954</v>
      </c>
      <c r="AM115">
        <f>regressions!$V$1*AI115</f>
        <v>-0.18981016231915332</v>
      </c>
      <c r="AN115">
        <f>regressions!$N$1*AI115^2</f>
        <v>-9.938142558371419E-3</v>
      </c>
      <c r="AO115">
        <f>regressions!$R$1*AI115^2+regressions!$R$2*AI115^6</f>
        <v>-1.0824429480254324E-2</v>
      </c>
      <c r="AP115">
        <f>regressions!$P$1*AI115^2+regressions!$P$2*AI115^7</f>
        <v>-1.0471939074137045E-2</v>
      </c>
      <c r="AQ115">
        <f>regressions!$T$2+regressions!$T$1*EXP(AI115)</f>
        <v>-2.1080160932767465E-3</v>
      </c>
      <c r="AR115" s="8">
        <f>(1-EXP(-2*regressions!$X$1*AI115))/2/EXP(-regressions!$X$1*AI115)</f>
        <v>-9.7356336536123453E-2</v>
      </c>
      <c r="AT115" s="33">
        <v>0.23882105855511165</v>
      </c>
      <c r="AU115">
        <f t="shared" si="24"/>
        <v>-9.5407765110694695E-2</v>
      </c>
      <c r="AV115">
        <f>IF(AT115&lt;=regressions!$L$2,AT115*regressions!$L$1,regressions!$L$1*regressions!$L$2+regressions!$L$3*(AT115-regressions!$L$2))</f>
        <v>-0.1898101617832951</v>
      </c>
      <c r="AW115">
        <f>regressions!$J$1*AT115+regressions!$J$2*AT115^2</f>
        <v>-0.11292801650055954</v>
      </c>
      <c r="AX115">
        <f>regressions!$V$1*AT115</f>
        <v>-0.18981016231915332</v>
      </c>
      <c r="AY115">
        <f>regressions!$N$1*AT115^2</f>
        <v>-9.938142558371419E-3</v>
      </c>
      <c r="AZ115">
        <f>regressions!$R$1*AT115^2+regressions!$R$2*AT115^6</f>
        <v>-1.0824429480254324E-2</v>
      </c>
      <c r="BA115">
        <f>regressions!$P$1*AT115^2+regressions!$P$2*AT115^7</f>
        <v>-1.0471939074137045E-2</v>
      </c>
      <c r="BB115">
        <f>regressions!$T$2+regressions!$T$1*EXP(AT115)</f>
        <v>-2.1080160932767465E-3</v>
      </c>
      <c r="BC115" s="8">
        <f>(1-EXP(-2*regressions!$X$1*AT115))/2/EXP(-regressions!$X$1*AT115)</f>
        <v>-9.7356336536123453E-2</v>
      </c>
      <c r="BE115">
        <f t="shared" si="25"/>
        <v>0</v>
      </c>
      <c r="BF115">
        <f t="shared" si="16"/>
        <v>0</v>
      </c>
      <c r="BG115">
        <f t="shared" si="17"/>
        <v>0</v>
      </c>
      <c r="BH115">
        <f>BG115+regressions!$AR$1*(AI115-B115)</f>
        <v>0</v>
      </c>
      <c r="BI115">
        <f>BG115-regressions!$AO$1*(AI115-B115)</f>
        <v>0</v>
      </c>
      <c r="BJ115">
        <f t="shared" si="18"/>
        <v>0</v>
      </c>
      <c r="BK115">
        <f>BJ115+regressions!$AR$1*(AT115-B115)</f>
        <v>0</v>
      </c>
      <c r="BL115">
        <f>BJ115-regressions!$AO$1*(AT115-B115)</f>
        <v>0</v>
      </c>
      <c r="BM115">
        <f t="shared" si="26"/>
        <v>0</v>
      </c>
      <c r="BN115">
        <f t="shared" si="19"/>
        <v>0</v>
      </c>
      <c r="BO115">
        <f t="shared" si="20"/>
        <v>0</v>
      </c>
      <c r="BP115">
        <f t="shared" si="27"/>
        <v>0</v>
      </c>
      <c r="BQ115">
        <f t="shared" si="28"/>
        <v>0</v>
      </c>
      <c r="BR115">
        <f t="shared" si="29"/>
        <v>0</v>
      </c>
    </row>
    <row r="116" spans="1:70" x14ac:dyDescent="0.35">
      <c r="A116">
        <v>1963</v>
      </c>
      <c r="B116" s="33">
        <v>0.24547184194708355</v>
      </c>
      <c r="C116">
        <f t="shared" si="30"/>
        <v>-9.8197375661746938E-2</v>
      </c>
      <c r="D116">
        <f>IF($B116&lt;=regressions!$L$2,$B116*regressions!$L$1,regressions!$L$1*regressions!$L$2+regressions!$L$3*($B116-regressions!$L$2))</f>
        <v>-0.19509607031771575</v>
      </c>
      <c r="E116">
        <f>regressions!$J$1*B116+regressions!$J$2*B116^2</f>
        <v>-0.11620631681100661</v>
      </c>
      <c r="F116">
        <f>regressions!$V$1*B116</f>
        <v>-0.19509607086849676</v>
      </c>
      <c r="G116">
        <f>regressions!$N$1*B116^2</f>
        <v>-1.0499372574717308E-2</v>
      </c>
      <c r="H116">
        <f>regressions!$R$1*B116^2+regressions!$R$2*B116^6</f>
        <v>-1.143570992912196E-2</v>
      </c>
      <c r="I116">
        <f>regressions!$P$1*B116^2+regressions!$P$2*B116^7</f>
        <v>-1.1063313814008128E-2</v>
      </c>
      <c r="J116">
        <f>regressions!$T$2+regressions!$T$1*EXP(B116)</f>
        <v>-2.1742296380572405E-3</v>
      </c>
      <c r="K116" s="8">
        <f>(1-EXP(-2*regressions!$X$1*B116))/2/EXP(-regressions!$X$1*B116)</f>
        <v>-0.1000764479280196</v>
      </c>
      <c r="M116" s="33">
        <v>0.24547184194708355</v>
      </c>
      <c r="N116">
        <f t="shared" si="21"/>
        <v>-9.8197375661746938E-2</v>
      </c>
      <c r="O116">
        <f>IF($B116&lt;=regressions!$L$2,$B116*regressions!$L$1,regressions!$L$1*regressions!$L$2+regressions!$L$3*($B116-regressions!$L$2))</f>
        <v>-0.19509607031771575</v>
      </c>
      <c r="P116">
        <f>regressions!$J$1*M116+regressions!$J$2*M116^2</f>
        <v>-0.11620631681100661</v>
      </c>
      <c r="Q116">
        <f>regressions!$V$1*M116</f>
        <v>-0.19509607086849676</v>
      </c>
      <c r="R116">
        <f>regressions!$N$1*M116^2</f>
        <v>-1.0499372574717308E-2</v>
      </c>
      <c r="S116">
        <f>regressions!$R$1*M116^2+regressions!$R$2*M116^6</f>
        <v>-1.143570992912196E-2</v>
      </c>
      <c r="T116">
        <f>regressions!$P$1*M116^2+regressions!$P$2*M116^7</f>
        <v>-1.1063313814008128E-2</v>
      </c>
      <c r="U116">
        <f>regressions!$T$2+regressions!$T$1*EXP(M116)</f>
        <v>-2.1742296380572405E-3</v>
      </c>
      <c r="V116" s="8">
        <f>(1-EXP(-2*regressions!$X$1*M116))/2/EXP(-regressions!$X$1*M116)</f>
        <v>-0.1000764479280196</v>
      </c>
      <c r="X116" s="33">
        <v>0.24547184194708355</v>
      </c>
      <c r="Y116">
        <f t="shared" si="22"/>
        <v>-9.8197375661746938E-2</v>
      </c>
      <c r="Z116">
        <f>IF($B116&lt;=regressions!$L$2,$B116*regressions!$L$1,regressions!$L$1*regressions!$L$2+regressions!$L$3*($B116-regressions!$L$2))</f>
        <v>-0.19509607031771575</v>
      </c>
      <c r="AA116">
        <f>regressions!$J$1*X116+regressions!$J$2*X116^2</f>
        <v>-0.11620631681100661</v>
      </c>
      <c r="AB116">
        <f>regressions!$V$1*X116</f>
        <v>-0.19509607086849676</v>
      </c>
      <c r="AC116">
        <f>regressions!$N$1*X116^2</f>
        <v>-1.0499372574717308E-2</v>
      </c>
      <c r="AD116">
        <f>regressions!$R$1*X116^2+regressions!$R$2*X116^6</f>
        <v>-1.143570992912196E-2</v>
      </c>
      <c r="AE116">
        <f>regressions!$P$1*X116^2+regressions!$P$2*X116^7</f>
        <v>-1.1063313814008128E-2</v>
      </c>
      <c r="AF116">
        <f>regressions!$T$2+regressions!$T$1*EXP(X116)</f>
        <v>-2.1742296380572405E-3</v>
      </c>
      <c r="AG116" s="8">
        <f>(1-EXP(-2*regressions!$X$1*X116))/2/EXP(-regressions!$X$1*X116)</f>
        <v>-0.1000764479280196</v>
      </c>
      <c r="AH116" s="8"/>
      <c r="AI116" s="33">
        <v>0.24547184194708355</v>
      </c>
      <c r="AJ116">
        <f t="shared" si="23"/>
        <v>-9.8197375661746938E-2</v>
      </c>
      <c r="AK116">
        <f>IF(AI116&lt;=regressions!$L$2,AI116*regressions!$L$1,regressions!$L$1*regressions!$L$2+regressions!$L$3*(AI116-regressions!$L$2))</f>
        <v>-0.19509607031771575</v>
      </c>
      <c r="AL116">
        <f>regressions!$J$1*AI116+regressions!$J$2*AI116^2</f>
        <v>-0.11620631681100661</v>
      </c>
      <c r="AM116">
        <f>regressions!$V$1*AI116</f>
        <v>-0.19509607086849676</v>
      </c>
      <c r="AN116">
        <f>regressions!$N$1*AI116^2</f>
        <v>-1.0499372574717308E-2</v>
      </c>
      <c r="AO116">
        <f>regressions!$R$1*AI116^2+regressions!$R$2*AI116^6</f>
        <v>-1.143570992912196E-2</v>
      </c>
      <c r="AP116">
        <f>regressions!$P$1*AI116^2+regressions!$P$2*AI116^7</f>
        <v>-1.1063313814008128E-2</v>
      </c>
      <c r="AQ116">
        <f>regressions!$T$2+regressions!$T$1*EXP(AI116)</f>
        <v>-2.1742296380572405E-3</v>
      </c>
      <c r="AR116" s="8">
        <f>(1-EXP(-2*regressions!$X$1*AI116))/2/EXP(-regressions!$X$1*AI116)</f>
        <v>-0.1000764479280196</v>
      </c>
      <c r="AT116" s="33">
        <v>0.24547184194708355</v>
      </c>
      <c r="AU116">
        <f t="shared" si="24"/>
        <v>-9.8197375661746938E-2</v>
      </c>
      <c r="AV116">
        <f>IF(AT116&lt;=regressions!$L$2,AT116*regressions!$L$1,regressions!$L$1*regressions!$L$2+regressions!$L$3*(AT116-regressions!$L$2))</f>
        <v>-0.19509607031771575</v>
      </c>
      <c r="AW116">
        <f>regressions!$J$1*AT116+regressions!$J$2*AT116^2</f>
        <v>-0.11620631681100661</v>
      </c>
      <c r="AX116">
        <f>regressions!$V$1*AT116</f>
        <v>-0.19509607086849676</v>
      </c>
      <c r="AY116">
        <f>regressions!$N$1*AT116^2</f>
        <v>-1.0499372574717308E-2</v>
      </c>
      <c r="AZ116">
        <f>regressions!$R$1*AT116^2+regressions!$R$2*AT116^6</f>
        <v>-1.143570992912196E-2</v>
      </c>
      <c r="BA116">
        <f>regressions!$P$1*AT116^2+regressions!$P$2*AT116^7</f>
        <v>-1.1063313814008128E-2</v>
      </c>
      <c r="BB116">
        <f>regressions!$T$2+regressions!$T$1*EXP(AT116)</f>
        <v>-2.1742296380572405E-3</v>
      </c>
      <c r="BC116" s="8">
        <f>(1-EXP(-2*regressions!$X$1*AT116))/2/EXP(-regressions!$X$1*AT116)</f>
        <v>-0.1000764479280196</v>
      </c>
      <c r="BE116">
        <f t="shared" si="25"/>
        <v>0</v>
      </c>
      <c r="BF116">
        <f t="shared" si="16"/>
        <v>0</v>
      </c>
      <c r="BG116">
        <f t="shared" si="17"/>
        <v>0</v>
      </c>
      <c r="BH116">
        <f>BG116+regressions!$AR$1*(AI116-B116)</f>
        <v>0</v>
      </c>
      <c r="BI116">
        <f>BG116-regressions!$AO$1*(AI116-B116)</f>
        <v>0</v>
      </c>
      <c r="BJ116">
        <f t="shared" si="18"/>
        <v>0</v>
      </c>
      <c r="BK116">
        <f>BJ116+regressions!$AR$1*(AT116-B116)</f>
        <v>0</v>
      </c>
      <c r="BL116">
        <f>BJ116-regressions!$AO$1*(AT116-B116)</f>
        <v>0</v>
      </c>
      <c r="BM116">
        <f t="shared" si="26"/>
        <v>0</v>
      </c>
      <c r="BN116">
        <f t="shared" si="19"/>
        <v>0</v>
      </c>
      <c r="BO116">
        <f t="shared" si="20"/>
        <v>0</v>
      </c>
      <c r="BP116">
        <f t="shared" si="27"/>
        <v>0</v>
      </c>
      <c r="BQ116">
        <f t="shared" si="28"/>
        <v>0</v>
      </c>
      <c r="BR116">
        <f t="shared" si="29"/>
        <v>0</v>
      </c>
    </row>
    <row r="117" spans="1:70" x14ac:dyDescent="0.35">
      <c r="A117">
        <v>1964</v>
      </c>
      <c r="B117" s="33">
        <v>0.25236322791935434</v>
      </c>
      <c r="C117">
        <f t="shared" si="30"/>
        <v>-0.10109553406482505</v>
      </c>
      <c r="D117">
        <f>IF($B117&lt;=regressions!$L$2,$B117*regressions!$L$1,regressions!$L$1*regressions!$L$2+regressions!$L$3*($B117-regressions!$L$2))</f>
        <v>-0.20057320493147926</v>
      </c>
      <c r="E117">
        <f>regressions!$J$1*B117+regressions!$J$2*B117^2</f>
        <v>-0.11961084251315635</v>
      </c>
      <c r="F117">
        <f>regressions!$V$1*B117</f>
        <v>-0.20057320549772292</v>
      </c>
      <c r="G117">
        <f>regressions!$N$1*B117^2</f>
        <v>-1.1097167254890999E-2</v>
      </c>
      <c r="H117">
        <f>regressions!$R$1*B117^2+regressions!$R$2*B117^6</f>
        <v>-1.2086815829147552E-2</v>
      </c>
      <c r="I117">
        <f>regressions!$P$1*B117^2+regressions!$P$2*B117^7</f>
        <v>-1.1693217173360622E-2</v>
      </c>
      <c r="J117">
        <f>regressions!$T$2+regressions!$T$1*EXP(B117)</f>
        <v>-2.2433047048130653E-3</v>
      </c>
      <c r="K117" s="8">
        <f>(1-EXP(-2*regressions!$X$1*B117))/2/EXP(-regressions!$X$1*B117)</f>
        <v>-0.10289573748737109</v>
      </c>
      <c r="M117" s="33">
        <v>0.25236322791935434</v>
      </c>
      <c r="N117">
        <f t="shared" si="21"/>
        <v>-0.10109553406482505</v>
      </c>
      <c r="O117">
        <f>IF($B117&lt;=regressions!$L$2,$B117*regressions!$L$1,regressions!$L$1*regressions!$L$2+regressions!$L$3*($B117-regressions!$L$2))</f>
        <v>-0.20057320493147926</v>
      </c>
      <c r="P117">
        <f>regressions!$J$1*M117+regressions!$J$2*M117^2</f>
        <v>-0.11961084251315635</v>
      </c>
      <c r="Q117">
        <f>regressions!$V$1*M117</f>
        <v>-0.20057320549772292</v>
      </c>
      <c r="R117">
        <f>regressions!$N$1*M117^2</f>
        <v>-1.1097167254890999E-2</v>
      </c>
      <c r="S117">
        <f>regressions!$R$1*M117^2+regressions!$R$2*M117^6</f>
        <v>-1.2086815829147552E-2</v>
      </c>
      <c r="T117">
        <f>regressions!$P$1*M117^2+regressions!$P$2*M117^7</f>
        <v>-1.1693217173360622E-2</v>
      </c>
      <c r="U117">
        <f>regressions!$T$2+regressions!$T$1*EXP(M117)</f>
        <v>-2.2433047048130653E-3</v>
      </c>
      <c r="V117" s="8">
        <f>(1-EXP(-2*regressions!$X$1*M117))/2/EXP(-regressions!$X$1*M117)</f>
        <v>-0.10289573748737109</v>
      </c>
      <c r="X117" s="33">
        <v>0.25236322791935434</v>
      </c>
      <c r="Y117">
        <f t="shared" si="22"/>
        <v>-0.10109553406482505</v>
      </c>
      <c r="Z117">
        <f>IF($B117&lt;=regressions!$L$2,$B117*regressions!$L$1,regressions!$L$1*regressions!$L$2+regressions!$L$3*($B117-regressions!$L$2))</f>
        <v>-0.20057320493147926</v>
      </c>
      <c r="AA117">
        <f>regressions!$J$1*X117+regressions!$J$2*X117^2</f>
        <v>-0.11961084251315635</v>
      </c>
      <c r="AB117">
        <f>regressions!$V$1*X117</f>
        <v>-0.20057320549772292</v>
      </c>
      <c r="AC117">
        <f>regressions!$N$1*X117^2</f>
        <v>-1.1097167254890999E-2</v>
      </c>
      <c r="AD117">
        <f>regressions!$R$1*X117^2+regressions!$R$2*X117^6</f>
        <v>-1.2086815829147552E-2</v>
      </c>
      <c r="AE117">
        <f>regressions!$P$1*X117^2+regressions!$P$2*X117^7</f>
        <v>-1.1693217173360622E-2</v>
      </c>
      <c r="AF117">
        <f>regressions!$T$2+regressions!$T$1*EXP(X117)</f>
        <v>-2.2433047048130653E-3</v>
      </c>
      <c r="AG117" s="8">
        <f>(1-EXP(-2*regressions!$X$1*X117))/2/EXP(-regressions!$X$1*X117)</f>
        <v>-0.10289573748737109</v>
      </c>
      <c r="AH117" s="8"/>
      <c r="AI117" s="33">
        <v>0.25236322791935434</v>
      </c>
      <c r="AJ117">
        <f t="shared" si="23"/>
        <v>-0.10109553406482505</v>
      </c>
      <c r="AK117">
        <f>IF(AI117&lt;=regressions!$L$2,AI117*regressions!$L$1,regressions!$L$1*regressions!$L$2+regressions!$L$3*(AI117-regressions!$L$2))</f>
        <v>-0.20057320493147926</v>
      </c>
      <c r="AL117">
        <f>regressions!$J$1*AI117+regressions!$J$2*AI117^2</f>
        <v>-0.11961084251315635</v>
      </c>
      <c r="AM117">
        <f>regressions!$V$1*AI117</f>
        <v>-0.20057320549772292</v>
      </c>
      <c r="AN117">
        <f>regressions!$N$1*AI117^2</f>
        <v>-1.1097167254890999E-2</v>
      </c>
      <c r="AO117">
        <f>regressions!$R$1*AI117^2+regressions!$R$2*AI117^6</f>
        <v>-1.2086815829147552E-2</v>
      </c>
      <c r="AP117">
        <f>regressions!$P$1*AI117^2+regressions!$P$2*AI117^7</f>
        <v>-1.1693217173360622E-2</v>
      </c>
      <c r="AQ117">
        <f>regressions!$T$2+regressions!$T$1*EXP(AI117)</f>
        <v>-2.2433047048130653E-3</v>
      </c>
      <c r="AR117" s="8">
        <f>(1-EXP(-2*regressions!$X$1*AI117))/2/EXP(-regressions!$X$1*AI117)</f>
        <v>-0.10289573748737109</v>
      </c>
      <c r="AT117" s="33">
        <v>0.25236322791935434</v>
      </c>
      <c r="AU117">
        <f t="shared" si="24"/>
        <v>-0.10109553406482505</v>
      </c>
      <c r="AV117">
        <f>IF(AT117&lt;=regressions!$L$2,AT117*regressions!$L$1,regressions!$L$1*regressions!$L$2+regressions!$L$3*(AT117-regressions!$L$2))</f>
        <v>-0.20057320493147926</v>
      </c>
      <c r="AW117">
        <f>regressions!$J$1*AT117+regressions!$J$2*AT117^2</f>
        <v>-0.11961084251315635</v>
      </c>
      <c r="AX117">
        <f>regressions!$V$1*AT117</f>
        <v>-0.20057320549772292</v>
      </c>
      <c r="AY117">
        <f>regressions!$N$1*AT117^2</f>
        <v>-1.1097167254890999E-2</v>
      </c>
      <c r="AZ117">
        <f>regressions!$R$1*AT117^2+regressions!$R$2*AT117^6</f>
        <v>-1.2086815829147552E-2</v>
      </c>
      <c r="BA117">
        <f>regressions!$P$1*AT117^2+regressions!$P$2*AT117^7</f>
        <v>-1.1693217173360622E-2</v>
      </c>
      <c r="BB117">
        <f>regressions!$T$2+regressions!$T$1*EXP(AT117)</f>
        <v>-2.2433047048130653E-3</v>
      </c>
      <c r="BC117" s="8">
        <f>(1-EXP(-2*regressions!$X$1*AT117))/2/EXP(-regressions!$X$1*AT117)</f>
        <v>-0.10289573748737109</v>
      </c>
      <c r="BE117">
        <f t="shared" si="25"/>
        <v>0</v>
      </c>
      <c r="BF117">
        <f t="shared" si="16"/>
        <v>0</v>
      </c>
      <c r="BG117">
        <f t="shared" si="17"/>
        <v>0</v>
      </c>
      <c r="BH117">
        <f>BG117+regressions!$AR$1*(AI117-B117)</f>
        <v>0</v>
      </c>
      <c r="BI117">
        <f>BG117-regressions!$AO$1*(AI117-B117)</f>
        <v>0</v>
      </c>
      <c r="BJ117">
        <f t="shared" si="18"/>
        <v>0</v>
      </c>
      <c r="BK117">
        <f>BJ117+regressions!$AR$1*(AT117-B117)</f>
        <v>0</v>
      </c>
      <c r="BL117">
        <f>BJ117-regressions!$AO$1*(AT117-B117)</f>
        <v>0</v>
      </c>
      <c r="BM117">
        <f t="shared" si="26"/>
        <v>0</v>
      </c>
      <c r="BN117">
        <f t="shared" si="19"/>
        <v>0</v>
      </c>
      <c r="BO117">
        <f t="shared" si="20"/>
        <v>0</v>
      </c>
      <c r="BP117">
        <f t="shared" si="27"/>
        <v>0</v>
      </c>
      <c r="BQ117">
        <f t="shared" si="28"/>
        <v>0</v>
      </c>
      <c r="BR117">
        <f t="shared" si="29"/>
        <v>0</v>
      </c>
    </row>
    <row r="118" spans="1:70" x14ac:dyDescent="0.35">
      <c r="A118">
        <v>1965</v>
      </c>
      <c r="B118" s="33">
        <v>0.25951670754195333</v>
      </c>
      <c r="C118">
        <f t="shared" si="30"/>
        <v>-0.10411213292418842</v>
      </c>
      <c r="D118">
        <f>IF($B118&lt;=regressions!$L$2,$B118*regressions!$L$1,regressions!$L$1*regressions!$L$2+regressions!$L$3*($B118-regressions!$L$2))</f>
        <v>-0.20625864629370189</v>
      </c>
      <c r="E118">
        <f>regressions!$J$1*B118+regressions!$J$2*B118^2</f>
        <v>-0.12315306108300672</v>
      </c>
      <c r="F118">
        <f>regressions!$V$1*B118</f>
        <v>-0.20625864687599627</v>
      </c>
      <c r="G118">
        <f>regressions!$N$1*B118^2</f>
        <v>-1.1735203624311416E-2</v>
      </c>
      <c r="H118">
        <f>regressions!$R$1*B118^2+regressions!$R$2*B118^6</f>
        <v>-1.2781752110197791E-2</v>
      </c>
      <c r="I118">
        <f>regressions!$P$1*B118^2+regressions!$P$2*B118^7</f>
        <v>-1.2365523677145973E-2</v>
      </c>
      <c r="J118">
        <f>regressions!$T$2+regressions!$T$1*EXP(B118)</f>
        <v>-2.3155121457288045E-3</v>
      </c>
      <c r="K118" s="8">
        <f>(1-EXP(-2*regressions!$X$1*B118))/2/EXP(-regressions!$X$1*B118)</f>
        <v>-0.10582310703773605</v>
      </c>
      <c r="M118" s="33">
        <v>0.25951670754195333</v>
      </c>
      <c r="N118">
        <f t="shared" si="21"/>
        <v>-0.10411213292418842</v>
      </c>
      <c r="O118">
        <f>IF($B118&lt;=regressions!$L$2,$B118*regressions!$L$1,regressions!$L$1*regressions!$L$2+regressions!$L$3*($B118-regressions!$L$2))</f>
        <v>-0.20625864629370189</v>
      </c>
      <c r="P118">
        <f>regressions!$J$1*M118+regressions!$J$2*M118^2</f>
        <v>-0.12315306108300672</v>
      </c>
      <c r="Q118">
        <f>regressions!$V$1*M118</f>
        <v>-0.20625864687599627</v>
      </c>
      <c r="R118">
        <f>regressions!$N$1*M118^2</f>
        <v>-1.1735203624311416E-2</v>
      </c>
      <c r="S118">
        <f>regressions!$R$1*M118^2+regressions!$R$2*M118^6</f>
        <v>-1.2781752110197791E-2</v>
      </c>
      <c r="T118">
        <f>regressions!$P$1*M118^2+regressions!$P$2*M118^7</f>
        <v>-1.2365523677145973E-2</v>
      </c>
      <c r="U118">
        <f>regressions!$T$2+regressions!$T$1*EXP(M118)</f>
        <v>-2.3155121457288045E-3</v>
      </c>
      <c r="V118" s="8">
        <f>(1-EXP(-2*regressions!$X$1*M118))/2/EXP(-regressions!$X$1*M118)</f>
        <v>-0.10582310703773605</v>
      </c>
      <c r="X118" s="33">
        <v>0.25951670754195333</v>
      </c>
      <c r="Y118">
        <f t="shared" si="22"/>
        <v>-0.10411213292418842</v>
      </c>
      <c r="Z118">
        <f>IF($B118&lt;=regressions!$L$2,$B118*regressions!$L$1,regressions!$L$1*regressions!$L$2+regressions!$L$3*($B118-regressions!$L$2))</f>
        <v>-0.20625864629370189</v>
      </c>
      <c r="AA118">
        <f>regressions!$J$1*X118+regressions!$J$2*X118^2</f>
        <v>-0.12315306108300672</v>
      </c>
      <c r="AB118">
        <f>regressions!$V$1*X118</f>
        <v>-0.20625864687599627</v>
      </c>
      <c r="AC118">
        <f>regressions!$N$1*X118^2</f>
        <v>-1.1735203624311416E-2</v>
      </c>
      <c r="AD118">
        <f>regressions!$R$1*X118^2+regressions!$R$2*X118^6</f>
        <v>-1.2781752110197791E-2</v>
      </c>
      <c r="AE118">
        <f>regressions!$P$1*X118^2+regressions!$P$2*X118^7</f>
        <v>-1.2365523677145973E-2</v>
      </c>
      <c r="AF118">
        <f>regressions!$T$2+regressions!$T$1*EXP(X118)</f>
        <v>-2.3155121457288045E-3</v>
      </c>
      <c r="AG118" s="8">
        <f>(1-EXP(-2*regressions!$X$1*X118))/2/EXP(-regressions!$X$1*X118)</f>
        <v>-0.10582310703773605</v>
      </c>
      <c r="AH118" s="8"/>
      <c r="AI118" s="33">
        <v>0.25951670754195333</v>
      </c>
      <c r="AJ118">
        <f t="shared" si="23"/>
        <v>-0.10411213292418842</v>
      </c>
      <c r="AK118">
        <f>IF(AI118&lt;=regressions!$L$2,AI118*regressions!$L$1,regressions!$L$1*regressions!$L$2+regressions!$L$3*(AI118-regressions!$L$2))</f>
        <v>-0.20625864629370189</v>
      </c>
      <c r="AL118">
        <f>regressions!$J$1*AI118+regressions!$J$2*AI118^2</f>
        <v>-0.12315306108300672</v>
      </c>
      <c r="AM118">
        <f>regressions!$V$1*AI118</f>
        <v>-0.20625864687599627</v>
      </c>
      <c r="AN118">
        <f>regressions!$N$1*AI118^2</f>
        <v>-1.1735203624311416E-2</v>
      </c>
      <c r="AO118">
        <f>regressions!$R$1*AI118^2+regressions!$R$2*AI118^6</f>
        <v>-1.2781752110197791E-2</v>
      </c>
      <c r="AP118">
        <f>regressions!$P$1*AI118^2+regressions!$P$2*AI118^7</f>
        <v>-1.2365523677145973E-2</v>
      </c>
      <c r="AQ118">
        <f>regressions!$T$2+regressions!$T$1*EXP(AI118)</f>
        <v>-2.3155121457288045E-3</v>
      </c>
      <c r="AR118" s="8">
        <f>(1-EXP(-2*regressions!$X$1*AI118))/2/EXP(-regressions!$X$1*AI118)</f>
        <v>-0.10582310703773605</v>
      </c>
      <c r="AT118" s="33">
        <v>0.25951670754195333</v>
      </c>
      <c r="AU118">
        <f t="shared" si="24"/>
        <v>-0.10411213292418842</v>
      </c>
      <c r="AV118">
        <f>IF(AT118&lt;=regressions!$L$2,AT118*regressions!$L$1,regressions!$L$1*regressions!$L$2+regressions!$L$3*(AT118-regressions!$L$2))</f>
        <v>-0.20625864629370189</v>
      </c>
      <c r="AW118">
        <f>regressions!$J$1*AT118+regressions!$J$2*AT118^2</f>
        <v>-0.12315306108300672</v>
      </c>
      <c r="AX118">
        <f>regressions!$V$1*AT118</f>
        <v>-0.20625864687599627</v>
      </c>
      <c r="AY118">
        <f>regressions!$N$1*AT118^2</f>
        <v>-1.1735203624311416E-2</v>
      </c>
      <c r="AZ118">
        <f>regressions!$R$1*AT118^2+regressions!$R$2*AT118^6</f>
        <v>-1.2781752110197791E-2</v>
      </c>
      <c r="BA118">
        <f>regressions!$P$1*AT118^2+regressions!$P$2*AT118^7</f>
        <v>-1.2365523677145973E-2</v>
      </c>
      <c r="BB118">
        <f>regressions!$T$2+regressions!$T$1*EXP(AT118)</f>
        <v>-2.3155121457288045E-3</v>
      </c>
      <c r="BC118" s="8">
        <f>(1-EXP(-2*regressions!$X$1*AT118))/2/EXP(-regressions!$X$1*AT118)</f>
        <v>-0.10582310703773605</v>
      </c>
      <c r="BE118">
        <f t="shared" si="25"/>
        <v>0</v>
      </c>
      <c r="BF118">
        <f t="shared" si="16"/>
        <v>0</v>
      </c>
      <c r="BG118">
        <f t="shared" si="17"/>
        <v>0</v>
      </c>
      <c r="BH118">
        <f>BG118+regressions!$AR$1*(AI118-B118)</f>
        <v>0</v>
      </c>
      <c r="BI118">
        <f>BG118-regressions!$AO$1*(AI118-B118)</f>
        <v>0</v>
      </c>
      <c r="BJ118">
        <f t="shared" si="18"/>
        <v>0</v>
      </c>
      <c r="BK118">
        <f>BJ118+regressions!$AR$1*(AT118-B118)</f>
        <v>0</v>
      </c>
      <c r="BL118">
        <f>BJ118-regressions!$AO$1*(AT118-B118)</f>
        <v>0</v>
      </c>
      <c r="BM118">
        <f t="shared" si="26"/>
        <v>0</v>
      </c>
      <c r="BN118">
        <f t="shared" si="19"/>
        <v>0</v>
      </c>
      <c r="BO118">
        <f t="shared" si="20"/>
        <v>0</v>
      </c>
      <c r="BP118">
        <f t="shared" si="27"/>
        <v>0</v>
      </c>
      <c r="BQ118">
        <f t="shared" si="28"/>
        <v>0</v>
      </c>
      <c r="BR118">
        <f t="shared" si="29"/>
        <v>0</v>
      </c>
    </row>
    <row r="119" spans="1:70" x14ac:dyDescent="0.35">
      <c r="A119">
        <v>1966</v>
      </c>
      <c r="B119" s="33">
        <v>0.2669452250635283</v>
      </c>
      <c r="C119">
        <f t="shared" si="30"/>
        <v>-0.10725357873001488</v>
      </c>
      <c r="D119">
        <f>IF($B119&lt;=regressions!$L$2,$B119*regressions!$L$1,regressions!$L$1*regressions!$L$2+regressions!$L$3*($B119-regressions!$L$2))</f>
        <v>-0.21216268223220269</v>
      </c>
      <c r="E119">
        <f>regressions!$J$1*B119+regressions!$J$2*B119^2</f>
        <v>-0.12684032489331948</v>
      </c>
      <c r="F119">
        <f>regressions!$V$1*B119</f>
        <v>-0.21216268283116493</v>
      </c>
      <c r="G119">
        <f>regressions!$N$1*B119^2</f>
        <v>-1.2416645957971635E-2</v>
      </c>
      <c r="H119">
        <f>regressions!$R$1*B119^2+regressions!$R$2*B119^6</f>
        <v>-1.3523965221748861E-2</v>
      </c>
      <c r="I119">
        <f>regressions!$P$1*B119^2+regressions!$P$2*B119^7</f>
        <v>-1.3083567558976493E-2</v>
      </c>
      <c r="J119">
        <f>regressions!$T$2+regressions!$T$1*EXP(B119)</f>
        <v>-2.3910445439711565E-3</v>
      </c>
      <c r="K119" s="8">
        <f>(1-EXP(-2*regressions!$X$1*B119))/2/EXP(-regressions!$X$1*B119)</f>
        <v>-0.10886397828346786</v>
      </c>
      <c r="M119" s="33">
        <v>0.2669452250635283</v>
      </c>
      <c r="N119">
        <f t="shared" si="21"/>
        <v>-0.10725357873001488</v>
      </c>
      <c r="O119">
        <f>IF($B119&lt;=regressions!$L$2,$B119*regressions!$L$1,regressions!$L$1*regressions!$L$2+regressions!$L$3*($B119-regressions!$L$2))</f>
        <v>-0.21216268223220269</v>
      </c>
      <c r="P119">
        <f>regressions!$J$1*M119+regressions!$J$2*M119^2</f>
        <v>-0.12684032489331948</v>
      </c>
      <c r="Q119">
        <f>regressions!$V$1*M119</f>
        <v>-0.21216268283116493</v>
      </c>
      <c r="R119">
        <f>regressions!$N$1*M119^2</f>
        <v>-1.2416645957971635E-2</v>
      </c>
      <c r="S119">
        <f>regressions!$R$1*M119^2+regressions!$R$2*M119^6</f>
        <v>-1.3523965221748861E-2</v>
      </c>
      <c r="T119">
        <f>regressions!$P$1*M119^2+regressions!$P$2*M119^7</f>
        <v>-1.3083567558976493E-2</v>
      </c>
      <c r="U119">
        <f>regressions!$T$2+regressions!$T$1*EXP(M119)</f>
        <v>-2.3910445439711565E-3</v>
      </c>
      <c r="V119" s="8">
        <f>(1-EXP(-2*regressions!$X$1*M119))/2/EXP(-regressions!$X$1*M119)</f>
        <v>-0.10886397828346786</v>
      </c>
      <c r="X119" s="33">
        <v>0.2669452250635283</v>
      </c>
      <c r="Y119">
        <f t="shared" si="22"/>
        <v>-0.10725357873001488</v>
      </c>
      <c r="Z119">
        <f>IF($B119&lt;=regressions!$L$2,$B119*regressions!$L$1,regressions!$L$1*regressions!$L$2+regressions!$L$3*($B119-regressions!$L$2))</f>
        <v>-0.21216268223220269</v>
      </c>
      <c r="AA119">
        <f>regressions!$J$1*X119+regressions!$J$2*X119^2</f>
        <v>-0.12684032489331948</v>
      </c>
      <c r="AB119">
        <f>regressions!$V$1*X119</f>
        <v>-0.21216268283116493</v>
      </c>
      <c r="AC119">
        <f>regressions!$N$1*X119^2</f>
        <v>-1.2416645957971635E-2</v>
      </c>
      <c r="AD119">
        <f>regressions!$R$1*X119^2+regressions!$R$2*X119^6</f>
        <v>-1.3523965221748861E-2</v>
      </c>
      <c r="AE119">
        <f>regressions!$P$1*X119^2+regressions!$P$2*X119^7</f>
        <v>-1.3083567558976493E-2</v>
      </c>
      <c r="AF119">
        <f>regressions!$T$2+regressions!$T$1*EXP(X119)</f>
        <v>-2.3910445439711565E-3</v>
      </c>
      <c r="AG119" s="8">
        <f>(1-EXP(-2*regressions!$X$1*X119))/2/EXP(-regressions!$X$1*X119)</f>
        <v>-0.10886397828346786</v>
      </c>
      <c r="AH119" s="8"/>
      <c r="AI119" s="33">
        <v>0.2669452250635283</v>
      </c>
      <c r="AJ119">
        <f t="shared" si="23"/>
        <v>-0.10725357873001488</v>
      </c>
      <c r="AK119">
        <f>IF(AI119&lt;=regressions!$L$2,AI119*regressions!$L$1,regressions!$L$1*regressions!$L$2+regressions!$L$3*(AI119-regressions!$L$2))</f>
        <v>-0.21216268223220269</v>
      </c>
      <c r="AL119">
        <f>regressions!$J$1*AI119+regressions!$J$2*AI119^2</f>
        <v>-0.12684032489331948</v>
      </c>
      <c r="AM119">
        <f>regressions!$V$1*AI119</f>
        <v>-0.21216268283116493</v>
      </c>
      <c r="AN119">
        <f>regressions!$N$1*AI119^2</f>
        <v>-1.2416645957971635E-2</v>
      </c>
      <c r="AO119">
        <f>regressions!$R$1*AI119^2+regressions!$R$2*AI119^6</f>
        <v>-1.3523965221748861E-2</v>
      </c>
      <c r="AP119">
        <f>regressions!$P$1*AI119^2+regressions!$P$2*AI119^7</f>
        <v>-1.3083567558976493E-2</v>
      </c>
      <c r="AQ119">
        <f>regressions!$T$2+regressions!$T$1*EXP(AI119)</f>
        <v>-2.3910445439711565E-3</v>
      </c>
      <c r="AR119" s="8">
        <f>(1-EXP(-2*regressions!$X$1*AI119))/2/EXP(-regressions!$X$1*AI119)</f>
        <v>-0.10886397828346786</v>
      </c>
      <c r="AT119" s="33">
        <v>0.2669452250635283</v>
      </c>
      <c r="AU119">
        <f t="shared" si="24"/>
        <v>-0.10725357873001488</v>
      </c>
      <c r="AV119">
        <f>IF(AT119&lt;=regressions!$L$2,AT119*regressions!$L$1,regressions!$L$1*regressions!$L$2+regressions!$L$3*(AT119-regressions!$L$2))</f>
        <v>-0.21216268223220269</v>
      </c>
      <c r="AW119">
        <f>regressions!$J$1*AT119+regressions!$J$2*AT119^2</f>
        <v>-0.12684032489331948</v>
      </c>
      <c r="AX119">
        <f>regressions!$V$1*AT119</f>
        <v>-0.21216268283116493</v>
      </c>
      <c r="AY119">
        <f>regressions!$N$1*AT119^2</f>
        <v>-1.2416645957971635E-2</v>
      </c>
      <c r="AZ119">
        <f>regressions!$R$1*AT119^2+regressions!$R$2*AT119^6</f>
        <v>-1.3523965221748861E-2</v>
      </c>
      <c r="BA119">
        <f>regressions!$P$1*AT119^2+regressions!$P$2*AT119^7</f>
        <v>-1.3083567558976493E-2</v>
      </c>
      <c r="BB119">
        <f>regressions!$T$2+regressions!$T$1*EXP(AT119)</f>
        <v>-2.3910445439711565E-3</v>
      </c>
      <c r="BC119" s="8">
        <f>(1-EXP(-2*regressions!$X$1*AT119))/2/EXP(-regressions!$X$1*AT119)</f>
        <v>-0.10886397828346786</v>
      </c>
      <c r="BE119">
        <f t="shared" si="25"/>
        <v>0</v>
      </c>
      <c r="BF119">
        <f t="shared" si="16"/>
        <v>0</v>
      </c>
      <c r="BG119">
        <f t="shared" si="17"/>
        <v>0</v>
      </c>
      <c r="BH119">
        <f>BG119+regressions!$AR$1*(AI119-B119)</f>
        <v>0</v>
      </c>
      <c r="BI119">
        <f>BG119-regressions!$AO$1*(AI119-B119)</f>
        <v>0</v>
      </c>
      <c r="BJ119">
        <f t="shared" si="18"/>
        <v>0</v>
      </c>
      <c r="BK119">
        <f>BJ119+regressions!$AR$1*(AT119-B119)</f>
        <v>0</v>
      </c>
      <c r="BL119">
        <f>BJ119-regressions!$AO$1*(AT119-B119)</f>
        <v>0</v>
      </c>
      <c r="BM119">
        <f t="shared" si="26"/>
        <v>0</v>
      </c>
      <c r="BN119">
        <f t="shared" si="19"/>
        <v>0</v>
      </c>
      <c r="BO119">
        <f t="shared" si="20"/>
        <v>0</v>
      </c>
      <c r="BP119">
        <f t="shared" si="27"/>
        <v>0</v>
      </c>
      <c r="BQ119">
        <f t="shared" si="28"/>
        <v>0</v>
      </c>
      <c r="BR119">
        <f t="shared" si="29"/>
        <v>0</v>
      </c>
    </row>
    <row r="120" spans="1:70" x14ac:dyDescent="0.35">
      <c r="A120">
        <v>1967</v>
      </c>
      <c r="B120" s="33">
        <v>0.27466626855522391</v>
      </c>
      <c r="C120">
        <f t="shared" si="30"/>
        <v>-0.11052830800865227</v>
      </c>
      <c r="D120">
        <f>IF($B120&lt;=regressions!$L$2,$B120*regressions!$L$1,regressions!$L$1*regressions!$L$2+regressions!$L$3*($B120-regressions!$L$2))</f>
        <v>-0.21829921191330035</v>
      </c>
      <c r="E120">
        <f>regressions!$J$1*B120+regressions!$J$2*B120^2</f>
        <v>-0.13068234904181286</v>
      </c>
      <c r="F120">
        <f>regressions!$V$1*B120</f>
        <v>-0.21829921252958678</v>
      </c>
      <c r="G120">
        <f>regressions!$N$1*B120^2</f>
        <v>-1.3145304155315E-2</v>
      </c>
      <c r="H120">
        <f>regressions!$R$1*B120^2+regressions!$R$2*B120^6</f>
        <v>-1.4317604810691369E-2</v>
      </c>
      <c r="I120">
        <f>regressions!$P$1*B120^2+regressions!$P$2*B120^7</f>
        <v>-1.3851363354465896E-2</v>
      </c>
      <c r="J120">
        <f>regressions!$T$2+regressions!$T$1*EXP(B120)</f>
        <v>-2.4701482601622235E-3</v>
      </c>
      <c r="K120" s="8">
        <f>(1-EXP(-2*regressions!$X$1*B120))/2/EXP(-regressions!$X$1*B120)</f>
        <v>-0.11202565046353076</v>
      </c>
      <c r="M120" s="33">
        <v>0.27466626855522391</v>
      </c>
      <c r="N120">
        <f t="shared" si="21"/>
        <v>-0.11052830800865227</v>
      </c>
      <c r="O120">
        <f>IF($B120&lt;=regressions!$L$2,$B120*regressions!$L$1,regressions!$L$1*regressions!$L$2+regressions!$L$3*($B120-regressions!$L$2))</f>
        <v>-0.21829921191330035</v>
      </c>
      <c r="P120">
        <f>regressions!$J$1*M120+regressions!$J$2*M120^2</f>
        <v>-0.13068234904181286</v>
      </c>
      <c r="Q120">
        <f>regressions!$V$1*M120</f>
        <v>-0.21829921252958678</v>
      </c>
      <c r="R120">
        <f>regressions!$N$1*M120^2</f>
        <v>-1.3145304155315E-2</v>
      </c>
      <c r="S120">
        <f>regressions!$R$1*M120^2+regressions!$R$2*M120^6</f>
        <v>-1.4317604810691369E-2</v>
      </c>
      <c r="T120">
        <f>regressions!$P$1*M120^2+regressions!$P$2*M120^7</f>
        <v>-1.3851363354465896E-2</v>
      </c>
      <c r="U120">
        <f>regressions!$T$2+regressions!$T$1*EXP(M120)</f>
        <v>-2.4701482601622235E-3</v>
      </c>
      <c r="V120" s="8">
        <f>(1-EXP(-2*regressions!$X$1*M120))/2/EXP(-regressions!$X$1*M120)</f>
        <v>-0.11202565046353076</v>
      </c>
      <c r="X120" s="33">
        <v>0.27466626855522391</v>
      </c>
      <c r="Y120">
        <f t="shared" si="22"/>
        <v>-0.11052830800865227</v>
      </c>
      <c r="Z120">
        <f>IF($B120&lt;=regressions!$L$2,$B120*regressions!$L$1,regressions!$L$1*regressions!$L$2+regressions!$L$3*($B120-regressions!$L$2))</f>
        <v>-0.21829921191330035</v>
      </c>
      <c r="AA120">
        <f>regressions!$J$1*X120+regressions!$J$2*X120^2</f>
        <v>-0.13068234904181286</v>
      </c>
      <c r="AB120">
        <f>regressions!$V$1*X120</f>
        <v>-0.21829921252958678</v>
      </c>
      <c r="AC120">
        <f>regressions!$N$1*X120^2</f>
        <v>-1.3145304155315E-2</v>
      </c>
      <c r="AD120">
        <f>regressions!$R$1*X120^2+regressions!$R$2*X120^6</f>
        <v>-1.4317604810691369E-2</v>
      </c>
      <c r="AE120">
        <f>regressions!$P$1*X120^2+regressions!$P$2*X120^7</f>
        <v>-1.3851363354465896E-2</v>
      </c>
      <c r="AF120">
        <f>regressions!$T$2+regressions!$T$1*EXP(X120)</f>
        <v>-2.4701482601622235E-3</v>
      </c>
      <c r="AG120" s="8">
        <f>(1-EXP(-2*regressions!$X$1*X120))/2/EXP(-regressions!$X$1*X120)</f>
        <v>-0.11202565046353076</v>
      </c>
      <c r="AH120" s="8"/>
      <c r="AI120" s="33">
        <v>0.27466626855522391</v>
      </c>
      <c r="AJ120">
        <f t="shared" si="23"/>
        <v>-0.11052830800865227</v>
      </c>
      <c r="AK120">
        <f>IF(AI120&lt;=regressions!$L$2,AI120*regressions!$L$1,regressions!$L$1*regressions!$L$2+regressions!$L$3*(AI120-regressions!$L$2))</f>
        <v>-0.21829921191330035</v>
      </c>
      <c r="AL120">
        <f>regressions!$J$1*AI120+regressions!$J$2*AI120^2</f>
        <v>-0.13068234904181286</v>
      </c>
      <c r="AM120">
        <f>regressions!$V$1*AI120</f>
        <v>-0.21829921252958678</v>
      </c>
      <c r="AN120">
        <f>regressions!$N$1*AI120^2</f>
        <v>-1.3145304155315E-2</v>
      </c>
      <c r="AO120">
        <f>regressions!$R$1*AI120^2+regressions!$R$2*AI120^6</f>
        <v>-1.4317604810691369E-2</v>
      </c>
      <c r="AP120">
        <f>regressions!$P$1*AI120^2+regressions!$P$2*AI120^7</f>
        <v>-1.3851363354465896E-2</v>
      </c>
      <c r="AQ120">
        <f>regressions!$T$2+regressions!$T$1*EXP(AI120)</f>
        <v>-2.4701482601622235E-3</v>
      </c>
      <c r="AR120" s="8">
        <f>(1-EXP(-2*regressions!$X$1*AI120))/2/EXP(-regressions!$X$1*AI120)</f>
        <v>-0.11202565046353076</v>
      </c>
      <c r="AT120" s="33">
        <v>0.27466626855522391</v>
      </c>
      <c r="AU120">
        <f t="shared" si="24"/>
        <v>-0.11052830800865227</v>
      </c>
      <c r="AV120">
        <f>IF(AT120&lt;=regressions!$L$2,AT120*regressions!$L$1,regressions!$L$1*regressions!$L$2+regressions!$L$3*(AT120-regressions!$L$2))</f>
        <v>-0.21829921191330035</v>
      </c>
      <c r="AW120">
        <f>regressions!$J$1*AT120+regressions!$J$2*AT120^2</f>
        <v>-0.13068234904181286</v>
      </c>
      <c r="AX120">
        <f>regressions!$V$1*AT120</f>
        <v>-0.21829921252958678</v>
      </c>
      <c r="AY120">
        <f>regressions!$N$1*AT120^2</f>
        <v>-1.3145304155315E-2</v>
      </c>
      <c r="AZ120">
        <f>regressions!$R$1*AT120^2+regressions!$R$2*AT120^6</f>
        <v>-1.4317604810691369E-2</v>
      </c>
      <c r="BA120">
        <f>regressions!$P$1*AT120^2+regressions!$P$2*AT120^7</f>
        <v>-1.3851363354465896E-2</v>
      </c>
      <c r="BB120">
        <f>regressions!$T$2+regressions!$T$1*EXP(AT120)</f>
        <v>-2.4701482601622235E-3</v>
      </c>
      <c r="BC120" s="8">
        <f>(1-EXP(-2*regressions!$X$1*AT120))/2/EXP(-regressions!$X$1*AT120)</f>
        <v>-0.11202565046353076</v>
      </c>
      <c r="BE120">
        <f t="shared" si="25"/>
        <v>0</v>
      </c>
      <c r="BF120">
        <f t="shared" si="16"/>
        <v>0</v>
      </c>
      <c r="BG120">
        <f t="shared" si="17"/>
        <v>0</v>
      </c>
      <c r="BH120">
        <f>BG120+regressions!$AR$1*(AI120-B120)</f>
        <v>0</v>
      </c>
      <c r="BI120">
        <f>BG120-regressions!$AO$1*(AI120-B120)</f>
        <v>0</v>
      </c>
      <c r="BJ120">
        <f t="shared" si="18"/>
        <v>0</v>
      </c>
      <c r="BK120">
        <f>BJ120+regressions!$AR$1*(AT120-B120)</f>
        <v>0</v>
      </c>
      <c r="BL120">
        <f>BJ120-regressions!$AO$1*(AT120-B120)</f>
        <v>0</v>
      </c>
      <c r="BM120">
        <f t="shared" si="26"/>
        <v>0</v>
      </c>
      <c r="BN120">
        <f t="shared" si="19"/>
        <v>0</v>
      </c>
      <c r="BO120">
        <f t="shared" si="20"/>
        <v>0</v>
      </c>
      <c r="BP120">
        <f t="shared" si="27"/>
        <v>0</v>
      </c>
      <c r="BQ120">
        <f t="shared" si="28"/>
        <v>0</v>
      </c>
      <c r="BR120">
        <f t="shared" si="29"/>
        <v>0</v>
      </c>
    </row>
    <row r="121" spans="1:70" x14ac:dyDescent="0.35">
      <c r="A121">
        <v>1968</v>
      </c>
      <c r="B121" s="33">
        <v>0.28268299845818584</v>
      </c>
      <c r="C121">
        <f t="shared" si="30"/>
        <v>-0.11393878264867451</v>
      </c>
      <c r="D121">
        <f>IF($B121&lt;=regressions!$L$2,$B121*regressions!$L$1,regressions!$L$1*regressions!$L$2+regressions!$L$3*($B121-regressions!$L$2))</f>
        <v>-0.22467074719189067</v>
      </c>
      <c r="E121">
        <f>regressions!$J$1*B121+regressions!$J$2*B121^2</f>
        <v>-0.13468181993290942</v>
      </c>
      <c r="F121">
        <f>regressions!$V$1*B121</f>
        <v>-0.22467074782616475</v>
      </c>
      <c r="G121">
        <f>regressions!$N$1*B121^2</f>
        <v>-1.3923850859050501E-2</v>
      </c>
      <c r="H121">
        <f>regressions!$R$1*B121^2+regressions!$R$2*B121^6</f>
        <v>-1.5165581842904801E-2</v>
      </c>
      <c r="I121">
        <f>regressions!$P$1*B121^2+regressions!$P$2*B121^7</f>
        <v>-1.4671727258115823E-2</v>
      </c>
      <c r="J121">
        <f>regressions!$T$2+regressions!$T$1*EXP(B121)</f>
        <v>-2.5529302073858968E-3</v>
      </c>
      <c r="K121" s="8">
        <f>(1-EXP(-2*regressions!$X$1*B121))/2/EXP(-regressions!$X$1*B121)</f>
        <v>-0.11530957370398684</v>
      </c>
      <c r="M121" s="33">
        <v>0.28268299845818584</v>
      </c>
      <c r="N121">
        <f t="shared" si="21"/>
        <v>-0.11393878264867451</v>
      </c>
      <c r="O121">
        <f>IF($B121&lt;=regressions!$L$2,$B121*regressions!$L$1,regressions!$L$1*regressions!$L$2+regressions!$L$3*($B121-regressions!$L$2))</f>
        <v>-0.22467074719189067</v>
      </c>
      <c r="P121">
        <f>regressions!$J$1*M121+regressions!$J$2*M121^2</f>
        <v>-0.13468181993290942</v>
      </c>
      <c r="Q121">
        <f>regressions!$V$1*M121</f>
        <v>-0.22467074782616475</v>
      </c>
      <c r="R121">
        <f>regressions!$N$1*M121^2</f>
        <v>-1.3923850859050501E-2</v>
      </c>
      <c r="S121">
        <f>regressions!$R$1*M121^2+regressions!$R$2*M121^6</f>
        <v>-1.5165581842904801E-2</v>
      </c>
      <c r="T121">
        <f>regressions!$P$1*M121^2+regressions!$P$2*M121^7</f>
        <v>-1.4671727258115823E-2</v>
      </c>
      <c r="U121">
        <f>regressions!$T$2+regressions!$T$1*EXP(M121)</f>
        <v>-2.5529302073858968E-3</v>
      </c>
      <c r="V121" s="8">
        <f>(1-EXP(-2*regressions!$X$1*M121))/2/EXP(-regressions!$X$1*M121)</f>
        <v>-0.11530957370398684</v>
      </c>
      <c r="X121" s="33">
        <v>0.28268299845818584</v>
      </c>
      <c r="Y121">
        <f t="shared" si="22"/>
        <v>-0.11393878264867451</v>
      </c>
      <c r="Z121">
        <f>IF($B121&lt;=regressions!$L$2,$B121*regressions!$L$1,regressions!$L$1*regressions!$L$2+regressions!$L$3*($B121-regressions!$L$2))</f>
        <v>-0.22467074719189067</v>
      </c>
      <c r="AA121">
        <f>regressions!$J$1*X121+regressions!$J$2*X121^2</f>
        <v>-0.13468181993290942</v>
      </c>
      <c r="AB121">
        <f>regressions!$V$1*X121</f>
        <v>-0.22467074782616475</v>
      </c>
      <c r="AC121">
        <f>regressions!$N$1*X121^2</f>
        <v>-1.3923850859050501E-2</v>
      </c>
      <c r="AD121">
        <f>regressions!$R$1*X121^2+regressions!$R$2*X121^6</f>
        <v>-1.5165581842904801E-2</v>
      </c>
      <c r="AE121">
        <f>regressions!$P$1*X121^2+regressions!$P$2*X121^7</f>
        <v>-1.4671727258115823E-2</v>
      </c>
      <c r="AF121">
        <f>regressions!$T$2+regressions!$T$1*EXP(X121)</f>
        <v>-2.5529302073858968E-3</v>
      </c>
      <c r="AG121" s="8">
        <f>(1-EXP(-2*regressions!$X$1*X121))/2/EXP(-regressions!$X$1*X121)</f>
        <v>-0.11530957370398684</v>
      </c>
      <c r="AH121" s="8"/>
      <c r="AI121" s="33">
        <v>0.28268299845818584</v>
      </c>
      <c r="AJ121">
        <f t="shared" si="23"/>
        <v>-0.11393878264867451</v>
      </c>
      <c r="AK121">
        <f>IF(AI121&lt;=regressions!$L$2,AI121*regressions!$L$1,regressions!$L$1*regressions!$L$2+regressions!$L$3*(AI121-regressions!$L$2))</f>
        <v>-0.22467074719189067</v>
      </c>
      <c r="AL121">
        <f>regressions!$J$1*AI121+regressions!$J$2*AI121^2</f>
        <v>-0.13468181993290942</v>
      </c>
      <c r="AM121">
        <f>regressions!$V$1*AI121</f>
        <v>-0.22467074782616475</v>
      </c>
      <c r="AN121">
        <f>regressions!$N$1*AI121^2</f>
        <v>-1.3923850859050501E-2</v>
      </c>
      <c r="AO121">
        <f>regressions!$R$1*AI121^2+regressions!$R$2*AI121^6</f>
        <v>-1.5165581842904801E-2</v>
      </c>
      <c r="AP121">
        <f>regressions!$P$1*AI121^2+regressions!$P$2*AI121^7</f>
        <v>-1.4671727258115823E-2</v>
      </c>
      <c r="AQ121">
        <f>regressions!$T$2+regressions!$T$1*EXP(AI121)</f>
        <v>-2.5529302073858968E-3</v>
      </c>
      <c r="AR121" s="8">
        <f>(1-EXP(-2*regressions!$X$1*AI121))/2/EXP(-regressions!$X$1*AI121)</f>
        <v>-0.11530957370398684</v>
      </c>
      <c r="AT121" s="33">
        <v>0.28268299845818584</v>
      </c>
      <c r="AU121">
        <f t="shared" si="24"/>
        <v>-0.11393878264867451</v>
      </c>
      <c r="AV121">
        <f>IF(AT121&lt;=regressions!$L$2,AT121*regressions!$L$1,regressions!$L$1*regressions!$L$2+regressions!$L$3*(AT121-regressions!$L$2))</f>
        <v>-0.22467074719189067</v>
      </c>
      <c r="AW121">
        <f>regressions!$J$1*AT121+regressions!$J$2*AT121^2</f>
        <v>-0.13468181993290942</v>
      </c>
      <c r="AX121">
        <f>regressions!$V$1*AT121</f>
        <v>-0.22467074782616475</v>
      </c>
      <c r="AY121">
        <f>regressions!$N$1*AT121^2</f>
        <v>-1.3923850859050501E-2</v>
      </c>
      <c r="AZ121">
        <f>regressions!$R$1*AT121^2+regressions!$R$2*AT121^6</f>
        <v>-1.5165581842904801E-2</v>
      </c>
      <c r="BA121">
        <f>regressions!$P$1*AT121^2+regressions!$P$2*AT121^7</f>
        <v>-1.4671727258115823E-2</v>
      </c>
      <c r="BB121">
        <f>regressions!$T$2+regressions!$T$1*EXP(AT121)</f>
        <v>-2.5529302073858968E-3</v>
      </c>
      <c r="BC121" s="8">
        <f>(1-EXP(-2*regressions!$X$1*AT121))/2/EXP(-regressions!$X$1*AT121)</f>
        <v>-0.11530957370398684</v>
      </c>
      <c r="BE121">
        <f t="shared" si="25"/>
        <v>0</v>
      </c>
      <c r="BF121">
        <f t="shared" si="16"/>
        <v>0</v>
      </c>
      <c r="BG121">
        <f t="shared" si="17"/>
        <v>0</v>
      </c>
      <c r="BH121">
        <f>BG121+regressions!$AR$1*(AI121-B121)</f>
        <v>0</v>
      </c>
      <c r="BI121">
        <f>BG121-regressions!$AO$1*(AI121-B121)</f>
        <v>0</v>
      </c>
      <c r="BJ121">
        <f t="shared" si="18"/>
        <v>0</v>
      </c>
      <c r="BK121">
        <f>BJ121+regressions!$AR$1*(AT121-B121)</f>
        <v>0</v>
      </c>
      <c r="BL121">
        <f>BJ121-regressions!$AO$1*(AT121-B121)</f>
        <v>0</v>
      </c>
      <c r="BM121">
        <f t="shared" si="26"/>
        <v>0</v>
      </c>
      <c r="BN121">
        <f t="shared" si="19"/>
        <v>0</v>
      </c>
      <c r="BO121">
        <f t="shared" si="20"/>
        <v>0</v>
      </c>
      <c r="BP121">
        <f t="shared" si="27"/>
        <v>0</v>
      </c>
      <c r="BQ121">
        <f t="shared" si="28"/>
        <v>0</v>
      </c>
      <c r="BR121">
        <f t="shared" si="29"/>
        <v>0</v>
      </c>
    </row>
    <row r="122" spans="1:70" x14ac:dyDescent="0.35">
      <c r="A122">
        <v>1969</v>
      </c>
      <c r="B122" s="33">
        <v>0.29101488114419993</v>
      </c>
      <c r="C122">
        <f t="shared" si="30"/>
        <v>-0.11749449494537358</v>
      </c>
      <c r="D122">
        <f>IF($B122&lt;=regressions!$L$2,$B122*regressions!$L$1,regressions!$L$1*regressions!$L$2+regressions!$L$3*($B122-regressions!$L$2))</f>
        <v>-0.23129275954775175</v>
      </c>
      <c r="E122">
        <f>regressions!$J$1*B122+regressions!$J$2*B122^2</f>
        <v>-0.13884965085547468</v>
      </c>
      <c r="F122">
        <f>regressions!$V$1*B122</f>
        <v>-0.23129276020072062</v>
      </c>
      <c r="G122">
        <f>regressions!$N$1*B122^2</f>
        <v>-1.4756738418773301E-2</v>
      </c>
      <c r="H122">
        <f>regressions!$R$1*B122^2+regressions!$R$2*B122^6</f>
        <v>-1.6072745699280581E-2</v>
      </c>
      <c r="I122">
        <f>regressions!$P$1*B122^2+regressions!$P$2*B122^7</f>
        <v>-1.5549350762471216E-2</v>
      </c>
      <c r="J122">
        <f>regressions!$T$2+regressions!$T$1*EXP(B122)</f>
        <v>-2.6396726568625913E-3</v>
      </c>
      <c r="K122" s="8">
        <f>(1-EXP(-2*regressions!$X$1*B122))/2/EXP(-regressions!$X$1*B122)</f>
        <v>-0.1187238956457079</v>
      </c>
      <c r="M122" s="33">
        <v>0.29101488114419993</v>
      </c>
      <c r="N122">
        <f t="shared" si="21"/>
        <v>-0.11749449494537358</v>
      </c>
      <c r="O122">
        <f>IF($B122&lt;=regressions!$L$2,$B122*regressions!$L$1,regressions!$L$1*regressions!$L$2+regressions!$L$3*($B122-regressions!$L$2))</f>
        <v>-0.23129275954775175</v>
      </c>
      <c r="P122">
        <f>regressions!$J$1*M122+regressions!$J$2*M122^2</f>
        <v>-0.13884965085547468</v>
      </c>
      <c r="Q122">
        <f>regressions!$V$1*M122</f>
        <v>-0.23129276020072062</v>
      </c>
      <c r="R122">
        <f>regressions!$N$1*M122^2</f>
        <v>-1.4756738418773301E-2</v>
      </c>
      <c r="S122">
        <f>regressions!$R$1*M122^2+regressions!$R$2*M122^6</f>
        <v>-1.6072745699280581E-2</v>
      </c>
      <c r="T122">
        <f>regressions!$P$1*M122^2+regressions!$P$2*M122^7</f>
        <v>-1.5549350762471216E-2</v>
      </c>
      <c r="U122">
        <f>regressions!$T$2+regressions!$T$1*EXP(M122)</f>
        <v>-2.6396726568625913E-3</v>
      </c>
      <c r="V122" s="8">
        <f>(1-EXP(-2*regressions!$X$1*M122))/2/EXP(-regressions!$X$1*M122)</f>
        <v>-0.1187238956457079</v>
      </c>
      <c r="X122" s="33">
        <v>0.29101488114419993</v>
      </c>
      <c r="Y122">
        <f t="shared" si="22"/>
        <v>-0.11749449494537358</v>
      </c>
      <c r="Z122">
        <f>IF($B122&lt;=regressions!$L$2,$B122*regressions!$L$1,regressions!$L$1*regressions!$L$2+regressions!$L$3*($B122-regressions!$L$2))</f>
        <v>-0.23129275954775175</v>
      </c>
      <c r="AA122">
        <f>regressions!$J$1*X122+regressions!$J$2*X122^2</f>
        <v>-0.13884965085547468</v>
      </c>
      <c r="AB122">
        <f>regressions!$V$1*X122</f>
        <v>-0.23129276020072062</v>
      </c>
      <c r="AC122">
        <f>regressions!$N$1*X122^2</f>
        <v>-1.4756738418773301E-2</v>
      </c>
      <c r="AD122">
        <f>regressions!$R$1*X122^2+regressions!$R$2*X122^6</f>
        <v>-1.6072745699280581E-2</v>
      </c>
      <c r="AE122">
        <f>regressions!$P$1*X122^2+regressions!$P$2*X122^7</f>
        <v>-1.5549350762471216E-2</v>
      </c>
      <c r="AF122">
        <f>regressions!$T$2+regressions!$T$1*EXP(X122)</f>
        <v>-2.6396726568625913E-3</v>
      </c>
      <c r="AG122" s="8">
        <f>(1-EXP(-2*regressions!$X$1*X122))/2/EXP(-regressions!$X$1*X122)</f>
        <v>-0.1187238956457079</v>
      </c>
      <c r="AH122" s="8"/>
      <c r="AI122" s="33">
        <v>0.29101488114419993</v>
      </c>
      <c r="AJ122">
        <f t="shared" si="23"/>
        <v>-0.11749449494537358</v>
      </c>
      <c r="AK122">
        <f>IF(AI122&lt;=regressions!$L$2,AI122*regressions!$L$1,regressions!$L$1*regressions!$L$2+regressions!$L$3*(AI122-regressions!$L$2))</f>
        <v>-0.23129275954775175</v>
      </c>
      <c r="AL122">
        <f>regressions!$J$1*AI122+regressions!$J$2*AI122^2</f>
        <v>-0.13884965085547468</v>
      </c>
      <c r="AM122">
        <f>regressions!$V$1*AI122</f>
        <v>-0.23129276020072062</v>
      </c>
      <c r="AN122">
        <f>regressions!$N$1*AI122^2</f>
        <v>-1.4756738418773301E-2</v>
      </c>
      <c r="AO122">
        <f>regressions!$R$1*AI122^2+regressions!$R$2*AI122^6</f>
        <v>-1.6072745699280581E-2</v>
      </c>
      <c r="AP122">
        <f>regressions!$P$1*AI122^2+regressions!$P$2*AI122^7</f>
        <v>-1.5549350762471216E-2</v>
      </c>
      <c r="AQ122">
        <f>regressions!$T$2+regressions!$T$1*EXP(AI122)</f>
        <v>-2.6396726568625913E-3</v>
      </c>
      <c r="AR122" s="8">
        <f>(1-EXP(-2*regressions!$X$1*AI122))/2/EXP(-regressions!$X$1*AI122)</f>
        <v>-0.1187238956457079</v>
      </c>
      <c r="AT122" s="33">
        <v>0.29101488114419993</v>
      </c>
      <c r="AU122">
        <f t="shared" si="24"/>
        <v>-0.11749449494537358</v>
      </c>
      <c r="AV122">
        <f>IF(AT122&lt;=regressions!$L$2,AT122*regressions!$L$1,regressions!$L$1*regressions!$L$2+regressions!$L$3*(AT122-regressions!$L$2))</f>
        <v>-0.23129275954775175</v>
      </c>
      <c r="AW122">
        <f>regressions!$J$1*AT122+regressions!$J$2*AT122^2</f>
        <v>-0.13884965085547468</v>
      </c>
      <c r="AX122">
        <f>regressions!$V$1*AT122</f>
        <v>-0.23129276020072062</v>
      </c>
      <c r="AY122">
        <f>regressions!$N$1*AT122^2</f>
        <v>-1.4756738418773301E-2</v>
      </c>
      <c r="AZ122">
        <f>regressions!$R$1*AT122^2+regressions!$R$2*AT122^6</f>
        <v>-1.6072745699280581E-2</v>
      </c>
      <c r="BA122">
        <f>regressions!$P$1*AT122^2+regressions!$P$2*AT122^7</f>
        <v>-1.5549350762471216E-2</v>
      </c>
      <c r="BB122">
        <f>regressions!$T$2+regressions!$T$1*EXP(AT122)</f>
        <v>-2.6396726568625913E-3</v>
      </c>
      <c r="BC122" s="8">
        <f>(1-EXP(-2*regressions!$X$1*AT122))/2/EXP(-regressions!$X$1*AT122)</f>
        <v>-0.1187238956457079</v>
      </c>
      <c r="BE122">
        <f t="shared" si="25"/>
        <v>0</v>
      </c>
      <c r="BF122">
        <f t="shared" si="16"/>
        <v>0</v>
      </c>
      <c r="BG122">
        <f t="shared" si="17"/>
        <v>0</v>
      </c>
      <c r="BH122">
        <f>BG122+regressions!$AR$1*(AI122-B122)</f>
        <v>0</v>
      </c>
      <c r="BI122">
        <f>BG122-regressions!$AO$1*(AI122-B122)</f>
        <v>0</v>
      </c>
      <c r="BJ122">
        <f t="shared" si="18"/>
        <v>0</v>
      </c>
      <c r="BK122">
        <f>BJ122+regressions!$AR$1*(AT122-B122)</f>
        <v>0</v>
      </c>
      <c r="BL122">
        <f>BJ122-regressions!$AO$1*(AT122-B122)</f>
        <v>0</v>
      </c>
      <c r="BM122">
        <f t="shared" si="26"/>
        <v>0</v>
      </c>
      <c r="BN122">
        <f t="shared" si="19"/>
        <v>0</v>
      </c>
      <c r="BO122">
        <f t="shared" si="20"/>
        <v>0</v>
      </c>
      <c r="BP122">
        <f t="shared" si="27"/>
        <v>0</v>
      </c>
      <c r="BQ122">
        <f t="shared" si="28"/>
        <v>0</v>
      </c>
      <c r="BR122">
        <f t="shared" si="29"/>
        <v>0</v>
      </c>
    </row>
    <row r="123" spans="1:70" x14ac:dyDescent="0.35">
      <c r="A123">
        <v>1970</v>
      </c>
      <c r="B123" s="33">
        <v>0.29968934573485972</v>
      </c>
      <c r="C123">
        <f t="shared" si="30"/>
        <v>-0.12120850689722451</v>
      </c>
      <c r="D123">
        <f>IF($B123&lt;=regressions!$L$2,$B123*regressions!$L$1,regressions!$L$1*regressions!$L$2+regressions!$L$3*($B123-regressions!$L$2))</f>
        <v>-0.23818704909364891</v>
      </c>
      <c r="E123">
        <f>regressions!$J$1*B123+regressions!$J$2*B123^2</f>
        <v>-0.14320090780261682</v>
      </c>
      <c r="F123">
        <f>regressions!$V$1*B123</f>
        <v>-0.23818704976608124</v>
      </c>
      <c r="G123">
        <f>regressions!$N$1*B123^2</f>
        <v>-1.5649576573762515E-2</v>
      </c>
      <c r="H123">
        <f>regressions!$R$1*B123^2+regressions!$R$2*B123^6</f>
        <v>-1.7045206358562832E-2</v>
      </c>
      <c r="I123">
        <f>regressions!$P$1*B123^2+regressions!$P$2*B123^7</f>
        <v>-1.6490144915001653E-2</v>
      </c>
      <c r="J123">
        <f>regressions!$T$2+regressions!$T$1*EXP(B123)</f>
        <v>-2.7307529040909769E-3</v>
      </c>
      <c r="K123" s="8">
        <f>(1-EXP(-2*regressions!$X$1*B123))/2/EXP(-regressions!$X$1*B123)</f>
        <v>-0.12228005548892877</v>
      </c>
      <c r="M123" s="33">
        <v>0.29968934573485972</v>
      </c>
      <c r="N123">
        <f t="shared" si="21"/>
        <v>-0.12120850689722451</v>
      </c>
      <c r="O123">
        <f>IF($B123&lt;=regressions!$L$2,$B123*regressions!$L$1,regressions!$L$1*regressions!$L$2+regressions!$L$3*($B123-regressions!$L$2))</f>
        <v>-0.23818704909364891</v>
      </c>
      <c r="P123">
        <f>regressions!$J$1*M123+regressions!$J$2*M123^2</f>
        <v>-0.14320090780261682</v>
      </c>
      <c r="Q123">
        <f>regressions!$V$1*M123</f>
        <v>-0.23818704976608124</v>
      </c>
      <c r="R123">
        <f>regressions!$N$1*M123^2</f>
        <v>-1.5649576573762515E-2</v>
      </c>
      <c r="S123">
        <f>regressions!$R$1*M123^2+regressions!$R$2*M123^6</f>
        <v>-1.7045206358562832E-2</v>
      </c>
      <c r="T123">
        <f>regressions!$P$1*M123^2+regressions!$P$2*M123^7</f>
        <v>-1.6490144915001653E-2</v>
      </c>
      <c r="U123">
        <f>regressions!$T$2+regressions!$T$1*EXP(M123)</f>
        <v>-2.7307529040909769E-3</v>
      </c>
      <c r="V123" s="8">
        <f>(1-EXP(-2*regressions!$X$1*M123))/2/EXP(-regressions!$X$1*M123)</f>
        <v>-0.12228005548892877</v>
      </c>
      <c r="X123" s="33">
        <v>0.29968934573485972</v>
      </c>
      <c r="Y123">
        <f t="shared" si="22"/>
        <v>-0.12120850689722451</v>
      </c>
      <c r="Z123">
        <f>IF($B123&lt;=regressions!$L$2,$B123*regressions!$L$1,regressions!$L$1*regressions!$L$2+regressions!$L$3*($B123-regressions!$L$2))</f>
        <v>-0.23818704909364891</v>
      </c>
      <c r="AA123">
        <f>regressions!$J$1*X123+regressions!$J$2*X123^2</f>
        <v>-0.14320090780261682</v>
      </c>
      <c r="AB123">
        <f>regressions!$V$1*X123</f>
        <v>-0.23818704976608124</v>
      </c>
      <c r="AC123">
        <f>regressions!$N$1*X123^2</f>
        <v>-1.5649576573762515E-2</v>
      </c>
      <c r="AD123">
        <f>regressions!$R$1*X123^2+regressions!$R$2*X123^6</f>
        <v>-1.7045206358562832E-2</v>
      </c>
      <c r="AE123">
        <f>regressions!$P$1*X123^2+regressions!$P$2*X123^7</f>
        <v>-1.6490144915001653E-2</v>
      </c>
      <c r="AF123">
        <f>regressions!$T$2+regressions!$T$1*EXP(X123)</f>
        <v>-2.7307529040909769E-3</v>
      </c>
      <c r="AG123" s="8">
        <f>(1-EXP(-2*regressions!$X$1*X123))/2/EXP(-regressions!$X$1*X123)</f>
        <v>-0.12228005548892877</v>
      </c>
      <c r="AH123" s="8"/>
      <c r="AI123" s="33">
        <v>0.29968934573485972</v>
      </c>
      <c r="AJ123">
        <f t="shared" si="23"/>
        <v>-0.12120850689722451</v>
      </c>
      <c r="AK123">
        <f>IF(AI123&lt;=regressions!$L$2,AI123*regressions!$L$1,regressions!$L$1*regressions!$L$2+regressions!$L$3*(AI123-regressions!$L$2))</f>
        <v>-0.23818704909364891</v>
      </c>
      <c r="AL123">
        <f>regressions!$J$1*AI123+regressions!$J$2*AI123^2</f>
        <v>-0.14320090780261682</v>
      </c>
      <c r="AM123">
        <f>regressions!$V$1*AI123</f>
        <v>-0.23818704976608124</v>
      </c>
      <c r="AN123">
        <f>regressions!$N$1*AI123^2</f>
        <v>-1.5649576573762515E-2</v>
      </c>
      <c r="AO123">
        <f>regressions!$R$1*AI123^2+regressions!$R$2*AI123^6</f>
        <v>-1.7045206358562832E-2</v>
      </c>
      <c r="AP123">
        <f>regressions!$P$1*AI123^2+regressions!$P$2*AI123^7</f>
        <v>-1.6490144915001653E-2</v>
      </c>
      <c r="AQ123">
        <f>regressions!$T$2+regressions!$T$1*EXP(AI123)</f>
        <v>-2.7307529040909769E-3</v>
      </c>
      <c r="AR123" s="8">
        <f>(1-EXP(-2*regressions!$X$1*AI123))/2/EXP(-regressions!$X$1*AI123)</f>
        <v>-0.12228005548892877</v>
      </c>
      <c r="AT123" s="33">
        <v>0.29968934573485972</v>
      </c>
      <c r="AU123">
        <f t="shared" si="24"/>
        <v>-0.12120850689722451</v>
      </c>
      <c r="AV123">
        <f>IF(AT123&lt;=regressions!$L$2,AT123*regressions!$L$1,regressions!$L$1*regressions!$L$2+regressions!$L$3*(AT123-regressions!$L$2))</f>
        <v>-0.23818704909364891</v>
      </c>
      <c r="AW123">
        <f>regressions!$J$1*AT123+regressions!$J$2*AT123^2</f>
        <v>-0.14320090780261682</v>
      </c>
      <c r="AX123">
        <f>regressions!$V$1*AT123</f>
        <v>-0.23818704976608124</v>
      </c>
      <c r="AY123">
        <f>regressions!$N$1*AT123^2</f>
        <v>-1.5649576573762515E-2</v>
      </c>
      <c r="AZ123">
        <f>regressions!$R$1*AT123^2+regressions!$R$2*AT123^6</f>
        <v>-1.7045206358562832E-2</v>
      </c>
      <c r="BA123">
        <f>regressions!$P$1*AT123^2+regressions!$P$2*AT123^7</f>
        <v>-1.6490144915001653E-2</v>
      </c>
      <c r="BB123">
        <f>regressions!$T$2+regressions!$T$1*EXP(AT123)</f>
        <v>-2.7307529040909769E-3</v>
      </c>
      <c r="BC123" s="8">
        <f>(1-EXP(-2*regressions!$X$1*AT123))/2/EXP(-regressions!$X$1*AT123)</f>
        <v>-0.12228005548892877</v>
      </c>
      <c r="BE123">
        <f t="shared" si="25"/>
        <v>0</v>
      </c>
      <c r="BF123">
        <f t="shared" si="16"/>
        <v>0</v>
      </c>
      <c r="BG123">
        <f t="shared" si="17"/>
        <v>0</v>
      </c>
      <c r="BH123">
        <f>BG123+regressions!$AR$1*(AI123-B123)</f>
        <v>0</v>
      </c>
      <c r="BI123">
        <f>BG123-regressions!$AO$1*(AI123-B123)</f>
        <v>0</v>
      </c>
      <c r="BJ123">
        <f t="shared" si="18"/>
        <v>0</v>
      </c>
      <c r="BK123">
        <f>BJ123+regressions!$AR$1*(AT123-B123)</f>
        <v>0</v>
      </c>
      <c r="BL123">
        <f>BJ123-regressions!$AO$1*(AT123-B123)</f>
        <v>0</v>
      </c>
      <c r="BM123">
        <f t="shared" si="26"/>
        <v>0</v>
      </c>
      <c r="BN123">
        <f t="shared" si="19"/>
        <v>0</v>
      </c>
      <c r="BO123">
        <f t="shared" si="20"/>
        <v>0</v>
      </c>
      <c r="BP123">
        <f t="shared" si="27"/>
        <v>0</v>
      </c>
      <c r="BQ123">
        <f t="shared" si="28"/>
        <v>0</v>
      </c>
      <c r="BR123">
        <f t="shared" si="29"/>
        <v>0</v>
      </c>
    </row>
    <row r="124" spans="1:70" x14ac:dyDescent="0.35">
      <c r="A124">
        <v>1971</v>
      </c>
      <c r="B124" s="33">
        <v>0.30874527691211306</v>
      </c>
      <c r="C124">
        <f t="shared" si="30"/>
        <v>-0.12509902310780829</v>
      </c>
      <c r="D124">
        <f>IF($B124&lt;=regressions!$L$2,$B124*regressions!$L$1,regressions!$L$1*regressions!$L$2+regressions!$L$3*($B124-regressions!$L$2))</f>
        <v>-0.24538452059072871</v>
      </c>
      <c r="E124">
        <f>regressions!$J$1*B124+regressions!$J$2*B124^2</f>
        <v>-0.14775663831980465</v>
      </c>
      <c r="F124">
        <f>regressions!$V$1*B124</f>
        <v>-0.2453845212834804</v>
      </c>
      <c r="G124">
        <f>regressions!$N$1*B124^2</f>
        <v>-1.6609655676720451E-2</v>
      </c>
      <c r="H124">
        <f>regressions!$R$1*B124^2+regressions!$R$2*B124^6</f>
        <v>-1.809090427910745E-2</v>
      </c>
      <c r="I124">
        <f>regressions!$P$1*B124^2+regressions!$P$2*B124^7</f>
        <v>-1.7501791645035698E-2</v>
      </c>
      <c r="J124">
        <f>regressions!$T$2+regressions!$T$1*EXP(B124)</f>
        <v>-2.8266852057617208E-3</v>
      </c>
      <c r="K124" s="8">
        <f>(1-EXP(-2*regressions!$X$1*B124))/2/EXP(-regressions!$X$1*B124)</f>
        <v>-0.1259942273000465</v>
      </c>
      <c r="M124" s="33">
        <v>0.30874527691211306</v>
      </c>
      <c r="N124">
        <f t="shared" si="21"/>
        <v>-0.12509902310780829</v>
      </c>
      <c r="O124">
        <f>IF($B124&lt;=regressions!$L$2,$B124*regressions!$L$1,regressions!$L$1*regressions!$L$2+regressions!$L$3*($B124-regressions!$L$2))</f>
        <v>-0.24538452059072871</v>
      </c>
      <c r="P124">
        <f>regressions!$J$1*M124+regressions!$J$2*M124^2</f>
        <v>-0.14775663831980465</v>
      </c>
      <c r="Q124">
        <f>regressions!$V$1*M124</f>
        <v>-0.2453845212834804</v>
      </c>
      <c r="R124">
        <f>regressions!$N$1*M124^2</f>
        <v>-1.6609655676720451E-2</v>
      </c>
      <c r="S124">
        <f>regressions!$R$1*M124^2+regressions!$R$2*M124^6</f>
        <v>-1.809090427910745E-2</v>
      </c>
      <c r="T124">
        <f>regressions!$P$1*M124^2+regressions!$P$2*M124^7</f>
        <v>-1.7501791645035698E-2</v>
      </c>
      <c r="U124">
        <f>regressions!$T$2+regressions!$T$1*EXP(M124)</f>
        <v>-2.8266852057617208E-3</v>
      </c>
      <c r="V124" s="8">
        <f>(1-EXP(-2*regressions!$X$1*M124))/2/EXP(-regressions!$X$1*M124)</f>
        <v>-0.1259942273000465</v>
      </c>
      <c r="X124" s="33">
        <v>0.30874527691211306</v>
      </c>
      <c r="Y124">
        <f t="shared" si="22"/>
        <v>-0.12509902310780829</v>
      </c>
      <c r="Z124">
        <f>IF($B124&lt;=regressions!$L$2,$B124*regressions!$L$1,regressions!$L$1*regressions!$L$2+regressions!$L$3*($B124-regressions!$L$2))</f>
        <v>-0.24538452059072871</v>
      </c>
      <c r="AA124">
        <f>regressions!$J$1*X124+regressions!$J$2*X124^2</f>
        <v>-0.14775663831980465</v>
      </c>
      <c r="AB124">
        <f>regressions!$V$1*X124</f>
        <v>-0.2453845212834804</v>
      </c>
      <c r="AC124">
        <f>regressions!$N$1*X124^2</f>
        <v>-1.6609655676720451E-2</v>
      </c>
      <c r="AD124">
        <f>regressions!$R$1*X124^2+regressions!$R$2*X124^6</f>
        <v>-1.809090427910745E-2</v>
      </c>
      <c r="AE124">
        <f>regressions!$P$1*X124^2+regressions!$P$2*X124^7</f>
        <v>-1.7501791645035698E-2</v>
      </c>
      <c r="AF124">
        <f>regressions!$T$2+regressions!$T$1*EXP(X124)</f>
        <v>-2.8266852057617208E-3</v>
      </c>
      <c r="AG124" s="8">
        <f>(1-EXP(-2*regressions!$X$1*X124))/2/EXP(-regressions!$X$1*X124)</f>
        <v>-0.1259942273000465</v>
      </c>
      <c r="AH124" s="8"/>
      <c r="AI124" s="33">
        <v>0.30874527691211306</v>
      </c>
      <c r="AJ124">
        <f t="shared" si="23"/>
        <v>-0.12509902310780829</v>
      </c>
      <c r="AK124">
        <f>IF(AI124&lt;=regressions!$L$2,AI124*regressions!$L$1,regressions!$L$1*regressions!$L$2+regressions!$L$3*(AI124-regressions!$L$2))</f>
        <v>-0.24538452059072871</v>
      </c>
      <c r="AL124">
        <f>regressions!$J$1*AI124+regressions!$J$2*AI124^2</f>
        <v>-0.14775663831980465</v>
      </c>
      <c r="AM124">
        <f>regressions!$V$1*AI124</f>
        <v>-0.2453845212834804</v>
      </c>
      <c r="AN124">
        <f>regressions!$N$1*AI124^2</f>
        <v>-1.6609655676720451E-2</v>
      </c>
      <c r="AO124">
        <f>regressions!$R$1*AI124^2+regressions!$R$2*AI124^6</f>
        <v>-1.809090427910745E-2</v>
      </c>
      <c r="AP124">
        <f>regressions!$P$1*AI124^2+regressions!$P$2*AI124^7</f>
        <v>-1.7501791645035698E-2</v>
      </c>
      <c r="AQ124">
        <f>regressions!$T$2+regressions!$T$1*EXP(AI124)</f>
        <v>-2.8266852057617208E-3</v>
      </c>
      <c r="AR124" s="8">
        <f>(1-EXP(-2*regressions!$X$1*AI124))/2/EXP(-regressions!$X$1*AI124)</f>
        <v>-0.1259942273000465</v>
      </c>
      <c r="AT124" s="33">
        <v>0.30874527691211306</v>
      </c>
      <c r="AU124">
        <f t="shared" si="24"/>
        <v>-0.12509902310780829</v>
      </c>
      <c r="AV124">
        <f>IF(AT124&lt;=regressions!$L$2,AT124*regressions!$L$1,regressions!$L$1*regressions!$L$2+regressions!$L$3*(AT124-regressions!$L$2))</f>
        <v>-0.24538452059072871</v>
      </c>
      <c r="AW124">
        <f>regressions!$J$1*AT124+regressions!$J$2*AT124^2</f>
        <v>-0.14775663831980465</v>
      </c>
      <c r="AX124">
        <f>regressions!$V$1*AT124</f>
        <v>-0.2453845212834804</v>
      </c>
      <c r="AY124">
        <f>regressions!$N$1*AT124^2</f>
        <v>-1.6609655676720451E-2</v>
      </c>
      <c r="AZ124">
        <f>regressions!$R$1*AT124^2+regressions!$R$2*AT124^6</f>
        <v>-1.809090427910745E-2</v>
      </c>
      <c r="BA124">
        <f>regressions!$P$1*AT124^2+regressions!$P$2*AT124^7</f>
        <v>-1.7501791645035698E-2</v>
      </c>
      <c r="BB124">
        <f>regressions!$T$2+regressions!$T$1*EXP(AT124)</f>
        <v>-2.8266852057617208E-3</v>
      </c>
      <c r="BC124" s="8">
        <f>(1-EXP(-2*regressions!$X$1*AT124))/2/EXP(-regressions!$X$1*AT124)</f>
        <v>-0.1259942273000465</v>
      </c>
      <c r="BE124">
        <f t="shared" si="25"/>
        <v>0</v>
      </c>
      <c r="BF124">
        <f t="shared" si="16"/>
        <v>0</v>
      </c>
      <c r="BG124">
        <f t="shared" si="17"/>
        <v>0</v>
      </c>
      <c r="BH124">
        <f>BG124+regressions!$AR$1*(AI124-B124)</f>
        <v>0</v>
      </c>
      <c r="BI124">
        <f>BG124-regressions!$AO$1*(AI124-B124)</f>
        <v>0</v>
      </c>
      <c r="BJ124">
        <f t="shared" si="18"/>
        <v>0</v>
      </c>
      <c r="BK124">
        <f>BJ124+regressions!$AR$1*(AT124-B124)</f>
        <v>0</v>
      </c>
      <c r="BL124">
        <f>BJ124-regressions!$AO$1*(AT124-B124)</f>
        <v>0</v>
      </c>
      <c r="BM124">
        <f t="shared" si="26"/>
        <v>0</v>
      </c>
      <c r="BN124">
        <f t="shared" si="19"/>
        <v>0</v>
      </c>
      <c r="BO124">
        <f t="shared" si="20"/>
        <v>0</v>
      </c>
      <c r="BP124">
        <f t="shared" si="27"/>
        <v>0</v>
      </c>
      <c r="BQ124">
        <f t="shared" si="28"/>
        <v>0</v>
      </c>
      <c r="BR124">
        <f t="shared" si="29"/>
        <v>0</v>
      </c>
    </row>
    <row r="125" spans="1:70" x14ac:dyDescent="0.35">
      <c r="A125">
        <v>1972</v>
      </c>
      <c r="B125" s="33">
        <v>0.31818978686165267</v>
      </c>
      <c r="C125">
        <f t="shared" si="30"/>
        <v>-0.12917082576698097</v>
      </c>
      <c r="D125">
        <f>IF($B125&lt;=regressions!$L$2,$B125*regressions!$L$1,regressions!$L$1*regressions!$L$2+regressions!$L$3*($B125-regressions!$L$2))</f>
        <v>-0.25289082666077056</v>
      </c>
      <c r="E125">
        <f>regressions!$J$1*B125+regressions!$J$2*B125^2</f>
        <v>-0.15252213064962702</v>
      </c>
      <c r="F125">
        <f>regressions!$V$1*B125</f>
        <v>-0.25289082737471352</v>
      </c>
      <c r="G125">
        <f>regressions!$N$1*B125^2</f>
        <v>-1.7641375969781079E-2</v>
      </c>
      <c r="H125">
        <f>regressions!$R$1*B125^2+regressions!$R$2*B125^6</f>
        <v>-1.9214632060366926E-2</v>
      </c>
      <c r="I125">
        <f>regressions!$P$1*B125^2+regressions!$P$2*B125^7</f>
        <v>-1.8588927537592916E-2</v>
      </c>
      <c r="J125">
        <f>regressions!$T$2+regressions!$T$1*EXP(B125)</f>
        <v>-2.9276636393377239E-3</v>
      </c>
      <c r="K125" s="8">
        <f>(1-EXP(-2*regressions!$X$1*B125))/2/EXP(-regressions!$X$1*B125)</f>
        <v>-0.1298695938544327</v>
      </c>
      <c r="M125" s="33">
        <v>0.31818978686165267</v>
      </c>
      <c r="N125">
        <f t="shared" si="21"/>
        <v>-0.12917082576698097</v>
      </c>
      <c r="O125">
        <f>IF($B125&lt;=regressions!$L$2,$B125*regressions!$L$1,regressions!$L$1*regressions!$L$2+regressions!$L$3*($B125-regressions!$L$2))</f>
        <v>-0.25289082666077056</v>
      </c>
      <c r="P125">
        <f>regressions!$J$1*M125+regressions!$J$2*M125^2</f>
        <v>-0.15252213064962702</v>
      </c>
      <c r="Q125">
        <f>regressions!$V$1*M125</f>
        <v>-0.25289082737471352</v>
      </c>
      <c r="R125">
        <f>regressions!$N$1*M125^2</f>
        <v>-1.7641375969781079E-2</v>
      </c>
      <c r="S125">
        <f>regressions!$R$1*M125^2+regressions!$R$2*M125^6</f>
        <v>-1.9214632060366926E-2</v>
      </c>
      <c r="T125">
        <f>regressions!$P$1*M125^2+regressions!$P$2*M125^7</f>
        <v>-1.8588927537592916E-2</v>
      </c>
      <c r="U125">
        <f>regressions!$T$2+regressions!$T$1*EXP(M125)</f>
        <v>-2.9276636393377239E-3</v>
      </c>
      <c r="V125" s="8">
        <f>(1-EXP(-2*regressions!$X$1*M125))/2/EXP(-regressions!$X$1*M125)</f>
        <v>-0.1298695938544327</v>
      </c>
      <c r="X125" s="33">
        <v>0.31818978686165267</v>
      </c>
      <c r="Y125">
        <f t="shared" si="22"/>
        <v>-0.12917082576698097</v>
      </c>
      <c r="Z125">
        <f>IF($B125&lt;=regressions!$L$2,$B125*regressions!$L$1,regressions!$L$1*regressions!$L$2+regressions!$L$3*($B125-regressions!$L$2))</f>
        <v>-0.25289082666077056</v>
      </c>
      <c r="AA125">
        <f>regressions!$J$1*X125+regressions!$J$2*X125^2</f>
        <v>-0.15252213064962702</v>
      </c>
      <c r="AB125">
        <f>regressions!$V$1*X125</f>
        <v>-0.25289082737471352</v>
      </c>
      <c r="AC125">
        <f>regressions!$N$1*X125^2</f>
        <v>-1.7641375969781079E-2</v>
      </c>
      <c r="AD125">
        <f>regressions!$R$1*X125^2+regressions!$R$2*X125^6</f>
        <v>-1.9214632060366926E-2</v>
      </c>
      <c r="AE125">
        <f>regressions!$P$1*X125^2+regressions!$P$2*X125^7</f>
        <v>-1.8588927537592916E-2</v>
      </c>
      <c r="AF125">
        <f>regressions!$T$2+regressions!$T$1*EXP(X125)</f>
        <v>-2.9276636393377239E-3</v>
      </c>
      <c r="AG125" s="8">
        <f>(1-EXP(-2*regressions!$X$1*X125))/2/EXP(-regressions!$X$1*X125)</f>
        <v>-0.1298695938544327</v>
      </c>
      <c r="AH125" s="8"/>
      <c r="AI125" s="33">
        <v>0.31818978686165267</v>
      </c>
      <c r="AJ125">
        <f t="shared" si="23"/>
        <v>-0.12917082576698097</v>
      </c>
      <c r="AK125">
        <f>IF(AI125&lt;=regressions!$L$2,AI125*regressions!$L$1,regressions!$L$1*regressions!$L$2+regressions!$L$3*(AI125-regressions!$L$2))</f>
        <v>-0.25289082666077056</v>
      </c>
      <c r="AL125">
        <f>regressions!$J$1*AI125+regressions!$J$2*AI125^2</f>
        <v>-0.15252213064962702</v>
      </c>
      <c r="AM125">
        <f>regressions!$V$1*AI125</f>
        <v>-0.25289082737471352</v>
      </c>
      <c r="AN125">
        <f>regressions!$N$1*AI125^2</f>
        <v>-1.7641375969781079E-2</v>
      </c>
      <c r="AO125">
        <f>regressions!$R$1*AI125^2+regressions!$R$2*AI125^6</f>
        <v>-1.9214632060366926E-2</v>
      </c>
      <c r="AP125">
        <f>regressions!$P$1*AI125^2+regressions!$P$2*AI125^7</f>
        <v>-1.8588927537592916E-2</v>
      </c>
      <c r="AQ125">
        <f>regressions!$T$2+regressions!$T$1*EXP(AI125)</f>
        <v>-2.9276636393377239E-3</v>
      </c>
      <c r="AR125" s="8">
        <f>(1-EXP(-2*regressions!$X$1*AI125))/2/EXP(-regressions!$X$1*AI125)</f>
        <v>-0.1298695938544327</v>
      </c>
      <c r="AT125" s="33">
        <v>0.31818978686165267</v>
      </c>
      <c r="AU125">
        <f t="shared" si="24"/>
        <v>-0.12917082576698097</v>
      </c>
      <c r="AV125">
        <f>IF(AT125&lt;=regressions!$L$2,AT125*regressions!$L$1,regressions!$L$1*regressions!$L$2+regressions!$L$3*(AT125-regressions!$L$2))</f>
        <v>-0.25289082666077056</v>
      </c>
      <c r="AW125">
        <f>regressions!$J$1*AT125+regressions!$J$2*AT125^2</f>
        <v>-0.15252213064962702</v>
      </c>
      <c r="AX125">
        <f>regressions!$V$1*AT125</f>
        <v>-0.25289082737471352</v>
      </c>
      <c r="AY125">
        <f>regressions!$N$1*AT125^2</f>
        <v>-1.7641375969781079E-2</v>
      </c>
      <c r="AZ125">
        <f>regressions!$R$1*AT125^2+regressions!$R$2*AT125^6</f>
        <v>-1.9214632060366926E-2</v>
      </c>
      <c r="BA125">
        <f>regressions!$P$1*AT125^2+regressions!$P$2*AT125^7</f>
        <v>-1.8588927537592916E-2</v>
      </c>
      <c r="BB125">
        <f>regressions!$T$2+regressions!$T$1*EXP(AT125)</f>
        <v>-2.9276636393377239E-3</v>
      </c>
      <c r="BC125" s="8">
        <f>(1-EXP(-2*regressions!$X$1*AT125))/2/EXP(-regressions!$X$1*AT125)</f>
        <v>-0.1298695938544327</v>
      </c>
      <c r="BE125">
        <f t="shared" si="25"/>
        <v>0</v>
      </c>
      <c r="BF125">
        <f t="shared" si="16"/>
        <v>0</v>
      </c>
      <c r="BG125">
        <f t="shared" si="17"/>
        <v>0</v>
      </c>
      <c r="BH125">
        <f>BG125+regressions!$AR$1*(AI125-B125)</f>
        <v>0</v>
      </c>
      <c r="BI125">
        <f>BG125-regressions!$AO$1*(AI125-B125)</f>
        <v>0</v>
      </c>
      <c r="BJ125">
        <f t="shared" si="18"/>
        <v>0</v>
      </c>
      <c r="BK125">
        <f>BJ125+regressions!$AR$1*(AT125-B125)</f>
        <v>0</v>
      </c>
      <c r="BL125">
        <f>BJ125-regressions!$AO$1*(AT125-B125)</f>
        <v>0</v>
      </c>
      <c r="BM125">
        <f t="shared" si="26"/>
        <v>0</v>
      </c>
      <c r="BN125">
        <f t="shared" si="19"/>
        <v>0</v>
      </c>
      <c r="BO125">
        <f t="shared" si="20"/>
        <v>0</v>
      </c>
      <c r="BP125">
        <f t="shared" si="27"/>
        <v>0</v>
      </c>
      <c r="BQ125">
        <f t="shared" si="28"/>
        <v>0</v>
      </c>
      <c r="BR125">
        <f t="shared" si="29"/>
        <v>0</v>
      </c>
    </row>
    <row r="126" spans="1:70" x14ac:dyDescent="0.35">
      <c r="A126">
        <v>1973</v>
      </c>
      <c r="B126" s="33">
        <v>0.32803280184267269</v>
      </c>
      <c r="C126">
        <f t="shared" si="30"/>
        <v>-0.13343003702362757</v>
      </c>
      <c r="D126">
        <f>IF($B126&lt;=regressions!$L$2,$B126*regressions!$L$1,regressions!$L$1*regressions!$L$2+regressions!$L$3*($B126-regressions!$L$2))</f>
        <v>-0.26071385649443019</v>
      </c>
      <c r="E126">
        <f>regressions!$J$1*B126+regressions!$J$2*B126^2</f>
        <v>-0.15750421672672216</v>
      </c>
      <c r="F126">
        <f>regressions!$V$1*B126</f>
        <v>-0.26071385723045853</v>
      </c>
      <c r="G126">
        <f>regressions!$N$1*B126^2</f>
        <v>-1.8749708971698552E-2</v>
      </c>
      <c r="H126">
        <f>regressions!$R$1*B126^2+regressions!$R$2*B126^6</f>
        <v>-2.0421804511724269E-2</v>
      </c>
      <c r="I126">
        <f>regressions!$P$1*B126^2+regressions!$P$2*B126^7</f>
        <v>-1.9756791138001974E-2</v>
      </c>
      <c r="J126">
        <f>regressions!$T$2+regressions!$T$1*EXP(B126)</f>
        <v>-3.0339226379980534E-3</v>
      </c>
      <c r="K126" s="8">
        <f>(1-EXP(-2*regressions!$X$1*B126))/2/EXP(-regressions!$X$1*B126)</f>
        <v>-0.13391052207009976</v>
      </c>
      <c r="M126" s="33">
        <v>0.32803280184267269</v>
      </c>
      <c r="N126">
        <f t="shared" si="21"/>
        <v>-0.13343003702362757</v>
      </c>
      <c r="O126">
        <f>IF($B126&lt;=regressions!$L$2,$B126*regressions!$L$1,regressions!$L$1*regressions!$L$2+regressions!$L$3*($B126-regressions!$L$2))</f>
        <v>-0.26071385649443019</v>
      </c>
      <c r="P126">
        <f>regressions!$J$1*M126+regressions!$J$2*M126^2</f>
        <v>-0.15750421672672216</v>
      </c>
      <c r="Q126">
        <f>regressions!$V$1*M126</f>
        <v>-0.26071385723045853</v>
      </c>
      <c r="R126">
        <f>regressions!$N$1*M126^2</f>
        <v>-1.8749708971698552E-2</v>
      </c>
      <c r="S126">
        <f>regressions!$R$1*M126^2+regressions!$R$2*M126^6</f>
        <v>-2.0421804511724269E-2</v>
      </c>
      <c r="T126">
        <f>regressions!$P$1*M126^2+regressions!$P$2*M126^7</f>
        <v>-1.9756791138001974E-2</v>
      </c>
      <c r="U126">
        <f>regressions!$T$2+regressions!$T$1*EXP(M126)</f>
        <v>-3.0339226379980534E-3</v>
      </c>
      <c r="V126" s="8">
        <f>(1-EXP(-2*regressions!$X$1*M126))/2/EXP(-regressions!$X$1*M126)</f>
        <v>-0.13391052207009976</v>
      </c>
      <c r="X126" s="33">
        <v>0.32803280184267269</v>
      </c>
      <c r="Y126">
        <f t="shared" si="22"/>
        <v>-0.13343003702362757</v>
      </c>
      <c r="Z126">
        <f>IF($B126&lt;=regressions!$L$2,$B126*regressions!$L$1,regressions!$L$1*regressions!$L$2+regressions!$L$3*($B126-regressions!$L$2))</f>
        <v>-0.26071385649443019</v>
      </c>
      <c r="AA126">
        <f>regressions!$J$1*X126+regressions!$J$2*X126^2</f>
        <v>-0.15750421672672216</v>
      </c>
      <c r="AB126">
        <f>regressions!$V$1*X126</f>
        <v>-0.26071385723045853</v>
      </c>
      <c r="AC126">
        <f>regressions!$N$1*X126^2</f>
        <v>-1.8749708971698552E-2</v>
      </c>
      <c r="AD126">
        <f>regressions!$R$1*X126^2+regressions!$R$2*X126^6</f>
        <v>-2.0421804511724269E-2</v>
      </c>
      <c r="AE126">
        <f>regressions!$P$1*X126^2+regressions!$P$2*X126^7</f>
        <v>-1.9756791138001974E-2</v>
      </c>
      <c r="AF126">
        <f>regressions!$T$2+regressions!$T$1*EXP(X126)</f>
        <v>-3.0339226379980534E-3</v>
      </c>
      <c r="AG126" s="8">
        <f>(1-EXP(-2*regressions!$X$1*X126))/2/EXP(-regressions!$X$1*X126)</f>
        <v>-0.13391052207009976</v>
      </c>
      <c r="AH126" s="8"/>
      <c r="AI126" s="33">
        <v>0.32803280184267269</v>
      </c>
      <c r="AJ126">
        <f t="shared" si="23"/>
        <v>-0.13343003702362757</v>
      </c>
      <c r="AK126">
        <f>IF(AI126&lt;=regressions!$L$2,AI126*regressions!$L$1,regressions!$L$1*regressions!$L$2+regressions!$L$3*(AI126-regressions!$L$2))</f>
        <v>-0.26071385649443019</v>
      </c>
      <c r="AL126">
        <f>regressions!$J$1*AI126+regressions!$J$2*AI126^2</f>
        <v>-0.15750421672672216</v>
      </c>
      <c r="AM126">
        <f>regressions!$V$1*AI126</f>
        <v>-0.26071385723045853</v>
      </c>
      <c r="AN126">
        <f>regressions!$N$1*AI126^2</f>
        <v>-1.8749708971698552E-2</v>
      </c>
      <c r="AO126">
        <f>regressions!$R$1*AI126^2+regressions!$R$2*AI126^6</f>
        <v>-2.0421804511724269E-2</v>
      </c>
      <c r="AP126">
        <f>regressions!$P$1*AI126^2+regressions!$P$2*AI126^7</f>
        <v>-1.9756791138001974E-2</v>
      </c>
      <c r="AQ126">
        <f>regressions!$T$2+regressions!$T$1*EXP(AI126)</f>
        <v>-3.0339226379980534E-3</v>
      </c>
      <c r="AR126" s="8">
        <f>(1-EXP(-2*regressions!$X$1*AI126))/2/EXP(-regressions!$X$1*AI126)</f>
        <v>-0.13391052207009976</v>
      </c>
      <c r="AT126" s="33">
        <v>0.32803280184267269</v>
      </c>
      <c r="AU126">
        <f t="shared" si="24"/>
        <v>-0.13343003702362757</v>
      </c>
      <c r="AV126">
        <f>IF(AT126&lt;=regressions!$L$2,AT126*regressions!$L$1,regressions!$L$1*regressions!$L$2+regressions!$L$3*(AT126-regressions!$L$2))</f>
        <v>-0.26071385649443019</v>
      </c>
      <c r="AW126">
        <f>regressions!$J$1*AT126+regressions!$J$2*AT126^2</f>
        <v>-0.15750421672672216</v>
      </c>
      <c r="AX126">
        <f>regressions!$V$1*AT126</f>
        <v>-0.26071385723045853</v>
      </c>
      <c r="AY126">
        <f>regressions!$N$1*AT126^2</f>
        <v>-1.8749708971698552E-2</v>
      </c>
      <c r="AZ126">
        <f>regressions!$R$1*AT126^2+regressions!$R$2*AT126^6</f>
        <v>-2.0421804511724269E-2</v>
      </c>
      <c r="BA126">
        <f>regressions!$P$1*AT126^2+regressions!$P$2*AT126^7</f>
        <v>-1.9756791138001974E-2</v>
      </c>
      <c r="BB126">
        <f>regressions!$T$2+regressions!$T$1*EXP(AT126)</f>
        <v>-3.0339226379980534E-3</v>
      </c>
      <c r="BC126" s="8">
        <f>(1-EXP(-2*regressions!$X$1*AT126))/2/EXP(-regressions!$X$1*AT126)</f>
        <v>-0.13391052207009976</v>
      </c>
      <c r="BE126">
        <f t="shared" si="25"/>
        <v>0</v>
      </c>
      <c r="BF126">
        <f t="shared" si="16"/>
        <v>0</v>
      </c>
      <c r="BG126">
        <f t="shared" si="17"/>
        <v>0</v>
      </c>
      <c r="BH126">
        <f>BG126+regressions!$AR$1*(AI126-B126)</f>
        <v>0</v>
      </c>
      <c r="BI126">
        <f>BG126-regressions!$AO$1*(AI126-B126)</f>
        <v>0</v>
      </c>
      <c r="BJ126">
        <f t="shared" si="18"/>
        <v>0</v>
      </c>
      <c r="BK126">
        <f>BJ126+regressions!$AR$1*(AT126-B126)</f>
        <v>0</v>
      </c>
      <c r="BL126">
        <f>BJ126-regressions!$AO$1*(AT126-B126)</f>
        <v>0</v>
      </c>
      <c r="BM126">
        <f t="shared" si="26"/>
        <v>0</v>
      </c>
      <c r="BN126">
        <f t="shared" si="19"/>
        <v>0</v>
      </c>
      <c r="BO126">
        <f t="shared" si="20"/>
        <v>0</v>
      </c>
      <c r="BP126">
        <f t="shared" si="27"/>
        <v>0</v>
      </c>
      <c r="BQ126">
        <f t="shared" si="28"/>
        <v>0</v>
      </c>
      <c r="BR126">
        <f t="shared" si="29"/>
        <v>0</v>
      </c>
    </row>
    <row r="127" spans="1:70" x14ac:dyDescent="0.35">
      <c r="A127">
        <v>1974</v>
      </c>
      <c r="B127" s="33">
        <v>0.3383001897343027</v>
      </c>
      <c r="C127">
        <f t="shared" si="30"/>
        <v>-0.13788986088888458</v>
      </c>
      <c r="D127">
        <f>IF($B127&lt;=regressions!$L$2,$B127*regressions!$L$1,regressions!$L$1*regressions!$L$2+regressions!$L$3*($B127-regressions!$L$2))</f>
        <v>-0.26887416936044323</v>
      </c>
      <c r="E127">
        <f>regressions!$J$1*B127+regressions!$J$2*B127^2</f>
        <v>-0.16271797745535768</v>
      </c>
      <c r="F127">
        <f>regressions!$V$1*B127</f>
        <v>-0.2688741701195092</v>
      </c>
      <c r="G127">
        <f>regressions!$N$1*B127^2</f>
        <v>-1.9941805080703701E-2</v>
      </c>
      <c r="H127">
        <f>regressions!$R$1*B127^2+regressions!$R$2*B127^6</f>
        <v>-2.1720209615094882E-2</v>
      </c>
      <c r="I127">
        <f>regressions!$P$1*B127^2+regressions!$P$2*B127^7</f>
        <v>-2.1012916901843419E-2</v>
      </c>
      <c r="J127">
        <f>regressions!$T$2+regressions!$T$1*EXP(B127)</f>
        <v>-3.1458830828453768E-3</v>
      </c>
      <c r="K127" s="8">
        <f>(1-EXP(-2*regressions!$X$1*B127))/2/EXP(-regressions!$X$1*B127)</f>
        <v>-0.13812796258039414</v>
      </c>
      <c r="M127" s="33">
        <v>0.3383001897343027</v>
      </c>
      <c r="N127">
        <f t="shared" si="21"/>
        <v>-0.13788986088888458</v>
      </c>
      <c r="O127">
        <f>IF($B127&lt;=regressions!$L$2,$B127*regressions!$L$1,regressions!$L$1*regressions!$L$2+regressions!$L$3*($B127-regressions!$L$2))</f>
        <v>-0.26887416936044323</v>
      </c>
      <c r="P127">
        <f>regressions!$J$1*M127+regressions!$J$2*M127^2</f>
        <v>-0.16271797745535768</v>
      </c>
      <c r="Q127">
        <f>regressions!$V$1*M127</f>
        <v>-0.2688741701195092</v>
      </c>
      <c r="R127">
        <f>regressions!$N$1*M127^2</f>
        <v>-1.9941805080703701E-2</v>
      </c>
      <c r="S127">
        <f>regressions!$R$1*M127^2+regressions!$R$2*M127^6</f>
        <v>-2.1720209615094882E-2</v>
      </c>
      <c r="T127">
        <f>regressions!$P$1*M127^2+regressions!$P$2*M127^7</f>
        <v>-2.1012916901843419E-2</v>
      </c>
      <c r="U127">
        <f>regressions!$T$2+regressions!$T$1*EXP(M127)</f>
        <v>-3.1458830828453768E-3</v>
      </c>
      <c r="V127" s="8">
        <f>(1-EXP(-2*regressions!$X$1*M127))/2/EXP(-regressions!$X$1*M127)</f>
        <v>-0.13812796258039414</v>
      </c>
      <c r="X127" s="33">
        <v>0.3383001897343027</v>
      </c>
      <c r="Y127">
        <f t="shared" si="22"/>
        <v>-0.13788986088888458</v>
      </c>
      <c r="Z127">
        <f>IF($B127&lt;=regressions!$L$2,$B127*regressions!$L$1,regressions!$L$1*regressions!$L$2+regressions!$L$3*($B127-regressions!$L$2))</f>
        <v>-0.26887416936044323</v>
      </c>
      <c r="AA127">
        <f>regressions!$J$1*X127+regressions!$J$2*X127^2</f>
        <v>-0.16271797745535768</v>
      </c>
      <c r="AB127">
        <f>regressions!$V$1*X127</f>
        <v>-0.2688741701195092</v>
      </c>
      <c r="AC127">
        <f>regressions!$N$1*X127^2</f>
        <v>-1.9941805080703701E-2</v>
      </c>
      <c r="AD127">
        <f>regressions!$R$1*X127^2+regressions!$R$2*X127^6</f>
        <v>-2.1720209615094882E-2</v>
      </c>
      <c r="AE127">
        <f>regressions!$P$1*X127^2+regressions!$P$2*X127^7</f>
        <v>-2.1012916901843419E-2</v>
      </c>
      <c r="AF127">
        <f>regressions!$T$2+regressions!$T$1*EXP(X127)</f>
        <v>-3.1458830828453768E-3</v>
      </c>
      <c r="AG127" s="8">
        <f>(1-EXP(-2*regressions!$X$1*X127))/2/EXP(-regressions!$X$1*X127)</f>
        <v>-0.13812796258039414</v>
      </c>
      <c r="AH127" s="8"/>
      <c r="AI127" s="33">
        <v>0.3383001897343027</v>
      </c>
      <c r="AJ127">
        <f t="shared" si="23"/>
        <v>-0.13788986088888458</v>
      </c>
      <c r="AK127">
        <f>IF(AI127&lt;=regressions!$L$2,AI127*regressions!$L$1,regressions!$L$1*regressions!$L$2+regressions!$L$3*(AI127-regressions!$L$2))</f>
        <v>-0.26887416936044323</v>
      </c>
      <c r="AL127">
        <f>regressions!$J$1*AI127+regressions!$J$2*AI127^2</f>
        <v>-0.16271797745535768</v>
      </c>
      <c r="AM127">
        <f>regressions!$V$1*AI127</f>
        <v>-0.2688741701195092</v>
      </c>
      <c r="AN127">
        <f>regressions!$N$1*AI127^2</f>
        <v>-1.9941805080703701E-2</v>
      </c>
      <c r="AO127">
        <f>regressions!$R$1*AI127^2+regressions!$R$2*AI127^6</f>
        <v>-2.1720209615094882E-2</v>
      </c>
      <c r="AP127">
        <f>regressions!$P$1*AI127^2+regressions!$P$2*AI127^7</f>
        <v>-2.1012916901843419E-2</v>
      </c>
      <c r="AQ127">
        <f>regressions!$T$2+regressions!$T$1*EXP(AI127)</f>
        <v>-3.1458830828453768E-3</v>
      </c>
      <c r="AR127" s="8">
        <f>(1-EXP(-2*regressions!$X$1*AI127))/2/EXP(-regressions!$X$1*AI127)</f>
        <v>-0.13812796258039414</v>
      </c>
      <c r="AT127" s="33">
        <v>0.3383001897343027</v>
      </c>
      <c r="AU127">
        <f t="shared" si="24"/>
        <v>-0.13788986088888458</v>
      </c>
      <c r="AV127">
        <f>IF(AT127&lt;=regressions!$L$2,AT127*regressions!$L$1,regressions!$L$1*regressions!$L$2+regressions!$L$3*(AT127-regressions!$L$2))</f>
        <v>-0.26887416936044323</v>
      </c>
      <c r="AW127">
        <f>regressions!$J$1*AT127+regressions!$J$2*AT127^2</f>
        <v>-0.16271797745535768</v>
      </c>
      <c r="AX127">
        <f>regressions!$V$1*AT127</f>
        <v>-0.2688741701195092</v>
      </c>
      <c r="AY127">
        <f>regressions!$N$1*AT127^2</f>
        <v>-1.9941805080703701E-2</v>
      </c>
      <c r="AZ127">
        <f>regressions!$R$1*AT127^2+regressions!$R$2*AT127^6</f>
        <v>-2.1720209615094882E-2</v>
      </c>
      <c r="BA127">
        <f>regressions!$P$1*AT127^2+regressions!$P$2*AT127^7</f>
        <v>-2.1012916901843419E-2</v>
      </c>
      <c r="BB127">
        <f>regressions!$T$2+regressions!$T$1*EXP(AT127)</f>
        <v>-3.1458830828453768E-3</v>
      </c>
      <c r="BC127" s="8">
        <f>(1-EXP(-2*regressions!$X$1*AT127))/2/EXP(-regressions!$X$1*AT127)</f>
        <v>-0.13812796258039414</v>
      </c>
      <c r="BE127">
        <f t="shared" si="25"/>
        <v>0</v>
      </c>
      <c r="BF127">
        <f t="shared" si="16"/>
        <v>0</v>
      </c>
      <c r="BG127">
        <f t="shared" si="17"/>
        <v>0</v>
      </c>
      <c r="BH127">
        <f>BG127+regressions!$AR$1*(AI127-B127)</f>
        <v>0</v>
      </c>
      <c r="BI127">
        <f>BG127-regressions!$AO$1*(AI127-B127)</f>
        <v>0</v>
      </c>
      <c r="BJ127">
        <f t="shared" si="18"/>
        <v>0</v>
      </c>
      <c r="BK127">
        <f>BJ127+regressions!$AR$1*(AT127-B127)</f>
        <v>0</v>
      </c>
      <c r="BL127">
        <f>BJ127-regressions!$AO$1*(AT127-B127)</f>
        <v>0</v>
      </c>
      <c r="BM127">
        <f t="shared" si="26"/>
        <v>0</v>
      </c>
      <c r="BN127">
        <f t="shared" si="19"/>
        <v>0</v>
      </c>
      <c r="BO127">
        <f t="shared" si="20"/>
        <v>0</v>
      </c>
      <c r="BP127">
        <f t="shared" si="27"/>
        <v>0</v>
      </c>
      <c r="BQ127">
        <f t="shared" si="28"/>
        <v>0</v>
      </c>
      <c r="BR127">
        <f t="shared" si="29"/>
        <v>0</v>
      </c>
    </row>
    <row r="128" spans="1:70" x14ac:dyDescent="0.35">
      <c r="A128">
        <v>1975</v>
      </c>
      <c r="B128" s="33">
        <v>0.34896108560374145</v>
      </c>
      <c r="C128">
        <f t="shared" si="30"/>
        <v>-0.14253897383405328</v>
      </c>
      <c r="D128">
        <f>IF($B128&lt;=regressions!$L$2,$B128*regressions!$L$1,regressions!$L$1*regressions!$L$2+regressions!$L$3*($B128-regressions!$L$2))</f>
        <v>-0.27734723443257575</v>
      </c>
      <c r="E128">
        <f>regressions!$J$1*B128+regressions!$J$2*B128^2</f>
        <v>-0.16814979668292465</v>
      </c>
      <c r="F128">
        <f>regressions!$V$1*B128</f>
        <v>-0.27734723521556226</v>
      </c>
      <c r="G128">
        <f>regressions!$N$1*B128^2</f>
        <v>-2.1218465985937976E-2</v>
      </c>
      <c r="H128">
        <f>regressions!$R$1*B128^2+regressions!$R$2*B128^6</f>
        <v>-2.3110720458791572E-2</v>
      </c>
      <c r="I128">
        <f>regressions!$P$1*B128^2+regressions!$P$2*B128^7</f>
        <v>-2.2358149573886051E-2</v>
      </c>
      <c r="J128">
        <f>regressions!$T$2+regressions!$T$1*EXP(B128)</f>
        <v>-3.2633574232728991E-3</v>
      </c>
      <c r="K128" s="8">
        <f>(1-EXP(-2*regressions!$X$1*B128))/2/EXP(-regressions!$X$1*B128)</f>
        <v>-0.14250959441459299</v>
      </c>
      <c r="M128" s="33">
        <v>0.34896108560374145</v>
      </c>
      <c r="N128">
        <f t="shared" si="21"/>
        <v>-0.14253897383405328</v>
      </c>
      <c r="O128">
        <f>IF($B128&lt;=regressions!$L$2,$B128*regressions!$L$1,regressions!$L$1*regressions!$L$2+regressions!$L$3*($B128-regressions!$L$2))</f>
        <v>-0.27734723443257575</v>
      </c>
      <c r="P128">
        <f>regressions!$J$1*M128+regressions!$J$2*M128^2</f>
        <v>-0.16814979668292465</v>
      </c>
      <c r="Q128">
        <f>regressions!$V$1*M128</f>
        <v>-0.27734723521556226</v>
      </c>
      <c r="R128">
        <f>regressions!$N$1*M128^2</f>
        <v>-2.1218465985937976E-2</v>
      </c>
      <c r="S128">
        <f>regressions!$R$1*M128^2+regressions!$R$2*M128^6</f>
        <v>-2.3110720458791572E-2</v>
      </c>
      <c r="T128">
        <f>regressions!$P$1*M128^2+regressions!$P$2*M128^7</f>
        <v>-2.2358149573886051E-2</v>
      </c>
      <c r="U128">
        <f>regressions!$T$2+regressions!$T$1*EXP(M128)</f>
        <v>-3.2633574232728991E-3</v>
      </c>
      <c r="V128" s="8">
        <f>(1-EXP(-2*regressions!$X$1*M128))/2/EXP(-regressions!$X$1*M128)</f>
        <v>-0.14250959441459299</v>
      </c>
      <c r="X128" s="33">
        <v>0.34896108560374145</v>
      </c>
      <c r="Y128">
        <f t="shared" si="22"/>
        <v>-0.14253897383405328</v>
      </c>
      <c r="Z128">
        <f>IF($B128&lt;=regressions!$L$2,$B128*regressions!$L$1,regressions!$L$1*regressions!$L$2+regressions!$L$3*($B128-regressions!$L$2))</f>
        <v>-0.27734723443257575</v>
      </c>
      <c r="AA128">
        <f>regressions!$J$1*X128+regressions!$J$2*X128^2</f>
        <v>-0.16814979668292465</v>
      </c>
      <c r="AB128">
        <f>regressions!$V$1*X128</f>
        <v>-0.27734723521556226</v>
      </c>
      <c r="AC128">
        <f>regressions!$N$1*X128^2</f>
        <v>-2.1218465985937976E-2</v>
      </c>
      <c r="AD128">
        <f>regressions!$R$1*X128^2+regressions!$R$2*X128^6</f>
        <v>-2.3110720458791572E-2</v>
      </c>
      <c r="AE128">
        <f>regressions!$P$1*X128^2+regressions!$P$2*X128^7</f>
        <v>-2.2358149573886051E-2</v>
      </c>
      <c r="AF128">
        <f>regressions!$T$2+regressions!$T$1*EXP(X128)</f>
        <v>-3.2633574232728991E-3</v>
      </c>
      <c r="AG128" s="8">
        <f>(1-EXP(-2*regressions!$X$1*X128))/2/EXP(-regressions!$X$1*X128)</f>
        <v>-0.14250959441459299</v>
      </c>
      <c r="AH128" s="8"/>
      <c r="AI128" s="33">
        <v>0.34896108560374145</v>
      </c>
      <c r="AJ128">
        <f t="shared" si="23"/>
        <v>-0.14253897383405328</v>
      </c>
      <c r="AK128">
        <f>IF(AI128&lt;=regressions!$L$2,AI128*regressions!$L$1,regressions!$L$1*regressions!$L$2+regressions!$L$3*(AI128-regressions!$L$2))</f>
        <v>-0.27734723443257575</v>
      </c>
      <c r="AL128">
        <f>regressions!$J$1*AI128+regressions!$J$2*AI128^2</f>
        <v>-0.16814979668292465</v>
      </c>
      <c r="AM128">
        <f>regressions!$V$1*AI128</f>
        <v>-0.27734723521556226</v>
      </c>
      <c r="AN128">
        <f>regressions!$N$1*AI128^2</f>
        <v>-2.1218465985937976E-2</v>
      </c>
      <c r="AO128">
        <f>regressions!$R$1*AI128^2+regressions!$R$2*AI128^6</f>
        <v>-2.3110720458791572E-2</v>
      </c>
      <c r="AP128">
        <f>regressions!$P$1*AI128^2+regressions!$P$2*AI128^7</f>
        <v>-2.2358149573886051E-2</v>
      </c>
      <c r="AQ128">
        <f>regressions!$T$2+regressions!$T$1*EXP(AI128)</f>
        <v>-3.2633574232728991E-3</v>
      </c>
      <c r="AR128" s="8">
        <f>(1-EXP(-2*regressions!$X$1*AI128))/2/EXP(-regressions!$X$1*AI128)</f>
        <v>-0.14250959441459299</v>
      </c>
      <c r="AT128" s="33">
        <v>0.34896108560374145</v>
      </c>
      <c r="AU128">
        <f t="shared" si="24"/>
        <v>-0.14253897383405328</v>
      </c>
      <c r="AV128">
        <f>IF(AT128&lt;=regressions!$L$2,AT128*regressions!$L$1,regressions!$L$1*regressions!$L$2+regressions!$L$3*(AT128-regressions!$L$2))</f>
        <v>-0.27734723443257575</v>
      </c>
      <c r="AW128">
        <f>regressions!$J$1*AT128+regressions!$J$2*AT128^2</f>
        <v>-0.16814979668292465</v>
      </c>
      <c r="AX128">
        <f>regressions!$V$1*AT128</f>
        <v>-0.27734723521556226</v>
      </c>
      <c r="AY128">
        <f>regressions!$N$1*AT128^2</f>
        <v>-2.1218465985937976E-2</v>
      </c>
      <c r="AZ128">
        <f>regressions!$R$1*AT128^2+regressions!$R$2*AT128^6</f>
        <v>-2.3110720458791572E-2</v>
      </c>
      <c r="BA128">
        <f>regressions!$P$1*AT128^2+regressions!$P$2*AT128^7</f>
        <v>-2.2358149573886051E-2</v>
      </c>
      <c r="BB128">
        <f>regressions!$T$2+regressions!$T$1*EXP(AT128)</f>
        <v>-3.2633574232728991E-3</v>
      </c>
      <c r="BC128" s="8">
        <f>(1-EXP(-2*regressions!$X$1*AT128))/2/EXP(-regressions!$X$1*AT128)</f>
        <v>-0.14250959441459299</v>
      </c>
      <c r="BE128">
        <f t="shared" si="25"/>
        <v>0</v>
      </c>
      <c r="BF128">
        <f t="shared" si="16"/>
        <v>0</v>
      </c>
      <c r="BG128">
        <f t="shared" si="17"/>
        <v>0</v>
      </c>
      <c r="BH128">
        <f>BG128+regressions!$AR$1*(AI128-B128)</f>
        <v>0</v>
      </c>
      <c r="BI128">
        <f>BG128-regressions!$AO$1*(AI128-B128)</f>
        <v>0</v>
      </c>
      <c r="BJ128">
        <f t="shared" si="18"/>
        <v>0</v>
      </c>
      <c r="BK128">
        <f>BJ128+regressions!$AR$1*(AT128-B128)</f>
        <v>0</v>
      </c>
      <c r="BL128">
        <f>BJ128-regressions!$AO$1*(AT128-B128)</f>
        <v>0</v>
      </c>
      <c r="BM128">
        <f t="shared" si="26"/>
        <v>0</v>
      </c>
      <c r="BN128">
        <f t="shared" si="19"/>
        <v>0</v>
      </c>
      <c r="BO128">
        <f t="shared" si="20"/>
        <v>0</v>
      </c>
      <c r="BP128">
        <f t="shared" si="27"/>
        <v>0</v>
      </c>
      <c r="BQ128">
        <f t="shared" si="28"/>
        <v>0</v>
      </c>
      <c r="BR128">
        <f t="shared" si="29"/>
        <v>0</v>
      </c>
    </row>
    <row r="129" spans="1:70" x14ac:dyDescent="0.35">
      <c r="A129">
        <v>1976</v>
      </c>
      <c r="B129" s="33">
        <v>0.35997990987374023</v>
      </c>
      <c r="C129">
        <f t="shared" si="30"/>
        <v>-0.14736385065043009</v>
      </c>
      <c r="D129">
        <f>IF($B129&lt;=regressions!$L$2,$B129*regressions!$L$1,regressions!$L$1*regressions!$L$2+regressions!$L$3*($B129-regressions!$L$2))</f>
        <v>-0.28610477378025234</v>
      </c>
      <c r="E129">
        <f>regressions!$J$1*B129+regressions!$J$2*B129^2</f>
        <v>-0.17378350841329229</v>
      </c>
      <c r="F129">
        <f>regressions!$V$1*B129</f>
        <v>-0.28610477458796252</v>
      </c>
      <c r="G129">
        <f>regressions!$N$1*B129^2</f>
        <v>-2.2579613931244837E-2</v>
      </c>
      <c r="H129">
        <f>regressions!$R$1*B129^2+regressions!$R$2*B129^6</f>
        <v>-2.4593252243212779E-2</v>
      </c>
      <c r="I129">
        <f>regressions!$P$1*B129^2+regressions!$P$2*B129^7</f>
        <v>-2.379240721605411E-2</v>
      </c>
      <c r="J129">
        <f>regressions!$T$2+regressions!$T$1*EXP(B129)</f>
        <v>-3.3860991991871182E-3</v>
      </c>
      <c r="K129" s="8">
        <f>(1-EXP(-2*regressions!$X$1*B129))/2/EXP(-regressions!$X$1*B129)</f>
        <v>-0.14704115572216872</v>
      </c>
      <c r="M129" s="33">
        <v>0.35997990987374023</v>
      </c>
      <c r="N129">
        <f t="shared" si="21"/>
        <v>-0.14736385065043009</v>
      </c>
      <c r="O129">
        <f>IF($B129&lt;=regressions!$L$2,$B129*regressions!$L$1,regressions!$L$1*regressions!$L$2+regressions!$L$3*($B129-regressions!$L$2))</f>
        <v>-0.28610477378025234</v>
      </c>
      <c r="P129">
        <f>regressions!$J$1*M129+regressions!$J$2*M129^2</f>
        <v>-0.17378350841329229</v>
      </c>
      <c r="Q129">
        <f>regressions!$V$1*M129</f>
        <v>-0.28610477458796252</v>
      </c>
      <c r="R129">
        <f>regressions!$N$1*M129^2</f>
        <v>-2.2579613931244837E-2</v>
      </c>
      <c r="S129">
        <f>regressions!$R$1*M129^2+regressions!$R$2*M129^6</f>
        <v>-2.4593252243212779E-2</v>
      </c>
      <c r="T129">
        <f>regressions!$P$1*M129^2+regressions!$P$2*M129^7</f>
        <v>-2.379240721605411E-2</v>
      </c>
      <c r="U129">
        <f>regressions!$T$2+regressions!$T$1*EXP(M129)</f>
        <v>-3.3860991991871182E-3</v>
      </c>
      <c r="V129" s="8">
        <f>(1-EXP(-2*regressions!$X$1*M129))/2/EXP(-regressions!$X$1*M129)</f>
        <v>-0.14704115572216872</v>
      </c>
      <c r="X129" s="33">
        <v>0.35997990987374023</v>
      </c>
      <c r="Y129">
        <f t="shared" si="22"/>
        <v>-0.14736385065043009</v>
      </c>
      <c r="Z129">
        <f>IF($B129&lt;=regressions!$L$2,$B129*regressions!$L$1,regressions!$L$1*regressions!$L$2+regressions!$L$3*($B129-regressions!$L$2))</f>
        <v>-0.28610477378025234</v>
      </c>
      <c r="AA129">
        <f>regressions!$J$1*X129+regressions!$J$2*X129^2</f>
        <v>-0.17378350841329229</v>
      </c>
      <c r="AB129">
        <f>regressions!$V$1*X129</f>
        <v>-0.28610477458796252</v>
      </c>
      <c r="AC129">
        <f>regressions!$N$1*X129^2</f>
        <v>-2.2579613931244837E-2</v>
      </c>
      <c r="AD129">
        <f>regressions!$R$1*X129^2+regressions!$R$2*X129^6</f>
        <v>-2.4593252243212779E-2</v>
      </c>
      <c r="AE129">
        <f>regressions!$P$1*X129^2+regressions!$P$2*X129^7</f>
        <v>-2.379240721605411E-2</v>
      </c>
      <c r="AF129">
        <f>regressions!$T$2+regressions!$T$1*EXP(X129)</f>
        <v>-3.3860991991871182E-3</v>
      </c>
      <c r="AG129" s="8">
        <f>(1-EXP(-2*regressions!$X$1*X129))/2/EXP(-regressions!$X$1*X129)</f>
        <v>-0.14704115572216872</v>
      </c>
      <c r="AH129" s="8"/>
      <c r="AI129" s="33">
        <v>0.35997990987374023</v>
      </c>
      <c r="AJ129">
        <f t="shared" si="23"/>
        <v>-0.14736385065043009</v>
      </c>
      <c r="AK129">
        <f>IF(AI129&lt;=regressions!$L$2,AI129*regressions!$L$1,regressions!$L$1*regressions!$L$2+regressions!$L$3*(AI129-regressions!$L$2))</f>
        <v>-0.28610477378025234</v>
      </c>
      <c r="AL129">
        <f>regressions!$J$1*AI129+regressions!$J$2*AI129^2</f>
        <v>-0.17378350841329229</v>
      </c>
      <c r="AM129">
        <f>regressions!$V$1*AI129</f>
        <v>-0.28610477458796252</v>
      </c>
      <c r="AN129">
        <f>regressions!$N$1*AI129^2</f>
        <v>-2.2579613931244837E-2</v>
      </c>
      <c r="AO129">
        <f>regressions!$R$1*AI129^2+regressions!$R$2*AI129^6</f>
        <v>-2.4593252243212779E-2</v>
      </c>
      <c r="AP129">
        <f>regressions!$P$1*AI129^2+regressions!$P$2*AI129^7</f>
        <v>-2.379240721605411E-2</v>
      </c>
      <c r="AQ129">
        <f>regressions!$T$2+regressions!$T$1*EXP(AI129)</f>
        <v>-3.3860991991871182E-3</v>
      </c>
      <c r="AR129" s="8">
        <f>(1-EXP(-2*regressions!$X$1*AI129))/2/EXP(-regressions!$X$1*AI129)</f>
        <v>-0.14704115572216872</v>
      </c>
      <c r="AT129" s="33">
        <v>0.35997990987374023</v>
      </c>
      <c r="AU129">
        <f t="shared" si="24"/>
        <v>-0.14736385065043009</v>
      </c>
      <c r="AV129">
        <f>IF(AT129&lt;=regressions!$L$2,AT129*regressions!$L$1,regressions!$L$1*regressions!$L$2+regressions!$L$3*(AT129-regressions!$L$2))</f>
        <v>-0.28610477378025234</v>
      </c>
      <c r="AW129">
        <f>regressions!$J$1*AT129+regressions!$J$2*AT129^2</f>
        <v>-0.17378350841329229</v>
      </c>
      <c r="AX129">
        <f>regressions!$V$1*AT129</f>
        <v>-0.28610477458796252</v>
      </c>
      <c r="AY129">
        <f>regressions!$N$1*AT129^2</f>
        <v>-2.2579613931244837E-2</v>
      </c>
      <c r="AZ129">
        <f>regressions!$R$1*AT129^2+regressions!$R$2*AT129^6</f>
        <v>-2.4593252243212779E-2</v>
      </c>
      <c r="BA129">
        <f>regressions!$P$1*AT129^2+regressions!$P$2*AT129^7</f>
        <v>-2.379240721605411E-2</v>
      </c>
      <c r="BB129">
        <f>regressions!$T$2+regressions!$T$1*EXP(AT129)</f>
        <v>-3.3860991991871182E-3</v>
      </c>
      <c r="BC129" s="8">
        <f>(1-EXP(-2*regressions!$X$1*AT129))/2/EXP(-regressions!$X$1*AT129)</f>
        <v>-0.14704115572216872</v>
      </c>
      <c r="BE129">
        <f t="shared" si="25"/>
        <v>0</v>
      </c>
      <c r="BF129">
        <f t="shared" si="16"/>
        <v>0</v>
      </c>
      <c r="BG129">
        <f t="shared" si="17"/>
        <v>0</v>
      </c>
      <c r="BH129">
        <f>BG129+regressions!$AR$1*(AI129-B129)</f>
        <v>0</v>
      </c>
      <c r="BI129">
        <f>BG129-regressions!$AO$1*(AI129-B129)</f>
        <v>0</v>
      </c>
      <c r="BJ129">
        <f t="shared" si="18"/>
        <v>0</v>
      </c>
      <c r="BK129">
        <f>BJ129+regressions!$AR$1*(AT129-B129)</f>
        <v>0</v>
      </c>
      <c r="BL129">
        <f>BJ129-regressions!$AO$1*(AT129-B129)</f>
        <v>0</v>
      </c>
      <c r="BM129">
        <f t="shared" si="26"/>
        <v>0</v>
      </c>
      <c r="BN129">
        <f t="shared" si="19"/>
        <v>0</v>
      </c>
      <c r="BO129">
        <f t="shared" si="20"/>
        <v>0</v>
      </c>
      <c r="BP129">
        <f t="shared" si="27"/>
        <v>0</v>
      </c>
      <c r="BQ129">
        <f t="shared" si="28"/>
        <v>0</v>
      </c>
      <c r="BR129">
        <f t="shared" si="29"/>
        <v>0</v>
      </c>
    </row>
    <row r="130" spans="1:70" x14ac:dyDescent="0.35">
      <c r="A130">
        <v>1977</v>
      </c>
      <c r="B130" s="33">
        <v>0.3713930426551918</v>
      </c>
      <c r="C130">
        <f t="shared" si="30"/>
        <v>-0.15238248827596029</v>
      </c>
      <c r="D130">
        <f>IF($B130&lt;=regressions!$L$2,$B130*regressions!$L$1,regressions!$L$1*regressions!$L$2+regressions!$L$3*($B130-regressions!$L$2))</f>
        <v>-0.29517570158204681</v>
      </c>
      <c r="E130">
        <f>regressions!$J$1*B130+regressions!$J$2*B130^2</f>
        <v>-0.17963974773558755</v>
      </c>
      <c r="F130">
        <f>regressions!$V$1*B130</f>
        <v>-0.29517570241536534</v>
      </c>
      <c r="G130">
        <f>regressions!$N$1*B130^2</f>
        <v>-2.4034080520577889E-2</v>
      </c>
      <c r="H130">
        <f>regressions!$R$1*B130^2+regressions!$R$2*B130^6</f>
        <v>-2.6177424021752212E-2</v>
      </c>
      <c r="I130">
        <f>regressions!$P$1*B130^2+regressions!$P$2*B130^7</f>
        <v>-2.5324995786762321E-2</v>
      </c>
      <c r="J130">
        <f>regressions!$T$2+regressions!$T$1*EXP(B130)</f>
        <v>-3.5146672954659043E-3</v>
      </c>
      <c r="K130" s="8">
        <f>(1-EXP(-2*regressions!$X$1*B130))/2/EXP(-regressions!$X$1*B130)</f>
        <v>-0.15173799820428319</v>
      </c>
      <c r="M130" s="33">
        <v>0.3713930426551918</v>
      </c>
      <c r="N130">
        <f t="shared" si="21"/>
        <v>-0.15238248827596029</v>
      </c>
      <c r="O130">
        <f>IF($B130&lt;=regressions!$L$2,$B130*regressions!$L$1,regressions!$L$1*regressions!$L$2+regressions!$L$3*($B130-regressions!$L$2))</f>
        <v>-0.29517570158204681</v>
      </c>
      <c r="P130">
        <f>regressions!$J$1*M130+regressions!$J$2*M130^2</f>
        <v>-0.17963974773558755</v>
      </c>
      <c r="Q130">
        <f>regressions!$V$1*M130</f>
        <v>-0.29517570241536534</v>
      </c>
      <c r="R130">
        <f>regressions!$N$1*M130^2</f>
        <v>-2.4034080520577889E-2</v>
      </c>
      <c r="S130">
        <f>regressions!$R$1*M130^2+regressions!$R$2*M130^6</f>
        <v>-2.6177424021752212E-2</v>
      </c>
      <c r="T130">
        <f>regressions!$P$1*M130^2+regressions!$P$2*M130^7</f>
        <v>-2.5324995786762321E-2</v>
      </c>
      <c r="U130">
        <f>regressions!$T$2+regressions!$T$1*EXP(M130)</f>
        <v>-3.5146672954659043E-3</v>
      </c>
      <c r="V130" s="8">
        <f>(1-EXP(-2*regressions!$X$1*M130))/2/EXP(-regressions!$X$1*M130)</f>
        <v>-0.15173799820428319</v>
      </c>
      <c r="X130" s="33">
        <v>0.3713930426551918</v>
      </c>
      <c r="Y130">
        <f t="shared" si="22"/>
        <v>-0.15238248827596029</v>
      </c>
      <c r="Z130">
        <f>IF($B130&lt;=regressions!$L$2,$B130*regressions!$L$1,regressions!$L$1*regressions!$L$2+regressions!$L$3*($B130-regressions!$L$2))</f>
        <v>-0.29517570158204681</v>
      </c>
      <c r="AA130">
        <f>regressions!$J$1*X130+regressions!$J$2*X130^2</f>
        <v>-0.17963974773558755</v>
      </c>
      <c r="AB130">
        <f>regressions!$V$1*X130</f>
        <v>-0.29517570241536534</v>
      </c>
      <c r="AC130">
        <f>regressions!$N$1*X130^2</f>
        <v>-2.4034080520577889E-2</v>
      </c>
      <c r="AD130">
        <f>regressions!$R$1*X130^2+regressions!$R$2*X130^6</f>
        <v>-2.6177424021752212E-2</v>
      </c>
      <c r="AE130">
        <f>regressions!$P$1*X130^2+regressions!$P$2*X130^7</f>
        <v>-2.5324995786762321E-2</v>
      </c>
      <c r="AF130">
        <f>regressions!$T$2+regressions!$T$1*EXP(X130)</f>
        <v>-3.5146672954659043E-3</v>
      </c>
      <c r="AG130" s="8">
        <f>(1-EXP(-2*regressions!$X$1*X130))/2/EXP(-regressions!$X$1*X130)</f>
        <v>-0.15173799820428319</v>
      </c>
      <c r="AH130" s="8"/>
      <c r="AI130" s="33">
        <v>0.3713930426551918</v>
      </c>
      <c r="AJ130">
        <f t="shared" si="23"/>
        <v>-0.15238248827596029</v>
      </c>
      <c r="AK130">
        <f>IF(AI130&lt;=regressions!$L$2,AI130*regressions!$L$1,regressions!$L$1*regressions!$L$2+regressions!$L$3*(AI130-regressions!$L$2))</f>
        <v>-0.29517570158204681</v>
      </c>
      <c r="AL130">
        <f>regressions!$J$1*AI130+regressions!$J$2*AI130^2</f>
        <v>-0.17963974773558755</v>
      </c>
      <c r="AM130">
        <f>regressions!$V$1*AI130</f>
        <v>-0.29517570241536534</v>
      </c>
      <c r="AN130">
        <f>regressions!$N$1*AI130^2</f>
        <v>-2.4034080520577889E-2</v>
      </c>
      <c r="AO130">
        <f>regressions!$R$1*AI130^2+regressions!$R$2*AI130^6</f>
        <v>-2.6177424021752212E-2</v>
      </c>
      <c r="AP130">
        <f>regressions!$P$1*AI130^2+regressions!$P$2*AI130^7</f>
        <v>-2.5324995786762321E-2</v>
      </c>
      <c r="AQ130">
        <f>regressions!$T$2+regressions!$T$1*EXP(AI130)</f>
        <v>-3.5146672954659043E-3</v>
      </c>
      <c r="AR130" s="8">
        <f>(1-EXP(-2*regressions!$X$1*AI130))/2/EXP(-regressions!$X$1*AI130)</f>
        <v>-0.15173799820428319</v>
      </c>
      <c r="AT130" s="33">
        <v>0.3713930426551918</v>
      </c>
      <c r="AU130">
        <f t="shared" si="24"/>
        <v>-0.15238248827596029</v>
      </c>
      <c r="AV130">
        <f>IF(AT130&lt;=regressions!$L$2,AT130*regressions!$L$1,regressions!$L$1*regressions!$L$2+regressions!$L$3*(AT130-regressions!$L$2))</f>
        <v>-0.29517570158204681</v>
      </c>
      <c r="AW130">
        <f>regressions!$J$1*AT130+regressions!$J$2*AT130^2</f>
        <v>-0.17963974773558755</v>
      </c>
      <c r="AX130">
        <f>regressions!$V$1*AT130</f>
        <v>-0.29517570241536534</v>
      </c>
      <c r="AY130">
        <f>regressions!$N$1*AT130^2</f>
        <v>-2.4034080520577889E-2</v>
      </c>
      <c r="AZ130">
        <f>regressions!$R$1*AT130^2+regressions!$R$2*AT130^6</f>
        <v>-2.6177424021752212E-2</v>
      </c>
      <c r="BA130">
        <f>regressions!$P$1*AT130^2+regressions!$P$2*AT130^7</f>
        <v>-2.5324995786762321E-2</v>
      </c>
      <c r="BB130">
        <f>regressions!$T$2+regressions!$T$1*EXP(AT130)</f>
        <v>-3.5146672954659043E-3</v>
      </c>
      <c r="BC130" s="8">
        <f>(1-EXP(-2*regressions!$X$1*AT130))/2/EXP(-regressions!$X$1*AT130)</f>
        <v>-0.15173799820428319</v>
      </c>
      <c r="BE130">
        <f t="shared" si="25"/>
        <v>0</v>
      </c>
      <c r="BF130">
        <f t="shared" si="16"/>
        <v>0</v>
      </c>
      <c r="BG130">
        <f t="shared" si="17"/>
        <v>0</v>
      </c>
      <c r="BH130">
        <f>BG130+regressions!$AR$1*(AI130-B130)</f>
        <v>0</v>
      </c>
      <c r="BI130">
        <f>BG130-regressions!$AO$1*(AI130-B130)</f>
        <v>0</v>
      </c>
      <c r="BJ130">
        <f t="shared" si="18"/>
        <v>0</v>
      </c>
      <c r="BK130">
        <f>BJ130+regressions!$AR$1*(AT130-B130)</f>
        <v>0</v>
      </c>
      <c r="BL130">
        <f>BJ130-regressions!$AO$1*(AT130-B130)</f>
        <v>0</v>
      </c>
      <c r="BM130">
        <f t="shared" si="26"/>
        <v>0</v>
      </c>
      <c r="BN130">
        <f t="shared" si="19"/>
        <v>0</v>
      </c>
      <c r="BO130">
        <f t="shared" si="20"/>
        <v>0</v>
      </c>
      <c r="BP130">
        <f t="shared" si="27"/>
        <v>0</v>
      </c>
      <c r="BQ130">
        <f t="shared" si="28"/>
        <v>0</v>
      </c>
      <c r="BR130">
        <f t="shared" si="29"/>
        <v>0</v>
      </c>
    </row>
    <row r="131" spans="1:70" x14ac:dyDescent="0.35">
      <c r="A131">
        <v>1978</v>
      </c>
      <c r="B131" s="33">
        <v>0.38320785040977656</v>
      </c>
      <c r="C131">
        <f t="shared" si="30"/>
        <v>-0.15760039139058701</v>
      </c>
      <c r="D131">
        <f>IF($B131&lt;=regressions!$L$2,$B131*regressions!$L$1,regressions!$L$1*regressions!$L$2+regressions!$L$3*($B131-regressions!$L$2))</f>
        <v>-0.30456587255316642</v>
      </c>
      <c r="E131">
        <f>regressions!$J$1*B131+regressions!$J$2*B131^2</f>
        <v>-0.18572452252409186</v>
      </c>
      <c r="F131">
        <f>regressions!$V$1*B131</f>
        <v>-0.30456587341299463</v>
      </c>
      <c r="G131">
        <f>regressions!$N$1*B131^2</f>
        <v>-2.558755441137444E-2</v>
      </c>
      <c r="H131">
        <f>regressions!$R$1*B131^2+regressions!$R$2*B131^6</f>
        <v>-2.7869431589052675E-2</v>
      </c>
      <c r="I131">
        <f>regressions!$P$1*B131^2+regressions!$P$2*B131^7</f>
        <v>-2.696190948270899E-2</v>
      </c>
      <c r="J131">
        <f>regressions!$T$2+regressions!$T$1*EXP(B131)</f>
        <v>-3.6493150312560535E-3</v>
      </c>
      <c r="K131" s="8">
        <f>(1-EXP(-2*regressions!$X$1*B131))/2/EXP(-regressions!$X$1*B131)</f>
        <v>-0.15660359229832765</v>
      </c>
      <c r="M131" s="33">
        <v>0.38320785040977656</v>
      </c>
      <c r="N131">
        <f t="shared" si="21"/>
        <v>-0.15760039139058701</v>
      </c>
      <c r="O131">
        <f>IF($B131&lt;=regressions!$L$2,$B131*regressions!$L$1,regressions!$L$1*regressions!$L$2+regressions!$L$3*($B131-regressions!$L$2))</f>
        <v>-0.30456587255316642</v>
      </c>
      <c r="P131">
        <f>regressions!$J$1*M131+regressions!$J$2*M131^2</f>
        <v>-0.18572452252409186</v>
      </c>
      <c r="Q131">
        <f>regressions!$V$1*M131</f>
        <v>-0.30456587341299463</v>
      </c>
      <c r="R131">
        <f>regressions!$N$1*M131^2</f>
        <v>-2.558755441137444E-2</v>
      </c>
      <c r="S131">
        <f>regressions!$R$1*M131^2+regressions!$R$2*M131^6</f>
        <v>-2.7869431589052675E-2</v>
      </c>
      <c r="T131">
        <f>regressions!$P$1*M131^2+regressions!$P$2*M131^7</f>
        <v>-2.696190948270899E-2</v>
      </c>
      <c r="U131">
        <f>regressions!$T$2+regressions!$T$1*EXP(M131)</f>
        <v>-3.6493150312560535E-3</v>
      </c>
      <c r="V131" s="8">
        <f>(1-EXP(-2*regressions!$X$1*M131))/2/EXP(-regressions!$X$1*M131)</f>
        <v>-0.15660359229832765</v>
      </c>
      <c r="X131" s="33">
        <v>0.38320785040977656</v>
      </c>
      <c r="Y131">
        <f t="shared" si="22"/>
        <v>-0.15760039139058701</v>
      </c>
      <c r="Z131">
        <f>IF($B131&lt;=regressions!$L$2,$B131*regressions!$L$1,regressions!$L$1*regressions!$L$2+regressions!$L$3*($B131-regressions!$L$2))</f>
        <v>-0.30456587255316642</v>
      </c>
      <c r="AA131">
        <f>regressions!$J$1*X131+regressions!$J$2*X131^2</f>
        <v>-0.18572452252409186</v>
      </c>
      <c r="AB131">
        <f>regressions!$V$1*X131</f>
        <v>-0.30456587341299463</v>
      </c>
      <c r="AC131">
        <f>regressions!$N$1*X131^2</f>
        <v>-2.558755441137444E-2</v>
      </c>
      <c r="AD131">
        <f>regressions!$R$1*X131^2+regressions!$R$2*X131^6</f>
        <v>-2.7869431589052675E-2</v>
      </c>
      <c r="AE131">
        <f>regressions!$P$1*X131^2+regressions!$P$2*X131^7</f>
        <v>-2.696190948270899E-2</v>
      </c>
      <c r="AF131">
        <f>regressions!$T$2+regressions!$T$1*EXP(X131)</f>
        <v>-3.6493150312560535E-3</v>
      </c>
      <c r="AG131" s="8">
        <f>(1-EXP(-2*regressions!$X$1*X131))/2/EXP(-regressions!$X$1*X131)</f>
        <v>-0.15660359229832765</v>
      </c>
      <c r="AH131" s="8"/>
      <c r="AI131" s="33">
        <v>0.38320785040977656</v>
      </c>
      <c r="AJ131">
        <f t="shared" si="23"/>
        <v>-0.15760039139058701</v>
      </c>
      <c r="AK131">
        <f>IF(AI131&lt;=regressions!$L$2,AI131*regressions!$L$1,regressions!$L$1*regressions!$L$2+regressions!$L$3*(AI131-regressions!$L$2))</f>
        <v>-0.30456587255316642</v>
      </c>
      <c r="AL131">
        <f>regressions!$J$1*AI131+regressions!$J$2*AI131^2</f>
        <v>-0.18572452252409186</v>
      </c>
      <c r="AM131">
        <f>regressions!$V$1*AI131</f>
        <v>-0.30456587341299463</v>
      </c>
      <c r="AN131">
        <f>regressions!$N$1*AI131^2</f>
        <v>-2.558755441137444E-2</v>
      </c>
      <c r="AO131">
        <f>regressions!$R$1*AI131^2+regressions!$R$2*AI131^6</f>
        <v>-2.7869431589052675E-2</v>
      </c>
      <c r="AP131">
        <f>regressions!$P$1*AI131^2+regressions!$P$2*AI131^7</f>
        <v>-2.696190948270899E-2</v>
      </c>
      <c r="AQ131">
        <f>regressions!$T$2+regressions!$T$1*EXP(AI131)</f>
        <v>-3.6493150312560535E-3</v>
      </c>
      <c r="AR131" s="8">
        <f>(1-EXP(-2*regressions!$X$1*AI131))/2/EXP(-regressions!$X$1*AI131)</f>
        <v>-0.15660359229832765</v>
      </c>
      <c r="AT131" s="33">
        <v>0.38320785040977656</v>
      </c>
      <c r="AU131">
        <f t="shared" si="24"/>
        <v>-0.15760039139058701</v>
      </c>
      <c r="AV131">
        <f>IF(AT131&lt;=regressions!$L$2,AT131*regressions!$L$1,regressions!$L$1*regressions!$L$2+regressions!$L$3*(AT131-regressions!$L$2))</f>
        <v>-0.30456587255316642</v>
      </c>
      <c r="AW131">
        <f>regressions!$J$1*AT131+regressions!$J$2*AT131^2</f>
        <v>-0.18572452252409186</v>
      </c>
      <c r="AX131">
        <f>regressions!$V$1*AT131</f>
        <v>-0.30456587341299463</v>
      </c>
      <c r="AY131">
        <f>regressions!$N$1*AT131^2</f>
        <v>-2.558755441137444E-2</v>
      </c>
      <c r="AZ131">
        <f>regressions!$R$1*AT131^2+regressions!$R$2*AT131^6</f>
        <v>-2.7869431589052675E-2</v>
      </c>
      <c r="BA131">
        <f>regressions!$P$1*AT131^2+regressions!$P$2*AT131^7</f>
        <v>-2.696190948270899E-2</v>
      </c>
      <c r="BB131">
        <f>regressions!$T$2+regressions!$T$1*EXP(AT131)</f>
        <v>-3.6493150312560535E-3</v>
      </c>
      <c r="BC131" s="8">
        <f>(1-EXP(-2*regressions!$X$1*AT131))/2/EXP(-regressions!$X$1*AT131)</f>
        <v>-0.15660359229832765</v>
      </c>
      <c r="BE131">
        <f t="shared" si="25"/>
        <v>0</v>
      </c>
      <c r="BF131">
        <f t="shared" ref="BF131:BF194" si="31">Y131-C131</f>
        <v>0</v>
      </c>
      <c r="BG131">
        <f t="shared" ref="BG131:BG194" si="32">AJ131-C131</f>
        <v>0</v>
      </c>
      <c r="BH131">
        <f>BG131+regressions!$AR$1*(AI131-B131)</f>
        <v>0</v>
      </c>
      <c r="BI131">
        <f>BG131-regressions!$AO$1*(AI131-B131)</f>
        <v>0</v>
      </c>
      <c r="BJ131">
        <f t="shared" ref="BJ131:BJ194" si="33">AU131-C131</f>
        <v>0</v>
      </c>
      <c r="BK131">
        <f>BJ131+regressions!$AR$1*(AT131-B131)</f>
        <v>0</v>
      </c>
      <c r="BL131">
        <f>BJ131-regressions!$AO$1*(AT131-B131)</f>
        <v>0</v>
      </c>
      <c r="BM131">
        <f t="shared" si="26"/>
        <v>0</v>
      </c>
      <c r="BN131">
        <f t="shared" ref="BN131:BN194" si="34">AJ131-N131</f>
        <v>0</v>
      </c>
      <c r="BO131">
        <f t="shared" ref="BO131:BO194" si="35">AU131-N131</f>
        <v>0</v>
      </c>
      <c r="BP131">
        <f t="shared" si="27"/>
        <v>0</v>
      </c>
      <c r="BQ131">
        <f t="shared" si="28"/>
        <v>0</v>
      </c>
      <c r="BR131">
        <f t="shared" si="29"/>
        <v>0</v>
      </c>
    </row>
    <row r="132" spans="1:70" x14ac:dyDescent="0.35">
      <c r="A132">
        <v>1979</v>
      </c>
      <c r="B132" s="33">
        <v>0.39540748701285749</v>
      </c>
      <c r="C132">
        <f t="shared" si="30"/>
        <v>-0.16301243914057587</v>
      </c>
      <c r="D132">
        <f>IF($B132&lt;=regressions!$L$2,$B132*regressions!$L$1,regressions!$L$1*regressions!$L$2+regressions!$L$3*($B132-regressions!$L$2))</f>
        <v>-0.31426189773343266</v>
      </c>
      <c r="E132">
        <f>regressions!$J$1*B132+regressions!$J$2*B132^2</f>
        <v>-0.19203143422369809</v>
      </c>
      <c r="F132">
        <f>regressions!$V$1*B132</f>
        <v>-0.31426189862063397</v>
      </c>
      <c r="G132">
        <f>regressions!$N$1*B132^2</f>
        <v>-2.7242675731157386E-2</v>
      </c>
      <c r="H132">
        <f>regressions!$R$1*B132^2+regressions!$R$2*B132^6</f>
        <v>-2.9672150318419199E-2</v>
      </c>
      <c r="I132">
        <f>regressions!$P$1*B132^2+regressions!$P$2*B132^7</f>
        <v>-2.8705930226660188E-2</v>
      </c>
      <c r="J132">
        <f>regressions!$T$2+regressions!$T$1*EXP(B132)</f>
        <v>-3.7900280004781323E-3</v>
      </c>
      <c r="K132" s="8">
        <f>(1-EXP(-2*regressions!$X$1*B132))/2/EXP(-regressions!$X$1*B132)</f>
        <v>-0.16163146875374534</v>
      </c>
      <c r="M132" s="33">
        <v>0.39540748701285749</v>
      </c>
      <c r="N132">
        <f t="shared" ref="N132:N195" si="36">SUMPRODUCT(O$2:V$2,O132:V132)</f>
        <v>-0.16301243914057587</v>
      </c>
      <c r="O132">
        <f>IF($B132&lt;=regressions!$L$2,$B132*regressions!$L$1,regressions!$L$1*regressions!$L$2+regressions!$L$3*($B132-regressions!$L$2))</f>
        <v>-0.31426189773343266</v>
      </c>
      <c r="P132">
        <f>regressions!$J$1*M132+regressions!$J$2*M132^2</f>
        <v>-0.19203143422369809</v>
      </c>
      <c r="Q132">
        <f>regressions!$V$1*M132</f>
        <v>-0.31426189862063397</v>
      </c>
      <c r="R132">
        <f>regressions!$N$1*M132^2</f>
        <v>-2.7242675731157386E-2</v>
      </c>
      <c r="S132">
        <f>regressions!$R$1*M132^2+regressions!$R$2*M132^6</f>
        <v>-2.9672150318419199E-2</v>
      </c>
      <c r="T132">
        <f>regressions!$P$1*M132^2+regressions!$P$2*M132^7</f>
        <v>-2.8705930226660188E-2</v>
      </c>
      <c r="U132">
        <f>regressions!$T$2+regressions!$T$1*EXP(M132)</f>
        <v>-3.7900280004781323E-3</v>
      </c>
      <c r="V132" s="8">
        <f>(1-EXP(-2*regressions!$X$1*M132))/2/EXP(-regressions!$X$1*M132)</f>
        <v>-0.16163146875374534</v>
      </c>
      <c r="X132" s="33">
        <v>0.39540748701285749</v>
      </c>
      <c r="Y132">
        <f t="shared" ref="Y132:Y195" si="37">SUMPRODUCT(Z$2:AG$2,Z132:AG132)</f>
        <v>-0.16301243914057587</v>
      </c>
      <c r="Z132">
        <f>IF($B132&lt;=regressions!$L$2,$B132*regressions!$L$1,regressions!$L$1*regressions!$L$2+regressions!$L$3*($B132-regressions!$L$2))</f>
        <v>-0.31426189773343266</v>
      </c>
      <c r="AA132">
        <f>regressions!$J$1*X132+regressions!$J$2*X132^2</f>
        <v>-0.19203143422369809</v>
      </c>
      <c r="AB132">
        <f>regressions!$V$1*X132</f>
        <v>-0.31426189862063397</v>
      </c>
      <c r="AC132">
        <f>regressions!$N$1*X132^2</f>
        <v>-2.7242675731157386E-2</v>
      </c>
      <c r="AD132">
        <f>regressions!$R$1*X132^2+regressions!$R$2*X132^6</f>
        <v>-2.9672150318419199E-2</v>
      </c>
      <c r="AE132">
        <f>regressions!$P$1*X132^2+regressions!$P$2*X132^7</f>
        <v>-2.8705930226660188E-2</v>
      </c>
      <c r="AF132">
        <f>regressions!$T$2+regressions!$T$1*EXP(X132)</f>
        <v>-3.7900280004781323E-3</v>
      </c>
      <c r="AG132" s="8">
        <f>(1-EXP(-2*regressions!$X$1*X132))/2/EXP(-regressions!$X$1*X132)</f>
        <v>-0.16163146875374534</v>
      </c>
      <c r="AH132" s="8"/>
      <c r="AI132" s="33">
        <v>0.39540748701285749</v>
      </c>
      <c r="AJ132">
        <f t="shared" ref="AJ132:AJ195" si="38">SUMPRODUCT(AK$2:AR$2,AK132:AR132)</f>
        <v>-0.16301243914057587</v>
      </c>
      <c r="AK132">
        <f>IF(AI132&lt;=regressions!$L$2,AI132*regressions!$L$1,regressions!$L$1*regressions!$L$2+regressions!$L$3*(AI132-regressions!$L$2))</f>
        <v>-0.31426189773343266</v>
      </c>
      <c r="AL132">
        <f>regressions!$J$1*AI132+regressions!$J$2*AI132^2</f>
        <v>-0.19203143422369809</v>
      </c>
      <c r="AM132">
        <f>regressions!$V$1*AI132</f>
        <v>-0.31426189862063397</v>
      </c>
      <c r="AN132">
        <f>regressions!$N$1*AI132^2</f>
        <v>-2.7242675731157386E-2</v>
      </c>
      <c r="AO132">
        <f>regressions!$R$1*AI132^2+regressions!$R$2*AI132^6</f>
        <v>-2.9672150318419199E-2</v>
      </c>
      <c r="AP132">
        <f>regressions!$P$1*AI132^2+regressions!$P$2*AI132^7</f>
        <v>-2.8705930226660188E-2</v>
      </c>
      <c r="AQ132">
        <f>regressions!$T$2+regressions!$T$1*EXP(AI132)</f>
        <v>-3.7900280004781323E-3</v>
      </c>
      <c r="AR132" s="8">
        <f>(1-EXP(-2*regressions!$X$1*AI132))/2/EXP(-regressions!$X$1*AI132)</f>
        <v>-0.16163146875374534</v>
      </c>
      <c r="AT132" s="33">
        <v>0.39540748701285749</v>
      </c>
      <c r="AU132">
        <f t="shared" ref="AU132:AU195" si="39">SUMPRODUCT(AV$2:BC$2,AV132:BC132)</f>
        <v>-0.16301243914057587</v>
      </c>
      <c r="AV132">
        <f>IF(AT132&lt;=regressions!$L$2,AT132*regressions!$L$1,regressions!$L$1*regressions!$L$2+regressions!$L$3*(AT132-regressions!$L$2))</f>
        <v>-0.31426189773343266</v>
      </c>
      <c r="AW132">
        <f>regressions!$J$1*AT132+regressions!$J$2*AT132^2</f>
        <v>-0.19203143422369809</v>
      </c>
      <c r="AX132">
        <f>regressions!$V$1*AT132</f>
        <v>-0.31426189862063397</v>
      </c>
      <c r="AY132">
        <f>regressions!$N$1*AT132^2</f>
        <v>-2.7242675731157386E-2</v>
      </c>
      <c r="AZ132">
        <f>regressions!$R$1*AT132^2+regressions!$R$2*AT132^6</f>
        <v>-2.9672150318419199E-2</v>
      </c>
      <c r="BA132">
        <f>regressions!$P$1*AT132^2+regressions!$P$2*AT132^7</f>
        <v>-2.8705930226660188E-2</v>
      </c>
      <c r="BB132">
        <f>regressions!$T$2+regressions!$T$1*EXP(AT132)</f>
        <v>-3.7900280004781323E-3</v>
      </c>
      <c r="BC132" s="8">
        <f>(1-EXP(-2*regressions!$X$1*AT132))/2/EXP(-regressions!$X$1*AT132)</f>
        <v>-0.16163146875374534</v>
      </c>
      <c r="BE132">
        <f t="shared" ref="BE132:BE195" si="40">N132-C132</f>
        <v>0</v>
      </c>
      <c r="BF132">
        <f t="shared" si="31"/>
        <v>0</v>
      </c>
      <c r="BG132">
        <f t="shared" si="32"/>
        <v>0</v>
      </c>
      <c r="BH132">
        <f>BG132+regressions!$AR$1*(AI132-B132)</f>
        <v>0</v>
      </c>
      <c r="BI132">
        <f>BG132-regressions!$AO$1*(AI132-B132)</f>
        <v>0</v>
      </c>
      <c r="BJ132">
        <f t="shared" si="33"/>
        <v>0</v>
      </c>
      <c r="BK132">
        <f>BJ132+regressions!$AR$1*(AT132-B132)</f>
        <v>0</v>
      </c>
      <c r="BL132">
        <f>BJ132-regressions!$AO$1*(AT132-B132)</f>
        <v>0</v>
      </c>
      <c r="BM132">
        <f t="shared" ref="BM132:BM195" si="41">Y132-N132</f>
        <v>0</v>
      </c>
      <c r="BN132">
        <f t="shared" si="34"/>
        <v>0</v>
      </c>
      <c r="BO132">
        <f t="shared" si="35"/>
        <v>0</v>
      </c>
      <c r="BP132">
        <f t="shared" ref="BP132:BP195" si="42">AJ132-Y132</f>
        <v>0</v>
      </c>
      <c r="BQ132">
        <f t="shared" ref="BQ132:BQ195" si="43">AU132-Y132</f>
        <v>0</v>
      </c>
      <c r="BR132">
        <f t="shared" ref="BR132:BR195" si="44">AU132-AJ132</f>
        <v>0</v>
      </c>
    </row>
    <row r="133" spans="1:70" x14ac:dyDescent="0.35">
      <c r="A133">
        <v>1980</v>
      </c>
      <c r="B133" s="33">
        <v>0.40802728466103888</v>
      </c>
      <c r="C133">
        <f t="shared" si="30"/>
        <v>-0.1686367632072627</v>
      </c>
      <c r="D133">
        <f>IF($B133&lt;=regressions!$L$2,$B133*regressions!$L$1,regressions!$L$1*regressions!$L$2+regressions!$L$3*($B133-regressions!$L$2))</f>
        <v>-0.32429185844027286</v>
      </c>
      <c r="E133">
        <f>regressions!$J$1*B133+regressions!$J$2*B133^2</f>
        <v>-0.19858115904164783</v>
      </c>
      <c r="F133">
        <f>regressions!$V$1*B133</f>
        <v>-0.32429185935579002</v>
      </c>
      <c r="G133">
        <f>regressions!$N$1*B133^2</f>
        <v>-2.9009376504180909E-2</v>
      </c>
      <c r="H133">
        <f>regressions!$R$1*B133^2+regressions!$R$2*B133^6</f>
        <v>-3.1596397701929589E-2</v>
      </c>
      <c r="I133">
        <f>regressions!$P$1*B133^2+regressions!$P$2*B133^7</f>
        <v>-3.0567523495771444E-2</v>
      </c>
      <c r="J133">
        <f>regressions!$T$2+regressions!$T$1*EXP(B133)</f>
        <v>-3.9374048555238534E-3</v>
      </c>
      <c r="K133" s="8">
        <f>(1-EXP(-2*regressions!$X$1*B133))/2/EXP(-regressions!$X$1*B133)</f>
        <v>-0.1668367023738461</v>
      </c>
      <c r="M133" s="33">
        <v>0.40802728466103888</v>
      </c>
      <c r="N133">
        <f t="shared" si="36"/>
        <v>-0.1686367632072627</v>
      </c>
      <c r="O133">
        <f>IF($B133&lt;=regressions!$L$2,$B133*regressions!$L$1,regressions!$L$1*regressions!$L$2+regressions!$L$3*($B133-regressions!$L$2))</f>
        <v>-0.32429185844027286</v>
      </c>
      <c r="P133">
        <f>regressions!$J$1*M133+regressions!$J$2*M133^2</f>
        <v>-0.19858115904164783</v>
      </c>
      <c r="Q133">
        <f>regressions!$V$1*M133</f>
        <v>-0.32429185935579002</v>
      </c>
      <c r="R133">
        <f>regressions!$N$1*M133^2</f>
        <v>-2.9009376504180909E-2</v>
      </c>
      <c r="S133">
        <f>regressions!$R$1*M133^2+regressions!$R$2*M133^6</f>
        <v>-3.1596397701929589E-2</v>
      </c>
      <c r="T133">
        <f>regressions!$P$1*M133^2+regressions!$P$2*M133^7</f>
        <v>-3.0567523495771444E-2</v>
      </c>
      <c r="U133">
        <f>regressions!$T$2+regressions!$T$1*EXP(M133)</f>
        <v>-3.9374048555238534E-3</v>
      </c>
      <c r="V133" s="8">
        <f>(1-EXP(-2*regressions!$X$1*M133))/2/EXP(-regressions!$X$1*M133)</f>
        <v>-0.1668367023738461</v>
      </c>
      <c r="X133" s="33">
        <v>0.40802728466103888</v>
      </c>
      <c r="Y133">
        <f t="shared" si="37"/>
        <v>-0.1686367632072627</v>
      </c>
      <c r="Z133">
        <f>IF($B133&lt;=regressions!$L$2,$B133*regressions!$L$1,regressions!$L$1*regressions!$L$2+regressions!$L$3*($B133-regressions!$L$2))</f>
        <v>-0.32429185844027286</v>
      </c>
      <c r="AA133">
        <f>regressions!$J$1*X133+regressions!$J$2*X133^2</f>
        <v>-0.19858115904164783</v>
      </c>
      <c r="AB133">
        <f>regressions!$V$1*X133</f>
        <v>-0.32429185935579002</v>
      </c>
      <c r="AC133">
        <f>regressions!$N$1*X133^2</f>
        <v>-2.9009376504180909E-2</v>
      </c>
      <c r="AD133">
        <f>regressions!$R$1*X133^2+regressions!$R$2*X133^6</f>
        <v>-3.1596397701929589E-2</v>
      </c>
      <c r="AE133">
        <f>regressions!$P$1*X133^2+regressions!$P$2*X133^7</f>
        <v>-3.0567523495771444E-2</v>
      </c>
      <c r="AF133">
        <f>regressions!$T$2+regressions!$T$1*EXP(X133)</f>
        <v>-3.9374048555238534E-3</v>
      </c>
      <c r="AG133" s="8">
        <f>(1-EXP(-2*regressions!$X$1*X133))/2/EXP(-regressions!$X$1*X133)</f>
        <v>-0.1668367023738461</v>
      </c>
      <c r="AH133" s="8"/>
      <c r="AI133" s="33">
        <v>0.40802728466103888</v>
      </c>
      <c r="AJ133">
        <f t="shared" si="38"/>
        <v>-0.1686367632072627</v>
      </c>
      <c r="AK133">
        <f>IF(AI133&lt;=regressions!$L$2,AI133*regressions!$L$1,regressions!$L$1*regressions!$L$2+regressions!$L$3*(AI133-regressions!$L$2))</f>
        <v>-0.32429185844027286</v>
      </c>
      <c r="AL133">
        <f>regressions!$J$1*AI133+regressions!$J$2*AI133^2</f>
        <v>-0.19858115904164783</v>
      </c>
      <c r="AM133">
        <f>regressions!$V$1*AI133</f>
        <v>-0.32429185935579002</v>
      </c>
      <c r="AN133">
        <f>regressions!$N$1*AI133^2</f>
        <v>-2.9009376504180909E-2</v>
      </c>
      <c r="AO133">
        <f>regressions!$R$1*AI133^2+regressions!$R$2*AI133^6</f>
        <v>-3.1596397701929589E-2</v>
      </c>
      <c r="AP133">
        <f>regressions!$P$1*AI133^2+regressions!$P$2*AI133^7</f>
        <v>-3.0567523495771444E-2</v>
      </c>
      <c r="AQ133">
        <f>regressions!$T$2+regressions!$T$1*EXP(AI133)</f>
        <v>-3.9374048555238534E-3</v>
      </c>
      <c r="AR133" s="8">
        <f>(1-EXP(-2*regressions!$X$1*AI133))/2/EXP(-regressions!$X$1*AI133)</f>
        <v>-0.1668367023738461</v>
      </c>
      <c r="AT133" s="33">
        <v>0.40802728466103888</v>
      </c>
      <c r="AU133">
        <f t="shared" si="39"/>
        <v>-0.1686367632072627</v>
      </c>
      <c r="AV133">
        <f>IF(AT133&lt;=regressions!$L$2,AT133*regressions!$L$1,regressions!$L$1*regressions!$L$2+regressions!$L$3*(AT133-regressions!$L$2))</f>
        <v>-0.32429185844027286</v>
      </c>
      <c r="AW133">
        <f>regressions!$J$1*AT133+regressions!$J$2*AT133^2</f>
        <v>-0.19858115904164783</v>
      </c>
      <c r="AX133">
        <f>regressions!$V$1*AT133</f>
        <v>-0.32429185935579002</v>
      </c>
      <c r="AY133">
        <f>regressions!$N$1*AT133^2</f>
        <v>-2.9009376504180909E-2</v>
      </c>
      <c r="AZ133">
        <f>regressions!$R$1*AT133^2+regressions!$R$2*AT133^6</f>
        <v>-3.1596397701929589E-2</v>
      </c>
      <c r="BA133">
        <f>regressions!$P$1*AT133^2+regressions!$P$2*AT133^7</f>
        <v>-3.0567523495771444E-2</v>
      </c>
      <c r="BB133">
        <f>regressions!$T$2+regressions!$T$1*EXP(AT133)</f>
        <v>-3.9374048555238534E-3</v>
      </c>
      <c r="BC133" s="8">
        <f>(1-EXP(-2*regressions!$X$1*AT133))/2/EXP(-regressions!$X$1*AT133)</f>
        <v>-0.1668367023738461</v>
      </c>
      <c r="BE133">
        <f t="shared" si="40"/>
        <v>0</v>
      </c>
      <c r="BF133">
        <f t="shared" si="31"/>
        <v>0</v>
      </c>
      <c r="BG133">
        <f t="shared" si="32"/>
        <v>0</v>
      </c>
      <c r="BH133">
        <f>BG133+regressions!$AR$1*(AI133-B133)</f>
        <v>0</v>
      </c>
      <c r="BI133">
        <f>BG133-regressions!$AO$1*(AI133-B133)</f>
        <v>0</v>
      </c>
      <c r="BJ133">
        <f t="shared" si="33"/>
        <v>0</v>
      </c>
      <c r="BK133">
        <f>BJ133+regressions!$AR$1*(AT133-B133)</f>
        <v>0</v>
      </c>
      <c r="BL133">
        <f>BJ133-regressions!$AO$1*(AT133-B133)</f>
        <v>0</v>
      </c>
      <c r="BM133">
        <f t="shared" si="41"/>
        <v>0</v>
      </c>
      <c r="BN133">
        <f t="shared" si="34"/>
        <v>0</v>
      </c>
      <c r="BO133">
        <f t="shared" si="35"/>
        <v>0</v>
      </c>
      <c r="BP133">
        <f t="shared" si="42"/>
        <v>0</v>
      </c>
      <c r="BQ133">
        <f t="shared" si="43"/>
        <v>0</v>
      </c>
      <c r="BR133">
        <f t="shared" si="44"/>
        <v>0</v>
      </c>
    </row>
    <row r="134" spans="1:70" x14ac:dyDescent="0.35">
      <c r="A134">
        <v>1981</v>
      </c>
      <c r="B134" s="33">
        <v>0.42102210071858376</v>
      </c>
      <c r="C134">
        <f t="shared" si="30"/>
        <v>-0.17445575433283447</v>
      </c>
      <c r="D134">
        <f>IF($B134&lt;=regressions!$L$2,$B134*regressions!$L$1,regressions!$L$1*regressions!$L$2+regressions!$L$3*($B134-regressions!$L$2))</f>
        <v>-0.33461987621705347</v>
      </c>
      <c r="E134">
        <f>regressions!$J$1*B134+regressions!$J$2*B134^2</f>
        <v>-0.20535272542047678</v>
      </c>
      <c r="F134">
        <f>regressions!$V$1*B134</f>
        <v>-0.33461987716172792</v>
      </c>
      <c r="G134">
        <f>regressions!$N$1*B134^2</f>
        <v>-3.0886576403875248E-2</v>
      </c>
      <c r="H134">
        <f>regressions!$R$1*B134^2+regressions!$R$2*B134^6</f>
        <v>-3.3640996798443609E-2</v>
      </c>
      <c r="I134">
        <f>regressions!$P$1*B134^2+regressions!$P$2*B134^7</f>
        <v>-3.2545550921006632E-2</v>
      </c>
      <c r="J134">
        <f>regressions!$T$2+regressions!$T$1*EXP(B134)</f>
        <v>-4.0911174122422039E-3</v>
      </c>
      <c r="K134" s="8">
        <f>(1-EXP(-2*regressions!$X$1*B134))/2/EXP(-regressions!$X$1*B134)</f>
        <v>-0.1722012194179752</v>
      </c>
      <c r="M134" s="33">
        <v>0.42102210071858376</v>
      </c>
      <c r="N134">
        <f t="shared" si="36"/>
        <v>-0.17445575433283447</v>
      </c>
      <c r="O134">
        <f>IF($B134&lt;=regressions!$L$2,$B134*regressions!$L$1,regressions!$L$1*regressions!$L$2+regressions!$L$3*($B134-regressions!$L$2))</f>
        <v>-0.33461987621705347</v>
      </c>
      <c r="P134">
        <f>regressions!$J$1*M134+regressions!$J$2*M134^2</f>
        <v>-0.20535272542047678</v>
      </c>
      <c r="Q134">
        <f>regressions!$V$1*M134</f>
        <v>-0.33461987716172792</v>
      </c>
      <c r="R134">
        <f>regressions!$N$1*M134^2</f>
        <v>-3.0886576403875248E-2</v>
      </c>
      <c r="S134">
        <f>regressions!$R$1*M134^2+regressions!$R$2*M134^6</f>
        <v>-3.3640996798443609E-2</v>
      </c>
      <c r="T134">
        <f>regressions!$P$1*M134^2+regressions!$P$2*M134^7</f>
        <v>-3.2545550921006632E-2</v>
      </c>
      <c r="U134">
        <f>regressions!$T$2+regressions!$T$1*EXP(M134)</f>
        <v>-4.0911174122422039E-3</v>
      </c>
      <c r="V134" s="8">
        <f>(1-EXP(-2*regressions!$X$1*M134))/2/EXP(-regressions!$X$1*M134)</f>
        <v>-0.1722012194179752</v>
      </c>
      <c r="X134" s="33">
        <v>0.42102210071858376</v>
      </c>
      <c r="Y134">
        <f t="shared" si="37"/>
        <v>-0.17445575433283447</v>
      </c>
      <c r="Z134">
        <f>IF($B134&lt;=regressions!$L$2,$B134*regressions!$L$1,regressions!$L$1*regressions!$L$2+regressions!$L$3*($B134-regressions!$L$2))</f>
        <v>-0.33461987621705347</v>
      </c>
      <c r="AA134">
        <f>regressions!$J$1*X134+regressions!$J$2*X134^2</f>
        <v>-0.20535272542047678</v>
      </c>
      <c r="AB134">
        <f>regressions!$V$1*X134</f>
        <v>-0.33461987716172792</v>
      </c>
      <c r="AC134">
        <f>regressions!$N$1*X134^2</f>
        <v>-3.0886576403875248E-2</v>
      </c>
      <c r="AD134">
        <f>regressions!$R$1*X134^2+regressions!$R$2*X134^6</f>
        <v>-3.3640996798443609E-2</v>
      </c>
      <c r="AE134">
        <f>regressions!$P$1*X134^2+regressions!$P$2*X134^7</f>
        <v>-3.2545550921006632E-2</v>
      </c>
      <c r="AF134">
        <f>regressions!$T$2+regressions!$T$1*EXP(X134)</f>
        <v>-4.0911174122422039E-3</v>
      </c>
      <c r="AG134" s="8">
        <f>(1-EXP(-2*regressions!$X$1*X134))/2/EXP(-regressions!$X$1*X134)</f>
        <v>-0.1722012194179752</v>
      </c>
      <c r="AH134" s="8"/>
      <c r="AI134" s="33">
        <v>0.42102210071858376</v>
      </c>
      <c r="AJ134">
        <f t="shared" si="38"/>
        <v>-0.17445575433283447</v>
      </c>
      <c r="AK134">
        <f>IF(AI134&lt;=regressions!$L$2,AI134*regressions!$L$1,regressions!$L$1*regressions!$L$2+regressions!$L$3*(AI134-regressions!$L$2))</f>
        <v>-0.33461987621705347</v>
      </c>
      <c r="AL134">
        <f>regressions!$J$1*AI134+regressions!$J$2*AI134^2</f>
        <v>-0.20535272542047678</v>
      </c>
      <c r="AM134">
        <f>regressions!$V$1*AI134</f>
        <v>-0.33461987716172792</v>
      </c>
      <c r="AN134">
        <f>regressions!$N$1*AI134^2</f>
        <v>-3.0886576403875248E-2</v>
      </c>
      <c r="AO134">
        <f>regressions!$R$1*AI134^2+regressions!$R$2*AI134^6</f>
        <v>-3.3640996798443609E-2</v>
      </c>
      <c r="AP134">
        <f>regressions!$P$1*AI134^2+regressions!$P$2*AI134^7</f>
        <v>-3.2545550921006632E-2</v>
      </c>
      <c r="AQ134">
        <f>regressions!$T$2+regressions!$T$1*EXP(AI134)</f>
        <v>-4.0911174122422039E-3</v>
      </c>
      <c r="AR134" s="8">
        <f>(1-EXP(-2*regressions!$X$1*AI134))/2/EXP(-regressions!$X$1*AI134)</f>
        <v>-0.1722012194179752</v>
      </c>
      <c r="AT134" s="33">
        <v>0.42102210071858376</v>
      </c>
      <c r="AU134">
        <f t="shared" si="39"/>
        <v>-0.17445575433283447</v>
      </c>
      <c r="AV134">
        <f>IF(AT134&lt;=regressions!$L$2,AT134*regressions!$L$1,regressions!$L$1*regressions!$L$2+regressions!$L$3*(AT134-regressions!$L$2))</f>
        <v>-0.33461987621705347</v>
      </c>
      <c r="AW134">
        <f>regressions!$J$1*AT134+regressions!$J$2*AT134^2</f>
        <v>-0.20535272542047678</v>
      </c>
      <c r="AX134">
        <f>regressions!$V$1*AT134</f>
        <v>-0.33461987716172792</v>
      </c>
      <c r="AY134">
        <f>regressions!$N$1*AT134^2</f>
        <v>-3.0886576403875248E-2</v>
      </c>
      <c r="AZ134">
        <f>regressions!$R$1*AT134^2+regressions!$R$2*AT134^6</f>
        <v>-3.3640996798443609E-2</v>
      </c>
      <c r="BA134">
        <f>regressions!$P$1*AT134^2+regressions!$P$2*AT134^7</f>
        <v>-3.2545550921006632E-2</v>
      </c>
      <c r="BB134">
        <f>regressions!$T$2+regressions!$T$1*EXP(AT134)</f>
        <v>-4.0911174122422039E-3</v>
      </c>
      <c r="BC134" s="8">
        <f>(1-EXP(-2*regressions!$X$1*AT134))/2/EXP(-regressions!$X$1*AT134)</f>
        <v>-0.1722012194179752</v>
      </c>
      <c r="BE134">
        <f t="shared" si="40"/>
        <v>0</v>
      </c>
      <c r="BF134">
        <f t="shared" si="31"/>
        <v>0</v>
      </c>
      <c r="BG134">
        <f t="shared" si="32"/>
        <v>0</v>
      </c>
      <c r="BH134">
        <f>BG134+regressions!$AR$1*(AI134-B134)</f>
        <v>0</v>
      </c>
      <c r="BI134">
        <f>BG134-regressions!$AO$1*(AI134-B134)</f>
        <v>0</v>
      </c>
      <c r="BJ134">
        <f t="shared" si="33"/>
        <v>0</v>
      </c>
      <c r="BK134">
        <f>BJ134+regressions!$AR$1*(AT134-B134)</f>
        <v>0</v>
      </c>
      <c r="BL134">
        <f>BJ134-regressions!$AO$1*(AT134-B134)</f>
        <v>0</v>
      </c>
      <c r="BM134">
        <f t="shared" si="41"/>
        <v>0</v>
      </c>
      <c r="BN134">
        <f t="shared" si="34"/>
        <v>0</v>
      </c>
      <c r="BO134">
        <f t="shared" si="35"/>
        <v>0</v>
      </c>
      <c r="BP134">
        <f t="shared" si="42"/>
        <v>0</v>
      </c>
      <c r="BQ134">
        <f t="shared" si="43"/>
        <v>0</v>
      </c>
      <c r="BR134">
        <f t="shared" si="44"/>
        <v>0</v>
      </c>
    </row>
    <row r="135" spans="1:70" x14ac:dyDescent="0.35">
      <c r="A135">
        <v>1982</v>
      </c>
      <c r="B135" s="33">
        <v>0.43432635048900214</v>
      </c>
      <c r="C135">
        <f t="shared" si="30"/>
        <v>-0.18044227432696844</v>
      </c>
      <c r="D135">
        <f>IF($B135&lt;=regressions!$L$2,$B135*regressions!$L$1,regressions!$L$1*regressions!$L$2+regressions!$L$3*($B135-regressions!$L$2))</f>
        <v>-0.3451938256694454</v>
      </c>
      <c r="E135">
        <f>regressions!$J$1*B135+regressions!$J$2*B135^2</f>
        <v>-0.21231413455809942</v>
      </c>
      <c r="F135">
        <f>regressions!$V$1*B135</f>
        <v>-0.34519382664397147</v>
      </c>
      <c r="G135">
        <f>regressions!$N$1*B135^2</f>
        <v>-3.2869442774461605E-2</v>
      </c>
      <c r="H135">
        <f>regressions!$R$1*B135^2+regressions!$R$2*B135^6</f>
        <v>-3.5800683690248566E-2</v>
      </c>
      <c r="I135">
        <f>regressions!$P$1*B135^2+regressions!$P$2*B135^7</f>
        <v>-3.4634920257576862E-2</v>
      </c>
      <c r="J135">
        <f>regressions!$T$2+regressions!$T$1*EXP(B135)</f>
        <v>-4.2505732840471874E-3</v>
      </c>
      <c r="K135" s="8">
        <f>(1-EXP(-2*regressions!$X$1*B135))/2/EXP(-regressions!$X$1*B135)</f>
        <v>-0.17769846866451888</v>
      </c>
      <c r="M135" s="33">
        <v>0.43432635048900214</v>
      </c>
      <c r="N135">
        <f t="shared" si="36"/>
        <v>-0.18044227432696844</v>
      </c>
      <c r="O135">
        <f>IF($B135&lt;=regressions!$L$2,$B135*regressions!$L$1,regressions!$L$1*regressions!$L$2+regressions!$L$3*($B135-regressions!$L$2))</f>
        <v>-0.3451938256694454</v>
      </c>
      <c r="P135">
        <f>regressions!$J$1*M135+regressions!$J$2*M135^2</f>
        <v>-0.21231413455809942</v>
      </c>
      <c r="Q135">
        <f>regressions!$V$1*M135</f>
        <v>-0.34519382664397147</v>
      </c>
      <c r="R135">
        <f>regressions!$N$1*M135^2</f>
        <v>-3.2869442774461605E-2</v>
      </c>
      <c r="S135">
        <f>regressions!$R$1*M135^2+regressions!$R$2*M135^6</f>
        <v>-3.5800683690248566E-2</v>
      </c>
      <c r="T135">
        <f>regressions!$P$1*M135^2+regressions!$P$2*M135^7</f>
        <v>-3.4634920257576862E-2</v>
      </c>
      <c r="U135">
        <f>regressions!$T$2+regressions!$T$1*EXP(M135)</f>
        <v>-4.2505732840471874E-3</v>
      </c>
      <c r="V135" s="8">
        <f>(1-EXP(-2*regressions!$X$1*M135))/2/EXP(-regressions!$X$1*M135)</f>
        <v>-0.17769846866451888</v>
      </c>
      <c r="X135" s="33">
        <v>0.43432635048900214</v>
      </c>
      <c r="Y135">
        <f t="shared" si="37"/>
        <v>-0.18044227432696844</v>
      </c>
      <c r="Z135">
        <f>IF($B135&lt;=regressions!$L$2,$B135*regressions!$L$1,regressions!$L$1*regressions!$L$2+regressions!$L$3*($B135-regressions!$L$2))</f>
        <v>-0.3451938256694454</v>
      </c>
      <c r="AA135">
        <f>regressions!$J$1*X135+regressions!$J$2*X135^2</f>
        <v>-0.21231413455809942</v>
      </c>
      <c r="AB135">
        <f>regressions!$V$1*X135</f>
        <v>-0.34519382664397147</v>
      </c>
      <c r="AC135">
        <f>regressions!$N$1*X135^2</f>
        <v>-3.2869442774461605E-2</v>
      </c>
      <c r="AD135">
        <f>regressions!$R$1*X135^2+regressions!$R$2*X135^6</f>
        <v>-3.5800683690248566E-2</v>
      </c>
      <c r="AE135">
        <f>regressions!$P$1*X135^2+regressions!$P$2*X135^7</f>
        <v>-3.4634920257576862E-2</v>
      </c>
      <c r="AF135">
        <f>regressions!$T$2+regressions!$T$1*EXP(X135)</f>
        <v>-4.2505732840471874E-3</v>
      </c>
      <c r="AG135" s="8">
        <f>(1-EXP(-2*regressions!$X$1*X135))/2/EXP(-regressions!$X$1*X135)</f>
        <v>-0.17769846866451888</v>
      </c>
      <c r="AH135" s="8"/>
      <c r="AI135" s="33">
        <v>0.43432635048900214</v>
      </c>
      <c r="AJ135">
        <f t="shared" si="38"/>
        <v>-0.18044227432696844</v>
      </c>
      <c r="AK135">
        <f>IF(AI135&lt;=regressions!$L$2,AI135*regressions!$L$1,regressions!$L$1*regressions!$L$2+regressions!$L$3*(AI135-regressions!$L$2))</f>
        <v>-0.3451938256694454</v>
      </c>
      <c r="AL135">
        <f>regressions!$J$1*AI135+regressions!$J$2*AI135^2</f>
        <v>-0.21231413455809942</v>
      </c>
      <c r="AM135">
        <f>regressions!$V$1*AI135</f>
        <v>-0.34519382664397147</v>
      </c>
      <c r="AN135">
        <f>regressions!$N$1*AI135^2</f>
        <v>-3.2869442774461605E-2</v>
      </c>
      <c r="AO135">
        <f>regressions!$R$1*AI135^2+regressions!$R$2*AI135^6</f>
        <v>-3.5800683690248566E-2</v>
      </c>
      <c r="AP135">
        <f>regressions!$P$1*AI135^2+regressions!$P$2*AI135^7</f>
        <v>-3.4634920257576862E-2</v>
      </c>
      <c r="AQ135">
        <f>regressions!$T$2+regressions!$T$1*EXP(AI135)</f>
        <v>-4.2505732840471874E-3</v>
      </c>
      <c r="AR135" s="8">
        <f>(1-EXP(-2*regressions!$X$1*AI135))/2/EXP(-regressions!$X$1*AI135)</f>
        <v>-0.17769846866451888</v>
      </c>
      <c r="AT135" s="33">
        <v>0.43432635048900214</v>
      </c>
      <c r="AU135">
        <f t="shared" si="39"/>
        <v>-0.18044227432696844</v>
      </c>
      <c r="AV135">
        <f>IF(AT135&lt;=regressions!$L$2,AT135*regressions!$L$1,regressions!$L$1*regressions!$L$2+regressions!$L$3*(AT135-regressions!$L$2))</f>
        <v>-0.3451938256694454</v>
      </c>
      <c r="AW135">
        <f>regressions!$J$1*AT135+regressions!$J$2*AT135^2</f>
        <v>-0.21231413455809942</v>
      </c>
      <c r="AX135">
        <f>regressions!$V$1*AT135</f>
        <v>-0.34519382664397147</v>
      </c>
      <c r="AY135">
        <f>regressions!$N$1*AT135^2</f>
        <v>-3.2869442774461605E-2</v>
      </c>
      <c r="AZ135">
        <f>regressions!$R$1*AT135^2+regressions!$R$2*AT135^6</f>
        <v>-3.5800683690248566E-2</v>
      </c>
      <c r="BA135">
        <f>regressions!$P$1*AT135^2+regressions!$P$2*AT135^7</f>
        <v>-3.4634920257576862E-2</v>
      </c>
      <c r="BB135">
        <f>regressions!$T$2+regressions!$T$1*EXP(AT135)</f>
        <v>-4.2505732840471874E-3</v>
      </c>
      <c r="BC135" s="8">
        <f>(1-EXP(-2*regressions!$X$1*AT135))/2/EXP(-regressions!$X$1*AT135)</f>
        <v>-0.17769846866451888</v>
      </c>
      <c r="BE135">
        <f t="shared" si="40"/>
        <v>0</v>
      </c>
      <c r="BF135">
        <f t="shared" si="31"/>
        <v>0</v>
      </c>
      <c r="BG135">
        <f t="shared" si="32"/>
        <v>0</v>
      </c>
      <c r="BH135">
        <f>BG135+regressions!$AR$1*(AI135-B135)</f>
        <v>0</v>
      </c>
      <c r="BI135">
        <f>BG135-regressions!$AO$1*(AI135-B135)</f>
        <v>0</v>
      </c>
      <c r="BJ135">
        <f t="shared" si="33"/>
        <v>0</v>
      </c>
      <c r="BK135">
        <f>BJ135+regressions!$AR$1*(AT135-B135)</f>
        <v>0</v>
      </c>
      <c r="BL135">
        <f>BJ135-regressions!$AO$1*(AT135-B135)</f>
        <v>0</v>
      </c>
      <c r="BM135">
        <f t="shared" si="41"/>
        <v>0</v>
      </c>
      <c r="BN135">
        <f t="shared" si="34"/>
        <v>0</v>
      </c>
      <c r="BO135">
        <f t="shared" si="35"/>
        <v>0</v>
      </c>
      <c r="BP135">
        <f t="shared" si="42"/>
        <v>0</v>
      </c>
      <c r="BQ135">
        <f t="shared" si="43"/>
        <v>0</v>
      </c>
      <c r="BR135">
        <f t="shared" si="44"/>
        <v>0</v>
      </c>
    </row>
    <row r="136" spans="1:70" x14ac:dyDescent="0.35">
      <c r="A136">
        <v>1983</v>
      </c>
      <c r="B136" s="33">
        <v>0.44790892762148837</v>
      </c>
      <c r="C136">
        <f t="shared" si="30"/>
        <v>-0.18658429570218343</v>
      </c>
      <c r="D136">
        <f>IF($B136&lt;=regressions!$L$2,$B136*regressions!$L$1,regressions!$L$1*regressions!$L$2+regressions!$L$3*($B136-regressions!$L$2))</f>
        <v>-0.35598898409705265</v>
      </c>
      <c r="E136">
        <f>regressions!$J$1*B136+regressions!$J$2*B136^2</f>
        <v>-0.21945102604979913</v>
      </c>
      <c r="F136">
        <f>regressions!$V$1*B136</f>
        <v>-0.35598898510205479</v>
      </c>
      <c r="G136">
        <f>regressions!$N$1*B136^2</f>
        <v>-3.4957423975582387E-2</v>
      </c>
      <c r="H136">
        <f>regressions!$R$1*B136^2+regressions!$R$2*B136^6</f>
        <v>-3.807485719772969E-2</v>
      </c>
      <c r="I136">
        <f>regressions!$P$1*B136^2+regressions!$P$2*B136^7</f>
        <v>-3.6835050213496999E-2</v>
      </c>
      <c r="J136">
        <f>regressions!$T$2+regressions!$T$1*EXP(B136)</f>
        <v>-4.4155683063930983E-3</v>
      </c>
      <c r="K136" s="8">
        <f>(1-EXP(-2*regressions!$X$1*B136))/2/EXP(-regressions!$X$1*B136)</f>
        <v>-0.18331609771225238</v>
      </c>
      <c r="M136" s="33">
        <v>0.44790892762148837</v>
      </c>
      <c r="N136">
        <f t="shared" si="36"/>
        <v>-0.18658429570218343</v>
      </c>
      <c r="O136">
        <f>IF($B136&lt;=regressions!$L$2,$B136*regressions!$L$1,regressions!$L$1*regressions!$L$2+regressions!$L$3*($B136-regressions!$L$2))</f>
        <v>-0.35598898409705265</v>
      </c>
      <c r="P136">
        <f>regressions!$J$1*M136+regressions!$J$2*M136^2</f>
        <v>-0.21945102604979913</v>
      </c>
      <c r="Q136">
        <f>regressions!$V$1*M136</f>
        <v>-0.35598898510205479</v>
      </c>
      <c r="R136">
        <f>regressions!$N$1*M136^2</f>
        <v>-3.4957423975582387E-2</v>
      </c>
      <c r="S136">
        <f>regressions!$R$1*M136^2+regressions!$R$2*M136^6</f>
        <v>-3.807485719772969E-2</v>
      </c>
      <c r="T136">
        <f>regressions!$P$1*M136^2+regressions!$P$2*M136^7</f>
        <v>-3.6835050213496999E-2</v>
      </c>
      <c r="U136">
        <f>regressions!$T$2+regressions!$T$1*EXP(M136)</f>
        <v>-4.4155683063930983E-3</v>
      </c>
      <c r="V136" s="8">
        <f>(1-EXP(-2*regressions!$X$1*M136))/2/EXP(-regressions!$X$1*M136)</f>
        <v>-0.18331609771225238</v>
      </c>
      <c r="X136" s="33">
        <v>0.44790892762148837</v>
      </c>
      <c r="Y136">
        <f t="shared" si="37"/>
        <v>-0.18658429570218343</v>
      </c>
      <c r="Z136">
        <f>IF($B136&lt;=regressions!$L$2,$B136*regressions!$L$1,regressions!$L$1*regressions!$L$2+regressions!$L$3*($B136-regressions!$L$2))</f>
        <v>-0.35598898409705265</v>
      </c>
      <c r="AA136">
        <f>regressions!$J$1*X136+regressions!$J$2*X136^2</f>
        <v>-0.21945102604979913</v>
      </c>
      <c r="AB136">
        <f>regressions!$V$1*X136</f>
        <v>-0.35598898510205479</v>
      </c>
      <c r="AC136">
        <f>regressions!$N$1*X136^2</f>
        <v>-3.4957423975582387E-2</v>
      </c>
      <c r="AD136">
        <f>regressions!$R$1*X136^2+regressions!$R$2*X136^6</f>
        <v>-3.807485719772969E-2</v>
      </c>
      <c r="AE136">
        <f>regressions!$P$1*X136^2+regressions!$P$2*X136^7</f>
        <v>-3.6835050213496999E-2</v>
      </c>
      <c r="AF136">
        <f>regressions!$T$2+regressions!$T$1*EXP(X136)</f>
        <v>-4.4155683063930983E-3</v>
      </c>
      <c r="AG136" s="8">
        <f>(1-EXP(-2*regressions!$X$1*X136))/2/EXP(-regressions!$X$1*X136)</f>
        <v>-0.18331609771225238</v>
      </c>
      <c r="AH136" s="8"/>
      <c r="AI136" s="33">
        <v>0.44790892762148837</v>
      </c>
      <c r="AJ136">
        <f t="shared" si="38"/>
        <v>-0.18658429570218343</v>
      </c>
      <c r="AK136">
        <f>IF(AI136&lt;=regressions!$L$2,AI136*regressions!$L$1,regressions!$L$1*regressions!$L$2+regressions!$L$3*(AI136-regressions!$L$2))</f>
        <v>-0.35598898409705265</v>
      </c>
      <c r="AL136">
        <f>regressions!$J$1*AI136+regressions!$J$2*AI136^2</f>
        <v>-0.21945102604979913</v>
      </c>
      <c r="AM136">
        <f>regressions!$V$1*AI136</f>
        <v>-0.35598898510205479</v>
      </c>
      <c r="AN136">
        <f>regressions!$N$1*AI136^2</f>
        <v>-3.4957423975582387E-2</v>
      </c>
      <c r="AO136">
        <f>regressions!$R$1*AI136^2+regressions!$R$2*AI136^6</f>
        <v>-3.807485719772969E-2</v>
      </c>
      <c r="AP136">
        <f>regressions!$P$1*AI136^2+regressions!$P$2*AI136^7</f>
        <v>-3.6835050213496999E-2</v>
      </c>
      <c r="AQ136">
        <f>regressions!$T$2+regressions!$T$1*EXP(AI136)</f>
        <v>-4.4155683063930983E-3</v>
      </c>
      <c r="AR136" s="8">
        <f>(1-EXP(-2*regressions!$X$1*AI136))/2/EXP(-regressions!$X$1*AI136)</f>
        <v>-0.18331609771225238</v>
      </c>
      <c r="AT136" s="33">
        <v>0.44790892762148837</v>
      </c>
      <c r="AU136">
        <f t="shared" si="39"/>
        <v>-0.18658429570218343</v>
      </c>
      <c r="AV136">
        <f>IF(AT136&lt;=regressions!$L$2,AT136*regressions!$L$1,regressions!$L$1*regressions!$L$2+regressions!$L$3*(AT136-regressions!$L$2))</f>
        <v>-0.35598898409705265</v>
      </c>
      <c r="AW136">
        <f>regressions!$J$1*AT136+regressions!$J$2*AT136^2</f>
        <v>-0.21945102604979913</v>
      </c>
      <c r="AX136">
        <f>regressions!$V$1*AT136</f>
        <v>-0.35598898510205479</v>
      </c>
      <c r="AY136">
        <f>regressions!$N$1*AT136^2</f>
        <v>-3.4957423975582387E-2</v>
      </c>
      <c r="AZ136">
        <f>regressions!$R$1*AT136^2+regressions!$R$2*AT136^6</f>
        <v>-3.807485719772969E-2</v>
      </c>
      <c r="BA136">
        <f>regressions!$P$1*AT136^2+regressions!$P$2*AT136^7</f>
        <v>-3.6835050213496999E-2</v>
      </c>
      <c r="BB136">
        <f>regressions!$T$2+regressions!$T$1*EXP(AT136)</f>
        <v>-4.4155683063930983E-3</v>
      </c>
      <c r="BC136" s="8">
        <f>(1-EXP(-2*regressions!$X$1*AT136))/2/EXP(-regressions!$X$1*AT136)</f>
        <v>-0.18331609771225238</v>
      </c>
      <c r="BE136">
        <f t="shared" si="40"/>
        <v>0</v>
      </c>
      <c r="BF136">
        <f t="shared" si="31"/>
        <v>0</v>
      </c>
      <c r="BG136">
        <f t="shared" si="32"/>
        <v>0</v>
      </c>
      <c r="BH136">
        <f>BG136+regressions!$AR$1*(AI136-B136)</f>
        <v>0</v>
      </c>
      <c r="BI136">
        <f>BG136-regressions!$AO$1*(AI136-B136)</f>
        <v>0</v>
      </c>
      <c r="BJ136">
        <f t="shared" si="33"/>
        <v>0</v>
      </c>
      <c r="BK136">
        <f>BJ136+regressions!$AR$1*(AT136-B136)</f>
        <v>0</v>
      </c>
      <c r="BL136">
        <f>BJ136-regressions!$AO$1*(AT136-B136)</f>
        <v>0</v>
      </c>
      <c r="BM136">
        <f t="shared" si="41"/>
        <v>0</v>
      </c>
      <c r="BN136">
        <f t="shared" si="34"/>
        <v>0</v>
      </c>
      <c r="BO136">
        <f t="shared" si="35"/>
        <v>0</v>
      </c>
      <c r="BP136">
        <f t="shared" si="42"/>
        <v>0</v>
      </c>
      <c r="BQ136">
        <f t="shared" si="43"/>
        <v>0</v>
      </c>
      <c r="BR136">
        <f t="shared" si="44"/>
        <v>0</v>
      </c>
    </row>
    <row r="137" spans="1:70" x14ac:dyDescent="0.35">
      <c r="A137">
        <v>1984</v>
      </c>
      <c r="B137" s="33">
        <v>0.46174552759071869</v>
      </c>
      <c r="C137">
        <f t="shared" si="30"/>
        <v>-0.1928726550808223</v>
      </c>
      <c r="D137">
        <f>IF($B137&lt;=regressions!$L$2,$B137*regressions!$L$1,regressions!$L$1*regressions!$L$2+regressions!$L$3*($B137-regressions!$L$2))</f>
        <v>-0.36698603475322111</v>
      </c>
      <c r="E137">
        <f>regressions!$J$1*B137+regressions!$J$2*B137^2</f>
        <v>-0.22675240112148884</v>
      </c>
      <c r="F137">
        <f>regressions!$V$1*B137</f>
        <v>-0.36698603578926936</v>
      </c>
      <c r="G137">
        <f>regressions!$N$1*B137^2</f>
        <v>-3.7150561270988459E-2</v>
      </c>
      <c r="H137">
        <f>regressions!$R$1*B137^2+regressions!$R$2*B137^6</f>
        <v>-4.0463561871382878E-2</v>
      </c>
      <c r="I137">
        <f>regressions!$P$1*B137^2+regressions!$P$2*B137^7</f>
        <v>-3.9145984242927562E-2</v>
      </c>
      <c r="J137">
        <f>regressions!$T$2+regressions!$T$1*EXP(B137)</f>
        <v>-4.5859693194269004E-3</v>
      </c>
      <c r="K137" s="8">
        <f>(1-EXP(-2*regressions!$X$1*B137))/2/EXP(-regressions!$X$1*B137)</f>
        <v>-0.18904455001970974</v>
      </c>
      <c r="M137" s="33">
        <v>0.46174552759071869</v>
      </c>
      <c r="N137">
        <f t="shared" si="36"/>
        <v>-0.1928726550808223</v>
      </c>
      <c r="O137">
        <f>IF($B137&lt;=regressions!$L$2,$B137*regressions!$L$1,regressions!$L$1*regressions!$L$2+regressions!$L$3*($B137-regressions!$L$2))</f>
        <v>-0.36698603475322111</v>
      </c>
      <c r="P137">
        <f>regressions!$J$1*M137+regressions!$J$2*M137^2</f>
        <v>-0.22675240112148884</v>
      </c>
      <c r="Q137">
        <f>regressions!$V$1*M137</f>
        <v>-0.36698603578926936</v>
      </c>
      <c r="R137">
        <f>regressions!$N$1*M137^2</f>
        <v>-3.7150561270988459E-2</v>
      </c>
      <c r="S137">
        <f>regressions!$R$1*M137^2+regressions!$R$2*M137^6</f>
        <v>-4.0463561871382878E-2</v>
      </c>
      <c r="T137">
        <f>regressions!$P$1*M137^2+regressions!$P$2*M137^7</f>
        <v>-3.9145984242927562E-2</v>
      </c>
      <c r="U137">
        <f>regressions!$T$2+regressions!$T$1*EXP(M137)</f>
        <v>-4.5859693194269004E-3</v>
      </c>
      <c r="V137" s="8">
        <f>(1-EXP(-2*regressions!$X$1*M137))/2/EXP(-regressions!$X$1*M137)</f>
        <v>-0.18904455001970974</v>
      </c>
      <c r="X137" s="33">
        <v>0.46174552759071869</v>
      </c>
      <c r="Y137">
        <f t="shared" si="37"/>
        <v>-0.1928726550808223</v>
      </c>
      <c r="Z137">
        <f>IF($B137&lt;=regressions!$L$2,$B137*regressions!$L$1,regressions!$L$1*regressions!$L$2+regressions!$L$3*($B137-regressions!$L$2))</f>
        <v>-0.36698603475322111</v>
      </c>
      <c r="AA137">
        <f>regressions!$J$1*X137+regressions!$J$2*X137^2</f>
        <v>-0.22675240112148884</v>
      </c>
      <c r="AB137">
        <f>regressions!$V$1*X137</f>
        <v>-0.36698603578926936</v>
      </c>
      <c r="AC137">
        <f>regressions!$N$1*X137^2</f>
        <v>-3.7150561270988459E-2</v>
      </c>
      <c r="AD137">
        <f>regressions!$R$1*X137^2+regressions!$R$2*X137^6</f>
        <v>-4.0463561871382878E-2</v>
      </c>
      <c r="AE137">
        <f>regressions!$P$1*X137^2+regressions!$P$2*X137^7</f>
        <v>-3.9145984242927562E-2</v>
      </c>
      <c r="AF137">
        <f>regressions!$T$2+regressions!$T$1*EXP(X137)</f>
        <v>-4.5859693194269004E-3</v>
      </c>
      <c r="AG137" s="8">
        <f>(1-EXP(-2*regressions!$X$1*X137))/2/EXP(-regressions!$X$1*X137)</f>
        <v>-0.18904455001970974</v>
      </c>
      <c r="AH137" s="8"/>
      <c r="AI137" s="33">
        <v>0.46174552759071869</v>
      </c>
      <c r="AJ137">
        <f t="shared" si="38"/>
        <v>-0.1928726550808223</v>
      </c>
      <c r="AK137">
        <f>IF(AI137&lt;=regressions!$L$2,AI137*regressions!$L$1,regressions!$L$1*regressions!$L$2+regressions!$L$3*(AI137-regressions!$L$2))</f>
        <v>-0.36698603475322111</v>
      </c>
      <c r="AL137">
        <f>regressions!$J$1*AI137+regressions!$J$2*AI137^2</f>
        <v>-0.22675240112148884</v>
      </c>
      <c r="AM137">
        <f>regressions!$V$1*AI137</f>
        <v>-0.36698603578926936</v>
      </c>
      <c r="AN137">
        <f>regressions!$N$1*AI137^2</f>
        <v>-3.7150561270988459E-2</v>
      </c>
      <c r="AO137">
        <f>regressions!$R$1*AI137^2+regressions!$R$2*AI137^6</f>
        <v>-4.0463561871382878E-2</v>
      </c>
      <c r="AP137">
        <f>regressions!$P$1*AI137^2+regressions!$P$2*AI137^7</f>
        <v>-3.9145984242927562E-2</v>
      </c>
      <c r="AQ137">
        <f>regressions!$T$2+regressions!$T$1*EXP(AI137)</f>
        <v>-4.5859693194269004E-3</v>
      </c>
      <c r="AR137" s="8">
        <f>(1-EXP(-2*regressions!$X$1*AI137))/2/EXP(-regressions!$X$1*AI137)</f>
        <v>-0.18904455001970974</v>
      </c>
      <c r="AT137" s="33">
        <v>0.46174552759071869</v>
      </c>
      <c r="AU137">
        <f t="shared" si="39"/>
        <v>-0.1928726550808223</v>
      </c>
      <c r="AV137">
        <f>IF(AT137&lt;=regressions!$L$2,AT137*regressions!$L$1,regressions!$L$1*regressions!$L$2+regressions!$L$3*(AT137-regressions!$L$2))</f>
        <v>-0.36698603475322111</v>
      </c>
      <c r="AW137">
        <f>regressions!$J$1*AT137+regressions!$J$2*AT137^2</f>
        <v>-0.22675240112148884</v>
      </c>
      <c r="AX137">
        <f>regressions!$V$1*AT137</f>
        <v>-0.36698603578926936</v>
      </c>
      <c r="AY137">
        <f>regressions!$N$1*AT137^2</f>
        <v>-3.7150561270988459E-2</v>
      </c>
      <c r="AZ137">
        <f>regressions!$R$1*AT137^2+regressions!$R$2*AT137^6</f>
        <v>-4.0463561871382878E-2</v>
      </c>
      <c r="BA137">
        <f>regressions!$P$1*AT137^2+regressions!$P$2*AT137^7</f>
        <v>-3.9145984242927562E-2</v>
      </c>
      <c r="BB137">
        <f>regressions!$T$2+regressions!$T$1*EXP(AT137)</f>
        <v>-4.5859693194269004E-3</v>
      </c>
      <c r="BC137" s="8">
        <f>(1-EXP(-2*regressions!$X$1*AT137))/2/EXP(-regressions!$X$1*AT137)</f>
        <v>-0.18904455001970974</v>
      </c>
      <c r="BE137">
        <f t="shared" si="40"/>
        <v>0</v>
      </c>
      <c r="BF137">
        <f t="shared" si="31"/>
        <v>0</v>
      </c>
      <c r="BG137">
        <f t="shared" si="32"/>
        <v>0</v>
      </c>
      <c r="BH137">
        <f>BG137+regressions!$AR$1*(AI137-B137)</f>
        <v>0</v>
      </c>
      <c r="BI137">
        <f>BG137-regressions!$AO$1*(AI137-B137)</f>
        <v>0</v>
      </c>
      <c r="BJ137">
        <f t="shared" si="33"/>
        <v>0</v>
      </c>
      <c r="BK137">
        <f>BJ137+regressions!$AR$1*(AT137-B137)</f>
        <v>0</v>
      </c>
      <c r="BL137">
        <f>BJ137-regressions!$AO$1*(AT137-B137)</f>
        <v>0</v>
      </c>
      <c r="BM137">
        <f t="shared" si="41"/>
        <v>0</v>
      </c>
      <c r="BN137">
        <f t="shared" si="34"/>
        <v>0</v>
      </c>
      <c r="BO137">
        <f t="shared" si="35"/>
        <v>0</v>
      </c>
      <c r="BP137">
        <f t="shared" si="42"/>
        <v>0</v>
      </c>
      <c r="BQ137">
        <f t="shared" si="43"/>
        <v>0</v>
      </c>
      <c r="BR137">
        <f t="shared" si="44"/>
        <v>0</v>
      </c>
    </row>
    <row r="138" spans="1:70" x14ac:dyDescent="0.35">
      <c r="A138">
        <v>1985</v>
      </c>
      <c r="B138" s="33">
        <v>0.47585930544043098</v>
      </c>
      <c r="C138">
        <f t="shared" si="30"/>
        <v>-0.19931973831141095</v>
      </c>
      <c r="D138">
        <f>IF($B138&lt;=regressions!$L$2,$B138*regressions!$L$1,regressions!$L$1*regressions!$L$2+regressions!$L$3*($B138-regressions!$L$2))</f>
        <v>-0.37820338079981847</v>
      </c>
      <c r="E138">
        <f>regressions!$J$1*B138+regressions!$J$2*B138^2</f>
        <v>-0.23423228158522644</v>
      </c>
      <c r="F138">
        <f>regressions!$V$1*B138</f>
        <v>-0.37820338186753472</v>
      </c>
      <c r="G138">
        <f>regressions!$N$1*B138^2</f>
        <v>-3.9456369044319935E-2</v>
      </c>
      <c r="H138">
        <f>regressions!$R$1*B138^2+regressions!$R$2*B138^6</f>
        <v>-4.297498171513197E-2</v>
      </c>
      <c r="I138">
        <f>regressions!$P$1*B138^2+regressions!$P$2*B138^7</f>
        <v>-4.157564030744991E-2</v>
      </c>
      <c r="J138">
        <f>regressions!$T$2+regressions!$T$1*EXP(B138)</f>
        <v>-4.7622300444117825E-3</v>
      </c>
      <c r="K138" s="8">
        <f>(1-EXP(-2*regressions!$X$1*B138))/2/EXP(-regressions!$X$1*B138)</f>
        <v>-0.19489393428625945</v>
      </c>
      <c r="M138" s="33">
        <v>0.47585930544043098</v>
      </c>
      <c r="N138">
        <f t="shared" si="36"/>
        <v>-0.19931973831141095</v>
      </c>
      <c r="O138">
        <f>IF($B138&lt;=regressions!$L$2,$B138*regressions!$L$1,regressions!$L$1*regressions!$L$2+regressions!$L$3*($B138-regressions!$L$2))</f>
        <v>-0.37820338079981847</v>
      </c>
      <c r="P138">
        <f>regressions!$J$1*M138+regressions!$J$2*M138^2</f>
        <v>-0.23423228158522644</v>
      </c>
      <c r="Q138">
        <f>regressions!$V$1*M138</f>
        <v>-0.37820338186753472</v>
      </c>
      <c r="R138">
        <f>regressions!$N$1*M138^2</f>
        <v>-3.9456369044319935E-2</v>
      </c>
      <c r="S138">
        <f>regressions!$R$1*M138^2+regressions!$R$2*M138^6</f>
        <v>-4.297498171513197E-2</v>
      </c>
      <c r="T138">
        <f>regressions!$P$1*M138^2+regressions!$P$2*M138^7</f>
        <v>-4.157564030744991E-2</v>
      </c>
      <c r="U138">
        <f>regressions!$T$2+regressions!$T$1*EXP(M138)</f>
        <v>-4.7622300444117825E-3</v>
      </c>
      <c r="V138" s="8">
        <f>(1-EXP(-2*regressions!$X$1*M138))/2/EXP(-regressions!$X$1*M138)</f>
        <v>-0.19489393428625945</v>
      </c>
      <c r="X138" s="33">
        <v>0.47585930544043098</v>
      </c>
      <c r="Y138">
        <f t="shared" si="37"/>
        <v>-0.19931973831141095</v>
      </c>
      <c r="Z138">
        <f>IF($B138&lt;=regressions!$L$2,$B138*regressions!$L$1,regressions!$L$1*regressions!$L$2+regressions!$L$3*($B138-regressions!$L$2))</f>
        <v>-0.37820338079981847</v>
      </c>
      <c r="AA138">
        <f>regressions!$J$1*X138+regressions!$J$2*X138^2</f>
        <v>-0.23423228158522644</v>
      </c>
      <c r="AB138">
        <f>regressions!$V$1*X138</f>
        <v>-0.37820338186753472</v>
      </c>
      <c r="AC138">
        <f>regressions!$N$1*X138^2</f>
        <v>-3.9456369044319935E-2</v>
      </c>
      <c r="AD138">
        <f>regressions!$R$1*X138^2+regressions!$R$2*X138^6</f>
        <v>-4.297498171513197E-2</v>
      </c>
      <c r="AE138">
        <f>regressions!$P$1*X138^2+regressions!$P$2*X138^7</f>
        <v>-4.157564030744991E-2</v>
      </c>
      <c r="AF138">
        <f>regressions!$T$2+regressions!$T$1*EXP(X138)</f>
        <v>-4.7622300444117825E-3</v>
      </c>
      <c r="AG138" s="8">
        <f>(1-EXP(-2*regressions!$X$1*X138))/2/EXP(-regressions!$X$1*X138)</f>
        <v>-0.19489393428625945</v>
      </c>
      <c r="AH138" s="8"/>
      <c r="AI138" s="33">
        <v>0.47585930544043098</v>
      </c>
      <c r="AJ138">
        <f t="shared" si="38"/>
        <v>-0.19931973831141095</v>
      </c>
      <c r="AK138">
        <f>IF(AI138&lt;=regressions!$L$2,AI138*regressions!$L$1,regressions!$L$1*regressions!$L$2+regressions!$L$3*(AI138-regressions!$L$2))</f>
        <v>-0.37820338079981847</v>
      </c>
      <c r="AL138">
        <f>regressions!$J$1*AI138+regressions!$J$2*AI138^2</f>
        <v>-0.23423228158522644</v>
      </c>
      <c r="AM138">
        <f>regressions!$V$1*AI138</f>
        <v>-0.37820338186753472</v>
      </c>
      <c r="AN138">
        <f>regressions!$N$1*AI138^2</f>
        <v>-3.9456369044319935E-2</v>
      </c>
      <c r="AO138">
        <f>regressions!$R$1*AI138^2+regressions!$R$2*AI138^6</f>
        <v>-4.297498171513197E-2</v>
      </c>
      <c r="AP138">
        <f>regressions!$P$1*AI138^2+regressions!$P$2*AI138^7</f>
        <v>-4.157564030744991E-2</v>
      </c>
      <c r="AQ138">
        <f>regressions!$T$2+regressions!$T$1*EXP(AI138)</f>
        <v>-4.7622300444117825E-3</v>
      </c>
      <c r="AR138" s="8">
        <f>(1-EXP(-2*regressions!$X$1*AI138))/2/EXP(-regressions!$X$1*AI138)</f>
        <v>-0.19489393428625945</v>
      </c>
      <c r="AT138" s="33">
        <v>0.47585930544043098</v>
      </c>
      <c r="AU138">
        <f t="shared" si="39"/>
        <v>-0.19931973831141095</v>
      </c>
      <c r="AV138">
        <f>IF(AT138&lt;=regressions!$L$2,AT138*regressions!$L$1,regressions!$L$1*regressions!$L$2+regressions!$L$3*(AT138-regressions!$L$2))</f>
        <v>-0.37820338079981847</v>
      </c>
      <c r="AW138">
        <f>regressions!$J$1*AT138+regressions!$J$2*AT138^2</f>
        <v>-0.23423228158522644</v>
      </c>
      <c r="AX138">
        <f>regressions!$V$1*AT138</f>
        <v>-0.37820338186753472</v>
      </c>
      <c r="AY138">
        <f>regressions!$N$1*AT138^2</f>
        <v>-3.9456369044319935E-2</v>
      </c>
      <c r="AZ138">
        <f>regressions!$R$1*AT138^2+regressions!$R$2*AT138^6</f>
        <v>-4.297498171513197E-2</v>
      </c>
      <c r="BA138">
        <f>regressions!$P$1*AT138^2+regressions!$P$2*AT138^7</f>
        <v>-4.157564030744991E-2</v>
      </c>
      <c r="BB138">
        <f>regressions!$T$2+regressions!$T$1*EXP(AT138)</f>
        <v>-4.7622300444117825E-3</v>
      </c>
      <c r="BC138" s="8">
        <f>(1-EXP(-2*regressions!$X$1*AT138))/2/EXP(-regressions!$X$1*AT138)</f>
        <v>-0.19489393428625945</v>
      </c>
      <c r="BE138">
        <f t="shared" si="40"/>
        <v>0</v>
      </c>
      <c r="BF138">
        <f t="shared" si="31"/>
        <v>0</v>
      </c>
      <c r="BG138">
        <f t="shared" si="32"/>
        <v>0</v>
      </c>
      <c r="BH138">
        <f>BG138+regressions!$AR$1*(AI138-B138)</f>
        <v>0</v>
      </c>
      <c r="BI138">
        <f>BG138-regressions!$AO$1*(AI138-B138)</f>
        <v>0</v>
      </c>
      <c r="BJ138">
        <f t="shared" si="33"/>
        <v>0</v>
      </c>
      <c r="BK138">
        <f>BJ138+regressions!$AR$1*(AT138-B138)</f>
        <v>0</v>
      </c>
      <c r="BL138">
        <f>BJ138-regressions!$AO$1*(AT138-B138)</f>
        <v>0</v>
      </c>
      <c r="BM138">
        <f t="shared" si="41"/>
        <v>0</v>
      </c>
      <c r="BN138">
        <f t="shared" si="34"/>
        <v>0</v>
      </c>
      <c r="BO138">
        <f t="shared" si="35"/>
        <v>0</v>
      </c>
      <c r="BP138">
        <f t="shared" si="42"/>
        <v>0</v>
      </c>
      <c r="BQ138">
        <f t="shared" si="43"/>
        <v>0</v>
      </c>
      <c r="BR138">
        <f t="shared" si="44"/>
        <v>0</v>
      </c>
    </row>
    <row r="139" spans="1:70" x14ac:dyDescent="0.35">
      <c r="A139">
        <v>1986</v>
      </c>
      <c r="B139" s="33">
        <v>0.49026322741083628</v>
      </c>
      <c r="C139">
        <f t="shared" si="30"/>
        <v>-0.2059334979112841</v>
      </c>
      <c r="D139">
        <f>IF($B139&lt;=regressions!$L$2,$B139*regressions!$L$1,regressions!$L$1*regressions!$L$2+regressions!$L$3*($B139-regressions!$L$2))</f>
        <v>-0.38965132754311488</v>
      </c>
      <c r="E139">
        <f>regressions!$J$1*B139+regressions!$J$2*B139^2</f>
        <v>-0.24189950309217109</v>
      </c>
      <c r="F139">
        <f>regressions!$V$1*B139</f>
        <v>-0.38965132864315011</v>
      </c>
      <c r="G139">
        <f>regressions!$N$1*B139^2</f>
        <v>-4.1881152474133203E-2</v>
      </c>
      <c r="H139">
        <f>regressions!$R$1*B139^2+regressions!$R$2*B139^6</f>
        <v>-4.5615983611504513E-2</v>
      </c>
      <c r="I139">
        <f>regressions!$P$1*B139^2+regressions!$P$2*B139^7</f>
        <v>-4.4130662208293918E-2</v>
      </c>
      <c r="J139">
        <f>regressions!$T$2+regressions!$T$1*EXP(B139)</f>
        <v>-4.9446976295014055E-3</v>
      </c>
      <c r="K139" s="8">
        <f>(1-EXP(-2*regressions!$X$1*B139))/2/EXP(-regressions!$X$1*B139)</f>
        <v>-0.20087019971383954</v>
      </c>
      <c r="M139" s="33">
        <v>0.49026322741083628</v>
      </c>
      <c r="N139">
        <f t="shared" si="36"/>
        <v>-0.2059334979112841</v>
      </c>
      <c r="O139">
        <f>IF($B139&lt;=regressions!$L$2,$B139*regressions!$L$1,regressions!$L$1*regressions!$L$2+regressions!$L$3*($B139-regressions!$L$2))</f>
        <v>-0.38965132754311488</v>
      </c>
      <c r="P139">
        <f>regressions!$J$1*M139+regressions!$J$2*M139^2</f>
        <v>-0.24189950309217109</v>
      </c>
      <c r="Q139">
        <f>regressions!$V$1*M139</f>
        <v>-0.38965132864315011</v>
      </c>
      <c r="R139">
        <f>regressions!$N$1*M139^2</f>
        <v>-4.1881152474133203E-2</v>
      </c>
      <c r="S139">
        <f>regressions!$R$1*M139^2+regressions!$R$2*M139^6</f>
        <v>-4.5615983611504513E-2</v>
      </c>
      <c r="T139">
        <f>regressions!$P$1*M139^2+regressions!$P$2*M139^7</f>
        <v>-4.4130662208293918E-2</v>
      </c>
      <c r="U139">
        <f>regressions!$T$2+regressions!$T$1*EXP(M139)</f>
        <v>-4.9446976295014055E-3</v>
      </c>
      <c r="V139" s="8">
        <f>(1-EXP(-2*regressions!$X$1*M139))/2/EXP(-regressions!$X$1*M139)</f>
        <v>-0.20087019971383954</v>
      </c>
      <c r="X139" s="33">
        <v>0.49026322741083628</v>
      </c>
      <c r="Y139">
        <f t="shared" si="37"/>
        <v>-0.2059334979112841</v>
      </c>
      <c r="Z139">
        <f>IF($B139&lt;=regressions!$L$2,$B139*regressions!$L$1,regressions!$L$1*regressions!$L$2+regressions!$L$3*($B139-regressions!$L$2))</f>
        <v>-0.38965132754311488</v>
      </c>
      <c r="AA139">
        <f>regressions!$J$1*X139+regressions!$J$2*X139^2</f>
        <v>-0.24189950309217109</v>
      </c>
      <c r="AB139">
        <f>regressions!$V$1*X139</f>
        <v>-0.38965132864315011</v>
      </c>
      <c r="AC139">
        <f>regressions!$N$1*X139^2</f>
        <v>-4.1881152474133203E-2</v>
      </c>
      <c r="AD139">
        <f>regressions!$R$1*X139^2+regressions!$R$2*X139^6</f>
        <v>-4.5615983611504513E-2</v>
      </c>
      <c r="AE139">
        <f>regressions!$P$1*X139^2+regressions!$P$2*X139^7</f>
        <v>-4.4130662208293918E-2</v>
      </c>
      <c r="AF139">
        <f>regressions!$T$2+regressions!$T$1*EXP(X139)</f>
        <v>-4.9446976295014055E-3</v>
      </c>
      <c r="AG139" s="8">
        <f>(1-EXP(-2*regressions!$X$1*X139))/2/EXP(-regressions!$X$1*X139)</f>
        <v>-0.20087019971383954</v>
      </c>
      <c r="AH139" s="8"/>
      <c r="AI139" s="33">
        <v>0.49026322741083628</v>
      </c>
      <c r="AJ139">
        <f t="shared" si="38"/>
        <v>-0.2059334979112841</v>
      </c>
      <c r="AK139">
        <f>IF(AI139&lt;=regressions!$L$2,AI139*regressions!$L$1,regressions!$L$1*regressions!$L$2+regressions!$L$3*(AI139-regressions!$L$2))</f>
        <v>-0.38965132754311488</v>
      </c>
      <c r="AL139">
        <f>regressions!$J$1*AI139+regressions!$J$2*AI139^2</f>
        <v>-0.24189950309217109</v>
      </c>
      <c r="AM139">
        <f>regressions!$V$1*AI139</f>
        <v>-0.38965132864315011</v>
      </c>
      <c r="AN139">
        <f>regressions!$N$1*AI139^2</f>
        <v>-4.1881152474133203E-2</v>
      </c>
      <c r="AO139">
        <f>regressions!$R$1*AI139^2+regressions!$R$2*AI139^6</f>
        <v>-4.5615983611504513E-2</v>
      </c>
      <c r="AP139">
        <f>regressions!$P$1*AI139^2+regressions!$P$2*AI139^7</f>
        <v>-4.4130662208293918E-2</v>
      </c>
      <c r="AQ139">
        <f>regressions!$T$2+regressions!$T$1*EXP(AI139)</f>
        <v>-4.9446976295014055E-3</v>
      </c>
      <c r="AR139" s="8">
        <f>(1-EXP(-2*regressions!$X$1*AI139))/2/EXP(-regressions!$X$1*AI139)</f>
        <v>-0.20087019971383954</v>
      </c>
      <c r="AT139" s="33">
        <v>0.49026322741083628</v>
      </c>
      <c r="AU139">
        <f t="shared" si="39"/>
        <v>-0.2059334979112841</v>
      </c>
      <c r="AV139">
        <f>IF(AT139&lt;=regressions!$L$2,AT139*regressions!$L$1,regressions!$L$1*regressions!$L$2+regressions!$L$3*(AT139-regressions!$L$2))</f>
        <v>-0.38965132754311488</v>
      </c>
      <c r="AW139">
        <f>regressions!$J$1*AT139+regressions!$J$2*AT139^2</f>
        <v>-0.24189950309217109</v>
      </c>
      <c r="AX139">
        <f>regressions!$V$1*AT139</f>
        <v>-0.38965132864315011</v>
      </c>
      <c r="AY139">
        <f>regressions!$N$1*AT139^2</f>
        <v>-4.1881152474133203E-2</v>
      </c>
      <c r="AZ139">
        <f>regressions!$R$1*AT139^2+regressions!$R$2*AT139^6</f>
        <v>-4.5615983611504513E-2</v>
      </c>
      <c r="BA139">
        <f>regressions!$P$1*AT139^2+regressions!$P$2*AT139^7</f>
        <v>-4.4130662208293918E-2</v>
      </c>
      <c r="BB139">
        <f>regressions!$T$2+regressions!$T$1*EXP(AT139)</f>
        <v>-4.9446976295014055E-3</v>
      </c>
      <c r="BC139" s="8">
        <f>(1-EXP(-2*regressions!$X$1*AT139))/2/EXP(-regressions!$X$1*AT139)</f>
        <v>-0.20087019971383954</v>
      </c>
      <c r="BE139">
        <f t="shared" si="40"/>
        <v>0</v>
      </c>
      <c r="BF139">
        <f t="shared" si="31"/>
        <v>0</v>
      </c>
      <c r="BG139">
        <f t="shared" si="32"/>
        <v>0</v>
      </c>
      <c r="BH139">
        <f>BG139+regressions!$AR$1*(AI139-B139)</f>
        <v>0</v>
      </c>
      <c r="BI139">
        <f>BG139-regressions!$AO$1*(AI139-B139)</f>
        <v>0</v>
      </c>
      <c r="BJ139">
        <f t="shared" si="33"/>
        <v>0</v>
      </c>
      <c r="BK139">
        <f>BJ139+regressions!$AR$1*(AT139-B139)</f>
        <v>0</v>
      </c>
      <c r="BL139">
        <f>BJ139-regressions!$AO$1*(AT139-B139)</f>
        <v>0</v>
      </c>
      <c r="BM139">
        <f t="shared" si="41"/>
        <v>0</v>
      </c>
      <c r="BN139">
        <f t="shared" si="34"/>
        <v>0</v>
      </c>
      <c r="BO139">
        <f t="shared" si="35"/>
        <v>0</v>
      </c>
      <c r="BP139">
        <f t="shared" si="42"/>
        <v>0</v>
      </c>
      <c r="BQ139">
        <f t="shared" si="43"/>
        <v>0</v>
      </c>
      <c r="BR139">
        <f t="shared" si="44"/>
        <v>0</v>
      </c>
    </row>
    <row r="140" spans="1:70" x14ac:dyDescent="0.35">
      <c r="A140">
        <v>1987</v>
      </c>
      <c r="B140" s="33">
        <v>0.50497055537878766</v>
      </c>
      <c r="C140">
        <f t="shared" si="30"/>
        <v>-0.21272219241856594</v>
      </c>
      <c r="D140">
        <f>IF($B140&lt;=regressions!$L$2,$B140*regressions!$L$1,regressions!$L$1*regressions!$L$2+regressions!$L$3*($B140-regressions!$L$2))</f>
        <v>-0.40134041525542241</v>
      </c>
      <c r="E140">
        <f>regressions!$J$1*B140+regressions!$J$2*B140^2</f>
        <v>-0.24976322192032907</v>
      </c>
      <c r="F140">
        <f>regressions!$V$1*B140</f>
        <v>-0.40134041638845741</v>
      </c>
      <c r="G140">
        <f>regressions!$N$1*B140^2</f>
        <v>-4.4431614554436463E-2</v>
      </c>
      <c r="H140">
        <f>regressions!$R$1*B140^2+regressions!$R$2*B140^6</f>
        <v>-4.8393867630571012E-2</v>
      </c>
      <c r="I140">
        <f>regressions!$P$1*B140^2+regressions!$P$2*B140^7</f>
        <v>-4.6818112921042154E-2</v>
      </c>
      <c r="J140">
        <f>regressions!$T$2+regressions!$T$1*EXP(B140)</f>
        <v>-5.1337405111832393E-3</v>
      </c>
      <c r="K140" s="8">
        <f>(1-EXP(-2*regressions!$X$1*B140))/2/EXP(-regressions!$X$1*B140)</f>
        <v>-0.20697947498870886</v>
      </c>
      <c r="M140" s="33">
        <v>0.50497055537878766</v>
      </c>
      <c r="N140">
        <f t="shared" si="36"/>
        <v>-0.21272219241856594</v>
      </c>
      <c r="O140">
        <f>IF($B140&lt;=regressions!$L$2,$B140*regressions!$L$1,regressions!$L$1*regressions!$L$2+regressions!$L$3*($B140-regressions!$L$2))</f>
        <v>-0.40134041525542241</v>
      </c>
      <c r="P140">
        <f>regressions!$J$1*M140+regressions!$J$2*M140^2</f>
        <v>-0.24976322192032907</v>
      </c>
      <c r="Q140">
        <f>regressions!$V$1*M140</f>
        <v>-0.40134041638845741</v>
      </c>
      <c r="R140">
        <f>regressions!$N$1*M140^2</f>
        <v>-4.4431614554436463E-2</v>
      </c>
      <c r="S140">
        <f>regressions!$R$1*M140^2+regressions!$R$2*M140^6</f>
        <v>-4.8393867630571012E-2</v>
      </c>
      <c r="T140">
        <f>regressions!$P$1*M140^2+regressions!$P$2*M140^7</f>
        <v>-4.6818112921042154E-2</v>
      </c>
      <c r="U140">
        <f>regressions!$T$2+regressions!$T$1*EXP(M140)</f>
        <v>-5.1337405111832393E-3</v>
      </c>
      <c r="V140" s="8">
        <f>(1-EXP(-2*regressions!$X$1*M140))/2/EXP(-regressions!$X$1*M140)</f>
        <v>-0.20697947498870886</v>
      </c>
      <c r="X140" s="33">
        <v>0.50497055537878766</v>
      </c>
      <c r="Y140">
        <f t="shared" si="37"/>
        <v>-0.21272219241856594</v>
      </c>
      <c r="Z140">
        <f>IF($B140&lt;=regressions!$L$2,$B140*regressions!$L$1,regressions!$L$1*regressions!$L$2+regressions!$L$3*($B140-regressions!$L$2))</f>
        <v>-0.40134041525542241</v>
      </c>
      <c r="AA140">
        <f>regressions!$J$1*X140+regressions!$J$2*X140^2</f>
        <v>-0.24976322192032907</v>
      </c>
      <c r="AB140">
        <f>regressions!$V$1*X140</f>
        <v>-0.40134041638845741</v>
      </c>
      <c r="AC140">
        <f>regressions!$N$1*X140^2</f>
        <v>-4.4431614554436463E-2</v>
      </c>
      <c r="AD140">
        <f>regressions!$R$1*X140^2+regressions!$R$2*X140^6</f>
        <v>-4.8393867630571012E-2</v>
      </c>
      <c r="AE140">
        <f>regressions!$P$1*X140^2+regressions!$P$2*X140^7</f>
        <v>-4.6818112921042154E-2</v>
      </c>
      <c r="AF140">
        <f>regressions!$T$2+regressions!$T$1*EXP(X140)</f>
        <v>-5.1337405111832393E-3</v>
      </c>
      <c r="AG140" s="8">
        <f>(1-EXP(-2*regressions!$X$1*X140))/2/EXP(-regressions!$X$1*X140)</f>
        <v>-0.20697947498870886</v>
      </c>
      <c r="AH140" s="8"/>
      <c r="AI140" s="33">
        <v>0.50497055537878766</v>
      </c>
      <c r="AJ140">
        <f t="shared" si="38"/>
        <v>-0.21272219241856594</v>
      </c>
      <c r="AK140">
        <f>IF(AI140&lt;=regressions!$L$2,AI140*regressions!$L$1,regressions!$L$1*regressions!$L$2+regressions!$L$3*(AI140-regressions!$L$2))</f>
        <v>-0.40134041525542241</v>
      </c>
      <c r="AL140">
        <f>regressions!$J$1*AI140+regressions!$J$2*AI140^2</f>
        <v>-0.24976322192032907</v>
      </c>
      <c r="AM140">
        <f>regressions!$V$1*AI140</f>
        <v>-0.40134041638845741</v>
      </c>
      <c r="AN140">
        <f>regressions!$N$1*AI140^2</f>
        <v>-4.4431614554436463E-2</v>
      </c>
      <c r="AO140">
        <f>regressions!$R$1*AI140^2+regressions!$R$2*AI140^6</f>
        <v>-4.8393867630571012E-2</v>
      </c>
      <c r="AP140">
        <f>regressions!$P$1*AI140^2+regressions!$P$2*AI140^7</f>
        <v>-4.6818112921042154E-2</v>
      </c>
      <c r="AQ140">
        <f>regressions!$T$2+regressions!$T$1*EXP(AI140)</f>
        <v>-5.1337405111832393E-3</v>
      </c>
      <c r="AR140" s="8">
        <f>(1-EXP(-2*regressions!$X$1*AI140))/2/EXP(-regressions!$X$1*AI140)</f>
        <v>-0.20697947498870886</v>
      </c>
      <c r="AT140" s="33">
        <v>0.50497055537878766</v>
      </c>
      <c r="AU140">
        <f t="shared" si="39"/>
        <v>-0.21272219241856594</v>
      </c>
      <c r="AV140">
        <f>IF(AT140&lt;=regressions!$L$2,AT140*regressions!$L$1,regressions!$L$1*regressions!$L$2+regressions!$L$3*(AT140-regressions!$L$2))</f>
        <v>-0.40134041525542241</v>
      </c>
      <c r="AW140">
        <f>regressions!$J$1*AT140+regressions!$J$2*AT140^2</f>
        <v>-0.24976322192032907</v>
      </c>
      <c r="AX140">
        <f>regressions!$V$1*AT140</f>
        <v>-0.40134041638845741</v>
      </c>
      <c r="AY140">
        <f>regressions!$N$1*AT140^2</f>
        <v>-4.4431614554436463E-2</v>
      </c>
      <c r="AZ140">
        <f>regressions!$R$1*AT140^2+regressions!$R$2*AT140^6</f>
        <v>-4.8393867630571012E-2</v>
      </c>
      <c r="BA140">
        <f>regressions!$P$1*AT140^2+regressions!$P$2*AT140^7</f>
        <v>-4.6818112921042154E-2</v>
      </c>
      <c r="BB140">
        <f>regressions!$T$2+regressions!$T$1*EXP(AT140)</f>
        <v>-5.1337405111832393E-3</v>
      </c>
      <c r="BC140" s="8">
        <f>(1-EXP(-2*regressions!$X$1*AT140))/2/EXP(-regressions!$X$1*AT140)</f>
        <v>-0.20697947498870886</v>
      </c>
      <c r="BE140">
        <f t="shared" si="40"/>
        <v>0</v>
      </c>
      <c r="BF140">
        <f t="shared" si="31"/>
        <v>0</v>
      </c>
      <c r="BG140">
        <f t="shared" si="32"/>
        <v>0</v>
      </c>
      <c r="BH140">
        <f>BG140+regressions!$AR$1*(AI140-B140)</f>
        <v>0</v>
      </c>
      <c r="BI140">
        <f>BG140-regressions!$AO$1*(AI140-B140)</f>
        <v>0</v>
      </c>
      <c r="BJ140">
        <f t="shared" si="33"/>
        <v>0</v>
      </c>
      <c r="BK140">
        <f>BJ140+regressions!$AR$1*(AT140-B140)</f>
        <v>0</v>
      </c>
      <c r="BL140">
        <f>BJ140-regressions!$AO$1*(AT140-B140)</f>
        <v>0</v>
      </c>
      <c r="BM140">
        <f t="shared" si="41"/>
        <v>0</v>
      </c>
      <c r="BN140">
        <f t="shared" si="34"/>
        <v>0</v>
      </c>
      <c r="BO140">
        <f t="shared" si="35"/>
        <v>0</v>
      </c>
      <c r="BP140">
        <f t="shared" si="42"/>
        <v>0</v>
      </c>
      <c r="BQ140">
        <f t="shared" si="43"/>
        <v>0</v>
      </c>
      <c r="BR140">
        <f t="shared" si="44"/>
        <v>0</v>
      </c>
    </row>
    <row r="141" spans="1:70" x14ac:dyDescent="0.35">
      <c r="A141">
        <v>1988</v>
      </c>
      <c r="B141" s="33">
        <v>0.51998797051557488</v>
      </c>
      <c r="C141">
        <f t="shared" si="30"/>
        <v>-0.21969119738970072</v>
      </c>
      <c r="D141">
        <f>IF($B141&lt;=regressions!$L$2,$B141*regressions!$L$1,regressions!$L$1*regressions!$L$2+regressions!$L$3*($B141-regressions!$L$2))</f>
        <v>-0.41327595399696393</v>
      </c>
      <c r="E141">
        <f>regressions!$J$1*B141+regressions!$J$2*B141^2</f>
        <v>-0.25782922309695366</v>
      </c>
      <c r="F141">
        <f>regressions!$V$1*B141</f>
        <v>-0.41327595516369448</v>
      </c>
      <c r="G141">
        <f>regressions!$N$1*B141^2</f>
        <v>-4.7113631163863641E-2</v>
      </c>
      <c r="H141">
        <f>regressions!$R$1*B141^2+regressions!$R$2*B141^6</f>
        <v>-5.1315032857694086E-2</v>
      </c>
      <c r="I141">
        <f>regressions!$P$1*B141^2+regressions!$P$2*B141^7</f>
        <v>-4.9644183870584398E-2</v>
      </c>
      <c r="J141">
        <f>regressions!$T$2+regressions!$T$1*EXP(B141)</f>
        <v>-5.3296595091462534E-3</v>
      </c>
      <c r="K141" s="8">
        <f>(1-EXP(-2*regressions!$X$1*B141))/2/EXP(-regressions!$X$1*B141)</f>
        <v>-0.21322521185548565</v>
      </c>
      <c r="M141" s="33">
        <v>0.51998797051557488</v>
      </c>
      <c r="N141">
        <f t="shared" si="36"/>
        <v>-0.21969119738970072</v>
      </c>
      <c r="O141">
        <f>IF($B141&lt;=regressions!$L$2,$B141*regressions!$L$1,regressions!$L$1*regressions!$L$2+regressions!$L$3*($B141-regressions!$L$2))</f>
        <v>-0.41327595399696393</v>
      </c>
      <c r="P141">
        <f>regressions!$J$1*M141+regressions!$J$2*M141^2</f>
        <v>-0.25782922309695366</v>
      </c>
      <c r="Q141">
        <f>regressions!$V$1*M141</f>
        <v>-0.41327595516369448</v>
      </c>
      <c r="R141">
        <f>regressions!$N$1*M141^2</f>
        <v>-4.7113631163863641E-2</v>
      </c>
      <c r="S141">
        <f>regressions!$R$1*M141^2+regressions!$R$2*M141^6</f>
        <v>-5.1315032857694086E-2</v>
      </c>
      <c r="T141">
        <f>regressions!$P$1*M141^2+regressions!$P$2*M141^7</f>
        <v>-4.9644183870584398E-2</v>
      </c>
      <c r="U141">
        <f>regressions!$T$2+regressions!$T$1*EXP(M141)</f>
        <v>-5.3296595091462534E-3</v>
      </c>
      <c r="V141" s="8">
        <f>(1-EXP(-2*regressions!$X$1*M141))/2/EXP(-regressions!$X$1*M141)</f>
        <v>-0.21322521185548565</v>
      </c>
      <c r="X141" s="33">
        <v>0.51998797051557488</v>
      </c>
      <c r="Y141">
        <f t="shared" si="37"/>
        <v>-0.21969119738970072</v>
      </c>
      <c r="Z141">
        <f>IF($B141&lt;=regressions!$L$2,$B141*regressions!$L$1,regressions!$L$1*regressions!$L$2+regressions!$L$3*($B141-regressions!$L$2))</f>
        <v>-0.41327595399696393</v>
      </c>
      <c r="AA141">
        <f>regressions!$J$1*X141+regressions!$J$2*X141^2</f>
        <v>-0.25782922309695366</v>
      </c>
      <c r="AB141">
        <f>regressions!$V$1*X141</f>
        <v>-0.41327595516369448</v>
      </c>
      <c r="AC141">
        <f>regressions!$N$1*X141^2</f>
        <v>-4.7113631163863641E-2</v>
      </c>
      <c r="AD141">
        <f>regressions!$R$1*X141^2+regressions!$R$2*X141^6</f>
        <v>-5.1315032857694086E-2</v>
      </c>
      <c r="AE141">
        <f>regressions!$P$1*X141^2+regressions!$P$2*X141^7</f>
        <v>-4.9644183870584398E-2</v>
      </c>
      <c r="AF141">
        <f>regressions!$T$2+regressions!$T$1*EXP(X141)</f>
        <v>-5.3296595091462534E-3</v>
      </c>
      <c r="AG141" s="8">
        <f>(1-EXP(-2*regressions!$X$1*X141))/2/EXP(-regressions!$X$1*X141)</f>
        <v>-0.21322521185548565</v>
      </c>
      <c r="AH141" s="8"/>
      <c r="AI141" s="33">
        <v>0.51998797051557488</v>
      </c>
      <c r="AJ141">
        <f t="shared" si="38"/>
        <v>-0.21969119738970072</v>
      </c>
      <c r="AK141">
        <f>IF(AI141&lt;=regressions!$L$2,AI141*regressions!$L$1,regressions!$L$1*regressions!$L$2+regressions!$L$3*(AI141-regressions!$L$2))</f>
        <v>-0.41327595399696393</v>
      </c>
      <c r="AL141">
        <f>regressions!$J$1*AI141+regressions!$J$2*AI141^2</f>
        <v>-0.25782922309695366</v>
      </c>
      <c r="AM141">
        <f>regressions!$V$1*AI141</f>
        <v>-0.41327595516369448</v>
      </c>
      <c r="AN141">
        <f>regressions!$N$1*AI141^2</f>
        <v>-4.7113631163863641E-2</v>
      </c>
      <c r="AO141">
        <f>regressions!$R$1*AI141^2+regressions!$R$2*AI141^6</f>
        <v>-5.1315032857694086E-2</v>
      </c>
      <c r="AP141">
        <f>regressions!$P$1*AI141^2+regressions!$P$2*AI141^7</f>
        <v>-4.9644183870584398E-2</v>
      </c>
      <c r="AQ141">
        <f>regressions!$T$2+regressions!$T$1*EXP(AI141)</f>
        <v>-5.3296595091462534E-3</v>
      </c>
      <c r="AR141" s="8">
        <f>(1-EXP(-2*regressions!$X$1*AI141))/2/EXP(-regressions!$X$1*AI141)</f>
        <v>-0.21322521185548565</v>
      </c>
      <c r="AT141" s="33">
        <v>0.51998797051557488</v>
      </c>
      <c r="AU141">
        <f t="shared" si="39"/>
        <v>-0.21969119738970072</v>
      </c>
      <c r="AV141">
        <f>IF(AT141&lt;=regressions!$L$2,AT141*regressions!$L$1,regressions!$L$1*regressions!$L$2+regressions!$L$3*(AT141-regressions!$L$2))</f>
        <v>-0.41327595399696393</v>
      </c>
      <c r="AW141">
        <f>regressions!$J$1*AT141+regressions!$J$2*AT141^2</f>
        <v>-0.25782922309695366</v>
      </c>
      <c r="AX141">
        <f>regressions!$V$1*AT141</f>
        <v>-0.41327595516369448</v>
      </c>
      <c r="AY141">
        <f>regressions!$N$1*AT141^2</f>
        <v>-4.7113631163863641E-2</v>
      </c>
      <c r="AZ141">
        <f>regressions!$R$1*AT141^2+regressions!$R$2*AT141^6</f>
        <v>-5.1315032857694086E-2</v>
      </c>
      <c r="BA141">
        <f>regressions!$P$1*AT141^2+regressions!$P$2*AT141^7</f>
        <v>-4.9644183870584398E-2</v>
      </c>
      <c r="BB141">
        <f>regressions!$T$2+regressions!$T$1*EXP(AT141)</f>
        <v>-5.3296595091462534E-3</v>
      </c>
      <c r="BC141" s="8">
        <f>(1-EXP(-2*regressions!$X$1*AT141))/2/EXP(-regressions!$X$1*AT141)</f>
        <v>-0.21322521185548565</v>
      </c>
      <c r="BE141">
        <f t="shared" si="40"/>
        <v>0</v>
      </c>
      <c r="BF141">
        <f t="shared" si="31"/>
        <v>0</v>
      </c>
      <c r="BG141">
        <f t="shared" si="32"/>
        <v>0</v>
      </c>
      <c r="BH141">
        <f>BG141+regressions!$AR$1*(AI141-B141)</f>
        <v>0</v>
      </c>
      <c r="BI141">
        <f>BG141-regressions!$AO$1*(AI141-B141)</f>
        <v>0</v>
      </c>
      <c r="BJ141">
        <f t="shared" si="33"/>
        <v>0</v>
      </c>
      <c r="BK141">
        <f>BJ141+regressions!$AR$1*(AT141-B141)</f>
        <v>0</v>
      </c>
      <c r="BL141">
        <f>BJ141-regressions!$AO$1*(AT141-B141)</f>
        <v>0</v>
      </c>
      <c r="BM141">
        <f t="shared" si="41"/>
        <v>0</v>
      </c>
      <c r="BN141">
        <f t="shared" si="34"/>
        <v>0</v>
      </c>
      <c r="BO141">
        <f t="shared" si="35"/>
        <v>0</v>
      </c>
      <c r="BP141">
        <f t="shared" si="42"/>
        <v>0</v>
      </c>
      <c r="BQ141">
        <f t="shared" si="43"/>
        <v>0</v>
      </c>
      <c r="BR141">
        <f t="shared" si="44"/>
        <v>0</v>
      </c>
    </row>
    <row r="142" spans="1:70" x14ac:dyDescent="0.35">
      <c r="A142">
        <v>1989</v>
      </c>
      <c r="B142" s="33">
        <v>0.53533595444580029</v>
      </c>
      <c r="C142">
        <f t="shared" si="30"/>
        <v>-0.22685246441137391</v>
      </c>
      <c r="D142">
        <f>IF($B142&lt;=regressions!$L$2,$B142*regressions!$L$1,regressions!$L$1*regressions!$L$2+regressions!$L$3*($B142-regressions!$L$2))</f>
        <v>-0.42547422214998454</v>
      </c>
      <c r="E142">
        <f>regressions!$J$1*B142+regressions!$J$2*B142^2</f>
        <v>-0.26611086764440567</v>
      </c>
      <c r="F142">
        <f>regressions!$V$1*B142</f>
        <v>-0.42547422335115237</v>
      </c>
      <c r="G142">
        <f>regressions!$N$1*B142^2</f>
        <v>-4.9935891706799081E-2</v>
      </c>
      <c r="H142">
        <f>regressions!$R$1*B142^2+regressions!$R$2*B142^6</f>
        <v>-5.438894264131422E-2</v>
      </c>
      <c r="I142">
        <f>regressions!$P$1*B142^2+regressions!$P$2*B142^7</f>
        <v>-5.2618031113427E-2</v>
      </c>
      <c r="J142">
        <f>regressions!$T$2+regressions!$T$1*EXP(B142)</f>
        <v>-5.5329544844123224E-3</v>
      </c>
      <c r="K142" s="8">
        <f>(1-EXP(-2*regressions!$X$1*B142))/2/EXP(-regressions!$X$1*B142)</f>
        <v>-0.21961666498601298</v>
      </c>
      <c r="M142" s="33">
        <v>0.53533595444580029</v>
      </c>
      <c r="N142">
        <f t="shared" si="36"/>
        <v>-0.22685246441137391</v>
      </c>
      <c r="O142">
        <f>IF($B142&lt;=regressions!$L$2,$B142*regressions!$L$1,regressions!$L$1*regressions!$L$2+regressions!$L$3*($B142-regressions!$L$2))</f>
        <v>-0.42547422214998454</v>
      </c>
      <c r="P142">
        <f>regressions!$J$1*M142+regressions!$J$2*M142^2</f>
        <v>-0.26611086764440567</v>
      </c>
      <c r="Q142">
        <f>regressions!$V$1*M142</f>
        <v>-0.42547422335115237</v>
      </c>
      <c r="R142">
        <f>regressions!$N$1*M142^2</f>
        <v>-4.9935891706799081E-2</v>
      </c>
      <c r="S142">
        <f>regressions!$R$1*M142^2+regressions!$R$2*M142^6</f>
        <v>-5.438894264131422E-2</v>
      </c>
      <c r="T142">
        <f>regressions!$P$1*M142^2+regressions!$P$2*M142^7</f>
        <v>-5.2618031113427E-2</v>
      </c>
      <c r="U142">
        <f>regressions!$T$2+regressions!$T$1*EXP(M142)</f>
        <v>-5.5329544844123224E-3</v>
      </c>
      <c r="V142" s="8">
        <f>(1-EXP(-2*regressions!$X$1*M142))/2/EXP(-regressions!$X$1*M142)</f>
        <v>-0.21961666498601298</v>
      </c>
      <c r="X142" s="33">
        <v>0.53533595444580029</v>
      </c>
      <c r="Y142">
        <f t="shared" si="37"/>
        <v>-0.22685246441137391</v>
      </c>
      <c r="Z142">
        <f>IF($B142&lt;=regressions!$L$2,$B142*regressions!$L$1,regressions!$L$1*regressions!$L$2+regressions!$L$3*($B142-regressions!$L$2))</f>
        <v>-0.42547422214998454</v>
      </c>
      <c r="AA142">
        <f>regressions!$J$1*X142+regressions!$J$2*X142^2</f>
        <v>-0.26611086764440567</v>
      </c>
      <c r="AB142">
        <f>regressions!$V$1*X142</f>
        <v>-0.42547422335115237</v>
      </c>
      <c r="AC142">
        <f>regressions!$N$1*X142^2</f>
        <v>-4.9935891706799081E-2</v>
      </c>
      <c r="AD142">
        <f>regressions!$R$1*X142^2+regressions!$R$2*X142^6</f>
        <v>-5.438894264131422E-2</v>
      </c>
      <c r="AE142">
        <f>regressions!$P$1*X142^2+regressions!$P$2*X142^7</f>
        <v>-5.2618031113427E-2</v>
      </c>
      <c r="AF142">
        <f>regressions!$T$2+regressions!$T$1*EXP(X142)</f>
        <v>-5.5329544844123224E-3</v>
      </c>
      <c r="AG142" s="8">
        <f>(1-EXP(-2*regressions!$X$1*X142))/2/EXP(-regressions!$X$1*X142)</f>
        <v>-0.21961666498601298</v>
      </c>
      <c r="AH142" s="8"/>
      <c r="AI142" s="33">
        <v>0.53533595444580029</v>
      </c>
      <c r="AJ142">
        <f t="shared" si="38"/>
        <v>-0.22685246441137391</v>
      </c>
      <c r="AK142">
        <f>IF(AI142&lt;=regressions!$L$2,AI142*regressions!$L$1,regressions!$L$1*regressions!$L$2+regressions!$L$3*(AI142-regressions!$L$2))</f>
        <v>-0.42547422214998454</v>
      </c>
      <c r="AL142">
        <f>regressions!$J$1*AI142+regressions!$J$2*AI142^2</f>
        <v>-0.26611086764440567</v>
      </c>
      <c r="AM142">
        <f>regressions!$V$1*AI142</f>
        <v>-0.42547422335115237</v>
      </c>
      <c r="AN142">
        <f>regressions!$N$1*AI142^2</f>
        <v>-4.9935891706799081E-2</v>
      </c>
      <c r="AO142">
        <f>regressions!$R$1*AI142^2+regressions!$R$2*AI142^6</f>
        <v>-5.438894264131422E-2</v>
      </c>
      <c r="AP142">
        <f>regressions!$P$1*AI142^2+regressions!$P$2*AI142^7</f>
        <v>-5.2618031113427E-2</v>
      </c>
      <c r="AQ142">
        <f>regressions!$T$2+regressions!$T$1*EXP(AI142)</f>
        <v>-5.5329544844123224E-3</v>
      </c>
      <c r="AR142" s="8">
        <f>(1-EXP(-2*regressions!$X$1*AI142))/2/EXP(-regressions!$X$1*AI142)</f>
        <v>-0.21961666498601298</v>
      </c>
      <c r="AT142" s="33">
        <v>0.53533595444580029</v>
      </c>
      <c r="AU142">
        <f t="shared" si="39"/>
        <v>-0.22685246441137391</v>
      </c>
      <c r="AV142">
        <f>IF(AT142&lt;=regressions!$L$2,AT142*regressions!$L$1,regressions!$L$1*regressions!$L$2+regressions!$L$3*(AT142-regressions!$L$2))</f>
        <v>-0.42547422214998454</v>
      </c>
      <c r="AW142">
        <f>regressions!$J$1*AT142+regressions!$J$2*AT142^2</f>
        <v>-0.26611086764440567</v>
      </c>
      <c r="AX142">
        <f>regressions!$V$1*AT142</f>
        <v>-0.42547422335115237</v>
      </c>
      <c r="AY142">
        <f>regressions!$N$1*AT142^2</f>
        <v>-4.9935891706799081E-2</v>
      </c>
      <c r="AZ142">
        <f>regressions!$R$1*AT142^2+regressions!$R$2*AT142^6</f>
        <v>-5.438894264131422E-2</v>
      </c>
      <c r="BA142">
        <f>regressions!$P$1*AT142^2+regressions!$P$2*AT142^7</f>
        <v>-5.2618031113427E-2</v>
      </c>
      <c r="BB142">
        <f>regressions!$T$2+regressions!$T$1*EXP(AT142)</f>
        <v>-5.5329544844123224E-3</v>
      </c>
      <c r="BC142" s="8">
        <f>(1-EXP(-2*regressions!$X$1*AT142))/2/EXP(-regressions!$X$1*AT142)</f>
        <v>-0.21961666498601298</v>
      </c>
      <c r="BE142">
        <f t="shared" si="40"/>
        <v>0</v>
      </c>
      <c r="BF142">
        <f t="shared" si="31"/>
        <v>0</v>
      </c>
      <c r="BG142">
        <f t="shared" si="32"/>
        <v>0</v>
      </c>
      <c r="BH142">
        <f>BG142+regressions!$AR$1*(AI142-B142)</f>
        <v>0</v>
      </c>
      <c r="BI142">
        <f>BG142-regressions!$AO$1*(AI142-B142)</f>
        <v>0</v>
      </c>
      <c r="BJ142">
        <f t="shared" si="33"/>
        <v>0</v>
      </c>
      <c r="BK142">
        <f>BJ142+regressions!$AR$1*(AT142-B142)</f>
        <v>0</v>
      </c>
      <c r="BL142">
        <f>BJ142-regressions!$AO$1*(AT142-B142)</f>
        <v>0</v>
      </c>
      <c r="BM142">
        <f t="shared" si="41"/>
        <v>0</v>
      </c>
      <c r="BN142">
        <f t="shared" si="34"/>
        <v>0</v>
      </c>
      <c r="BO142">
        <f t="shared" si="35"/>
        <v>0</v>
      </c>
      <c r="BP142">
        <f t="shared" si="42"/>
        <v>0</v>
      </c>
      <c r="BQ142">
        <f t="shared" si="43"/>
        <v>0</v>
      </c>
      <c r="BR142">
        <f t="shared" si="44"/>
        <v>0</v>
      </c>
    </row>
    <row r="143" spans="1:70" x14ac:dyDescent="0.35">
      <c r="A143">
        <v>1990</v>
      </c>
      <c r="B143" s="33">
        <v>0.55101234413696776</v>
      </c>
      <c r="C143">
        <f t="shared" si="30"/>
        <v>-0.23420755856819975</v>
      </c>
      <c r="D143">
        <f>IF($B143&lt;=regressions!$L$2,$B143*regressions!$L$1,regressions!$L$1*regressions!$L$2+regressions!$L$3*($B143-regressions!$L$2))</f>
        <v>-0.43793350057987152</v>
      </c>
      <c r="E143">
        <f>regressions!$J$1*B143+regressions!$J$2*B143^2</f>
        <v>-0.27460946822744503</v>
      </c>
      <c r="F143">
        <f>regressions!$V$1*B143</f>
        <v>-0.43793350181621349</v>
      </c>
      <c r="G143">
        <f>regressions!$N$1*B143^2</f>
        <v>-5.2903285087645781E-2</v>
      </c>
      <c r="H143">
        <f>regressions!$R$1*B143^2+regressions!$R$2*B143^6</f>
        <v>-5.7620920794635953E-2</v>
      </c>
      <c r="I143">
        <f>regressions!$P$1*B143^2+regressions!$P$2*B143^7</f>
        <v>-5.5744806062708888E-2</v>
      </c>
      <c r="J143">
        <f>regressions!$T$2+regressions!$T$1*EXP(B143)</f>
        <v>-5.7438456567629262E-3</v>
      </c>
      <c r="K143" s="8">
        <f>(1-EXP(-2*regressions!$X$1*B143))/2/EXP(-regressions!$X$1*B143)</f>
        <v>-0.2261537270521517</v>
      </c>
      <c r="M143" s="33">
        <v>0.55101234413696776</v>
      </c>
      <c r="N143">
        <f t="shared" si="36"/>
        <v>-0.23420755856819975</v>
      </c>
      <c r="O143">
        <f>IF($B143&lt;=regressions!$L$2,$B143*regressions!$L$1,regressions!$L$1*regressions!$L$2+regressions!$L$3*($B143-regressions!$L$2))</f>
        <v>-0.43793350057987152</v>
      </c>
      <c r="P143">
        <f>regressions!$J$1*M143+regressions!$J$2*M143^2</f>
        <v>-0.27460946822744503</v>
      </c>
      <c r="Q143">
        <f>regressions!$V$1*M143</f>
        <v>-0.43793350181621349</v>
      </c>
      <c r="R143">
        <f>regressions!$N$1*M143^2</f>
        <v>-5.2903285087645781E-2</v>
      </c>
      <c r="S143">
        <f>regressions!$R$1*M143^2+regressions!$R$2*M143^6</f>
        <v>-5.7620920794635953E-2</v>
      </c>
      <c r="T143">
        <f>regressions!$P$1*M143^2+regressions!$P$2*M143^7</f>
        <v>-5.5744806062708888E-2</v>
      </c>
      <c r="U143">
        <f>regressions!$T$2+regressions!$T$1*EXP(M143)</f>
        <v>-5.7438456567629262E-3</v>
      </c>
      <c r="V143" s="8">
        <f>(1-EXP(-2*regressions!$X$1*M143))/2/EXP(-regressions!$X$1*M143)</f>
        <v>-0.2261537270521517</v>
      </c>
      <c r="X143" s="33">
        <v>0.55101234413696776</v>
      </c>
      <c r="Y143">
        <f t="shared" si="37"/>
        <v>-0.23420755856819975</v>
      </c>
      <c r="Z143">
        <f>IF($B143&lt;=regressions!$L$2,$B143*regressions!$L$1,regressions!$L$1*regressions!$L$2+regressions!$L$3*($B143-regressions!$L$2))</f>
        <v>-0.43793350057987152</v>
      </c>
      <c r="AA143">
        <f>regressions!$J$1*X143+regressions!$J$2*X143^2</f>
        <v>-0.27460946822744503</v>
      </c>
      <c r="AB143">
        <f>regressions!$V$1*X143</f>
        <v>-0.43793350181621349</v>
      </c>
      <c r="AC143">
        <f>regressions!$N$1*X143^2</f>
        <v>-5.2903285087645781E-2</v>
      </c>
      <c r="AD143">
        <f>regressions!$R$1*X143^2+regressions!$R$2*X143^6</f>
        <v>-5.7620920794635953E-2</v>
      </c>
      <c r="AE143">
        <f>regressions!$P$1*X143^2+regressions!$P$2*X143^7</f>
        <v>-5.5744806062708888E-2</v>
      </c>
      <c r="AF143">
        <f>regressions!$T$2+regressions!$T$1*EXP(X143)</f>
        <v>-5.7438456567629262E-3</v>
      </c>
      <c r="AG143" s="8">
        <f>(1-EXP(-2*regressions!$X$1*X143))/2/EXP(-regressions!$X$1*X143)</f>
        <v>-0.2261537270521517</v>
      </c>
      <c r="AH143" s="8"/>
      <c r="AI143" s="33">
        <v>0.55101234413696776</v>
      </c>
      <c r="AJ143">
        <f t="shared" si="38"/>
        <v>-0.23420755856819975</v>
      </c>
      <c r="AK143">
        <f>IF(AI143&lt;=regressions!$L$2,AI143*regressions!$L$1,regressions!$L$1*regressions!$L$2+regressions!$L$3*(AI143-regressions!$L$2))</f>
        <v>-0.43793350057987152</v>
      </c>
      <c r="AL143">
        <f>regressions!$J$1*AI143+regressions!$J$2*AI143^2</f>
        <v>-0.27460946822744503</v>
      </c>
      <c r="AM143">
        <f>regressions!$V$1*AI143</f>
        <v>-0.43793350181621349</v>
      </c>
      <c r="AN143">
        <f>regressions!$N$1*AI143^2</f>
        <v>-5.2903285087645781E-2</v>
      </c>
      <c r="AO143">
        <f>regressions!$R$1*AI143^2+regressions!$R$2*AI143^6</f>
        <v>-5.7620920794635953E-2</v>
      </c>
      <c r="AP143">
        <f>regressions!$P$1*AI143^2+regressions!$P$2*AI143^7</f>
        <v>-5.5744806062708888E-2</v>
      </c>
      <c r="AQ143">
        <f>regressions!$T$2+regressions!$T$1*EXP(AI143)</f>
        <v>-5.7438456567629262E-3</v>
      </c>
      <c r="AR143" s="8">
        <f>(1-EXP(-2*regressions!$X$1*AI143))/2/EXP(-regressions!$X$1*AI143)</f>
        <v>-0.2261537270521517</v>
      </c>
      <c r="AT143" s="33">
        <v>0.55101234413696776</v>
      </c>
      <c r="AU143">
        <f t="shared" si="39"/>
        <v>-0.23420755856819975</v>
      </c>
      <c r="AV143">
        <f>IF(AT143&lt;=regressions!$L$2,AT143*regressions!$L$1,regressions!$L$1*regressions!$L$2+regressions!$L$3*(AT143-regressions!$L$2))</f>
        <v>-0.43793350057987152</v>
      </c>
      <c r="AW143">
        <f>regressions!$J$1*AT143+regressions!$J$2*AT143^2</f>
        <v>-0.27460946822744503</v>
      </c>
      <c r="AX143">
        <f>regressions!$V$1*AT143</f>
        <v>-0.43793350181621349</v>
      </c>
      <c r="AY143">
        <f>regressions!$N$1*AT143^2</f>
        <v>-5.2903285087645781E-2</v>
      </c>
      <c r="AZ143">
        <f>regressions!$R$1*AT143^2+regressions!$R$2*AT143^6</f>
        <v>-5.7620920794635953E-2</v>
      </c>
      <c r="BA143">
        <f>regressions!$P$1*AT143^2+regressions!$P$2*AT143^7</f>
        <v>-5.5744806062708888E-2</v>
      </c>
      <c r="BB143">
        <f>regressions!$T$2+regressions!$T$1*EXP(AT143)</f>
        <v>-5.7438456567629262E-3</v>
      </c>
      <c r="BC143" s="8">
        <f>(1-EXP(-2*regressions!$X$1*AT143))/2/EXP(-regressions!$X$1*AT143)</f>
        <v>-0.2261537270521517</v>
      </c>
      <c r="BE143">
        <f t="shared" si="40"/>
        <v>0</v>
      </c>
      <c r="BF143">
        <f t="shared" si="31"/>
        <v>0</v>
      </c>
      <c r="BG143">
        <f t="shared" si="32"/>
        <v>0</v>
      </c>
      <c r="BH143">
        <f>BG143+regressions!$AR$1*(AI143-B143)</f>
        <v>0</v>
      </c>
      <c r="BI143">
        <f>BG143-regressions!$AO$1*(AI143-B143)</f>
        <v>0</v>
      </c>
      <c r="BJ143">
        <f t="shared" si="33"/>
        <v>0</v>
      </c>
      <c r="BK143">
        <f>BJ143+regressions!$AR$1*(AT143-B143)</f>
        <v>0</v>
      </c>
      <c r="BL143">
        <f>BJ143-regressions!$AO$1*(AT143-B143)</f>
        <v>0</v>
      </c>
      <c r="BM143">
        <f t="shared" si="41"/>
        <v>0</v>
      </c>
      <c r="BN143">
        <f t="shared" si="34"/>
        <v>0</v>
      </c>
      <c r="BO143">
        <f t="shared" si="35"/>
        <v>0</v>
      </c>
      <c r="BP143">
        <f t="shared" si="42"/>
        <v>0</v>
      </c>
      <c r="BQ143">
        <f t="shared" si="43"/>
        <v>0</v>
      </c>
      <c r="BR143">
        <f t="shared" si="44"/>
        <v>0</v>
      </c>
    </row>
    <row r="144" spans="1:70" x14ac:dyDescent="0.35">
      <c r="A144">
        <v>1991</v>
      </c>
      <c r="B144" s="33">
        <v>0.56700280570613737</v>
      </c>
      <c r="C144">
        <f t="shared" si="30"/>
        <v>-0.24175232343222811</v>
      </c>
      <c r="D144">
        <f>IF($B144&lt;=regressions!$L$2,$B144*regressions!$L$1,regressions!$L$1*regressions!$L$2+regressions!$L$3*($B144-regressions!$L$2))</f>
        <v>-0.45064239700549069</v>
      </c>
      <c r="E144">
        <f>regressions!$J$1*B144+regressions!$J$2*B144^2</f>
        <v>-0.2833197228904249</v>
      </c>
      <c r="F144">
        <f>regressions!$V$1*B144</f>
        <v>-0.45064239827771146</v>
      </c>
      <c r="G144">
        <f>regressions!$N$1*B144^2</f>
        <v>-5.6018361273858015E-2</v>
      </c>
      <c r="H144">
        <f>regressions!$R$1*B144^2+regressions!$R$2*B144^6</f>
        <v>-6.1013743485966498E-2</v>
      </c>
      <c r="I144">
        <f>regressions!$P$1*B144^2+regressions!$P$2*B144^7</f>
        <v>-5.9027195552834789E-2</v>
      </c>
      <c r="J144">
        <f>regressions!$T$2+regressions!$T$1*EXP(B144)</f>
        <v>-5.9623951981827537E-3</v>
      </c>
      <c r="K144" s="8">
        <f>(1-EXP(-2*regressions!$X$1*B144))/2/EXP(-regressions!$X$1*B144)</f>
        <v>-0.23283124450420839</v>
      </c>
      <c r="M144" s="33">
        <v>0.56700280570613737</v>
      </c>
      <c r="N144">
        <f t="shared" si="36"/>
        <v>-0.24175232343222811</v>
      </c>
      <c r="O144">
        <f>IF($B144&lt;=regressions!$L$2,$B144*regressions!$L$1,regressions!$L$1*regressions!$L$2+regressions!$L$3*($B144-regressions!$L$2))</f>
        <v>-0.45064239700549069</v>
      </c>
      <c r="P144">
        <f>regressions!$J$1*M144+regressions!$J$2*M144^2</f>
        <v>-0.2833197228904249</v>
      </c>
      <c r="Q144">
        <f>regressions!$V$1*M144</f>
        <v>-0.45064239827771146</v>
      </c>
      <c r="R144">
        <f>regressions!$N$1*M144^2</f>
        <v>-5.6018361273858015E-2</v>
      </c>
      <c r="S144">
        <f>regressions!$R$1*M144^2+regressions!$R$2*M144^6</f>
        <v>-6.1013743485966498E-2</v>
      </c>
      <c r="T144">
        <f>regressions!$P$1*M144^2+regressions!$P$2*M144^7</f>
        <v>-5.9027195552834789E-2</v>
      </c>
      <c r="U144">
        <f>regressions!$T$2+regressions!$T$1*EXP(M144)</f>
        <v>-5.9623951981827537E-3</v>
      </c>
      <c r="V144" s="8">
        <f>(1-EXP(-2*regressions!$X$1*M144))/2/EXP(-regressions!$X$1*M144)</f>
        <v>-0.23283124450420839</v>
      </c>
      <c r="X144" s="33">
        <v>0.56700280570613737</v>
      </c>
      <c r="Y144">
        <f t="shared" si="37"/>
        <v>-0.24175232343222811</v>
      </c>
      <c r="Z144">
        <f>IF($B144&lt;=regressions!$L$2,$B144*regressions!$L$1,regressions!$L$1*regressions!$L$2+regressions!$L$3*($B144-regressions!$L$2))</f>
        <v>-0.45064239700549069</v>
      </c>
      <c r="AA144">
        <f>regressions!$J$1*X144+regressions!$J$2*X144^2</f>
        <v>-0.2833197228904249</v>
      </c>
      <c r="AB144">
        <f>regressions!$V$1*X144</f>
        <v>-0.45064239827771146</v>
      </c>
      <c r="AC144">
        <f>regressions!$N$1*X144^2</f>
        <v>-5.6018361273858015E-2</v>
      </c>
      <c r="AD144">
        <f>regressions!$R$1*X144^2+regressions!$R$2*X144^6</f>
        <v>-6.1013743485966498E-2</v>
      </c>
      <c r="AE144">
        <f>regressions!$P$1*X144^2+regressions!$P$2*X144^7</f>
        <v>-5.9027195552834789E-2</v>
      </c>
      <c r="AF144">
        <f>regressions!$T$2+regressions!$T$1*EXP(X144)</f>
        <v>-5.9623951981827537E-3</v>
      </c>
      <c r="AG144" s="8">
        <f>(1-EXP(-2*regressions!$X$1*X144))/2/EXP(-regressions!$X$1*X144)</f>
        <v>-0.23283124450420839</v>
      </c>
      <c r="AH144" s="8"/>
      <c r="AI144" s="33">
        <v>0.56700280570613737</v>
      </c>
      <c r="AJ144">
        <f t="shared" si="38"/>
        <v>-0.24175232343222811</v>
      </c>
      <c r="AK144">
        <f>IF(AI144&lt;=regressions!$L$2,AI144*regressions!$L$1,regressions!$L$1*regressions!$L$2+regressions!$L$3*(AI144-regressions!$L$2))</f>
        <v>-0.45064239700549069</v>
      </c>
      <c r="AL144">
        <f>regressions!$J$1*AI144+regressions!$J$2*AI144^2</f>
        <v>-0.2833197228904249</v>
      </c>
      <c r="AM144">
        <f>regressions!$V$1*AI144</f>
        <v>-0.45064239827771146</v>
      </c>
      <c r="AN144">
        <f>regressions!$N$1*AI144^2</f>
        <v>-5.6018361273858015E-2</v>
      </c>
      <c r="AO144">
        <f>regressions!$R$1*AI144^2+regressions!$R$2*AI144^6</f>
        <v>-6.1013743485966498E-2</v>
      </c>
      <c r="AP144">
        <f>regressions!$P$1*AI144^2+regressions!$P$2*AI144^7</f>
        <v>-5.9027195552834789E-2</v>
      </c>
      <c r="AQ144">
        <f>regressions!$T$2+regressions!$T$1*EXP(AI144)</f>
        <v>-5.9623951981827537E-3</v>
      </c>
      <c r="AR144" s="8">
        <f>(1-EXP(-2*regressions!$X$1*AI144))/2/EXP(-regressions!$X$1*AI144)</f>
        <v>-0.23283124450420839</v>
      </c>
      <c r="AT144" s="33">
        <v>0.56700280570613737</v>
      </c>
      <c r="AU144">
        <f t="shared" si="39"/>
        <v>-0.24175232343222811</v>
      </c>
      <c r="AV144">
        <f>IF(AT144&lt;=regressions!$L$2,AT144*regressions!$L$1,regressions!$L$1*regressions!$L$2+regressions!$L$3*(AT144-regressions!$L$2))</f>
        <v>-0.45064239700549069</v>
      </c>
      <c r="AW144">
        <f>regressions!$J$1*AT144+regressions!$J$2*AT144^2</f>
        <v>-0.2833197228904249</v>
      </c>
      <c r="AX144">
        <f>regressions!$V$1*AT144</f>
        <v>-0.45064239827771146</v>
      </c>
      <c r="AY144">
        <f>regressions!$N$1*AT144^2</f>
        <v>-5.6018361273858015E-2</v>
      </c>
      <c r="AZ144">
        <f>regressions!$R$1*AT144^2+regressions!$R$2*AT144^6</f>
        <v>-6.1013743485966498E-2</v>
      </c>
      <c r="BA144">
        <f>regressions!$P$1*AT144^2+regressions!$P$2*AT144^7</f>
        <v>-5.9027195552834789E-2</v>
      </c>
      <c r="BB144">
        <f>regressions!$T$2+regressions!$T$1*EXP(AT144)</f>
        <v>-5.9623951981827537E-3</v>
      </c>
      <c r="BC144" s="8">
        <f>(1-EXP(-2*regressions!$X$1*AT144))/2/EXP(-regressions!$X$1*AT144)</f>
        <v>-0.23283124450420839</v>
      </c>
      <c r="BE144">
        <f t="shared" si="40"/>
        <v>0</v>
      </c>
      <c r="BF144">
        <f t="shared" si="31"/>
        <v>0</v>
      </c>
      <c r="BG144">
        <f t="shared" si="32"/>
        <v>0</v>
      </c>
      <c r="BH144">
        <f>BG144+regressions!$AR$1*(AI144-B144)</f>
        <v>0</v>
      </c>
      <c r="BI144">
        <f>BG144-regressions!$AO$1*(AI144-B144)</f>
        <v>0</v>
      </c>
      <c r="BJ144">
        <f t="shared" si="33"/>
        <v>0</v>
      </c>
      <c r="BK144">
        <f>BJ144+regressions!$AR$1*(AT144-B144)</f>
        <v>0</v>
      </c>
      <c r="BL144">
        <f>BJ144-regressions!$AO$1*(AT144-B144)</f>
        <v>0</v>
      </c>
      <c r="BM144">
        <f t="shared" si="41"/>
        <v>0</v>
      </c>
      <c r="BN144">
        <f t="shared" si="34"/>
        <v>0</v>
      </c>
      <c r="BO144">
        <f t="shared" si="35"/>
        <v>0</v>
      </c>
      <c r="BP144">
        <f t="shared" si="42"/>
        <v>0</v>
      </c>
      <c r="BQ144">
        <f t="shared" si="43"/>
        <v>0</v>
      </c>
      <c r="BR144">
        <f t="shared" si="44"/>
        <v>0</v>
      </c>
    </row>
    <row r="145" spans="1:70" x14ac:dyDescent="0.35">
      <c r="A145">
        <v>1992</v>
      </c>
      <c r="B145" s="33">
        <v>0.58329976777321135</v>
      </c>
      <c r="C145">
        <f t="shared" si="30"/>
        <v>-0.24948572429644558</v>
      </c>
      <c r="D145">
        <f>IF($B145&lt;=regressions!$L$2,$B145*regressions!$L$1,regressions!$L$1*regressions!$L$2+regressions!$L$3*($B145-regressions!$L$2))</f>
        <v>-0.46359489384660868</v>
      </c>
      <c r="E145">
        <f>regressions!$J$1*B145+regressions!$J$2*B145^2</f>
        <v>-0.29223994017799126</v>
      </c>
      <c r="F145">
        <f>regressions!$V$1*B145</f>
        <v>-0.46359489515539598</v>
      </c>
      <c r="G145">
        <f>regressions!$N$1*B145^2</f>
        <v>-5.9284831698439712E-2</v>
      </c>
      <c r="H145">
        <f>regressions!$R$1*B145^2+regressions!$R$2*B145^6</f>
        <v>-6.4571451737585328E-2</v>
      </c>
      <c r="I145">
        <f>regressions!$P$1*B145^2+regressions!$P$2*B145^7</f>
        <v>-6.2469110249978768E-2</v>
      </c>
      <c r="J145">
        <f>regressions!$T$2+regressions!$T$1*EXP(B145)</f>
        <v>-6.1887589368994061E-3</v>
      </c>
      <c r="K145" s="8">
        <f>(1-EXP(-2*regressions!$X$1*B145))/2/EXP(-regressions!$X$1*B145)</f>
        <v>-0.23964690424712004</v>
      </c>
      <c r="M145" s="33">
        <v>0.58329976777321135</v>
      </c>
      <c r="N145">
        <f t="shared" si="36"/>
        <v>-0.24948572429644558</v>
      </c>
      <c r="O145">
        <f>IF($B145&lt;=regressions!$L$2,$B145*regressions!$L$1,regressions!$L$1*regressions!$L$2+regressions!$L$3*($B145-regressions!$L$2))</f>
        <v>-0.46359489384660868</v>
      </c>
      <c r="P145">
        <f>regressions!$J$1*M145+regressions!$J$2*M145^2</f>
        <v>-0.29223994017799126</v>
      </c>
      <c r="Q145">
        <f>regressions!$V$1*M145</f>
        <v>-0.46359489515539598</v>
      </c>
      <c r="R145">
        <f>regressions!$N$1*M145^2</f>
        <v>-5.9284831698439712E-2</v>
      </c>
      <c r="S145">
        <f>regressions!$R$1*M145^2+regressions!$R$2*M145^6</f>
        <v>-6.4571451737585328E-2</v>
      </c>
      <c r="T145">
        <f>regressions!$P$1*M145^2+regressions!$P$2*M145^7</f>
        <v>-6.2469110249978768E-2</v>
      </c>
      <c r="U145">
        <f>regressions!$T$2+regressions!$T$1*EXP(M145)</f>
        <v>-6.1887589368994061E-3</v>
      </c>
      <c r="V145" s="8">
        <f>(1-EXP(-2*regressions!$X$1*M145))/2/EXP(-regressions!$X$1*M145)</f>
        <v>-0.23964690424712004</v>
      </c>
      <c r="X145" s="33">
        <v>0.58329976777321135</v>
      </c>
      <c r="Y145">
        <f t="shared" si="37"/>
        <v>-0.24948572429644558</v>
      </c>
      <c r="Z145">
        <f>IF($B145&lt;=regressions!$L$2,$B145*regressions!$L$1,regressions!$L$1*regressions!$L$2+regressions!$L$3*($B145-regressions!$L$2))</f>
        <v>-0.46359489384660868</v>
      </c>
      <c r="AA145">
        <f>regressions!$J$1*X145+regressions!$J$2*X145^2</f>
        <v>-0.29223994017799126</v>
      </c>
      <c r="AB145">
        <f>regressions!$V$1*X145</f>
        <v>-0.46359489515539598</v>
      </c>
      <c r="AC145">
        <f>regressions!$N$1*X145^2</f>
        <v>-5.9284831698439712E-2</v>
      </c>
      <c r="AD145">
        <f>regressions!$R$1*X145^2+regressions!$R$2*X145^6</f>
        <v>-6.4571451737585328E-2</v>
      </c>
      <c r="AE145">
        <f>regressions!$P$1*X145^2+regressions!$P$2*X145^7</f>
        <v>-6.2469110249978768E-2</v>
      </c>
      <c r="AF145">
        <f>regressions!$T$2+regressions!$T$1*EXP(X145)</f>
        <v>-6.1887589368994061E-3</v>
      </c>
      <c r="AG145" s="8">
        <f>(1-EXP(-2*regressions!$X$1*X145))/2/EXP(-regressions!$X$1*X145)</f>
        <v>-0.23964690424712004</v>
      </c>
      <c r="AH145" s="8"/>
      <c r="AI145" s="33">
        <v>0.58329976777321135</v>
      </c>
      <c r="AJ145">
        <f t="shared" si="38"/>
        <v>-0.24948572429644558</v>
      </c>
      <c r="AK145">
        <f>IF(AI145&lt;=regressions!$L$2,AI145*regressions!$L$1,regressions!$L$1*regressions!$L$2+regressions!$L$3*(AI145-regressions!$L$2))</f>
        <v>-0.46359489384660868</v>
      </c>
      <c r="AL145">
        <f>regressions!$J$1*AI145+regressions!$J$2*AI145^2</f>
        <v>-0.29223994017799126</v>
      </c>
      <c r="AM145">
        <f>regressions!$V$1*AI145</f>
        <v>-0.46359489515539598</v>
      </c>
      <c r="AN145">
        <f>regressions!$N$1*AI145^2</f>
        <v>-5.9284831698439712E-2</v>
      </c>
      <c r="AO145">
        <f>regressions!$R$1*AI145^2+regressions!$R$2*AI145^6</f>
        <v>-6.4571451737585328E-2</v>
      </c>
      <c r="AP145">
        <f>regressions!$P$1*AI145^2+regressions!$P$2*AI145^7</f>
        <v>-6.2469110249978768E-2</v>
      </c>
      <c r="AQ145">
        <f>regressions!$T$2+regressions!$T$1*EXP(AI145)</f>
        <v>-6.1887589368994061E-3</v>
      </c>
      <c r="AR145" s="8">
        <f>(1-EXP(-2*regressions!$X$1*AI145))/2/EXP(-regressions!$X$1*AI145)</f>
        <v>-0.23964690424712004</v>
      </c>
      <c r="AT145" s="33">
        <v>0.58329976777321135</v>
      </c>
      <c r="AU145">
        <f t="shared" si="39"/>
        <v>-0.24948572429644558</v>
      </c>
      <c r="AV145">
        <f>IF(AT145&lt;=regressions!$L$2,AT145*regressions!$L$1,regressions!$L$1*regressions!$L$2+regressions!$L$3*(AT145-regressions!$L$2))</f>
        <v>-0.46359489384660868</v>
      </c>
      <c r="AW145">
        <f>regressions!$J$1*AT145+regressions!$J$2*AT145^2</f>
        <v>-0.29223994017799126</v>
      </c>
      <c r="AX145">
        <f>regressions!$V$1*AT145</f>
        <v>-0.46359489515539598</v>
      </c>
      <c r="AY145">
        <f>regressions!$N$1*AT145^2</f>
        <v>-5.9284831698439712E-2</v>
      </c>
      <c r="AZ145">
        <f>regressions!$R$1*AT145^2+regressions!$R$2*AT145^6</f>
        <v>-6.4571451737585328E-2</v>
      </c>
      <c r="BA145">
        <f>regressions!$P$1*AT145^2+regressions!$P$2*AT145^7</f>
        <v>-6.2469110249978768E-2</v>
      </c>
      <c r="BB145">
        <f>regressions!$T$2+regressions!$T$1*EXP(AT145)</f>
        <v>-6.1887589368994061E-3</v>
      </c>
      <c r="BC145" s="8">
        <f>(1-EXP(-2*regressions!$X$1*AT145))/2/EXP(-regressions!$X$1*AT145)</f>
        <v>-0.23964690424712004</v>
      </c>
      <c r="BE145">
        <f t="shared" si="40"/>
        <v>0</v>
      </c>
      <c r="BF145">
        <f t="shared" si="31"/>
        <v>0</v>
      </c>
      <c r="BG145">
        <f t="shared" si="32"/>
        <v>0</v>
      </c>
      <c r="BH145">
        <f>BG145+regressions!$AR$1*(AI145-B145)</f>
        <v>0</v>
      </c>
      <c r="BI145">
        <f>BG145-regressions!$AO$1*(AI145-B145)</f>
        <v>0</v>
      </c>
      <c r="BJ145">
        <f t="shared" si="33"/>
        <v>0</v>
      </c>
      <c r="BK145">
        <f>BJ145+regressions!$AR$1*(AT145-B145)</f>
        <v>0</v>
      </c>
      <c r="BL145">
        <f>BJ145-regressions!$AO$1*(AT145-B145)</f>
        <v>0</v>
      </c>
      <c r="BM145">
        <f t="shared" si="41"/>
        <v>0</v>
      </c>
      <c r="BN145">
        <f t="shared" si="34"/>
        <v>0</v>
      </c>
      <c r="BO145">
        <f t="shared" si="35"/>
        <v>0</v>
      </c>
      <c r="BP145">
        <f t="shared" si="42"/>
        <v>0</v>
      </c>
      <c r="BQ145">
        <f t="shared" si="43"/>
        <v>0</v>
      </c>
      <c r="BR145">
        <f t="shared" si="44"/>
        <v>0</v>
      </c>
    </row>
    <row r="146" spans="1:70" x14ac:dyDescent="0.35">
      <c r="A146">
        <v>1993</v>
      </c>
      <c r="B146" s="33">
        <v>0.59986408045298067</v>
      </c>
      <c r="C146">
        <f t="shared" si="30"/>
        <v>-0.25739158182758815</v>
      </c>
      <c r="D146">
        <f>IF($B146&lt;=regressions!$L$2,$B146*regressions!$L$1,regressions!$L$1*regressions!$L$2+regressions!$L$3*($B146-regressions!$L$2))</f>
        <v>-0.47675987556387445</v>
      </c>
      <c r="E146">
        <f>regressions!$J$1*B146+regressions!$J$2*B146^2</f>
        <v>-0.30135098250131204</v>
      </c>
      <c r="F146">
        <f>regressions!$V$1*B146</f>
        <v>-0.47675987690982818</v>
      </c>
      <c r="G146">
        <f>regressions!$N$1*B146^2</f>
        <v>-6.2699734095810061E-2</v>
      </c>
      <c r="H146">
        <f>regressions!$R$1*B146^2+regressions!$R$2*B146^6</f>
        <v>-6.829081767593391E-2</v>
      </c>
      <c r="I146">
        <f>regressions!$P$1*B146^2+regressions!$P$2*B146^7</f>
        <v>-6.6067428654765212E-2</v>
      </c>
      <c r="J146">
        <f>regressions!$T$2+regressions!$T$1*EXP(B146)</f>
        <v>-6.422647786462253E-3</v>
      </c>
      <c r="K146" s="8">
        <f>(1-EXP(-2*regressions!$X$1*B146))/2/EXP(-regressions!$X$1*B146)</f>
        <v>-0.2465851809399677</v>
      </c>
      <c r="M146" s="33">
        <v>0.59986408045298067</v>
      </c>
      <c r="N146">
        <f t="shared" si="36"/>
        <v>-0.25739158182758815</v>
      </c>
      <c r="O146">
        <f>IF($B146&lt;=regressions!$L$2,$B146*regressions!$L$1,regressions!$L$1*regressions!$L$2+regressions!$L$3*($B146-regressions!$L$2))</f>
        <v>-0.47675987556387445</v>
      </c>
      <c r="P146">
        <f>regressions!$J$1*M146+regressions!$J$2*M146^2</f>
        <v>-0.30135098250131204</v>
      </c>
      <c r="Q146">
        <f>regressions!$V$1*M146</f>
        <v>-0.47675987690982818</v>
      </c>
      <c r="R146">
        <f>regressions!$N$1*M146^2</f>
        <v>-6.2699734095810061E-2</v>
      </c>
      <c r="S146">
        <f>regressions!$R$1*M146^2+regressions!$R$2*M146^6</f>
        <v>-6.829081767593391E-2</v>
      </c>
      <c r="T146">
        <f>regressions!$P$1*M146^2+regressions!$P$2*M146^7</f>
        <v>-6.6067428654765212E-2</v>
      </c>
      <c r="U146">
        <f>regressions!$T$2+regressions!$T$1*EXP(M146)</f>
        <v>-6.422647786462253E-3</v>
      </c>
      <c r="V146" s="8">
        <f>(1-EXP(-2*regressions!$X$1*M146))/2/EXP(-regressions!$X$1*M146)</f>
        <v>-0.2465851809399677</v>
      </c>
      <c r="X146" s="33">
        <v>0.59986408045298067</v>
      </c>
      <c r="Y146">
        <f t="shared" si="37"/>
        <v>-0.25739158182758815</v>
      </c>
      <c r="Z146">
        <f>IF($B146&lt;=regressions!$L$2,$B146*regressions!$L$1,regressions!$L$1*regressions!$L$2+regressions!$L$3*($B146-regressions!$L$2))</f>
        <v>-0.47675987556387445</v>
      </c>
      <c r="AA146">
        <f>regressions!$J$1*X146+regressions!$J$2*X146^2</f>
        <v>-0.30135098250131204</v>
      </c>
      <c r="AB146">
        <f>regressions!$V$1*X146</f>
        <v>-0.47675987690982818</v>
      </c>
      <c r="AC146">
        <f>regressions!$N$1*X146^2</f>
        <v>-6.2699734095810061E-2</v>
      </c>
      <c r="AD146">
        <f>regressions!$R$1*X146^2+regressions!$R$2*X146^6</f>
        <v>-6.829081767593391E-2</v>
      </c>
      <c r="AE146">
        <f>regressions!$P$1*X146^2+regressions!$P$2*X146^7</f>
        <v>-6.6067428654765212E-2</v>
      </c>
      <c r="AF146">
        <f>regressions!$T$2+regressions!$T$1*EXP(X146)</f>
        <v>-6.422647786462253E-3</v>
      </c>
      <c r="AG146" s="8">
        <f>(1-EXP(-2*regressions!$X$1*X146))/2/EXP(-regressions!$X$1*X146)</f>
        <v>-0.2465851809399677</v>
      </c>
      <c r="AH146" s="8"/>
      <c r="AI146" s="33">
        <v>0.59986408045298067</v>
      </c>
      <c r="AJ146">
        <f t="shared" si="38"/>
        <v>-0.25739158182758815</v>
      </c>
      <c r="AK146">
        <f>IF(AI146&lt;=regressions!$L$2,AI146*regressions!$L$1,regressions!$L$1*regressions!$L$2+regressions!$L$3*(AI146-regressions!$L$2))</f>
        <v>-0.47675987556387445</v>
      </c>
      <c r="AL146">
        <f>regressions!$J$1*AI146+regressions!$J$2*AI146^2</f>
        <v>-0.30135098250131204</v>
      </c>
      <c r="AM146">
        <f>regressions!$V$1*AI146</f>
        <v>-0.47675987690982818</v>
      </c>
      <c r="AN146">
        <f>regressions!$N$1*AI146^2</f>
        <v>-6.2699734095810061E-2</v>
      </c>
      <c r="AO146">
        <f>regressions!$R$1*AI146^2+regressions!$R$2*AI146^6</f>
        <v>-6.829081767593391E-2</v>
      </c>
      <c r="AP146">
        <f>regressions!$P$1*AI146^2+regressions!$P$2*AI146^7</f>
        <v>-6.6067428654765212E-2</v>
      </c>
      <c r="AQ146">
        <f>regressions!$T$2+regressions!$T$1*EXP(AI146)</f>
        <v>-6.422647786462253E-3</v>
      </c>
      <c r="AR146" s="8">
        <f>(1-EXP(-2*regressions!$X$1*AI146))/2/EXP(-regressions!$X$1*AI146)</f>
        <v>-0.2465851809399677</v>
      </c>
      <c r="AT146" s="33">
        <v>0.59986408045298067</v>
      </c>
      <c r="AU146">
        <f t="shared" si="39"/>
        <v>-0.25739158182758815</v>
      </c>
      <c r="AV146">
        <f>IF(AT146&lt;=regressions!$L$2,AT146*regressions!$L$1,regressions!$L$1*regressions!$L$2+regressions!$L$3*(AT146-regressions!$L$2))</f>
        <v>-0.47675987556387445</v>
      </c>
      <c r="AW146">
        <f>regressions!$J$1*AT146+regressions!$J$2*AT146^2</f>
        <v>-0.30135098250131204</v>
      </c>
      <c r="AX146">
        <f>regressions!$V$1*AT146</f>
        <v>-0.47675987690982818</v>
      </c>
      <c r="AY146">
        <f>regressions!$N$1*AT146^2</f>
        <v>-6.2699734095810061E-2</v>
      </c>
      <c r="AZ146">
        <f>regressions!$R$1*AT146^2+regressions!$R$2*AT146^6</f>
        <v>-6.829081767593391E-2</v>
      </c>
      <c r="BA146">
        <f>regressions!$P$1*AT146^2+regressions!$P$2*AT146^7</f>
        <v>-6.6067428654765212E-2</v>
      </c>
      <c r="BB146">
        <f>regressions!$T$2+regressions!$T$1*EXP(AT146)</f>
        <v>-6.422647786462253E-3</v>
      </c>
      <c r="BC146" s="8">
        <f>(1-EXP(-2*regressions!$X$1*AT146))/2/EXP(-regressions!$X$1*AT146)</f>
        <v>-0.2465851809399677</v>
      </c>
      <c r="BE146">
        <f t="shared" si="40"/>
        <v>0</v>
      </c>
      <c r="BF146">
        <f t="shared" si="31"/>
        <v>0</v>
      </c>
      <c r="BG146">
        <f t="shared" si="32"/>
        <v>0</v>
      </c>
      <c r="BH146">
        <f>BG146+regressions!$AR$1*(AI146-B146)</f>
        <v>0</v>
      </c>
      <c r="BI146">
        <f>BG146-regressions!$AO$1*(AI146-B146)</f>
        <v>0</v>
      </c>
      <c r="BJ146">
        <f t="shared" si="33"/>
        <v>0</v>
      </c>
      <c r="BK146">
        <f>BJ146+regressions!$AR$1*(AT146-B146)</f>
        <v>0</v>
      </c>
      <c r="BL146">
        <f>BJ146-regressions!$AO$1*(AT146-B146)</f>
        <v>0</v>
      </c>
      <c r="BM146">
        <f t="shared" si="41"/>
        <v>0</v>
      </c>
      <c r="BN146">
        <f t="shared" si="34"/>
        <v>0</v>
      </c>
      <c r="BO146">
        <f t="shared" si="35"/>
        <v>0</v>
      </c>
      <c r="BP146">
        <f t="shared" si="42"/>
        <v>0</v>
      </c>
      <c r="BQ146">
        <f t="shared" si="43"/>
        <v>0</v>
      </c>
      <c r="BR146">
        <f t="shared" si="44"/>
        <v>0</v>
      </c>
    </row>
    <row r="147" spans="1:70" x14ac:dyDescent="0.35">
      <c r="A147">
        <v>1994</v>
      </c>
      <c r="B147" s="33">
        <v>0.61667208207388147</v>
      </c>
      <c r="C147">
        <f t="shared" ref="C147:C210" si="45">SUMPRODUCT(D$2:K$2,D147:K147)</f>
        <v>-0.26546078453787059</v>
      </c>
      <c r="D147">
        <f>IF($B147&lt;=regressions!$L$2,$B147*regressions!$L$1,regressions!$L$1*regressions!$L$2+regressions!$L$3*($B147-regressions!$L$2))</f>
        <v>-0.49011853633783986</v>
      </c>
      <c r="E147">
        <f>regressions!$J$1*B147+regressions!$J$2*B147^2</f>
        <v>-0.31064190961758126</v>
      </c>
      <c r="F147">
        <f>regressions!$V$1*B147</f>
        <v>-0.49011853772150676</v>
      </c>
      <c r="G147">
        <f>regressions!$N$1*B147^2</f>
        <v>-6.626261322172039E-2</v>
      </c>
      <c r="H147">
        <f>regressions!$R$1*B147^2+regressions!$R$2*B147^6</f>
        <v>-7.2171343813948921E-2</v>
      </c>
      <c r="I147">
        <f>regressions!$P$1*B147^2+regressions!$P$2*B147^7</f>
        <v>-6.9821670924438417E-2</v>
      </c>
      <c r="J147">
        <f>regressions!$T$2+regressions!$T$1*EXP(B147)</f>
        <v>-6.6639709623687784E-3</v>
      </c>
      <c r="K147" s="8">
        <f>(1-EXP(-2*regressions!$X$1*B147))/2/EXP(-regressions!$X$1*B147)</f>
        <v>-0.25363698958218184</v>
      </c>
      <c r="M147" s="33">
        <v>0.61667208207388147</v>
      </c>
      <c r="N147">
        <f t="shared" si="36"/>
        <v>-0.26546078453787059</v>
      </c>
      <c r="O147">
        <f>IF($B147&lt;=regressions!$L$2,$B147*regressions!$L$1,regressions!$L$1*regressions!$L$2+regressions!$L$3*($B147-regressions!$L$2))</f>
        <v>-0.49011853633783986</v>
      </c>
      <c r="P147">
        <f>regressions!$J$1*M147+regressions!$J$2*M147^2</f>
        <v>-0.31064190961758126</v>
      </c>
      <c r="Q147">
        <f>regressions!$V$1*M147</f>
        <v>-0.49011853772150676</v>
      </c>
      <c r="R147">
        <f>regressions!$N$1*M147^2</f>
        <v>-6.626261322172039E-2</v>
      </c>
      <c r="S147">
        <f>regressions!$R$1*M147^2+regressions!$R$2*M147^6</f>
        <v>-7.2171343813948921E-2</v>
      </c>
      <c r="T147">
        <f>regressions!$P$1*M147^2+regressions!$P$2*M147^7</f>
        <v>-6.9821670924438417E-2</v>
      </c>
      <c r="U147">
        <f>regressions!$T$2+regressions!$T$1*EXP(M147)</f>
        <v>-6.6639709623687784E-3</v>
      </c>
      <c r="V147" s="8">
        <f>(1-EXP(-2*regressions!$X$1*M147))/2/EXP(-regressions!$X$1*M147)</f>
        <v>-0.25363698958218184</v>
      </c>
      <c r="X147" s="33">
        <v>0.61667208207388147</v>
      </c>
      <c r="Y147">
        <f t="shared" si="37"/>
        <v>-0.26546078453787059</v>
      </c>
      <c r="Z147">
        <f>IF($B147&lt;=regressions!$L$2,$B147*regressions!$L$1,regressions!$L$1*regressions!$L$2+regressions!$L$3*($B147-regressions!$L$2))</f>
        <v>-0.49011853633783986</v>
      </c>
      <c r="AA147">
        <f>regressions!$J$1*X147+regressions!$J$2*X147^2</f>
        <v>-0.31064190961758126</v>
      </c>
      <c r="AB147">
        <f>regressions!$V$1*X147</f>
        <v>-0.49011853772150676</v>
      </c>
      <c r="AC147">
        <f>regressions!$N$1*X147^2</f>
        <v>-6.626261322172039E-2</v>
      </c>
      <c r="AD147">
        <f>regressions!$R$1*X147^2+regressions!$R$2*X147^6</f>
        <v>-7.2171343813948921E-2</v>
      </c>
      <c r="AE147">
        <f>regressions!$P$1*X147^2+regressions!$P$2*X147^7</f>
        <v>-6.9821670924438417E-2</v>
      </c>
      <c r="AF147">
        <f>regressions!$T$2+regressions!$T$1*EXP(X147)</f>
        <v>-6.6639709623687784E-3</v>
      </c>
      <c r="AG147" s="8">
        <f>(1-EXP(-2*regressions!$X$1*X147))/2/EXP(-regressions!$X$1*X147)</f>
        <v>-0.25363698958218184</v>
      </c>
      <c r="AH147" s="8"/>
      <c r="AI147" s="33">
        <v>0.61667208207388147</v>
      </c>
      <c r="AJ147">
        <f t="shared" si="38"/>
        <v>-0.26546078453787059</v>
      </c>
      <c r="AK147">
        <f>IF(AI147&lt;=regressions!$L$2,AI147*regressions!$L$1,regressions!$L$1*regressions!$L$2+regressions!$L$3*(AI147-regressions!$L$2))</f>
        <v>-0.49011853633783986</v>
      </c>
      <c r="AL147">
        <f>regressions!$J$1*AI147+regressions!$J$2*AI147^2</f>
        <v>-0.31064190961758126</v>
      </c>
      <c r="AM147">
        <f>regressions!$V$1*AI147</f>
        <v>-0.49011853772150676</v>
      </c>
      <c r="AN147">
        <f>regressions!$N$1*AI147^2</f>
        <v>-6.626261322172039E-2</v>
      </c>
      <c r="AO147">
        <f>regressions!$R$1*AI147^2+regressions!$R$2*AI147^6</f>
        <v>-7.2171343813948921E-2</v>
      </c>
      <c r="AP147">
        <f>regressions!$P$1*AI147^2+regressions!$P$2*AI147^7</f>
        <v>-6.9821670924438417E-2</v>
      </c>
      <c r="AQ147">
        <f>regressions!$T$2+regressions!$T$1*EXP(AI147)</f>
        <v>-6.6639709623687784E-3</v>
      </c>
      <c r="AR147" s="8">
        <f>(1-EXP(-2*regressions!$X$1*AI147))/2/EXP(-regressions!$X$1*AI147)</f>
        <v>-0.25363698958218184</v>
      </c>
      <c r="AT147" s="33">
        <v>0.61667208207388147</v>
      </c>
      <c r="AU147">
        <f t="shared" si="39"/>
        <v>-0.26546078453787059</v>
      </c>
      <c r="AV147">
        <f>IF(AT147&lt;=regressions!$L$2,AT147*regressions!$L$1,regressions!$L$1*regressions!$L$2+regressions!$L$3*(AT147-regressions!$L$2))</f>
        <v>-0.49011853633783986</v>
      </c>
      <c r="AW147">
        <f>regressions!$J$1*AT147+regressions!$J$2*AT147^2</f>
        <v>-0.31064190961758126</v>
      </c>
      <c r="AX147">
        <f>regressions!$V$1*AT147</f>
        <v>-0.49011853772150676</v>
      </c>
      <c r="AY147">
        <f>regressions!$N$1*AT147^2</f>
        <v>-6.626261322172039E-2</v>
      </c>
      <c r="AZ147">
        <f>regressions!$R$1*AT147^2+regressions!$R$2*AT147^6</f>
        <v>-7.2171343813948921E-2</v>
      </c>
      <c r="BA147">
        <f>regressions!$P$1*AT147^2+regressions!$P$2*AT147^7</f>
        <v>-6.9821670924438417E-2</v>
      </c>
      <c r="BB147">
        <f>regressions!$T$2+regressions!$T$1*EXP(AT147)</f>
        <v>-6.6639709623687784E-3</v>
      </c>
      <c r="BC147" s="8">
        <f>(1-EXP(-2*regressions!$X$1*AT147))/2/EXP(-regressions!$X$1*AT147)</f>
        <v>-0.25363698958218184</v>
      </c>
      <c r="BE147">
        <f t="shared" si="40"/>
        <v>0</v>
      </c>
      <c r="BF147">
        <f t="shared" si="31"/>
        <v>0</v>
      </c>
      <c r="BG147">
        <f t="shared" si="32"/>
        <v>0</v>
      </c>
      <c r="BH147">
        <f>BG147+regressions!$AR$1*(AI147-B147)</f>
        <v>0</v>
      </c>
      <c r="BI147">
        <f>BG147-regressions!$AO$1*(AI147-B147)</f>
        <v>0</v>
      </c>
      <c r="BJ147">
        <f t="shared" si="33"/>
        <v>0</v>
      </c>
      <c r="BK147">
        <f>BJ147+regressions!$AR$1*(AT147-B147)</f>
        <v>0</v>
      </c>
      <c r="BL147">
        <f>BJ147-regressions!$AO$1*(AT147-B147)</f>
        <v>0</v>
      </c>
      <c r="BM147">
        <f t="shared" si="41"/>
        <v>0</v>
      </c>
      <c r="BN147">
        <f t="shared" si="34"/>
        <v>0</v>
      </c>
      <c r="BO147">
        <f t="shared" si="35"/>
        <v>0</v>
      </c>
      <c r="BP147">
        <f t="shared" si="42"/>
        <v>0</v>
      </c>
      <c r="BQ147">
        <f t="shared" si="43"/>
        <v>0</v>
      </c>
      <c r="BR147">
        <f t="shared" si="44"/>
        <v>0</v>
      </c>
    </row>
    <row r="148" spans="1:70" x14ac:dyDescent="0.35">
      <c r="A148">
        <v>1995</v>
      </c>
      <c r="B148" s="33">
        <v>0.63372695376407395</v>
      </c>
      <c r="C148">
        <f t="shared" si="45"/>
        <v>-0.2736969924536618</v>
      </c>
      <c r="D148">
        <f>IF($B148&lt;=regressions!$L$2,$B148*regressions!$L$1,regressions!$L$1*regressions!$L$2+regressions!$L$3*($B148-regressions!$L$2))</f>
        <v>-0.50367340446502284</v>
      </c>
      <c r="E148">
        <f>regressions!$J$1*B148+regressions!$J$2*B148^2</f>
        <v>-0.32011650183196461</v>
      </c>
      <c r="F148">
        <f>regressions!$V$1*B148</f>
        <v>-0.50367340588695686</v>
      </c>
      <c r="G148">
        <f>regressions!$N$1*B148^2</f>
        <v>-6.997845378050703E-2</v>
      </c>
      <c r="H148">
        <f>regressions!$R$1*B148^2+regressions!$R$2*B148^6</f>
        <v>-7.6218457403027545E-2</v>
      </c>
      <c r="I148">
        <f>regressions!$P$1*B148^2+regressions!$P$2*B148^7</f>
        <v>-7.3737089322571378E-2</v>
      </c>
      <c r="J148">
        <f>regressions!$T$2+regressions!$T$1*EXP(B148)</f>
        <v>-6.9130199542341217E-3</v>
      </c>
      <c r="K148" s="8">
        <f>(1-EXP(-2*regressions!$X$1*B148))/2/EXP(-regressions!$X$1*B148)</f>
        <v>-0.26080450750239231</v>
      </c>
      <c r="M148" s="33">
        <v>0.63372695376407395</v>
      </c>
      <c r="N148">
        <f t="shared" si="36"/>
        <v>-0.2736969924536618</v>
      </c>
      <c r="O148">
        <f>IF($B148&lt;=regressions!$L$2,$B148*regressions!$L$1,regressions!$L$1*regressions!$L$2+regressions!$L$3*($B148-regressions!$L$2))</f>
        <v>-0.50367340446502284</v>
      </c>
      <c r="P148">
        <f>regressions!$J$1*M148+regressions!$J$2*M148^2</f>
        <v>-0.32011650183196461</v>
      </c>
      <c r="Q148">
        <f>regressions!$V$1*M148</f>
        <v>-0.50367340588695686</v>
      </c>
      <c r="R148">
        <f>regressions!$N$1*M148^2</f>
        <v>-6.997845378050703E-2</v>
      </c>
      <c r="S148">
        <f>regressions!$R$1*M148^2+regressions!$R$2*M148^6</f>
        <v>-7.6218457403027545E-2</v>
      </c>
      <c r="T148">
        <f>regressions!$P$1*M148^2+regressions!$P$2*M148^7</f>
        <v>-7.3737089322571378E-2</v>
      </c>
      <c r="U148">
        <f>regressions!$T$2+regressions!$T$1*EXP(M148)</f>
        <v>-6.9130199542341217E-3</v>
      </c>
      <c r="V148" s="8">
        <f>(1-EXP(-2*regressions!$X$1*M148))/2/EXP(-regressions!$X$1*M148)</f>
        <v>-0.26080450750239231</v>
      </c>
      <c r="X148" s="33">
        <v>0.63372695376407395</v>
      </c>
      <c r="Y148">
        <f t="shared" si="37"/>
        <v>-0.2736969924536618</v>
      </c>
      <c r="Z148">
        <f>IF($B148&lt;=regressions!$L$2,$B148*regressions!$L$1,regressions!$L$1*regressions!$L$2+regressions!$L$3*($B148-regressions!$L$2))</f>
        <v>-0.50367340446502284</v>
      </c>
      <c r="AA148">
        <f>regressions!$J$1*X148+regressions!$J$2*X148^2</f>
        <v>-0.32011650183196461</v>
      </c>
      <c r="AB148">
        <f>regressions!$V$1*X148</f>
        <v>-0.50367340588695686</v>
      </c>
      <c r="AC148">
        <f>regressions!$N$1*X148^2</f>
        <v>-6.997845378050703E-2</v>
      </c>
      <c r="AD148">
        <f>regressions!$R$1*X148^2+regressions!$R$2*X148^6</f>
        <v>-7.6218457403027545E-2</v>
      </c>
      <c r="AE148">
        <f>regressions!$P$1*X148^2+regressions!$P$2*X148^7</f>
        <v>-7.3737089322571378E-2</v>
      </c>
      <c r="AF148">
        <f>regressions!$T$2+regressions!$T$1*EXP(X148)</f>
        <v>-6.9130199542341217E-3</v>
      </c>
      <c r="AG148" s="8">
        <f>(1-EXP(-2*regressions!$X$1*X148))/2/EXP(-regressions!$X$1*X148)</f>
        <v>-0.26080450750239231</v>
      </c>
      <c r="AH148" s="8"/>
      <c r="AI148" s="33">
        <v>0.63372695376407395</v>
      </c>
      <c r="AJ148">
        <f t="shared" si="38"/>
        <v>-0.2736969924536618</v>
      </c>
      <c r="AK148">
        <f>IF(AI148&lt;=regressions!$L$2,AI148*regressions!$L$1,regressions!$L$1*regressions!$L$2+regressions!$L$3*(AI148-regressions!$L$2))</f>
        <v>-0.50367340446502284</v>
      </c>
      <c r="AL148">
        <f>regressions!$J$1*AI148+regressions!$J$2*AI148^2</f>
        <v>-0.32011650183196461</v>
      </c>
      <c r="AM148">
        <f>regressions!$V$1*AI148</f>
        <v>-0.50367340588695686</v>
      </c>
      <c r="AN148">
        <f>regressions!$N$1*AI148^2</f>
        <v>-6.997845378050703E-2</v>
      </c>
      <c r="AO148">
        <f>regressions!$R$1*AI148^2+regressions!$R$2*AI148^6</f>
        <v>-7.6218457403027545E-2</v>
      </c>
      <c r="AP148">
        <f>regressions!$P$1*AI148^2+regressions!$P$2*AI148^7</f>
        <v>-7.3737089322571378E-2</v>
      </c>
      <c r="AQ148">
        <f>regressions!$T$2+regressions!$T$1*EXP(AI148)</f>
        <v>-6.9130199542341217E-3</v>
      </c>
      <c r="AR148" s="8">
        <f>(1-EXP(-2*regressions!$X$1*AI148))/2/EXP(-regressions!$X$1*AI148)</f>
        <v>-0.26080450750239231</v>
      </c>
      <c r="AT148" s="33">
        <v>0.63372695376407395</v>
      </c>
      <c r="AU148">
        <f t="shared" si="39"/>
        <v>-0.2736969924536618</v>
      </c>
      <c r="AV148">
        <f>IF(AT148&lt;=regressions!$L$2,AT148*regressions!$L$1,regressions!$L$1*regressions!$L$2+regressions!$L$3*(AT148-regressions!$L$2))</f>
        <v>-0.50367340446502284</v>
      </c>
      <c r="AW148">
        <f>regressions!$J$1*AT148+regressions!$J$2*AT148^2</f>
        <v>-0.32011650183196461</v>
      </c>
      <c r="AX148">
        <f>regressions!$V$1*AT148</f>
        <v>-0.50367340588695686</v>
      </c>
      <c r="AY148">
        <f>regressions!$N$1*AT148^2</f>
        <v>-6.997845378050703E-2</v>
      </c>
      <c r="AZ148">
        <f>regressions!$R$1*AT148^2+regressions!$R$2*AT148^6</f>
        <v>-7.6218457403027545E-2</v>
      </c>
      <c r="BA148">
        <f>regressions!$P$1*AT148^2+regressions!$P$2*AT148^7</f>
        <v>-7.3737089322571378E-2</v>
      </c>
      <c r="BB148">
        <f>regressions!$T$2+regressions!$T$1*EXP(AT148)</f>
        <v>-6.9130199542341217E-3</v>
      </c>
      <c r="BC148" s="8">
        <f>(1-EXP(-2*regressions!$X$1*AT148))/2/EXP(-regressions!$X$1*AT148)</f>
        <v>-0.26080450750239231</v>
      </c>
      <c r="BE148">
        <f t="shared" si="40"/>
        <v>0</v>
      </c>
      <c r="BF148">
        <f t="shared" si="31"/>
        <v>0</v>
      </c>
      <c r="BG148">
        <f t="shared" si="32"/>
        <v>0</v>
      </c>
      <c r="BH148">
        <f>BG148+regressions!$AR$1*(AI148-B148)</f>
        <v>0</v>
      </c>
      <c r="BI148">
        <f>BG148-regressions!$AO$1*(AI148-B148)</f>
        <v>0</v>
      </c>
      <c r="BJ148">
        <f t="shared" si="33"/>
        <v>0</v>
      </c>
      <c r="BK148">
        <f>BJ148+regressions!$AR$1*(AT148-B148)</f>
        <v>0</v>
      </c>
      <c r="BL148">
        <f>BJ148-regressions!$AO$1*(AT148-B148)</f>
        <v>0</v>
      </c>
      <c r="BM148">
        <f t="shared" si="41"/>
        <v>0</v>
      </c>
      <c r="BN148">
        <f t="shared" si="34"/>
        <v>0</v>
      </c>
      <c r="BO148">
        <f t="shared" si="35"/>
        <v>0</v>
      </c>
      <c r="BP148">
        <f t="shared" si="42"/>
        <v>0</v>
      </c>
      <c r="BQ148">
        <f t="shared" si="43"/>
        <v>0</v>
      </c>
      <c r="BR148">
        <f t="shared" si="44"/>
        <v>0</v>
      </c>
    </row>
    <row r="149" spans="1:70" x14ac:dyDescent="0.35">
      <c r="A149">
        <v>1996</v>
      </c>
      <c r="B149" s="33">
        <v>0.65103621512377652</v>
      </c>
      <c r="C149">
        <f t="shared" si="45"/>
        <v>-0.2821060516822535</v>
      </c>
      <c r="D149">
        <f>IF($B149&lt;=regressions!$L$2,$B149*regressions!$L$1,regressions!$L$1*regressions!$L$2+regressions!$L$3*($B149-regressions!$L$2))</f>
        <v>-0.51743045637205265</v>
      </c>
      <c r="E149">
        <f>regressions!$J$1*B149+regressions!$J$2*B149^2</f>
        <v>-0.32978103305496426</v>
      </c>
      <c r="F149">
        <f>regressions!$V$1*B149</f>
        <v>-0.5174304578328246</v>
      </c>
      <c r="G149">
        <f>regressions!$N$1*B149^2</f>
        <v>-7.3853363582893378E-2</v>
      </c>
      <c r="H149">
        <f>regressions!$R$1*B149^2+regressions!$R$2*B149^6</f>
        <v>-8.0438808651713961E-2</v>
      </c>
      <c r="I149">
        <f>regressions!$P$1*B149^2+regressions!$P$2*B149^7</f>
        <v>-7.7820119510799174E-2</v>
      </c>
      <c r="J149">
        <f>regressions!$T$2+regressions!$T$1*EXP(B149)</f>
        <v>-7.1701643727416237E-3</v>
      </c>
      <c r="K149" s="8">
        <f>(1-EXP(-2*regressions!$X$1*B149))/2/EXP(-regressions!$X$1*B149)</f>
        <v>-0.26809178705427195</v>
      </c>
      <c r="M149" s="33">
        <v>0.65103621512377652</v>
      </c>
      <c r="N149">
        <f t="shared" si="36"/>
        <v>-0.2821060516822535</v>
      </c>
      <c r="O149">
        <f>IF($B149&lt;=regressions!$L$2,$B149*regressions!$L$1,regressions!$L$1*regressions!$L$2+regressions!$L$3*($B149-regressions!$L$2))</f>
        <v>-0.51743045637205265</v>
      </c>
      <c r="P149">
        <f>regressions!$J$1*M149+regressions!$J$2*M149^2</f>
        <v>-0.32978103305496426</v>
      </c>
      <c r="Q149">
        <f>regressions!$V$1*M149</f>
        <v>-0.5174304578328246</v>
      </c>
      <c r="R149">
        <f>regressions!$N$1*M149^2</f>
        <v>-7.3853363582893378E-2</v>
      </c>
      <c r="S149">
        <f>regressions!$R$1*M149^2+regressions!$R$2*M149^6</f>
        <v>-8.0438808651713961E-2</v>
      </c>
      <c r="T149">
        <f>regressions!$P$1*M149^2+regressions!$P$2*M149^7</f>
        <v>-7.7820119510799174E-2</v>
      </c>
      <c r="U149">
        <f>regressions!$T$2+regressions!$T$1*EXP(M149)</f>
        <v>-7.1701643727416237E-3</v>
      </c>
      <c r="V149" s="8">
        <f>(1-EXP(-2*regressions!$X$1*M149))/2/EXP(-regressions!$X$1*M149)</f>
        <v>-0.26809178705427195</v>
      </c>
      <c r="X149" s="33">
        <v>0.65103621512377652</v>
      </c>
      <c r="Y149">
        <f t="shared" si="37"/>
        <v>-0.2821060516822535</v>
      </c>
      <c r="Z149">
        <f>IF($B149&lt;=regressions!$L$2,$B149*regressions!$L$1,regressions!$L$1*regressions!$L$2+regressions!$L$3*($B149-regressions!$L$2))</f>
        <v>-0.51743045637205265</v>
      </c>
      <c r="AA149">
        <f>regressions!$J$1*X149+regressions!$J$2*X149^2</f>
        <v>-0.32978103305496426</v>
      </c>
      <c r="AB149">
        <f>regressions!$V$1*X149</f>
        <v>-0.5174304578328246</v>
      </c>
      <c r="AC149">
        <f>regressions!$N$1*X149^2</f>
        <v>-7.3853363582893378E-2</v>
      </c>
      <c r="AD149">
        <f>regressions!$R$1*X149^2+regressions!$R$2*X149^6</f>
        <v>-8.0438808651713961E-2</v>
      </c>
      <c r="AE149">
        <f>regressions!$P$1*X149^2+regressions!$P$2*X149^7</f>
        <v>-7.7820119510799174E-2</v>
      </c>
      <c r="AF149">
        <f>regressions!$T$2+regressions!$T$1*EXP(X149)</f>
        <v>-7.1701643727416237E-3</v>
      </c>
      <c r="AG149" s="8">
        <f>(1-EXP(-2*regressions!$X$1*X149))/2/EXP(-regressions!$X$1*X149)</f>
        <v>-0.26809178705427195</v>
      </c>
      <c r="AH149" s="8"/>
      <c r="AI149" s="33">
        <v>0.65103621512377652</v>
      </c>
      <c r="AJ149">
        <f t="shared" si="38"/>
        <v>-0.2821060516822535</v>
      </c>
      <c r="AK149">
        <f>IF(AI149&lt;=regressions!$L$2,AI149*regressions!$L$1,regressions!$L$1*regressions!$L$2+regressions!$L$3*(AI149-regressions!$L$2))</f>
        <v>-0.51743045637205265</v>
      </c>
      <c r="AL149">
        <f>regressions!$J$1*AI149+regressions!$J$2*AI149^2</f>
        <v>-0.32978103305496426</v>
      </c>
      <c r="AM149">
        <f>regressions!$V$1*AI149</f>
        <v>-0.5174304578328246</v>
      </c>
      <c r="AN149">
        <f>regressions!$N$1*AI149^2</f>
        <v>-7.3853363582893378E-2</v>
      </c>
      <c r="AO149">
        <f>regressions!$R$1*AI149^2+regressions!$R$2*AI149^6</f>
        <v>-8.0438808651713961E-2</v>
      </c>
      <c r="AP149">
        <f>regressions!$P$1*AI149^2+regressions!$P$2*AI149^7</f>
        <v>-7.7820119510799174E-2</v>
      </c>
      <c r="AQ149">
        <f>regressions!$T$2+regressions!$T$1*EXP(AI149)</f>
        <v>-7.1701643727416237E-3</v>
      </c>
      <c r="AR149" s="8">
        <f>(1-EXP(-2*regressions!$X$1*AI149))/2/EXP(-regressions!$X$1*AI149)</f>
        <v>-0.26809178705427195</v>
      </c>
      <c r="AT149" s="33">
        <v>0.65103621512377652</v>
      </c>
      <c r="AU149">
        <f t="shared" si="39"/>
        <v>-0.2821060516822535</v>
      </c>
      <c r="AV149">
        <f>IF(AT149&lt;=regressions!$L$2,AT149*regressions!$L$1,regressions!$L$1*regressions!$L$2+regressions!$L$3*(AT149-regressions!$L$2))</f>
        <v>-0.51743045637205265</v>
      </c>
      <c r="AW149">
        <f>regressions!$J$1*AT149+regressions!$J$2*AT149^2</f>
        <v>-0.32978103305496426</v>
      </c>
      <c r="AX149">
        <f>regressions!$V$1*AT149</f>
        <v>-0.5174304578328246</v>
      </c>
      <c r="AY149">
        <f>regressions!$N$1*AT149^2</f>
        <v>-7.3853363582893378E-2</v>
      </c>
      <c r="AZ149">
        <f>regressions!$R$1*AT149^2+regressions!$R$2*AT149^6</f>
        <v>-8.0438808651713961E-2</v>
      </c>
      <c r="BA149">
        <f>regressions!$P$1*AT149^2+regressions!$P$2*AT149^7</f>
        <v>-7.7820119510799174E-2</v>
      </c>
      <c r="BB149">
        <f>regressions!$T$2+regressions!$T$1*EXP(AT149)</f>
        <v>-7.1701643727416237E-3</v>
      </c>
      <c r="BC149" s="8">
        <f>(1-EXP(-2*regressions!$X$1*AT149))/2/EXP(-regressions!$X$1*AT149)</f>
        <v>-0.26809178705427195</v>
      </c>
      <c r="BE149">
        <f t="shared" si="40"/>
        <v>0</v>
      </c>
      <c r="BF149">
        <f t="shared" si="31"/>
        <v>0</v>
      </c>
      <c r="BG149">
        <f t="shared" si="32"/>
        <v>0</v>
      </c>
      <c r="BH149">
        <f>BG149+regressions!$AR$1*(AI149-B149)</f>
        <v>0</v>
      </c>
      <c r="BI149">
        <f>BG149-regressions!$AO$1*(AI149-B149)</f>
        <v>0</v>
      </c>
      <c r="BJ149">
        <f t="shared" si="33"/>
        <v>0</v>
      </c>
      <c r="BK149">
        <f>BJ149+regressions!$AR$1*(AT149-B149)</f>
        <v>0</v>
      </c>
      <c r="BL149">
        <f>BJ149-regressions!$AO$1*(AT149-B149)</f>
        <v>0</v>
      </c>
      <c r="BM149">
        <f t="shared" si="41"/>
        <v>0</v>
      </c>
      <c r="BN149">
        <f t="shared" si="34"/>
        <v>0</v>
      </c>
      <c r="BO149">
        <f t="shared" si="35"/>
        <v>0</v>
      </c>
      <c r="BP149">
        <f t="shared" si="42"/>
        <v>0</v>
      </c>
      <c r="BQ149">
        <f t="shared" si="43"/>
        <v>0</v>
      </c>
      <c r="BR149">
        <f t="shared" si="44"/>
        <v>0</v>
      </c>
    </row>
    <row r="150" spans="1:70" x14ac:dyDescent="0.35">
      <c r="A150">
        <v>1997</v>
      </c>
      <c r="B150" s="33">
        <v>0.6686038846053074</v>
      </c>
      <c r="C150">
        <f t="shared" si="45"/>
        <v>-0.29069221703531634</v>
      </c>
      <c r="D150">
        <f>IF($B150&lt;=regressions!$L$2,$B150*regressions!$L$1,regressions!$L$1*regressions!$L$2+regressions!$L$3*($B150-regressions!$L$2))</f>
        <v>-0.5313928858438044</v>
      </c>
      <c r="E150">
        <f>regressions!$J$1*B150+regressions!$J$2*B150^2</f>
        <v>-0.33963992356785327</v>
      </c>
      <c r="F150">
        <f>regressions!$V$1*B150</f>
        <v>-0.53139288734399404</v>
      </c>
      <c r="G150">
        <f>regressions!$N$1*B150^2</f>
        <v>-7.789288244341977E-2</v>
      </c>
      <c r="H150">
        <f>regressions!$R$1*B150^2+regressions!$R$2*B150^6</f>
        <v>-8.4838428820201386E-2</v>
      </c>
      <c r="I150">
        <f>regressions!$P$1*B150^2+regressions!$P$2*B150^7</f>
        <v>-8.207659861203416E-2</v>
      </c>
      <c r="J150">
        <f>regressions!$T$2+regressions!$T$1*EXP(B150)</f>
        <v>-7.4357388351040735E-3</v>
      </c>
      <c r="K150" s="8">
        <f>(1-EXP(-2*regressions!$X$1*B150))/2/EXP(-regressions!$X$1*B150)</f>
        <v>-0.2755014652539477</v>
      </c>
      <c r="M150" s="33">
        <v>0.6686038846053074</v>
      </c>
      <c r="N150">
        <f t="shared" si="36"/>
        <v>-0.29069221703531634</v>
      </c>
      <c r="O150">
        <f>IF($B150&lt;=regressions!$L$2,$B150*regressions!$L$1,regressions!$L$1*regressions!$L$2+regressions!$L$3*($B150-regressions!$L$2))</f>
        <v>-0.5313928858438044</v>
      </c>
      <c r="P150">
        <f>regressions!$J$1*M150+regressions!$J$2*M150^2</f>
        <v>-0.33963992356785327</v>
      </c>
      <c r="Q150">
        <f>regressions!$V$1*M150</f>
        <v>-0.53139288734399404</v>
      </c>
      <c r="R150">
        <f>regressions!$N$1*M150^2</f>
        <v>-7.789288244341977E-2</v>
      </c>
      <c r="S150">
        <f>regressions!$R$1*M150^2+regressions!$R$2*M150^6</f>
        <v>-8.4838428820201386E-2</v>
      </c>
      <c r="T150">
        <f>regressions!$P$1*M150^2+regressions!$P$2*M150^7</f>
        <v>-8.207659861203416E-2</v>
      </c>
      <c r="U150">
        <f>regressions!$T$2+regressions!$T$1*EXP(M150)</f>
        <v>-7.4357388351040735E-3</v>
      </c>
      <c r="V150" s="8">
        <f>(1-EXP(-2*regressions!$X$1*M150))/2/EXP(-regressions!$X$1*M150)</f>
        <v>-0.2755014652539477</v>
      </c>
      <c r="X150" s="33">
        <v>0.6686038846053074</v>
      </c>
      <c r="Y150">
        <f t="shared" si="37"/>
        <v>-0.29069221703531634</v>
      </c>
      <c r="Z150">
        <f>IF($B150&lt;=regressions!$L$2,$B150*regressions!$L$1,regressions!$L$1*regressions!$L$2+regressions!$L$3*($B150-regressions!$L$2))</f>
        <v>-0.5313928858438044</v>
      </c>
      <c r="AA150">
        <f>regressions!$J$1*X150+regressions!$J$2*X150^2</f>
        <v>-0.33963992356785327</v>
      </c>
      <c r="AB150">
        <f>regressions!$V$1*X150</f>
        <v>-0.53139288734399404</v>
      </c>
      <c r="AC150">
        <f>regressions!$N$1*X150^2</f>
        <v>-7.789288244341977E-2</v>
      </c>
      <c r="AD150">
        <f>regressions!$R$1*X150^2+regressions!$R$2*X150^6</f>
        <v>-8.4838428820201386E-2</v>
      </c>
      <c r="AE150">
        <f>regressions!$P$1*X150^2+regressions!$P$2*X150^7</f>
        <v>-8.207659861203416E-2</v>
      </c>
      <c r="AF150">
        <f>regressions!$T$2+regressions!$T$1*EXP(X150)</f>
        <v>-7.4357388351040735E-3</v>
      </c>
      <c r="AG150" s="8">
        <f>(1-EXP(-2*regressions!$X$1*X150))/2/EXP(-regressions!$X$1*X150)</f>
        <v>-0.2755014652539477</v>
      </c>
      <c r="AH150" s="8"/>
      <c r="AI150" s="33">
        <v>0.6686038846053074</v>
      </c>
      <c r="AJ150">
        <f t="shared" si="38"/>
        <v>-0.29069221703531634</v>
      </c>
      <c r="AK150">
        <f>IF(AI150&lt;=regressions!$L$2,AI150*regressions!$L$1,regressions!$L$1*regressions!$L$2+regressions!$L$3*(AI150-regressions!$L$2))</f>
        <v>-0.5313928858438044</v>
      </c>
      <c r="AL150">
        <f>regressions!$J$1*AI150+regressions!$J$2*AI150^2</f>
        <v>-0.33963992356785327</v>
      </c>
      <c r="AM150">
        <f>regressions!$V$1*AI150</f>
        <v>-0.53139288734399404</v>
      </c>
      <c r="AN150">
        <f>regressions!$N$1*AI150^2</f>
        <v>-7.789288244341977E-2</v>
      </c>
      <c r="AO150">
        <f>regressions!$R$1*AI150^2+regressions!$R$2*AI150^6</f>
        <v>-8.4838428820201386E-2</v>
      </c>
      <c r="AP150">
        <f>regressions!$P$1*AI150^2+regressions!$P$2*AI150^7</f>
        <v>-8.207659861203416E-2</v>
      </c>
      <c r="AQ150">
        <f>regressions!$T$2+regressions!$T$1*EXP(AI150)</f>
        <v>-7.4357388351040735E-3</v>
      </c>
      <c r="AR150" s="8">
        <f>(1-EXP(-2*regressions!$X$1*AI150))/2/EXP(-regressions!$X$1*AI150)</f>
        <v>-0.2755014652539477</v>
      </c>
      <c r="AT150" s="33">
        <v>0.6686038846053074</v>
      </c>
      <c r="AU150">
        <f t="shared" si="39"/>
        <v>-0.29069221703531634</v>
      </c>
      <c r="AV150">
        <f>IF(AT150&lt;=regressions!$L$2,AT150*regressions!$L$1,regressions!$L$1*regressions!$L$2+regressions!$L$3*(AT150-regressions!$L$2))</f>
        <v>-0.5313928858438044</v>
      </c>
      <c r="AW150">
        <f>regressions!$J$1*AT150+regressions!$J$2*AT150^2</f>
        <v>-0.33963992356785327</v>
      </c>
      <c r="AX150">
        <f>regressions!$V$1*AT150</f>
        <v>-0.53139288734399404</v>
      </c>
      <c r="AY150">
        <f>regressions!$N$1*AT150^2</f>
        <v>-7.789288244341977E-2</v>
      </c>
      <c r="AZ150">
        <f>regressions!$R$1*AT150^2+regressions!$R$2*AT150^6</f>
        <v>-8.4838428820201386E-2</v>
      </c>
      <c r="BA150">
        <f>regressions!$P$1*AT150^2+regressions!$P$2*AT150^7</f>
        <v>-8.207659861203416E-2</v>
      </c>
      <c r="BB150">
        <f>regressions!$T$2+regressions!$T$1*EXP(AT150)</f>
        <v>-7.4357388351040735E-3</v>
      </c>
      <c r="BC150" s="8">
        <f>(1-EXP(-2*regressions!$X$1*AT150))/2/EXP(-regressions!$X$1*AT150)</f>
        <v>-0.2755014652539477</v>
      </c>
      <c r="BE150">
        <f t="shared" si="40"/>
        <v>0</v>
      </c>
      <c r="BF150">
        <f t="shared" si="31"/>
        <v>0</v>
      </c>
      <c r="BG150">
        <f t="shared" si="32"/>
        <v>0</v>
      </c>
      <c r="BH150">
        <f>BG150+regressions!$AR$1*(AI150-B150)</f>
        <v>0</v>
      </c>
      <c r="BI150">
        <f>BG150-regressions!$AO$1*(AI150-B150)</f>
        <v>0</v>
      </c>
      <c r="BJ150">
        <f t="shared" si="33"/>
        <v>0</v>
      </c>
      <c r="BK150">
        <f>BJ150+regressions!$AR$1*(AT150-B150)</f>
        <v>0</v>
      </c>
      <c r="BL150">
        <f>BJ150-regressions!$AO$1*(AT150-B150)</f>
        <v>0</v>
      </c>
      <c r="BM150">
        <f t="shared" si="41"/>
        <v>0</v>
      </c>
      <c r="BN150">
        <f t="shared" si="34"/>
        <v>0</v>
      </c>
      <c r="BO150">
        <f t="shared" si="35"/>
        <v>0</v>
      </c>
      <c r="BP150">
        <f t="shared" si="42"/>
        <v>0</v>
      </c>
      <c r="BQ150">
        <f t="shared" si="43"/>
        <v>0</v>
      </c>
      <c r="BR150">
        <f t="shared" si="44"/>
        <v>0</v>
      </c>
    </row>
    <row r="151" spans="1:70" x14ac:dyDescent="0.35">
      <c r="A151">
        <v>1998</v>
      </c>
      <c r="B151" s="33">
        <v>0.68643000332128101</v>
      </c>
      <c r="C151">
        <f t="shared" si="45"/>
        <v>-0.29945786826729975</v>
      </c>
      <c r="D151">
        <f>IF($B151&lt;=regressions!$L$2,$B151*regressions!$L$1,regressions!$L$1*regressions!$L$2+regressions!$L$3*($B151-regressions!$L$2))</f>
        <v>-0.54556072555575486</v>
      </c>
      <c r="E151">
        <f>regressions!$J$1*B151+regressions!$J$2*B151^2</f>
        <v>-0.34969542285525829</v>
      </c>
      <c r="F151">
        <f>regressions!$V$1*B151</f>
        <v>-0.54556072709594217</v>
      </c>
      <c r="G151">
        <f>regressions!$N$1*B151^2</f>
        <v>-8.2101766238451959E-2</v>
      </c>
      <c r="H151">
        <f>regressions!$R$1*B151^2+regressions!$R$2*B151^6</f>
        <v>-8.9422495002068267E-2</v>
      </c>
      <c r="I151">
        <f>regressions!$P$1*B151^2+regressions!$P$2*B151^7</f>
        <v>-8.6511537665961313E-2</v>
      </c>
      <c r="J151">
        <f>regressions!$T$2+regressions!$T$1*EXP(B151)</f>
        <v>-7.7100318716604409E-3</v>
      </c>
      <c r="K151" s="8">
        <f>(1-EXP(-2*regressions!$X$1*B151))/2/EXP(-regressions!$X$1*B151)</f>
        <v>-0.28303455165277563</v>
      </c>
      <c r="M151" s="33">
        <v>0.68643000332128101</v>
      </c>
      <c r="N151">
        <f t="shared" si="36"/>
        <v>-0.29945786826729975</v>
      </c>
      <c r="O151">
        <f>IF($B151&lt;=regressions!$L$2,$B151*regressions!$L$1,regressions!$L$1*regressions!$L$2+regressions!$L$3*($B151-regressions!$L$2))</f>
        <v>-0.54556072555575486</v>
      </c>
      <c r="P151">
        <f>regressions!$J$1*M151+regressions!$J$2*M151^2</f>
        <v>-0.34969542285525829</v>
      </c>
      <c r="Q151">
        <f>regressions!$V$1*M151</f>
        <v>-0.54556072709594217</v>
      </c>
      <c r="R151">
        <f>regressions!$N$1*M151^2</f>
        <v>-8.2101766238451959E-2</v>
      </c>
      <c r="S151">
        <f>regressions!$R$1*M151^2+regressions!$R$2*M151^6</f>
        <v>-8.9422495002068267E-2</v>
      </c>
      <c r="T151">
        <f>regressions!$P$1*M151^2+regressions!$P$2*M151^7</f>
        <v>-8.6511537665961313E-2</v>
      </c>
      <c r="U151">
        <f>regressions!$T$2+regressions!$T$1*EXP(M151)</f>
        <v>-7.7100318716604409E-3</v>
      </c>
      <c r="V151" s="8">
        <f>(1-EXP(-2*regressions!$X$1*M151))/2/EXP(-regressions!$X$1*M151)</f>
        <v>-0.28303455165277563</v>
      </c>
      <c r="X151" s="33">
        <v>0.68643000332128101</v>
      </c>
      <c r="Y151">
        <f t="shared" si="37"/>
        <v>-0.29945786826729975</v>
      </c>
      <c r="Z151">
        <f>IF($B151&lt;=regressions!$L$2,$B151*regressions!$L$1,regressions!$L$1*regressions!$L$2+regressions!$L$3*($B151-regressions!$L$2))</f>
        <v>-0.54556072555575486</v>
      </c>
      <c r="AA151">
        <f>regressions!$J$1*X151+regressions!$J$2*X151^2</f>
        <v>-0.34969542285525829</v>
      </c>
      <c r="AB151">
        <f>regressions!$V$1*X151</f>
        <v>-0.54556072709594217</v>
      </c>
      <c r="AC151">
        <f>regressions!$N$1*X151^2</f>
        <v>-8.2101766238451959E-2</v>
      </c>
      <c r="AD151">
        <f>regressions!$R$1*X151^2+regressions!$R$2*X151^6</f>
        <v>-8.9422495002068267E-2</v>
      </c>
      <c r="AE151">
        <f>regressions!$P$1*X151^2+regressions!$P$2*X151^7</f>
        <v>-8.6511537665961313E-2</v>
      </c>
      <c r="AF151">
        <f>regressions!$T$2+regressions!$T$1*EXP(X151)</f>
        <v>-7.7100318716604409E-3</v>
      </c>
      <c r="AG151" s="8">
        <f>(1-EXP(-2*regressions!$X$1*X151))/2/EXP(-regressions!$X$1*X151)</f>
        <v>-0.28303455165277563</v>
      </c>
      <c r="AH151" s="8"/>
      <c r="AI151" s="33">
        <v>0.68643000332128101</v>
      </c>
      <c r="AJ151">
        <f t="shared" si="38"/>
        <v>-0.29945786826729975</v>
      </c>
      <c r="AK151">
        <f>IF(AI151&lt;=regressions!$L$2,AI151*regressions!$L$1,regressions!$L$1*regressions!$L$2+regressions!$L$3*(AI151-regressions!$L$2))</f>
        <v>-0.54556072555575486</v>
      </c>
      <c r="AL151">
        <f>regressions!$J$1*AI151+regressions!$J$2*AI151^2</f>
        <v>-0.34969542285525829</v>
      </c>
      <c r="AM151">
        <f>regressions!$V$1*AI151</f>
        <v>-0.54556072709594217</v>
      </c>
      <c r="AN151">
        <f>regressions!$N$1*AI151^2</f>
        <v>-8.2101766238451959E-2</v>
      </c>
      <c r="AO151">
        <f>regressions!$R$1*AI151^2+regressions!$R$2*AI151^6</f>
        <v>-8.9422495002068267E-2</v>
      </c>
      <c r="AP151">
        <f>regressions!$P$1*AI151^2+regressions!$P$2*AI151^7</f>
        <v>-8.6511537665961313E-2</v>
      </c>
      <c r="AQ151">
        <f>regressions!$T$2+regressions!$T$1*EXP(AI151)</f>
        <v>-7.7100318716604409E-3</v>
      </c>
      <c r="AR151" s="8">
        <f>(1-EXP(-2*regressions!$X$1*AI151))/2/EXP(-regressions!$X$1*AI151)</f>
        <v>-0.28303455165277563</v>
      </c>
      <c r="AT151" s="33">
        <v>0.68643000332128101</v>
      </c>
      <c r="AU151">
        <f t="shared" si="39"/>
        <v>-0.29945786826729975</v>
      </c>
      <c r="AV151">
        <f>IF(AT151&lt;=regressions!$L$2,AT151*regressions!$L$1,regressions!$L$1*regressions!$L$2+regressions!$L$3*(AT151-regressions!$L$2))</f>
        <v>-0.54556072555575486</v>
      </c>
      <c r="AW151">
        <f>regressions!$J$1*AT151+regressions!$J$2*AT151^2</f>
        <v>-0.34969542285525829</v>
      </c>
      <c r="AX151">
        <f>regressions!$V$1*AT151</f>
        <v>-0.54556072709594217</v>
      </c>
      <c r="AY151">
        <f>regressions!$N$1*AT151^2</f>
        <v>-8.2101766238451959E-2</v>
      </c>
      <c r="AZ151">
        <f>regressions!$R$1*AT151^2+regressions!$R$2*AT151^6</f>
        <v>-8.9422495002068267E-2</v>
      </c>
      <c r="BA151">
        <f>regressions!$P$1*AT151^2+regressions!$P$2*AT151^7</f>
        <v>-8.6511537665961313E-2</v>
      </c>
      <c r="BB151">
        <f>regressions!$T$2+regressions!$T$1*EXP(AT151)</f>
        <v>-7.7100318716604409E-3</v>
      </c>
      <c r="BC151" s="8">
        <f>(1-EXP(-2*regressions!$X$1*AT151))/2/EXP(-regressions!$X$1*AT151)</f>
        <v>-0.28303455165277563</v>
      </c>
      <c r="BE151">
        <f t="shared" si="40"/>
        <v>0</v>
      </c>
      <c r="BF151">
        <f t="shared" si="31"/>
        <v>0</v>
      </c>
      <c r="BG151">
        <f t="shared" si="32"/>
        <v>0</v>
      </c>
      <c r="BH151">
        <f>BG151+regressions!$AR$1*(AI151-B151)</f>
        <v>0</v>
      </c>
      <c r="BI151">
        <f>BG151-regressions!$AO$1*(AI151-B151)</f>
        <v>0</v>
      </c>
      <c r="BJ151">
        <f t="shared" si="33"/>
        <v>0</v>
      </c>
      <c r="BK151">
        <f>BJ151+regressions!$AR$1*(AT151-B151)</f>
        <v>0</v>
      </c>
      <c r="BL151">
        <f>BJ151-regressions!$AO$1*(AT151-B151)</f>
        <v>0</v>
      </c>
      <c r="BM151">
        <f t="shared" si="41"/>
        <v>0</v>
      </c>
      <c r="BN151">
        <f t="shared" si="34"/>
        <v>0</v>
      </c>
      <c r="BO151">
        <f t="shared" si="35"/>
        <v>0</v>
      </c>
      <c r="BP151">
        <f t="shared" si="42"/>
        <v>0</v>
      </c>
      <c r="BQ151">
        <f t="shared" si="43"/>
        <v>0</v>
      </c>
      <c r="BR151">
        <f t="shared" si="44"/>
        <v>0</v>
      </c>
    </row>
    <row r="152" spans="1:70" x14ac:dyDescent="0.35">
      <c r="A152">
        <v>1999</v>
      </c>
      <c r="B152" s="33">
        <v>0.70448551705773521</v>
      </c>
      <c r="C152">
        <f t="shared" si="45"/>
        <v>-0.3083909857876857</v>
      </c>
      <c r="D152">
        <f>IF($B152&lt;=regressions!$L$2,$B152*regressions!$L$1,regressions!$L$1*regressions!$L$2+regressions!$L$3*($B152-regressions!$L$2))</f>
        <v>-0.5599108838044925</v>
      </c>
      <c r="E152">
        <f>regressions!$J$1*B152+regressions!$J$2*B152^2</f>
        <v>-0.35993327297547495</v>
      </c>
      <c r="F152">
        <f>regressions!$V$1*B152</f>
        <v>-0.55991088538519207</v>
      </c>
      <c r="G152">
        <f>regressions!$N$1*B152^2</f>
        <v>-8.6477698467976163E-2</v>
      </c>
      <c r="H152">
        <f>regressions!$R$1*B152^2+regressions!$R$2*B152^6</f>
        <v>-9.4188481150049325E-2</v>
      </c>
      <c r="I152">
        <f>regressions!$P$1*B152^2+regressions!$P$2*B152^7</f>
        <v>-9.1122495444020082E-2</v>
      </c>
      <c r="J152">
        <f>regressions!$T$2+regressions!$T$1*EXP(B152)</f>
        <v>-7.9928840868613918E-3</v>
      </c>
      <c r="K152" s="8">
        <f>(1-EXP(-2*regressions!$X$1*B152))/2/EXP(-regressions!$X$1*B152)</f>
        <v>-0.29067976744909291</v>
      </c>
      <c r="M152" s="33">
        <v>0.70448551705773521</v>
      </c>
      <c r="N152">
        <f t="shared" si="36"/>
        <v>-0.3083909857876857</v>
      </c>
      <c r="O152">
        <f>IF($B152&lt;=regressions!$L$2,$B152*regressions!$L$1,regressions!$L$1*regressions!$L$2+regressions!$L$3*($B152-regressions!$L$2))</f>
        <v>-0.5599108838044925</v>
      </c>
      <c r="P152">
        <f>regressions!$J$1*M152+regressions!$J$2*M152^2</f>
        <v>-0.35993327297547495</v>
      </c>
      <c r="Q152">
        <f>regressions!$V$1*M152</f>
        <v>-0.55991088538519207</v>
      </c>
      <c r="R152">
        <f>regressions!$N$1*M152^2</f>
        <v>-8.6477698467976163E-2</v>
      </c>
      <c r="S152">
        <f>regressions!$R$1*M152^2+regressions!$R$2*M152^6</f>
        <v>-9.4188481150049325E-2</v>
      </c>
      <c r="T152">
        <f>regressions!$P$1*M152^2+regressions!$P$2*M152^7</f>
        <v>-9.1122495444020082E-2</v>
      </c>
      <c r="U152">
        <f>regressions!$T$2+regressions!$T$1*EXP(M152)</f>
        <v>-7.9928840868613918E-3</v>
      </c>
      <c r="V152" s="8">
        <f>(1-EXP(-2*regressions!$X$1*M152))/2/EXP(-regressions!$X$1*M152)</f>
        <v>-0.29067976744909291</v>
      </c>
      <c r="X152" s="33">
        <v>0.70448551705773521</v>
      </c>
      <c r="Y152">
        <f t="shared" si="37"/>
        <v>-0.3083909857876857</v>
      </c>
      <c r="Z152">
        <f>IF($B152&lt;=regressions!$L$2,$B152*regressions!$L$1,regressions!$L$1*regressions!$L$2+regressions!$L$3*($B152-regressions!$L$2))</f>
        <v>-0.5599108838044925</v>
      </c>
      <c r="AA152">
        <f>regressions!$J$1*X152+regressions!$J$2*X152^2</f>
        <v>-0.35993327297547495</v>
      </c>
      <c r="AB152">
        <f>regressions!$V$1*X152</f>
        <v>-0.55991088538519207</v>
      </c>
      <c r="AC152">
        <f>regressions!$N$1*X152^2</f>
        <v>-8.6477698467976163E-2</v>
      </c>
      <c r="AD152">
        <f>regressions!$R$1*X152^2+regressions!$R$2*X152^6</f>
        <v>-9.4188481150049325E-2</v>
      </c>
      <c r="AE152">
        <f>regressions!$P$1*X152^2+regressions!$P$2*X152^7</f>
        <v>-9.1122495444020082E-2</v>
      </c>
      <c r="AF152">
        <f>regressions!$T$2+regressions!$T$1*EXP(X152)</f>
        <v>-7.9928840868613918E-3</v>
      </c>
      <c r="AG152" s="8">
        <f>(1-EXP(-2*regressions!$X$1*X152))/2/EXP(-regressions!$X$1*X152)</f>
        <v>-0.29067976744909291</v>
      </c>
      <c r="AH152" s="8"/>
      <c r="AI152" s="33">
        <v>0.70448551705773521</v>
      </c>
      <c r="AJ152">
        <f t="shared" si="38"/>
        <v>-0.3083909857876857</v>
      </c>
      <c r="AK152">
        <f>IF(AI152&lt;=regressions!$L$2,AI152*regressions!$L$1,regressions!$L$1*regressions!$L$2+regressions!$L$3*(AI152-regressions!$L$2))</f>
        <v>-0.5599108838044925</v>
      </c>
      <c r="AL152">
        <f>regressions!$J$1*AI152+regressions!$J$2*AI152^2</f>
        <v>-0.35993327297547495</v>
      </c>
      <c r="AM152">
        <f>regressions!$V$1*AI152</f>
        <v>-0.55991088538519207</v>
      </c>
      <c r="AN152">
        <f>regressions!$N$1*AI152^2</f>
        <v>-8.6477698467976163E-2</v>
      </c>
      <c r="AO152">
        <f>regressions!$R$1*AI152^2+regressions!$R$2*AI152^6</f>
        <v>-9.4188481150049325E-2</v>
      </c>
      <c r="AP152">
        <f>regressions!$P$1*AI152^2+regressions!$P$2*AI152^7</f>
        <v>-9.1122495444020082E-2</v>
      </c>
      <c r="AQ152">
        <f>regressions!$T$2+regressions!$T$1*EXP(AI152)</f>
        <v>-7.9928840868613918E-3</v>
      </c>
      <c r="AR152" s="8">
        <f>(1-EXP(-2*regressions!$X$1*AI152))/2/EXP(-regressions!$X$1*AI152)</f>
        <v>-0.29067976744909291</v>
      </c>
      <c r="AT152" s="33">
        <v>0.70448551705773521</v>
      </c>
      <c r="AU152">
        <f t="shared" si="39"/>
        <v>-0.3083909857876857</v>
      </c>
      <c r="AV152">
        <f>IF(AT152&lt;=regressions!$L$2,AT152*regressions!$L$1,regressions!$L$1*regressions!$L$2+regressions!$L$3*(AT152-regressions!$L$2))</f>
        <v>-0.5599108838044925</v>
      </c>
      <c r="AW152">
        <f>regressions!$J$1*AT152+regressions!$J$2*AT152^2</f>
        <v>-0.35993327297547495</v>
      </c>
      <c r="AX152">
        <f>regressions!$V$1*AT152</f>
        <v>-0.55991088538519207</v>
      </c>
      <c r="AY152">
        <f>regressions!$N$1*AT152^2</f>
        <v>-8.6477698467976163E-2</v>
      </c>
      <c r="AZ152">
        <f>regressions!$R$1*AT152^2+regressions!$R$2*AT152^6</f>
        <v>-9.4188481150049325E-2</v>
      </c>
      <c r="BA152">
        <f>regressions!$P$1*AT152^2+regressions!$P$2*AT152^7</f>
        <v>-9.1122495444020082E-2</v>
      </c>
      <c r="BB152">
        <f>regressions!$T$2+regressions!$T$1*EXP(AT152)</f>
        <v>-7.9928840868613918E-3</v>
      </c>
      <c r="BC152" s="8">
        <f>(1-EXP(-2*regressions!$X$1*AT152))/2/EXP(-regressions!$X$1*AT152)</f>
        <v>-0.29067976744909291</v>
      </c>
      <c r="BE152">
        <f t="shared" si="40"/>
        <v>0</v>
      </c>
      <c r="BF152">
        <f t="shared" si="31"/>
        <v>0</v>
      </c>
      <c r="BG152">
        <f t="shared" si="32"/>
        <v>0</v>
      </c>
      <c r="BH152">
        <f>BG152+regressions!$AR$1*(AI152-B152)</f>
        <v>0</v>
      </c>
      <c r="BI152">
        <f>BG152-regressions!$AO$1*(AI152-B152)</f>
        <v>0</v>
      </c>
      <c r="BJ152">
        <f t="shared" si="33"/>
        <v>0</v>
      </c>
      <c r="BK152">
        <f>BJ152+regressions!$AR$1*(AT152-B152)</f>
        <v>0</v>
      </c>
      <c r="BL152">
        <f>BJ152-regressions!$AO$1*(AT152-B152)</f>
        <v>0</v>
      </c>
      <c r="BM152">
        <f t="shared" si="41"/>
        <v>0</v>
      </c>
      <c r="BN152">
        <f t="shared" si="34"/>
        <v>0</v>
      </c>
      <c r="BO152">
        <f t="shared" si="35"/>
        <v>0</v>
      </c>
      <c r="BP152">
        <f t="shared" si="42"/>
        <v>0</v>
      </c>
      <c r="BQ152">
        <f t="shared" si="43"/>
        <v>0</v>
      </c>
      <c r="BR152">
        <f t="shared" si="44"/>
        <v>0</v>
      </c>
    </row>
    <row r="153" spans="1:70" x14ac:dyDescent="0.35">
      <c r="A153">
        <v>2000</v>
      </c>
      <c r="B153" s="33">
        <v>0.72273813616516913</v>
      </c>
      <c r="C153">
        <f t="shared" si="45"/>
        <v>-0.31747761472331687</v>
      </c>
      <c r="D153">
        <f>IF($B153&lt;=regressions!$L$2,$B153*regressions!$L$1,regressions!$L$1*regressions!$L$2+regressions!$L$3*($B153-regressions!$L$2))</f>
        <v>-0.57441769742767812</v>
      </c>
      <c r="E153">
        <f>regressions!$J$1*B153+regressions!$J$2*B153^2</f>
        <v>-0.37033705211055812</v>
      </c>
      <c r="F153">
        <f>regressions!$V$1*B153</f>
        <v>-0.57441769904933226</v>
      </c>
      <c r="G153">
        <f>regressions!$N$1*B153^2</f>
        <v>-9.1016876430362464E-2</v>
      </c>
      <c r="H153">
        <f>regressions!$R$1*B153^2+regressions!$R$2*B153^6</f>
        <v>-9.9132242276286794E-2</v>
      </c>
      <c r="I153">
        <f>regressions!$P$1*B153^2+regressions!$P$2*B153^7</f>
        <v>-9.5905464656594927E-2</v>
      </c>
      <c r="J153">
        <f>regressions!$T$2+regressions!$T$1*EXP(B153)</f>
        <v>-8.284062560968676E-3</v>
      </c>
      <c r="K153" s="8">
        <f>(1-EXP(-2*regressions!$X$1*B153))/2/EXP(-regressions!$X$1*B153)</f>
        <v>-0.29842440105244789</v>
      </c>
      <c r="M153" s="33">
        <v>0.72273813616516913</v>
      </c>
      <c r="N153">
        <f t="shared" si="36"/>
        <v>-0.31747761472331687</v>
      </c>
      <c r="O153">
        <f>IF($B153&lt;=regressions!$L$2,$B153*regressions!$L$1,regressions!$L$1*regressions!$L$2+regressions!$L$3*($B153-regressions!$L$2))</f>
        <v>-0.57441769742767812</v>
      </c>
      <c r="P153">
        <f>regressions!$J$1*M153+regressions!$J$2*M153^2</f>
        <v>-0.37033705211055812</v>
      </c>
      <c r="Q153">
        <f>regressions!$V$1*M153</f>
        <v>-0.57441769904933226</v>
      </c>
      <c r="R153">
        <f>regressions!$N$1*M153^2</f>
        <v>-9.1016876430362464E-2</v>
      </c>
      <c r="S153">
        <f>regressions!$R$1*M153^2+regressions!$R$2*M153^6</f>
        <v>-9.9132242276286794E-2</v>
      </c>
      <c r="T153">
        <f>regressions!$P$1*M153^2+regressions!$P$2*M153^7</f>
        <v>-9.5905464656594927E-2</v>
      </c>
      <c r="U153">
        <f>regressions!$T$2+regressions!$T$1*EXP(M153)</f>
        <v>-8.284062560968676E-3</v>
      </c>
      <c r="V153" s="8">
        <f>(1-EXP(-2*regressions!$X$1*M153))/2/EXP(-regressions!$X$1*M153)</f>
        <v>-0.29842440105244789</v>
      </c>
      <c r="X153" s="33">
        <v>0.72273813616516913</v>
      </c>
      <c r="Y153">
        <f t="shared" si="37"/>
        <v>-0.31747761472331687</v>
      </c>
      <c r="Z153">
        <f>IF($B153&lt;=regressions!$L$2,$B153*regressions!$L$1,regressions!$L$1*regressions!$L$2+regressions!$L$3*($B153-regressions!$L$2))</f>
        <v>-0.57441769742767812</v>
      </c>
      <c r="AA153">
        <f>regressions!$J$1*X153+regressions!$J$2*X153^2</f>
        <v>-0.37033705211055812</v>
      </c>
      <c r="AB153">
        <f>regressions!$V$1*X153</f>
        <v>-0.57441769904933226</v>
      </c>
      <c r="AC153">
        <f>regressions!$N$1*X153^2</f>
        <v>-9.1016876430362464E-2</v>
      </c>
      <c r="AD153">
        <f>regressions!$R$1*X153^2+regressions!$R$2*X153^6</f>
        <v>-9.9132242276286794E-2</v>
      </c>
      <c r="AE153">
        <f>regressions!$P$1*X153^2+regressions!$P$2*X153^7</f>
        <v>-9.5905464656594927E-2</v>
      </c>
      <c r="AF153">
        <f>regressions!$T$2+regressions!$T$1*EXP(X153)</f>
        <v>-8.284062560968676E-3</v>
      </c>
      <c r="AG153" s="8">
        <f>(1-EXP(-2*regressions!$X$1*X153))/2/EXP(-regressions!$X$1*X153)</f>
        <v>-0.29842440105244789</v>
      </c>
      <c r="AH153" s="8"/>
      <c r="AI153" s="33">
        <v>0.72273813616516913</v>
      </c>
      <c r="AJ153">
        <f t="shared" si="38"/>
        <v>-0.31747761472331687</v>
      </c>
      <c r="AK153">
        <f>IF(AI153&lt;=regressions!$L$2,AI153*regressions!$L$1,regressions!$L$1*regressions!$L$2+regressions!$L$3*(AI153-regressions!$L$2))</f>
        <v>-0.57441769742767812</v>
      </c>
      <c r="AL153">
        <f>regressions!$J$1*AI153+regressions!$J$2*AI153^2</f>
        <v>-0.37033705211055812</v>
      </c>
      <c r="AM153">
        <f>regressions!$V$1*AI153</f>
        <v>-0.57441769904933226</v>
      </c>
      <c r="AN153">
        <f>regressions!$N$1*AI153^2</f>
        <v>-9.1016876430362464E-2</v>
      </c>
      <c r="AO153">
        <f>regressions!$R$1*AI153^2+regressions!$R$2*AI153^6</f>
        <v>-9.9132242276286794E-2</v>
      </c>
      <c r="AP153">
        <f>regressions!$P$1*AI153^2+regressions!$P$2*AI153^7</f>
        <v>-9.5905464656594927E-2</v>
      </c>
      <c r="AQ153">
        <f>regressions!$T$2+regressions!$T$1*EXP(AI153)</f>
        <v>-8.284062560968676E-3</v>
      </c>
      <c r="AR153" s="8">
        <f>(1-EXP(-2*regressions!$X$1*AI153))/2/EXP(-regressions!$X$1*AI153)</f>
        <v>-0.29842440105244789</v>
      </c>
      <c r="AT153" s="33">
        <v>0.72273813616516913</v>
      </c>
      <c r="AU153">
        <f t="shared" si="39"/>
        <v>-0.31747761472331687</v>
      </c>
      <c r="AV153">
        <f>IF(AT153&lt;=regressions!$L$2,AT153*regressions!$L$1,regressions!$L$1*regressions!$L$2+regressions!$L$3*(AT153-regressions!$L$2))</f>
        <v>-0.57441769742767812</v>
      </c>
      <c r="AW153">
        <f>regressions!$J$1*AT153+regressions!$J$2*AT153^2</f>
        <v>-0.37033705211055812</v>
      </c>
      <c r="AX153">
        <f>regressions!$V$1*AT153</f>
        <v>-0.57441769904933226</v>
      </c>
      <c r="AY153">
        <f>regressions!$N$1*AT153^2</f>
        <v>-9.1016876430362464E-2</v>
      </c>
      <c r="AZ153">
        <f>regressions!$R$1*AT153^2+regressions!$R$2*AT153^6</f>
        <v>-9.9132242276286794E-2</v>
      </c>
      <c r="BA153">
        <f>regressions!$P$1*AT153^2+regressions!$P$2*AT153^7</f>
        <v>-9.5905464656594927E-2</v>
      </c>
      <c r="BB153">
        <f>regressions!$T$2+regressions!$T$1*EXP(AT153)</f>
        <v>-8.284062560968676E-3</v>
      </c>
      <c r="BC153" s="8">
        <f>(1-EXP(-2*regressions!$X$1*AT153))/2/EXP(-regressions!$X$1*AT153)</f>
        <v>-0.29842440105244789</v>
      </c>
      <c r="BE153">
        <f t="shared" si="40"/>
        <v>0</v>
      </c>
      <c r="BF153">
        <f t="shared" si="31"/>
        <v>0</v>
      </c>
      <c r="BG153">
        <f t="shared" si="32"/>
        <v>0</v>
      </c>
      <c r="BH153">
        <f>BG153+regressions!$AR$1*(AI153-B153)</f>
        <v>0</v>
      </c>
      <c r="BI153">
        <f>BG153-regressions!$AO$1*(AI153-B153)</f>
        <v>0</v>
      </c>
      <c r="BJ153">
        <f t="shared" si="33"/>
        <v>0</v>
      </c>
      <c r="BK153">
        <f>BJ153+regressions!$AR$1*(AT153-B153)</f>
        <v>0</v>
      </c>
      <c r="BL153">
        <f>BJ153-regressions!$AO$1*(AT153-B153)</f>
        <v>0</v>
      </c>
      <c r="BM153">
        <f t="shared" si="41"/>
        <v>0</v>
      </c>
      <c r="BN153">
        <f t="shared" si="34"/>
        <v>0</v>
      </c>
      <c r="BO153">
        <f t="shared" si="35"/>
        <v>0</v>
      </c>
      <c r="BP153">
        <f t="shared" si="42"/>
        <v>0</v>
      </c>
      <c r="BQ153">
        <f t="shared" si="43"/>
        <v>0</v>
      </c>
      <c r="BR153">
        <f t="shared" si="44"/>
        <v>0</v>
      </c>
    </row>
    <row r="154" spans="1:70" x14ac:dyDescent="0.35">
      <c r="A154">
        <v>2001</v>
      </c>
      <c r="B154" s="33">
        <v>0.74120382866846546</v>
      </c>
      <c r="C154">
        <f t="shared" si="45"/>
        <v>-0.32672767779765594</v>
      </c>
      <c r="D154">
        <f>IF($B154&lt;=regressions!$L$2,$B154*regressions!$L$1,regressions!$L$1*regressions!$L$2+regressions!$L$3*($B154-regressions!$L$2))</f>
        <v>-0.58909385748951126</v>
      </c>
      <c r="E154">
        <f>regressions!$J$1*B154+regressions!$J$2*B154^2</f>
        <v>-0.38091769815523163</v>
      </c>
      <c r="F154">
        <f>regressions!$V$1*B154</f>
        <v>-0.58909385915259815</v>
      </c>
      <c r="G154">
        <f>regressions!$N$1*B154^2</f>
        <v>-9.5727185925905733E-2</v>
      </c>
      <c r="H154">
        <f>regressions!$R$1*B154^2+regressions!$R$2*B154^6</f>
        <v>-0.10426236335739811</v>
      </c>
      <c r="I154">
        <f>regressions!$P$1*B154^2+regressions!$P$2*B154^7</f>
        <v>-0.10086875423727582</v>
      </c>
      <c r="J154">
        <f>regressions!$T$2+regressions!$T$1*EXP(B154)</f>
        <v>-8.5840983735321515E-3</v>
      </c>
      <c r="K154" s="8">
        <f>(1-EXP(-2*regressions!$X$1*B154))/2/EXP(-regressions!$X$1*B154)</f>
        <v>-0.30627620380837406</v>
      </c>
      <c r="M154" s="33">
        <v>0.74120382866846546</v>
      </c>
      <c r="N154">
        <f t="shared" si="36"/>
        <v>-0.32672767779765594</v>
      </c>
      <c r="O154">
        <f>IF($B154&lt;=regressions!$L$2,$B154*regressions!$L$1,regressions!$L$1*regressions!$L$2+regressions!$L$3*($B154-regressions!$L$2))</f>
        <v>-0.58909385748951126</v>
      </c>
      <c r="P154">
        <f>regressions!$J$1*M154+regressions!$J$2*M154^2</f>
        <v>-0.38091769815523163</v>
      </c>
      <c r="Q154">
        <f>regressions!$V$1*M154</f>
        <v>-0.58909385915259815</v>
      </c>
      <c r="R154">
        <f>regressions!$N$1*M154^2</f>
        <v>-9.5727185925905733E-2</v>
      </c>
      <c r="S154">
        <f>regressions!$R$1*M154^2+regressions!$R$2*M154^6</f>
        <v>-0.10426236335739811</v>
      </c>
      <c r="T154">
        <f>regressions!$P$1*M154^2+regressions!$P$2*M154^7</f>
        <v>-0.10086875423727582</v>
      </c>
      <c r="U154">
        <f>regressions!$T$2+regressions!$T$1*EXP(M154)</f>
        <v>-8.5840983735321515E-3</v>
      </c>
      <c r="V154" s="8">
        <f>(1-EXP(-2*regressions!$X$1*M154))/2/EXP(-regressions!$X$1*M154)</f>
        <v>-0.30627620380837406</v>
      </c>
      <c r="X154" s="33">
        <v>0.74120382866846546</v>
      </c>
      <c r="Y154">
        <f t="shared" si="37"/>
        <v>-0.32672767779765594</v>
      </c>
      <c r="Z154">
        <f>IF($B154&lt;=regressions!$L$2,$B154*regressions!$L$1,regressions!$L$1*regressions!$L$2+regressions!$L$3*($B154-regressions!$L$2))</f>
        <v>-0.58909385748951126</v>
      </c>
      <c r="AA154">
        <f>regressions!$J$1*X154+regressions!$J$2*X154^2</f>
        <v>-0.38091769815523163</v>
      </c>
      <c r="AB154">
        <f>regressions!$V$1*X154</f>
        <v>-0.58909385915259815</v>
      </c>
      <c r="AC154">
        <f>regressions!$N$1*X154^2</f>
        <v>-9.5727185925905733E-2</v>
      </c>
      <c r="AD154">
        <f>regressions!$R$1*X154^2+regressions!$R$2*X154^6</f>
        <v>-0.10426236335739811</v>
      </c>
      <c r="AE154">
        <f>regressions!$P$1*X154^2+regressions!$P$2*X154^7</f>
        <v>-0.10086875423727582</v>
      </c>
      <c r="AF154">
        <f>regressions!$T$2+regressions!$T$1*EXP(X154)</f>
        <v>-8.5840983735321515E-3</v>
      </c>
      <c r="AG154" s="8">
        <f>(1-EXP(-2*regressions!$X$1*X154))/2/EXP(-regressions!$X$1*X154)</f>
        <v>-0.30627620380837406</v>
      </c>
      <c r="AH154" s="8"/>
      <c r="AI154" s="33">
        <v>0.74120382866846546</v>
      </c>
      <c r="AJ154">
        <f t="shared" si="38"/>
        <v>-0.32672767779765594</v>
      </c>
      <c r="AK154">
        <f>IF(AI154&lt;=regressions!$L$2,AI154*regressions!$L$1,regressions!$L$1*regressions!$L$2+regressions!$L$3*(AI154-regressions!$L$2))</f>
        <v>-0.58909385748951126</v>
      </c>
      <c r="AL154">
        <f>regressions!$J$1*AI154+regressions!$J$2*AI154^2</f>
        <v>-0.38091769815523163</v>
      </c>
      <c r="AM154">
        <f>regressions!$V$1*AI154</f>
        <v>-0.58909385915259815</v>
      </c>
      <c r="AN154">
        <f>regressions!$N$1*AI154^2</f>
        <v>-9.5727185925905733E-2</v>
      </c>
      <c r="AO154">
        <f>regressions!$R$1*AI154^2+regressions!$R$2*AI154^6</f>
        <v>-0.10426236335739811</v>
      </c>
      <c r="AP154">
        <f>regressions!$P$1*AI154^2+regressions!$P$2*AI154^7</f>
        <v>-0.10086875423727582</v>
      </c>
      <c r="AQ154">
        <f>regressions!$T$2+regressions!$T$1*EXP(AI154)</f>
        <v>-8.5840983735321515E-3</v>
      </c>
      <c r="AR154" s="8">
        <f>(1-EXP(-2*regressions!$X$1*AI154))/2/EXP(-regressions!$X$1*AI154)</f>
        <v>-0.30627620380837406</v>
      </c>
      <c r="AT154" s="33">
        <v>0.74120382866846546</v>
      </c>
      <c r="AU154">
        <f t="shared" si="39"/>
        <v>-0.32672767779765594</v>
      </c>
      <c r="AV154">
        <f>IF(AT154&lt;=regressions!$L$2,AT154*regressions!$L$1,regressions!$L$1*regressions!$L$2+regressions!$L$3*(AT154-regressions!$L$2))</f>
        <v>-0.58909385748951126</v>
      </c>
      <c r="AW154">
        <f>regressions!$J$1*AT154+regressions!$J$2*AT154^2</f>
        <v>-0.38091769815523163</v>
      </c>
      <c r="AX154">
        <f>regressions!$V$1*AT154</f>
        <v>-0.58909385915259815</v>
      </c>
      <c r="AY154">
        <f>regressions!$N$1*AT154^2</f>
        <v>-9.5727185925905733E-2</v>
      </c>
      <c r="AZ154">
        <f>regressions!$R$1*AT154^2+regressions!$R$2*AT154^6</f>
        <v>-0.10426236335739811</v>
      </c>
      <c r="BA154">
        <f>regressions!$P$1*AT154^2+regressions!$P$2*AT154^7</f>
        <v>-0.10086875423727582</v>
      </c>
      <c r="BB154">
        <f>regressions!$T$2+regressions!$T$1*EXP(AT154)</f>
        <v>-8.5840983735321515E-3</v>
      </c>
      <c r="BC154" s="8">
        <f>(1-EXP(-2*regressions!$X$1*AT154))/2/EXP(-regressions!$X$1*AT154)</f>
        <v>-0.30627620380837406</v>
      </c>
      <c r="BE154">
        <f t="shared" si="40"/>
        <v>0</v>
      </c>
      <c r="BF154">
        <f t="shared" si="31"/>
        <v>0</v>
      </c>
      <c r="BG154">
        <f t="shared" si="32"/>
        <v>0</v>
      </c>
      <c r="BH154">
        <f>BG154+regressions!$AR$1*(AI154-B154)</f>
        <v>0</v>
      </c>
      <c r="BI154">
        <f>BG154-regressions!$AO$1*(AI154-B154)</f>
        <v>0</v>
      </c>
      <c r="BJ154">
        <f t="shared" si="33"/>
        <v>0</v>
      </c>
      <c r="BK154">
        <f>BJ154+regressions!$AR$1*(AT154-B154)</f>
        <v>0</v>
      </c>
      <c r="BL154">
        <f>BJ154-regressions!$AO$1*(AT154-B154)</f>
        <v>0</v>
      </c>
      <c r="BM154">
        <f t="shared" si="41"/>
        <v>0</v>
      </c>
      <c r="BN154">
        <f t="shared" si="34"/>
        <v>0</v>
      </c>
      <c r="BO154">
        <f t="shared" si="35"/>
        <v>0</v>
      </c>
      <c r="BP154">
        <f t="shared" si="42"/>
        <v>0</v>
      </c>
      <c r="BQ154">
        <f t="shared" si="43"/>
        <v>0</v>
      </c>
      <c r="BR154">
        <f t="shared" si="44"/>
        <v>0</v>
      </c>
    </row>
    <row r="155" spans="1:70" x14ac:dyDescent="0.35">
      <c r="A155">
        <v>2002</v>
      </c>
      <c r="B155" s="33">
        <v>0.75989608689108645</v>
      </c>
      <c r="C155">
        <f t="shared" si="45"/>
        <v>-0.33615007273315267</v>
      </c>
      <c r="D155">
        <f>IF($B155&lt;=regressions!$L$2,$B155*regressions!$L$1,regressions!$L$1*regressions!$L$2+regressions!$L$3*($B155-regressions!$L$2))</f>
        <v>-0.60395008741662237</v>
      </c>
      <c r="E155">
        <f>regressions!$J$1*B155+regressions!$J$2*B155^2</f>
        <v>-0.39168493314506081</v>
      </c>
      <c r="F155">
        <f>regressions!$V$1*B155</f>
        <v>-0.60395008912165027</v>
      </c>
      <c r="G155">
        <f>regressions!$N$1*B155^2</f>
        <v>-0.10061631335421407</v>
      </c>
      <c r="H155">
        <f>regressions!$R$1*B155^2+regressions!$R$2*B155^6</f>
        <v>-0.10958721165867148</v>
      </c>
      <c r="I155">
        <f>regressions!$P$1*B155^2+regressions!$P$2*B155^7</f>
        <v>-0.10602046294129612</v>
      </c>
      <c r="J155">
        <f>regressions!$T$2+regressions!$T$1*EXP(B155)</f>
        <v>-8.8935110959905035E-3</v>
      </c>
      <c r="K155" s="8">
        <f>(1-EXP(-2*regressions!$X$1*B155))/2/EXP(-regressions!$X$1*B155)</f>
        <v>-0.31424196684906147</v>
      </c>
      <c r="M155" s="33">
        <v>0.75989608689108645</v>
      </c>
      <c r="N155">
        <f t="shared" si="36"/>
        <v>-0.33615007273315267</v>
      </c>
      <c r="O155">
        <f>IF($B155&lt;=regressions!$L$2,$B155*regressions!$L$1,regressions!$L$1*regressions!$L$2+regressions!$L$3*($B155-regressions!$L$2))</f>
        <v>-0.60395008741662237</v>
      </c>
      <c r="P155">
        <f>regressions!$J$1*M155+regressions!$J$2*M155^2</f>
        <v>-0.39168493314506081</v>
      </c>
      <c r="Q155">
        <f>regressions!$V$1*M155</f>
        <v>-0.60395008912165027</v>
      </c>
      <c r="R155">
        <f>regressions!$N$1*M155^2</f>
        <v>-0.10061631335421407</v>
      </c>
      <c r="S155">
        <f>regressions!$R$1*M155^2+regressions!$R$2*M155^6</f>
        <v>-0.10958721165867148</v>
      </c>
      <c r="T155">
        <f>regressions!$P$1*M155^2+regressions!$P$2*M155^7</f>
        <v>-0.10602046294129612</v>
      </c>
      <c r="U155">
        <f>regressions!$T$2+regressions!$T$1*EXP(M155)</f>
        <v>-8.8935110959905035E-3</v>
      </c>
      <c r="V155" s="8">
        <f>(1-EXP(-2*regressions!$X$1*M155))/2/EXP(-regressions!$X$1*M155)</f>
        <v>-0.31424196684906147</v>
      </c>
      <c r="X155" s="33">
        <v>0.75989608689108645</v>
      </c>
      <c r="Y155">
        <f t="shared" si="37"/>
        <v>-0.33615007273315267</v>
      </c>
      <c r="Z155">
        <f>IF($B155&lt;=regressions!$L$2,$B155*regressions!$L$1,regressions!$L$1*regressions!$L$2+regressions!$L$3*($B155-regressions!$L$2))</f>
        <v>-0.60395008741662237</v>
      </c>
      <c r="AA155">
        <f>regressions!$J$1*X155+regressions!$J$2*X155^2</f>
        <v>-0.39168493314506081</v>
      </c>
      <c r="AB155">
        <f>regressions!$V$1*X155</f>
        <v>-0.60395008912165027</v>
      </c>
      <c r="AC155">
        <f>regressions!$N$1*X155^2</f>
        <v>-0.10061631335421407</v>
      </c>
      <c r="AD155">
        <f>regressions!$R$1*X155^2+regressions!$R$2*X155^6</f>
        <v>-0.10958721165867148</v>
      </c>
      <c r="AE155">
        <f>regressions!$P$1*X155^2+regressions!$P$2*X155^7</f>
        <v>-0.10602046294129612</v>
      </c>
      <c r="AF155">
        <f>regressions!$T$2+regressions!$T$1*EXP(X155)</f>
        <v>-8.8935110959905035E-3</v>
      </c>
      <c r="AG155" s="8">
        <f>(1-EXP(-2*regressions!$X$1*X155))/2/EXP(-regressions!$X$1*X155)</f>
        <v>-0.31424196684906147</v>
      </c>
      <c r="AH155" s="8"/>
      <c r="AI155" s="33">
        <v>0.75989608689108645</v>
      </c>
      <c r="AJ155">
        <f t="shared" si="38"/>
        <v>-0.33615007273315267</v>
      </c>
      <c r="AK155">
        <f>IF(AI155&lt;=regressions!$L$2,AI155*regressions!$L$1,regressions!$L$1*regressions!$L$2+regressions!$L$3*(AI155-regressions!$L$2))</f>
        <v>-0.60395008741662237</v>
      </c>
      <c r="AL155">
        <f>regressions!$J$1*AI155+regressions!$J$2*AI155^2</f>
        <v>-0.39168493314506081</v>
      </c>
      <c r="AM155">
        <f>regressions!$V$1*AI155</f>
        <v>-0.60395008912165027</v>
      </c>
      <c r="AN155">
        <f>regressions!$N$1*AI155^2</f>
        <v>-0.10061631335421407</v>
      </c>
      <c r="AO155">
        <f>regressions!$R$1*AI155^2+regressions!$R$2*AI155^6</f>
        <v>-0.10958721165867148</v>
      </c>
      <c r="AP155">
        <f>regressions!$P$1*AI155^2+regressions!$P$2*AI155^7</f>
        <v>-0.10602046294129612</v>
      </c>
      <c r="AQ155">
        <f>regressions!$T$2+regressions!$T$1*EXP(AI155)</f>
        <v>-8.8935110959905035E-3</v>
      </c>
      <c r="AR155" s="8">
        <f>(1-EXP(-2*regressions!$X$1*AI155))/2/EXP(-regressions!$X$1*AI155)</f>
        <v>-0.31424196684906147</v>
      </c>
      <c r="AT155" s="33">
        <v>0.75989608689108645</v>
      </c>
      <c r="AU155">
        <f t="shared" si="39"/>
        <v>-0.33615007273315267</v>
      </c>
      <c r="AV155">
        <f>IF(AT155&lt;=regressions!$L$2,AT155*regressions!$L$1,regressions!$L$1*regressions!$L$2+regressions!$L$3*(AT155-regressions!$L$2))</f>
        <v>-0.60395008741662237</v>
      </c>
      <c r="AW155">
        <f>regressions!$J$1*AT155+regressions!$J$2*AT155^2</f>
        <v>-0.39168493314506081</v>
      </c>
      <c r="AX155">
        <f>regressions!$V$1*AT155</f>
        <v>-0.60395008912165027</v>
      </c>
      <c r="AY155">
        <f>regressions!$N$1*AT155^2</f>
        <v>-0.10061631335421407</v>
      </c>
      <c r="AZ155">
        <f>regressions!$R$1*AT155^2+regressions!$R$2*AT155^6</f>
        <v>-0.10958721165867148</v>
      </c>
      <c r="BA155">
        <f>regressions!$P$1*AT155^2+regressions!$P$2*AT155^7</f>
        <v>-0.10602046294129612</v>
      </c>
      <c r="BB155">
        <f>regressions!$T$2+regressions!$T$1*EXP(AT155)</f>
        <v>-8.8935110959905035E-3</v>
      </c>
      <c r="BC155" s="8">
        <f>(1-EXP(-2*regressions!$X$1*AT155))/2/EXP(-regressions!$X$1*AT155)</f>
        <v>-0.31424196684906147</v>
      </c>
      <c r="BE155">
        <f t="shared" si="40"/>
        <v>0</v>
      </c>
      <c r="BF155">
        <f t="shared" si="31"/>
        <v>0</v>
      </c>
      <c r="BG155">
        <f t="shared" si="32"/>
        <v>0</v>
      </c>
      <c r="BH155">
        <f>BG155+regressions!$AR$1*(AI155-B155)</f>
        <v>0</v>
      </c>
      <c r="BI155">
        <f>BG155-regressions!$AO$1*(AI155-B155)</f>
        <v>0</v>
      </c>
      <c r="BJ155">
        <f t="shared" si="33"/>
        <v>0</v>
      </c>
      <c r="BK155">
        <f>BJ155+regressions!$AR$1*(AT155-B155)</f>
        <v>0</v>
      </c>
      <c r="BL155">
        <f>BJ155-regressions!$AO$1*(AT155-B155)</f>
        <v>0</v>
      </c>
      <c r="BM155">
        <f t="shared" si="41"/>
        <v>0</v>
      </c>
      <c r="BN155">
        <f t="shared" si="34"/>
        <v>0</v>
      </c>
      <c r="BO155">
        <f t="shared" si="35"/>
        <v>0</v>
      </c>
      <c r="BP155">
        <f t="shared" si="42"/>
        <v>0</v>
      </c>
      <c r="BQ155">
        <f t="shared" si="43"/>
        <v>0</v>
      </c>
      <c r="BR155">
        <f t="shared" si="44"/>
        <v>0</v>
      </c>
    </row>
    <row r="156" spans="1:70" x14ac:dyDescent="0.35">
      <c r="A156">
        <v>2003</v>
      </c>
      <c r="B156" s="33">
        <v>0.77880590522953297</v>
      </c>
      <c r="C156">
        <f t="shared" si="45"/>
        <v>-0.3457424504371831</v>
      </c>
      <c r="D156">
        <f>IF($B156&lt;=regressions!$L$2,$B156*regressions!$L$1,regressions!$L$1*regressions!$L$2+regressions!$L$3*($B156-regressions!$L$2))</f>
        <v>-0.61897922973693831</v>
      </c>
      <c r="E156">
        <f>regressions!$J$1*B156+regressions!$J$2*B156^2</f>
        <v>-0.4026356048676808</v>
      </c>
      <c r="F156">
        <f>regressions!$V$1*B156</f>
        <v>-0.61897923148439526</v>
      </c>
      <c r="G156">
        <f>regressions!$N$1*B156^2</f>
        <v>-0.10568624211566156</v>
      </c>
      <c r="H156">
        <f>regressions!$R$1*B156^2+regressions!$R$2*B156^6</f>
        <v>-0.11510894264676128</v>
      </c>
      <c r="I156">
        <f>regressions!$P$1*B156^2+regressions!$P$2*B156^7</f>
        <v>-0.11136268015988866</v>
      </c>
      <c r="J156">
        <f>regressions!$T$2+regressions!$T$1*EXP(B156)</f>
        <v>-9.2124658554482014E-3</v>
      </c>
      <c r="K156" s="8">
        <f>(1-EXP(-2*regressions!$X$1*B156))/2/EXP(-regressions!$X$1*B156)</f>
        <v>-0.32231895327323529</v>
      </c>
      <c r="M156" s="33">
        <v>0.77880590522953297</v>
      </c>
      <c r="N156">
        <f t="shared" si="36"/>
        <v>-0.3457424504371831</v>
      </c>
      <c r="O156">
        <f>IF($B156&lt;=regressions!$L$2,$B156*regressions!$L$1,regressions!$L$1*regressions!$L$2+regressions!$L$3*($B156-regressions!$L$2))</f>
        <v>-0.61897922973693831</v>
      </c>
      <c r="P156">
        <f>regressions!$J$1*M156+regressions!$J$2*M156^2</f>
        <v>-0.4026356048676808</v>
      </c>
      <c r="Q156">
        <f>regressions!$V$1*M156</f>
        <v>-0.61897923148439526</v>
      </c>
      <c r="R156">
        <f>regressions!$N$1*M156^2</f>
        <v>-0.10568624211566156</v>
      </c>
      <c r="S156">
        <f>regressions!$R$1*M156^2+regressions!$R$2*M156^6</f>
        <v>-0.11510894264676128</v>
      </c>
      <c r="T156">
        <f>regressions!$P$1*M156^2+regressions!$P$2*M156^7</f>
        <v>-0.11136268015988866</v>
      </c>
      <c r="U156">
        <f>regressions!$T$2+regressions!$T$1*EXP(M156)</f>
        <v>-9.2124658554482014E-3</v>
      </c>
      <c r="V156" s="8">
        <f>(1-EXP(-2*regressions!$X$1*M156))/2/EXP(-regressions!$X$1*M156)</f>
        <v>-0.32231895327323529</v>
      </c>
      <c r="X156" s="33">
        <v>0.77880590522953297</v>
      </c>
      <c r="Y156">
        <f t="shared" si="37"/>
        <v>-0.3457424504371831</v>
      </c>
      <c r="Z156">
        <f>IF($B156&lt;=regressions!$L$2,$B156*regressions!$L$1,regressions!$L$1*regressions!$L$2+regressions!$L$3*($B156-regressions!$L$2))</f>
        <v>-0.61897922973693831</v>
      </c>
      <c r="AA156">
        <f>regressions!$J$1*X156+regressions!$J$2*X156^2</f>
        <v>-0.4026356048676808</v>
      </c>
      <c r="AB156">
        <f>regressions!$V$1*X156</f>
        <v>-0.61897923148439526</v>
      </c>
      <c r="AC156">
        <f>regressions!$N$1*X156^2</f>
        <v>-0.10568624211566156</v>
      </c>
      <c r="AD156">
        <f>regressions!$R$1*X156^2+regressions!$R$2*X156^6</f>
        <v>-0.11510894264676128</v>
      </c>
      <c r="AE156">
        <f>regressions!$P$1*X156^2+regressions!$P$2*X156^7</f>
        <v>-0.11136268015988866</v>
      </c>
      <c r="AF156">
        <f>regressions!$T$2+regressions!$T$1*EXP(X156)</f>
        <v>-9.2124658554482014E-3</v>
      </c>
      <c r="AG156" s="8">
        <f>(1-EXP(-2*regressions!$X$1*X156))/2/EXP(-regressions!$X$1*X156)</f>
        <v>-0.32231895327323529</v>
      </c>
      <c r="AH156" s="8"/>
      <c r="AI156" s="33">
        <v>0.77880590522953297</v>
      </c>
      <c r="AJ156">
        <f t="shared" si="38"/>
        <v>-0.3457424504371831</v>
      </c>
      <c r="AK156">
        <f>IF(AI156&lt;=regressions!$L$2,AI156*regressions!$L$1,regressions!$L$1*regressions!$L$2+regressions!$L$3*(AI156-regressions!$L$2))</f>
        <v>-0.61897922973693831</v>
      </c>
      <c r="AL156">
        <f>regressions!$J$1*AI156+regressions!$J$2*AI156^2</f>
        <v>-0.4026356048676808</v>
      </c>
      <c r="AM156">
        <f>regressions!$V$1*AI156</f>
        <v>-0.61897923148439526</v>
      </c>
      <c r="AN156">
        <f>regressions!$N$1*AI156^2</f>
        <v>-0.10568624211566156</v>
      </c>
      <c r="AO156">
        <f>regressions!$R$1*AI156^2+regressions!$R$2*AI156^6</f>
        <v>-0.11510894264676128</v>
      </c>
      <c r="AP156">
        <f>regressions!$P$1*AI156^2+regressions!$P$2*AI156^7</f>
        <v>-0.11136268015988866</v>
      </c>
      <c r="AQ156">
        <f>regressions!$T$2+regressions!$T$1*EXP(AI156)</f>
        <v>-9.2124658554482014E-3</v>
      </c>
      <c r="AR156" s="8">
        <f>(1-EXP(-2*regressions!$X$1*AI156))/2/EXP(-regressions!$X$1*AI156)</f>
        <v>-0.32231895327323529</v>
      </c>
      <c r="AT156" s="33">
        <v>0.77880590522953297</v>
      </c>
      <c r="AU156">
        <f t="shared" si="39"/>
        <v>-0.3457424504371831</v>
      </c>
      <c r="AV156">
        <f>IF(AT156&lt;=regressions!$L$2,AT156*regressions!$L$1,regressions!$L$1*regressions!$L$2+regressions!$L$3*(AT156-regressions!$L$2))</f>
        <v>-0.61897922973693831</v>
      </c>
      <c r="AW156">
        <f>regressions!$J$1*AT156+regressions!$J$2*AT156^2</f>
        <v>-0.4026356048676808</v>
      </c>
      <c r="AX156">
        <f>regressions!$V$1*AT156</f>
        <v>-0.61897923148439526</v>
      </c>
      <c r="AY156">
        <f>regressions!$N$1*AT156^2</f>
        <v>-0.10568624211566156</v>
      </c>
      <c r="AZ156">
        <f>regressions!$R$1*AT156^2+regressions!$R$2*AT156^6</f>
        <v>-0.11510894264676128</v>
      </c>
      <c r="BA156">
        <f>regressions!$P$1*AT156^2+regressions!$P$2*AT156^7</f>
        <v>-0.11136268015988866</v>
      </c>
      <c r="BB156">
        <f>regressions!$T$2+regressions!$T$1*EXP(AT156)</f>
        <v>-9.2124658554482014E-3</v>
      </c>
      <c r="BC156" s="8">
        <f>(1-EXP(-2*regressions!$X$1*AT156))/2/EXP(-regressions!$X$1*AT156)</f>
        <v>-0.32231895327323529</v>
      </c>
      <c r="BE156">
        <f t="shared" si="40"/>
        <v>0</v>
      </c>
      <c r="BF156">
        <f t="shared" si="31"/>
        <v>0</v>
      </c>
      <c r="BG156">
        <f t="shared" si="32"/>
        <v>0</v>
      </c>
      <c r="BH156">
        <f>BG156+regressions!$AR$1*(AI156-B156)</f>
        <v>0</v>
      </c>
      <c r="BI156">
        <f>BG156-regressions!$AO$1*(AI156-B156)</f>
        <v>0</v>
      </c>
      <c r="BJ156">
        <f t="shared" si="33"/>
        <v>0</v>
      </c>
      <c r="BK156">
        <f>BJ156+regressions!$AR$1*(AT156-B156)</f>
        <v>0</v>
      </c>
      <c r="BL156">
        <f>BJ156-regressions!$AO$1*(AT156-B156)</f>
        <v>0</v>
      </c>
      <c r="BM156">
        <f t="shared" si="41"/>
        <v>0</v>
      </c>
      <c r="BN156">
        <f t="shared" si="34"/>
        <v>0</v>
      </c>
      <c r="BO156">
        <f t="shared" si="35"/>
        <v>0</v>
      </c>
      <c r="BP156">
        <f t="shared" si="42"/>
        <v>0</v>
      </c>
      <c r="BQ156">
        <f t="shared" si="43"/>
        <v>0</v>
      </c>
      <c r="BR156">
        <f t="shared" si="44"/>
        <v>0</v>
      </c>
    </row>
    <row r="157" spans="1:70" x14ac:dyDescent="0.35">
      <c r="A157">
        <v>2004</v>
      </c>
      <c r="B157" s="33">
        <v>0.79799634169713995</v>
      </c>
      <c r="C157">
        <f t="shared" si="45"/>
        <v>-0.35553928284364983</v>
      </c>
      <c r="D157">
        <f>IF($B157&lt;=regressions!$L$2,$B157*regressions!$L$1,regressions!$L$1*regressions!$L$2+regressions!$L$3*($B157-regressions!$L$2))</f>
        <v>-0.63423140168796388</v>
      </c>
      <c r="E157">
        <f>regressions!$J$1*B157+regressions!$J$2*B157^2</f>
        <v>-0.41380854266920114</v>
      </c>
      <c r="F157">
        <f>regressions!$V$1*B157</f>
        <v>-0.63423140347847973</v>
      </c>
      <c r="G157">
        <f>regressions!$N$1*B157^2</f>
        <v>-0.11095880862622259</v>
      </c>
      <c r="H157">
        <f>regressions!$R$1*B157^2+regressions!$R$2*B157^6</f>
        <v>-0.12085133327231594</v>
      </c>
      <c r="I157">
        <f>regressions!$P$1*B157^2+regressions!$P$2*B157^7</f>
        <v>-0.11691841444312091</v>
      </c>
      <c r="J157">
        <f>regressions!$T$2+regressions!$T$1*EXP(B157)</f>
        <v>-9.5423793967374729E-3</v>
      </c>
      <c r="K157" s="8">
        <f>(1-EXP(-2*regressions!$X$1*B157))/2/EXP(-regressions!$X$1*B157)</f>
        <v>-0.33053532337612074</v>
      </c>
      <c r="M157" s="33">
        <v>0.79799634169713995</v>
      </c>
      <c r="N157">
        <f t="shared" si="36"/>
        <v>-0.35553928284364983</v>
      </c>
      <c r="O157">
        <f>IF($B157&lt;=regressions!$L$2,$B157*regressions!$L$1,regressions!$L$1*regressions!$L$2+regressions!$L$3*($B157-regressions!$L$2))</f>
        <v>-0.63423140168796388</v>
      </c>
      <c r="P157">
        <f>regressions!$J$1*M157+regressions!$J$2*M157^2</f>
        <v>-0.41380854266920114</v>
      </c>
      <c r="Q157">
        <f>regressions!$V$1*M157</f>
        <v>-0.63423140347847973</v>
      </c>
      <c r="R157">
        <f>regressions!$N$1*M157^2</f>
        <v>-0.11095880862622259</v>
      </c>
      <c r="S157">
        <f>regressions!$R$1*M157^2+regressions!$R$2*M157^6</f>
        <v>-0.12085133327231594</v>
      </c>
      <c r="T157">
        <f>regressions!$P$1*M157^2+regressions!$P$2*M157^7</f>
        <v>-0.11691841444312091</v>
      </c>
      <c r="U157">
        <f>regressions!$T$2+regressions!$T$1*EXP(M157)</f>
        <v>-9.5423793967374729E-3</v>
      </c>
      <c r="V157" s="8">
        <f>(1-EXP(-2*regressions!$X$1*M157))/2/EXP(-regressions!$X$1*M157)</f>
        <v>-0.33053532337612074</v>
      </c>
      <c r="X157" s="33">
        <v>0.79799634169713995</v>
      </c>
      <c r="Y157">
        <f t="shared" si="37"/>
        <v>-0.35553928284364983</v>
      </c>
      <c r="Z157">
        <f>IF($B157&lt;=regressions!$L$2,$B157*regressions!$L$1,regressions!$L$1*regressions!$L$2+regressions!$L$3*($B157-regressions!$L$2))</f>
        <v>-0.63423140168796388</v>
      </c>
      <c r="AA157">
        <f>regressions!$J$1*X157+regressions!$J$2*X157^2</f>
        <v>-0.41380854266920114</v>
      </c>
      <c r="AB157">
        <f>regressions!$V$1*X157</f>
        <v>-0.63423140347847973</v>
      </c>
      <c r="AC157">
        <f>regressions!$N$1*X157^2</f>
        <v>-0.11095880862622259</v>
      </c>
      <c r="AD157">
        <f>regressions!$R$1*X157^2+regressions!$R$2*X157^6</f>
        <v>-0.12085133327231594</v>
      </c>
      <c r="AE157">
        <f>regressions!$P$1*X157^2+regressions!$P$2*X157^7</f>
        <v>-0.11691841444312091</v>
      </c>
      <c r="AF157">
        <f>regressions!$T$2+regressions!$T$1*EXP(X157)</f>
        <v>-9.5423793967374729E-3</v>
      </c>
      <c r="AG157" s="8">
        <f>(1-EXP(-2*regressions!$X$1*X157))/2/EXP(-regressions!$X$1*X157)</f>
        <v>-0.33053532337612074</v>
      </c>
      <c r="AH157" s="8"/>
      <c r="AI157" s="33">
        <v>0.79799634169713995</v>
      </c>
      <c r="AJ157">
        <f t="shared" si="38"/>
        <v>-0.35553928284364983</v>
      </c>
      <c r="AK157">
        <f>IF(AI157&lt;=regressions!$L$2,AI157*regressions!$L$1,regressions!$L$1*regressions!$L$2+regressions!$L$3*(AI157-regressions!$L$2))</f>
        <v>-0.63423140168796388</v>
      </c>
      <c r="AL157">
        <f>regressions!$J$1*AI157+regressions!$J$2*AI157^2</f>
        <v>-0.41380854266920114</v>
      </c>
      <c r="AM157">
        <f>regressions!$V$1*AI157</f>
        <v>-0.63423140347847973</v>
      </c>
      <c r="AN157">
        <f>regressions!$N$1*AI157^2</f>
        <v>-0.11095880862622259</v>
      </c>
      <c r="AO157">
        <f>regressions!$R$1*AI157^2+regressions!$R$2*AI157^6</f>
        <v>-0.12085133327231594</v>
      </c>
      <c r="AP157">
        <f>regressions!$P$1*AI157^2+regressions!$P$2*AI157^7</f>
        <v>-0.11691841444312091</v>
      </c>
      <c r="AQ157">
        <f>regressions!$T$2+regressions!$T$1*EXP(AI157)</f>
        <v>-9.5423793967374729E-3</v>
      </c>
      <c r="AR157" s="8">
        <f>(1-EXP(-2*regressions!$X$1*AI157))/2/EXP(-regressions!$X$1*AI157)</f>
        <v>-0.33053532337612074</v>
      </c>
      <c r="AT157" s="33">
        <v>0.79799634169713995</v>
      </c>
      <c r="AU157">
        <f t="shared" si="39"/>
        <v>-0.35553928284364983</v>
      </c>
      <c r="AV157">
        <f>IF(AT157&lt;=regressions!$L$2,AT157*regressions!$L$1,regressions!$L$1*regressions!$L$2+regressions!$L$3*(AT157-regressions!$L$2))</f>
        <v>-0.63423140168796388</v>
      </c>
      <c r="AW157">
        <f>regressions!$J$1*AT157+regressions!$J$2*AT157^2</f>
        <v>-0.41380854266920114</v>
      </c>
      <c r="AX157">
        <f>regressions!$V$1*AT157</f>
        <v>-0.63423140347847973</v>
      </c>
      <c r="AY157">
        <f>regressions!$N$1*AT157^2</f>
        <v>-0.11095880862622259</v>
      </c>
      <c r="AZ157">
        <f>regressions!$R$1*AT157^2+regressions!$R$2*AT157^6</f>
        <v>-0.12085133327231594</v>
      </c>
      <c r="BA157">
        <f>regressions!$P$1*AT157^2+regressions!$P$2*AT157^7</f>
        <v>-0.11691841444312091</v>
      </c>
      <c r="BB157">
        <f>regressions!$T$2+regressions!$T$1*EXP(AT157)</f>
        <v>-9.5423793967374729E-3</v>
      </c>
      <c r="BC157" s="8">
        <f>(1-EXP(-2*regressions!$X$1*AT157))/2/EXP(-regressions!$X$1*AT157)</f>
        <v>-0.33053532337612074</v>
      </c>
      <c r="BE157">
        <f t="shared" si="40"/>
        <v>0</v>
      </c>
      <c r="BF157">
        <f t="shared" si="31"/>
        <v>0</v>
      </c>
      <c r="BG157">
        <f t="shared" si="32"/>
        <v>0</v>
      </c>
      <c r="BH157">
        <f>BG157+regressions!$AR$1*(AI157-B157)</f>
        <v>0</v>
      </c>
      <c r="BI157">
        <f>BG157-regressions!$AO$1*(AI157-B157)</f>
        <v>0</v>
      </c>
      <c r="BJ157">
        <f t="shared" si="33"/>
        <v>0</v>
      </c>
      <c r="BK157">
        <f>BJ157+regressions!$AR$1*(AT157-B157)</f>
        <v>0</v>
      </c>
      <c r="BL157">
        <f>BJ157-regressions!$AO$1*(AT157-B157)</f>
        <v>0</v>
      </c>
      <c r="BM157">
        <f t="shared" si="41"/>
        <v>0</v>
      </c>
      <c r="BN157">
        <f t="shared" si="34"/>
        <v>0</v>
      </c>
      <c r="BO157">
        <f t="shared" si="35"/>
        <v>0</v>
      </c>
      <c r="BP157">
        <f t="shared" si="42"/>
        <v>0</v>
      </c>
      <c r="BQ157">
        <f t="shared" si="43"/>
        <v>0</v>
      </c>
      <c r="BR157">
        <f t="shared" si="44"/>
        <v>0</v>
      </c>
    </row>
    <row r="158" spans="1:70" x14ac:dyDescent="0.35">
      <c r="A158">
        <v>2005</v>
      </c>
      <c r="B158" s="33">
        <v>0.8175170628474826</v>
      </c>
      <c r="C158">
        <f t="shared" si="45"/>
        <v>-0.36556900386654934</v>
      </c>
      <c r="D158">
        <f>IF($B158&lt;=regressions!$L$2,$B158*regressions!$L$1,regressions!$L$1*regressions!$L$2+regressions!$L$3*($B158-regressions!$L$2))</f>
        <v>-0.6497460772450111</v>
      </c>
      <c r="E158">
        <f>regressions!$J$1*B158+regressions!$J$2*B158^2</f>
        <v>-0.42523554018451853</v>
      </c>
      <c r="F158">
        <f>regressions!$V$1*B158</f>
        <v>-0.64974607907932691</v>
      </c>
      <c r="G158">
        <f>regressions!$N$1*B158^2</f>
        <v>-0.11645379231761503</v>
      </c>
      <c r="H158">
        <f>regressions!$R$1*B158^2+regressions!$R$2*B158^6</f>
        <v>-0.12683591906536204</v>
      </c>
      <c r="I158">
        <f>regressions!$P$1*B158^2+regressions!$P$2*B158^7</f>
        <v>-0.122708506741075</v>
      </c>
      <c r="J158">
        <f>regressions!$T$2+regressions!$T$1*EXP(B158)</f>
        <v>-9.8845300702159918E-3</v>
      </c>
      <c r="K158" s="8">
        <f>(1-EXP(-2*regressions!$X$1*B158))/2/EXP(-regressions!$X$1*B158)</f>
        <v>-0.33891379648469433</v>
      </c>
      <c r="M158" s="33">
        <v>0.8175170628474826</v>
      </c>
      <c r="N158">
        <f t="shared" si="36"/>
        <v>-0.36556900386654934</v>
      </c>
      <c r="O158">
        <f>IF($B158&lt;=regressions!$L$2,$B158*regressions!$L$1,regressions!$L$1*regressions!$L$2+regressions!$L$3*($B158-regressions!$L$2))</f>
        <v>-0.6497460772450111</v>
      </c>
      <c r="P158">
        <f>regressions!$J$1*M158+regressions!$J$2*M158^2</f>
        <v>-0.42523554018451853</v>
      </c>
      <c r="Q158">
        <f>regressions!$V$1*M158</f>
        <v>-0.64974607907932691</v>
      </c>
      <c r="R158">
        <f>regressions!$N$1*M158^2</f>
        <v>-0.11645379231761503</v>
      </c>
      <c r="S158">
        <f>regressions!$R$1*M158^2+regressions!$R$2*M158^6</f>
        <v>-0.12683591906536204</v>
      </c>
      <c r="T158">
        <f>regressions!$P$1*M158^2+regressions!$P$2*M158^7</f>
        <v>-0.122708506741075</v>
      </c>
      <c r="U158">
        <f>regressions!$T$2+regressions!$T$1*EXP(M158)</f>
        <v>-9.8845300702159918E-3</v>
      </c>
      <c r="V158" s="8">
        <f>(1-EXP(-2*regressions!$X$1*M158))/2/EXP(-regressions!$X$1*M158)</f>
        <v>-0.33891379648469433</v>
      </c>
      <c r="X158" s="33">
        <v>0.8175170628474826</v>
      </c>
      <c r="Y158">
        <f t="shared" si="37"/>
        <v>-0.36556900386654934</v>
      </c>
      <c r="Z158">
        <f>IF($B158&lt;=regressions!$L$2,$B158*regressions!$L$1,regressions!$L$1*regressions!$L$2+regressions!$L$3*($B158-regressions!$L$2))</f>
        <v>-0.6497460772450111</v>
      </c>
      <c r="AA158">
        <f>regressions!$J$1*X158+regressions!$J$2*X158^2</f>
        <v>-0.42523554018451853</v>
      </c>
      <c r="AB158">
        <f>regressions!$V$1*X158</f>
        <v>-0.64974607907932691</v>
      </c>
      <c r="AC158">
        <f>regressions!$N$1*X158^2</f>
        <v>-0.11645379231761503</v>
      </c>
      <c r="AD158">
        <f>regressions!$R$1*X158^2+regressions!$R$2*X158^6</f>
        <v>-0.12683591906536204</v>
      </c>
      <c r="AE158">
        <f>regressions!$P$1*X158^2+regressions!$P$2*X158^7</f>
        <v>-0.122708506741075</v>
      </c>
      <c r="AF158">
        <f>regressions!$T$2+regressions!$T$1*EXP(X158)</f>
        <v>-9.8845300702159918E-3</v>
      </c>
      <c r="AG158" s="8">
        <f>(1-EXP(-2*regressions!$X$1*X158))/2/EXP(-regressions!$X$1*X158)</f>
        <v>-0.33891379648469433</v>
      </c>
      <c r="AH158" s="8"/>
      <c r="AI158" s="33">
        <v>0.8175170628474826</v>
      </c>
      <c r="AJ158">
        <f t="shared" si="38"/>
        <v>-0.36556900386654934</v>
      </c>
      <c r="AK158">
        <f>IF(AI158&lt;=regressions!$L$2,AI158*regressions!$L$1,regressions!$L$1*regressions!$L$2+regressions!$L$3*(AI158-regressions!$L$2))</f>
        <v>-0.6497460772450111</v>
      </c>
      <c r="AL158">
        <f>regressions!$J$1*AI158+regressions!$J$2*AI158^2</f>
        <v>-0.42523554018451853</v>
      </c>
      <c r="AM158">
        <f>regressions!$V$1*AI158</f>
        <v>-0.64974607907932691</v>
      </c>
      <c r="AN158">
        <f>regressions!$N$1*AI158^2</f>
        <v>-0.11645379231761503</v>
      </c>
      <c r="AO158">
        <f>regressions!$R$1*AI158^2+regressions!$R$2*AI158^6</f>
        <v>-0.12683591906536204</v>
      </c>
      <c r="AP158">
        <f>regressions!$P$1*AI158^2+regressions!$P$2*AI158^7</f>
        <v>-0.122708506741075</v>
      </c>
      <c r="AQ158">
        <f>regressions!$T$2+regressions!$T$1*EXP(AI158)</f>
        <v>-9.8845300702159918E-3</v>
      </c>
      <c r="AR158" s="8">
        <f>(1-EXP(-2*regressions!$X$1*AI158))/2/EXP(-regressions!$X$1*AI158)</f>
        <v>-0.33891379648469433</v>
      </c>
      <c r="AT158" s="33">
        <v>0.8175170628474826</v>
      </c>
      <c r="AU158">
        <f t="shared" si="39"/>
        <v>-0.36556900386654934</v>
      </c>
      <c r="AV158">
        <f>IF(AT158&lt;=regressions!$L$2,AT158*regressions!$L$1,regressions!$L$1*regressions!$L$2+regressions!$L$3*(AT158-regressions!$L$2))</f>
        <v>-0.6497460772450111</v>
      </c>
      <c r="AW158">
        <f>regressions!$J$1*AT158+regressions!$J$2*AT158^2</f>
        <v>-0.42523554018451853</v>
      </c>
      <c r="AX158">
        <f>regressions!$V$1*AT158</f>
        <v>-0.64974607907932691</v>
      </c>
      <c r="AY158">
        <f>regressions!$N$1*AT158^2</f>
        <v>-0.11645379231761503</v>
      </c>
      <c r="AZ158">
        <f>regressions!$R$1*AT158^2+regressions!$R$2*AT158^6</f>
        <v>-0.12683591906536204</v>
      </c>
      <c r="BA158">
        <f>regressions!$P$1*AT158^2+regressions!$P$2*AT158^7</f>
        <v>-0.122708506741075</v>
      </c>
      <c r="BB158">
        <f>regressions!$T$2+regressions!$T$1*EXP(AT158)</f>
        <v>-9.8845300702159918E-3</v>
      </c>
      <c r="BC158" s="8">
        <f>(1-EXP(-2*regressions!$X$1*AT158))/2/EXP(-regressions!$X$1*AT158)</f>
        <v>-0.33891379648469433</v>
      </c>
      <c r="BE158">
        <f t="shared" si="40"/>
        <v>0</v>
      </c>
      <c r="BF158">
        <f t="shared" si="31"/>
        <v>0</v>
      </c>
      <c r="BG158">
        <f t="shared" si="32"/>
        <v>0</v>
      </c>
      <c r="BH158">
        <f>BG158+regressions!$AR$1*(AI158-B158)</f>
        <v>0</v>
      </c>
      <c r="BI158">
        <f>BG158-regressions!$AO$1*(AI158-B158)</f>
        <v>0</v>
      </c>
      <c r="BJ158">
        <f t="shared" si="33"/>
        <v>0</v>
      </c>
      <c r="BK158">
        <f>BJ158+regressions!$AR$1*(AT158-B158)</f>
        <v>0</v>
      </c>
      <c r="BL158">
        <f>BJ158-regressions!$AO$1*(AT158-B158)</f>
        <v>0</v>
      </c>
      <c r="BM158">
        <f t="shared" si="41"/>
        <v>0</v>
      </c>
      <c r="BN158">
        <f t="shared" si="34"/>
        <v>0</v>
      </c>
      <c r="BO158">
        <f t="shared" si="35"/>
        <v>0</v>
      </c>
      <c r="BP158">
        <f t="shared" si="42"/>
        <v>0</v>
      </c>
      <c r="BQ158">
        <f t="shared" si="43"/>
        <v>0</v>
      </c>
      <c r="BR158">
        <f t="shared" si="44"/>
        <v>0</v>
      </c>
    </row>
    <row r="159" spans="1:70" x14ac:dyDescent="0.35">
      <c r="A159">
        <v>2006</v>
      </c>
      <c r="B159" s="33">
        <v>0.8373963619560848</v>
      </c>
      <c r="C159">
        <f t="shared" si="45"/>
        <v>-0.37584967740999214</v>
      </c>
      <c r="D159">
        <f>IF($B159&lt;=regressions!$L$2,$B159*regressions!$L$1,regressions!$L$1*regressions!$L$2+regressions!$L$3*($B159-regressions!$L$2))</f>
        <v>-0.66554574333296435</v>
      </c>
      <c r="E159">
        <f>regressions!$J$1*B159+regressions!$J$2*B159^2</f>
        <v>-0.43693645849055829</v>
      </c>
      <c r="F159">
        <f>regressions!$V$1*B159</f>
        <v>-0.66554574521188459</v>
      </c>
      <c r="G159">
        <f>regressions!$N$1*B159^2</f>
        <v>-0.12218619026098768</v>
      </c>
      <c r="H159">
        <f>regressions!$R$1*B159^2+regressions!$R$2*B159^6</f>
        <v>-0.1330790258658002</v>
      </c>
      <c r="I159">
        <f>regressions!$P$1*B159^2+regressions!$P$2*B159^7</f>
        <v>-0.12874875864618168</v>
      </c>
      <c r="J159">
        <f>regressions!$T$2+regressions!$T$1*EXP(B159)</f>
        <v>-1.0239898195414324E-2</v>
      </c>
      <c r="K159" s="8">
        <f>(1-EXP(-2*regressions!$X$1*B159))/2/EXP(-regressions!$X$1*B159)</f>
        <v>-0.34746816533753583</v>
      </c>
      <c r="M159" s="33">
        <v>0.8373963619560848</v>
      </c>
      <c r="N159">
        <f t="shared" si="36"/>
        <v>-0.37584967740999214</v>
      </c>
      <c r="O159">
        <f>IF($B159&lt;=regressions!$L$2,$B159*regressions!$L$1,regressions!$L$1*regressions!$L$2+regressions!$L$3*($B159-regressions!$L$2))</f>
        <v>-0.66554574333296435</v>
      </c>
      <c r="P159">
        <f>regressions!$J$1*M159+regressions!$J$2*M159^2</f>
        <v>-0.43693645849055829</v>
      </c>
      <c r="Q159">
        <f>regressions!$V$1*M159</f>
        <v>-0.66554574521188459</v>
      </c>
      <c r="R159">
        <f>regressions!$N$1*M159^2</f>
        <v>-0.12218619026098768</v>
      </c>
      <c r="S159">
        <f>regressions!$R$1*M159^2+regressions!$R$2*M159^6</f>
        <v>-0.1330790258658002</v>
      </c>
      <c r="T159">
        <f>regressions!$P$1*M159^2+regressions!$P$2*M159^7</f>
        <v>-0.12874875864618168</v>
      </c>
      <c r="U159">
        <f>regressions!$T$2+regressions!$T$1*EXP(M159)</f>
        <v>-1.0239898195414324E-2</v>
      </c>
      <c r="V159" s="8">
        <f>(1-EXP(-2*regressions!$X$1*M159))/2/EXP(-regressions!$X$1*M159)</f>
        <v>-0.34746816533753583</v>
      </c>
      <c r="X159" s="33">
        <v>0.8373963619560848</v>
      </c>
      <c r="Y159">
        <f t="shared" si="37"/>
        <v>-0.37584967740999214</v>
      </c>
      <c r="Z159">
        <f>IF($B159&lt;=regressions!$L$2,$B159*regressions!$L$1,regressions!$L$1*regressions!$L$2+regressions!$L$3*($B159-regressions!$L$2))</f>
        <v>-0.66554574333296435</v>
      </c>
      <c r="AA159">
        <f>regressions!$J$1*X159+regressions!$J$2*X159^2</f>
        <v>-0.43693645849055829</v>
      </c>
      <c r="AB159">
        <f>regressions!$V$1*X159</f>
        <v>-0.66554574521188459</v>
      </c>
      <c r="AC159">
        <f>regressions!$N$1*X159^2</f>
        <v>-0.12218619026098768</v>
      </c>
      <c r="AD159">
        <f>regressions!$R$1*X159^2+regressions!$R$2*X159^6</f>
        <v>-0.1330790258658002</v>
      </c>
      <c r="AE159">
        <f>regressions!$P$1*X159^2+regressions!$P$2*X159^7</f>
        <v>-0.12874875864618168</v>
      </c>
      <c r="AF159">
        <f>regressions!$T$2+regressions!$T$1*EXP(X159)</f>
        <v>-1.0239898195414324E-2</v>
      </c>
      <c r="AG159" s="8">
        <f>(1-EXP(-2*regressions!$X$1*X159))/2/EXP(-regressions!$X$1*X159)</f>
        <v>-0.34746816533753583</v>
      </c>
      <c r="AH159" s="8"/>
      <c r="AI159" s="33">
        <v>0.8373963619560848</v>
      </c>
      <c r="AJ159">
        <f t="shared" si="38"/>
        <v>-0.37584967740999214</v>
      </c>
      <c r="AK159">
        <f>IF(AI159&lt;=regressions!$L$2,AI159*regressions!$L$1,regressions!$L$1*regressions!$L$2+regressions!$L$3*(AI159-regressions!$L$2))</f>
        <v>-0.66554574333296435</v>
      </c>
      <c r="AL159">
        <f>regressions!$J$1*AI159+regressions!$J$2*AI159^2</f>
        <v>-0.43693645849055829</v>
      </c>
      <c r="AM159">
        <f>regressions!$V$1*AI159</f>
        <v>-0.66554574521188459</v>
      </c>
      <c r="AN159">
        <f>regressions!$N$1*AI159^2</f>
        <v>-0.12218619026098768</v>
      </c>
      <c r="AO159">
        <f>regressions!$R$1*AI159^2+regressions!$R$2*AI159^6</f>
        <v>-0.1330790258658002</v>
      </c>
      <c r="AP159">
        <f>regressions!$P$1*AI159^2+regressions!$P$2*AI159^7</f>
        <v>-0.12874875864618168</v>
      </c>
      <c r="AQ159">
        <f>regressions!$T$2+regressions!$T$1*EXP(AI159)</f>
        <v>-1.0239898195414324E-2</v>
      </c>
      <c r="AR159" s="8">
        <f>(1-EXP(-2*regressions!$X$1*AI159))/2/EXP(-regressions!$X$1*AI159)</f>
        <v>-0.34746816533753583</v>
      </c>
      <c r="AT159" s="33">
        <v>0.8373963619560848</v>
      </c>
      <c r="AU159">
        <f t="shared" si="39"/>
        <v>-0.37584967740999214</v>
      </c>
      <c r="AV159">
        <f>IF(AT159&lt;=regressions!$L$2,AT159*regressions!$L$1,regressions!$L$1*regressions!$L$2+regressions!$L$3*(AT159-regressions!$L$2))</f>
        <v>-0.66554574333296435</v>
      </c>
      <c r="AW159">
        <f>regressions!$J$1*AT159+regressions!$J$2*AT159^2</f>
        <v>-0.43693645849055829</v>
      </c>
      <c r="AX159">
        <f>regressions!$V$1*AT159</f>
        <v>-0.66554574521188459</v>
      </c>
      <c r="AY159">
        <f>regressions!$N$1*AT159^2</f>
        <v>-0.12218619026098768</v>
      </c>
      <c r="AZ159">
        <f>regressions!$R$1*AT159^2+regressions!$R$2*AT159^6</f>
        <v>-0.1330790258658002</v>
      </c>
      <c r="BA159">
        <f>regressions!$P$1*AT159^2+regressions!$P$2*AT159^7</f>
        <v>-0.12874875864618168</v>
      </c>
      <c r="BB159">
        <f>regressions!$T$2+regressions!$T$1*EXP(AT159)</f>
        <v>-1.0239898195414324E-2</v>
      </c>
      <c r="BC159" s="8">
        <f>(1-EXP(-2*regressions!$X$1*AT159))/2/EXP(-regressions!$X$1*AT159)</f>
        <v>-0.34746816533753583</v>
      </c>
      <c r="BE159">
        <f t="shared" si="40"/>
        <v>0</v>
      </c>
      <c r="BF159">
        <f t="shared" si="31"/>
        <v>0</v>
      </c>
      <c r="BG159">
        <f t="shared" si="32"/>
        <v>0</v>
      </c>
      <c r="BH159">
        <f>BG159+regressions!$AR$1*(AI159-B159)</f>
        <v>0</v>
      </c>
      <c r="BI159">
        <f>BG159-regressions!$AO$1*(AI159-B159)</f>
        <v>0</v>
      </c>
      <c r="BJ159">
        <f t="shared" si="33"/>
        <v>0</v>
      </c>
      <c r="BK159">
        <f>BJ159+regressions!$AR$1*(AT159-B159)</f>
        <v>0</v>
      </c>
      <c r="BL159">
        <f>BJ159-regressions!$AO$1*(AT159-B159)</f>
        <v>0</v>
      </c>
      <c r="BM159">
        <f t="shared" si="41"/>
        <v>0</v>
      </c>
      <c r="BN159">
        <f t="shared" si="34"/>
        <v>0</v>
      </c>
      <c r="BO159">
        <f t="shared" si="35"/>
        <v>0</v>
      </c>
      <c r="BP159">
        <f t="shared" si="42"/>
        <v>0</v>
      </c>
      <c r="BQ159">
        <f t="shared" si="43"/>
        <v>0</v>
      </c>
      <c r="BR159">
        <f t="shared" si="44"/>
        <v>0</v>
      </c>
    </row>
    <row r="160" spans="1:70" x14ac:dyDescent="0.35">
      <c r="A160">
        <v>2007</v>
      </c>
      <c r="B160" s="33">
        <v>0.85765198323846703</v>
      </c>
      <c r="C160">
        <f t="shared" si="45"/>
        <v>-0.38639431363618826</v>
      </c>
      <c r="D160">
        <f>IF($B160&lt;=regressions!$L$2,$B160*regressions!$L$1,regressions!$L$1*regressions!$L$2+regressions!$L$3*($B160-regressions!$L$2))</f>
        <v>-0.68164450269652732</v>
      </c>
      <c r="E160">
        <f>regressions!$J$1*B160+regressions!$J$2*B160^2</f>
        <v>-0.44892532506514687</v>
      </c>
      <c r="F160">
        <f>regressions!$V$1*B160</f>
        <v>-0.68164450462089643</v>
      </c>
      <c r="G160">
        <f>regressions!$N$1*B160^2</f>
        <v>-0.1281687582396307</v>
      </c>
      <c r="H160">
        <f>regressions!$R$1*B160^2+regressions!$R$2*B160^6</f>
        <v>-0.13959453727769264</v>
      </c>
      <c r="I160">
        <f>regressions!$P$1*B160^2+regressions!$P$2*B160^7</f>
        <v>-0.13505260992244728</v>
      </c>
      <c r="J160">
        <f>regressions!$T$2+regressions!$T$1*EXP(B160)</f>
        <v>-1.0609333530601221E-2</v>
      </c>
      <c r="K160" s="8">
        <f>(1-EXP(-2*regressions!$X$1*B160))/2/EXP(-regressions!$X$1*B160)</f>
        <v>-0.35620787265910669</v>
      </c>
      <c r="M160" s="33">
        <v>0.85765198323846703</v>
      </c>
      <c r="N160">
        <f t="shared" si="36"/>
        <v>-0.38639431363618826</v>
      </c>
      <c r="O160">
        <f>IF($B160&lt;=regressions!$L$2,$B160*regressions!$L$1,regressions!$L$1*regressions!$L$2+regressions!$L$3*($B160-regressions!$L$2))</f>
        <v>-0.68164450269652732</v>
      </c>
      <c r="P160">
        <f>regressions!$J$1*M160+regressions!$J$2*M160^2</f>
        <v>-0.44892532506514687</v>
      </c>
      <c r="Q160">
        <f>regressions!$V$1*M160</f>
        <v>-0.68164450462089643</v>
      </c>
      <c r="R160">
        <f>regressions!$N$1*M160^2</f>
        <v>-0.1281687582396307</v>
      </c>
      <c r="S160">
        <f>regressions!$R$1*M160^2+regressions!$R$2*M160^6</f>
        <v>-0.13959453727769264</v>
      </c>
      <c r="T160">
        <f>regressions!$P$1*M160^2+regressions!$P$2*M160^7</f>
        <v>-0.13505260992244728</v>
      </c>
      <c r="U160">
        <f>regressions!$T$2+regressions!$T$1*EXP(M160)</f>
        <v>-1.0609333530601221E-2</v>
      </c>
      <c r="V160" s="8">
        <f>(1-EXP(-2*regressions!$X$1*M160))/2/EXP(-regressions!$X$1*M160)</f>
        <v>-0.35620787265910669</v>
      </c>
      <c r="X160" s="33">
        <v>0.85765198323846703</v>
      </c>
      <c r="Y160">
        <f t="shared" si="37"/>
        <v>-0.38639431363618826</v>
      </c>
      <c r="Z160">
        <f>IF($B160&lt;=regressions!$L$2,$B160*regressions!$L$1,regressions!$L$1*regressions!$L$2+regressions!$L$3*($B160-regressions!$L$2))</f>
        <v>-0.68164450269652732</v>
      </c>
      <c r="AA160">
        <f>regressions!$J$1*X160+regressions!$J$2*X160^2</f>
        <v>-0.44892532506514687</v>
      </c>
      <c r="AB160">
        <f>regressions!$V$1*X160</f>
        <v>-0.68164450462089643</v>
      </c>
      <c r="AC160">
        <f>regressions!$N$1*X160^2</f>
        <v>-0.1281687582396307</v>
      </c>
      <c r="AD160">
        <f>regressions!$R$1*X160^2+regressions!$R$2*X160^6</f>
        <v>-0.13959453727769264</v>
      </c>
      <c r="AE160">
        <f>regressions!$P$1*X160^2+regressions!$P$2*X160^7</f>
        <v>-0.13505260992244728</v>
      </c>
      <c r="AF160">
        <f>regressions!$T$2+regressions!$T$1*EXP(X160)</f>
        <v>-1.0609333530601221E-2</v>
      </c>
      <c r="AG160" s="8">
        <f>(1-EXP(-2*regressions!$X$1*X160))/2/EXP(-regressions!$X$1*X160)</f>
        <v>-0.35620787265910669</v>
      </c>
      <c r="AH160" s="8"/>
      <c r="AI160" s="33">
        <v>0.85765198323846703</v>
      </c>
      <c r="AJ160">
        <f t="shared" si="38"/>
        <v>-0.38639431363618826</v>
      </c>
      <c r="AK160">
        <f>IF(AI160&lt;=regressions!$L$2,AI160*regressions!$L$1,regressions!$L$1*regressions!$L$2+regressions!$L$3*(AI160-regressions!$L$2))</f>
        <v>-0.68164450269652732</v>
      </c>
      <c r="AL160">
        <f>regressions!$J$1*AI160+regressions!$J$2*AI160^2</f>
        <v>-0.44892532506514687</v>
      </c>
      <c r="AM160">
        <f>regressions!$V$1*AI160</f>
        <v>-0.68164450462089643</v>
      </c>
      <c r="AN160">
        <f>regressions!$N$1*AI160^2</f>
        <v>-0.1281687582396307</v>
      </c>
      <c r="AO160">
        <f>regressions!$R$1*AI160^2+regressions!$R$2*AI160^6</f>
        <v>-0.13959453727769264</v>
      </c>
      <c r="AP160">
        <f>regressions!$P$1*AI160^2+regressions!$P$2*AI160^7</f>
        <v>-0.13505260992244728</v>
      </c>
      <c r="AQ160">
        <f>regressions!$T$2+regressions!$T$1*EXP(AI160)</f>
        <v>-1.0609333530601221E-2</v>
      </c>
      <c r="AR160" s="8">
        <f>(1-EXP(-2*regressions!$X$1*AI160))/2/EXP(-regressions!$X$1*AI160)</f>
        <v>-0.35620787265910669</v>
      </c>
      <c r="AT160" s="33">
        <v>0.85765198323846703</v>
      </c>
      <c r="AU160">
        <f t="shared" si="39"/>
        <v>-0.38639431363618826</v>
      </c>
      <c r="AV160">
        <f>IF(AT160&lt;=regressions!$L$2,AT160*regressions!$L$1,regressions!$L$1*regressions!$L$2+regressions!$L$3*(AT160-regressions!$L$2))</f>
        <v>-0.68164450269652732</v>
      </c>
      <c r="AW160">
        <f>regressions!$J$1*AT160+regressions!$J$2*AT160^2</f>
        <v>-0.44892532506514687</v>
      </c>
      <c r="AX160">
        <f>regressions!$V$1*AT160</f>
        <v>-0.68164450462089643</v>
      </c>
      <c r="AY160">
        <f>regressions!$N$1*AT160^2</f>
        <v>-0.1281687582396307</v>
      </c>
      <c r="AZ160">
        <f>regressions!$R$1*AT160^2+regressions!$R$2*AT160^6</f>
        <v>-0.13959453727769264</v>
      </c>
      <c r="BA160">
        <f>regressions!$P$1*AT160^2+regressions!$P$2*AT160^7</f>
        <v>-0.13505260992244728</v>
      </c>
      <c r="BB160">
        <f>regressions!$T$2+regressions!$T$1*EXP(AT160)</f>
        <v>-1.0609333530601221E-2</v>
      </c>
      <c r="BC160" s="8">
        <f>(1-EXP(-2*regressions!$X$1*AT160))/2/EXP(-regressions!$X$1*AT160)</f>
        <v>-0.35620787265910669</v>
      </c>
      <c r="BE160">
        <f t="shared" si="40"/>
        <v>0</v>
      </c>
      <c r="BF160">
        <f t="shared" si="31"/>
        <v>0</v>
      </c>
      <c r="BG160">
        <f t="shared" si="32"/>
        <v>0</v>
      </c>
      <c r="BH160">
        <f>BG160+regressions!$AR$1*(AI160-B160)</f>
        <v>0</v>
      </c>
      <c r="BI160">
        <f>BG160-regressions!$AO$1*(AI160-B160)</f>
        <v>0</v>
      </c>
      <c r="BJ160">
        <f t="shared" si="33"/>
        <v>0</v>
      </c>
      <c r="BK160">
        <f>BJ160+regressions!$AR$1*(AT160-B160)</f>
        <v>0</v>
      </c>
      <c r="BL160">
        <f>BJ160-regressions!$AO$1*(AT160-B160)</f>
        <v>0</v>
      </c>
      <c r="BM160">
        <f t="shared" si="41"/>
        <v>0</v>
      </c>
      <c r="BN160">
        <f t="shared" si="34"/>
        <v>0</v>
      </c>
      <c r="BO160">
        <f t="shared" si="35"/>
        <v>0</v>
      </c>
      <c r="BP160">
        <f t="shared" si="42"/>
        <v>0</v>
      </c>
      <c r="BQ160">
        <f t="shared" si="43"/>
        <v>0</v>
      </c>
      <c r="BR160">
        <f t="shared" si="44"/>
        <v>0</v>
      </c>
    </row>
    <row r="161" spans="1:70" x14ac:dyDescent="0.35">
      <c r="A161">
        <v>2008</v>
      </c>
      <c r="B161" s="33">
        <v>0.87828609848605044</v>
      </c>
      <c r="C161">
        <f t="shared" si="45"/>
        <v>-0.3972080610865234</v>
      </c>
      <c r="D161">
        <f>IF($B161&lt;=regressions!$L$2,$B161*regressions!$L$1,regressions!$L$1*regressions!$L$2+regressions!$L$3*($B161-regressions!$L$2))</f>
        <v>-0.6980440814317298</v>
      </c>
      <c r="E161">
        <f>regressions!$J$1*B161+regressions!$J$2*B161^2</f>
        <v>-0.46120717440751452</v>
      </c>
      <c r="F161">
        <f>regressions!$V$1*B161</f>
        <v>-0.69804408340239699</v>
      </c>
      <c r="G161">
        <f>regressions!$N$1*B161^2</f>
        <v>-0.13441013021551879</v>
      </c>
      <c r="H161">
        <f>regressions!$R$1*B161^2+regressions!$R$2*B161^6</f>
        <v>-0.14639184657456247</v>
      </c>
      <c r="I161">
        <f>regressions!$P$1*B161^2+regressions!$P$2*B161^7</f>
        <v>-0.14162915696729855</v>
      </c>
      <c r="J161">
        <f>regressions!$T$2+regressions!$T$1*EXP(B161)</f>
        <v>-1.099344571957098E-2</v>
      </c>
      <c r="K161" s="8">
        <f>(1-EXP(-2*regressions!$X$1*B161))/2/EXP(-regressions!$X$1*B161)</f>
        <v>-0.36513578669801</v>
      </c>
      <c r="M161" s="33">
        <v>0.87828609848605044</v>
      </c>
      <c r="N161">
        <f t="shared" si="36"/>
        <v>-0.3972080610865234</v>
      </c>
      <c r="O161">
        <f>IF($B161&lt;=regressions!$L$2,$B161*regressions!$L$1,regressions!$L$1*regressions!$L$2+regressions!$L$3*($B161-regressions!$L$2))</f>
        <v>-0.6980440814317298</v>
      </c>
      <c r="P161">
        <f>regressions!$J$1*M161+regressions!$J$2*M161^2</f>
        <v>-0.46120717440751452</v>
      </c>
      <c r="Q161">
        <f>regressions!$V$1*M161</f>
        <v>-0.69804408340239699</v>
      </c>
      <c r="R161">
        <f>regressions!$N$1*M161^2</f>
        <v>-0.13441013021551879</v>
      </c>
      <c r="S161">
        <f>regressions!$R$1*M161^2+regressions!$R$2*M161^6</f>
        <v>-0.14639184657456247</v>
      </c>
      <c r="T161">
        <f>regressions!$P$1*M161^2+regressions!$P$2*M161^7</f>
        <v>-0.14162915696729855</v>
      </c>
      <c r="U161">
        <f>regressions!$T$2+regressions!$T$1*EXP(M161)</f>
        <v>-1.099344571957098E-2</v>
      </c>
      <c r="V161" s="8">
        <f>(1-EXP(-2*regressions!$X$1*M161))/2/EXP(-regressions!$X$1*M161)</f>
        <v>-0.36513578669801</v>
      </c>
      <c r="X161" s="33">
        <v>0.87828609848605044</v>
      </c>
      <c r="Y161">
        <f t="shared" si="37"/>
        <v>-0.3972080610865234</v>
      </c>
      <c r="Z161">
        <f>IF($B161&lt;=regressions!$L$2,$B161*regressions!$L$1,regressions!$L$1*regressions!$L$2+regressions!$L$3*($B161-regressions!$L$2))</f>
        <v>-0.6980440814317298</v>
      </c>
      <c r="AA161">
        <f>regressions!$J$1*X161+regressions!$J$2*X161^2</f>
        <v>-0.46120717440751452</v>
      </c>
      <c r="AB161">
        <f>regressions!$V$1*X161</f>
        <v>-0.69804408340239699</v>
      </c>
      <c r="AC161">
        <f>regressions!$N$1*X161^2</f>
        <v>-0.13441013021551879</v>
      </c>
      <c r="AD161">
        <f>regressions!$R$1*X161^2+regressions!$R$2*X161^6</f>
        <v>-0.14639184657456247</v>
      </c>
      <c r="AE161">
        <f>regressions!$P$1*X161^2+regressions!$P$2*X161^7</f>
        <v>-0.14162915696729855</v>
      </c>
      <c r="AF161">
        <f>regressions!$T$2+regressions!$T$1*EXP(X161)</f>
        <v>-1.099344571957098E-2</v>
      </c>
      <c r="AG161" s="8">
        <f>(1-EXP(-2*regressions!$X$1*X161))/2/EXP(-regressions!$X$1*X161)</f>
        <v>-0.36513578669801</v>
      </c>
      <c r="AH161" s="8"/>
      <c r="AI161" s="33">
        <v>0.87828609848605044</v>
      </c>
      <c r="AJ161">
        <f t="shared" si="38"/>
        <v>-0.3972080610865234</v>
      </c>
      <c r="AK161">
        <f>IF(AI161&lt;=regressions!$L$2,AI161*regressions!$L$1,regressions!$L$1*regressions!$L$2+regressions!$L$3*(AI161-regressions!$L$2))</f>
        <v>-0.6980440814317298</v>
      </c>
      <c r="AL161">
        <f>regressions!$J$1*AI161+regressions!$J$2*AI161^2</f>
        <v>-0.46120717440751452</v>
      </c>
      <c r="AM161">
        <f>regressions!$V$1*AI161</f>
        <v>-0.69804408340239699</v>
      </c>
      <c r="AN161">
        <f>regressions!$N$1*AI161^2</f>
        <v>-0.13441013021551879</v>
      </c>
      <c r="AO161">
        <f>regressions!$R$1*AI161^2+regressions!$R$2*AI161^6</f>
        <v>-0.14639184657456247</v>
      </c>
      <c r="AP161">
        <f>regressions!$P$1*AI161^2+regressions!$P$2*AI161^7</f>
        <v>-0.14162915696729855</v>
      </c>
      <c r="AQ161">
        <f>regressions!$T$2+regressions!$T$1*EXP(AI161)</f>
        <v>-1.099344571957098E-2</v>
      </c>
      <c r="AR161" s="8">
        <f>(1-EXP(-2*regressions!$X$1*AI161))/2/EXP(-regressions!$X$1*AI161)</f>
        <v>-0.36513578669801</v>
      </c>
      <c r="AT161" s="33">
        <v>0.87828609848605044</v>
      </c>
      <c r="AU161">
        <f t="shared" si="39"/>
        <v>-0.3972080610865234</v>
      </c>
      <c r="AV161">
        <f>IF(AT161&lt;=regressions!$L$2,AT161*regressions!$L$1,regressions!$L$1*regressions!$L$2+regressions!$L$3*(AT161-regressions!$L$2))</f>
        <v>-0.6980440814317298</v>
      </c>
      <c r="AW161">
        <f>regressions!$J$1*AT161+regressions!$J$2*AT161^2</f>
        <v>-0.46120717440751452</v>
      </c>
      <c r="AX161">
        <f>regressions!$V$1*AT161</f>
        <v>-0.69804408340239699</v>
      </c>
      <c r="AY161">
        <f>regressions!$N$1*AT161^2</f>
        <v>-0.13441013021551879</v>
      </c>
      <c r="AZ161">
        <f>regressions!$R$1*AT161^2+regressions!$R$2*AT161^6</f>
        <v>-0.14639184657456247</v>
      </c>
      <c r="BA161">
        <f>regressions!$P$1*AT161^2+regressions!$P$2*AT161^7</f>
        <v>-0.14162915696729855</v>
      </c>
      <c r="BB161">
        <f>regressions!$T$2+regressions!$T$1*EXP(AT161)</f>
        <v>-1.099344571957098E-2</v>
      </c>
      <c r="BC161" s="8">
        <f>(1-EXP(-2*regressions!$X$1*AT161))/2/EXP(-regressions!$X$1*AT161)</f>
        <v>-0.36513578669801</v>
      </c>
      <c r="BE161">
        <f t="shared" si="40"/>
        <v>0</v>
      </c>
      <c r="BF161">
        <f t="shared" si="31"/>
        <v>0</v>
      </c>
      <c r="BG161">
        <f t="shared" si="32"/>
        <v>0</v>
      </c>
      <c r="BH161">
        <f>BG161+regressions!$AR$1*(AI161-B161)</f>
        <v>0</v>
      </c>
      <c r="BI161">
        <f>BG161-regressions!$AO$1*(AI161-B161)</f>
        <v>0</v>
      </c>
      <c r="BJ161">
        <f t="shared" si="33"/>
        <v>0</v>
      </c>
      <c r="BK161">
        <f>BJ161+regressions!$AR$1*(AT161-B161)</f>
        <v>0</v>
      </c>
      <c r="BL161">
        <f>BJ161-regressions!$AO$1*(AT161-B161)</f>
        <v>0</v>
      </c>
      <c r="BM161">
        <f t="shared" si="41"/>
        <v>0</v>
      </c>
      <c r="BN161">
        <f t="shared" si="34"/>
        <v>0</v>
      </c>
      <c r="BO161">
        <f t="shared" si="35"/>
        <v>0</v>
      </c>
      <c r="BP161">
        <f t="shared" si="42"/>
        <v>0</v>
      </c>
      <c r="BQ161">
        <f t="shared" si="43"/>
        <v>0</v>
      </c>
      <c r="BR161">
        <f t="shared" si="44"/>
        <v>0</v>
      </c>
    </row>
    <row r="162" spans="1:70" x14ac:dyDescent="0.35">
      <c r="A162">
        <v>2009</v>
      </c>
      <c r="B162" s="33">
        <v>0.89930348547702965</v>
      </c>
      <c r="C162">
        <f t="shared" si="45"/>
        <v>-0.40829756371060838</v>
      </c>
      <c r="D162">
        <f>IF($B162&lt;=regressions!$L$2,$B162*regressions!$L$1,regressions!$L$1*regressions!$L$2+regressions!$L$3*($B162-regressions!$L$2))</f>
        <v>-0.71474827682034248</v>
      </c>
      <c r="E162">
        <f>regressions!$J$1*B162+regressions!$J$2*B162^2</f>
        <v>-0.47378870478873641</v>
      </c>
      <c r="F162">
        <f>regressions!$V$1*B162</f>
        <v>-0.71474827883816772</v>
      </c>
      <c r="G162">
        <f>regressions!$N$1*B162^2</f>
        <v>-0.14091996852823729</v>
      </c>
      <c r="H162">
        <f>regressions!$R$1*B162^2+regressions!$R$2*B162^6</f>
        <v>-0.15348146560595025</v>
      </c>
      <c r="I162">
        <f>regressions!$P$1*B162^2+regressions!$P$2*B162^7</f>
        <v>-0.14848857957255018</v>
      </c>
      <c r="J162">
        <f>regressions!$T$2+regressions!$T$1*EXP(B162)</f>
        <v>-1.139292637660326E-2</v>
      </c>
      <c r="K162" s="8">
        <f>(1-EXP(-2*regressions!$X$1*B162))/2/EXP(-regressions!$X$1*B162)</f>
        <v>-0.37425601373947837</v>
      </c>
      <c r="M162" s="33">
        <v>0.89930348547702965</v>
      </c>
      <c r="N162">
        <f t="shared" si="36"/>
        <v>-0.40829756371060838</v>
      </c>
      <c r="O162">
        <f>IF($B162&lt;=regressions!$L$2,$B162*regressions!$L$1,regressions!$L$1*regressions!$L$2+regressions!$L$3*($B162-regressions!$L$2))</f>
        <v>-0.71474827682034248</v>
      </c>
      <c r="P162">
        <f>regressions!$J$1*M162+regressions!$J$2*M162^2</f>
        <v>-0.47378870478873641</v>
      </c>
      <c r="Q162">
        <f>regressions!$V$1*M162</f>
        <v>-0.71474827883816772</v>
      </c>
      <c r="R162">
        <f>regressions!$N$1*M162^2</f>
        <v>-0.14091996852823729</v>
      </c>
      <c r="S162">
        <f>regressions!$R$1*M162^2+regressions!$R$2*M162^6</f>
        <v>-0.15348146560595025</v>
      </c>
      <c r="T162">
        <f>regressions!$P$1*M162^2+regressions!$P$2*M162^7</f>
        <v>-0.14848857957255018</v>
      </c>
      <c r="U162">
        <f>regressions!$T$2+regressions!$T$1*EXP(M162)</f>
        <v>-1.139292637660326E-2</v>
      </c>
      <c r="V162" s="8">
        <f>(1-EXP(-2*regressions!$X$1*M162))/2/EXP(-regressions!$X$1*M162)</f>
        <v>-0.37425601373947837</v>
      </c>
      <c r="X162" s="33">
        <v>0.89930348547702965</v>
      </c>
      <c r="Y162">
        <f t="shared" si="37"/>
        <v>-0.40829756371060838</v>
      </c>
      <c r="Z162">
        <f>IF($B162&lt;=regressions!$L$2,$B162*regressions!$L$1,regressions!$L$1*regressions!$L$2+regressions!$L$3*($B162-regressions!$L$2))</f>
        <v>-0.71474827682034248</v>
      </c>
      <c r="AA162">
        <f>regressions!$J$1*X162+regressions!$J$2*X162^2</f>
        <v>-0.47378870478873641</v>
      </c>
      <c r="AB162">
        <f>regressions!$V$1*X162</f>
        <v>-0.71474827883816772</v>
      </c>
      <c r="AC162">
        <f>regressions!$N$1*X162^2</f>
        <v>-0.14091996852823729</v>
      </c>
      <c r="AD162">
        <f>regressions!$R$1*X162^2+regressions!$R$2*X162^6</f>
        <v>-0.15348146560595025</v>
      </c>
      <c r="AE162">
        <f>regressions!$P$1*X162^2+regressions!$P$2*X162^7</f>
        <v>-0.14848857957255018</v>
      </c>
      <c r="AF162">
        <f>regressions!$T$2+regressions!$T$1*EXP(X162)</f>
        <v>-1.139292637660326E-2</v>
      </c>
      <c r="AG162" s="8">
        <f>(1-EXP(-2*regressions!$X$1*X162))/2/EXP(-regressions!$X$1*X162)</f>
        <v>-0.37425601373947837</v>
      </c>
      <c r="AH162" s="8"/>
      <c r="AI162" s="33">
        <v>0.89930348547702965</v>
      </c>
      <c r="AJ162">
        <f t="shared" si="38"/>
        <v>-0.40829756371060838</v>
      </c>
      <c r="AK162">
        <f>IF(AI162&lt;=regressions!$L$2,AI162*regressions!$L$1,regressions!$L$1*regressions!$L$2+regressions!$L$3*(AI162-regressions!$L$2))</f>
        <v>-0.71474827682034248</v>
      </c>
      <c r="AL162">
        <f>regressions!$J$1*AI162+regressions!$J$2*AI162^2</f>
        <v>-0.47378870478873641</v>
      </c>
      <c r="AM162">
        <f>regressions!$V$1*AI162</f>
        <v>-0.71474827883816772</v>
      </c>
      <c r="AN162">
        <f>regressions!$N$1*AI162^2</f>
        <v>-0.14091996852823729</v>
      </c>
      <c r="AO162">
        <f>regressions!$R$1*AI162^2+regressions!$R$2*AI162^6</f>
        <v>-0.15348146560595025</v>
      </c>
      <c r="AP162">
        <f>regressions!$P$1*AI162^2+regressions!$P$2*AI162^7</f>
        <v>-0.14848857957255018</v>
      </c>
      <c r="AQ162">
        <f>regressions!$T$2+regressions!$T$1*EXP(AI162)</f>
        <v>-1.139292637660326E-2</v>
      </c>
      <c r="AR162" s="8">
        <f>(1-EXP(-2*regressions!$X$1*AI162))/2/EXP(-regressions!$X$1*AI162)</f>
        <v>-0.37425601373947837</v>
      </c>
      <c r="AT162" s="33">
        <v>0.89930348547702965</v>
      </c>
      <c r="AU162">
        <f t="shared" si="39"/>
        <v>-0.40829756371060838</v>
      </c>
      <c r="AV162">
        <f>IF(AT162&lt;=regressions!$L$2,AT162*regressions!$L$1,regressions!$L$1*regressions!$L$2+regressions!$L$3*(AT162-regressions!$L$2))</f>
        <v>-0.71474827682034248</v>
      </c>
      <c r="AW162">
        <f>regressions!$J$1*AT162+regressions!$J$2*AT162^2</f>
        <v>-0.47378870478873641</v>
      </c>
      <c r="AX162">
        <f>regressions!$V$1*AT162</f>
        <v>-0.71474827883816772</v>
      </c>
      <c r="AY162">
        <f>regressions!$N$1*AT162^2</f>
        <v>-0.14091996852823729</v>
      </c>
      <c r="AZ162">
        <f>regressions!$R$1*AT162^2+regressions!$R$2*AT162^6</f>
        <v>-0.15348146560595025</v>
      </c>
      <c r="BA162">
        <f>regressions!$P$1*AT162^2+regressions!$P$2*AT162^7</f>
        <v>-0.14848857957255018</v>
      </c>
      <c r="BB162">
        <f>regressions!$T$2+regressions!$T$1*EXP(AT162)</f>
        <v>-1.139292637660326E-2</v>
      </c>
      <c r="BC162" s="8">
        <f>(1-EXP(-2*regressions!$X$1*AT162))/2/EXP(-regressions!$X$1*AT162)</f>
        <v>-0.37425601373947837</v>
      </c>
      <c r="BE162">
        <f t="shared" si="40"/>
        <v>0</v>
      </c>
      <c r="BF162">
        <f t="shared" si="31"/>
        <v>0</v>
      </c>
      <c r="BG162">
        <f t="shared" si="32"/>
        <v>0</v>
      </c>
      <c r="BH162">
        <f>BG162+regressions!$AR$1*(AI162-B162)</f>
        <v>0</v>
      </c>
      <c r="BI162">
        <f>BG162-regressions!$AO$1*(AI162-B162)</f>
        <v>0</v>
      </c>
      <c r="BJ162">
        <f t="shared" si="33"/>
        <v>0</v>
      </c>
      <c r="BK162">
        <f>BJ162+regressions!$AR$1*(AT162-B162)</f>
        <v>0</v>
      </c>
      <c r="BL162">
        <f>BJ162-regressions!$AO$1*(AT162-B162)</f>
        <v>0</v>
      </c>
      <c r="BM162">
        <f t="shared" si="41"/>
        <v>0</v>
      </c>
      <c r="BN162">
        <f t="shared" si="34"/>
        <v>0</v>
      </c>
      <c r="BO162">
        <f t="shared" si="35"/>
        <v>0</v>
      </c>
      <c r="BP162">
        <f t="shared" si="42"/>
        <v>0</v>
      </c>
      <c r="BQ162">
        <f t="shared" si="43"/>
        <v>0</v>
      </c>
      <c r="BR162">
        <f t="shared" si="44"/>
        <v>0</v>
      </c>
    </row>
    <row r="163" spans="1:70" x14ac:dyDescent="0.35">
      <c r="A163">
        <v>2010</v>
      </c>
      <c r="B163" s="33">
        <v>0.92074761988611786</v>
      </c>
      <c r="C163">
        <f t="shared" si="45"/>
        <v>-0.41969025174089597</v>
      </c>
      <c r="D163">
        <f>IF($B163&lt;=regressions!$L$2,$B163*regressions!$L$1,regressions!$L$1*regressions!$L$2+regressions!$L$3*($B163-regressions!$L$2))</f>
        <v>-0.73179164245198958</v>
      </c>
      <c r="E163">
        <f>regressions!$J$1*B163+regressions!$J$2*B163^2</f>
        <v>-0.48670011911052713</v>
      </c>
      <c r="F163">
        <f>regressions!$V$1*B163</f>
        <v>-0.73179164451793033</v>
      </c>
      <c r="G163">
        <f>regressions!$N$1*B163^2</f>
        <v>-0.14772064457706954</v>
      </c>
      <c r="H163">
        <f>regressions!$R$1*B163^2+regressions!$R$2*B163^6</f>
        <v>-0.16088774535502343</v>
      </c>
      <c r="I163">
        <f>regressions!$P$1*B163^2+regressions!$P$2*B163^7</f>
        <v>-0.1556544488076389</v>
      </c>
      <c r="J163">
        <f>regressions!$T$2+regressions!$T$1*EXP(B163)</f>
        <v>-1.1809264600669979E-2</v>
      </c>
      <c r="K163" s="8">
        <f>(1-EXP(-2*regressions!$X$1*B163))/2/EXP(-regressions!$X$1*B163)</f>
        <v>-0.38358965382709043</v>
      </c>
      <c r="M163" s="33">
        <v>0.92074761988611786</v>
      </c>
      <c r="N163">
        <f t="shared" si="36"/>
        <v>-0.41969025174089597</v>
      </c>
      <c r="O163">
        <f>IF($B163&lt;=regressions!$L$2,$B163*regressions!$L$1,regressions!$L$1*regressions!$L$2+regressions!$L$3*($B163-regressions!$L$2))</f>
        <v>-0.73179164245198958</v>
      </c>
      <c r="P163">
        <f>regressions!$J$1*M163+regressions!$J$2*M163^2</f>
        <v>-0.48670011911052713</v>
      </c>
      <c r="Q163">
        <f>regressions!$V$1*M163</f>
        <v>-0.73179164451793033</v>
      </c>
      <c r="R163">
        <f>regressions!$N$1*M163^2</f>
        <v>-0.14772064457706954</v>
      </c>
      <c r="S163">
        <f>regressions!$R$1*M163^2+regressions!$R$2*M163^6</f>
        <v>-0.16088774535502343</v>
      </c>
      <c r="T163">
        <f>regressions!$P$1*M163^2+regressions!$P$2*M163^7</f>
        <v>-0.1556544488076389</v>
      </c>
      <c r="U163">
        <f>regressions!$T$2+regressions!$T$1*EXP(M163)</f>
        <v>-1.1809264600669979E-2</v>
      </c>
      <c r="V163" s="8">
        <f>(1-EXP(-2*regressions!$X$1*M163))/2/EXP(-regressions!$X$1*M163)</f>
        <v>-0.38358965382709043</v>
      </c>
      <c r="X163" s="33">
        <v>0.92074761988611786</v>
      </c>
      <c r="Y163">
        <f t="shared" si="37"/>
        <v>-0.41969025174089597</v>
      </c>
      <c r="Z163">
        <f>IF($B163&lt;=regressions!$L$2,$B163*regressions!$L$1,regressions!$L$1*regressions!$L$2+regressions!$L$3*($B163-regressions!$L$2))</f>
        <v>-0.73179164245198958</v>
      </c>
      <c r="AA163">
        <f>regressions!$J$1*X163+regressions!$J$2*X163^2</f>
        <v>-0.48670011911052713</v>
      </c>
      <c r="AB163">
        <f>regressions!$V$1*X163</f>
        <v>-0.73179164451793033</v>
      </c>
      <c r="AC163">
        <f>regressions!$N$1*X163^2</f>
        <v>-0.14772064457706954</v>
      </c>
      <c r="AD163">
        <f>regressions!$R$1*X163^2+regressions!$R$2*X163^6</f>
        <v>-0.16088774535502343</v>
      </c>
      <c r="AE163">
        <f>regressions!$P$1*X163^2+regressions!$P$2*X163^7</f>
        <v>-0.1556544488076389</v>
      </c>
      <c r="AF163">
        <f>regressions!$T$2+regressions!$T$1*EXP(X163)</f>
        <v>-1.1809264600669979E-2</v>
      </c>
      <c r="AG163" s="8">
        <f>(1-EXP(-2*regressions!$X$1*X163))/2/EXP(-regressions!$X$1*X163)</f>
        <v>-0.38358965382709043</v>
      </c>
      <c r="AH163" s="8"/>
      <c r="AI163" s="33">
        <v>0.92074761988611786</v>
      </c>
      <c r="AJ163">
        <f t="shared" si="38"/>
        <v>-0.41969025174089597</v>
      </c>
      <c r="AK163">
        <f>IF(AI163&lt;=regressions!$L$2,AI163*regressions!$L$1,regressions!$L$1*regressions!$L$2+regressions!$L$3*(AI163-regressions!$L$2))</f>
        <v>-0.73179164245198958</v>
      </c>
      <c r="AL163">
        <f>regressions!$J$1*AI163+regressions!$J$2*AI163^2</f>
        <v>-0.48670011911052713</v>
      </c>
      <c r="AM163">
        <f>regressions!$V$1*AI163</f>
        <v>-0.73179164451793033</v>
      </c>
      <c r="AN163">
        <f>regressions!$N$1*AI163^2</f>
        <v>-0.14772064457706954</v>
      </c>
      <c r="AO163">
        <f>regressions!$R$1*AI163^2+regressions!$R$2*AI163^6</f>
        <v>-0.16088774535502343</v>
      </c>
      <c r="AP163">
        <f>regressions!$P$1*AI163^2+regressions!$P$2*AI163^7</f>
        <v>-0.1556544488076389</v>
      </c>
      <c r="AQ163">
        <f>regressions!$T$2+regressions!$T$1*EXP(AI163)</f>
        <v>-1.1809264600669979E-2</v>
      </c>
      <c r="AR163" s="8">
        <f>(1-EXP(-2*regressions!$X$1*AI163))/2/EXP(-regressions!$X$1*AI163)</f>
        <v>-0.38358965382709043</v>
      </c>
      <c r="AT163" s="33">
        <v>0.92074761988611786</v>
      </c>
      <c r="AU163">
        <f t="shared" si="39"/>
        <v>-0.41969025174089597</v>
      </c>
      <c r="AV163">
        <f>IF(AT163&lt;=regressions!$L$2,AT163*regressions!$L$1,regressions!$L$1*regressions!$L$2+regressions!$L$3*(AT163-regressions!$L$2))</f>
        <v>-0.73179164245198958</v>
      </c>
      <c r="AW163">
        <f>regressions!$J$1*AT163+regressions!$J$2*AT163^2</f>
        <v>-0.48670011911052713</v>
      </c>
      <c r="AX163">
        <f>regressions!$V$1*AT163</f>
        <v>-0.73179164451793033</v>
      </c>
      <c r="AY163">
        <f>regressions!$N$1*AT163^2</f>
        <v>-0.14772064457706954</v>
      </c>
      <c r="AZ163">
        <f>regressions!$R$1*AT163^2+regressions!$R$2*AT163^6</f>
        <v>-0.16088774535502343</v>
      </c>
      <c r="BA163">
        <f>regressions!$P$1*AT163^2+regressions!$P$2*AT163^7</f>
        <v>-0.1556544488076389</v>
      </c>
      <c r="BB163">
        <f>regressions!$T$2+regressions!$T$1*EXP(AT163)</f>
        <v>-1.1809264600669979E-2</v>
      </c>
      <c r="BC163" s="8">
        <f>(1-EXP(-2*regressions!$X$1*AT163))/2/EXP(-regressions!$X$1*AT163)</f>
        <v>-0.38358965382709043</v>
      </c>
      <c r="BE163">
        <f t="shared" si="40"/>
        <v>0</v>
      </c>
      <c r="BF163">
        <f t="shared" si="31"/>
        <v>0</v>
      </c>
      <c r="BG163">
        <f t="shared" si="32"/>
        <v>0</v>
      </c>
      <c r="BH163">
        <f>BG163+regressions!$AR$1*(AI163-B163)</f>
        <v>0</v>
      </c>
      <c r="BI163">
        <f>BG163-regressions!$AO$1*(AI163-B163)</f>
        <v>0</v>
      </c>
      <c r="BJ163">
        <f t="shared" si="33"/>
        <v>0</v>
      </c>
      <c r="BK163">
        <f>BJ163+regressions!$AR$1*(AT163-B163)</f>
        <v>0</v>
      </c>
      <c r="BL163">
        <f>BJ163-regressions!$AO$1*(AT163-B163)</f>
        <v>0</v>
      </c>
      <c r="BM163">
        <f t="shared" si="41"/>
        <v>0</v>
      </c>
      <c r="BN163">
        <f t="shared" si="34"/>
        <v>0</v>
      </c>
      <c r="BO163">
        <f t="shared" si="35"/>
        <v>0</v>
      </c>
      <c r="BP163">
        <f t="shared" si="42"/>
        <v>0</v>
      </c>
      <c r="BQ163">
        <f t="shared" si="43"/>
        <v>0</v>
      </c>
      <c r="BR163">
        <f t="shared" si="44"/>
        <v>0</v>
      </c>
    </row>
    <row r="164" spans="1:70" x14ac:dyDescent="0.35">
      <c r="A164">
        <v>2011</v>
      </c>
      <c r="B164" s="33">
        <v>0.94264475068551623</v>
      </c>
      <c r="C164">
        <f t="shared" si="45"/>
        <v>-0.43140504807834379</v>
      </c>
      <c r="D164">
        <f>IF($B164&lt;=regressions!$L$2,$B164*regressions!$L$1,regressions!$L$1*regressions!$L$2+regressions!$L$3*($B164-regressions!$L$2))</f>
        <v>-0.74919504048049568</v>
      </c>
      <c r="E164">
        <f>regressions!$J$1*B164+regressions!$J$2*B164^2</f>
        <v>-0.49996184942730459</v>
      </c>
      <c r="F164">
        <f>regressions!$V$1*B164</f>
        <v>-0.74919504259556857</v>
      </c>
      <c r="G164">
        <f>regressions!$N$1*B164^2</f>
        <v>-0.15483034841000323</v>
      </c>
      <c r="H164">
        <f>regressions!$R$1*B164^2+regressions!$R$2*B164^6</f>
        <v>-0.1686304807192037</v>
      </c>
      <c r="I164">
        <f>regressions!$P$1*B164^2+regressions!$P$2*B164^7</f>
        <v>-0.16314592950197826</v>
      </c>
      <c r="J164">
        <f>regressions!$T$2+regressions!$T$1*EXP(B164)</f>
        <v>-1.2243711566731687E-2</v>
      </c>
      <c r="K164" s="8">
        <f>(1-EXP(-2*regressions!$X$1*B164))/2/EXP(-regressions!$X$1*B164)</f>
        <v>-0.39315062142924684</v>
      </c>
      <c r="M164" s="33">
        <v>0.94264475068551623</v>
      </c>
      <c r="N164">
        <f t="shared" si="36"/>
        <v>-0.43140504807834379</v>
      </c>
      <c r="O164">
        <f>IF($B164&lt;=regressions!$L$2,$B164*regressions!$L$1,regressions!$L$1*regressions!$L$2+regressions!$L$3*($B164-regressions!$L$2))</f>
        <v>-0.74919504048049568</v>
      </c>
      <c r="P164">
        <f>regressions!$J$1*M164+regressions!$J$2*M164^2</f>
        <v>-0.49996184942730459</v>
      </c>
      <c r="Q164">
        <f>regressions!$V$1*M164</f>
        <v>-0.74919504259556857</v>
      </c>
      <c r="R164">
        <f>regressions!$N$1*M164^2</f>
        <v>-0.15483034841000323</v>
      </c>
      <c r="S164">
        <f>regressions!$R$1*M164^2+regressions!$R$2*M164^6</f>
        <v>-0.1686304807192037</v>
      </c>
      <c r="T164">
        <f>regressions!$P$1*M164^2+regressions!$P$2*M164^7</f>
        <v>-0.16314592950197826</v>
      </c>
      <c r="U164">
        <f>regressions!$T$2+regressions!$T$1*EXP(M164)</f>
        <v>-1.2243711566731687E-2</v>
      </c>
      <c r="V164" s="8">
        <f>(1-EXP(-2*regressions!$X$1*M164))/2/EXP(-regressions!$X$1*M164)</f>
        <v>-0.39315062142924684</v>
      </c>
      <c r="X164" s="33">
        <v>0.94264475068551623</v>
      </c>
      <c r="Y164">
        <f t="shared" si="37"/>
        <v>-0.43140504807834379</v>
      </c>
      <c r="Z164">
        <f>IF($B164&lt;=regressions!$L$2,$B164*regressions!$L$1,regressions!$L$1*regressions!$L$2+regressions!$L$3*($B164-regressions!$L$2))</f>
        <v>-0.74919504048049568</v>
      </c>
      <c r="AA164">
        <f>regressions!$J$1*X164+regressions!$J$2*X164^2</f>
        <v>-0.49996184942730459</v>
      </c>
      <c r="AB164">
        <f>regressions!$V$1*X164</f>
        <v>-0.74919504259556857</v>
      </c>
      <c r="AC164">
        <f>regressions!$N$1*X164^2</f>
        <v>-0.15483034841000323</v>
      </c>
      <c r="AD164">
        <f>regressions!$R$1*X164^2+regressions!$R$2*X164^6</f>
        <v>-0.1686304807192037</v>
      </c>
      <c r="AE164">
        <f>regressions!$P$1*X164^2+regressions!$P$2*X164^7</f>
        <v>-0.16314592950197826</v>
      </c>
      <c r="AF164">
        <f>regressions!$T$2+regressions!$T$1*EXP(X164)</f>
        <v>-1.2243711566731687E-2</v>
      </c>
      <c r="AG164" s="8">
        <f>(1-EXP(-2*regressions!$X$1*X164))/2/EXP(-regressions!$X$1*X164)</f>
        <v>-0.39315062142924684</v>
      </c>
      <c r="AH164" s="8"/>
      <c r="AI164" s="33">
        <v>0.94264475068551623</v>
      </c>
      <c r="AJ164">
        <f t="shared" si="38"/>
        <v>-0.43140504807834379</v>
      </c>
      <c r="AK164">
        <f>IF(AI164&lt;=regressions!$L$2,AI164*regressions!$L$1,regressions!$L$1*regressions!$L$2+regressions!$L$3*(AI164-regressions!$L$2))</f>
        <v>-0.74919504048049568</v>
      </c>
      <c r="AL164">
        <f>regressions!$J$1*AI164+regressions!$J$2*AI164^2</f>
        <v>-0.49996184942730459</v>
      </c>
      <c r="AM164">
        <f>regressions!$V$1*AI164</f>
        <v>-0.74919504259556857</v>
      </c>
      <c r="AN164">
        <f>regressions!$N$1*AI164^2</f>
        <v>-0.15483034841000323</v>
      </c>
      <c r="AO164">
        <f>regressions!$R$1*AI164^2+regressions!$R$2*AI164^6</f>
        <v>-0.1686304807192037</v>
      </c>
      <c r="AP164">
        <f>regressions!$P$1*AI164^2+regressions!$P$2*AI164^7</f>
        <v>-0.16314592950197826</v>
      </c>
      <c r="AQ164">
        <f>regressions!$T$2+regressions!$T$1*EXP(AI164)</f>
        <v>-1.2243711566731687E-2</v>
      </c>
      <c r="AR164" s="8">
        <f>(1-EXP(-2*regressions!$X$1*AI164))/2/EXP(-regressions!$X$1*AI164)</f>
        <v>-0.39315062142924684</v>
      </c>
      <c r="AT164" s="33">
        <v>0.94264475068551623</v>
      </c>
      <c r="AU164">
        <f t="shared" si="39"/>
        <v>-0.43140504807834379</v>
      </c>
      <c r="AV164">
        <f>IF(AT164&lt;=regressions!$L$2,AT164*regressions!$L$1,regressions!$L$1*regressions!$L$2+regressions!$L$3*(AT164-regressions!$L$2))</f>
        <v>-0.74919504048049568</v>
      </c>
      <c r="AW164">
        <f>regressions!$J$1*AT164+regressions!$J$2*AT164^2</f>
        <v>-0.49996184942730459</v>
      </c>
      <c r="AX164">
        <f>regressions!$V$1*AT164</f>
        <v>-0.74919504259556857</v>
      </c>
      <c r="AY164">
        <f>regressions!$N$1*AT164^2</f>
        <v>-0.15483034841000323</v>
      </c>
      <c r="AZ164">
        <f>regressions!$R$1*AT164^2+regressions!$R$2*AT164^6</f>
        <v>-0.1686304807192037</v>
      </c>
      <c r="BA164">
        <f>regressions!$P$1*AT164^2+regressions!$P$2*AT164^7</f>
        <v>-0.16314592950197826</v>
      </c>
      <c r="BB164">
        <f>regressions!$T$2+regressions!$T$1*EXP(AT164)</f>
        <v>-1.2243711566731687E-2</v>
      </c>
      <c r="BC164" s="8">
        <f>(1-EXP(-2*regressions!$X$1*AT164))/2/EXP(-regressions!$X$1*AT164)</f>
        <v>-0.39315062142924684</v>
      </c>
      <c r="BE164">
        <f t="shared" si="40"/>
        <v>0</v>
      </c>
      <c r="BF164">
        <f t="shared" si="31"/>
        <v>0</v>
      </c>
      <c r="BG164">
        <f t="shared" si="32"/>
        <v>0</v>
      </c>
      <c r="BH164">
        <f>BG164+regressions!$AR$1*(AI164-B164)</f>
        <v>0</v>
      </c>
      <c r="BI164">
        <f>BG164-regressions!$AO$1*(AI164-B164)</f>
        <v>0</v>
      </c>
      <c r="BJ164">
        <f t="shared" si="33"/>
        <v>0</v>
      </c>
      <c r="BK164">
        <f>BJ164+regressions!$AR$1*(AT164-B164)</f>
        <v>0</v>
      </c>
      <c r="BL164">
        <f>BJ164-regressions!$AO$1*(AT164-B164)</f>
        <v>0</v>
      </c>
      <c r="BM164">
        <f t="shared" si="41"/>
        <v>0</v>
      </c>
      <c r="BN164">
        <f t="shared" si="34"/>
        <v>0</v>
      </c>
      <c r="BO164">
        <f t="shared" si="35"/>
        <v>0</v>
      </c>
      <c r="BP164">
        <f t="shared" si="42"/>
        <v>0</v>
      </c>
      <c r="BQ164">
        <f t="shared" si="43"/>
        <v>0</v>
      </c>
      <c r="BR164">
        <f t="shared" si="44"/>
        <v>0</v>
      </c>
    </row>
    <row r="165" spans="1:70" x14ac:dyDescent="0.35">
      <c r="A165">
        <v>2012</v>
      </c>
      <c r="B165" s="33">
        <v>0.96501248515152571</v>
      </c>
      <c r="C165">
        <f t="shared" si="45"/>
        <v>-0.44345671533824271</v>
      </c>
      <c r="D165">
        <f>IF($B165&lt;=regressions!$L$2,$B165*regressions!$L$1,regressions!$L$1*regressions!$L$2+regressions!$L$3*($B165-regressions!$L$2))</f>
        <v>-0.76697246481403414</v>
      </c>
      <c r="E165">
        <f>regressions!$J$1*B165+regressions!$J$2*B165^2</f>
        <v>-0.51358951967168887</v>
      </c>
      <c r="F165">
        <f>regressions!$V$1*B165</f>
        <v>-0.76697246697929489</v>
      </c>
      <c r="G165">
        <f>regressions!$N$1*B165^2</f>
        <v>-0.16226537159072782</v>
      </c>
      <c r="H165">
        <f>regressions!$R$1*B165^2+regressions!$R$2*B165^6</f>
        <v>-0.17672739652908076</v>
      </c>
      <c r="I165">
        <f>regressions!$P$1*B165^2+regressions!$P$2*B165^7</f>
        <v>-0.1709801856641989</v>
      </c>
      <c r="J165">
        <f>regressions!$T$2+regressions!$T$1*EXP(B165)</f>
        <v>-1.2697427389384938E-2</v>
      </c>
      <c r="K165" s="8">
        <f>(1-EXP(-2*regressions!$X$1*B165))/2/EXP(-regressions!$X$1*B165)</f>
        <v>-0.40294931735247058</v>
      </c>
      <c r="M165" s="33">
        <v>0.96501248515152571</v>
      </c>
      <c r="N165">
        <f t="shared" si="36"/>
        <v>-0.44345671533824271</v>
      </c>
      <c r="O165">
        <f>IF($B165&lt;=regressions!$L$2,$B165*regressions!$L$1,regressions!$L$1*regressions!$L$2+regressions!$L$3*($B165-regressions!$L$2))</f>
        <v>-0.76697246481403414</v>
      </c>
      <c r="P165">
        <f>regressions!$J$1*M165+regressions!$J$2*M165^2</f>
        <v>-0.51358951967168887</v>
      </c>
      <c r="Q165">
        <f>regressions!$V$1*M165</f>
        <v>-0.76697246697929489</v>
      </c>
      <c r="R165">
        <f>regressions!$N$1*M165^2</f>
        <v>-0.16226537159072782</v>
      </c>
      <c r="S165">
        <f>regressions!$R$1*M165^2+regressions!$R$2*M165^6</f>
        <v>-0.17672739652908076</v>
      </c>
      <c r="T165">
        <f>regressions!$P$1*M165^2+regressions!$P$2*M165^7</f>
        <v>-0.1709801856641989</v>
      </c>
      <c r="U165">
        <f>regressions!$T$2+regressions!$T$1*EXP(M165)</f>
        <v>-1.2697427389384938E-2</v>
      </c>
      <c r="V165" s="8">
        <f>(1-EXP(-2*regressions!$X$1*M165))/2/EXP(-regressions!$X$1*M165)</f>
        <v>-0.40294931735247058</v>
      </c>
      <c r="X165" s="33">
        <v>0.96501248515152571</v>
      </c>
      <c r="Y165">
        <f t="shared" si="37"/>
        <v>-0.44345671533824271</v>
      </c>
      <c r="Z165">
        <f>IF($B165&lt;=regressions!$L$2,$B165*regressions!$L$1,regressions!$L$1*regressions!$L$2+regressions!$L$3*($B165-regressions!$L$2))</f>
        <v>-0.76697246481403414</v>
      </c>
      <c r="AA165">
        <f>regressions!$J$1*X165+regressions!$J$2*X165^2</f>
        <v>-0.51358951967168887</v>
      </c>
      <c r="AB165">
        <f>regressions!$V$1*X165</f>
        <v>-0.76697246697929489</v>
      </c>
      <c r="AC165">
        <f>regressions!$N$1*X165^2</f>
        <v>-0.16226537159072782</v>
      </c>
      <c r="AD165">
        <f>regressions!$R$1*X165^2+regressions!$R$2*X165^6</f>
        <v>-0.17672739652908076</v>
      </c>
      <c r="AE165">
        <f>regressions!$P$1*X165^2+regressions!$P$2*X165^7</f>
        <v>-0.1709801856641989</v>
      </c>
      <c r="AF165">
        <f>regressions!$T$2+regressions!$T$1*EXP(X165)</f>
        <v>-1.2697427389384938E-2</v>
      </c>
      <c r="AG165" s="8">
        <f>(1-EXP(-2*regressions!$X$1*X165))/2/EXP(-regressions!$X$1*X165)</f>
        <v>-0.40294931735247058</v>
      </c>
      <c r="AH165" s="8"/>
      <c r="AI165" s="33">
        <v>0.96501248515152571</v>
      </c>
      <c r="AJ165">
        <f t="shared" si="38"/>
        <v>-0.44345671533824271</v>
      </c>
      <c r="AK165">
        <f>IF(AI165&lt;=regressions!$L$2,AI165*regressions!$L$1,regressions!$L$1*regressions!$L$2+regressions!$L$3*(AI165-regressions!$L$2))</f>
        <v>-0.76697246481403414</v>
      </c>
      <c r="AL165">
        <f>regressions!$J$1*AI165+regressions!$J$2*AI165^2</f>
        <v>-0.51358951967168887</v>
      </c>
      <c r="AM165">
        <f>regressions!$V$1*AI165</f>
        <v>-0.76697246697929489</v>
      </c>
      <c r="AN165">
        <f>regressions!$N$1*AI165^2</f>
        <v>-0.16226537159072782</v>
      </c>
      <c r="AO165">
        <f>regressions!$R$1*AI165^2+regressions!$R$2*AI165^6</f>
        <v>-0.17672739652908076</v>
      </c>
      <c r="AP165">
        <f>regressions!$P$1*AI165^2+regressions!$P$2*AI165^7</f>
        <v>-0.1709801856641989</v>
      </c>
      <c r="AQ165">
        <f>regressions!$T$2+regressions!$T$1*EXP(AI165)</f>
        <v>-1.2697427389384938E-2</v>
      </c>
      <c r="AR165" s="8">
        <f>(1-EXP(-2*regressions!$X$1*AI165))/2/EXP(-regressions!$X$1*AI165)</f>
        <v>-0.40294931735247058</v>
      </c>
      <c r="AT165" s="33">
        <v>0.96501248515152571</v>
      </c>
      <c r="AU165">
        <f t="shared" si="39"/>
        <v>-0.44345671533824271</v>
      </c>
      <c r="AV165">
        <f>IF(AT165&lt;=regressions!$L$2,AT165*regressions!$L$1,regressions!$L$1*regressions!$L$2+regressions!$L$3*(AT165-regressions!$L$2))</f>
        <v>-0.76697246481403414</v>
      </c>
      <c r="AW165">
        <f>regressions!$J$1*AT165+regressions!$J$2*AT165^2</f>
        <v>-0.51358951967168887</v>
      </c>
      <c r="AX165">
        <f>regressions!$V$1*AT165</f>
        <v>-0.76697246697929489</v>
      </c>
      <c r="AY165">
        <f>regressions!$N$1*AT165^2</f>
        <v>-0.16226537159072782</v>
      </c>
      <c r="AZ165">
        <f>regressions!$R$1*AT165^2+regressions!$R$2*AT165^6</f>
        <v>-0.17672739652908076</v>
      </c>
      <c r="BA165">
        <f>regressions!$P$1*AT165^2+regressions!$P$2*AT165^7</f>
        <v>-0.1709801856641989</v>
      </c>
      <c r="BB165">
        <f>regressions!$T$2+regressions!$T$1*EXP(AT165)</f>
        <v>-1.2697427389384938E-2</v>
      </c>
      <c r="BC165" s="8">
        <f>(1-EXP(-2*regressions!$X$1*AT165))/2/EXP(-regressions!$X$1*AT165)</f>
        <v>-0.40294931735247058</v>
      </c>
      <c r="BE165">
        <f t="shared" si="40"/>
        <v>0</v>
      </c>
      <c r="BF165">
        <f t="shared" si="31"/>
        <v>0</v>
      </c>
      <c r="BG165">
        <f t="shared" si="32"/>
        <v>0</v>
      </c>
      <c r="BH165">
        <f>BG165+regressions!$AR$1*(AI165-B165)</f>
        <v>0</v>
      </c>
      <c r="BI165">
        <f>BG165-regressions!$AO$1*(AI165-B165)</f>
        <v>0</v>
      </c>
      <c r="BJ165">
        <f t="shared" si="33"/>
        <v>0</v>
      </c>
      <c r="BK165">
        <f>BJ165+regressions!$AR$1*(AT165-B165)</f>
        <v>0</v>
      </c>
      <c r="BL165">
        <f>BJ165-regressions!$AO$1*(AT165-B165)</f>
        <v>0</v>
      </c>
      <c r="BM165">
        <f t="shared" si="41"/>
        <v>0</v>
      </c>
      <c r="BN165">
        <f t="shared" si="34"/>
        <v>0</v>
      </c>
      <c r="BO165">
        <f t="shared" si="35"/>
        <v>0</v>
      </c>
      <c r="BP165">
        <f t="shared" si="42"/>
        <v>0</v>
      </c>
      <c r="BQ165">
        <f t="shared" si="43"/>
        <v>0</v>
      </c>
      <c r="BR165">
        <f t="shared" si="44"/>
        <v>0</v>
      </c>
    </row>
    <row r="166" spans="1:70" x14ac:dyDescent="0.35">
      <c r="A166">
        <v>2013</v>
      </c>
      <c r="B166" s="33">
        <v>0.98787872712363278</v>
      </c>
      <c r="C166">
        <f t="shared" si="45"/>
        <v>-0.45586602406714843</v>
      </c>
      <c r="D166">
        <f>IF($B166&lt;=regressions!$L$2,$B166*regressions!$L$1,regressions!$L$1*regressions!$L$2+regressions!$L$3*($B166-regressions!$L$2))</f>
        <v>-0.78514609286157933</v>
      </c>
      <c r="E166">
        <f>regressions!$J$1*B166+regressions!$J$2*B166^2</f>
        <v>-0.52760544778392116</v>
      </c>
      <c r="F166">
        <f>regressions!$V$1*B166</f>
        <v>-0.78514609507814659</v>
      </c>
      <c r="G166">
        <f>regressions!$N$1*B166^2</f>
        <v>-0.17004632527707839</v>
      </c>
      <c r="H166">
        <f>regressions!$R$1*B166^2+regressions!$R$2*B166^6</f>
        <v>-0.18520091882974016</v>
      </c>
      <c r="I166">
        <f>regressions!$P$1*B166^2+regressions!$P$2*B166^7</f>
        <v>-0.1791789323819149</v>
      </c>
      <c r="J166">
        <f>regressions!$T$2+regressions!$T$1*EXP(B166)</f>
        <v>-1.3171865494377696E-2</v>
      </c>
      <c r="K166" s="8">
        <f>(1-EXP(-2*regressions!$X$1*B166))/2/EXP(-regressions!$X$1*B166)</f>
        <v>-0.41300092433272068</v>
      </c>
      <c r="M166" s="33">
        <v>0.98787872712363278</v>
      </c>
      <c r="N166">
        <f t="shared" si="36"/>
        <v>-0.45586602406714843</v>
      </c>
      <c r="O166">
        <f>IF($B166&lt;=regressions!$L$2,$B166*regressions!$L$1,regressions!$L$1*regressions!$L$2+regressions!$L$3*($B166-regressions!$L$2))</f>
        <v>-0.78514609286157933</v>
      </c>
      <c r="P166">
        <f>regressions!$J$1*M166+regressions!$J$2*M166^2</f>
        <v>-0.52760544778392116</v>
      </c>
      <c r="Q166">
        <f>regressions!$V$1*M166</f>
        <v>-0.78514609507814659</v>
      </c>
      <c r="R166">
        <f>regressions!$N$1*M166^2</f>
        <v>-0.17004632527707839</v>
      </c>
      <c r="S166">
        <f>regressions!$R$1*M166^2+regressions!$R$2*M166^6</f>
        <v>-0.18520091882974016</v>
      </c>
      <c r="T166">
        <f>regressions!$P$1*M166^2+regressions!$P$2*M166^7</f>
        <v>-0.1791789323819149</v>
      </c>
      <c r="U166">
        <f>regressions!$T$2+regressions!$T$1*EXP(M166)</f>
        <v>-1.3171865494377696E-2</v>
      </c>
      <c r="V166" s="8">
        <f>(1-EXP(-2*regressions!$X$1*M166))/2/EXP(-regressions!$X$1*M166)</f>
        <v>-0.41300092433272068</v>
      </c>
      <c r="X166" s="33">
        <v>0.98787872712363278</v>
      </c>
      <c r="Y166">
        <f t="shared" si="37"/>
        <v>-0.45586602406714843</v>
      </c>
      <c r="Z166">
        <f>IF($B166&lt;=regressions!$L$2,$B166*regressions!$L$1,regressions!$L$1*regressions!$L$2+regressions!$L$3*($B166-regressions!$L$2))</f>
        <v>-0.78514609286157933</v>
      </c>
      <c r="AA166">
        <f>regressions!$J$1*X166+regressions!$J$2*X166^2</f>
        <v>-0.52760544778392116</v>
      </c>
      <c r="AB166">
        <f>regressions!$V$1*X166</f>
        <v>-0.78514609507814659</v>
      </c>
      <c r="AC166">
        <f>regressions!$N$1*X166^2</f>
        <v>-0.17004632527707839</v>
      </c>
      <c r="AD166">
        <f>regressions!$R$1*X166^2+regressions!$R$2*X166^6</f>
        <v>-0.18520091882974016</v>
      </c>
      <c r="AE166">
        <f>regressions!$P$1*X166^2+regressions!$P$2*X166^7</f>
        <v>-0.1791789323819149</v>
      </c>
      <c r="AF166">
        <f>regressions!$T$2+regressions!$T$1*EXP(X166)</f>
        <v>-1.3171865494377696E-2</v>
      </c>
      <c r="AG166" s="8">
        <f>(1-EXP(-2*regressions!$X$1*X166))/2/EXP(-regressions!$X$1*X166)</f>
        <v>-0.41300092433272068</v>
      </c>
      <c r="AH166" s="8"/>
      <c r="AI166" s="33">
        <v>0.98787872712363278</v>
      </c>
      <c r="AJ166">
        <f t="shared" si="38"/>
        <v>-0.45586602406714843</v>
      </c>
      <c r="AK166">
        <f>IF(AI166&lt;=regressions!$L$2,AI166*regressions!$L$1,regressions!$L$1*regressions!$L$2+regressions!$L$3*(AI166-regressions!$L$2))</f>
        <v>-0.78514609286157933</v>
      </c>
      <c r="AL166">
        <f>regressions!$J$1*AI166+regressions!$J$2*AI166^2</f>
        <v>-0.52760544778392116</v>
      </c>
      <c r="AM166">
        <f>regressions!$V$1*AI166</f>
        <v>-0.78514609507814659</v>
      </c>
      <c r="AN166">
        <f>regressions!$N$1*AI166^2</f>
        <v>-0.17004632527707839</v>
      </c>
      <c r="AO166">
        <f>regressions!$R$1*AI166^2+regressions!$R$2*AI166^6</f>
        <v>-0.18520091882974016</v>
      </c>
      <c r="AP166">
        <f>regressions!$P$1*AI166^2+regressions!$P$2*AI166^7</f>
        <v>-0.1791789323819149</v>
      </c>
      <c r="AQ166">
        <f>regressions!$T$2+regressions!$T$1*EXP(AI166)</f>
        <v>-1.3171865494377696E-2</v>
      </c>
      <c r="AR166" s="8">
        <f>(1-EXP(-2*regressions!$X$1*AI166))/2/EXP(-regressions!$X$1*AI166)</f>
        <v>-0.41300092433272068</v>
      </c>
      <c r="AT166" s="33">
        <v>0.98787872712363278</v>
      </c>
      <c r="AU166">
        <f t="shared" si="39"/>
        <v>-0.45586602406714843</v>
      </c>
      <c r="AV166">
        <f>IF(AT166&lt;=regressions!$L$2,AT166*regressions!$L$1,regressions!$L$1*regressions!$L$2+regressions!$L$3*(AT166-regressions!$L$2))</f>
        <v>-0.78514609286157933</v>
      </c>
      <c r="AW166">
        <f>regressions!$J$1*AT166+regressions!$J$2*AT166^2</f>
        <v>-0.52760544778392116</v>
      </c>
      <c r="AX166">
        <f>regressions!$V$1*AT166</f>
        <v>-0.78514609507814659</v>
      </c>
      <c r="AY166">
        <f>regressions!$N$1*AT166^2</f>
        <v>-0.17004632527707839</v>
      </c>
      <c r="AZ166">
        <f>regressions!$R$1*AT166^2+regressions!$R$2*AT166^6</f>
        <v>-0.18520091882974016</v>
      </c>
      <c r="BA166">
        <f>regressions!$P$1*AT166^2+regressions!$P$2*AT166^7</f>
        <v>-0.1791789323819149</v>
      </c>
      <c r="BB166">
        <f>regressions!$T$2+regressions!$T$1*EXP(AT166)</f>
        <v>-1.3171865494377696E-2</v>
      </c>
      <c r="BC166" s="8">
        <f>(1-EXP(-2*regressions!$X$1*AT166))/2/EXP(-regressions!$X$1*AT166)</f>
        <v>-0.41300092433272068</v>
      </c>
      <c r="BE166">
        <f t="shared" si="40"/>
        <v>0</v>
      </c>
      <c r="BF166">
        <f t="shared" si="31"/>
        <v>0</v>
      </c>
      <c r="BG166">
        <f t="shared" si="32"/>
        <v>0</v>
      </c>
      <c r="BH166">
        <f>BG166+regressions!$AR$1*(AI166-B166)</f>
        <v>0</v>
      </c>
      <c r="BI166">
        <f>BG166-regressions!$AO$1*(AI166-B166)</f>
        <v>0</v>
      </c>
      <c r="BJ166">
        <f t="shared" si="33"/>
        <v>0</v>
      </c>
      <c r="BK166">
        <f>BJ166+regressions!$AR$1*(AT166-B166)</f>
        <v>0</v>
      </c>
      <c r="BL166">
        <f>BJ166-regressions!$AO$1*(AT166-B166)</f>
        <v>0</v>
      </c>
      <c r="BM166">
        <f t="shared" si="41"/>
        <v>0</v>
      </c>
      <c r="BN166">
        <f t="shared" si="34"/>
        <v>0</v>
      </c>
      <c r="BO166">
        <f t="shared" si="35"/>
        <v>0</v>
      </c>
      <c r="BP166">
        <f t="shared" si="42"/>
        <v>0</v>
      </c>
      <c r="BQ166">
        <f t="shared" si="43"/>
        <v>0</v>
      </c>
      <c r="BR166">
        <f t="shared" si="44"/>
        <v>0</v>
      </c>
    </row>
    <row r="167" spans="1:70" x14ac:dyDescent="0.35">
      <c r="A167">
        <v>2014</v>
      </c>
      <c r="B167" s="33">
        <v>1.0112128214076337</v>
      </c>
      <c r="C167">
        <f t="shared" si="45"/>
        <v>-0.46862219642896763</v>
      </c>
      <c r="D167">
        <f>IF($B167&lt;=regressions!$L$2,$B167*regressions!$L$1,regressions!$L$1*regressions!$L$2+regressions!$L$3*($B167-regressions!$L$2))</f>
        <v>-0.80369156049290547</v>
      </c>
      <c r="E167">
        <f>regressions!$J$1*B167+regressions!$J$2*B167^2</f>
        <v>-0.54199625934234485</v>
      </c>
      <c r="F167">
        <f>regressions!$V$1*B167</f>
        <v>-0.80369156276182896</v>
      </c>
      <c r="G167">
        <f>regressions!$N$1*B167^2</f>
        <v>-0.17817432379439879</v>
      </c>
      <c r="H167">
        <f>regressions!$R$1*B167^2+regressions!$R$2*B167^6</f>
        <v>-0.19405223845429972</v>
      </c>
      <c r="I167">
        <f>regressions!$P$1*B167^2+regressions!$P$2*B167^7</f>
        <v>-0.18774334054498124</v>
      </c>
      <c r="J167">
        <f>regressions!$T$2+regressions!$T$1*EXP(B167)</f>
        <v>-1.3667325248383343E-2</v>
      </c>
      <c r="K167" s="8">
        <f>(1-EXP(-2*regressions!$X$1*B167))/2/EXP(-regressions!$X$1*B167)</f>
        <v>-0.42329507602696698</v>
      </c>
      <c r="M167" s="33">
        <v>1.0112128214076337</v>
      </c>
      <c r="N167">
        <f t="shared" si="36"/>
        <v>-0.46862219642896763</v>
      </c>
      <c r="O167">
        <f>IF($B167&lt;=regressions!$L$2,$B167*regressions!$L$1,regressions!$L$1*regressions!$L$2+regressions!$L$3*($B167-regressions!$L$2))</f>
        <v>-0.80369156049290547</v>
      </c>
      <c r="P167">
        <f>regressions!$J$1*M167+regressions!$J$2*M167^2</f>
        <v>-0.54199625934234485</v>
      </c>
      <c r="Q167">
        <f>regressions!$V$1*M167</f>
        <v>-0.80369156276182896</v>
      </c>
      <c r="R167">
        <f>regressions!$N$1*M167^2</f>
        <v>-0.17817432379439879</v>
      </c>
      <c r="S167">
        <f>regressions!$R$1*M167^2+regressions!$R$2*M167^6</f>
        <v>-0.19405223845429972</v>
      </c>
      <c r="T167">
        <f>regressions!$P$1*M167^2+regressions!$P$2*M167^7</f>
        <v>-0.18774334054498124</v>
      </c>
      <c r="U167">
        <f>regressions!$T$2+regressions!$T$1*EXP(M167)</f>
        <v>-1.3667325248383343E-2</v>
      </c>
      <c r="V167" s="8">
        <f>(1-EXP(-2*regressions!$X$1*M167))/2/EXP(-regressions!$X$1*M167)</f>
        <v>-0.42329507602696698</v>
      </c>
      <c r="X167" s="33">
        <v>1.0112128214076337</v>
      </c>
      <c r="Y167">
        <f t="shared" si="37"/>
        <v>-0.46862219642896763</v>
      </c>
      <c r="Z167">
        <f>IF($B167&lt;=regressions!$L$2,$B167*regressions!$L$1,regressions!$L$1*regressions!$L$2+regressions!$L$3*($B167-regressions!$L$2))</f>
        <v>-0.80369156049290547</v>
      </c>
      <c r="AA167">
        <f>regressions!$J$1*X167+regressions!$J$2*X167^2</f>
        <v>-0.54199625934234485</v>
      </c>
      <c r="AB167">
        <f>regressions!$V$1*X167</f>
        <v>-0.80369156276182896</v>
      </c>
      <c r="AC167">
        <f>regressions!$N$1*X167^2</f>
        <v>-0.17817432379439879</v>
      </c>
      <c r="AD167">
        <f>regressions!$R$1*X167^2+regressions!$R$2*X167^6</f>
        <v>-0.19405223845429972</v>
      </c>
      <c r="AE167">
        <f>regressions!$P$1*X167^2+regressions!$P$2*X167^7</f>
        <v>-0.18774334054498124</v>
      </c>
      <c r="AF167">
        <f>regressions!$T$2+regressions!$T$1*EXP(X167)</f>
        <v>-1.3667325248383343E-2</v>
      </c>
      <c r="AG167" s="8">
        <f>(1-EXP(-2*regressions!$X$1*X167))/2/EXP(-regressions!$X$1*X167)</f>
        <v>-0.42329507602696698</v>
      </c>
      <c r="AH167" s="8"/>
      <c r="AI167" s="33">
        <v>1.0112128214076337</v>
      </c>
      <c r="AJ167">
        <f t="shared" si="38"/>
        <v>-0.46862219642896763</v>
      </c>
      <c r="AK167">
        <f>IF(AI167&lt;=regressions!$L$2,AI167*regressions!$L$1,regressions!$L$1*regressions!$L$2+regressions!$L$3*(AI167-regressions!$L$2))</f>
        <v>-0.80369156049290547</v>
      </c>
      <c r="AL167">
        <f>regressions!$J$1*AI167+regressions!$J$2*AI167^2</f>
        <v>-0.54199625934234485</v>
      </c>
      <c r="AM167">
        <f>regressions!$V$1*AI167</f>
        <v>-0.80369156276182896</v>
      </c>
      <c r="AN167">
        <f>regressions!$N$1*AI167^2</f>
        <v>-0.17817432379439879</v>
      </c>
      <c r="AO167">
        <f>regressions!$R$1*AI167^2+regressions!$R$2*AI167^6</f>
        <v>-0.19405223845429972</v>
      </c>
      <c r="AP167">
        <f>regressions!$P$1*AI167^2+regressions!$P$2*AI167^7</f>
        <v>-0.18774334054498124</v>
      </c>
      <c r="AQ167">
        <f>regressions!$T$2+regressions!$T$1*EXP(AI167)</f>
        <v>-1.3667325248383343E-2</v>
      </c>
      <c r="AR167" s="8">
        <f>(1-EXP(-2*regressions!$X$1*AI167))/2/EXP(-regressions!$X$1*AI167)</f>
        <v>-0.42329507602696698</v>
      </c>
      <c r="AT167" s="33">
        <v>1.0112128214076337</v>
      </c>
      <c r="AU167">
        <f t="shared" si="39"/>
        <v>-0.46862219642896763</v>
      </c>
      <c r="AV167">
        <f>IF(AT167&lt;=regressions!$L$2,AT167*regressions!$L$1,regressions!$L$1*regressions!$L$2+regressions!$L$3*(AT167-regressions!$L$2))</f>
        <v>-0.80369156049290547</v>
      </c>
      <c r="AW167">
        <f>regressions!$J$1*AT167+regressions!$J$2*AT167^2</f>
        <v>-0.54199625934234485</v>
      </c>
      <c r="AX167">
        <f>regressions!$V$1*AT167</f>
        <v>-0.80369156276182896</v>
      </c>
      <c r="AY167">
        <f>regressions!$N$1*AT167^2</f>
        <v>-0.17817432379439879</v>
      </c>
      <c r="AZ167">
        <f>regressions!$R$1*AT167^2+regressions!$R$2*AT167^6</f>
        <v>-0.19405223845429972</v>
      </c>
      <c r="BA167">
        <f>regressions!$P$1*AT167^2+regressions!$P$2*AT167^7</f>
        <v>-0.18774334054498124</v>
      </c>
      <c r="BB167">
        <f>regressions!$T$2+regressions!$T$1*EXP(AT167)</f>
        <v>-1.3667325248383343E-2</v>
      </c>
      <c r="BC167" s="8">
        <f>(1-EXP(-2*regressions!$X$1*AT167))/2/EXP(-regressions!$X$1*AT167)</f>
        <v>-0.42329507602696698</v>
      </c>
      <c r="BE167">
        <f t="shared" si="40"/>
        <v>0</v>
      </c>
      <c r="BF167">
        <f t="shared" si="31"/>
        <v>0</v>
      </c>
      <c r="BG167">
        <f t="shared" si="32"/>
        <v>0</v>
      </c>
      <c r="BH167">
        <f>BG167+regressions!$AR$1*(AI167-B167)</f>
        <v>0</v>
      </c>
      <c r="BI167">
        <f>BG167-regressions!$AO$1*(AI167-B167)</f>
        <v>0</v>
      </c>
      <c r="BJ167">
        <f t="shared" si="33"/>
        <v>0</v>
      </c>
      <c r="BK167">
        <f>BJ167+regressions!$AR$1*(AT167-B167)</f>
        <v>0</v>
      </c>
      <c r="BL167">
        <f>BJ167-regressions!$AO$1*(AT167-B167)</f>
        <v>0</v>
      </c>
      <c r="BM167">
        <f t="shared" si="41"/>
        <v>0</v>
      </c>
      <c r="BN167">
        <f t="shared" si="34"/>
        <v>0</v>
      </c>
      <c r="BO167">
        <f t="shared" si="35"/>
        <v>0</v>
      </c>
      <c r="BP167">
        <f t="shared" si="42"/>
        <v>0</v>
      </c>
      <c r="BQ167">
        <f t="shared" si="43"/>
        <v>0</v>
      </c>
      <c r="BR167">
        <f t="shared" si="44"/>
        <v>0</v>
      </c>
    </row>
    <row r="168" spans="1:70" x14ac:dyDescent="0.35">
      <c r="A168">
        <v>2015</v>
      </c>
      <c r="B168" s="33">
        <v>1.0349495448672401</v>
      </c>
      <c r="C168">
        <f t="shared" si="45"/>
        <v>-0.48169498954404411</v>
      </c>
      <c r="D168">
        <f>IF($B168&lt;=regressions!$L$2,$B168*regressions!$L$1,regressions!$L$1*regressions!$L$2+regressions!$L$3*($B168-regressions!$L$2))</f>
        <v>-0.82255702967444133</v>
      </c>
      <c r="E168">
        <f>regressions!$J$1*B168+regressions!$J$2*B168^2</f>
        <v>-0.55672670518659229</v>
      </c>
      <c r="F168">
        <f>regressions!$V$1*B168</f>
        <v>-0.82255703199662444</v>
      </c>
      <c r="G168">
        <f>regressions!$N$1*B168^2</f>
        <v>-0.18663725571247314</v>
      </c>
      <c r="H168">
        <f>regressions!$R$1*B168^2+regressions!$R$2*B168^6</f>
        <v>-0.20326814138739327</v>
      </c>
      <c r="I168">
        <f>regressions!$P$1*B168^2+regressions!$P$2*B168^7</f>
        <v>-0.19666064476211959</v>
      </c>
      <c r="J168">
        <f>regressions!$T$2+regressions!$T$1*EXP(B168)</f>
        <v>-1.4183337300971266E-2</v>
      </c>
      <c r="K168" s="8">
        <f>(1-EXP(-2*regressions!$X$1*B168))/2/EXP(-regressions!$X$1*B168)</f>
        <v>-0.43380603315308297</v>
      </c>
      <c r="M168" s="33">
        <v>1.0349495448672401</v>
      </c>
      <c r="N168">
        <f t="shared" si="36"/>
        <v>-0.48169498954404411</v>
      </c>
      <c r="O168">
        <f>IF($B168&lt;=regressions!$L$2,$B168*regressions!$L$1,regressions!$L$1*regressions!$L$2+regressions!$L$3*($B168-regressions!$L$2))</f>
        <v>-0.82255702967444133</v>
      </c>
      <c r="P168">
        <f>regressions!$J$1*M168+regressions!$J$2*M168^2</f>
        <v>-0.55672670518659229</v>
      </c>
      <c r="Q168">
        <f>regressions!$V$1*M168</f>
        <v>-0.82255703199662444</v>
      </c>
      <c r="R168">
        <f>regressions!$N$1*M168^2</f>
        <v>-0.18663725571247314</v>
      </c>
      <c r="S168">
        <f>regressions!$R$1*M168^2+regressions!$R$2*M168^6</f>
        <v>-0.20326814138739327</v>
      </c>
      <c r="T168">
        <f>regressions!$P$1*M168^2+regressions!$P$2*M168^7</f>
        <v>-0.19666064476211959</v>
      </c>
      <c r="U168">
        <f>regressions!$T$2+regressions!$T$1*EXP(M168)</f>
        <v>-1.4183337300971266E-2</v>
      </c>
      <c r="V168" s="8">
        <f>(1-EXP(-2*regressions!$X$1*M168))/2/EXP(-regressions!$X$1*M168)</f>
        <v>-0.43380603315308297</v>
      </c>
      <c r="X168" s="33">
        <v>1.0349495448672401</v>
      </c>
      <c r="Y168">
        <f t="shared" si="37"/>
        <v>-0.48169498954404411</v>
      </c>
      <c r="Z168">
        <f>IF($B168&lt;=regressions!$L$2,$B168*regressions!$L$1,regressions!$L$1*regressions!$L$2+regressions!$L$3*($B168-regressions!$L$2))</f>
        <v>-0.82255702967444133</v>
      </c>
      <c r="AA168">
        <f>regressions!$J$1*X168+regressions!$J$2*X168^2</f>
        <v>-0.55672670518659229</v>
      </c>
      <c r="AB168">
        <f>regressions!$V$1*X168</f>
        <v>-0.82255703199662444</v>
      </c>
      <c r="AC168">
        <f>regressions!$N$1*X168^2</f>
        <v>-0.18663725571247314</v>
      </c>
      <c r="AD168">
        <f>regressions!$R$1*X168^2+regressions!$R$2*X168^6</f>
        <v>-0.20326814138739327</v>
      </c>
      <c r="AE168">
        <f>regressions!$P$1*X168^2+regressions!$P$2*X168^7</f>
        <v>-0.19666064476211959</v>
      </c>
      <c r="AF168">
        <f>regressions!$T$2+regressions!$T$1*EXP(X168)</f>
        <v>-1.4183337300971266E-2</v>
      </c>
      <c r="AG168" s="8">
        <f>(1-EXP(-2*regressions!$X$1*X168))/2/EXP(-regressions!$X$1*X168)</f>
        <v>-0.43380603315308297</v>
      </c>
      <c r="AH168" s="8"/>
      <c r="AI168" s="33">
        <v>1.0349495448672401</v>
      </c>
      <c r="AJ168">
        <f t="shared" si="38"/>
        <v>-0.48169498954404411</v>
      </c>
      <c r="AK168">
        <f>IF(AI168&lt;=regressions!$L$2,AI168*regressions!$L$1,regressions!$L$1*regressions!$L$2+regressions!$L$3*(AI168-regressions!$L$2))</f>
        <v>-0.82255702967444133</v>
      </c>
      <c r="AL168">
        <f>regressions!$J$1*AI168+regressions!$J$2*AI168^2</f>
        <v>-0.55672670518659229</v>
      </c>
      <c r="AM168">
        <f>regressions!$V$1*AI168</f>
        <v>-0.82255703199662444</v>
      </c>
      <c r="AN168">
        <f>regressions!$N$1*AI168^2</f>
        <v>-0.18663725571247314</v>
      </c>
      <c r="AO168">
        <f>regressions!$R$1*AI168^2+regressions!$R$2*AI168^6</f>
        <v>-0.20326814138739327</v>
      </c>
      <c r="AP168">
        <f>regressions!$P$1*AI168^2+regressions!$P$2*AI168^7</f>
        <v>-0.19666064476211959</v>
      </c>
      <c r="AQ168">
        <f>regressions!$T$2+regressions!$T$1*EXP(AI168)</f>
        <v>-1.4183337300971266E-2</v>
      </c>
      <c r="AR168" s="8">
        <f>(1-EXP(-2*regressions!$X$1*AI168))/2/EXP(-regressions!$X$1*AI168)</f>
        <v>-0.43380603315308297</v>
      </c>
      <c r="AT168" s="33">
        <v>1.0349495448672401</v>
      </c>
      <c r="AU168">
        <f t="shared" si="39"/>
        <v>-0.48169498954404411</v>
      </c>
      <c r="AV168">
        <f>IF(AT168&lt;=regressions!$L$2,AT168*regressions!$L$1,regressions!$L$1*regressions!$L$2+regressions!$L$3*(AT168-regressions!$L$2))</f>
        <v>-0.82255702967444133</v>
      </c>
      <c r="AW168">
        <f>regressions!$J$1*AT168+regressions!$J$2*AT168^2</f>
        <v>-0.55672670518659229</v>
      </c>
      <c r="AX168">
        <f>regressions!$V$1*AT168</f>
        <v>-0.82255703199662444</v>
      </c>
      <c r="AY168">
        <f>regressions!$N$1*AT168^2</f>
        <v>-0.18663725571247314</v>
      </c>
      <c r="AZ168">
        <f>regressions!$R$1*AT168^2+regressions!$R$2*AT168^6</f>
        <v>-0.20326814138739327</v>
      </c>
      <c r="BA168">
        <f>regressions!$P$1*AT168^2+regressions!$P$2*AT168^7</f>
        <v>-0.19666064476211959</v>
      </c>
      <c r="BB168">
        <f>regressions!$T$2+regressions!$T$1*EXP(AT168)</f>
        <v>-1.4183337300971266E-2</v>
      </c>
      <c r="BC168" s="8">
        <f>(1-EXP(-2*regressions!$X$1*AT168))/2/EXP(-regressions!$X$1*AT168)</f>
        <v>-0.43380603315308297</v>
      </c>
      <c r="BE168">
        <f t="shared" si="40"/>
        <v>0</v>
      </c>
      <c r="BF168">
        <f t="shared" si="31"/>
        <v>0</v>
      </c>
      <c r="BG168">
        <f t="shared" si="32"/>
        <v>0</v>
      </c>
      <c r="BH168">
        <f>BG168+regressions!$AR$1*(AI168-B168)</f>
        <v>0</v>
      </c>
      <c r="BI168">
        <f>BG168-regressions!$AO$1*(AI168-B168)</f>
        <v>0</v>
      </c>
      <c r="BJ168">
        <f t="shared" si="33"/>
        <v>0</v>
      </c>
      <c r="BK168">
        <f>BJ168+regressions!$AR$1*(AT168-B168)</f>
        <v>0</v>
      </c>
      <c r="BL168">
        <f>BJ168-regressions!$AO$1*(AT168-B168)</f>
        <v>0</v>
      </c>
      <c r="BM168">
        <f t="shared" si="41"/>
        <v>0</v>
      </c>
      <c r="BN168">
        <f t="shared" si="34"/>
        <v>0</v>
      </c>
      <c r="BO168">
        <f t="shared" si="35"/>
        <v>0</v>
      </c>
      <c r="BP168">
        <f t="shared" si="42"/>
        <v>0</v>
      </c>
      <c r="BQ168">
        <f t="shared" si="43"/>
        <v>0</v>
      </c>
      <c r="BR168">
        <f t="shared" si="44"/>
        <v>0</v>
      </c>
    </row>
    <row r="169" spans="1:70" x14ac:dyDescent="0.35">
      <c r="A169">
        <v>2016</v>
      </c>
      <c r="B169" s="33">
        <v>1.0591675986301115</v>
      </c>
      <c r="C169">
        <f t="shared" si="45"/>
        <v>-0.4951333640862372</v>
      </c>
      <c r="D169">
        <f>IF($B169&lt;=regressions!$L$2,$B169*regressions!$L$1,regressions!$L$1*regressions!$L$2+regressions!$L$3*($B169-regressions!$L$2))</f>
        <v>-0.84180505047553145</v>
      </c>
      <c r="E169">
        <f>regressions!$J$1*B169+regressions!$J$2*B169^2</f>
        <v>-0.57185077591002809</v>
      </c>
      <c r="F169">
        <f>regressions!$V$1*B169</f>
        <v>-0.84180505285205409</v>
      </c>
      <c r="G169">
        <f>regressions!$N$1*B169^2</f>
        <v>-0.19547416089949141</v>
      </c>
      <c r="H169">
        <f>regressions!$R$1*B169^2+regressions!$R$2*B169^6</f>
        <v>-0.2128911128371764</v>
      </c>
      <c r="I169">
        <f>regressions!$P$1*B169^2+regressions!$P$2*B169^7</f>
        <v>-0.20597197666953068</v>
      </c>
      <c r="J169">
        <f>regressions!$T$2+regressions!$T$1*EXP(B169)</f>
        <v>-1.4722589568177437E-2</v>
      </c>
      <c r="K169" s="8">
        <f>(1-EXP(-2*regressions!$X$1*B169))/2/EXP(-regressions!$X$1*B169)</f>
        <v>-0.44457186772879614</v>
      </c>
      <c r="M169" s="33">
        <v>1.0591675986301115</v>
      </c>
      <c r="N169">
        <f t="shared" si="36"/>
        <v>-0.4951333640862372</v>
      </c>
      <c r="O169">
        <f>IF($B169&lt;=regressions!$L$2,$B169*regressions!$L$1,regressions!$L$1*regressions!$L$2+regressions!$L$3*($B169-regressions!$L$2))</f>
        <v>-0.84180505047553145</v>
      </c>
      <c r="P169">
        <f>regressions!$J$1*M169+regressions!$J$2*M169^2</f>
        <v>-0.57185077591002809</v>
      </c>
      <c r="Q169">
        <f>regressions!$V$1*M169</f>
        <v>-0.84180505285205409</v>
      </c>
      <c r="R169">
        <f>regressions!$N$1*M169^2</f>
        <v>-0.19547416089949141</v>
      </c>
      <c r="S169">
        <f>regressions!$R$1*M169^2+regressions!$R$2*M169^6</f>
        <v>-0.2128911128371764</v>
      </c>
      <c r="T169">
        <f>regressions!$P$1*M169^2+regressions!$P$2*M169^7</f>
        <v>-0.20597197666953068</v>
      </c>
      <c r="U169">
        <f>regressions!$T$2+regressions!$T$1*EXP(M169)</f>
        <v>-1.4722589568177437E-2</v>
      </c>
      <c r="V169" s="8">
        <f>(1-EXP(-2*regressions!$X$1*M169))/2/EXP(-regressions!$X$1*M169)</f>
        <v>-0.44457186772879614</v>
      </c>
      <c r="X169" s="33">
        <v>1.0591675986301115</v>
      </c>
      <c r="Y169">
        <f t="shared" si="37"/>
        <v>-0.4951333640862372</v>
      </c>
      <c r="Z169">
        <f>IF($B169&lt;=regressions!$L$2,$B169*regressions!$L$1,regressions!$L$1*regressions!$L$2+regressions!$L$3*($B169-regressions!$L$2))</f>
        <v>-0.84180505047553145</v>
      </c>
      <c r="AA169">
        <f>regressions!$J$1*X169+regressions!$J$2*X169^2</f>
        <v>-0.57185077591002809</v>
      </c>
      <c r="AB169">
        <f>regressions!$V$1*X169</f>
        <v>-0.84180505285205409</v>
      </c>
      <c r="AC169">
        <f>regressions!$N$1*X169^2</f>
        <v>-0.19547416089949141</v>
      </c>
      <c r="AD169">
        <f>regressions!$R$1*X169^2+regressions!$R$2*X169^6</f>
        <v>-0.2128911128371764</v>
      </c>
      <c r="AE169">
        <f>regressions!$P$1*X169^2+regressions!$P$2*X169^7</f>
        <v>-0.20597197666953068</v>
      </c>
      <c r="AF169">
        <f>regressions!$T$2+regressions!$T$1*EXP(X169)</f>
        <v>-1.4722589568177437E-2</v>
      </c>
      <c r="AG169" s="8">
        <f>(1-EXP(-2*regressions!$X$1*X169))/2/EXP(-regressions!$X$1*X169)</f>
        <v>-0.44457186772879614</v>
      </c>
      <c r="AH169" s="8"/>
      <c r="AI169" s="33">
        <v>1.0591675986301115</v>
      </c>
      <c r="AJ169">
        <f t="shared" si="38"/>
        <v>-0.4951333640862372</v>
      </c>
      <c r="AK169">
        <f>IF(AI169&lt;=regressions!$L$2,AI169*regressions!$L$1,regressions!$L$1*regressions!$L$2+regressions!$L$3*(AI169-regressions!$L$2))</f>
        <v>-0.84180505047553145</v>
      </c>
      <c r="AL169">
        <f>regressions!$J$1*AI169+regressions!$J$2*AI169^2</f>
        <v>-0.57185077591002809</v>
      </c>
      <c r="AM169">
        <f>regressions!$V$1*AI169</f>
        <v>-0.84180505285205409</v>
      </c>
      <c r="AN169">
        <f>regressions!$N$1*AI169^2</f>
        <v>-0.19547416089949141</v>
      </c>
      <c r="AO169">
        <f>regressions!$R$1*AI169^2+regressions!$R$2*AI169^6</f>
        <v>-0.2128911128371764</v>
      </c>
      <c r="AP169">
        <f>regressions!$P$1*AI169^2+regressions!$P$2*AI169^7</f>
        <v>-0.20597197666953068</v>
      </c>
      <c r="AQ169">
        <f>regressions!$T$2+regressions!$T$1*EXP(AI169)</f>
        <v>-1.4722589568177437E-2</v>
      </c>
      <c r="AR169" s="8">
        <f>(1-EXP(-2*regressions!$X$1*AI169))/2/EXP(-regressions!$X$1*AI169)</f>
        <v>-0.44457186772879614</v>
      </c>
      <c r="AT169" s="33">
        <v>1.0591675986301115</v>
      </c>
      <c r="AU169">
        <f t="shared" si="39"/>
        <v>-0.4951333640862372</v>
      </c>
      <c r="AV169">
        <f>IF(AT169&lt;=regressions!$L$2,AT169*regressions!$L$1,regressions!$L$1*regressions!$L$2+regressions!$L$3*(AT169-regressions!$L$2))</f>
        <v>-0.84180505047553145</v>
      </c>
      <c r="AW169">
        <f>regressions!$J$1*AT169+regressions!$J$2*AT169^2</f>
        <v>-0.57185077591002809</v>
      </c>
      <c r="AX169">
        <f>regressions!$V$1*AT169</f>
        <v>-0.84180505285205409</v>
      </c>
      <c r="AY169">
        <f>regressions!$N$1*AT169^2</f>
        <v>-0.19547416089949141</v>
      </c>
      <c r="AZ169">
        <f>regressions!$R$1*AT169^2+regressions!$R$2*AT169^6</f>
        <v>-0.2128911128371764</v>
      </c>
      <c r="BA169">
        <f>regressions!$P$1*AT169^2+regressions!$P$2*AT169^7</f>
        <v>-0.20597197666953068</v>
      </c>
      <c r="BB169">
        <f>regressions!$T$2+regressions!$T$1*EXP(AT169)</f>
        <v>-1.4722589568177437E-2</v>
      </c>
      <c r="BC169" s="8">
        <f>(1-EXP(-2*regressions!$X$1*AT169))/2/EXP(-regressions!$X$1*AT169)</f>
        <v>-0.44457186772879614</v>
      </c>
      <c r="BE169">
        <f t="shared" si="40"/>
        <v>0</v>
      </c>
      <c r="BF169">
        <f t="shared" si="31"/>
        <v>0</v>
      </c>
      <c r="BG169">
        <f t="shared" si="32"/>
        <v>0</v>
      </c>
      <c r="BH169">
        <f>BG169+regressions!$AR$1*(AI169-B169)</f>
        <v>0</v>
      </c>
      <c r="BI169">
        <f>BG169-regressions!$AO$1*(AI169-B169)</f>
        <v>0</v>
      </c>
      <c r="BJ169">
        <f t="shared" si="33"/>
        <v>0</v>
      </c>
      <c r="BK169">
        <f>BJ169+regressions!$AR$1*(AT169-B169)</f>
        <v>0</v>
      </c>
      <c r="BL169">
        <f>BJ169-regressions!$AO$1*(AT169-B169)</f>
        <v>0</v>
      </c>
      <c r="BM169">
        <f t="shared" si="41"/>
        <v>0</v>
      </c>
      <c r="BN169">
        <f t="shared" si="34"/>
        <v>0</v>
      </c>
      <c r="BO169">
        <f t="shared" si="35"/>
        <v>0</v>
      </c>
      <c r="BP169">
        <f t="shared" si="42"/>
        <v>0</v>
      </c>
      <c r="BQ169">
        <f t="shared" si="43"/>
        <v>0</v>
      </c>
      <c r="BR169">
        <f t="shared" si="44"/>
        <v>0</v>
      </c>
    </row>
    <row r="170" spans="1:70" x14ac:dyDescent="0.35">
      <c r="A170">
        <v>2017</v>
      </c>
      <c r="B170" s="33">
        <v>1.0838833122779092</v>
      </c>
      <c r="C170">
        <f t="shared" si="45"/>
        <v>-0.50895272174787642</v>
      </c>
      <c r="D170">
        <f>IF($B170&lt;=regressions!$L$2,$B170*regressions!$L$1,regressions!$L$1*regressions!$L$2+regressions!$L$3*($B170-regressions!$L$2))</f>
        <v>-0.86144860131841283</v>
      </c>
      <c r="E170">
        <f>regressions!$J$1*B170+regressions!$J$2*B170^2</f>
        <v>-0.58738448407737265</v>
      </c>
      <c r="F170">
        <f>regressions!$V$1*B170</f>
        <v>-0.86144860375039178</v>
      </c>
      <c r="G170">
        <f>regressions!$N$1*B170^2</f>
        <v>-0.2047033942665738</v>
      </c>
      <c r="H170">
        <f>regressions!$R$1*B170^2+regressions!$R$2*B170^6</f>
        <v>-0.22294110753141677</v>
      </c>
      <c r="I170">
        <f>regressions!$P$1*B170^2+regressions!$P$2*B170^7</f>
        <v>-0.21569667150611621</v>
      </c>
      <c r="J170">
        <f>regressions!$T$2+regressions!$T$1*EXP(B170)</f>
        <v>-1.5286554589787182E-2</v>
      </c>
      <c r="K170" s="8">
        <f>(1-EXP(-2*regressions!$X$1*B170))/2/EXP(-regressions!$X$1*B170)</f>
        <v>-0.45560347442427163</v>
      </c>
      <c r="M170" s="33">
        <v>1.0838833122779092</v>
      </c>
      <c r="N170">
        <f t="shared" si="36"/>
        <v>-0.50895272174787642</v>
      </c>
      <c r="O170">
        <f>IF($B170&lt;=regressions!$L$2,$B170*regressions!$L$1,regressions!$L$1*regressions!$L$2+regressions!$L$3*($B170-regressions!$L$2))</f>
        <v>-0.86144860131841283</v>
      </c>
      <c r="P170">
        <f>regressions!$J$1*M170+regressions!$J$2*M170^2</f>
        <v>-0.58738448407737265</v>
      </c>
      <c r="Q170">
        <f>regressions!$V$1*M170</f>
        <v>-0.86144860375039178</v>
      </c>
      <c r="R170">
        <f>regressions!$N$1*M170^2</f>
        <v>-0.2047033942665738</v>
      </c>
      <c r="S170">
        <f>regressions!$R$1*M170^2+regressions!$R$2*M170^6</f>
        <v>-0.22294110753141677</v>
      </c>
      <c r="T170">
        <f>regressions!$P$1*M170^2+regressions!$P$2*M170^7</f>
        <v>-0.21569667150611621</v>
      </c>
      <c r="U170">
        <f>regressions!$T$2+regressions!$T$1*EXP(M170)</f>
        <v>-1.5286554589787182E-2</v>
      </c>
      <c r="V170" s="8">
        <f>(1-EXP(-2*regressions!$X$1*M170))/2/EXP(-regressions!$X$1*M170)</f>
        <v>-0.45560347442427163</v>
      </c>
      <c r="X170" s="33">
        <v>1.0838833122779092</v>
      </c>
      <c r="Y170">
        <f t="shared" si="37"/>
        <v>-0.50895272174787642</v>
      </c>
      <c r="Z170">
        <f>IF($B170&lt;=regressions!$L$2,$B170*regressions!$L$1,regressions!$L$1*regressions!$L$2+regressions!$L$3*($B170-regressions!$L$2))</f>
        <v>-0.86144860131841283</v>
      </c>
      <c r="AA170">
        <f>regressions!$J$1*X170+regressions!$J$2*X170^2</f>
        <v>-0.58738448407737265</v>
      </c>
      <c r="AB170">
        <f>regressions!$V$1*X170</f>
        <v>-0.86144860375039178</v>
      </c>
      <c r="AC170">
        <f>regressions!$N$1*X170^2</f>
        <v>-0.2047033942665738</v>
      </c>
      <c r="AD170">
        <f>regressions!$R$1*X170^2+regressions!$R$2*X170^6</f>
        <v>-0.22294110753141677</v>
      </c>
      <c r="AE170">
        <f>regressions!$P$1*X170^2+regressions!$P$2*X170^7</f>
        <v>-0.21569667150611621</v>
      </c>
      <c r="AF170">
        <f>regressions!$T$2+regressions!$T$1*EXP(X170)</f>
        <v>-1.5286554589787182E-2</v>
      </c>
      <c r="AG170" s="8">
        <f>(1-EXP(-2*regressions!$X$1*X170))/2/EXP(-regressions!$X$1*X170)</f>
        <v>-0.45560347442427163</v>
      </c>
      <c r="AH170" s="8"/>
      <c r="AI170" s="33">
        <v>1.0838833122779092</v>
      </c>
      <c r="AJ170">
        <f t="shared" si="38"/>
        <v>-0.50895272174787642</v>
      </c>
      <c r="AK170">
        <f>IF(AI170&lt;=regressions!$L$2,AI170*regressions!$L$1,regressions!$L$1*regressions!$L$2+regressions!$L$3*(AI170-regressions!$L$2))</f>
        <v>-0.86144860131841283</v>
      </c>
      <c r="AL170">
        <f>regressions!$J$1*AI170+regressions!$J$2*AI170^2</f>
        <v>-0.58738448407737265</v>
      </c>
      <c r="AM170">
        <f>regressions!$V$1*AI170</f>
        <v>-0.86144860375039178</v>
      </c>
      <c r="AN170">
        <f>regressions!$N$1*AI170^2</f>
        <v>-0.2047033942665738</v>
      </c>
      <c r="AO170">
        <f>regressions!$R$1*AI170^2+regressions!$R$2*AI170^6</f>
        <v>-0.22294110753141677</v>
      </c>
      <c r="AP170">
        <f>regressions!$P$1*AI170^2+regressions!$P$2*AI170^7</f>
        <v>-0.21569667150611621</v>
      </c>
      <c r="AQ170">
        <f>regressions!$T$2+regressions!$T$1*EXP(AI170)</f>
        <v>-1.5286554589787182E-2</v>
      </c>
      <c r="AR170" s="8">
        <f>(1-EXP(-2*regressions!$X$1*AI170))/2/EXP(-regressions!$X$1*AI170)</f>
        <v>-0.45560347442427163</v>
      </c>
      <c r="AT170" s="33">
        <v>1.0838833122779092</v>
      </c>
      <c r="AU170">
        <f t="shared" si="39"/>
        <v>-0.50895272174787642</v>
      </c>
      <c r="AV170">
        <f>IF(AT170&lt;=regressions!$L$2,AT170*regressions!$L$1,regressions!$L$1*regressions!$L$2+regressions!$L$3*(AT170-regressions!$L$2))</f>
        <v>-0.86144860131841283</v>
      </c>
      <c r="AW170">
        <f>regressions!$J$1*AT170+regressions!$J$2*AT170^2</f>
        <v>-0.58738448407737265</v>
      </c>
      <c r="AX170">
        <f>regressions!$V$1*AT170</f>
        <v>-0.86144860375039178</v>
      </c>
      <c r="AY170">
        <f>regressions!$N$1*AT170^2</f>
        <v>-0.2047033942665738</v>
      </c>
      <c r="AZ170">
        <f>regressions!$R$1*AT170^2+regressions!$R$2*AT170^6</f>
        <v>-0.22294110753141677</v>
      </c>
      <c r="BA170">
        <f>regressions!$P$1*AT170^2+regressions!$P$2*AT170^7</f>
        <v>-0.21569667150611621</v>
      </c>
      <c r="BB170">
        <f>regressions!$T$2+regressions!$T$1*EXP(AT170)</f>
        <v>-1.5286554589787182E-2</v>
      </c>
      <c r="BC170" s="8">
        <f>(1-EXP(-2*regressions!$X$1*AT170))/2/EXP(-regressions!$X$1*AT170)</f>
        <v>-0.45560347442427163</v>
      </c>
      <c r="BE170">
        <f t="shared" si="40"/>
        <v>0</v>
      </c>
      <c r="BF170">
        <f t="shared" si="31"/>
        <v>0</v>
      </c>
      <c r="BG170">
        <f t="shared" si="32"/>
        <v>0</v>
      </c>
      <c r="BH170">
        <f>BG170+regressions!$AR$1*(AI170-B170)</f>
        <v>0</v>
      </c>
      <c r="BI170">
        <f>BG170-regressions!$AO$1*(AI170-B170)</f>
        <v>0</v>
      </c>
      <c r="BJ170">
        <f t="shared" si="33"/>
        <v>0</v>
      </c>
      <c r="BK170">
        <f>BJ170+regressions!$AR$1*(AT170-B170)</f>
        <v>0</v>
      </c>
      <c r="BL170">
        <f>BJ170-regressions!$AO$1*(AT170-B170)</f>
        <v>0</v>
      </c>
      <c r="BM170">
        <f t="shared" si="41"/>
        <v>0</v>
      </c>
      <c r="BN170">
        <f t="shared" si="34"/>
        <v>0</v>
      </c>
      <c r="BO170">
        <f t="shared" si="35"/>
        <v>0</v>
      </c>
      <c r="BP170">
        <f t="shared" si="42"/>
        <v>0</v>
      </c>
      <c r="BQ170">
        <f t="shared" si="43"/>
        <v>0</v>
      </c>
      <c r="BR170">
        <f t="shared" si="44"/>
        <v>0</v>
      </c>
    </row>
    <row r="171" spans="1:70" x14ac:dyDescent="0.35">
      <c r="A171">
        <v>2018</v>
      </c>
      <c r="B171" s="33">
        <v>1.1090761124662472</v>
      </c>
      <c r="C171">
        <f t="shared" si="45"/>
        <v>-0.52314801873655681</v>
      </c>
      <c r="D171">
        <f>IF($B171&lt;=regressions!$L$2,$B171*regressions!$L$1,regressions!$L$1*regressions!$L$2+regressions!$L$3*($B171-regressions!$L$2))</f>
        <v>-0.88147133092380547</v>
      </c>
      <c r="E171">
        <f>regressions!$J$1*B171+regressions!$J$2*B171^2</f>
        <v>-0.6033208050490918</v>
      </c>
      <c r="F171">
        <f>regressions!$V$1*B171</f>
        <v>-0.8814713334123111</v>
      </c>
      <c r="G171">
        <f>regressions!$N$1*B171^2</f>
        <v>-0.21432986339980123</v>
      </c>
      <c r="H171">
        <f>regressions!$R$1*B171^2+regressions!$R$2*B171^6</f>
        <v>-0.23342343233692017</v>
      </c>
      <c r="I171">
        <f>regressions!$P$1*B171^2+regressions!$P$2*B171^7</f>
        <v>-0.22583989442729008</v>
      </c>
      <c r="J171">
        <f>regressions!$T$2+regressions!$T$1*EXP(B171)</f>
        <v>-1.5875931860204084E-2</v>
      </c>
      <c r="K171" s="8">
        <f>(1-EXP(-2*regressions!$X$1*B171))/2/EXP(-regressions!$X$1*B171)</f>
        <v>-0.46689548030602662</v>
      </c>
      <c r="M171" s="33">
        <v>1.1090761124662472</v>
      </c>
      <c r="N171">
        <f t="shared" si="36"/>
        <v>-0.52314801873655681</v>
      </c>
      <c r="O171">
        <f>IF($B171&lt;=regressions!$L$2,$B171*regressions!$L$1,regressions!$L$1*regressions!$L$2+regressions!$L$3*($B171-regressions!$L$2))</f>
        <v>-0.88147133092380547</v>
      </c>
      <c r="P171">
        <f>regressions!$J$1*M171+regressions!$J$2*M171^2</f>
        <v>-0.6033208050490918</v>
      </c>
      <c r="Q171">
        <f>regressions!$V$1*M171</f>
        <v>-0.8814713334123111</v>
      </c>
      <c r="R171">
        <f>regressions!$N$1*M171^2</f>
        <v>-0.21432986339980123</v>
      </c>
      <c r="S171">
        <f>regressions!$R$1*M171^2+regressions!$R$2*M171^6</f>
        <v>-0.23342343233692017</v>
      </c>
      <c r="T171">
        <f>regressions!$P$1*M171^2+regressions!$P$2*M171^7</f>
        <v>-0.22583989442729008</v>
      </c>
      <c r="U171">
        <f>regressions!$T$2+regressions!$T$1*EXP(M171)</f>
        <v>-1.5875931860204084E-2</v>
      </c>
      <c r="V171" s="8">
        <f>(1-EXP(-2*regressions!$X$1*M171))/2/EXP(-regressions!$X$1*M171)</f>
        <v>-0.46689548030602662</v>
      </c>
      <c r="X171" s="33">
        <v>1.1090761124662472</v>
      </c>
      <c r="Y171">
        <f t="shared" si="37"/>
        <v>-0.52314801873655681</v>
      </c>
      <c r="Z171">
        <f>IF($B171&lt;=regressions!$L$2,$B171*regressions!$L$1,regressions!$L$1*regressions!$L$2+regressions!$L$3*($B171-regressions!$L$2))</f>
        <v>-0.88147133092380547</v>
      </c>
      <c r="AA171">
        <f>regressions!$J$1*X171+regressions!$J$2*X171^2</f>
        <v>-0.6033208050490918</v>
      </c>
      <c r="AB171">
        <f>regressions!$V$1*X171</f>
        <v>-0.8814713334123111</v>
      </c>
      <c r="AC171">
        <f>regressions!$N$1*X171^2</f>
        <v>-0.21432986339980123</v>
      </c>
      <c r="AD171">
        <f>regressions!$R$1*X171^2+regressions!$R$2*X171^6</f>
        <v>-0.23342343233692017</v>
      </c>
      <c r="AE171">
        <f>regressions!$P$1*X171^2+regressions!$P$2*X171^7</f>
        <v>-0.22583989442729008</v>
      </c>
      <c r="AF171">
        <f>regressions!$T$2+regressions!$T$1*EXP(X171)</f>
        <v>-1.5875931860204084E-2</v>
      </c>
      <c r="AG171" s="8">
        <f>(1-EXP(-2*regressions!$X$1*X171))/2/EXP(-regressions!$X$1*X171)</f>
        <v>-0.46689548030602662</v>
      </c>
      <c r="AH171" s="8"/>
      <c r="AI171" s="33">
        <v>1.1090761124662472</v>
      </c>
      <c r="AJ171">
        <f t="shared" si="38"/>
        <v>-0.52314801873655681</v>
      </c>
      <c r="AK171">
        <f>IF(AI171&lt;=regressions!$L$2,AI171*regressions!$L$1,regressions!$L$1*regressions!$L$2+regressions!$L$3*(AI171-regressions!$L$2))</f>
        <v>-0.88147133092380547</v>
      </c>
      <c r="AL171">
        <f>regressions!$J$1*AI171+regressions!$J$2*AI171^2</f>
        <v>-0.6033208050490918</v>
      </c>
      <c r="AM171">
        <f>regressions!$V$1*AI171</f>
        <v>-0.8814713334123111</v>
      </c>
      <c r="AN171">
        <f>regressions!$N$1*AI171^2</f>
        <v>-0.21432986339980123</v>
      </c>
      <c r="AO171">
        <f>regressions!$R$1*AI171^2+regressions!$R$2*AI171^6</f>
        <v>-0.23342343233692017</v>
      </c>
      <c r="AP171">
        <f>regressions!$P$1*AI171^2+regressions!$P$2*AI171^7</f>
        <v>-0.22583989442729008</v>
      </c>
      <c r="AQ171">
        <f>regressions!$T$2+regressions!$T$1*EXP(AI171)</f>
        <v>-1.5875931860204084E-2</v>
      </c>
      <c r="AR171" s="8">
        <f>(1-EXP(-2*regressions!$X$1*AI171))/2/EXP(-regressions!$X$1*AI171)</f>
        <v>-0.46689548030602662</v>
      </c>
      <c r="AT171" s="33">
        <v>1.1090761124662472</v>
      </c>
      <c r="AU171">
        <f t="shared" si="39"/>
        <v>-0.52314801873655681</v>
      </c>
      <c r="AV171">
        <f>IF(AT171&lt;=regressions!$L$2,AT171*regressions!$L$1,regressions!$L$1*regressions!$L$2+regressions!$L$3*(AT171-regressions!$L$2))</f>
        <v>-0.88147133092380547</v>
      </c>
      <c r="AW171">
        <f>regressions!$J$1*AT171+regressions!$J$2*AT171^2</f>
        <v>-0.6033208050490918</v>
      </c>
      <c r="AX171">
        <f>regressions!$V$1*AT171</f>
        <v>-0.8814713334123111</v>
      </c>
      <c r="AY171">
        <f>regressions!$N$1*AT171^2</f>
        <v>-0.21432986339980123</v>
      </c>
      <c r="AZ171">
        <f>regressions!$R$1*AT171^2+regressions!$R$2*AT171^6</f>
        <v>-0.23342343233692017</v>
      </c>
      <c r="BA171">
        <f>regressions!$P$1*AT171^2+regressions!$P$2*AT171^7</f>
        <v>-0.22583989442729008</v>
      </c>
      <c r="BB171">
        <f>regressions!$T$2+regressions!$T$1*EXP(AT171)</f>
        <v>-1.5875931860204084E-2</v>
      </c>
      <c r="BC171" s="8">
        <f>(1-EXP(-2*regressions!$X$1*AT171))/2/EXP(-regressions!$X$1*AT171)</f>
        <v>-0.46689548030602662</v>
      </c>
      <c r="BE171">
        <f t="shared" si="40"/>
        <v>0</v>
      </c>
      <c r="BF171">
        <f t="shared" si="31"/>
        <v>0</v>
      </c>
      <c r="BG171">
        <f t="shared" si="32"/>
        <v>0</v>
      </c>
      <c r="BH171">
        <f>BG171+regressions!$AR$1*(AI171-B171)</f>
        <v>0</v>
      </c>
      <c r="BI171">
        <f>BG171-regressions!$AO$1*(AI171-B171)</f>
        <v>0</v>
      </c>
      <c r="BJ171">
        <f t="shared" si="33"/>
        <v>0</v>
      </c>
      <c r="BK171">
        <f>BJ171+regressions!$AR$1*(AT171-B171)</f>
        <v>0</v>
      </c>
      <c r="BL171">
        <f>BJ171-regressions!$AO$1*(AT171-B171)</f>
        <v>0</v>
      </c>
      <c r="BM171">
        <f t="shared" si="41"/>
        <v>0</v>
      </c>
      <c r="BN171">
        <f t="shared" si="34"/>
        <v>0</v>
      </c>
      <c r="BO171">
        <f t="shared" si="35"/>
        <v>0</v>
      </c>
      <c r="BP171">
        <f t="shared" si="42"/>
        <v>0</v>
      </c>
      <c r="BQ171">
        <f t="shared" si="43"/>
        <v>0</v>
      </c>
      <c r="BR171">
        <f t="shared" si="44"/>
        <v>0</v>
      </c>
    </row>
    <row r="172" spans="1:70" x14ac:dyDescent="0.35">
      <c r="A172">
        <v>2019</v>
      </c>
      <c r="B172" s="33">
        <v>1.1347391333457979</v>
      </c>
      <c r="C172">
        <f t="shared" si="45"/>
        <v>-0.53772181137962338</v>
      </c>
      <c r="D172">
        <f>IF($B172&lt;=regressions!$L$2,$B172*regressions!$L$1,regressions!$L$1*regressions!$L$2+regressions!$L$3*($B172-regressions!$L$2))</f>
        <v>-0.90186778245310617</v>
      </c>
      <c r="E172">
        <f>regressions!$J$1*B172+regressions!$J$2*B172^2</f>
        <v>-0.61966124690928459</v>
      </c>
      <c r="F172">
        <f>regressions!$V$1*B172</f>
        <v>-0.90186778499919351</v>
      </c>
      <c r="G172">
        <f>regressions!$N$1*B172^2</f>
        <v>-0.22436341887224909</v>
      </c>
      <c r="H172">
        <f>regressions!$R$1*B172^2+regressions!$R$2*B172^6</f>
        <v>-0.24434877204155847</v>
      </c>
      <c r="I172">
        <f>regressions!$P$1*B172^2+regressions!$P$2*B172^7</f>
        <v>-0.23641201803654299</v>
      </c>
      <c r="J172">
        <f>regressions!$T$2+regressions!$T$1*EXP(B172)</f>
        <v>-1.6491772510264402E-2</v>
      </c>
      <c r="K172" s="8">
        <f>(1-EXP(-2*regressions!$X$1*B172))/2/EXP(-regressions!$X$1*B172)</f>
        <v>-0.47844873062858112</v>
      </c>
      <c r="M172" s="33">
        <v>1.1347391333457979</v>
      </c>
      <c r="N172">
        <f t="shared" si="36"/>
        <v>-0.53772181137962338</v>
      </c>
      <c r="O172">
        <f>IF($B172&lt;=regressions!$L$2,$B172*regressions!$L$1,regressions!$L$1*regressions!$L$2+regressions!$L$3*($B172-regressions!$L$2))</f>
        <v>-0.90186778245310617</v>
      </c>
      <c r="P172">
        <f>regressions!$J$1*M172+regressions!$J$2*M172^2</f>
        <v>-0.61966124690928459</v>
      </c>
      <c r="Q172">
        <f>regressions!$V$1*M172</f>
        <v>-0.90186778499919351</v>
      </c>
      <c r="R172">
        <f>regressions!$N$1*M172^2</f>
        <v>-0.22436341887224909</v>
      </c>
      <c r="S172">
        <f>regressions!$R$1*M172^2+regressions!$R$2*M172^6</f>
        <v>-0.24434877204155847</v>
      </c>
      <c r="T172">
        <f>regressions!$P$1*M172^2+regressions!$P$2*M172^7</f>
        <v>-0.23641201803654299</v>
      </c>
      <c r="U172">
        <f>regressions!$T$2+regressions!$T$1*EXP(M172)</f>
        <v>-1.6491772510264402E-2</v>
      </c>
      <c r="V172" s="8">
        <f>(1-EXP(-2*regressions!$X$1*M172))/2/EXP(-regressions!$X$1*M172)</f>
        <v>-0.47844873062858112</v>
      </c>
      <c r="X172" s="33">
        <v>1.1347391333457979</v>
      </c>
      <c r="Y172">
        <f t="shared" si="37"/>
        <v>-0.53772181137962338</v>
      </c>
      <c r="Z172">
        <f>IF($B172&lt;=regressions!$L$2,$B172*regressions!$L$1,regressions!$L$1*regressions!$L$2+regressions!$L$3*($B172-regressions!$L$2))</f>
        <v>-0.90186778245310617</v>
      </c>
      <c r="AA172">
        <f>regressions!$J$1*X172+regressions!$J$2*X172^2</f>
        <v>-0.61966124690928459</v>
      </c>
      <c r="AB172">
        <f>regressions!$V$1*X172</f>
        <v>-0.90186778499919351</v>
      </c>
      <c r="AC172">
        <f>regressions!$N$1*X172^2</f>
        <v>-0.22436341887224909</v>
      </c>
      <c r="AD172">
        <f>regressions!$R$1*X172^2+regressions!$R$2*X172^6</f>
        <v>-0.24434877204155847</v>
      </c>
      <c r="AE172">
        <f>regressions!$P$1*X172^2+regressions!$P$2*X172^7</f>
        <v>-0.23641201803654299</v>
      </c>
      <c r="AF172">
        <f>regressions!$T$2+regressions!$T$1*EXP(X172)</f>
        <v>-1.6491772510264402E-2</v>
      </c>
      <c r="AG172" s="8">
        <f>(1-EXP(-2*regressions!$X$1*X172))/2/EXP(-regressions!$X$1*X172)</f>
        <v>-0.47844873062858112</v>
      </c>
      <c r="AH172" s="8"/>
      <c r="AI172" s="33">
        <v>1.1347391333457979</v>
      </c>
      <c r="AJ172">
        <f t="shared" si="38"/>
        <v>-0.53772181137962338</v>
      </c>
      <c r="AK172">
        <f>IF(AI172&lt;=regressions!$L$2,AI172*regressions!$L$1,regressions!$L$1*regressions!$L$2+regressions!$L$3*(AI172-regressions!$L$2))</f>
        <v>-0.90186778245310617</v>
      </c>
      <c r="AL172">
        <f>regressions!$J$1*AI172+regressions!$J$2*AI172^2</f>
        <v>-0.61966124690928459</v>
      </c>
      <c r="AM172">
        <f>regressions!$V$1*AI172</f>
        <v>-0.90186778499919351</v>
      </c>
      <c r="AN172">
        <f>regressions!$N$1*AI172^2</f>
        <v>-0.22436341887224909</v>
      </c>
      <c r="AO172">
        <f>regressions!$R$1*AI172^2+regressions!$R$2*AI172^6</f>
        <v>-0.24434877204155847</v>
      </c>
      <c r="AP172">
        <f>regressions!$P$1*AI172^2+regressions!$P$2*AI172^7</f>
        <v>-0.23641201803654299</v>
      </c>
      <c r="AQ172">
        <f>regressions!$T$2+regressions!$T$1*EXP(AI172)</f>
        <v>-1.6491772510264402E-2</v>
      </c>
      <c r="AR172" s="8">
        <f>(1-EXP(-2*regressions!$X$1*AI172))/2/EXP(-regressions!$X$1*AI172)</f>
        <v>-0.47844873062858112</v>
      </c>
      <c r="AT172" s="33">
        <v>1.1347391333457979</v>
      </c>
      <c r="AU172">
        <f t="shared" si="39"/>
        <v>-0.53772181137962338</v>
      </c>
      <c r="AV172">
        <f>IF(AT172&lt;=regressions!$L$2,AT172*regressions!$L$1,regressions!$L$1*regressions!$L$2+regressions!$L$3*(AT172-regressions!$L$2))</f>
        <v>-0.90186778245310617</v>
      </c>
      <c r="AW172">
        <f>regressions!$J$1*AT172+regressions!$J$2*AT172^2</f>
        <v>-0.61966124690928459</v>
      </c>
      <c r="AX172">
        <f>regressions!$V$1*AT172</f>
        <v>-0.90186778499919351</v>
      </c>
      <c r="AY172">
        <f>regressions!$N$1*AT172^2</f>
        <v>-0.22436341887224909</v>
      </c>
      <c r="AZ172">
        <f>regressions!$R$1*AT172^2+regressions!$R$2*AT172^6</f>
        <v>-0.24434877204155847</v>
      </c>
      <c r="BA172">
        <f>regressions!$P$1*AT172^2+regressions!$P$2*AT172^7</f>
        <v>-0.23641201803654299</v>
      </c>
      <c r="BB172">
        <f>regressions!$T$2+regressions!$T$1*EXP(AT172)</f>
        <v>-1.6491772510264402E-2</v>
      </c>
      <c r="BC172" s="8">
        <f>(1-EXP(-2*regressions!$X$1*AT172))/2/EXP(-regressions!$X$1*AT172)</f>
        <v>-0.47844873062858112</v>
      </c>
      <c r="BE172">
        <f t="shared" si="40"/>
        <v>0</v>
      </c>
      <c r="BF172">
        <f t="shared" si="31"/>
        <v>0</v>
      </c>
      <c r="BG172">
        <f t="shared" si="32"/>
        <v>0</v>
      </c>
      <c r="BH172">
        <f>BG172+regressions!$AR$1*(AI172-B172)</f>
        <v>0</v>
      </c>
      <c r="BI172">
        <f>BG172-regressions!$AO$1*(AI172-B172)</f>
        <v>0</v>
      </c>
      <c r="BJ172">
        <f t="shared" si="33"/>
        <v>0</v>
      </c>
      <c r="BK172">
        <f>BJ172+regressions!$AR$1*(AT172-B172)</f>
        <v>0</v>
      </c>
      <c r="BL172">
        <f>BJ172-regressions!$AO$1*(AT172-B172)</f>
        <v>0</v>
      </c>
      <c r="BM172">
        <f t="shared" si="41"/>
        <v>0</v>
      </c>
      <c r="BN172">
        <f t="shared" si="34"/>
        <v>0</v>
      </c>
      <c r="BO172">
        <f t="shared" si="35"/>
        <v>0</v>
      </c>
      <c r="BP172">
        <f t="shared" si="42"/>
        <v>0</v>
      </c>
      <c r="BQ172">
        <f t="shared" si="43"/>
        <v>0</v>
      </c>
      <c r="BR172">
        <f t="shared" si="44"/>
        <v>0</v>
      </c>
    </row>
    <row r="173" spans="1:70" x14ac:dyDescent="0.35">
      <c r="A173">
        <v>2020</v>
      </c>
      <c r="B173" s="33">
        <v>1.1608291846693219</v>
      </c>
      <c r="C173">
        <f t="shared" si="45"/>
        <v>-0.55265579874645354</v>
      </c>
      <c r="D173">
        <f>IF($B173&lt;=regressions!$L$2,$B173*regressions!$L$1,regressions!$L$1*regressions!$L$2+regressions!$L$3*($B173-regressions!$L$2))</f>
        <v>-0.92260362916869132</v>
      </c>
      <c r="E173">
        <f>regressions!$J$1*B173+regressions!$J$2*B173^2</f>
        <v>-0.63638395193721342</v>
      </c>
      <c r="F173">
        <f>regressions!$V$1*B173</f>
        <v>-0.92260363177331861</v>
      </c>
      <c r="G173">
        <f>regressions!$N$1*B173^2</f>
        <v>-0.2347992042767757</v>
      </c>
      <c r="H173">
        <f>regressions!$R$1*B173^2+regressions!$R$2*B173^6</f>
        <v>-0.25571179261849608</v>
      </c>
      <c r="I173">
        <f>regressions!$P$1*B173^2+regressions!$P$2*B173^7</f>
        <v>-0.24740791758705993</v>
      </c>
      <c r="J173">
        <f>regressions!$T$2+regressions!$T$1*EXP(B173)</f>
        <v>-1.713427371311492E-2</v>
      </c>
      <c r="K173" s="8">
        <f>(1-EXP(-2*regressions!$X$1*B173))/2/EXP(-regressions!$X$1*B173)</f>
        <v>-0.49024774338844812</v>
      </c>
      <c r="M173" s="33">
        <v>1.1608291846693219</v>
      </c>
      <c r="N173">
        <f t="shared" si="36"/>
        <v>-0.55265579874645354</v>
      </c>
      <c r="O173">
        <f>IF($B173&lt;=regressions!$L$2,$B173*regressions!$L$1,regressions!$L$1*regressions!$L$2+regressions!$L$3*($B173-regressions!$L$2))</f>
        <v>-0.92260362916869132</v>
      </c>
      <c r="P173">
        <f>regressions!$J$1*M173+regressions!$J$2*M173^2</f>
        <v>-0.63638395193721342</v>
      </c>
      <c r="Q173">
        <f>regressions!$V$1*M173</f>
        <v>-0.92260363177331861</v>
      </c>
      <c r="R173">
        <f>regressions!$N$1*M173^2</f>
        <v>-0.2347992042767757</v>
      </c>
      <c r="S173">
        <f>regressions!$R$1*M173^2+regressions!$R$2*M173^6</f>
        <v>-0.25571179261849608</v>
      </c>
      <c r="T173">
        <f>regressions!$P$1*M173^2+regressions!$P$2*M173^7</f>
        <v>-0.24740791758705993</v>
      </c>
      <c r="U173">
        <f>regressions!$T$2+regressions!$T$1*EXP(M173)</f>
        <v>-1.713427371311492E-2</v>
      </c>
      <c r="V173" s="8">
        <f>(1-EXP(-2*regressions!$X$1*M173))/2/EXP(-regressions!$X$1*M173)</f>
        <v>-0.49024774338844812</v>
      </c>
      <c r="X173" s="33">
        <v>1.1608291846693219</v>
      </c>
      <c r="Y173">
        <f t="shared" si="37"/>
        <v>-0.55265579874645354</v>
      </c>
      <c r="Z173">
        <f>IF($B173&lt;=regressions!$L$2,$B173*regressions!$L$1,regressions!$L$1*regressions!$L$2+regressions!$L$3*($B173-regressions!$L$2))</f>
        <v>-0.92260362916869132</v>
      </c>
      <c r="AA173">
        <f>regressions!$J$1*X173+regressions!$J$2*X173^2</f>
        <v>-0.63638395193721342</v>
      </c>
      <c r="AB173">
        <f>regressions!$V$1*X173</f>
        <v>-0.92260363177331861</v>
      </c>
      <c r="AC173">
        <f>regressions!$N$1*X173^2</f>
        <v>-0.2347992042767757</v>
      </c>
      <c r="AD173">
        <f>regressions!$R$1*X173^2+regressions!$R$2*X173^6</f>
        <v>-0.25571179261849608</v>
      </c>
      <c r="AE173">
        <f>regressions!$P$1*X173^2+regressions!$P$2*X173^7</f>
        <v>-0.24740791758705993</v>
      </c>
      <c r="AF173">
        <f>regressions!$T$2+regressions!$T$1*EXP(X173)</f>
        <v>-1.713427371311492E-2</v>
      </c>
      <c r="AG173" s="8">
        <f>(1-EXP(-2*regressions!$X$1*X173))/2/EXP(-regressions!$X$1*X173)</f>
        <v>-0.49024774338844812</v>
      </c>
      <c r="AH173" s="8"/>
      <c r="AI173" s="33">
        <v>1.1608291846693219</v>
      </c>
      <c r="AJ173">
        <f t="shared" si="38"/>
        <v>-0.55265579874645354</v>
      </c>
      <c r="AK173">
        <f>IF(AI173&lt;=regressions!$L$2,AI173*regressions!$L$1,regressions!$L$1*regressions!$L$2+regressions!$L$3*(AI173-regressions!$L$2))</f>
        <v>-0.92260362916869132</v>
      </c>
      <c r="AL173">
        <f>regressions!$J$1*AI173+regressions!$J$2*AI173^2</f>
        <v>-0.63638395193721342</v>
      </c>
      <c r="AM173">
        <f>regressions!$V$1*AI173</f>
        <v>-0.92260363177331861</v>
      </c>
      <c r="AN173">
        <f>regressions!$N$1*AI173^2</f>
        <v>-0.2347992042767757</v>
      </c>
      <c r="AO173">
        <f>regressions!$R$1*AI173^2+regressions!$R$2*AI173^6</f>
        <v>-0.25571179261849608</v>
      </c>
      <c r="AP173">
        <f>regressions!$P$1*AI173^2+regressions!$P$2*AI173^7</f>
        <v>-0.24740791758705993</v>
      </c>
      <c r="AQ173">
        <f>regressions!$T$2+regressions!$T$1*EXP(AI173)</f>
        <v>-1.713427371311492E-2</v>
      </c>
      <c r="AR173" s="8">
        <f>(1-EXP(-2*regressions!$X$1*AI173))/2/EXP(-regressions!$X$1*AI173)</f>
        <v>-0.49024774338844812</v>
      </c>
      <c r="AT173" s="33">
        <v>1.1608291846693219</v>
      </c>
      <c r="AU173">
        <f t="shared" si="39"/>
        <v>-0.55265579874645354</v>
      </c>
      <c r="AV173">
        <f>IF(AT173&lt;=regressions!$L$2,AT173*regressions!$L$1,regressions!$L$1*regressions!$L$2+regressions!$L$3*(AT173-regressions!$L$2))</f>
        <v>-0.92260362916869132</v>
      </c>
      <c r="AW173">
        <f>regressions!$J$1*AT173+regressions!$J$2*AT173^2</f>
        <v>-0.63638395193721342</v>
      </c>
      <c r="AX173">
        <f>regressions!$V$1*AT173</f>
        <v>-0.92260363177331861</v>
      </c>
      <c r="AY173">
        <f>regressions!$N$1*AT173^2</f>
        <v>-0.2347992042767757</v>
      </c>
      <c r="AZ173">
        <f>regressions!$R$1*AT173^2+regressions!$R$2*AT173^6</f>
        <v>-0.25571179261849608</v>
      </c>
      <c r="BA173">
        <f>regressions!$P$1*AT173^2+regressions!$P$2*AT173^7</f>
        <v>-0.24740791758705993</v>
      </c>
      <c r="BB173">
        <f>regressions!$T$2+regressions!$T$1*EXP(AT173)</f>
        <v>-1.713427371311492E-2</v>
      </c>
      <c r="BC173" s="8">
        <f>(1-EXP(-2*regressions!$X$1*AT173))/2/EXP(-regressions!$X$1*AT173)</f>
        <v>-0.49024774338844812</v>
      </c>
      <c r="BE173">
        <f t="shared" si="40"/>
        <v>0</v>
      </c>
      <c r="BF173">
        <f t="shared" si="31"/>
        <v>0</v>
      </c>
      <c r="BG173">
        <f t="shared" si="32"/>
        <v>0</v>
      </c>
      <c r="BH173">
        <f>BG173+regressions!$AR$1*(AI173-B173)</f>
        <v>0</v>
      </c>
      <c r="BI173">
        <f>BG173-regressions!$AO$1*(AI173-B173)</f>
        <v>0</v>
      </c>
      <c r="BJ173">
        <f t="shared" si="33"/>
        <v>0</v>
      </c>
      <c r="BK173">
        <f>BJ173+regressions!$AR$1*(AT173-B173)</f>
        <v>0</v>
      </c>
      <c r="BL173">
        <f>BJ173-regressions!$AO$1*(AT173-B173)</f>
        <v>0</v>
      </c>
      <c r="BM173">
        <f t="shared" si="41"/>
        <v>0</v>
      </c>
      <c r="BN173">
        <f t="shared" si="34"/>
        <v>0</v>
      </c>
      <c r="BO173">
        <f t="shared" si="35"/>
        <v>0</v>
      </c>
      <c r="BP173">
        <f t="shared" si="42"/>
        <v>0</v>
      </c>
      <c r="BQ173">
        <f t="shared" si="43"/>
        <v>0</v>
      </c>
      <c r="BR173">
        <f t="shared" si="44"/>
        <v>0</v>
      </c>
    </row>
    <row r="174" spans="1:70" x14ac:dyDescent="0.35">
      <c r="A174">
        <v>2021</v>
      </c>
      <c r="B174" s="33">
        <v>1.18729763222777</v>
      </c>
      <c r="C174">
        <f t="shared" si="45"/>
        <v>-0.56792786507989446</v>
      </c>
      <c r="D174">
        <f>IF($B174&lt;=regressions!$L$2,$B174*regressions!$L$1,regressions!$L$1*regressions!$L$2+regressions!$L$3*($B174-regressions!$L$2))</f>
        <v>-0.94364021758186223</v>
      </c>
      <c r="E174">
        <f>regressions!$J$1*B174+regressions!$J$2*B174^2</f>
        <v>-0.65346289684064951</v>
      </c>
      <c r="F174">
        <f>regressions!$V$1*B174</f>
        <v>-0.94364022024587846</v>
      </c>
      <c r="G174">
        <f>regressions!$N$1*B174^2</f>
        <v>-0.24562874409046925</v>
      </c>
      <c r="H174">
        <f>regressions!$R$1*B174^2+regressions!$R$2*B174^6</f>
        <v>-0.26750321557484097</v>
      </c>
      <c r="I174">
        <f>regressions!$P$1*B174^2+regressions!$P$2*B174^7</f>
        <v>-0.2588186541070337</v>
      </c>
      <c r="J174">
        <f>regressions!$T$2+regressions!$T$1*EXP(B174)</f>
        <v>-1.7803450356432403E-2</v>
      </c>
      <c r="K174" s="8">
        <f>(1-EXP(-2*regressions!$X$1*B174))/2/EXP(-regressions!$X$1*B174)</f>
        <v>-0.50227438005161751</v>
      </c>
      <c r="M174" s="33">
        <v>1.18729763222777</v>
      </c>
      <c r="N174">
        <f t="shared" si="36"/>
        <v>-0.56792786507989446</v>
      </c>
      <c r="O174">
        <f>IF($B174&lt;=regressions!$L$2,$B174*regressions!$L$1,regressions!$L$1*regressions!$L$2+regressions!$L$3*($B174-regressions!$L$2))</f>
        <v>-0.94364021758186223</v>
      </c>
      <c r="P174">
        <f>regressions!$J$1*M174+regressions!$J$2*M174^2</f>
        <v>-0.65346289684064951</v>
      </c>
      <c r="Q174">
        <f>regressions!$V$1*M174</f>
        <v>-0.94364022024587846</v>
      </c>
      <c r="R174">
        <f>regressions!$N$1*M174^2</f>
        <v>-0.24562874409046925</v>
      </c>
      <c r="S174">
        <f>regressions!$R$1*M174^2+regressions!$R$2*M174^6</f>
        <v>-0.26750321557484097</v>
      </c>
      <c r="T174">
        <f>regressions!$P$1*M174^2+regressions!$P$2*M174^7</f>
        <v>-0.2588186541070337</v>
      </c>
      <c r="U174">
        <f>regressions!$T$2+regressions!$T$1*EXP(M174)</f>
        <v>-1.7803450356432403E-2</v>
      </c>
      <c r="V174" s="8">
        <f>(1-EXP(-2*regressions!$X$1*M174))/2/EXP(-regressions!$X$1*M174)</f>
        <v>-0.50227438005161751</v>
      </c>
      <c r="X174" s="33">
        <v>1.18729763222777</v>
      </c>
      <c r="Y174">
        <f t="shared" si="37"/>
        <v>-0.56792786507989446</v>
      </c>
      <c r="Z174">
        <f>IF($B174&lt;=regressions!$L$2,$B174*regressions!$L$1,regressions!$L$1*regressions!$L$2+regressions!$L$3*($B174-regressions!$L$2))</f>
        <v>-0.94364021758186223</v>
      </c>
      <c r="AA174">
        <f>regressions!$J$1*X174+regressions!$J$2*X174^2</f>
        <v>-0.65346289684064951</v>
      </c>
      <c r="AB174">
        <f>regressions!$V$1*X174</f>
        <v>-0.94364022024587846</v>
      </c>
      <c r="AC174">
        <f>regressions!$N$1*X174^2</f>
        <v>-0.24562874409046925</v>
      </c>
      <c r="AD174">
        <f>regressions!$R$1*X174^2+regressions!$R$2*X174^6</f>
        <v>-0.26750321557484097</v>
      </c>
      <c r="AE174">
        <f>regressions!$P$1*X174^2+regressions!$P$2*X174^7</f>
        <v>-0.2588186541070337</v>
      </c>
      <c r="AF174">
        <f>regressions!$T$2+regressions!$T$1*EXP(X174)</f>
        <v>-1.7803450356432403E-2</v>
      </c>
      <c r="AG174" s="8">
        <f>(1-EXP(-2*regressions!$X$1*X174))/2/EXP(-regressions!$X$1*X174)</f>
        <v>-0.50227438005161751</v>
      </c>
      <c r="AH174" s="8"/>
      <c r="AI174" s="33">
        <v>1.18729763222777</v>
      </c>
      <c r="AJ174">
        <f t="shared" si="38"/>
        <v>-0.56792786507989446</v>
      </c>
      <c r="AK174">
        <f>IF(AI174&lt;=regressions!$L$2,AI174*regressions!$L$1,regressions!$L$1*regressions!$L$2+regressions!$L$3*(AI174-regressions!$L$2))</f>
        <v>-0.94364021758186223</v>
      </c>
      <c r="AL174">
        <f>regressions!$J$1*AI174+regressions!$J$2*AI174^2</f>
        <v>-0.65346289684064951</v>
      </c>
      <c r="AM174">
        <f>regressions!$V$1*AI174</f>
        <v>-0.94364022024587846</v>
      </c>
      <c r="AN174">
        <f>regressions!$N$1*AI174^2</f>
        <v>-0.24562874409046925</v>
      </c>
      <c r="AO174">
        <f>regressions!$R$1*AI174^2+regressions!$R$2*AI174^6</f>
        <v>-0.26750321557484097</v>
      </c>
      <c r="AP174">
        <f>regressions!$P$1*AI174^2+regressions!$P$2*AI174^7</f>
        <v>-0.2588186541070337</v>
      </c>
      <c r="AQ174">
        <f>regressions!$T$2+regressions!$T$1*EXP(AI174)</f>
        <v>-1.7803450356432403E-2</v>
      </c>
      <c r="AR174" s="8">
        <f>(1-EXP(-2*regressions!$X$1*AI174))/2/EXP(-regressions!$X$1*AI174)</f>
        <v>-0.50227438005161751</v>
      </c>
      <c r="AT174" s="33">
        <v>1.18729763222777</v>
      </c>
      <c r="AU174">
        <f t="shared" si="39"/>
        <v>-0.56792786507989446</v>
      </c>
      <c r="AV174">
        <f>IF(AT174&lt;=regressions!$L$2,AT174*regressions!$L$1,regressions!$L$1*regressions!$L$2+regressions!$L$3*(AT174-regressions!$L$2))</f>
        <v>-0.94364021758186223</v>
      </c>
      <c r="AW174">
        <f>regressions!$J$1*AT174+regressions!$J$2*AT174^2</f>
        <v>-0.65346289684064951</v>
      </c>
      <c r="AX174">
        <f>regressions!$V$1*AT174</f>
        <v>-0.94364022024587846</v>
      </c>
      <c r="AY174">
        <f>regressions!$N$1*AT174^2</f>
        <v>-0.24562874409046925</v>
      </c>
      <c r="AZ174">
        <f>regressions!$R$1*AT174^2+regressions!$R$2*AT174^6</f>
        <v>-0.26750321557484097</v>
      </c>
      <c r="BA174">
        <f>regressions!$P$1*AT174^2+regressions!$P$2*AT174^7</f>
        <v>-0.2588186541070337</v>
      </c>
      <c r="BB174">
        <f>regressions!$T$2+regressions!$T$1*EXP(AT174)</f>
        <v>-1.7803450356432403E-2</v>
      </c>
      <c r="BC174" s="8">
        <f>(1-EXP(-2*regressions!$X$1*AT174))/2/EXP(-regressions!$X$1*AT174)</f>
        <v>-0.50227438005161751</v>
      </c>
      <c r="BE174">
        <f t="shared" si="40"/>
        <v>0</v>
      </c>
      <c r="BF174">
        <f t="shared" si="31"/>
        <v>0</v>
      </c>
      <c r="BG174">
        <f t="shared" si="32"/>
        <v>0</v>
      </c>
      <c r="BH174">
        <f>BG174+regressions!$AR$1*(AI174-B174)</f>
        <v>0</v>
      </c>
      <c r="BI174">
        <f>BG174-regressions!$AO$1*(AI174-B174)</f>
        <v>0</v>
      </c>
      <c r="BJ174">
        <f t="shared" si="33"/>
        <v>0</v>
      </c>
      <c r="BK174">
        <f>BJ174+regressions!$AR$1*(AT174-B174)</f>
        <v>0</v>
      </c>
      <c r="BL174">
        <f>BJ174-regressions!$AO$1*(AT174-B174)</f>
        <v>0</v>
      </c>
      <c r="BM174">
        <f t="shared" si="41"/>
        <v>0</v>
      </c>
      <c r="BN174">
        <f t="shared" si="34"/>
        <v>0</v>
      </c>
      <c r="BO174">
        <f t="shared" si="35"/>
        <v>0</v>
      </c>
      <c r="BP174">
        <f t="shared" si="42"/>
        <v>0</v>
      </c>
      <c r="BQ174">
        <f t="shared" si="43"/>
        <v>0</v>
      </c>
      <c r="BR174">
        <f t="shared" si="44"/>
        <v>0</v>
      </c>
    </row>
    <row r="175" spans="1:70" x14ac:dyDescent="0.35">
      <c r="A175">
        <f>1+A174</f>
        <v>2022</v>
      </c>
      <c r="B175" s="33">
        <v>1.2141529927459851</v>
      </c>
      <c r="C175">
        <f t="shared" si="45"/>
        <v>-0.58354847433602008</v>
      </c>
      <c r="D175">
        <f>IF($B175&lt;=regressions!$L$2,$B175*regressions!$L$1,regressions!$L$1*regressions!$L$2+regressions!$L$3*($B175-regressions!$L$2))</f>
        <v>-0.96498431661379425</v>
      </c>
      <c r="E175">
        <f>regressions!$J$1*B175+regressions!$J$2*B175^2</f>
        <v>-0.67090854453134541</v>
      </c>
      <c r="F175">
        <f>regressions!$V$1*B175</f>
        <v>-0.96498431933806761</v>
      </c>
      <c r="G175">
        <f>regressions!$N$1*B175^2</f>
        <v>-0.25686611285622835</v>
      </c>
      <c r="H175">
        <f>regressions!$R$1*B175^2+regressions!$R$2*B175^6</f>
        <v>-0.27973831058499143</v>
      </c>
      <c r="I175">
        <f>regressions!$P$1*B175^2+regressions!$P$2*B175^7</f>
        <v>-0.27065904783792949</v>
      </c>
      <c r="J175">
        <f>regressions!$T$2+regressions!$T$1*EXP(B175)</f>
        <v>-1.8500755361689481E-2</v>
      </c>
      <c r="K175" s="8">
        <f>(1-EXP(-2*regressions!$X$1*B175))/2/EXP(-regressions!$X$1*B175)</f>
        <v>-0.51453640541861501</v>
      </c>
      <c r="M175" s="33">
        <v>1.2141305663054367</v>
      </c>
      <c r="N175">
        <f t="shared" si="36"/>
        <v>-0.58353772617191657</v>
      </c>
      <c r="O175">
        <f>IF($B175&lt;=regressions!$L$2,$B175*regressions!$L$1,regressions!$L$1*regressions!$L$2+regressions!$L$3*($B175-regressions!$L$2))</f>
        <v>-0.96498431661379425</v>
      </c>
      <c r="P175">
        <f>regressions!$J$1*M175+regressions!$J$2*M175^2</f>
        <v>-0.67089392679250626</v>
      </c>
      <c r="Q175">
        <f>regressions!$V$1*M175</f>
        <v>-0.96496649525527323</v>
      </c>
      <c r="R175">
        <f>regressions!$N$1*M175^2</f>
        <v>-0.25685662387182234</v>
      </c>
      <c r="S175">
        <f>regressions!$R$1*M175^2+regressions!$R$2*M175^6</f>
        <v>-0.27972797927553178</v>
      </c>
      <c r="T175">
        <f>regressions!$P$1*M175^2+regressions!$P$2*M175^7</f>
        <v>-0.27064904967767062</v>
      </c>
      <c r="U175">
        <f>regressions!$T$2+regressions!$T$1*EXP(M175)</f>
        <v>-1.8500165207095923E-2</v>
      </c>
      <c r="V175" s="8">
        <f>(1-EXP(-2*regressions!$X$1*M175))/2/EXP(-regressions!$X$1*M175)</f>
        <v>-0.5145261401738106</v>
      </c>
      <c r="X175" s="33">
        <v>1.2140673473166574</v>
      </c>
      <c r="Y175">
        <f t="shared" si="37"/>
        <v>-0.58350742812175338</v>
      </c>
      <c r="Z175">
        <f>IF($B175&lt;=regressions!$L$2,$B175*regressions!$L$1,regressions!$L$1*regressions!$L$2+regressions!$L$3*($B175-regressions!$L$2))</f>
        <v>-0.96498431661379425</v>
      </c>
      <c r="AA175">
        <f>regressions!$J$1*X175+regressions!$J$2*X175^2</f>
        <v>-0.67085272057696366</v>
      </c>
      <c r="AB175">
        <f>regressions!$V$1*X175</f>
        <v>-0.96491625007758897</v>
      </c>
      <c r="AC175">
        <f>regressions!$N$1*X175^2</f>
        <v>-0.2568298758535838</v>
      </c>
      <c r="AD175">
        <f>regressions!$R$1*X175^2+regressions!$R$2*X175^6</f>
        <v>-0.27969885686824592</v>
      </c>
      <c r="AE175">
        <f>regressions!$P$1*X175^2+regressions!$P$2*X175^7</f>
        <v>-0.27062086636912552</v>
      </c>
      <c r="AF175">
        <f>regressions!$T$2+regressions!$T$1*EXP(X175)</f>
        <v>-1.8498501662722235E-2</v>
      </c>
      <c r="AG175" s="8">
        <f>(1-EXP(-2*regressions!$X$1*X175))/2/EXP(-regressions!$X$1*X175)</f>
        <v>-0.51449720320452952</v>
      </c>
      <c r="AH175" s="8"/>
      <c r="AI175" s="33">
        <v>1.2140061434574334</v>
      </c>
      <c r="AJ175">
        <f t="shared" si="38"/>
        <v>-0.58346271479720047</v>
      </c>
      <c r="AK175">
        <f>IF(AI175&lt;=regressions!$L$2,AI175*regressions!$L$1,regressions!$L$1*regressions!$L$2+regressions!$L$3*(AI175-regressions!$L$2))</f>
        <v>-0.96486760376030301</v>
      </c>
      <c r="AL175">
        <f>regressions!$J$1*AI175+regressions!$J$2*AI175^2</f>
        <v>-0.67081282844778478</v>
      </c>
      <c r="AM175">
        <f>regressions!$V$1*AI175</f>
        <v>-0.96486760648424685</v>
      </c>
      <c r="AN175">
        <f>regressions!$N$1*AI175^2</f>
        <v>-0.25680398176560509</v>
      </c>
      <c r="AO175">
        <f>regressions!$R$1*AI175^2+regressions!$R$2*AI175^6</f>
        <v>-0.27967066419138531</v>
      </c>
      <c r="AP175">
        <f>regressions!$P$1*AI175^2+regressions!$P$2*AI175^7</f>
        <v>-0.27059358281212492</v>
      </c>
      <c r="AQ175">
        <f>regressions!$T$2+regressions!$T$1*EXP(AI175)</f>
        <v>-1.8496891244654104E-2</v>
      </c>
      <c r="AR175" s="8">
        <f>(1-EXP(-2*regressions!$X$1*AI175))/2/EXP(-regressions!$X$1*AI175)</f>
        <v>-0.51446918893678639</v>
      </c>
      <c r="AT175" s="33">
        <v>1.2134542348296518</v>
      </c>
      <c r="AU175">
        <f t="shared" si="39"/>
        <v>-0.58314043564210671</v>
      </c>
      <c r="AV175">
        <f>IF(AT175&lt;=regressions!$L$2,AT175*regressions!$L$1,regressions!$L$1*regressions!$L$2+regressions!$L$3*(AT175-regressions!$L$2))</f>
        <v>-0.96442895791155492</v>
      </c>
      <c r="AW175">
        <f>regressions!$J$1*AT175+regressions!$J$2*AT175^2</f>
        <v>-0.67045312698724213</v>
      </c>
      <c r="AX175">
        <f>regressions!$V$1*AT175</f>
        <v>-0.96442896063426042</v>
      </c>
      <c r="AY175">
        <f>regressions!$N$1*AT175^2</f>
        <v>-0.25657053959245268</v>
      </c>
      <c r="AZ175">
        <f>regressions!$R$1*AT175^2+regressions!$R$2*AT175^6</f>
        <v>-0.27941649952372705</v>
      </c>
      <c r="BA175">
        <f>regressions!$P$1*AT175^2+regressions!$P$2*AT175^7</f>
        <v>-0.27034761418635639</v>
      </c>
      <c r="BB175">
        <f>regressions!$T$2+regressions!$T$1*EXP(AT175)</f>
        <v>-1.8482373676285073E-2</v>
      </c>
      <c r="BC175" s="8">
        <f>(1-EXP(-2*regressions!$X$1*AT175))/2/EXP(-regressions!$X$1*AT175)</f>
        <v>-0.51421658340081211</v>
      </c>
      <c r="BE175">
        <f t="shared" si="40"/>
        <v>1.0748164103513425E-5</v>
      </c>
      <c r="BF175">
        <f t="shared" si="31"/>
        <v>4.1046214266704517E-5</v>
      </c>
      <c r="BG175">
        <f t="shared" si="32"/>
        <v>8.5759538819618619E-5</v>
      </c>
      <c r="BH175">
        <f>BG175+regressions!$AR$1*(AI175-B175)</f>
        <v>-6.8921636586795918E-5</v>
      </c>
      <c r="BI175">
        <f>BG175-regressions!$AO$1*(AI175-B175)</f>
        <v>2.9589971126041268E-4</v>
      </c>
      <c r="BJ175">
        <f t="shared" si="33"/>
        <v>4.0803869391337066E-4</v>
      </c>
      <c r="BK175">
        <f>BJ175+regressions!$AR$1*(AT175-B175)</f>
        <v>-3.2798595345790143E-4</v>
      </c>
      <c r="BL175">
        <f>BJ175-regressions!$AO$1*(AT175-B175)</f>
        <v>1.4079557550094796E-3</v>
      </c>
      <c r="BM175">
        <f t="shared" si="41"/>
        <v>3.0298050163191093E-5</v>
      </c>
      <c r="BN175">
        <f t="shared" si="34"/>
        <v>7.5011374716105195E-5</v>
      </c>
      <c r="BO175">
        <f t="shared" si="35"/>
        <v>3.9729052980985724E-4</v>
      </c>
      <c r="BP175">
        <f t="shared" si="42"/>
        <v>4.4713324552914102E-5</v>
      </c>
      <c r="BQ175">
        <f t="shared" si="43"/>
        <v>3.6699247964666615E-4</v>
      </c>
      <c r="BR175">
        <f t="shared" si="44"/>
        <v>3.2227915509375205E-4</v>
      </c>
    </row>
    <row r="176" spans="1:70" x14ac:dyDescent="0.35">
      <c r="A176">
        <f t="shared" ref="A176:A239" si="46">1+A175</f>
        <v>2023</v>
      </c>
      <c r="B176" s="33">
        <v>1.2414023681444686</v>
      </c>
      <c r="C176">
        <f t="shared" si="45"/>
        <v>-0.59952751695636841</v>
      </c>
      <c r="D176">
        <f>IF($B176&lt;=regressions!$L$2,$B176*regressions!$L$1,regressions!$L$1*regressions!$L$2+regressions!$L$3*($B176-regressions!$L$2))</f>
        <v>-0.98664157072769942</v>
      </c>
      <c r="E176">
        <f>regressions!$J$1*B176+regressions!$J$2*B176^2</f>
        <v>-0.68873065133550537</v>
      </c>
      <c r="F176">
        <f>regressions!$V$1*B176</f>
        <v>-0.98664157351311399</v>
      </c>
      <c r="G176">
        <f>regressions!$N$1*B176^2</f>
        <v>-0.26852524611255085</v>
      </c>
      <c r="H176">
        <f>regressions!$R$1*B176^2+regressions!$R$2*B176^6</f>
        <v>-0.29243218882257038</v>
      </c>
      <c r="I176">
        <f>regressions!$P$1*B176^2+regressions!$P$2*B176^7</f>
        <v>-0.28294377107095059</v>
      </c>
      <c r="J176">
        <f>regressions!$T$2+regressions!$T$1*EXP(B176)</f>
        <v>-1.9227693454985186E-2</v>
      </c>
      <c r="K176" s="8">
        <f>(1-EXP(-2*regressions!$X$1*B176))/2/EXP(-regressions!$X$1*B176)</f>
        <v>-0.5270411778819003</v>
      </c>
      <c r="M176" s="33">
        <v>1.2413144871355422</v>
      </c>
      <c r="N176">
        <f t="shared" si="36"/>
        <v>-0.59948497904546183</v>
      </c>
      <c r="O176">
        <f>IF($B176&lt;=regressions!$L$2,$B176*regressions!$L$1,regressions!$L$1*regressions!$L$2+regressions!$L$3*($B176-regressions!$L$2))</f>
        <v>-0.98664157072769942</v>
      </c>
      <c r="P176">
        <f>regressions!$J$1*M176+regressions!$J$2*M176^2</f>
        <v>-0.68867297878550437</v>
      </c>
      <c r="Q176">
        <f>regressions!$V$1*M176</f>
        <v>-0.9865717274590432</v>
      </c>
      <c r="R176">
        <f>regressions!$N$1*M176^2</f>
        <v>-0.26848722873015324</v>
      </c>
      <c r="S176">
        <f>regressions!$R$1*M176^2+regressions!$R$2*M176^6</f>
        <v>-0.29239079813732316</v>
      </c>
      <c r="T176">
        <f>regressions!$P$1*M176^2+regressions!$P$2*M176^7</f>
        <v>-0.28290371392077357</v>
      </c>
      <c r="U176">
        <f>regressions!$T$2+regressions!$T$1*EXP(M176)</f>
        <v>-1.9225317049658984E-2</v>
      </c>
      <c r="V176" s="8">
        <f>(1-EXP(-2*regressions!$X$1*M176))/2/EXP(-regressions!$X$1*M176)</f>
        <v>-0.52700074580206069</v>
      </c>
      <c r="X176" s="33">
        <v>1.2410692935729035</v>
      </c>
      <c r="Y176">
        <f t="shared" si="37"/>
        <v>-0.59936630276260128</v>
      </c>
      <c r="Z176">
        <f>IF($B176&lt;=regressions!$L$2,$B176*regressions!$L$1,regressions!$L$1*regressions!$L$2+regressions!$L$3*($B176-regressions!$L$2))</f>
        <v>-0.98664157072769942</v>
      </c>
      <c r="AA176">
        <f>regressions!$J$1*X176+regressions!$J$2*X176^2</f>
        <v>-0.68851207540523729</v>
      </c>
      <c r="AB176">
        <f>regressions!$V$1*X176</f>
        <v>-0.98637685255895846</v>
      </c>
      <c r="AC176">
        <f>regressions!$N$1*X176^2</f>
        <v>-0.26838117206349477</v>
      </c>
      <c r="AD176">
        <f>regressions!$R$1*X176^2+regressions!$R$2*X176^6</f>
        <v>-0.29227533097981279</v>
      </c>
      <c r="AE176">
        <f>regressions!$P$1*X176^2+regressions!$P$2*X176^7</f>
        <v>-0.28279196693259512</v>
      </c>
      <c r="AF176">
        <f>regressions!$T$2+regressions!$T$1*EXP(X176)</f>
        <v>-1.9218687832870902E-2</v>
      </c>
      <c r="AG176" s="8">
        <f>(1-EXP(-2*regressions!$X$1*X176))/2/EXP(-regressions!$X$1*X176)</f>
        <v>-0.52688794131165939</v>
      </c>
      <c r="AH176" s="8"/>
      <c r="AI176" s="33">
        <v>1.2408354923379152</v>
      </c>
      <c r="AJ176">
        <f t="shared" si="38"/>
        <v>-0.59919377301354348</v>
      </c>
      <c r="AK176">
        <f>IF(AI176&lt;=regressions!$L$2,AI176*regressions!$L$1,regressions!$L$1*regressions!$L$2+regressions!$L$3*(AI176-regressions!$L$2))</f>
        <v>-0.98619102926705982</v>
      </c>
      <c r="AL176">
        <f>regressions!$J$1*AI176+regressions!$J$2*AI176^2</f>
        <v>-0.68835865716582667</v>
      </c>
      <c r="AM176">
        <f>regressions!$V$1*AI176</f>
        <v>-0.9861910320512024</v>
      </c>
      <c r="AN176">
        <f>regressions!$N$1*AI176^2</f>
        <v>-0.26828006257772541</v>
      </c>
      <c r="AO176">
        <f>regressions!$R$1*AI176^2+regressions!$R$2*AI176^6</f>
        <v>-0.29216524993532561</v>
      </c>
      <c r="AP176">
        <f>regressions!$P$1*AI176^2+regressions!$P$2*AI176^7</f>
        <v>-0.28268543255366352</v>
      </c>
      <c r="AQ176">
        <f>regressions!$T$2+regressions!$T$1*EXP(AI176)</f>
        <v>-1.9212368140388392E-2</v>
      </c>
      <c r="AR176" s="8">
        <f>(1-EXP(-2*regressions!$X$1*AI176))/2/EXP(-regressions!$X$1*AI176)</f>
        <v>-0.52678038289735707</v>
      </c>
      <c r="AT176" s="33">
        <v>1.2388873086437693</v>
      </c>
      <c r="AU176">
        <f t="shared" si="39"/>
        <v>-0.59804722463967463</v>
      </c>
      <c r="AV176">
        <f>IF(AT176&lt;=regressions!$L$2,AT176*regressions!$L$1,regressions!$L$1*regressions!$L$2+regressions!$L$3*(AT176-regressions!$L$2))</f>
        <v>-0.98464265214987146</v>
      </c>
      <c r="AW176">
        <f>regressions!$J$1*AT176+regressions!$J$2*AT176^2</f>
        <v>-0.68708062422331373</v>
      </c>
      <c r="AX176">
        <f>regressions!$V$1*AT176</f>
        <v>-0.98464265492964287</v>
      </c>
      <c r="AY176">
        <f>regressions!$N$1*AT176^2</f>
        <v>-0.2674382933919574</v>
      </c>
      <c r="AZ176">
        <f>regressions!$R$1*AT176^2+regressions!$R$2*AT176^6</f>
        <v>-0.2912487882923987</v>
      </c>
      <c r="BA176">
        <f>regressions!$P$1*AT176^2+regressions!$P$2*AT176^7</f>
        <v>-0.28179849916192828</v>
      </c>
      <c r="BB176">
        <f>regressions!$T$2+regressions!$T$1*EXP(AT176)</f>
        <v>-1.9159765771223983E-2</v>
      </c>
      <c r="BC176" s="8">
        <f>(1-EXP(-2*regressions!$X$1*AT176))/2/EXP(-regressions!$X$1*AT176)</f>
        <v>-0.52588432174049715</v>
      </c>
      <c r="BE176">
        <f t="shared" si="40"/>
        <v>4.2537910906581544E-5</v>
      </c>
      <c r="BF176">
        <f t="shared" si="31"/>
        <v>1.6121419376713408E-4</v>
      </c>
      <c r="BG176">
        <f t="shared" si="32"/>
        <v>3.337439428249267E-4</v>
      </c>
      <c r="BH176">
        <f>BG176+regressions!$AR$1*(AI176-B176)</f>
        <v>-2.6336494978144174E-4</v>
      </c>
      <c r="BI176">
        <f>BG176-regressions!$AO$1*(AI176-B176)</f>
        <v>1.1449387461263142E-3</v>
      </c>
      <c r="BJ176">
        <f t="shared" si="33"/>
        <v>1.4802923166937765E-3</v>
      </c>
      <c r="BK176">
        <f>BJ176+regressions!$AR$1*(AT176-B176)</f>
        <v>-1.1689024027502276E-3</v>
      </c>
      <c r="BL176">
        <f>BJ176-regressions!$AO$1*(AT176-B176)</f>
        <v>5.0793226040607153E-3</v>
      </c>
      <c r="BM176">
        <f t="shared" si="41"/>
        <v>1.1867628286055254E-4</v>
      </c>
      <c r="BN176">
        <f t="shared" si="34"/>
        <v>2.9120603191834515E-4</v>
      </c>
      <c r="BO176">
        <f t="shared" si="35"/>
        <v>1.4377544057871949E-3</v>
      </c>
      <c r="BP176">
        <f t="shared" si="42"/>
        <v>1.7252974905779261E-4</v>
      </c>
      <c r="BQ176">
        <f t="shared" si="43"/>
        <v>1.3190781229266424E-3</v>
      </c>
      <c r="BR176">
        <f t="shared" si="44"/>
        <v>1.1465483738688498E-3</v>
      </c>
    </row>
    <row r="177" spans="1:70" x14ac:dyDescent="0.35">
      <c r="A177">
        <f t="shared" si="46"/>
        <v>2024</v>
      </c>
      <c r="B177" s="33">
        <v>1.2690519815684476</v>
      </c>
      <c r="C177">
        <f t="shared" si="45"/>
        <v>-0.61587460123046245</v>
      </c>
      <c r="D177">
        <f>IF($B177&lt;=regressions!$L$2,$B177*regressions!$L$1,regressions!$L$1*regressions!$L$2+regressions!$L$3*($B177-regressions!$L$2))</f>
        <v>-1.0086169259539217</v>
      </c>
      <c r="E177">
        <f>regressions!$J$1*B177+regressions!$J$2*B177^2</f>
        <v>-0.70693859466346431</v>
      </c>
      <c r="F177">
        <f>regressions!$V$1*B177</f>
        <v>-1.0086169288013755</v>
      </c>
      <c r="G177">
        <f>regressions!$N$1*B177^2</f>
        <v>-0.28062012089497351</v>
      </c>
      <c r="H177">
        <f>regressions!$R$1*B177^2+regressions!$R$2*B177^6</f>
        <v>-0.30559999873100685</v>
      </c>
      <c r="I177">
        <f>regressions!$P$1*B177^2+regressions!$P$2*B177^7</f>
        <v>-0.29568753813769971</v>
      </c>
      <c r="J177">
        <f>regressions!$T$2+regressions!$T$1*EXP(B177)</f>
        <v>-1.998583710328276E-2</v>
      </c>
      <c r="K177" s="8">
        <f>(1-EXP(-2*regressions!$X$1*B177))/2/EXP(-regressions!$X$1*B177)</f>
        <v>-0.53979589342068168</v>
      </c>
      <c r="M177" s="33">
        <v>1.2688364237257876</v>
      </c>
      <c r="N177">
        <f t="shared" si="36"/>
        <v>-0.61576921689628561</v>
      </c>
      <c r="O177">
        <f>IF($B177&lt;=regressions!$L$2,$B177*regressions!$L$1,regressions!$L$1*regressions!$L$2+regressions!$L$3*($B177-regressions!$L$2))</f>
        <v>-1.0086169259539217</v>
      </c>
      <c r="P177">
        <f>regressions!$J$1*M177+regressions!$J$2*M177^2</f>
        <v>-0.70679616123789424</v>
      </c>
      <c r="Q177">
        <f>regressions!$V$1*M177</f>
        <v>-1.0084456077740256</v>
      </c>
      <c r="R177">
        <f>regressions!$N$1*M177^2</f>
        <v>-0.28052479819516235</v>
      </c>
      <c r="S177">
        <f>regressions!$R$1*M177^2+regressions!$R$2*M177^6</f>
        <v>-0.3054962219385649</v>
      </c>
      <c r="T177">
        <f>regressions!$P$1*M177^2+regressions!$P$2*M177^7</f>
        <v>-0.29558710168208158</v>
      </c>
      <c r="U177">
        <f>regressions!$T$2+regressions!$T$1*EXP(M177)</f>
        <v>-1.9979845132847476E-2</v>
      </c>
      <c r="V177" s="8">
        <f>(1-EXP(-2*regressions!$X$1*M177))/2/EXP(-regressions!$X$1*M177)</f>
        <v>-0.53969619468328744</v>
      </c>
      <c r="X177" s="33">
        <v>1.2682411118796866</v>
      </c>
      <c r="Y177">
        <f t="shared" si="37"/>
        <v>-0.61547821665742197</v>
      </c>
      <c r="Z177">
        <f>IF($B177&lt;=regressions!$L$2,$B177*regressions!$L$1,regressions!$L$1*regressions!$L$2+regressions!$L$3*($B177-regressions!$L$2))</f>
        <v>-1.0086169259539217</v>
      </c>
      <c r="AA177">
        <f>regressions!$J$1*X177+regressions!$J$2*X177^2</f>
        <v>-0.70640283850008778</v>
      </c>
      <c r="AB177">
        <f>regressions!$V$1*X177</f>
        <v>-1.0079724659211984</v>
      </c>
      <c r="AC177">
        <f>regressions!$N$1*X177^2</f>
        <v>-0.280261627063005</v>
      </c>
      <c r="AD177">
        <f>regressions!$R$1*X177^2+regressions!$R$2*X177^6</f>
        <v>-0.30520971020781762</v>
      </c>
      <c r="AE177">
        <f>regressions!$P$1*X177^2+regressions!$P$2*X177^7</f>
        <v>-0.29530981223900932</v>
      </c>
      <c r="AF177">
        <f>regressions!$T$2+regressions!$T$1*EXP(X177)</f>
        <v>-1.9963303655842892E-2</v>
      </c>
      <c r="AG177" s="8">
        <f>(1-EXP(-2*regressions!$X$1*X177))/2/EXP(-regressions!$X$1*X177)</f>
        <v>-0.53942087559645968</v>
      </c>
      <c r="AH177" s="8"/>
      <c r="AI177" s="33">
        <v>1.2676819253780178</v>
      </c>
      <c r="AJ177">
        <f t="shared" si="38"/>
        <v>-0.61506142572063971</v>
      </c>
      <c r="AK177">
        <f>IF(AI177&lt;=regressions!$L$2,AI177*regressions!$L$1,regressions!$L$1*regressions!$L$2+regressions!$L$3*(AI177-regressions!$L$2))</f>
        <v>-1.0075280329194003</v>
      </c>
      <c r="AL177">
        <f>regressions!$J$1*AI177+regressions!$J$2*AI177^2</f>
        <v>-0.706033436554942</v>
      </c>
      <c r="AM177">
        <f>regressions!$V$1*AI177</f>
        <v>-1.0075280357637801</v>
      </c>
      <c r="AN177">
        <f>regressions!$N$1*AI177^2</f>
        <v>-0.28001453844941165</v>
      </c>
      <c r="AO177">
        <f>regressions!$R$1*AI177^2+regressions!$R$2*AI177^6</f>
        <v>-0.30494070713064497</v>
      </c>
      <c r="AP177">
        <f>regressions!$P$1*AI177^2+regressions!$P$2*AI177^7</f>
        <v>-0.29504946805497001</v>
      </c>
      <c r="AQ177">
        <f>regressions!$T$2+regressions!$T$1*EXP(AI177)</f>
        <v>-1.9947774932835897E-2</v>
      </c>
      <c r="AR177" s="8">
        <f>(1-EXP(-2*regressions!$X$1*AI177))/2/EXP(-regressions!$X$1*AI177)</f>
        <v>-0.53916229255911285</v>
      </c>
      <c r="AT177" s="33">
        <v>1.2633583922080849</v>
      </c>
      <c r="AU177">
        <f t="shared" si="39"/>
        <v>-0.61249742636933635</v>
      </c>
      <c r="AV177">
        <f>IF(AT177&lt;=regressions!$L$2,AT177*regressions!$L$1,regressions!$L$1*regressions!$L$2+regressions!$L$3*(AT177-regressions!$L$2))</f>
        <v>-1.00409177593509</v>
      </c>
      <c r="AW177">
        <f>regressions!$J$1*AT177+regressions!$J$2*AT177^2</f>
        <v>-0.70317901014159168</v>
      </c>
      <c r="AX177">
        <f>regressions!$V$1*AT177</f>
        <v>-1.0040917787697687</v>
      </c>
      <c r="AY177">
        <f>regressions!$N$1*AT177^2</f>
        <v>-0.27810777050290875</v>
      </c>
      <c r="AZ177">
        <f>regressions!$R$1*AT177^2+regressions!$R$2*AT177^6</f>
        <v>-0.30286481942500321</v>
      </c>
      <c r="BA177">
        <f>regressions!$P$1*AT177^2+regressions!$P$2*AT177^7</f>
        <v>-0.29304040648532798</v>
      </c>
      <c r="BB177">
        <f>regressions!$T$2+regressions!$T$1*EXP(AT177)</f>
        <v>-1.9828002209985925E-2</v>
      </c>
      <c r="BC177" s="8">
        <f>(1-EXP(-2*regressions!$X$1*AT177))/2/EXP(-regressions!$X$1*AT177)</f>
        <v>-0.5371639150615497</v>
      </c>
      <c r="BE177">
        <f t="shared" si="40"/>
        <v>1.0538433417683901E-4</v>
      </c>
      <c r="BF177">
        <f t="shared" si="31"/>
        <v>3.9638457304047581E-4</v>
      </c>
      <c r="BG177">
        <f t="shared" si="32"/>
        <v>8.131755098227389E-4</v>
      </c>
      <c r="BH177">
        <f>BG177+regressions!$AR$1*(AI177-B177)</f>
        <v>-6.2994964249228408E-4</v>
      </c>
      <c r="BI177">
        <f>BG177-regressions!$AO$1*(AI177-B177)</f>
        <v>2.7737151007867613E-3</v>
      </c>
      <c r="BJ177">
        <f t="shared" si="33"/>
        <v>3.3771748611260977E-3</v>
      </c>
      <c r="BK177">
        <f>BJ177+regressions!$AR$1*(AT177-B177)</f>
        <v>-2.6200696827749521E-3</v>
      </c>
      <c r="BL177">
        <f>BJ177-regressions!$AO$1*(AT177-B177)</f>
        <v>1.1524656280980343E-2</v>
      </c>
      <c r="BM177">
        <f t="shared" si="41"/>
        <v>2.910002388636368E-4</v>
      </c>
      <c r="BN177">
        <f t="shared" si="34"/>
        <v>7.0779117564589988E-4</v>
      </c>
      <c r="BO177">
        <f t="shared" si="35"/>
        <v>3.2717905269492586E-3</v>
      </c>
      <c r="BP177">
        <f t="shared" si="42"/>
        <v>4.1679093678226309E-4</v>
      </c>
      <c r="BQ177">
        <f t="shared" si="43"/>
        <v>2.9807902880856219E-3</v>
      </c>
      <c r="BR177">
        <f t="shared" si="44"/>
        <v>2.5639993513033588E-3</v>
      </c>
    </row>
    <row r="178" spans="1:70" x14ac:dyDescent="0.35">
      <c r="A178">
        <f t="shared" si="46"/>
        <v>2025</v>
      </c>
      <c r="B178" s="33">
        <v>1.2971075003532166</v>
      </c>
      <c r="C178">
        <f t="shared" si="45"/>
        <v>-0.63259923150552211</v>
      </c>
      <c r="D178">
        <f>IF($B178&lt;=regressions!$L$2,$B178*regressions!$L$1,regressions!$L$1*regressions!$L$2+regressions!$L$3*($B178-regressions!$L$2))</f>
        <v>-1.0309148865762778</v>
      </c>
      <c r="E178">
        <f>regressions!$J$1*B178+regressions!$J$2*B178^2</f>
        <v>-0.72554157236472838</v>
      </c>
      <c r="F178">
        <f>regressions!$V$1*B178</f>
        <v>-1.0309148894866818</v>
      </c>
      <c r="G178">
        <f>regressions!$N$1*B178^2</f>
        <v>-0.29316486860378849</v>
      </c>
      <c r="H178">
        <f>regressions!$R$1*B178^2+regressions!$R$2*B178^6</f>
        <v>-0.31925704805224925</v>
      </c>
      <c r="I178">
        <f>regressions!$P$1*B178^2+regressions!$P$2*B178^7</f>
        <v>-0.30890522410873628</v>
      </c>
      <c r="J178">
        <f>regressions!$T$2+regressions!$T$1*EXP(B178)</f>
        <v>-2.0776838710343703E-2</v>
      </c>
      <c r="K178" s="8">
        <f>(1-EXP(-2*regressions!$X$1*B178))/2/EXP(-regressions!$X$1*B178)</f>
        <v>-0.55280773734477373</v>
      </c>
      <c r="M178" s="33">
        <v>1.2966839896948019</v>
      </c>
      <c r="N178">
        <f t="shared" si="36"/>
        <v>-0.63239009477016128</v>
      </c>
      <c r="O178">
        <f>IF($B178&lt;=regressions!$L$2,$B178*regressions!$L$1,regressions!$L$1*regressions!$L$2+regressions!$L$3*($B178-regressions!$L$2))</f>
        <v>-1.0309148865762778</v>
      </c>
      <c r="P178">
        <f>regressions!$J$1*M178+regressions!$J$2*M178^2</f>
        <v>-0.72525979557983711</v>
      </c>
      <c r="Q178">
        <f>regressions!$V$1*M178</f>
        <v>-1.0305782917540365</v>
      </c>
      <c r="R178">
        <f>regressions!$N$1*M178^2</f>
        <v>-0.29297346091031035</v>
      </c>
      <c r="S178">
        <f>regressions!$R$1*M178^2+regressions!$R$2*M178^6</f>
        <v>-0.31904867313083252</v>
      </c>
      <c r="T178">
        <f>regressions!$P$1*M178^2+regressions!$P$2*M178^7</f>
        <v>-0.30870354944377193</v>
      </c>
      <c r="U178">
        <f>regressions!$T$2+regressions!$T$1*EXP(M178)</f>
        <v>-2.0764732467508255E-2</v>
      </c>
      <c r="V178" s="8">
        <f>(1-EXP(-2*regressions!$X$1*M178))/2/EXP(-regressions!$X$1*M178)</f>
        <v>-0.55261078614738901</v>
      </c>
      <c r="X178" s="33">
        <v>1.295526139660516</v>
      </c>
      <c r="Y178">
        <f t="shared" si="37"/>
        <v>-0.63181849030641413</v>
      </c>
      <c r="Z178">
        <f>IF($B178&lt;=regressions!$L$2,$B178*regressions!$L$1,regressions!$L$1*regressions!$L$2+regressions!$L$3*($B178-regressions!$L$2))</f>
        <v>-1.0309148865762778</v>
      </c>
      <c r="AA178">
        <f>regressions!$J$1*X178+regressions!$J$2*X178^2</f>
        <v>-0.72448958620171555</v>
      </c>
      <c r="AB178">
        <f>regressions!$V$1*X178</f>
        <v>-1.0296580558909234</v>
      </c>
      <c r="AC178">
        <f>regressions!$N$1*X178^2</f>
        <v>-0.29245048401750673</v>
      </c>
      <c r="AD178">
        <f>regressions!$R$1*X178^2+regressions!$R$2*X178^6</f>
        <v>-0.31847933656090688</v>
      </c>
      <c r="AE178">
        <f>regressions!$P$1*X178^2+regressions!$P$2*X178^7</f>
        <v>-0.30815252032968365</v>
      </c>
      <c r="AF178">
        <f>regressions!$T$2+regressions!$T$1*EXP(X178)</f>
        <v>-2.0731660960743099E-2</v>
      </c>
      <c r="AG178" s="8">
        <f>(1-EXP(-2*regressions!$X$1*X178))/2/EXP(-regressions!$X$1*X178)</f>
        <v>-0.55207241843550059</v>
      </c>
      <c r="AH178" s="8"/>
      <c r="AI178" s="33">
        <v>1.2944546084183552</v>
      </c>
      <c r="AJ178">
        <f t="shared" si="38"/>
        <v>-0.63101183344817047</v>
      </c>
      <c r="AK178">
        <f>IF(AI178&lt;=regressions!$L$2,AI178*regressions!$L$1,regressions!$L$1*regressions!$L$2+regressions!$L$3*(AI178-regressions!$L$2))</f>
        <v>-1.0288064215590129</v>
      </c>
      <c r="AL178">
        <f>regressions!$J$1*AI178+regressions!$J$2*AI178^2</f>
        <v>-0.72377699189467348</v>
      </c>
      <c r="AM178">
        <f>regressions!$V$1*AI178</f>
        <v>-1.0288064244634643</v>
      </c>
      <c r="AN178">
        <f>regressions!$N$1*AI178^2</f>
        <v>-0.29196691178142914</v>
      </c>
      <c r="AO178">
        <f>regressions!$R$1*AI178^2+regressions!$R$2*AI178^6</f>
        <v>-0.31795289681438321</v>
      </c>
      <c r="AP178">
        <f>regressions!$P$1*AI178^2+regressions!$P$2*AI178^7</f>
        <v>-0.3076430093682781</v>
      </c>
      <c r="AQ178">
        <f>regressions!$T$2+regressions!$T$1*EXP(AI178)</f>
        <v>-2.0701089062882781E-2</v>
      </c>
      <c r="AR178" s="8">
        <f>(1-EXP(-2*regressions!$X$1*AI178))/2/EXP(-regressions!$X$1*AI178)</f>
        <v>-0.55157429577499439</v>
      </c>
      <c r="AT178" s="33">
        <v>1.2867376599908213</v>
      </c>
      <c r="AU178">
        <f t="shared" si="39"/>
        <v>-0.62640133664750852</v>
      </c>
      <c r="AV178">
        <f>IF(AT178&lt;=regressions!$L$2,AT178*regressions!$L$1,regressions!$L$1*regressions!$L$2+regressions!$L$3*(AT178-regressions!$L$2))</f>
        <v>-1.0226731465523387</v>
      </c>
      <c r="AW178">
        <f>regressions!$J$1*AT178+regressions!$J$2*AT178^2</f>
        <v>-0.71865057689451495</v>
      </c>
      <c r="AX178">
        <f>regressions!$V$1*AT178</f>
        <v>-1.022673149439475</v>
      </c>
      <c r="AY178">
        <f>regressions!$N$1*AT178^2</f>
        <v>-0.28849614096018206</v>
      </c>
      <c r="AZ178">
        <f>regressions!$R$1*AT178^2+regressions!$R$2*AT178^6</f>
        <v>-0.3141744256186545</v>
      </c>
      <c r="BA178">
        <f>regressions!$P$1*AT178^2+regressions!$P$2*AT178^7</f>
        <v>-0.30398606283639806</v>
      </c>
      <c r="BB178">
        <f>regressions!$T$2+regressions!$T$1*EXP(AT178)</f>
        <v>-2.0481881354240495E-2</v>
      </c>
      <c r="BC178" s="8">
        <f>(1-EXP(-2*regressions!$X$1*AT178))/2/EXP(-regressions!$X$1*AT178)</f>
        <v>-0.54799001115131141</v>
      </c>
      <c r="BE178">
        <f t="shared" si="40"/>
        <v>2.0913673536082644E-4</v>
      </c>
      <c r="BF178">
        <f t="shared" si="31"/>
        <v>7.8074119910798156E-4</v>
      </c>
      <c r="BG178">
        <f t="shared" si="32"/>
        <v>1.5873980573516411E-3</v>
      </c>
      <c r="BH178">
        <f>BG178+regressions!$AR$1*(AI178-B178)</f>
        <v>-1.2069800888259334E-3</v>
      </c>
      <c r="BI178">
        <f>BG178-regressions!$AO$1*(AI178-B178)</f>
        <v>5.3836654697221754E-3</v>
      </c>
      <c r="BJ178">
        <f t="shared" si="33"/>
        <v>6.1978948580135862E-3</v>
      </c>
      <c r="BK178">
        <f>BJ178+regressions!$AR$1*(AT178-B178)</f>
        <v>-4.7249983466587202E-3</v>
      </c>
      <c r="BL178">
        <f>BJ178-regressions!$AO$1*(AT178-B178)</f>
        <v>2.1037054539541515E-2</v>
      </c>
      <c r="BM178">
        <f t="shared" si="41"/>
        <v>5.7160446374715512E-4</v>
      </c>
      <c r="BN178">
        <f t="shared" si="34"/>
        <v>1.3782613219908146E-3</v>
      </c>
      <c r="BO178">
        <f t="shared" si="35"/>
        <v>5.9887581226527598E-3</v>
      </c>
      <c r="BP178">
        <f t="shared" si="42"/>
        <v>8.0665685824365951E-4</v>
      </c>
      <c r="BQ178">
        <f t="shared" si="43"/>
        <v>5.4171536589056046E-3</v>
      </c>
      <c r="BR178">
        <f t="shared" si="44"/>
        <v>4.6104968006619451E-3</v>
      </c>
    </row>
    <row r="179" spans="1:70" x14ac:dyDescent="0.35">
      <c r="A179">
        <f t="shared" si="46"/>
        <v>2026</v>
      </c>
      <c r="B179" s="33">
        <v>1.3255742305513807</v>
      </c>
      <c r="C179">
        <f t="shared" si="45"/>
        <v>-0.64971091768920319</v>
      </c>
      <c r="D179">
        <f>IF($B179&lt;=regressions!$L$2,$B179*regressions!$L$1,regressions!$L$1*regressions!$L$2+regressions!$L$3*($B179-regressions!$L$2))</f>
        <v>-1.0535396697383876</v>
      </c>
      <c r="E179">
        <f>regressions!$J$1*B179+regressions!$J$2*B179^2</f>
        <v>-0.74454872423668561</v>
      </c>
      <c r="F179">
        <f>regressions!$V$1*B179</f>
        <v>-1.053539672712664</v>
      </c>
      <c r="G179">
        <f>regressions!$N$1*B179^2</f>
        <v>-0.30617384604308434</v>
      </c>
      <c r="H179">
        <f>regressions!$R$1*B179^2+regressions!$R$2*B179^6</f>
        <v>-0.33341888020961635</v>
      </c>
      <c r="I179">
        <f>regressions!$P$1*B179^2+regressions!$P$2*B179^7</f>
        <v>-0.32261193938775773</v>
      </c>
      <c r="J179">
        <f>regressions!$T$2+regressions!$T$1*EXP(B179)</f>
        <v>-2.1602440675946077E-2</v>
      </c>
      <c r="K179" s="8">
        <f>(1-EXP(-2*regressions!$X$1*B179))/2/EXP(-regressions!$X$1*B179)</f>
        <v>-0.56608398041175401</v>
      </c>
      <c r="M179" s="33">
        <v>1.3248454021098288</v>
      </c>
      <c r="N179">
        <f t="shared" si="36"/>
        <v>-0.64934736574676555</v>
      </c>
      <c r="O179">
        <f>IF($B179&lt;=regressions!$L$2,$B179*regressions!$L$1,regressions!$L$1*regressions!$L$2+regressions!$L$3*($B179-regressions!$L$2))</f>
        <v>-1.0535396697383876</v>
      </c>
      <c r="P179">
        <f>regressions!$J$1*M179+regressions!$J$2*M179^2</f>
        <v>-0.74406043529891497</v>
      </c>
      <c r="Q179">
        <f>regressions!$V$1*M179</f>
        <v>-1.0529604145616838</v>
      </c>
      <c r="R179">
        <f>regressions!$N$1*M179^2</f>
        <v>-0.30583725702960207</v>
      </c>
      <c r="S179">
        <f>regressions!$R$1*M179^2+regressions!$R$2*M179^6</f>
        <v>-0.33305247073309557</v>
      </c>
      <c r="T179">
        <f>regressions!$P$1*M179^2+regressions!$P$2*M179^7</f>
        <v>-0.32225729876818965</v>
      </c>
      <c r="U179">
        <f>regressions!$T$2+regressions!$T$1*EXP(M179)</f>
        <v>-2.1581008463784697E-2</v>
      </c>
      <c r="V179" s="8">
        <f>(1-EXP(-2*regressions!$X$1*M179))/2/EXP(-regressions!$X$1*M179)</f>
        <v>-0.56574313091385353</v>
      </c>
      <c r="X179" s="33">
        <v>1.3228727008473415</v>
      </c>
      <c r="Y179">
        <f t="shared" si="37"/>
        <v>-0.64836382003617776</v>
      </c>
      <c r="Z179">
        <f>IF($B179&lt;=regressions!$L$2,$B179*regressions!$L$1,regressions!$L$1*regressions!$L$2+regressions!$L$3*($B179-regressions!$L$2))</f>
        <v>-1.0535396697383876</v>
      </c>
      <c r="AA179">
        <f>regressions!$J$1*X179+regressions!$J$2*X179^2</f>
        <v>-0.742739231728473</v>
      </c>
      <c r="AB179">
        <f>regressions!$V$1*X179</f>
        <v>-1.0513925513711206</v>
      </c>
      <c r="AC179">
        <f>regressions!$N$1*X179^2</f>
        <v>-0.30492714877884253</v>
      </c>
      <c r="AD179">
        <f>regressions!$R$1*X179^2+regressions!$R$2*X179^6</f>
        <v>-0.33206172830548347</v>
      </c>
      <c r="AE179">
        <f>regressions!$P$1*X179^2+regressions!$P$2*X179^7</f>
        <v>-0.32129838012562373</v>
      </c>
      <c r="AF179">
        <f>regressions!$T$2+regressions!$T$1*EXP(X179)</f>
        <v>-2.1523076741332661E-2</v>
      </c>
      <c r="AG179" s="8">
        <f>(1-EXP(-2*regressions!$X$1*X179))/2/EXP(-regressions!$X$1*X179)</f>
        <v>-0.5648208119616136</v>
      </c>
      <c r="AH179" s="8"/>
      <c r="AI179" s="33">
        <v>1.3210737570437523</v>
      </c>
      <c r="AJ179">
        <f t="shared" si="38"/>
        <v>-0.64699610425784626</v>
      </c>
      <c r="AK179">
        <f>IF(AI179&lt;=regressions!$L$2,AI179*regressions!$L$1,regressions!$L$1*regressions!$L$2+regressions!$L$3*(AI179-regressions!$L$2))</f>
        <v>-1.0499627841414785</v>
      </c>
      <c r="AL179">
        <f>regressions!$J$1*AI179+regressions!$J$2*AI179^2</f>
        <v>-0.74153495562103466</v>
      </c>
      <c r="AM179">
        <f>regressions!$V$1*AI179</f>
        <v>-1.0499627871056569</v>
      </c>
      <c r="AN179">
        <f>regressions!$N$1*AI179^2</f>
        <v>-0.30409838600148248</v>
      </c>
      <c r="AO179">
        <f>regressions!$R$1*AI179^2+regressions!$R$2*AI179^6</f>
        <v>-0.33115953569072082</v>
      </c>
      <c r="AP179">
        <f>regressions!$P$1*AI179^2+regressions!$P$2*AI179^7</f>
        <v>-0.32042516915536617</v>
      </c>
      <c r="AQ179">
        <f>regressions!$T$2+regressions!$T$1*EXP(AI179)</f>
        <v>-2.1470347235475307E-2</v>
      </c>
      <c r="AR179" s="8">
        <f>(1-EXP(-2*regressions!$X$1*AI179))/2/EXP(-regressions!$X$1*AI179)</f>
        <v>-0.56398004920885436</v>
      </c>
      <c r="AT179" s="33">
        <v>1.308963646487169</v>
      </c>
      <c r="AU179">
        <f t="shared" si="39"/>
        <v>-0.63970871244840766</v>
      </c>
      <c r="AV179">
        <f>IF(AT179&lt;=regressions!$L$2,AT179*regressions!$L$1,regressions!$L$1*regressions!$L$2+regressions!$L$3*(AT179-regressions!$L$2))</f>
        <v>-1.0403379124577772</v>
      </c>
      <c r="AW179">
        <f>regressions!$J$1*AT179+regressions!$J$2*AT179^2</f>
        <v>-0.73344178984471109</v>
      </c>
      <c r="AX179">
        <f>regressions!$V$1*AT179</f>
        <v>-1.0403379153947834</v>
      </c>
      <c r="AY179">
        <f>regressions!$N$1*AT179^2</f>
        <v>-0.29854867948407043</v>
      </c>
      <c r="AZ179">
        <f>regressions!$R$1*AT179^2+regressions!$R$2*AT179^6</f>
        <v>-0.32511804858744092</v>
      </c>
      <c r="BA179">
        <f>regressions!$P$1*AT179^2+regressions!$P$2*AT179^7</f>
        <v>-0.31457780936145013</v>
      </c>
      <c r="BB179">
        <f>regressions!$T$2+regressions!$T$1*EXP(AT179)</f>
        <v>-2.111784125045579E-2</v>
      </c>
      <c r="BC179" s="8">
        <f>(1-EXP(-2*regressions!$X$1*AT179))/2/EXP(-regressions!$X$1*AT179)</f>
        <v>-0.55832805771568839</v>
      </c>
      <c r="BE179">
        <f t="shared" si="40"/>
        <v>3.6355194243764544E-4</v>
      </c>
      <c r="BF179">
        <f t="shared" si="31"/>
        <v>1.3470976530254308E-3</v>
      </c>
      <c r="BG179">
        <f t="shared" si="32"/>
        <v>2.7148134313569328E-3</v>
      </c>
      <c r="BH179">
        <f>BG179+regressions!$AR$1*(AI179-B179)</f>
        <v>-2.0256830253240028E-3</v>
      </c>
      <c r="BI179">
        <f>BG179-regressions!$AO$1*(AI179-B179)</f>
        <v>9.1549554864230227E-3</v>
      </c>
      <c r="BJ179">
        <f t="shared" si="33"/>
        <v>1.0002205240795536E-2</v>
      </c>
      <c r="BK179">
        <f>BJ179+regressions!$AR$1*(AT179-B179)</f>
        <v>-7.4942681339118938E-3</v>
      </c>
      <c r="BL179">
        <f>BJ179-regressions!$AO$1*(AT179-B179)</f>
        <v>3.3771819884636095E-2</v>
      </c>
      <c r="BM179">
        <f t="shared" si="41"/>
        <v>9.8354571058778539E-4</v>
      </c>
      <c r="BN179">
        <f t="shared" si="34"/>
        <v>2.3512614889192873E-3</v>
      </c>
      <c r="BO179">
        <f t="shared" si="35"/>
        <v>9.638653298357891E-3</v>
      </c>
      <c r="BP179">
        <f t="shared" si="42"/>
        <v>1.3677157783315019E-3</v>
      </c>
      <c r="BQ179">
        <f t="shared" si="43"/>
        <v>8.6551075877701056E-3</v>
      </c>
      <c r="BR179">
        <f t="shared" si="44"/>
        <v>7.2873918094386037E-3</v>
      </c>
    </row>
    <row r="180" spans="1:70" x14ac:dyDescent="0.35">
      <c r="A180">
        <f t="shared" si="46"/>
        <v>2027</v>
      </c>
      <c r="B180" s="33">
        <v>1.3544572340311607</v>
      </c>
      <c r="C180">
        <f t="shared" si="45"/>
        <v>-0.66721924303128455</v>
      </c>
      <c r="D180">
        <f>IF($B180&lt;=regressions!$L$2,$B180*regressions!$L$1,regressions!$L$1*regressions!$L$2+regressions!$L$3*($B180-regressions!$L$2))</f>
        <v>-1.0764952985110463</v>
      </c>
      <c r="E180">
        <f>regressions!$J$1*B180+regressions!$J$2*B180^2</f>
        <v>-0.76396920629376464</v>
      </c>
      <c r="F180">
        <f>regressions!$V$1*B180</f>
        <v>-1.0764953015501295</v>
      </c>
      <c r="G180">
        <f>regressions!$N$1*B180^2</f>
        <v>-0.31966168058275346</v>
      </c>
      <c r="H180">
        <f>regressions!$R$1*B180^2+regressions!$R$2*B180^6</f>
        <v>-0.34810132240868513</v>
      </c>
      <c r="I180">
        <f>regressions!$P$1*B180^2+regressions!$P$2*B180^7</f>
        <v>-0.33682307700618547</v>
      </c>
      <c r="J180">
        <f>regressions!$T$2+regressions!$T$1*EXP(B180)</f>
        <v>-2.2464484319880716E-2</v>
      </c>
      <c r="K180" s="8">
        <f>(1-EXP(-2*regressions!$X$1*B180))/2/EXP(-regressions!$X$1*B180)</f>
        <v>-0.57963204146893132</v>
      </c>
      <c r="M180" s="33">
        <v>1.3533094789111555</v>
      </c>
      <c r="N180">
        <f t="shared" si="36"/>
        <v>-0.66664089956310058</v>
      </c>
      <c r="O180">
        <f>IF($B180&lt;=regressions!$L$2,$B180*regressions!$L$1,regressions!$L$1*regressions!$L$2+regressions!$L$3*($B180-regressions!$L$2))</f>
        <v>-1.0764952985110463</v>
      </c>
      <c r="P180">
        <f>regressions!$J$1*M180+regressions!$J$2*M180^2</f>
        <v>-0.76319487177336054</v>
      </c>
      <c r="Q180">
        <f>regressions!$V$1*M180</f>
        <v>-1.0755830889213567</v>
      </c>
      <c r="R180">
        <f>regressions!$N$1*M180^2</f>
        <v>-0.31912015314245201</v>
      </c>
      <c r="S180">
        <f>regressions!$R$1*M180^2+regressions!$R$2*M180^6</f>
        <v>-0.34751184606197527</v>
      </c>
      <c r="T180">
        <f>regressions!$P$1*M180^2+regressions!$P$2*M180^7</f>
        <v>-0.33625251185586424</v>
      </c>
      <c r="U180">
        <f>regressions!$T$2+regressions!$T$1*EXP(M180)</f>
        <v>-2.2429751207541683E-2</v>
      </c>
      <c r="V180" s="8">
        <f>(1-EXP(-2*regressions!$X$1*M180))/2/EXP(-regressions!$X$1*M180)</f>
        <v>-0.57909215158721861</v>
      </c>
      <c r="X180" s="33">
        <v>1.3502335675477437</v>
      </c>
      <c r="Y180">
        <f t="shared" si="37"/>
        <v>-0.66509212614772728</v>
      </c>
      <c r="Z180">
        <f>IF($B180&lt;=regressions!$L$2,$B180*regressions!$L$1,regressions!$L$1*regressions!$L$2+regressions!$L$3*($B180-regressions!$L$2))</f>
        <v>-1.0764952985110463</v>
      </c>
      <c r="AA180">
        <f>regressions!$J$1*X180+regressions!$J$2*X180^2</f>
        <v>-0.76112076592384814</v>
      </c>
      <c r="AB180">
        <f>regressions!$V$1*X180</f>
        <v>-1.0731384165850864</v>
      </c>
      <c r="AC180">
        <f>regressions!$N$1*X180^2</f>
        <v>-0.31767115746579105</v>
      </c>
      <c r="AD180">
        <f>regressions!$R$1*X180^2+regressions!$R$2*X180^6</f>
        <v>-0.34593454503808285</v>
      </c>
      <c r="AE180">
        <f>regressions!$P$1*X180^2+regressions!$P$2*X180^7</f>
        <v>-0.3347258173183994</v>
      </c>
      <c r="AF180">
        <f>regressions!$T$2+regressions!$T$1*EXP(X180)</f>
        <v>-2.2336864992047727E-2</v>
      </c>
      <c r="AG180" s="8">
        <f>(1-EXP(-2*regressions!$X$1*X180))/2/EXP(-regressions!$X$1*X180)</f>
        <v>-0.57764590357164958</v>
      </c>
      <c r="AH180" s="8"/>
      <c r="AI180" s="33">
        <v>1.3474692094654521</v>
      </c>
      <c r="AJ180">
        <f t="shared" si="38"/>
        <v>-0.66296969524490146</v>
      </c>
      <c r="AK180">
        <f>IF(AI180&lt;=regressions!$L$2,AI180*regressions!$L$1,regressions!$L$1*regressions!$L$2+regressions!$L$3*(AI180-regressions!$L$2))</f>
        <v>-1.0709413574918263</v>
      </c>
      <c r="AL180">
        <f>regressions!$J$1*AI180+regressions!$J$2*AI180^2</f>
        <v>-0.75925806190927603</v>
      </c>
      <c r="AM180">
        <f>regressions!$V$1*AI180</f>
        <v>-1.0709413605152298</v>
      </c>
      <c r="AN180">
        <f>regressions!$N$1*AI180^2</f>
        <v>-0.31637174095090315</v>
      </c>
      <c r="AO180">
        <f>regressions!$R$1*AI180^2+regressions!$R$2*AI180^6</f>
        <v>-0.3445200609958759</v>
      </c>
      <c r="AP180">
        <f>regressions!$P$1*AI180^2+regressions!$P$2*AI180^7</f>
        <v>-0.33335672151195089</v>
      </c>
      <c r="AQ180">
        <f>regressions!$T$2+regressions!$T$1*EXP(AI180)</f>
        <v>-2.2253630464337672E-2</v>
      </c>
      <c r="AR180" s="8">
        <f>(1-EXP(-2*regressions!$X$1*AI180))/2/EXP(-regressions!$X$1*AI180)</f>
        <v>-0.57634691582258424</v>
      </c>
      <c r="AT180" s="33">
        <v>1.3300178353863814</v>
      </c>
      <c r="AU180">
        <f t="shared" si="39"/>
        <v>-0.65239493925450509</v>
      </c>
      <c r="AV180">
        <f>IF(AT180&lt;=regressions!$L$2,AT180*regressions!$L$1,regressions!$L$1*regressions!$L$2+regressions!$L$3*(AT180-regressions!$L$2))</f>
        <v>-1.0570713572609849</v>
      </c>
      <c r="AW180">
        <f>regressions!$J$1*AT180+regressions!$J$2*AT180^2</f>
        <v>-0.74752765881564631</v>
      </c>
      <c r="AX180">
        <f>regressions!$V$1*AT180</f>
        <v>-1.0570713602452315</v>
      </c>
      <c r="AY180">
        <f>regressions!$N$1*AT180^2</f>
        <v>-0.30823000543277768</v>
      </c>
      <c r="AZ180">
        <f>regressions!$R$1*AT180^2+regressions!$R$2*AT180^6</f>
        <v>-0.3356571978160573</v>
      </c>
      <c r="BA180">
        <f>regressions!$P$1*AT180^2+regressions!$P$2*AT180^7</f>
        <v>-0.32477837103416524</v>
      </c>
      <c r="BB180">
        <f>regressions!$T$2+regressions!$T$1*EXP(AT180)</f>
        <v>-2.1733449529347821E-2</v>
      </c>
      <c r="BC180" s="8">
        <f>(1-EXP(-2*regressions!$X$1*AT180))/2/EXP(-regressions!$X$1*AT180)</f>
        <v>-0.56816318952477141</v>
      </c>
      <c r="BE180">
        <f t="shared" si="40"/>
        <v>5.7834346818397275E-4</v>
      </c>
      <c r="BF180">
        <f t="shared" si="31"/>
        <v>2.1271168835572674E-3</v>
      </c>
      <c r="BG180">
        <f t="shared" si="32"/>
        <v>4.2495477863830899E-3</v>
      </c>
      <c r="BH180">
        <f>BG180+regressions!$AR$1*(AI180-B180)</f>
        <v>-3.1111678442700894E-3</v>
      </c>
      <c r="BI180">
        <f>BG180-regressions!$AO$1*(AI180-B180)</f>
        <v>1.4249355764626338E-2</v>
      </c>
      <c r="BJ180">
        <f t="shared" si="33"/>
        <v>1.4824303776779457E-2</v>
      </c>
      <c r="BK180">
        <f>BJ180+regressions!$AR$1*(AT180-B180)</f>
        <v>-1.0918516946998347E-2</v>
      </c>
      <c r="BL180">
        <f>BJ180-regressions!$AO$1*(AT180-B180)</f>
        <v>4.9796890271508035E-2</v>
      </c>
      <c r="BM180">
        <f t="shared" si="41"/>
        <v>1.5487734153732946E-3</v>
      </c>
      <c r="BN180">
        <f t="shared" si="34"/>
        <v>3.6712043181991172E-3</v>
      </c>
      <c r="BO180">
        <f t="shared" si="35"/>
        <v>1.4245960308595484E-2</v>
      </c>
      <c r="BP180">
        <f t="shared" si="42"/>
        <v>2.1224309028258226E-3</v>
      </c>
      <c r="BQ180">
        <f t="shared" si="43"/>
        <v>1.269718689322219E-2</v>
      </c>
      <c r="BR180">
        <f t="shared" si="44"/>
        <v>1.0574755990396367E-2</v>
      </c>
    </row>
    <row r="181" spans="1:70" x14ac:dyDescent="0.35">
      <c r="A181">
        <f t="shared" si="46"/>
        <v>2028</v>
      </c>
      <c r="B181" s="33">
        <v>1.3837613988856154</v>
      </c>
      <c r="C181">
        <f t="shared" si="45"/>
        <v>-0.68513390656526862</v>
      </c>
      <c r="D181">
        <f>IF($B181&lt;=regressions!$L$2,$B181*regressions!$L$1,regressions!$L$1*regressions!$L$2+regressions!$L$3*($B181-regressions!$L$2))</f>
        <v>-1.0997856578520542</v>
      </c>
      <c r="E181">
        <f>regressions!$J$1*B181+regressions!$J$2*B181^2</f>
        <v>-0.78381223635408981</v>
      </c>
      <c r="F181">
        <f>regressions!$V$1*B181</f>
        <v>-1.0997856609568888</v>
      </c>
      <c r="G181">
        <f>regressions!$N$1*B181^2</f>
        <v>-0.33364329929600339</v>
      </c>
      <c r="H181">
        <f>regressions!$R$1*B181^2+regressions!$R$2*B181^6</f>
        <v>-0.3633205161768448</v>
      </c>
      <c r="I181">
        <f>regressions!$P$1*B181^2+regressions!$P$2*B181^7</f>
        <v>-0.35155434299588323</v>
      </c>
      <c r="J181">
        <f>regressions!$T$2+regressions!$T$1*EXP(B181)</f>
        <v>-2.3364918302075401E-2</v>
      </c>
      <c r="K181" s="8">
        <f>(1-EXP(-2*regressions!$X$1*B181))/2/EXP(-regressions!$X$1*B181)</f>
        <v>-0.59345953001907314</v>
      </c>
      <c r="M181" s="33">
        <v>1.382065624250475</v>
      </c>
      <c r="N181">
        <f t="shared" si="36"/>
        <v>-0.68427069086928638</v>
      </c>
      <c r="O181">
        <f>IF($B181&lt;=regressions!$L$2,$B181*regressions!$L$1,regressions!$L$1*regressions!$L$2+regressions!$L$3*($B181-regressions!$L$2))</f>
        <v>-1.0997856578520542</v>
      </c>
      <c r="P181">
        <f>regressions!$J$1*M181+regressions!$J$2*M181^2</f>
        <v>-0.7826601325033965</v>
      </c>
      <c r="Q181">
        <f>regressions!$V$1*M181</f>
        <v>-1.0984378934664503</v>
      </c>
      <c r="R181">
        <f>regressions!$N$1*M181^2</f>
        <v>-0.33282605267293935</v>
      </c>
      <c r="S181">
        <f>regressions!$R$1*M181^2+regressions!$R$2*M181^6</f>
        <v>-0.36243095350590082</v>
      </c>
      <c r="T181">
        <f>regressions!$P$1*M181^2+regressions!$P$2*M181^7</f>
        <v>-0.35069328232159913</v>
      </c>
      <c r="U181">
        <f>regressions!$T$2+regressions!$T$1*EXP(M181)</f>
        <v>-2.331208956099115E-2</v>
      </c>
      <c r="V181" s="8">
        <f>(1-EXP(-2*regressions!$X$1*M181))/2/EXP(-regressions!$X$1*M181)</f>
        <v>-0.59265707790248168</v>
      </c>
      <c r="X181" s="33">
        <v>1.3775655332599692</v>
      </c>
      <c r="Y181">
        <f t="shared" si="37"/>
        <v>-0.68198244293287547</v>
      </c>
      <c r="Z181">
        <f>IF($B181&lt;=regressions!$L$2,$B181*regressions!$L$1,regressions!$L$1*regressions!$L$2+regressions!$L$3*($B181-regressions!$L$2))</f>
        <v>-1.0997856578520542</v>
      </c>
      <c r="AA181">
        <f>regressions!$J$1*X181+regressions!$J$2*X181^2</f>
        <v>-0.77960506399636276</v>
      </c>
      <c r="AB181">
        <f>regressions!$V$1*X181</f>
        <v>-1.0948613118763399</v>
      </c>
      <c r="AC181">
        <f>regressions!$N$1*X181^2</f>
        <v>-0.33066217692694339</v>
      </c>
      <c r="AD181">
        <f>regressions!$R$1*X181^2+regressions!$R$2*X181^6</f>
        <v>-0.36007558858783834</v>
      </c>
      <c r="AE181">
        <f>regressions!$P$1*X181^2+regressions!$P$2*X181^7</f>
        <v>-0.34841339491850187</v>
      </c>
      <c r="AF181">
        <f>regressions!$T$2+regressions!$T$1*EXP(X181)</f>
        <v>-2.3172331031953951E-2</v>
      </c>
      <c r="AG181" s="8">
        <f>(1-EXP(-2*regressions!$X$1*X181))/2/EXP(-regressions!$X$1*X181)</f>
        <v>-0.59052897186347741</v>
      </c>
      <c r="AH181" s="8"/>
      <c r="AI181" s="33">
        <v>1.3735792940608869</v>
      </c>
      <c r="AJ181">
        <f t="shared" si="38"/>
        <v>-0.67889196188343082</v>
      </c>
      <c r="AK181">
        <f>IF(AI181&lt;=regressions!$L$2,AI181*regressions!$L$1,regressions!$L$1*regressions!$L$2+regressions!$L$3*(AI181-regressions!$L$2))</f>
        <v>-1.0916931262479779</v>
      </c>
      <c r="AL181">
        <f>regressions!$J$1*AI181+regressions!$J$2*AI181^2</f>
        <v>-0.77690160944930797</v>
      </c>
      <c r="AM181">
        <f>regressions!$V$1*AI181</f>
        <v>-1.0916931293299663</v>
      </c>
      <c r="AN181">
        <f>regressions!$N$1*AI181^2</f>
        <v>-0.32875128206307619</v>
      </c>
      <c r="AO181">
        <f>regressions!$R$1*AI181^2+regressions!$R$2*AI181^6</f>
        <v>-0.35799557566819074</v>
      </c>
      <c r="AP181">
        <f>regressions!$P$1*AI181^2+regressions!$P$2*AI181^7</f>
        <v>-0.34640004854509138</v>
      </c>
      <c r="AQ181">
        <f>regressions!$T$2+regressions!$T$1*EXP(AI181)</f>
        <v>-2.3049055320031386E-2</v>
      </c>
      <c r="AR181" s="8">
        <f>(1-EXP(-2*regressions!$X$1*AI181))/2/EXP(-regressions!$X$1*AI181)</f>
        <v>-0.58864552271538406</v>
      </c>
      <c r="AT181" s="33">
        <v>1.3499084969166202</v>
      </c>
      <c r="AU181">
        <f t="shared" si="39"/>
        <v>-0.66445208878661788</v>
      </c>
      <c r="AV181">
        <f>IF(AT181&lt;=regressions!$L$2,AT181*regressions!$L$1,regressions!$L$1*regressions!$L$2+regressions!$L$3*(AT181-regressions!$L$2))</f>
        <v>-1.0728800539725445</v>
      </c>
      <c r="AW181">
        <f>regressions!$J$1*AT181+regressions!$J$2*AT181^2</f>
        <v>-0.76090165916967623</v>
      </c>
      <c r="AX181">
        <f>regressions!$V$1*AT181</f>
        <v>-1.0728800570014212</v>
      </c>
      <c r="AY181">
        <f>regressions!$N$1*AT181^2</f>
        <v>-0.31751821632217869</v>
      </c>
      <c r="AZ181">
        <f>regressions!$R$1*AT181^2+regressions!$R$2*AT181^6</f>
        <v>-0.34576806080960815</v>
      </c>
      <c r="BA181">
        <f>regressions!$P$1*AT181^2+regressions!$P$2*AT181^7</f>
        <v>-0.33456467499298448</v>
      </c>
      <c r="BB181">
        <f>regressions!$T$2+regressions!$T$1*EXP(AT181)</f>
        <v>-2.2327065208048565E-2</v>
      </c>
      <c r="BC181" s="8">
        <f>(1-EXP(-2*regressions!$X$1*AT181))/2/EXP(-regressions!$X$1*AT181)</f>
        <v>-0.57749311310655072</v>
      </c>
      <c r="BE181">
        <f t="shared" si="40"/>
        <v>8.6321569598224457E-4</v>
      </c>
      <c r="BF181">
        <f t="shared" si="31"/>
        <v>3.1514636323931589E-3</v>
      </c>
      <c r="BG181">
        <f t="shared" si="32"/>
        <v>6.2419446818378077E-3</v>
      </c>
      <c r="BH181">
        <f>BG181+regressions!$AR$1*(AI181-B181)</f>
        <v>-4.4832005192980626E-3</v>
      </c>
      <c r="BI181">
        <f>BG181-regressions!$AO$1*(AI181-B181)</f>
        <v>2.0812456291266553E-2</v>
      </c>
      <c r="BJ181">
        <f t="shared" si="33"/>
        <v>2.0681817778650746E-2</v>
      </c>
      <c r="BK181">
        <f>BJ181+regressions!$AR$1*(AT181-B181)</f>
        <v>-1.4976554959322978E-2</v>
      </c>
      <c r="BL181">
        <f>BJ181-regressions!$AO$1*(AT181-B181)</f>
        <v>6.9125053204214804E-2</v>
      </c>
      <c r="BM181">
        <f t="shared" si="41"/>
        <v>2.2882479364109143E-3</v>
      </c>
      <c r="BN181">
        <f t="shared" si="34"/>
        <v>5.3787289858555631E-3</v>
      </c>
      <c r="BO181">
        <f t="shared" si="35"/>
        <v>1.9818602082668502E-2</v>
      </c>
      <c r="BP181">
        <f t="shared" si="42"/>
        <v>3.0904810494446489E-3</v>
      </c>
      <c r="BQ181">
        <f t="shared" si="43"/>
        <v>1.7530354146257587E-2</v>
      </c>
      <c r="BR181">
        <f t="shared" si="44"/>
        <v>1.4439873096812939E-2</v>
      </c>
    </row>
    <row r="182" spans="1:70" x14ac:dyDescent="0.35">
      <c r="A182">
        <f t="shared" si="46"/>
        <v>2029</v>
      </c>
      <c r="B182" s="33">
        <v>1.4134914816754407</v>
      </c>
      <c r="C182">
        <f t="shared" si="45"/>
        <v>-0.70346475015189802</v>
      </c>
      <c r="D182">
        <f>IF($B182&lt;=regressions!$L$2,$B182*regressions!$L$1,regressions!$L$1*regressions!$L$2+regressions!$L$3*($B182-regressions!$L$2))</f>
        <v>-1.1234145281799413</v>
      </c>
      <c r="E182">
        <f>regressions!$J$1*B182+regressions!$J$2*B182^2</f>
        <v>-0.80408712219296163</v>
      </c>
      <c r="F182">
        <f>regressions!$V$1*B182</f>
        <v>-1.1234145313514834</v>
      </c>
      <c r="G182">
        <f>regressions!$N$1*B182^2</f>
        <v>-0.34813394815317361</v>
      </c>
      <c r="H182">
        <f>regressions!$R$1*B182^2+regressions!$R$2*B182^6</f>
        <v>-0.37909293695359508</v>
      </c>
      <c r="I182">
        <f>regressions!$P$1*B182^2+regressions!$P$2*B182^7</f>
        <v>-0.36682177624301282</v>
      </c>
      <c r="J182">
        <f>regressions!$T$2+regressions!$T$1*EXP(B182)</f>
        <v>-2.4305806943218815E-2</v>
      </c>
      <c r="K182" s="8">
        <f>(1-EXP(-2*regressions!$X$1*B182))/2/EXP(-regressions!$X$1*B182)</f>
        <v>-0.60757427681716347</v>
      </c>
      <c r="M182" s="33">
        <v>1.4111038073074735</v>
      </c>
      <c r="N182">
        <f t="shared" si="36"/>
        <v>-0.70223686144435071</v>
      </c>
      <c r="O182">
        <f>IF($B182&lt;=regressions!$L$2,$B182*regressions!$L$1,regressions!$L$1*regressions!$L$2+regressions!$L$3*($B182-regressions!$L$2))</f>
        <v>-1.1234145281799413</v>
      </c>
      <c r="P182">
        <f>regressions!$J$1*M182+regressions!$J$2*M182^2</f>
        <v>-0.802453475104006</v>
      </c>
      <c r="Q182">
        <f>regressions!$V$1*M182</f>
        <v>-1.1215168559032165</v>
      </c>
      <c r="R182">
        <f>regressions!$N$1*M182^2</f>
        <v>-0.34695880354598296</v>
      </c>
      <c r="S182">
        <f>regressions!$R$1*M182^2+regressions!$R$2*M182^6</f>
        <v>-0.3778138782943854</v>
      </c>
      <c r="T182">
        <f>regressions!$P$1*M182^2+regressions!$P$2*M182^7</f>
        <v>-0.3655836430766477</v>
      </c>
      <c r="U182">
        <f>regressions!$T$2+regressions!$T$1*EXP(M182)</f>
        <v>-2.4229205201979707E-2</v>
      </c>
      <c r="V182" s="8">
        <f>(1-EXP(-2*regressions!$X$1*M182))/2/EXP(-regressions!$X$1*M182)</f>
        <v>-0.60643743915088999</v>
      </c>
      <c r="X182" s="33">
        <v>1.4048290608190119</v>
      </c>
      <c r="Y182">
        <f t="shared" si="37"/>
        <v>-0.69901483604643777</v>
      </c>
      <c r="Z182">
        <f>IF($B182&lt;=regressions!$L$2,$B182*regressions!$L$1,regressions!$L$1*regressions!$L$2+regressions!$L$3*($B182-regressions!$L$2))</f>
        <v>-1.1234145281799413</v>
      </c>
      <c r="AA182">
        <f>regressions!$J$1*X182+regressions!$J$2*X182^2</f>
        <v>-0.79816473537759569</v>
      </c>
      <c r="AB182">
        <f>regressions!$V$1*X182</f>
        <v>-1.1165298139032682</v>
      </c>
      <c r="AC182">
        <f>regressions!$N$1*X182^2</f>
        <v>-0.34388002490166181</v>
      </c>
      <c r="AD182">
        <f>regressions!$R$1*X182^2+regressions!$R$2*X182^6</f>
        <v>-0.37446282538518044</v>
      </c>
      <c r="AE182">
        <f>regressions!$P$1*X182^2+regressions!$P$2*X182^7</f>
        <v>-0.36233983456828162</v>
      </c>
      <c r="AF182">
        <f>regressions!$T$2+regressions!$T$1*EXP(X182)</f>
        <v>-2.4028767545094913E-2</v>
      </c>
      <c r="AG182" s="8">
        <f>(1-EXP(-2*regressions!$X$1*X182))/2/EXP(-regressions!$X$1*X182)</f>
        <v>-0.60345258667020585</v>
      </c>
      <c r="AH182" s="8"/>
      <c r="AI182" s="33">
        <v>1.3993498998635192</v>
      </c>
      <c r="AJ182">
        <f t="shared" si="38"/>
        <v>-0.69472580496786229</v>
      </c>
      <c r="AK182">
        <f>IF(AI182&lt;=regressions!$L$2,AI182*regressions!$L$1,regressions!$L$1*regressions!$L$2+regressions!$L$3*(AI182-regressions!$L$2))</f>
        <v>-1.1121750841048155</v>
      </c>
      <c r="AL182">
        <f>regressions!$J$1*AI182+regressions!$J$2*AI182^2</f>
        <v>-0.79442503583989632</v>
      </c>
      <c r="AM182">
        <f>regressions!$V$1*AI182</f>
        <v>-1.1121750872446272</v>
      </c>
      <c r="AN182">
        <f>regressions!$N$1*AI182^2</f>
        <v>-0.34120283135655599</v>
      </c>
      <c r="AO182">
        <f>regressions!$R$1*AI182^2+regressions!$R$2*AI182^6</f>
        <v>-0.37154883898738245</v>
      </c>
      <c r="AP182">
        <f>regressions!$P$1*AI182^2+regressions!$P$2*AI182^7</f>
        <v>-0.35951913100608252</v>
      </c>
      <c r="AQ182">
        <f>regressions!$T$2+regressions!$T$1*EXP(AI182)</f>
        <v>-2.3854769369899401E-2</v>
      </c>
      <c r="AR182" s="8">
        <f>(1-EXP(-2*regressions!$X$1*AI182))/2/EXP(-regressions!$X$1*AI182)</f>
        <v>-0.60084940830119615</v>
      </c>
      <c r="AT182" s="33">
        <v>1.3686603508046291</v>
      </c>
      <c r="AU182">
        <f t="shared" si="39"/>
        <v>-0.67588308760698901</v>
      </c>
      <c r="AV182">
        <f>IF(AT182&lt;=regressions!$L$2,AT182*regressions!$L$1,regressions!$L$1*regressions!$L$2+regressions!$L$3*(AT182-regressions!$L$2))</f>
        <v>-1.0877836493328268</v>
      </c>
      <c r="AW182">
        <f>regressions!$J$1*AT182+regressions!$J$2*AT182^2</f>
        <v>-0.77356917827755001</v>
      </c>
      <c r="AX182">
        <f>regressions!$V$1*AT182</f>
        <v>-1.0877836524037783</v>
      </c>
      <c r="AY182">
        <f>regressions!$N$1*AT182^2</f>
        <v>-0.32640090683003764</v>
      </c>
      <c r="AZ182">
        <f>regressions!$R$1*AT182^2+regressions!$R$2*AT182^6</f>
        <v>-0.35543716693612037</v>
      </c>
      <c r="BA182">
        <f>regressions!$P$1*AT182^2+regressions!$P$2*AT182^7</f>
        <v>-0.34392365563650268</v>
      </c>
      <c r="BB182">
        <f>regressions!$T$2+regressions!$T$1*EXP(AT182)</f>
        <v>-2.2897611208766291E-2</v>
      </c>
      <c r="BC182" s="8">
        <f>(1-EXP(-2*regressions!$X$1*AT182))/2/EXP(-regressions!$X$1*AT182)</f>
        <v>-0.58632351757277279</v>
      </c>
      <c r="BE182">
        <f t="shared" si="40"/>
        <v>1.2278887075473088E-3</v>
      </c>
      <c r="BF182">
        <f t="shared" si="31"/>
        <v>4.4499141054602509E-3</v>
      </c>
      <c r="BG182">
        <f t="shared" si="32"/>
        <v>8.7389451840357291E-3</v>
      </c>
      <c r="BH182">
        <f>BG182+regressions!$AR$1*(AI182-B182)</f>
        <v>-6.1568470826327635E-3</v>
      </c>
      <c r="BI182">
        <f>BG182-regressions!$AO$1*(AI182-B182)</f>
        <v>2.8975437099328972E-2</v>
      </c>
      <c r="BJ182">
        <f t="shared" si="33"/>
        <v>2.7581662544909014E-2</v>
      </c>
      <c r="BK182">
        <f>BJ182+regressions!$AR$1*(AT182-B182)</f>
        <v>-1.9640439014372048E-2</v>
      </c>
      <c r="BL182">
        <f>BJ182-regressions!$AO$1*(AT182-B182)</f>
        <v>9.1734656848264304E-2</v>
      </c>
      <c r="BM182">
        <f t="shared" si="41"/>
        <v>3.2220253979129421E-3</v>
      </c>
      <c r="BN182">
        <f t="shared" si="34"/>
        <v>7.5110564764884202E-3</v>
      </c>
      <c r="BO182">
        <f t="shared" si="35"/>
        <v>2.6353773837361705E-2</v>
      </c>
      <c r="BP182">
        <f t="shared" si="42"/>
        <v>4.2890310785754782E-3</v>
      </c>
      <c r="BQ182">
        <f t="shared" si="43"/>
        <v>2.3131748439448763E-2</v>
      </c>
      <c r="BR182">
        <f t="shared" si="44"/>
        <v>1.8842717360873285E-2</v>
      </c>
    </row>
    <row r="183" spans="1:70" x14ac:dyDescent="0.35">
      <c r="A183">
        <f t="shared" si="46"/>
        <v>2030</v>
      </c>
      <c r="B183" s="33">
        <v>1.4436521326660321</v>
      </c>
      <c r="C183">
        <f t="shared" si="45"/>
        <v>-0.72222177615800132</v>
      </c>
      <c r="D183">
        <f>IF($B183&lt;=regressions!$L$2,$B183*regressions!$L$1,regressions!$L$1*regressions!$L$2+regressions!$L$3*($B183-regressions!$L$2))</f>
        <v>-1.147385605431877</v>
      </c>
      <c r="E183">
        <f>regressions!$J$1*B183+regressions!$J$2*B183^2</f>
        <v>-0.82480327908171569</v>
      </c>
      <c r="F183">
        <f>regressions!$V$1*B183</f>
        <v>-1.1473856086710925</v>
      </c>
      <c r="G183">
        <f>regressions!$N$1*B183^2</f>
        <v>-0.36314920502183168</v>
      </c>
      <c r="H183">
        <f>regressions!$R$1*B183^2+regressions!$R$2*B183^6</f>
        <v>-0.39543540680435957</v>
      </c>
      <c r="I183">
        <f>regressions!$P$1*B183^2+regressions!$P$2*B183^7</f>
        <v>-0.38264176176956061</v>
      </c>
      <c r="J183">
        <f>regressions!$T$2+regressions!$T$1*EXP(B183)</f>
        <v>-2.528933871162746E-2</v>
      </c>
      <c r="K183" s="8">
        <f>(1-EXP(-2*regressions!$X$1*B183))/2/EXP(-regressions!$X$1*B183)</f>
        <v>-0.62198435740683466</v>
      </c>
      <c r="M183" s="33">
        <v>1.4404145378875752</v>
      </c>
      <c r="N183">
        <f t="shared" si="36"/>
        <v>-0.72053965896857353</v>
      </c>
      <c r="O183">
        <f>IF($B183&lt;=regressions!$L$2,$B183*regressions!$L$1,regressions!$L$1*regressions!$L$2+regressions!$L$3*($B183-regressions!$L$2))</f>
        <v>-1.147385605431877</v>
      </c>
      <c r="P183">
        <f>regressions!$J$1*M183+regressions!$J$2*M183^2</f>
        <v>-0.82257237906534664</v>
      </c>
      <c r="Q183">
        <f>regressions!$V$1*M183</f>
        <v>-1.1448124336163443</v>
      </c>
      <c r="R183">
        <f>regressions!$N$1*M183^2</f>
        <v>-0.3615222042052888</v>
      </c>
      <c r="S183">
        <f>regressions!$R$1*M183^2+regressions!$R$2*M183^6</f>
        <v>-0.39366464244289656</v>
      </c>
      <c r="T183">
        <f>regressions!$P$1*M183^2+regressions!$P$2*M183^7</f>
        <v>-0.38092757245927283</v>
      </c>
      <c r="U183">
        <f>regressions!$T$2+regressions!$T$1*EXP(M183)</f>
        <v>-2.5182334673265423E-2</v>
      </c>
      <c r="V183" s="8">
        <f>(1-EXP(-2*regressions!$X$1*M183))/2/EXP(-regressions!$X$1*M183)</f>
        <v>-0.62043305523359904</v>
      </c>
      <c r="X183" s="33">
        <v>1.4319879823174262</v>
      </c>
      <c r="Y183">
        <f t="shared" si="37"/>
        <v>-0.71617033809770236</v>
      </c>
      <c r="Z183">
        <f>IF($B183&lt;=regressions!$L$2,$B183*regressions!$L$1,regressions!$L$1*regressions!$L$2+regressions!$L$3*($B183-regressions!$L$2))</f>
        <v>-1.147385605431877</v>
      </c>
      <c r="AA183">
        <f>regressions!$J$1*X183+regressions!$J$2*X183^2</f>
        <v>-0.81677400243954001</v>
      </c>
      <c r="AB183">
        <f>regressions!$V$1*X183</f>
        <v>-1.1381151771422373</v>
      </c>
      <c r="AC183">
        <f>regressions!$N$1*X183^2</f>
        <v>-0.35730470147416704</v>
      </c>
      <c r="AD183">
        <f>regressions!$R$1*X183^2+regressions!$R$2*X183^6</f>
        <v>-0.38907442113779428</v>
      </c>
      <c r="AE183">
        <f>regressions!$P$1*X183^2+regressions!$P$2*X183^7</f>
        <v>-0.37648404976240951</v>
      </c>
      <c r="AF183">
        <f>regressions!$T$2+regressions!$T$1*EXP(X183)</f>
        <v>-2.4905451844196208E-2</v>
      </c>
      <c r="AG183" s="8">
        <f>(1-EXP(-2*regressions!$X$1*X183))/2/EXP(-regressions!$X$1*X183)</f>
        <v>-0.61640049299296851</v>
      </c>
      <c r="AH183" s="8"/>
      <c r="AI183" s="33">
        <v>1.4247336922170835</v>
      </c>
      <c r="AJ183">
        <f t="shared" si="38"/>
        <v>-0.710437383483004</v>
      </c>
      <c r="AK183">
        <f>IF(AI183&lt;=regressions!$L$2,AI183*regressions!$L$1,regressions!$L$1*regressions!$L$2+regressions!$L$3*(AI183-regressions!$L$2))</f>
        <v>-1.1323496104319892</v>
      </c>
      <c r="AL183">
        <f>regressions!$J$1*AI183+regressions!$J$2*AI183^2</f>
        <v>-0.8117915679944272</v>
      </c>
      <c r="AM183">
        <f>regressions!$V$1*AI183</f>
        <v>-1.1323496136287561</v>
      </c>
      <c r="AN183">
        <f>regressions!$N$1*AI183^2</f>
        <v>-0.35369374018017474</v>
      </c>
      <c r="AO183">
        <f>regressions!$R$1*AI183^2+regressions!$R$2*AI183^6</f>
        <v>-0.38514428082472435</v>
      </c>
      <c r="AP183">
        <f>regressions!$P$1*AI183^2+regressions!$P$2*AI183^7</f>
        <v>-0.37267956183565393</v>
      </c>
      <c r="AQ183">
        <f>regressions!$T$2+regressions!$T$1*EXP(AI183)</f>
        <v>-2.4668949489709845E-2</v>
      </c>
      <c r="AR183" s="8">
        <f>(1-EXP(-2*regressions!$X$1*AI183))/2/EXP(-regressions!$X$1*AI183)</f>
        <v>-0.61293473271918586</v>
      </c>
      <c r="AT183" s="33">
        <v>1.3863079326746075</v>
      </c>
      <c r="AU183">
        <f t="shared" si="39"/>
        <v>-0.68669788725825709</v>
      </c>
      <c r="AV183">
        <f>IF(AT183&lt;=regressions!$L$2,AT183*regressions!$L$1,regressions!$L$1*regressions!$L$2+regressions!$L$3*(AT183-regressions!$L$2))</f>
        <v>-1.1018095915595738</v>
      </c>
      <c r="AW183">
        <f>regressions!$J$1*AT183+regressions!$J$2*AT183^2</f>
        <v>-0.78554322622646411</v>
      </c>
      <c r="AX183">
        <f>regressions!$V$1*AT183</f>
        <v>-1.1018095946701223</v>
      </c>
      <c r="AY183">
        <f>regressions!$N$1*AT183^2</f>
        <v>-0.33487243565689356</v>
      </c>
      <c r="AZ183">
        <f>regressions!$R$1*AT183^2+regressions!$R$2*AT183^6</f>
        <v>-0.36465841040689539</v>
      </c>
      <c r="BA183">
        <f>regressions!$P$1*AT183^2+regressions!$P$2*AT183^7</f>
        <v>-0.35284937460560695</v>
      </c>
      <c r="BB183">
        <f>regressions!$T$2+regressions!$T$1*EXP(AT183)</f>
        <v>-2.3444419347666286E-2</v>
      </c>
      <c r="BC183" s="8">
        <f>(1-EXP(-2*regressions!$X$1*AT183))/2/EXP(-regressions!$X$1*AT183)</f>
        <v>-0.59466509832830872</v>
      </c>
      <c r="BE183">
        <f t="shared" si="40"/>
        <v>1.6821171894277898E-3</v>
      </c>
      <c r="BF183">
        <f t="shared" si="31"/>
        <v>6.0514380602989526E-3</v>
      </c>
      <c r="BG183">
        <f t="shared" si="32"/>
        <v>1.1784392674997313E-2</v>
      </c>
      <c r="BH183">
        <f>BG183+regressions!$AR$1*(AI183-B183)</f>
        <v>-8.1430215764489479E-3</v>
      </c>
      <c r="BI183">
        <f>BG183-regressions!$AO$1*(AI183-B183)</f>
        <v>3.8856531583274574E-2</v>
      </c>
      <c r="BJ183">
        <f t="shared" si="33"/>
        <v>3.5523888899744227E-2</v>
      </c>
      <c r="BK183">
        <f>BJ183+regressions!$AR$1*(AT183-B183)</f>
        <v>-2.4878639058653319E-2</v>
      </c>
      <c r="BL183">
        <f>BJ183-regressions!$AO$1*(AT183-B183)</f>
        <v>0.11758298631536404</v>
      </c>
      <c r="BM183">
        <f t="shared" si="41"/>
        <v>4.3693208708711628E-3</v>
      </c>
      <c r="BN183">
        <f t="shared" si="34"/>
        <v>1.0102275485569523E-2</v>
      </c>
      <c r="BO183">
        <f t="shared" si="35"/>
        <v>3.3841771710316437E-2</v>
      </c>
      <c r="BP183">
        <f t="shared" si="42"/>
        <v>5.7329546146983601E-3</v>
      </c>
      <c r="BQ183">
        <f t="shared" si="43"/>
        <v>2.9472450839445274E-2</v>
      </c>
      <c r="BR183">
        <f t="shared" si="44"/>
        <v>2.3739496224746914E-2</v>
      </c>
    </row>
    <row r="184" spans="1:70" x14ac:dyDescent="0.35">
      <c r="A184">
        <f t="shared" si="46"/>
        <v>2031</v>
      </c>
      <c r="B184" s="33">
        <v>1.4742479107840514</v>
      </c>
      <c r="C184">
        <f t="shared" si="45"/>
        <v>-0.74141515943183867</v>
      </c>
      <c r="D184">
        <f>IF($B184&lt;=regressions!$L$2,$B184*regressions!$L$1,regressions!$L$1*regressions!$L$2+regressions!$L$3*($B184-regressions!$L$2))</f>
        <v>-1.1717025129508465</v>
      </c>
      <c r="E184">
        <f>regressions!$J$1*B184+regressions!$J$2*B184^2</f>
        <v>-0.84597024084450223</v>
      </c>
      <c r="F184">
        <f>regressions!$V$1*B184</f>
        <v>-1.1717025162587116</v>
      </c>
      <c r="G184">
        <f>regressions!$N$1*B184^2</f>
        <v>-0.37870498878354819</v>
      </c>
      <c r="H184">
        <f>regressions!$R$1*B184^2+regressions!$R$2*B184^6</f>
        <v>-0.41236510276187865</v>
      </c>
      <c r="I184">
        <f>regressions!$P$1*B184^2+regressions!$P$2*B184^7</f>
        <v>-0.39903103987166566</v>
      </c>
      <c r="J184">
        <f>regressions!$T$2+regressions!$T$1*EXP(B184)</f>
        <v>-2.6317835058021453E-2</v>
      </c>
      <c r="K184" s="8">
        <f>(1-EXP(-2*regressions!$X$1*B184))/2/EXP(-regressions!$X$1*B184)</f>
        <v>-0.63669811157189848</v>
      </c>
      <c r="M184" s="33">
        <v>1.4699888407458295</v>
      </c>
      <c r="N184">
        <f t="shared" si="36"/>
        <v>-0.73917945390379547</v>
      </c>
      <c r="O184">
        <f>IF($B184&lt;=regressions!$L$2,$B184*regressions!$L$1,regressions!$L$1*regressions!$L$2+regressions!$L$3*($B184-regressions!$L$2))</f>
        <v>-1.1717025129508465</v>
      </c>
      <c r="P184">
        <f>regressions!$J$1*M184+regressions!$J$2*M184^2</f>
        <v>-0.84301453646823454</v>
      </c>
      <c r="Q184">
        <f>regressions!$V$1*M184</f>
        <v>-1.1683174932621028</v>
      </c>
      <c r="R184">
        <f>regressions!$N$1*M184^2</f>
        <v>-0.3765200086347672</v>
      </c>
      <c r="S184">
        <f>regressions!$R$1*M184^2+regressions!$R$2*M184^6</f>
        <v>-0.40998720958203694</v>
      </c>
      <c r="T184">
        <f>regressions!$P$1*M184^2+regressions!$P$2*M184^7</f>
        <v>-0.39672899929954203</v>
      </c>
      <c r="U184">
        <f>regressions!$T$2+regressions!$T$1*EXP(M184)</f>
        <v>-2.6172771486768588E-2</v>
      </c>
      <c r="V184" s="8">
        <f>(1-EXP(-2*regressions!$X$1*M184))/2/EXP(-regressions!$X$1*M184)</f>
        <v>-0.63464402719853152</v>
      </c>
      <c r="X184" s="33">
        <v>1.4590092367435443</v>
      </c>
      <c r="Y184">
        <f t="shared" si="37"/>
        <v>-0.73343089663456473</v>
      </c>
      <c r="Z184">
        <f>IF($B184&lt;=regressions!$L$2,$B184*regressions!$L$1,regressions!$L$1*regressions!$L$2+regressions!$L$3*($B184-regressions!$L$2))</f>
        <v>-1.1717025129508465</v>
      </c>
      <c r="AA184">
        <f>regressions!$J$1*X184+regressions!$J$2*X184^2</f>
        <v>-0.83540859907756793</v>
      </c>
      <c r="AB184">
        <f>regressions!$V$1*X184</f>
        <v>-1.1595911253677369</v>
      </c>
      <c r="AC184">
        <f>regressions!$N$1*X184^2</f>
        <v>-0.37091642642636524</v>
      </c>
      <c r="AD184">
        <f>regressions!$R$1*X184^2+regressions!$R$2*X184^6</f>
        <v>-0.40388878193350441</v>
      </c>
      <c r="AE184">
        <f>regressions!$P$1*X184^2+regressions!$P$2*X184^7</f>
        <v>-0.39082518529088273</v>
      </c>
      <c r="AF184">
        <f>regressions!$T$2+regressions!$T$1*EXP(X184)</f>
        <v>-2.5801644037210858E-2</v>
      </c>
      <c r="AG184" s="8">
        <f>(1-EXP(-2*regressions!$X$1*X184))/2/EXP(-regressions!$X$1*X184)</f>
        <v>-0.62935751235712323</v>
      </c>
      <c r="AH184" s="8"/>
      <c r="AI184" s="33">
        <v>1.4496894364573776</v>
      </c>
      <c r="AJ184">
        <f t="shared" si="38"/>
        <v>-0.72599587317729142</v>
      </c>
      <c r="AK184">
        <f>IF(AI184&lt;=regressions!$L$2,AI184*regressions!$L$1,regressions!$L$1*regressions!$L$2+regressions!$L$3*(AI184-regressions!$L$2))</f>
        <v>-1.1521839327498415</v>
      </c>
      <c r="AL184">
        <f>regressions!$J$1*AI184+regressions!$J$2*AI184^2</f>
        <v>-0.82896792583736856</v>
      </c>
      <c r="AM184">
        <f>regressions!$V$1*AI184</f>
        <v>-1.1521839360026032</v>
      </c>
      <c r="AN184">
        <f>regressions!$N$1*AI184^2</f>
        <v>-0.36619291116326358</v>
      </c>
      <c r="AO184">
        <f>regressions!$R$1*AI184^2+regressions!$R$2*AI184^6</f>
        <v>-0.39874802583356805</v>
      </c>
      <c r="AP184">
        <f>regressions!$P$1*AI184^2+regressions!$P$2*AI184^7</f>
        <v>-0.3858485693979935</v>
      </c>
      <c r="AQ184">
        <f>regressions!$T$2+regressions!$T$1*EXP(AI184)</f>
        <v>-2.5489802159453692E-2</v>
      </c>
      <c r="AR184" s="8">
        <f>(1-EXP(-2*regressions!$X$1*AI184))/2/EXP(-regressions!$X$1*AI184)</f>
        <v>-0.62488003450850904</v>
      </c>
      <c r="AT184" s="33">
        <v>1.4028913311950444</v>
      </c>
      <c r="AU184">
        <f t="shared" si="39"/>
        <v>-0.69691093349285405</v>
      </c>
      <c r="AV184">
        <f>IF(AT184&lt;=regressions!$L$2,AT184*regressions!$L$1,regressions!$L$1*regressions!$L$2+regressions!$L$3*(AT184-regressions!$L$2))</f>
        <v>-1.1149897423181576</v>
      </c>
      <c r="AW184">
        <f>regressions!$J$1*AT184+regressions!$J$2*AT184^2</f>
        <v>-0.79684161313346802</v>
      </c>
      <c r="AX184">
        <f>regressions!$V$1*AT184</f>
        <v>-1.1149897454659154</v>
      </c>
      <c r="AY184">
        <f>regressions!$N$1*AT184^2</f>
        <v>-0.34293202777881537</v>
      </c>
      <c r="AZ184">
        <f>regressions!$R$1*AT184^2+regressions!$R$2*AT184^6</f>
        <v>-0.37343098316392204</v>
      </c>
      <c r="BA184">
        <f>regressions!$P$1*AT184^2+regressions!$P$2*AT184^7</f>
        <v>-0.36134102103551402</v>
      </c>
      <c r="BB184">
        <f>regressions!$T$2+regressions!$T$1*EXP(AT184)</f>
        <v>-2.3967123326650998E-2</v>
      </c>
      <c r="BC184" s="8">
        <f>(1-EXP(-2*regressions!$X$1*AT184))/2/EXP(-regressions!$X$1*AT184)</f>
        <v>-0.60253161873260708</v>
      </c>
      <c r="BE184">
        <f t="shared" si="40"/>
        <v>2.235705528043197E-3</v>
      </c>
      <c r="BF184">
        <f t="shared" si="31"/>
        <v>7.9842627972739333E-3</v>
      </c>
      <c r="BG184">
        <f t="shared" si="32"/>
        <v>1.5419286254547249E-2</v>
      </c>
      <c r="BH184">
        <f>BG184+regressions!$AR$1*(AI184-B184)</f>
        <v>-1.044896079318091E-2</v>
      </c>
      <c r="BI184">
        <f>BG184-regressions!$AO$1*(AI184-B184)</f>
        <v>5.0562269109882027E-2</v>
      </c>
      <c r="BJ184">
        <f t="shared" si="33"/>
        <v>4.4504225938984621E-2</v>
      </c>
      <c r="BK184">
        <f>BJ184+regressions!$AR$1*(AT184-B184)</f>
        <v>-3.0658001353141881E-2</v>
      </c>
      <c r="BL184">
        <f>BJ184-regressions!$AO$1*(AT184-B184)</f>
        <v>0.14661492792131925</v>
      </c>
      <c r="BM184">
        <f t="shared" si="41"/>
        <v>5.7485572692307363E-3</v>
      </c>
      <c r="BN184">
        <f t="shared" si="34"/>
        <v>1.3183580726504052E-2</v>
      </c>
      <c r="BO184">
        <f t="shared" si="35"/>
        <v>4.2268520410941424E-2</v>
      </c>
      <c r="BP184">
        <f t="shared" si="42"/>
        <v>7.4350234572733154E-3</v>
      </c>
      <c r="BQ184">
        <f t="shared" si="43"/>
        <v>3.6519963141710687E-2</v>
      </c>
      <c r="BR184">
        <f t="shared" si="44"/>
        <v>2.9084939684437372E-2</v>
      </c>
    </row>
    <row r="185" spans="1:70" x14ac:dyDescent="0.35">
      <c r="A185">
        <f t="shared" si="46"/>
        <v>2032</v>
      </c>
      <c r="B185" s="33">
        <v>1.5052832923468447</v>
      </c>
      <c r="C185">
        <f t="shared" si="45"/>
        <v>-0.76105525579646327</v>
      </c>
      <c r="D185">
        <f>IF($B185&lt;=regressions!$L$2,$B185*regressions!$L$1,regressions!$L$1*regressions!$L$2+regressions!$L$3*($B185-regressions!$L$2))</f>
        <v>-1.1963688084236166</v>
      </c>
      <c r="E185">
        <f>regressions!$J$1*B185+regressions!$J$2*B185^2</f>
        <v>-0.86759766693740448</v>
      </c>
      <c r="F185">
        <f>regressions!$V$1*B185</f>
        <v>-1.1963688118011178</v>
      </c>
      <c r="G185">
        <f>regressions!$N$1*B185^2</f>
        <v>-0.39481756598907269</v>
      </c>
      <c r="H185">
        <f>regressions!$R$1*B185^2+regressions!$R$2*B185^6</f>
        <v>-0.42989956233044935</v>
      </c>
      <c r="I185">
        <f>regressions!$P$1*B185^2+regressions!$P$2*B185^7</f>
        <v>-0.41600671260691552</v>
      </c>
      <c r="J185">
        <f>regressions!$T$2+regressions!$T$1*EXP(B185)</f>
        <v>-2.7393759729528393E-2</v>
      </c>
      <c r="K185" s="8">
        <f>(1-EXP(-2*regressions!$X$1*B185))/2/EXP(-regressions!$X$1*B185)</f>
        <v>-0.65172416051015847</v>
      </c>
      <c r="M185" s="33">
        <v>1.4998182297674427</v>
      </c>
      <c r="N185">
        <f t="shared" si="36"/>
        <v>-0.75815673540272555</v>
      </c>
      <c r="O185">
        <f>IF($B185&lt;=regressions!$L$2,$B185*regressions!$L$1,regressions!$L$1*regressions!$L$2+regressions!$L$3*($B185-regressions!$L$2))</f>
        <v>-1.1963688084236166</v>
      </c>
      <c r="P185">
        <f>regressions!$J$1*M185+regressions!$J$2*M185^2</f>
        <v>-0.86377784234890342</v>
      </c>
      <c r="Q185">
        <f>regressions!$V$1*M185</f>
        <v>-1.1920252902475474</v>
      </c>
      <c r="R185">
        <f>regressions!$N$1*M185^2</f>
        <v>-0.39195593077079582</v>
      </c>
      <c r="S185">
        <f>regressions!$R$1*M185^2+regressions!$R$2*M185^6</f>
        <v>-0.42678548909185526</v>
      </c>
      <c r="T185">
        <f>regressions!$P$1*M185^2+regressions!$P$2*M185^7</f>
        <v>-0.41299180732565244</v>
      </c>
      <c r="U185">
        <f>regressions!$T$2+regressions!$T$1*EXP(M185)</f>
        <v>-2.720186831175108E-2</v>
      </c>
      <c r="V185" s="8">
        <f>(1-EXP(-2*regressions!$X$1*M185))/2/EXP(-regressions!$X$1*M185)</f>
        <v>-0.64907072775940844</v>
      </c>
      <c r="X185" s="33">
        <v>1.4858626362383209</v>
      </c>
      <c r="Y185">
        <f t="shared" si="37"/>
        <v>-0.75077933074707659</v>
      </c>
      <c r="Z185">
        <f>IF($B185&lt;=regressions!$L$2,$B185*regressions!$L$1,regressions!$L$1*regressions!$L$2+regressions!$L$3*($B185-regressions!$L$2))</f>
        <v>-1.1963688084236166</v>
      </c>
      <c r="AA185">
        <f>regressions!$J$1*X185+regressions!$J$2*X185^2</f>
        <v>-0.85404568340171927</v>
      </c>
      <c r="AB185">
        <f>regressions!$V$1*X185</f>
        <v>-1.1809336658780345</v>
      </c>
      <c r="AC185">
        <f>regressions!$N$1*X185^2</f>
        <v>-0.38469567900917956</v>
      </c>
      <c r="AD185">
        <f>regressions!$R$1*X185^2+regressions!$R$2*X185^6</f>
        <v>-0.41888459797444483</v>
      </c>
      <c r="AE185">
        <f>regressions!$P$1*X185^2+regressions!$P$2*X185^7</f>
        <v>-0.40534265923640367</v>
      </c>
      <c r="AF185">
        <f>regressions!$T$2+regressions!$T$1*EXP(X185)</f>
        <v>-2.671658588372039E-2</v>
      </c>
      <c r="AG185" s="8">
        <f>(1-EXP(-2*regressions!$X$1*X185))/2/EXP(-regressions!$X$1*X185)</f>
        <v>-0.64230945738928058</v>
      </c>
      <c r="AH185" s="8"/>
      <c r="AI185" s="33">
        <v>1.4741814051600277</v>
      </c>
      <c r="AJ185">
        <f t="shared" si="38"/>
        <v>-0.741373257725083</v>
      </c>
      <c r="AK185">
        <f>IF(AI185&lt;=regressions!$L$2,AI185*regressions!$L$1,regressions!$L$1*regressions!$L$2+regressions!$L$3*(AI185-regressions!$L$2))</f>
        <v>-1.1716496556218832</v>
      </c>
      <c r="AL185">
        <f>regressions!$J$1*AI185+regressions!$J$2*AI185^2</f>
        <v>-0.84592406456074976</v>
      </c>
      <c r="AM185">
        <f>regressions!$V$1*AI185</f>
        <v>-1.171649658929599</v>
      </c>
      <c r="AN185">
        <f>regressions!$N$1*AI185^2</f>
        <v>-0.37867082160810156</v>
      </c>
      <c r="AO185">
        <f>regressions!$R$1*AI185^2+regressions!$R$2*AI185^6</f>
        <v>-0.41232791912215278</v>
      </c>
      <c r="AP185">
        <f>regressions!$P$1*AI185^2+regressions!$P$2*AI185^7</f>
        <v>-0.39899504222138282</v>
      </c>
      <c r="AQ185">
        <f>regressions!$T$2+regressions!$T$1*EXP(AI185)</f>
        <v>-2.6315565130285358E-2</v>
      </c>
      <c r="AR185" s="8">
        <f>(1-EXP(-2*regressions!$X$1*AI185))/2/EXP(-regressions!$X$1*AI185)</f>
        <v>-0.63666602223738511</v>
      </c>
      <c r="AT185" s="33">
        <v>1.4184534510693423</v>
      </c>
      <c r="AU185">
        <f t="shared" si="39"/>
        <v>-0.70653948468453442</v>
      </c>
      <c r="AV185">
        <f>IF(AT185&lt;=regressions!$L$2,AT185*regressions!$L$1,regressions!$L$1*regressions!$L$2+regressions!$L$3*(AT185-regressions!$L$2))</f>
        <v>-1.1273582014017183</v>
      </c>
      <c r="AW185">
        <f>regressions!$J$1*AT185+regressions!$J$2*AT185^2</f>
        <v>-0.80748508295617571</v>
      </c>
      <c r="AX185">
        <f>regressions!$V$1*AT185</f>
        <v>-1.1273582045843937</v>
      </c>
      <c r="AY185">
        <f>regressions!$N$1*AT185^2</f>
        <v>-0.35058244116944542</v>
      </c>
      <c r="AZ185">
        <f>regressions!$R$1*AT185^2+regressions!$R$2*AT185^6</f>
        <v>-0.38175792259991048</v>
      </c>
      <c r="BA185">
        <f>regressions!$P$1*AT185^2+regressions!$P$2*AT185^7</f>
        <v>-0.36940150660441773</v>
      </c>
      <c r="BB185">
        <f>regressions!$T$2+regressions!$T$1*EXP(AT185)</f>
        <v>-2.4465583818268875E-2</v>
      </c>
      <c r="BC185" s="8">
        <f>(1-EXP(-2*regressions!$X$1*AT185))/2/EXP(-regressions!$X$1*AT185)</f>
        <v>-0.60993864392437358</v>
      </c>
      <c r="BE185">
        <f t="shared" si="40"/>
        <v>2.8985203937377246E-3</v>
      </c>
      <c r="BF185">
        <f t="shared" si="31"/>
        <v>1.027592504938668E-2</v>
      </c>
      <c r="BG185">
        <f t="shared" si="32"/>
        <v>1.9681998071380269E-2</v>
      </c>
      <c r="BH185">
        <f>BG185+regressions!$AR$1*(AI185-B185)</f>
        <v>-1.3078640504823998E-2</v>
      </c>
      <c r="BI185">
        <f>BG185-regressions!$AO$1*(AI185-B185)</f>
        <v>6.4188553064810999E-2</v>
      </c>
      <c r="BJ185">
        <f t="shared" si="33"/>
        <v>5.4515771111928846E-2</v>
      </c>
      <c r="BK185">
        <f>BJ185+regressions!$AR$1*(AT185-B185)</f>
        <v>-3.6944950568238835E-2</v>
      </c>
      <c r="BL185">
        <f>BJ185-regressions!$AO$1*(AT185-B185)</f>
        <v>0.17876858839840057</v>
      </c>
      <c r="BM185">
        <f t="shared" si="41"/>
        <v>7.3774046556489559E-3</v>
      </c>
      <c r="BN185">
        <f t="shared" si="34"/>
        <v>1.6783477677642544E-2</v>
      </c>
      <c r="BO185">
        <f t="shared" si="35"/>
        <v>5.1617250718191121E-2</v>
      </c>
      <c r="BP185">
        <f t="shared" si="42"/>
        <v>9.4060730219935884E-3</v>
      </c>
      <c r="BQ185">
        <f t="shared" si="43"/>
        <v>4.4239846062542165E-2</v>
      </c>
      <c r="BR185">
        <f t="shared" si="44"/>
        <v>3.4833773040548577E-2</v>
      </c>
    </row>
    <row r="186" spans="1:70" x14ac:dyDescent="0.35">
      <c r="A186">
        <f t="shared" si="46"/>
        <v>2033</v>
      </c>
      <c r="B186" s="33">
        <v>1.5367626760086999</v>
      </c>
      <c r="C186">
        <f t="shared" si="45"/>
        <v>-0.78115260840899248</v>
      </c>
      <c r="D186">
        <f>IF($B186&lt;=regressions!$L$2,$B186*regressions!$L$1,regressions!$L$1*regressions!$L$2+regressions!$L$3*($B186-regressions!$L$2))</f>
        <v>-1.2213879878119211</v>
      </c>
      <c r="E186">
        <f>regressions!$J$1*B186+regressions!$J$2*B186^2</f>
        <v>-0.88969534706752285</v>
      </c>
      <c r="F186">
        <f>regressions!$V$1*B186</f>
        <v>-1.2213879912600547</v>
      </c>
      <c r="G186">
        <f>regressions!$N$1*B186^2</f>
        <v>-0.4115035559252882</v>
      </c>
      <c r="H186">
        <f>regressions!$R$1*B186^2+regressions!$R$2*B186^6</f>
        <v>-0.44805668709006763</v>
      </c>
      <c r="I186">
        <f>regressions!$P$1*B186^2+regressions!$P$2*B186^7</f>
        <v>-0.43358624854436084</v>
      </c>
      <c r="J186">
        <f>regressions!$T$2+regressions!$T$1*EXP(B186)</f>
        <v>-2.8519728664799675E-2</v>
      </c>
      <c r="K186" s="8">
        <f>(1-EXP(-2*regressions!$X$1*B186))/2/EXP(-regressions!$X$1*B186)</f>
        <v>-0.66707142283083243</v>
      </c>
      <c r="M186" s="33">
        <v>1.5298946826478521</v>
      </c>
      <c r="N186">
        <f t="shared" si="36"/>
        <v>-0.77747210678866518</v>
      </c>
      <c r="O186">
        <f>IF($B186&lt;=regressions!$L$2,$B186*regressions!$L$1,regressions!$L$1*regressions!$L$2+regressions!$L$3*($B186-regressions!$L$2))</f>
        <v>-1.2213879878119211</v>
      </c>
      <c r="P186">
        <f>regressions!$J$1*M186+regressions!$J$2*M186^2</f>
        <v>-0.88486038511086207</v>
      </c>
      <c r="Q186">
        <f>regressions!$V$1*M186</f>
        <v>-1.2159294486067544</v>
      </c>
      <c r="R186">
        <f>regressions!$N$1*M186^2</f>
        <v>-0.40783364853210785</v>
      </c>
      <c r="S186">
        <f>regressions!$R$1*M186^2+regressions!$R$2*M186^6</f>
        <v>-0.44406333978718499</v>
      </c>
      <c r="T186">
        <f>regressions!$P$1*M186^2+regressions!$P$2*M186^7</f>
        <v>-0.42971983914982909</v>
      </c>
      <c r="U186">
        <f>regressions!$T$2+regressions!$T$1*EXP(M186)</f>
        <v>-2.8271039266184725E-2</v>
      </c>
      <c r="V186" s="8">
        <f>(1-EXP(-2*regressions!$X$1*M186))/2/EXP(-regressions!$X$1*M186)</f>
        <v>-0.66371379208183268</v>
      </c>
      <c r="X186" s="33">
        <v>1.5125206550206907</v>
      </c>
      <c r="Y186">
        <f t="shared" si="37"/>
        <v>-0.76819929380290086</v>
      </c>
      <c r="Z186">
        <f>IF($B186&lt;=regressions!$L$2,$B186*regressions!$L$1,regressions!$L$1*regressions!$L$2+regressions!$L$3*($B186-regressions!$L$2))</f>
        <v>-1.2213879878119211</v>
      </c>
      <c r="AA186">
        <f>regressions!$J$1*X186+regressions!$J$2*X186^2</f>
        <v>-0.87266376078339813</v>
      </c>
      <c r="AB186">
        <f>regressions!$V$1*X186</f>
        <v>-1.2021209217373037</v>
      </c>
      <c r="AC186">
        <f>regressions!$N$1*X186^2</f>
        <v>-0.39862323788217963</v>
      </c>
      <c r="AD186">
        <f>regressions!$R$1*X186^2+regressions!$R$2*X186^6</f>
        <v>-0.4340408874866043</v>
      </c>
      <c r="AE186">
        <f>regressions!$P$1*X186^2+regressions!$P$2*X186^7</f>
        <v>-0.42001620515393989</v>
      </c>
      <c r="AF186">
        <f>regressions!$T$2+regressions!$T$1*EXP(X186)</f>
        <v>-2.7649500195709352E-2</v>
      </c>
      <c r="AG186" s="8">
        <f>(1-EXP(-2*regressions!$X$1*X186))/2/EXP(-regressions!$X$1*X186)</f>
        <v>-0.65524305680972583</v>
      </c>
      <c r="AH186" s="8"/>
      <c r="AI186" s="33">
        <v>1.4981788523571684</v>
      </c>
      <c r="AJ186">
        <f t="shared" si="38"/>
        <v>-0.75654414383035462</v>
      </c>
      <c r="AK186">
        <f>IF(AI186&lt;=regressions!$L$2,AI186*regressions!$L$1,regressions!$L$1*regressions!$L$2+regressions!$L$3*(AI186-regressions!$L$2))</f>
        <v>-1.1907223427728122</v>
      </c>
      <c r="AL186">
        <f>regressions!$J$1*AI186+regressions!$J$2*AI186^2</f>
        <v>-0.86263294571537052</v>
      </c>
      <c r="AM186">
        <f>regressions!$V$1*AI186</f>
        <v>-1.1907223461343728</v>
      </c>
      <c r="AN186">
        <f>regressions!$N$1*AI186^2</f>
        <v>-0.39109954363184446</v>
      </c>
      <c r="AO186">
        <f>regressions!$R$1*AI186^2+regressions!$R$2*AI186^6</f>
        <v>-0.42585354829663602</v>
      </c>
      <c r="AP186">
        <f>regressions!$P$1*AI186^2+regressions!$P$2*AI186^7</f>
        <v>-0.41208955029867189</v>
      </c>
      <c r="AQ186">
        <f>regressions!$T$2+regressions!$T$1*EXP(AI186)</f>
        <v>-2.7144510026774683E-2</v>
      </c>
      <c r="AR186" s="8">
        <f>(1-EXP(-2*regressions!$X$1*AI186))/2/EXP(-regressions!$X$1*AI186)</f>
        <v>-0.64827539332900774</v>
      </c>
      <c r="AT186" s="33">
        <v>1.4330382622586684</v>
      </c>
      <c r="AU186">
        <f t="shared" si="39"/>
        <v>-0.71560248876183907</v>
      </c>
      <c r="AV186">
        <f>IF(AT186&lt;=regressions!$L$2,AT186*regressions!$L$1,regressions!$L$1*regressions!$L$2+regressions!$L$3*(AT186-regressions!$L$2))</f>
        <v>-1.1389499152487865</v>
      </c>
      <c r="AW186">
        <f>regressions!$J$1*AT186+regressions!$J$2*AT186^2</f>
        <v>-0.81749607481067854</v>
      </c>
      <c r="AX186">
        <f>regressions!$V$1*AT186</f>
        <v>-1.1389499184641869</v>
      </c>
      <c r="AY186">
        <f>regressions!$N$1*AT186^2</f>
        <v>-0.35782901813723422</v>
      </c>
      <c r="AZ186">
        <f>regressions!$R$1*AT186^2+regressions!$R$2*AT186^6</f>
        <v>-0.38964507822211919</v>
      </c>
      <c r="BA186">
        <f>regressions!$P$1*AT186^2+regressions!$P$2*AT186^7</f>
        <v>-0.37703646586481276</v>
      </c>
      <c r="BB186">
        <f>regressions!$T$2+regressions!$T$1*EXP(AT186)</f>
        <v>-2.493983517953649E-2</v>
      </c>
      <c r="BC186" s="8">
        <f>(1-EXP(-2*regressions!$X$1*AT186))/2/EXP(-regressions!$X$1*AT186)</f>
        <v>-0.6169027121954328</v>
      </c>
      <c r="BE186">
        <f t="shared" si="40"/>
        <v>3.6805016203272922E-3</v>
      </c>
      <c r="BF186">
        <f t="shared" si="31"/>
        <v>1.2953314606091615E-2</v>
      </c>
      <c r="BG186">
        <f t="shared" si="32"/>
        <v>2.4608464578637856E-2</v>
      </c>
      <c r="BH186">
        <f>BG186+regressions!$AR$1*(AI186-B186)</f>
        <v>-1.6033143242240762E-2</v>
      </c>
      <c r="BI186">
        <f>BG186-regressions!$AO$1*(AI186-B186)</f>
        <v>7.9821611578013388E-2</v>
      </c>
      <c r="BJ186">
        <f t="shared" si="33"/>
        <v>6.5550119647153404E-2</v>
      </c>
      <c r="BK186">
        <f>BJ186+regressions!$AR$1*(AT186-B186)</f>
        <v>-4.3706209719052591E-2</v>
      </c>
      <c r="BL186">
        <f>BJ186-regressions!$AO$1*(AT186-B186)</f>
        <v>0.21397893674748311</v>
      </c>
      <c r="BM186">
        <f t="shared" si="41"/>
        <v>9.2728129857643227E-3</v>
      </c>
      <c r="BN186">
        <f t="shared" si="34"/>
        <v>2.0927962958310564E-2</v>
      </c>
      <c r="BO186">
        <f t="shared" si="35"/>
        <v>6.1869618026826112E-2</v>
      </c>
      <c r="BP186">
        <f t="shared" si="42"/>
        <v>1.1655149972546242E-2</v>
      </c>
      <c r="BQ186">
        <f t="shared" si="43"/>
        <v>5.2596805041061789E-2</v>
      </c>
      <c r="BR186">
        <f t="shared" si="44"/>
        <v>4.0941655068515548E-2</v>
      </c>
    </row>
    <row r="187" spans="1:70" x14ac:dyDescent="0.35">
      <c r="A187">
        <f t="shared" si="46"/>
        <v>2034</v>
      </c>
      <c r="B187" s="33">
        <v>1.5686903853986389</v>
      </c>
      <c r="C187">
        <f t="shared" si="45"/>
        <v>-0.80171795280353964</v>
      </c>
      <c r="D187">
        <f>IF($B187&lt;=regressions!$L$2,$B187*regressions!$L$1,regressions!$L$1*regressions!$L$2+regressions!$L$3*($B187-regressions!$L$2))</f>
        <v>-1.2467634874489262</v>
      </c>
      <c r="E187">
        <f>regressions!$J$1*B187+regressions!$J$2*B187^2</f>
        <v>-0.91227320427159675</v>
      </c>
      <c r="F187">
        <f>regressions!$V$1*B187</f>
        <v>-1.246763490968698</v>
      </c>
      <c r="G187">
        <f>regressions!$N$1*B187^2</f>
        <v>-0.42877993462912722</v>
      </c>
      <c r="H187">
        <f>regressions!$R$1*B187^2+regressions!$R$2*B187^6</f>
        <v>-0.46685474496810814</v>
      </c>
      <c r="I187">
        <f>regressions!$P$1*B187^2+regressions!$P$2*B187^7</f>
        <v>-0.45178748633396598</v>
      </c>
      <c r="J187">
        <f>regressions!$T$2+regressions!$T$1*EXP(B187)</f>
        <v>-2.9698520555717256E-2</v>
      </c>
      <c r="K187" s="8">
        <f>(1-EXP(-2*regressions!$X$1*B187))/2/EXP(-regressions!$X$1*B187)</f>
        <v>-0.68274913005055204</v>
      </c>
      <c r="M187" s="33">
        <v>1.5602106164241691</v>
      </c>
      <c r="N187">
        <f t="shared" si="36"/>
        <v>-0.79712628091894955</v>
      </c>
      <c r="O187">
        <f>IF($B187&lt;=regressions!$L$2,$B187*regressions!$L$1,regressions!$L$1*regressions!$L$2+regressions!$L$3*($B187-regressions!$L$2))</f>
        <v>-1.2467634874489262</v>
      </c>
      <c r="P187">
        <f>regressions!$J$1*M187+regressions!$J$2*M187^2</f>
        <v>-0.90626043720424709</v>
      </c>
      <c r="Q187">
        <f>regressions!$V$1*M187</f>
        <v>-1.2400239415537053</v>
      </c>
      <c r="R187">
        <f>regressions!$N$1*M187^2</f>
        <v>-0.42415680759713192</v>
      </c>
      <c r="S187">
        <f>regressions!$R$1*M187^2+regressions!$R$2*M187^6</f>
        <v>-0.46182457329428667</v>
      </c>
      <c r="T187">
        <f>regressions!$P$1*M187^2+regressions!$P$2*M187^7</f>
        <v>-0.44691689996964079</v>
      </c>
      <c r="U187">
        <f>regressions!$T$2+regressions!$T$1*EXP(M187)</f>
        <v>-2.9381762324768149E-2</v>
      </c>
      <c r="V187" s="8">
        <f>(1-EXP(-2*regressions!$X$1*M187))/2/EXP(-regressions!$X$1*M187)</f>
        <v>-0.67857410899302117</v>
      </c>
      <c r="X187" s="33">
        <v>1.5389582369681676</v>
      </c>
      <c r="Y187">
        <f t="shared" si="37"/>
        <v>-0.78567524064165084</v>
      </c>
      <c r="Z187">
        <f>IF($B187&lt;=regressions!$L$2,$B187*regressions!$L$1,regressions!$L$1*regressions!$L$2+regressions!$L$3*($B187-regressions!$L$2))</f>
        <v>-1.2467634874489262</v>
      </c>
      <c r="AA187">
        <f>regressions!$J$1*X187+regressions!$J$2*X187^2</f>
        <v>-0.89124261475783717</v>
      </c>
      <c r="AB187">
        <f>regressions!$V$1*X187</f>
        <v>-1.2231329788445646</v>
      </c>
      <c r="AC187">
        <f>regressions!$N$1*X187^2</f>
        <v>-0.41268021977124103</v>
      </c>
      <c r="AD187">
        <f>regressions!$R$1*X187^2+regressions!$R$2*X187^6</f>
        <v>-0.44933703922027818</v>
      </c>
      <c r="AE187">
        <f>regressions!$P$1*X187^2+regressions!$P$2*X187^7</f>
        <v>-0.43482591290308253</v>
      </c>
      <c r="AF187">
        <f>regressions!$T$2+regressions!$T$1*EXP(X187)</f>
        <v>-2.8599590679981239E-2</v>
      </c>
      <c r="AG187" s="8">
        <f>(1-EXP(-2*regressions!$X$1*X187))/2/EXP(-regressions!$X$1*X187)</f>
        <v>-0.66814588890248094</v>
      </c>
      <c r="AH187" s="8"/>
      <c r="AI187" s="33">
        <v>1.521655543073291</v>
      </c>
      <c r="AJ187">
        <f t="shared" si="38"/>
        <v>-0.77148559446407006</v>
      </c>
      <c r="AK187">
        <f>IF(AI187&lt;=regressions!$L$2,AI187*regressions!$L$1,regressions!$L$1*regressions!$L$2+regressions!$L$3*(AI187-regressions!$L$2))</f>
        <v>-1.209381143173093</v>
      </c>
      <c r="AL187">
        <f>regressions!$J$1*AI187+regressions!$J$2*AI187^2</f>
        <v>-0.87907033058479667</v>
      </c>
      <c r="AM187">
        <f>regressions!$V$1*AI187</f>
        <v>-1.2093811465873296</v>
      </c>
      <c r="AN187">
        <f>regressions!$N$1*AI187^2</f>
        <v>-0.40345275834899008</v>
      </c>
      <c r="AO187">
        <f>regressions!$R$1*AI187^2+regressions!$R$2*AI187^6</f>
        <v>-0.43929625892504187</v>
      </c>
      <c r="AP187">
        <f>regressions!$P$1*AI187^2+regressions!$P$2*AI187^7</f>
        <v>-0.42510436009163866</v>
      </c>
      <c r="AQ187">
        <f>regressions!$T$2+regressions!$T$1*EXP(AI187)</f>
        <v>-2.7974945565419997E-2</v>
      </c>
      <c r="AR187" s="8">
        <f>(1-EXP(-2*regressions!$X$1*AI187))/2/EXP(-regressions!$X$1*AI187)</f>
        <v>-0.6596926745954973</v>
      </c>
      <c r="AT187" s="33">
        <v>1.446689688764379</v>
      </c>
      <c r="AU187">
        <f t="shared" si="39"/>
        <v>-0.72411982959733945</v>
      </c>
      <c r="AV187">
        <f>IF(AT187&lt;=regressions!$L$2,AT187*regressions!$L$1,regressions!$L$1*regressions!$L$2+regressions!$L$3*(AT187-regressions!$L$2))</f>
        <v>-1.1497997937699629</v>
      </c>
      <c r="AW187">
        <f>regressions!$J$1*AT187+regressions!$J$2*AT187^2</f>
        <v>-0.8268978981913423</v>
      </c>
      <c r="AX187">
        <f>regressions!$V$1*AT187</f>
        <v>-1.1497997970159939</v>
      </c>
      <c r="AY187">
        <f>regressions!$N$1*AT187^2</f>
        <v>-0.36467900094245531</v>
      </c>
      <c r="AZ187">
        <f>regressions!$R$1*AT187^2+regressions!$R$2*AT187^6</f>
        <v>-0.39710036619509587</v>
      </c>
      <c r="BA187">
        <f>regressions!$P$1*AT187^2+regressions!$P$2*AT187^7</f>
        <v>-0.38425353505874116</v>
      </c>
      <c r="BB187">
        <f>regressions!$T$2+regressions!$T$1*EXP(AT187)</f>
        <v>-2.5390046855984012E-2</v>
      </c>
      <c r="BC187" s="8">
        <f>(1-EXP(-2*regressions!$X$1*AT187))/2/EXP(-regressions!$X$1*AT187)</f>
        <v>-0.62344079246782125</v>
      </c>
      <c r="BE187">
        <f t="shared" si="40"/>
        <v>4.5916718845900872E-3</v>
      </c>
      <c r="BF187">
        <f t="shared" si="31"/>
        <v>1.6042712161888795E-2</v>
      </c>
      <c r="BG187">
        <f t="shared" si="32"/>
        <v>3.0232358339469578E-2</v>
      </c>
      <c r="BH187">
        <f>BG187+regressions!$AR$1*(AI187-B187)</f>
        <v>-1.9310984823404841E-2</v>
      </c>
      <c r="BI187">
        <f>BG187-regressions!$AO$1*(AI187-B187)</f>
        <v>9.7538846334440724E-2</v>
      </c>
      <c r="BJ187">
        <f t="shared" si="33"/>
        <v>7.7598123206200187E-2</v>
      </c>
      <c r="BK187">
        <f>BJ187+regressions!$AR$1*(AT187-B187)</f>
        <v>-5.0909214772128342E-2</v>
      </c>
      <c r="BL187">
        <f>BJ187-regressions!$AO$1*(AT187-B187)</f>
        <v>0.25218015680997052</v>
      </c>
      <c r="BM187">
        <f t="shared" si="41"/>
        <v>1.1451040277298707E-2</v>
      </c>
      <c r="BN187">
        <f t="shared" si="34"/>
        <v>2.5640686454879491E-2</v>
      </c>
      <c r="BO187">
        <f t="shared" si="35"/>
        <v>7.30064513216101E-2</v>
      </c>
      <c r="BP187">
        <f t="shared" si="42"/>
        <v>1.4189646177580784E-2</v>
      </c>
      <c r="BQ187">
        <f t="shared" si="43"/>
        <v>6.1555411044311392E-2</v>
      </c>
      <c r="BR187">
        <f t="shared" si="44"/>
        <v>4.7365764866730609E-2</v>
      </c>
    </row>
    <row r="188" spans="1:70" x14ac:dyDescent="0.35">
      <c r="A188">
        <f t="shared" si="46"/>
        <v>2035</v>
      </c>
      <c r="B188" s="33">
        <v>1.6010706703406756</v>
      </c>
      <c r="C188">
        <f t="shared" si="45"/>
        <v>-0.8227622211138681</v>
      </c>
      <c r="D188">
        <f>IF($B188&lt;=regressions!$L$2,$B188*regressions!$L$1,regressions!$L$1*regressions!$L$2+regressions!$L$3*($B188-regressions!$L$2))</f>
        <v>-1.2724986850090645</v>
      </c>
      <c r="E188">
        <f>regressions!$J$1*B188+regressions!$J$2*B188^2</f>
        <v>-0.93534129701130797</v>
      </c>
      <c r="F188">
        <f>regressions!$V$1*B188</f>
        <v>-1.27249868860149</v>
      </c>
      <c r="G188">
        <f>regressions!$N$1*B188^2</f>
        <v>-0.44666403817516304</v>
      </c>
      <c r="H188">
        <f>regressions!$R$1*B188^2+regressions!$R$2*B188^6</f>
        <v>-0.48631237151796303</v>
      </c>
      <c r="I188">
        <f>regressions!$P$1*B188^2+regressions!$P$2*B188^7</f>
        <v>-0.47062863743180366</v>
      </c>
      <c r="J188">
        <f>regressions!$T$2+regressions!$T$1*EXP(B188)</f>
        <v>-3.0933088152943163E-2</v>
      </c>
      <c r="K188" s="8">
        <f>(1-EXP(-2*regressions!$X$1*B188))/2/EXP(-regressions!$X$1*B188)</f>
        <v>-0.69876684200549655</v>
      </c>
      <c r="M188" s="33">
        <v>1.5907588640368791</v>
      </c>
      <c r="N188">
        <f t="shared" si="36"/>
        <v>-0.81712007560883593</v>
      </c>
      <c r="O188">
        <f>IF($B188&lt;=regressions!$L$2,$B188*regressions!$L$1,regressions!$L$1*regressions!$L$2+regressions!$L$3*($B188-regressions!$L$2))</f>
        <v>-1.2724986850090645</v>
      </c>
      <c r="P188">
        <f>regressions!$J$1*M188+regressions!$J$2*M188^2</f>
        <v>-0.92797644618745856</v>
      </c>
      <c r="Q188">
        <f>regressions!$V$1*M188</f>
        <v>-1.2643030728539968</v>
      </c>
      <c r="R188">
        <f>regressions!$N$1*M188^2</f>
        <v>-0.44092902500061543</v>
      </c>
      <c r="S188">
        <f>regressions!$R$1*M188^2+regressions!$R$2*M188^6</f>
        <v>-0.48007295719588278</v>
      </c>
      <c r="T188">
        <f>regressions!$P$1*M188^2+regressions!$P$2*M188^7</f>
        <v>-0.46458676105942864</v>
      </c>
      <c r="U188">
        <f>regressions!$T$2+regressions!$T$1*EXP(M188)</f>
        <v>-3.053558185364659E-2</v>
      </c>
      <c r="V188" s="8">
        <f>(1-EXP(-2*regressions!$X$1*M188))/2/EXP(-regressions!$X$1*M188)</f>
        <v>-0.6936528126952779</v>
      </c>
      <c r="X188" s="33">
        <v>1.5651526190437091</v>
      </c>
      <c r="Y188">
        <f t="shared" si="37"/>
        <v>-0.80319239807844178</v>
      </c>
      <c r="Z188">
        <f>IF($B188&lt;=regressions!$L$2,$B188*regressions!$L$1,regressions!$L$1*regressions!$L$2+regressions!$L$3*($B188-regressions!$L$2))</f>
        <v>-1.2724986850090645</v>
      </c>
      <c r="AA188">
        <f>regressions!$J$1*X188+regressions!$J$2*X188^2</f>
        <v>-0.90976324407591014</v>
      </c>
      <c r="AB188">
        <f>regressions!$V$1*X188</f>
        <v>-1.2439517455969156</v>
      </c>
      <c r="AC188">
        <f>regressions!$N$1*X188^2</f>
        <v>-0.42684811592112049</v>
      </c>
      <c r="AD188">
        <f>regressions!$R$1*X188^2+regressions!$R$2*X188^6</f>
        <v>-0.46475285253139631</v>
      </c>
      <c r="AE188">
        <f>regressions!$P$1*X188^2+regressions!$P$2*X188^7</f>
        <v>-0.44975226715923222</v>
      </c>
      <c r="AF188">
        <f>regressions!$T$2+regressions!$T$1*EXP(X188)</f>
        <v>-2.9566042146856458E-2</v>
      </c>
      <c r="AG188" s="8">
        <f>(1-EXP(-2*regressions!$X$1*X188))/2/EXP(-regressions!$X$1*X188)</f>
        <v>-0.68100632207172063</v>
      </c>
      <c r="AH188" s="8"/>
      <c r="AI188" s="33">
        <v>1.5445893296979203</v>
      </c>
      <c r="AJ188">
        <f t="shared" si="38"/>
        <v>-0.78617697625878047</v>
      </c>
      <c r="AK188">
        <f>IF(AI188&lt;=regressions!$L$2,AI188*regressions!$L$1,regressions!$L$1*regressions!$L$2+regressions!$L$3*(AI188-regressions!$L$2))</f>
        <v>-1.2276084543485015</v>
      </c>
      <c r="AL188">
        <f>regressions!$J$1*AI188+regressions!$J$2*AI188^2</f>
        <v>-0.89521459133021908</v>
      </c>
      <c r="AM188">
        <f>regressions!$V$1*AI188</f>
        <v>-1.2276084578141961</v>
      </c>
      <c r="AN188">
        <f>regressions!$N$1*AI188^2</f>
        <v>-0.41570576267334369</v>
      </c>
      <c r="AO188">
        <f>regressions!$R$1*AI188^2+regressions!$R$2*AI188^6</f>
        <v>-0.45262916187750785</v>
      </c>
      <c r="AP188">
        <f>regressions!$P$1*AI188^2+regressions!$P$2*AI188^7</f>
        <v>-0.43801344174085061</v>
      </c>
      <c r="AQ188">
        <f>regressions!$T$2+regressions!$T$1*EXP(AI188)</f>
        <v>-2.8805221149374192E-2</v>
      </c>
      <c r="AR188" s="8">
        <f>(1-EXP(-2*regressions!$X$1*AI188))/2/EXP(-regressions!$X$1*AI188)</f>
        <v>-0.6709040804710148</v>
      </c>
      <c r="AT188" s="33">
        <v>1.4594509131558455</v>
      </c>
      <c r="AU188">
        <f t="shared" si="39"/>
        <v>-0.73211181916616841</v>
      </c>
      <c r="AV188">
        <f>IF(AT188&lt;=regressions!$L$2,AT188*regressions!$L$1,regressions!$L$1*regressions!$L$2+regressions!$L$3*(AT188-regressions!$L$2))</f>
        <v>-1.1599421576006559</v>
      </c>
      <c r="AW188">
        <f>regressions!$J$1*AT188+regressions!$J$2*AT188^2</f>
        <v>-0.83571418262347463</v>
      </c>
      <c r="AX188">
        <f>regressions!$V$1*AT188</f>
        <v>-1.15994216087532</v>
      </c>
      <c r="AY188">
        <f>regressions!$N$1*AT188^2</f>
        <v>-0.37114103067040571</v>
      </c>
      <c r="AZ188">
        <f>regressions!$R$1*AT188^2+regressions!$R$2*AT188^6</f>
        <v>-0.404133223513294</v>
      </c>
      <c r="BA188">
        <f>regressions!$P$1*AT188^2+regressions!$P$2*AT188^7</f>
        <v>-0.39106182404128115</v>
      </c>
      <c r="BB188">
        <f>regressions!$T$2+regressions!$T$1*EXP(AT188)</f>
        <v>-2.5816494847383173E-2</v>
      </c>
      <c r="BC188" s="8">
        <f>(1-EXP(-2*regressions!$X$1*AT188))/2/EXP(-regressions!$X$1*AT188)</f>
        <v>-0.62956992959764324</v>
      </c>
      <c r="BE188">
        <f t="shared" si="40"/>
        <v>5.64214550503217E-3</v>
      </c>
      <c r="BF188">
        <f t="shared" si="31"/>
        <v>1.9569823035426315E-2</v>
      </c>
      <c r="BG188">
        <f t="shared" si="32"/>
        <v>3.6585244855087629E-2</v>
      </c>
      <c r="BH188">
        <f>BG188+regressions!$AR$1*(AI188-B188)</f>
        <v>-2.2908405031247643E-2</v>
      </c>
      <c r="BI188">
        <f>BG188-regressions!$AO$1*(AI188-B188)</f>
        <v>0.1174095973556329</v>
      </c>
      <c r="BJ188">
        <f t="shared" si="33"/>
        <v>9.0650401947699688E-2</v>
      </c>
      <c r="BK188">
        <f>BJ188+regressions!$AR$1*(AT188-B188)</f>
        <v>-5.8522336430329641E-2</v>
      </c>
      <c r="BL188">
        <f>BJ188-regressions!$AO$1*(AT188-B188)</f>
        <v>0.29330715629328757</v>
      </c>
      <c r="BM188">
        <f t="shared" si="41"/>
        <v>1.3927677530394145E-2</v>
      </c>
      <c r="BN188">
        <f t="shared" si="34"/>
        <v>3.0943099350055459E-2</v>
      </c>
      <c r="BO188">
        <f t="shared" si="35"/>
        <v>8.5008256442667518E-2</v>
      </c>
      <c r="BP188">
        <f t="shared" si="42"/>
        <v>1.7015421819661314E-2</v>
      </c>
      <c r="BQ188">
        <f t="shared" si="43"/>
        <v>7.1080578912273373E-2</v>
      </c>
      <c r="BR188">
        <f t="shared" si="44"/>
        <v>5.4065157092612059E-2</v>
      </c>
    </row>
    <row r="189" spans="1:70" x14ac:dyDescent="0.35">
      <c r="A189">
        <f t="shared" si="46"/>
        <v>2036</v>
      </c>
      <c r="B189" s="33">
        <v>1.6339077071958894</v>
      </c>
      <c r="C189">
        <f t="shared" si="45"/>
        <v>-0.84429654577661017</v>
      </c>
      <c r="D189">
        <f>IF($B189&lt;=regressions!$L$2,$B189*regressions!$L$1,regressions!$L$1*regressions!$L$2+regressions!$L$3*($B189-regressions!$L$2))</f>
        <v>-1.2985968997799107</v>
      </c>
      <c r="E189">
        <f>regressions!$J$1*B189+regressions!$J$2*B189^2</f>
        <v>-0.95890982062277941</v>
      </c>
      <c r="F189">
        <f>regressions!$V$1*B189</f>
        <v>-1.2985969034460147</v>
      </c>
      <c r="G189">
        <f>regressions!$N$1*B189^2</f>
        <v>-0.46517356543515476</v>
      </c>
      <c r="H189">
        <f>regressions!$R$1*B189^2+regressions!$R$2*B189^6</f>
        <v>-0.50644857040292923</v>
      </c>
      <c r="I189">
        <f>regressions!$P$1*B189^2+regressions!$P$2*B189^7</f>
        <v>-0.490128288181157</v>
      </c>
      <c r="J189">
        <f>regressions!$T$2+regressions!$T$1*EXP(B189)</f>
        <v>-3.222657038954993E-2</v>
      </c>
      <c r="K189" s="8">
        <f>(1-EXP(-2*regressions!$X$1*B189))/2/EXP(-regressions!$X$1*B189)</f>
        <v>-0.71513446244194234</v>
      </c>
      <c r="M189" s="33">
        <v>1.6215326519986764</v>
      </c>
      <c r="N189">
        <f t="shared" si="36"/>
        <v>-0.83745440921119885</v>
      </c>
      <c r="O189">
        <f>IF($B189&lt;=regressions!$L$2,$B189*regressions!$L$1,regressions!$L$1*regressions!$L$2+regressions!$L$3*($B189-regressions!$L$2))</f>
        <v>-1.2985968997799107</v>
      </c>
      <c r="P189">
        <f>regressions!$J$1*M189+regressions!$J$2*M189^2</f>
        <v>-0.95000702622357591</v>
      </c>
      <c r="Q189">
        <f>regressions!$V$1*M189</f>
        <v>-1.2887614590764831</v>
      </c>
      <c r="R189">
        <f>regressions!$N$1*M189^2</f>
        <v>-0.45815389258714817</v>
      </c>
      <c r="S189">
        <f>regressions!$R$1*M189^2+regressions!$R$2*M189^6</f>
        <v>-0.4988122179843763</v>
      </c>
      <c r="T189">
        <f>regressions!$P$1*M189^2+regressions!$P$2*M189^7</f>
        <v>-0.48273316309045267</v>
      </c>
      <c r="U189">
        <f>regressions!$T$2+regressions!$T$1*EXP(M189)</f>
        <v>-3.1734111279956907E-2</v>
      </c>
      <c r="V189" s="8">
        <f>(1-EXP(-2*regressions!$X$1*M189))/2/EXP(-regressions!$X$1*M189)</f>
        <v>-0.7089512750179835</v>
      </c>
      <c r="X189" s="33">
        <v>1.5910831685197611</v>
      </c>
      <c r="Y189">
        <f t="shared" si="37"/>
        <v>-0.82073673790909341</v>
      </c>
      <c r="Z189">
        <f>IF($B189&lt;=regressions!$L$2,$B189*regressions!$L$1,regressions!$L$1*regressions!$L$2+regressions!$L$3*($B189-regressions!$L$2))</f>
        <v>-1.2985968997799107</v>
      </c>
      <c r="AA189">
        <f>regressions!$J$1*X189+regressions!$J$2*X189^2</f>
        <v>-0.9282078047086032</v>
      </c>
      <c r="AB189">
        <f>regressions!$V$1*X189</f>
        <v>-1.2645608235184862</v>
      </c>
      <c r="AC189">
        <f>regressions!$N$1*X189^2</f>
        <v>-0.44110882577210492</v>
      </c>
      <c r="AD189">
        <f>regressions!$R$1*X189^2+regressions!$R$2*X189^6</f>
        <v>-0.48026857441775517</v>
      </c>
      <c r="AE189">
        <f>regressions!$P$1*X189^2+regressions!$P$2*X189^7</f>
        <v>-0.46477618300080581</v>
      </c>
      <c r="AF189">
        <f>regressions!$T$2+regressions!$T$1*EXP(X189)</f>
        <v>-3.0548021027564334E-2</v>
      </c>
      <c r="AG189" s="8">
        <f>(1-EXP(-2*regressions!$X$1*X189))/2/EXP(-regressions!$X$1*X189)</f>
        <v>-0.69381346144403921</v>
      </c>
      <c r="AH189" s="8"/>
      <c r="AI189" s="33">
        <v>1.5669617687856705</v>
      </c>
      <c r="AJ189">
        <f t="shared" si="38"/>
        <v>-0.80059981828369597</v>
      </c>
      <c r="AK189">
        <f>IF(AI189&lt;=regressions!$L$2,AI189*regressions!$L$1,regressions!$L$1*regressions!$L$2+regressions!$L$3*(AI189-regressions!$L$2))</f>
        <v>-1.2453896178205361</v>
      </c>
      <c r="AL189">
        <f>regressions!$J$1*AI189+regressions!$J$2*AI189^2</f>
        <v>-0.91104653672664493</v>
      </c>
      <c r="AM189">
        <f>regressions!$V$1*AI189</f>
        <v>-1.2453896213364293</v>
      </c>
      <c r="AN189">
        <f>regressions!$N$1*AI189^2</f>
        <v>-0.42783546815558143</v>
      </c>
      <c r="AO189">
        <f>regressions!$R$1*AI189^2+regressions!$R$2*AI189^6</f>
        <v>-0.46582713191172581</v>
      </c>
      <c r="AP189">
        <f>regressions!$P$1*AI189^2+regressions!$P$2*AI189^7</f>
        <v>-0.45079246786524008</v>
      </c>
      <c r="AQ189">
        <f>regressions!$T$2+regressions!$T$1*EXP(AI189)</f>
        <v>-2.9633730654476463E-2</v>
      </c>
      <c r="AR189" s="8">
        <f>(1-EXP(-2*regressions!$X$1*AI189))/2/EXP(-regressions!$X$1*AI189)</f>
        <v>-0.68189738592551685</v>
      </c>
      <c r="AT189" s="33">
        <v>1.4713639517415222</v>
      </c>
      <c r="AU189">
        <f t="shared" si="39"/>
        <v>-0.73959885414745818</v>
      </c>
      <c r="AV189">
        <f>IF(AT189&lt;=regressions!$L$2,AT189*regressions!$L$1,regressions!$L$1*regressions!$L$2+regressions!$L$3*(AT189-regressions!$L$2))</f>
        <v>-1.1694104004556138</v>
      </c>
      <c r="AW189">
        <f>regressions!$J$1*AT189+regressions!$J$2*AT189^2</f>
        <v>-0.84396851023185515</v>
      </c>
      <c r="AX189">
        <f>regressions!$V$1*AT189</f>
        <v>-1.1694104037570081</v>
      </c>
      <c r="AY189">
        <f>regressions!$N$1*AT189^2</f>
        <v>-0.37722477449307118</v>
      </c>
      <c r="AZ189">
        <f>regressions!$R$1*AT189^2+regressions!$R$2*AT189^6</f>
        <v>-0.41075420204161883</v>
      </c>
      <c r="BA189">
        <f>regressions!$P$1*AT189^2+regressions!$P$2*AT189^7</f>
        <v>-0.39747152349713671</v>
      </c>
      <c r="BB189">
        <f>regressions!$T$2+regressions!$T$1*EXP(AT189)</f>
        <v>-2.6219540133120438E-2</v>
      </c>
      <c r="BC189" s="8">
        <f>(1-EXP(-2*regressions!$X$1*AT189))/2/EXP(-regressions!$X$1*AT189)</f>
        <v>-0.63530701344405394</v>
      </c>
      <c r="BE189">
        <f t="shared" si="40"/>
        <v>6.8421365654113275E-3</v>
      </c>
      <c r="BF189">
        <f t="shared" si="31"/>
        <v>2.3559807867516769E-2</v>
      </c>
      <c r="BG189">
        <f t="shared" si="32"/>
        <v>4.36967274929142E-2</v>
      </c>
      <c r="BH189">
        <f>BG189+regressions!$AR$1*(AI189-B189)</f>
        <v>-2.6819626682906786E-2</v>
      </c>
      <c r="BI189">
        <f>BG189-regressions!$AO$1*(AI189-B189)</f>
        <v>0.13949583677346483</v>
      </c>
      <c r="BJ189">
        <f t="shared" si="33"/>
        <v>0.10469769162915199</v>
      </c>
      <c r="BK189">
        <f>BJ189+regressions!$AR$1*(AT189-B189)</f>
        <v>-6.6514980877632746E-2</v>
      </c>
      <c r="BL189">
        <f>BJ189-regressions!$AO$1*(AT189-B189)</f>
        <v>0.33729652228901347</v>
      </c>
      <c r="BM189">
        <f t="shared" si="41"/>
        <v>1.6717671302105441E-2</v>
      </c>
      <c r="BN189">
        <f t="shared" si="34"/>
        <v>3.6854590927502873E-2</v>
      </c>
      <c r="BO189">
        <f t="shared" si="35"/>
        <v>9.7855555063740662E-2</v>
      </c>
      <c r="BP189">
        <f t="shared" si="42"/>
        <v>2.0136919625397431E-2</v>
      </c>
      <c r="BQ189">
        <f t="shared" si="43"/>
        <v>8.1137883761635221E-2</v>
      </c>
      <c r="BR189">
        <f t="shared" si="44"/>
        <v>6.100096413623779E-2</v>
      </c>
    </row>
    <row r="190" spans="1:70" x14ac:dyDescent="0.35">
      <c r="A190">
        <f t="shared" si="46"/>
        <v>2037</v>
      </c>
      <c r="B190" s="33">
        <v>1.6672055986538983</v>
      </c>
      <c r="C190">
        <f t="shared" si="45"/>
        <v>-0.86633226289741039</v>
      </c>
      <c r="D190">
        <f>IF($B190&lt;=regressions!$L$2,$B190*regressions!$L$1,regressions!$L$1*regressions!$L$2+regressions!$L$3*($B190-regressions!$L$2))</f>
        <v>-1.3250613924964472</v>
      </c>
      <c r="E190">
        <f>regressions!$J$1*B190+regressions!$J$2*B190^2</f>
        <v>-0.9829891083246991</v>
      </c>
      <c r="F190">
        <f>regressions!$V$1*B190</f>
        <v>-1.3250613962372639</v>
      </c>
      <c r="G190">
        <f>regressions!$N$1*B190^2</f>
        <v>-0.48432658042876853</v>
      </c>
      <c r="H190">
        <f>regressions!$R$1*B190^2+regressions!$R$2*B190^6</f>
        <v>-0.52728271319619568</v>
      </c>
      <c r="I190">
        <f>regressions!$P$1*B190^2+regressions!$P$2*B190^7</f>
        <v>-0.51030540136550506</v>
      </c>
      <c r="J190">
        <f>regressions!$T$2+regressions!$T$1*EXP(B190)</f>
        <v>-3.3582305397349778E-2</v>
      </c>
      <c r="K190" s="8">
        <f>(1-EXP(-2*regressions!$X$1*B190))/2/EXP(-regressions!$X$1*B190)</f>
        <v>-0.73186225495398594</v>
      </c>
      <c r="M190" s="33">
        <v>1.6525255791878664</v>
      </c>
      <c r="N190">
        <f t="shared" si="36"/>
        <v>-0.85813029639931804</v>
      </c>
      <c r="O190">
        <f>IF($B190&lt;=regressions!$L$2,$B190*regressions!$L$1,regressions!$L$1*regressions!$L$2+regressions!$L$3*($B190-regressions!$L$2))</f>
        <v>-1.3250613924964472</v>
      </c>
      <c r="P190">
        <f>regressions!$J$1*M190+regressions!$J$2*M190^2</f>
        <v>-0.97235095002783511</v>
      </c>
      <c r="Q190">
        <f>regressions!$V$1*M190</f>
        <v>-1.3133940127386985</v>
      </c>
      <c r="R190">
        <f>regressions!$N$1*M190^2</f>
        <v>-0.4758349803394426</v>
      </c>
      <c r="S190">
        <f>regressions!$R$1*M190^2+regressions!$R$2*M190^6</f>
        <v>-0.51804604384149355</v>
      </c>
      <c r="T190">
        <f>regressions!$P$1*M190^2+regressions!$P$2*M190^7</f>
        <v>-0.50135981929749496</v>
      </c>
      <c r="U190">
        <f>regressions!$T$2+regressions!$T$1*EXP(M190)</f>
        <v>-3.2979035903296587E-2</v>
      </c>
      <c r="V190" s="8">
        <f>(1-EXP(-2*regressions!$X$1*M190))/2/EXP(-regressions!$X$1*M190)</f>
        <v>-0.72447109821636058</v>
      </c>
      <c r="X190" s="33">
        <v>1.6167312324394556</v>
      </c>
      <c r="Y190">
        <f t="shared" si="37"/>
        <v>-0.83829495183757086</v>
      </c>
      <c r="Z190">
        <f>IF($B190&lt;=regressions!$L$2,$B190*regressions!$L$1,regressions!$L$1*regressions!$L$2+regressions!$L$3*($B190-regressions!$L$2))</f>
        <v>-1.3250613924964472</v>
      </c>
      <c r="AA190">
        <f>regressions!$J$1*X190+regressions!$J$2*X190^2</f>
        <v>-0.94655955594115093</v>
      </c>
      <c r="AB190">
        <f>regressions!$V$1*X190</f>
        <v>-1.2849453876152315</v>
      </c>
      <c r="AC190">
        <f>regressions!$N$1*X190^2</f>
        <v>-0.45544468752864165</v>
      </c>
      <c r="AD190">
        <f>regressions!$R$1*X190^2+regressions!$R$2*X190^6</f>
        <v>-0.49586493314466118</v>
      </c>
      <c r="AE190">
        <f>regressions!$P$1*X190^2+regressions!$P$2*X190^7</f>
        <v>-0.47987903822123051</v>
      </c>
      <c r="AF190">
        <f>regressions!$T$2+regressions!$T$1*EXP(X190)</f>
        <v>-3.1544676154485925E-2</v>
      </c>
      <c r="AG190" s="8">
        <f>(1-EXP(-2*regressions!$X$1*X190))/2/EXP(-regressions!$X$1*X190)</f>
        <v>-0.70655710070696376</v>
      </c>
      <c r="AH190" s="8"/>
      <c r="AI190" s="33">
        <v>1.5887577732673341</v>
      </c>
      <c r="AJ190">
        <f t="shared" si="38"/>
        <v>-0.81473768022317961</v>
      </c>
      <c r="AK190">
        <f>IF(AI190&lt;=regressions!$L$2,AI190*regressions!$L$1,regressions!$L$1*regressions!$L$2+regressions!$L$3*(AI190-regressions!$L$2))</f>
        <v>-1.2627126426908044</v>
      </c>
      <c r="AL190">
        <f>regressions!$J$1*AI190+regressions!$J$2*AI190^2</f>
        <v>-0.92654925019661505</v>
      </c>
      <c r="AM190">
        <f>regressions!$V$1*AI190</f>
        <v>-1.2627126462556026</v>
      </c>
      <c r="AN190">
        <f>regressions!$N$1*AI190^2</f>
        <v>-0.43982039181438093</v>
      </c>
      <c r="AO190">
        <f>regressions!$R$1*AI190^2+regressions!$R$2*AI190^6</f>
        <v>-0.47886679746414124</v>
      </c>
      <c r="AP190">
        <f>regressions!$P$1*AI190^2+regressions!$P$2*AI190^7</f>
        <v>-0.46341880390706369</v>
      </c>
      <c r="AQ190">
        <f>regressions!$T$2+regressions!$T$1*EXP(AI190)</f>
        <v>-3.0458916261567909E-2</v>
      </c>
      <c r="AR190" s="8">
        <f>(1-EXP(-2*regressions!$X$1*AI190))/2/EXP(-regressions!$X$1*AI190)</f>
        <v>-0.69266181172311059</v>
      </c>
      <c r="AT190" s="33">
        <v>1.4824694059684187</v>
      </c>
      <c r="AU190">
        <f t="shared" si="39"/>
        <v>-0.74660118323941016</v>
      </c>
      <c r="AV190">
        <f>IF(AT190&lt;=regressions!$L$2,AT190*regressions!$L$1,regressions!$L$1*regressions!$L$2+regressions!$L$3*(AT190-regressions!$L$2))</f>
        <v>-1.1782367915462377</v>
      </c>
      <c r="AW190">
        <f>regressions!$J$1*AT190+regressions!$J$2*AT190^2</f>
        <v>-0.85168417089368609</v>
      </c>
      <c r="AX190">
        <f>regressions!$V$1*AT190</f>
        <v>-1.1782367948725501</v>
      </c>
      <c r="AY190">
        <f>regressions!$N$1*AT190^2</f>
        <v>-0.38294064394810734</v>
      </c>
      <c r="AZ190">
        <f>regressions!$R$1*AT190^2+regressions!$R$2*AT190^6</f>
        <v>-0.41697466171786396</v>
      </c>
      <c r="BA190">
        <f>regressions!$P$1*AT190^2+regressions!$P$2*AT190^7</f>
        <v>-0.4034936080713673</v>
      </c>
      <c r="BB190">
        <f>regressions!$T$2+regressions!$T$1*EXP(AT190)</f>
        <v>-2.6599611969782104E-2</v>
      </c>
      <c r="BC190" s="8">
        <f>(1-EXP(-2*regressions!$X$1*AT190))/2/EXP(-regressions!$X$1*AT190)</f>
        <v>-0.6406686297775992</v>
      </c>
      <c r="BE190">
        <f t="shared" si="40"/>
        <v>8.2019664980923501E-3</v>
      </c>
      <c r="BF190">
        <f t="shared" si="31"/>
        <v>2.8037311059839531E-2</v>
      </c>
      <c r="BG190">
        <f t="shared" si="32"/>
        <v>5.1594582674230782E-2</v>
      </c>
      <c r="BH190">
        <f>BG190+regressions!$AR$1*(AI190-B190)</f>
        <v>-3.1037086559903268E-2</v>
      </c>
      <c r="BI190">
        <f>BG190-regressions!$AO$1*(AI190-B190)</f>
        <v>0.16385280140258096</v>
      </c>
      <c r="BJ190">
        <f t="shared" si="33"/>
        <v>0.11973107965800023</v>
      </c>
      <c r="BK190">
        <f>BJ190+regressions!$AR$1*(AT190-B190)</f>
        <v>-7.4857615367499714E-2</v>
      </c>
      <c r="BL190">
        <f>BJ190-regressions!$AO$1*(AT190-B190)</f>
        <v>0.38408711277094698</v>
      </c>
      <c r="BM190">
        <f t="shared" si="41"/>
        <v>1.9835344561747181E-2</v>
      </c>
      <c r="BN190">
        <f t="shared" si="34"/>
        <v>4.3392616176138432E-2</v>
      </c>
      <c r="BO190">
        <f t="shared" si="35"/>
        <v>0.11152911315990788</v>
      </c>
      <c r="BP190">
        <f t="shared" si="42"/>
        <v>2.3557271614391251E-2</v>
      </c>
      <c r="BQ190">
        <f t="shared" si="43"/>
        <v>9.1693768598160696E-2</v>
      </c>
      <c r="BR190">
        <f t="shared" si="44"/>
        <v>6.8136496983769446E-2</v>
      </c>
    </row>
    <row r="191" spans="1:70" x14ac:dyDescent="0.35">
      <c r="A191">
        <f t="shared" si="46"/>
        <v>2038</v>
      </c>
      <c r="B191" s="33">
        <v>1.7009683731737459</v>
      </c>
      <c r="C191">
        <f t="shared" si="45"/>
        <v>-0.88888091539043912</v>
      </c>
      <c r="D191">
        <f>IF($B191&lt;=regressions!$L$2,$B191*regressions!$L$1,regressions!$L$1*regressions!$L$2+regressions!$L$3*($B191-regressions!$L$2))</f>
        <v>-1.3518953648966923</v>
      </c>
      <c r="E191">
        <f>regressions!$J$1*B191+regressions!$J$2*B191^2</f>
        <v>-1.0075896319088675</v>
      </c>
      <c r="F191">
        <f>regressions!$V$1*B191</f>
        <v>-1.3518953687132647</v>
      </c>
      <c r="G191">
        <f>regressions!$N$1*B191^2</f>
        <v>-0.50414151433609389</v>
      </c>
      <c r="H191">
        <f>regressions!$R$1*B191^2+regressions!$R$2*B191^6</f>
        <v>-0.5488345385534209</v>
      </c>
      <c r="I191">
        <f>regressions!$P$1*B191^2+regressions!$P$2*B191^7</f>
        <v>-0.53117931729718415</v>
      </c>
      <c r="J191">
        <f>regressions!$T$2+regressions!$T$1*EXP(B191)</f>
        <v>-3.5003844493212803E-2</v>
      </c>
      <c r="K191" s="8">
        <f>(1-EXP(-2*regressions!$X$1*B191))/2/EXP(-regressions!$X$1*B191)</f>
        <v>-0.74896085938102974</v>
      </c>
      <c r="M191" s="33">
        <v>1.683731596749797</v>
      </c>
      <c r="N191">
        <f t="shared" si="36"/>
        <v>-0.87914884417198425</v>
      </c>
      <c r="O191">
        <f>IF($B191&lt;=regressions!$L$2,$B191*regressions!$L$1,regressions!$L$1*regressions!$L$2+regressions!$L$3*($B191-regressions!$L$2))</f>
        <v>-1.3518953648966923</v>
      </c>
      <c r="P191">
        <f>regressions!$J$1*M191+regressions!$J$2*M191^2</f>
        <v>-0.99500714126186185</v>
      </c>
      <c r="Q191">
        <f>regressions!$V$1*M191</f>
        <v>-1.3381959263329199</v>
      </c>
      <c r="R191">
        <f>regressions!$N$1*M191^2</f>
        <v>-0.49397583958818575</v>
      </c>
      <c r="S191">
        <f>regressions!$R$1*M191^2+regressions!$R$2*M191^6</f>
        <v>-0.53777808725052845</v>
      </c>
      <c r="T191">
        <f>regressions!$P$1*M191^2+regressions!$P$2*M191^7</f>
        <v>-0.52047041849798337</v>
      </c>
      <c r="U191">
        <f>regressions!$T$2+regressions!$T$1*EXP(M191)</f>
        <v>-3.4272115855753349E-2</v>
      </c>
      <c r="V191" s="8">
        <f>(1-EXP(-2*regressions!$X$1*M191))/2/EXP(-regressions!$X$1*M191)</f>
        <v>-0.74021410831005829</v>
      </c>
      <c r="X191" s="33">
        <v>1.6420799980778262</v>
      </c>
      <c r="Y191">
        <f t="shared" si="37"/>
        <v>-0.85585442790188404</v>
      </c>
      <c r="Z191">
        <f>IF($B191&lt;=regressions!$L$2,$B191*regressions!$L$1,regressions!$L$1*regressions!$L$2+regressions!$L$3*($B191-regressions!$L$2))</f>
        <v>-1.3518953648966923</v>
      </c>
      <c r="AA191">
        <f>regressions!$J$1*X191+regressions!$J$2*X191^2</f>
        <v>-0.96480280991713285</v>
      </c>
      <c r="AB191">
        <f>regressions!$V$1*X191</f>
        <v>-1.3050920754723201</v>
      </c>
      <c r="AC191">
        <f>regressions!$N$1*X191^2</f>
        <v>-0.46983850545181871</v>
      </c>
      <c r="AD191">
        <f>regressions!$R$1*X191^2+regressions!$R$2*X191^6</f>
        <v>-0.51152316827356537</v>
      </c>
      <c r="AE191">
        <f>regressions!$P$1*X191^2+regressions!$P$2*X191^7</f>
        <v>-0.49504270218728275</v>
      </c>
      <c r="AF191">
        <f>regressions!$T$2+regressions!$T$1*EXP(X191)</f>
        <v>-3.2555139766342826E-2</v>
      </c>
      <c r="AG191" s="8">
        <f>(1-EXP(-2*regressions!$X$1*X191))/2/EXP(-regressions!$X$1*X191)</f>
        <v>-0.71922767853095981</v>
      </c>
      <c r="AH191" s="8"/>
      <c r="AI191" s="33">
        <v>1.6099652960211108</v>
      </c>
      <c r="AJ191">
        <f t="shared" si="38"/>
        <v>-0.82857602852454926</v>
      </c>
      <c r="AK191">
        <f>IF(AI191&lt;=regressions!$L$2,AI191*regressions!$L$1,regressions!$L$1*regressions!$L$2+regressions!$L$3*(AI191-regressions!$L$2))</f>
        <v>-1.2795679541498159</v>
      </c>
      <c r="AL191">
        <f>regressions!$J$1*AI191+regressions!$J$2*AI191^2</f>
        <v>-0.94170793844773093</v>
      </c>
      <c r="AM191">
        <f>regressions!$V$1*AI191</f>
        <v>-1.279567957762199</v>
      </c>
      <c r="AN191">
        <f>regressions!$N$1*AI191^2</f>
        <v>-0.45164063926534248</v>
      </c>
      <c r="AO191">
        <f>regressions!$R$1*AI191^2+regressions!$R$2*AI191^6</f>
        <v>-0.49172652198579897</v>
      </c>
      <c r="AP191">
        <f>regressions!$P$1*AI191^2+regressions!$P$2*AI191^7</f>
        <v>-0.47587149034321991</v>
      </c>
      <c r="AQ191">
        <f>regressions!$T$2+regressions!$T$1*EXP(AI191)</f>
        <v>-3.1279272220046228E-2</v>
      </c>
      <c r="AR191" s="8">
        <f>(1-EXP(-2*regressions!$X$1*AI191))/2/EXP(-regressions!$X$1*AI191)</f>
        <v>-0.70318792017452336</v>
      </c>
      <c r="AT191" s="33">
        <v>1.4928063284208477</v>
      </c>
      <c r="AU191">
        <f t="shared" si="39"/>
        <v>-0.7531387495228965</v>
      </c>
      <c r="AV191">
        <f>IF(AT191&lt;=regressions!$L$2,AT191*regressions!$L$1,regressions!$L$1*regressions!$L$2+regressions!$L$3*(AT191-regressions!$L$2))</f>
        <v>-1.1864523690790882</v>
      </c>
      <c r="AW191">
        <f>regressions!$J$1*AT191+regressions!$J$2*AT191^2</f>
        <v>-0.85888400002145882</v>
      </c>
      <c r="AX191">
        <f>regressions!$V$1*AT191</f>
        <v>-1.186452372428594</v>
      </c>
      <c r="AY191">
        <f>regressions!$N$1*AT191^2</f>
        <v>-0.38829957861907965</v>
      </c>
      <c r="AZ191">
        <f>regressions!$R$1*AT191^2+regressions!$R$2*AT191^6</f>
        <v>-0.42280653501368559</v>
      </c>
      <c r="BA191">
        <f>regressions!$P$1*AT191^2+regressions!$P$2*AT191^7</f>
        <v>-0.40913960842164609</v>
      </c>
      <c r="BB191">
        <f>regressions!$T$2+regressions!$T$1*EXP(AT191)</f>
        <v>-2.6957194650668072E-2</v>
      </c>
      <c r="BC191" s="8">
        <f>(1-EXP(-2*regressions!$X$1*AT191))/2/EXP(-regressions!$X$1*AT191)</f>
        <v>-0.64567096548852987</v>
      </c>
      <c r="BE191">
        <f t="shared" si="40"/>
        <v>9.7320712184548741E-3</v>
      </c>
      <c r="BF191">
        <f t="shared" si="31"/>
        <v>3.3026487488555079E-2</v>
      </c>
      <c r="BG191">
        <f t="shared" si="32"/>
        <v>6.0304886865889862E-2</v>
      </c>
      <c r="BH191">
        <f>BG191+regressions!$AR$1*(AI191-B191)</f>
        <v>-3.5551641132308034E-2</v>
      </c>
      <c r="BI191">
        <f>BG191-regressions!$AO$1*(AI191-B191)</f>
        <v>0.19052957173909377</v>
      </c>
      <c r="BJ191">
        <f t="shared" si="33"/>
        <v>0.13574216586754262</v>
      </c>
      <c r="BK191">
        <f>BJ191+regressions!$AR$1*(AT191-B191)</f>
        <v>-8.3521748005951357E-2</v>
      </c>
      <c r="BL191">
        <f>BJ191-regressions!$AO$1*(AT191-B191)</f>
        <v>0.4336204083256659</v>
      </c>
      <c r="BM191">
        <f t="shared" si="41"/>
        <v>2.3294416270100204E-2</v>
      </c>
      <c r="BN191">
        <f t="shared" si="34"/>
        <v>5.0572815647434988E-2</v>
      </c>
      <c r="BO191">
        <f t="shared" si="35"/>
        <v>0.12601009464908774</v>
      </c>
      <c r="BP191">
        <f t="shared" si="42"/>
        <v>2.7278399377334783E-2</v>
      </c>
      <c r="BQ191">
        <f t="shared" si="43"/>
        <v>0.10271567837898754</v>
      </c>
      <c r="BR191">
        <f t="shared" si="44"/>
        <v>7.5437279001652757E-2</v>
      </c>
    </row>
    <row r="192" spans="1:70" x14ac:dyDescent="0.35">
      <c r="A192">
        <f t="shared" si="46"/>
        <v>2039</v>
      </c>
      <c r="B192" s="33">
        <v>1.7351999841973269</v>
      </c>
      <c r="C192">
        <f t="shared" si="45"/>
        <v>-0.91195425595804935</v>
      </c>
      <c r="D192">
        <f>IF($B192&lt;=regressions!$L$2,$B192*regressions!$L$1,regressions!$L$1*regressions!$L$2+regressions!$L$3*($B192-regressions!$L$2))</f>
        <v>-1.3791019590965472</v>
      </c>
      <c r="E192">
        <f>regressions!$J$1*B192+regressions!$J$2*B192^2</f>
        <v>-1.0327220021881198</v>
      </c>
      <c r="F192">
        <f>regressions!$V$1*B192</f>
        <v>-1.3791019629899275</v>
      </c>
      <c r="G192">
        <f>regressions!$N$1*B192^2</f>
        <v>-0.52463716721274145</v>
      </c>
      <c r="H192">
        <f>regressions!$R$1*B192^2+regressions!$R$2*B192^6</f>
        <v>-0.57112415078038181</v>
      </c>
      <c r="I192">
        <f>regressions!$P$1*B192^2+regressions!$P$2*B192^7</f>
        <v>-0.55276975447302978</v>
      </c>
      <c r="J192">
        <f>regressions!$T$2+regressions!$T$1*EXP(B192)</f>
        <v>-3.649496721696642E-2</v>
      </c>
      <c r="K192" s="8">
        <f>(1-EXP(-2*regressions!$X$1*B192))/2/EXP(-regressions!$X$1*B192)</f>
        <v>-0.7664413087440437</v>
      </c>
      <c r="M192" s="33">
        <v>1.7151449890710271</v>
      </c>
      <c r="N192">
        <f t="shared" si="36"/>
        <v>-0.90051124808410199</v>
      </c>
      <c r="O192">
        <f>IF($B192&lt;=regressions!$L$2,$B192*regressions!$L$1,regressions!$L$1*regressions!$L$2+regressions!$L$3*($B192-regressions!$L$2))</f>
        <v>-1.3791019590965472</v>
      </c>
      <c r="P192">
        <f>regressions!$J$1*M192+regressions!$J$2*M192^2</f>
        <v>-1.0179746673591301</v>
      </c>
      <c r="Q192">
        <f>regressions!$V$1*M192</f>
        <v>-1.3631626572048208</v>
      </c>
      <c r="R192">
        <f>regressions!$N$1*M192^2</f>
        <v>-0.51258000610444898</v>
      </c>
      <c r="S192">
        <f>regressions!$R$1*M192^2+regressions!$R$2*M192^6</f>
        <v>-0.5580119674409838</v>
      </c>
      <c r="T192">
        <f>regressions!$P$1*M192^2+regressions!$P$2*M192^7</f>
        <v>-0.54006862796350974</v>
      </c>
      <c r="U192">
        <f>regressions!$T$2+regressions!$T$1*EXP(M192)</f>
        <v>-3.5615189217016771E-2</v>
      </c>
      <c r="V192" s="8">
        <f>(1-EXP(-2*regressions!$X$1*M192))/2/EXP(-regressions!$X$1*M192)</f>
        <v>-0.7561823489461611</v>
      </c>
      <c r="X192" s="33">
        <v>1.667114363385962</v>
      </c>
      <c r="Y192">
        <f t="shared" si="37"/>
        <v>-0.87340322808342141</v>
      </c>
      <c r="Z192">
        <f>IF($B192&lt;=regressions!$L$2,$B192*regressions!$L$1,regressions!$L$1*regressions!$L$2+regressions!$L$3*($B192-regressions!$L$2))</f>
        <v>-1.3791019590965472</v>
      </c>
      <c r="AA192">
        <f>regressions!$J$1*X192+regressions!$J$2*X192^2</f>
        <v>-0.98292288414598594</v>
      </c>
      <c r="AB192">
        <f>regressions!$V$1*X192</f>
        <v>-1.3249888842857593</v>
      </c>
      <c r="AC192">
        <f>regressions!$N$1*X192^2</f>
        <v>-0.48427357382140263</v>
      </c>
      <c r="AD192">
        <f>regressions!$R$1*X192^2+regressions!$R$2*X192^6</f>
        <v>-0.52722505703178291</v>
      </c>
      <c r="AE192">
        <f>regressions!$P$1*X192^2+regressions!$P$2*X192^7</f>
        <v>-0.51024956118533771</v>
      </c>
      <c r="AF192">
        <f>regressions!$T$2+regressions!$T$1*EXP(X192)</f>
        <v>-3.3578528705946638E-2</v>
      </c>
      <c r="AG192" s="8">
        <f>(1-EXP(-2*regressions!$X$1*X192))/2/EXP(-regressions!$X$1*X192)</f>
        <v>-0.73181623903281268</v>
      </c>
      <c r="AH192" s="8"/>
      <c r="AI192" s="33">
        <v>1.6305750414450702</v>
      </c>
      <c r="AJ192">
        <f t="shared" si="38"/>
        <v>-0.84210211945661306</v>
      </c>
      <c r="AK192">
        <f>IF(AI192&lt;=regressions!$L$2,AI192*regressions!$L$1,regressions!$L$1*regressions!$L$2+regressions!$L$3*(AI192-regressions!$L$2))</f>
        <v>-1.2959481642405919</v>
      </c>
      <c r="AL192">
        <f>regressions!$J$1*AI192+regressions!$J$2*AI192^2</f>
        <v>-0.9565097894349639</v>
      </c>
      <c r="AM192">
        <f>regressions!$V$1*AI192</f>
        <v>-1.2959481678992184</v>
      </c>
      <c r="AN192">
        <f>regressions!$N$1*AI192^2</f>
        <v>-0.46327788066721187</v>
      </c>
      <c r="AO192">
        <f>regressions!$R$1*AI192^2+regressions!$R$2*AI192^6</f>
        <v>-0.50438637739710879</v>
      </c>
      <c r="AP192">
        <f>regressions!$P$1*AI192^2+regressions!$P$2*AI192^7</f>
        <v>-0.48813121731115838</v>
      </c>
      <c r="AQ192">
        <f>regressions!$T$2+regressions!$T$1*EXP(AI192)</f>
        <v>-3.2093348451017745E-2</v>
      </c>
      <c r="AR192" s="8">
        <f>(1-EXP(-2*regressions!$X$1*AI192))/2/EXP(-regressions!$X$1*AI192)</f>
        <v>-0.7134675198900664</v>
      </c>
      <c r="AT192" s="33">
        <v>1.502412163079845</v>
      </c>
      <c r="AU192">
        <f t="shared" si="39"/>
        <v>-0.75923108408287154</v>
      </c>
      <c r="AV192">
        <f>IF(AT192&lt;=regressions!$L$2,AT192*regressions!$L$1,regressions!$L$1*regressions!$L$2+regressions!$L$3*(AT192-regressions!$L$2))</f>
        <v>-1.1940868927752768</v>
      </c>
      <c r="AW192">
        <f>regressions!$J$1*AT192+regressions!$J$2*AT192^2</f>
        <v>-0.86559027239216424</v>
      </c>
      <c r="AX192">
        <f>regressions!$V$1*AT192</f>
        <v>-1.194086896146336</v>
      </c>
      <c r="AY192">
        <f>regressions!$N$1*AT192^2</f>
        <v>-0.39331287752966149</v>
      </c>
      <c r="AZ192">
        <f>regressions!$R$1*AT192^2+regressions!$R$2*AT192^6</f>
        <v>-0.42826214338615226</v>
      </c>
      <c r="BA192">
        <f>regressions!$P$1*AT192^2+regressions!$P$2*AT192^7</f>
        <v>-0.41442143355396788</v>
      </c>
      <c r="BB192">
        <f>regressions!$T$2+regressions!$T$1*EXP(AT192)</f>
        <v>-2.7292816770216312E-2</v>
      </c>
      <c r="BC192" s="8">
        <f>(1-EXP(-2*regressions!$X$1*AT192))/2/EXP(-regressions!$X$1*AT192)</f>
        <v>-0.65032974994275117</v>
      </c>
      <c r="BE192">
        <f t="shared" si="40"/>
        <v>1.1443007873947364E-2</v>
      </c>
      <c r="BF192">
        <f t="shared" si="31"/>
        <v>3.8551027874627941E-2</v>
      </c>
      <c r="BG192">
        <f t="shared" si="32"/>
        <v>6.985213650143629E-2</v>
      </c>
      <c r="BH192">
        <f>BG192+regressions!$AR$1*(AI192-B192)</f>
        <v>-4.0352749619287046E-2</v>
      </c>
      <c r="BI192">
        <f>BG192-regressions!$AO$1*(AI192-B192)</f>
        <v>0.21956960349365121</v>
      </c>
      <c r="BJ192">
        <f t="shared" si="33"/>
        <v>0.15272317187517781</v>
      </c>
      <c r="BK192">
        <f>BJ192+regressions!$AR$1*(AT192-B192)</f>
        <v>-9.2479880491510735E-2</v>
      </c>
      <c r="BL192">
        <f>BJ192-regressions!$AO$1*(AT192-B192)</f>
        <v>0.48584070587348871</v>
      </c>
      <c r="BM192">
        <f t="shared" si="41"/>
        <v>2.7108020000680577E-2</v>
      </c>
      <c r="BN192">
        <f t="shared" si="34"/>
        <v>5.8409128627488927E-2</v>
      </c>
      <c r="BO192">
        <f t="shared" si="35"/>
        <v>0.14128016400123045</v>
      </c>
      <c r="BP192">
        <f t="shared" si="42"/>
        <v>3.1301108626808349E-2</v>
      </c>
      <c r="BQ192">
        <f t="shared" si="43"/>
        <v>0.11417214400054987</v>
      </c>
      <c r="BR192">
        <f t="shared" si="44"/>
        <v>8.287103537374152E-2</v>
      </c>
    </row>
    <row r="193" spans="1:70" x14ac:dyDescent="0.35">
      <c r="A193">
        <f t="shared" si="46"/>
        <v>2040</v>
      </c>
      <c r="B193" s="33">
        <v>1.7699043092121054</v>
      </c>
      <c r="C193">
        <f t="shared" si="45"/>
        <v>-0.935564249950808</v>
      </c>
      <c r="D193">
        <f>IF($B193&lt;=regressions!$L$2,$B193*regressions!$L$1,regressions!$L$1*regressions!$L$2+regressions!$L$3*($B193-regressions!$L$2))</f>
        <v>-1.4066842568448634</v>
      </c>
      <c r="E193">
        <f>regressions!$J$1*B193+regressions!$J$2*B193^2</f>
        <v>-1.0583969692469806</v>
      </c>
      <c r="F193">
        <f>regressions!$V$1*B193</f>
        <v>-1.4066842608161121</v>
      </c>
      <c r="G193">
        <f>regressions!$N$1*B193^2</f>
        <v>-0.54583270943005024</v>
      </c>
      <c r="H193">
        <f>regressions!$R$1*B193^2+regressions!$R$2*B193^6</f>
        <v>-0.59417201779668471</v>
      </c>
      <c r="I193">
        <f>regressions!$P$1*B193^2+regressions!$P$2*B193^7</f>
        <v>-0.57509680980792277</v>
      </c>
      <c r="J193">
        <f>regressions!$T$2+regressions!$T$1*EXP(B193)</f>
        <v>-3.8059697508013607E-2</v>
      </c>
      <c r="K193" s="8">
        <f>(1-EXP(-2*regressions!$X$1*B193))/2/EXP(-regressions!$X$1*B193)</f>
        <v>-0.78431504677973252</v>
      </c>
      <c r="M193" s="33">
        <v>1.7467603557812359</v>
      </c>
      <c r="N193">
        <f t="shared" si="36"/>
        <v>-0.92221878869707252</v>
      </c>
      <c r="O193">
        <f>IF($B193&lt;=regressions!$L$2,$B193*regressions!$L$1,regressions!$L$1*regressions!$L$2+regressions!$L$3*($B193-regressions!$L$2))</f>
        <v>-1.4066842568448634</v>
      </c>
      <c r="P193">
        <f>regressions!$J$1*M193+regressions!$J$2*M193^2</f>
        <v>-1.0412527327604175</v>
      </c>
      <c r="Q193">
        <f>regressions!$V$1*M193</f>
        <v>-1.3882899132489501</v>
      </c>
      <c r="R193">
        <f>regressions!$N$1*M193^2</f>
        <v>-0.53165100307289859</v>
      </c>
      <c r="S193">
        <f>regressions!$R$1*M193^2+regressions!$R$2*M193^6</f>
        <v>-0.57875127266237769</v>
      </c>
      <c r="T193">
        <f>regressions!$P$1*M193^2+regressions!$P$2*M193^7</f>
        <v>-0.56015809614068102</v>
      </c>
      <c r="U193">
        <f>regressions!$T$2+regressions!$T$1*EXP(M193)</f>
        <v>-3.7010175291197239E-2</v>
      </c>
      <c r="V193" s="8">
        <f>(1-EXP(-2*regressions!$X$1*M193))/2/EXP(-regressions!$X$1*M193)</f>
        <v>-0.77237807576684026</v>
      </c>
      <c r="X193" s="33">
        <v>1.6918208165566118</v>
      </c>
      <c r="Y193">
        <f t="shared" si="37"/>
        <v>-0.89093006686257958</v>
      </c>
      <c r="Z193">
        <f>IF($B193&lt;=regressions!$L$2,$B193*regressions!$L$1,regressions!$L$1*regressions!$L$2+regressions!$L$3*($B193-regressions!$L$2))</f>
        <v>-1.4066842568448634</v>
      </c>
      <c r="AA193">
        <f>regressions!$J$1*X193+regressions!$J$2*X193^2</f>
        <v>-1.0009060565952688</v>
      </c>
      <c r="AB193">
        <f>regressions!$V$1*X193</f>
        <v>-1.344625075143566</v>
      </c>
      <c r="AC193">
        <f>regressions!$N$1*X193^2</f>
        <v>-0.4987336975927642</v>
      </c>
      <c r="AD193">
        <f>regressions!$R$1*X193^2+regressions!$R$2*X193^6</f>
        <v>-0.54295293704865788</v>
      </c>
      <c r="AE193">
        <f>regressions!$P$1*X193^2+regressions!$P$2*X193^7</f>
        <v>-0.52548254028105956</v>
      </c>
      <c r="AF193">
        <f>regressions!$T$2+regressions!$T$1*EXP(X193)</f>
        <v>-3.4613945782093723E-2</v>
      </c>
      <c r="AG193" s="8">
        <f>(1-EXP(-2*regressions!$X$1*X193))/2/EXP(-regressions!$X$1*X193)</f>
        <v>-0.74431439581954484</v>
      </c>
      <c r="AH193" s="8"/>
      <c r="AI193" s="33">
        <v>1.6505802021854952</v>
      </c>
      <c r="AJ193">
        <f t="shared" si="38"/>
        <v>-0.85530488828485851</v>
      </c>
      <c r="AK193">
        <f>IF(AI193&lt;=regressions!$L$2,AI193*regressions!$L$1,regressions!$L$1*regressions!$L$2+regressions!$L$3*(AI193-regressions!$L$2))</f>
        <v>-1.3118478626156607</v>
      </c>
      <c r="AL193">
        <f>regressions!$J$1*AI193+regressions!$J$2*AI193^2</f>
        <v>-0.97094383866099387</v>
      </c>
      <c r="AM193">
        <f>regressions!$V$1*AI193</f>
        <v>-1.3118478663191739</v>
      </c>
      <c r="AN193">
        <f>regressions!$N$1*AI193^2</f>
        <v>-0.47471532013168122</v>
      </c>
      <c r="AO193">
        <f>regressions!$R$1*AI193^2+regressions!$R$2*AI193^6</f>
        <v>-0.51682811037447762</v>
      </c>
      <c r="AP193">
        <f>regressions!$P$1*AI193^2+regressions!$P$2*AI193^7</f>
        <v>-0.50018029233154004</v>
      </c>
      <c r="AQ193">
        <f>regressions!$T$2+regressions!$T$1*EXP(AI193)</f>
        <v>-3.2899753917321986E-2</v>
      </c>
      <c r="AR193" s="8">
        <f>(1-EXP(-2*regressions!$X$1*AI193))/2/EXP(-regressions!$X$1*AI193)</f>
        <v>-0.72349357831002881</v>
      </c>
      <c r="AT193" s="33">
        <v>1.5113227333800912</v>
      </c>
      <c r="AU193">
        <f t="shared" si="39"/>
        <v>-0.76489723493371831</v>
      </c>
      <c r="AV193">
        <f>IF(AT193&lt;=regressions!$L$2,AT193*regressions!$L$1,regressions!$L$1*regressions!$L$2+regressions!$L$3*(AT193-regressions!$L$2))</f>
        <v>-1.2011688343783489</v>
      </c>
      <c r="AW193">
        <f>regressions!$J$1*AT193+regressions!$J$2*AT193^2</f>
        <v>-0.87182463424798362</v>
      </c>
      <c r="AX193">
        <f>regressions!$V$1*AT193</f>
        <v>-1.2011688377694012</v>
      </c>
      <c r="AY193">
        <f>regressions!$N$1*AT193^2</f>
        <v>-0.39799206593354797</v>
      </c>
      <c r="AZ193">
        <f>regressions!$R$1*AT193^2+regressions!$R$2*AT193^6</f>
        <v>-0.43335405229954815</v>
      </c>
      <c r="BA193">
        <f>regressions!$P$1*AT193^2+regressions!$P$2*AT193^7</f>
        <v>-0.4193512304611185</v>
      </c>
      <c r="BB193">
        <f>regressions!$T$2+regressions!$T$1*EXP(AT193)</f>
        <v>-2.760704234037839E-2</v>
      </c>
      <c r="BC193" s="8">
        <f>(1-EXP(-2*regressions!$X$1*AT193))/2/EXP(-regressions!$X$1*AT193)</f>
        <v>-0.65466022047990957</v>
      </c>
      <c r="BE193">
        <f t="shared" si="40"/>
        <v>1.334546125373548E-2</v>
      </c>
      <c r="BF193">
        <f t="shared" si="31"/>
        <v>4.4634183088228419E-2</v>
      </c>
      <c r="BG193">
        <f t="shared" si="32"/>
        <v>8.0259361665949491E-2</v>
      </c>
      <c r="BH193">
        <f>BG193+regressions!$AR$1*(AI193-B193)</f>
        <v>-4.5428636629666647E-2</v>
      </c>
      <c r="BI193">
        <f>BG193-regressions!$AO$1*(AI193-B193)</f>
        <v>0.25101121667469872</v>
      </c>
      <c r="BJ193">
        <f t="shared" si="33"/>
        <v>0.1706670150170897</v>
      </c>
      <c r="BK193">
        <f>BJ193+regressions!$AR$1*(AT193-B193)</f>
        <v>-0.10170544577328561</v>
      </c>
      <c r="BL193">
        <f>BJ193-regressions!$AO$1*(AT193-B193)</f>
        <v>0.54069520835236817</v>
      </c>
      <c r="BM193">
        <f t="shared" si="41"/>
        <v>3.1288721834492939E-2</v>
      </c>
      <c r="BN193">
        <f t="shared" si="34"/>
        <v>6.6913900412214011E-2</v>
      </c>
      <c r="BO193">
        <f t="shared" si="35"/>
        <v>0.15732155376335422</v>
      </c>
      <c r="BP193">
        <f t="shared" si="42"/>
        <v>3.5625178577721073E-2</v>
      </c>
      <c r="BQ193">
        <f t="shared" si="43"/>
        <v>0.12603283192886128</v>
      </c>
      <c r="BR193">
        <f t="shared" si="44"/>
        <v>9.0407653351140205E-2</v>
      </c>
    </row>
    <row r="194" spans="1:70" x14ac:dyDescent="0.35">
      <c r="A194">
        <f t="shared" si="46"/>
        <v>2041</v>
      </c>
      <c r="B194" s="33">
        <v>1.8050851487118822</v>
      </c>
      <c r="C194">
        <f t="shared" si="45"/>
        <v>-0.95972307813200031</v>
      </c>
      <c r="D194">
        <f>IF($B194&lt;=regressions!$L$2,$B194*regressions!$L$1,regressions!$L$1*regressions!$L$2+regressions!$L$3*($B194-regressions!$L$2))</f>
        <v>-1.4346452786974813</v>
      </c>
      <c r="E194">
        <f>regressions!$J$1*B194+regressions!$J$2*B194^2</f>
        <v>-1.0846254225225138</v>
      </c>
      <c r="F194">
        <f>regressions!$V$1*B194</f>
        <v>-1.4346452827476672</v>
      </c>
      <c r="G194">
        <f>regressions!$N$1*B194^2</f>
        <v>-0.56774768285182031</v>
      </c>
      <c r="H194">
        <f>regressions!$R$1*B194^2+regressions!$R$2*B194^6</f>
        <v>-0.61799896848270919</v>
      </c>
      <c r="I194">
        <f>regressions!$P$1*B194^2+regressions!$P$2*B194^7</f>
        <v>-0.59818095844419716</v>
      </c>
      <c r="J194">
        <f>regressions!$T$2+regressions!$T$1*EXP(B194)</f>
        <v>-3.9702321114378179E-2</v>
      </c>
      <c r="K194" s="8">
        <f>(1-EXP(-2*regressions!$X$1*B194))/2/EXP(-regressions!$X$1*B194)</f>
        <v>-0.80259394612015567</v>
      </c>
      <c r="M194" s="33">
        <v>1.7785725947335087</v>
      </c>
      <c r="N194">
        <f t="shared" si="36"/>
        <v>-0.9442728282386188</v>
      </c>
      <c r="O194">
        <f>IF($B194&lt;=regressions!$L$2,$B194*regressions!$L$1,regressions!$L$1*regressions!$L$2+regressions!$L$3*($B194-regressions!$L$2))</f>
        <v>-1.4346452786974813</v>
      </c>
      <c r="P194">
        <f>regressions!$J$1*M194+regressions!$J$2*M194^2</f>
        <v>-1.064840672535595</v>
      </c>
      <c r="Q194">
        <f>regressions!$V$1*M194</f>
        <v>-1.4135736393818077</v>
      </c>
      <c r="R194">
        <f>regressions!$N$1*M194^2</f>
        <v>-0.55119234394306305</v>
      </c>
      <c r="S194">
        <f>regressions!$R$1*M194^2+regressions!$R$2*M194^6</f>
        <v>-0.59999956228287332</v>
      </c>
      <c r="T194">
        <f>regressions!$P$1*M194^2+regressions!$P$2*M194^7</f>
        <v>-0.58074245521715373</v>
      </c>
      <c r="U194">
        <f>regressions!$T$2+regressions!$T$1*EXP(M194)</f>
        <v>-3.8459078052218307E-2</v>
      </c>
      <c r="V194" s="8">
        <f>(1-EXP(-2*regressions!$X$1*M194))/2/EXP(-regressions!$X$1*M194)</f>
        <v>-0.78880375125989477</v>
      </c>
      <c r="X194" s="33">
        <v>1.716187323964308</v>
      </c>
      <c r="Y194">
        <f t="shared" si="37"/>
        <v>-0.90842429054069562</v>
      </c>
      <c r="Z194">
        <f>IF($B194&lt;=regressions!$L$2,$B194*regressions!$L$1,regressions!$L$1*regressions!$L$2+regressions!$L$3*($B194-regressions!$L$2))</f>
        <v>-1.4346452786974813</v>
      </c>
      <c r="AA194">
        <f>regressions!$J$1*X194+regressions!$J$2*X194^2</f>
        <v>-1.0187395230671259</v>
      </c>
      <c r="AB194">
        <f>regressions!$V$1*X194</f>
        <v>-1.363991083962836</v>
      </c>
      <c r="AC194">
        <f>regressions!$N$1*X194^2</f>
        <v>-0.51320320982982759</v>
      </c>
      <c r="AD194">
        <f>regressions!$R$1*X194^2+regressions!$R$2*X194^6</f>
        <v>-0.55868972554485685</v>
      </c>
      <c r="AE194">
        <f>regressions!$P$1*X194^2+regressions!$P$2*X194^7</f>
        <v>-0.54072512177695897</v>
      </c>
      <c r="AF194">
        <f>regressions!$T$2+regressions!$T$1*EXP(X194)</f>
        <v>-3.5660481270160652E-2</v>
      </c>
      <c r="AG194" s="8">
        <f>(1-EXP(-2*regressions!$X$1*X194))/2/EXP(-regressions!$X$1*X194)</f>
        <v>-0.75671429921434907</v>
      </c>
      <c r="AH194" s="8"/>
      <c r="AI194" s="33">
        <v>1.6699762185699836</v>
      </c>
      <c r="AJ194">
        <f t="shared" si="38"/>
        <v>-0.86817484395859024</v>
      </c>
      <c r="AK194">
        <f>IF(AI194&lt;=regressions!$L$2,AI194*regressions!$L$1,regressions!$L$1*regressions!$L$2+regressions!$L$3*(AI194-regressions!$L$2))</f>
        <v>-1.3272634253393374</v>
      </c>
      <c r="AL194">
        <f>regressions!$J$1*AI194+regressions!$J$2*AI194^2</f>
        <v>-0.98500084303774771</v>
      </c>
      <c r="AM194">
        <f>regressions!$V$1*AI194</f>
        <v>-1.3272634290863707</v>
      </c>
      <c r="AN194">
        <f>regressions!$N$1*AI194^2</f>
        <v>-0.48593765930956068</v>
      </c>
      <c r="AO194">
        <f>regressions!$R$1*AI194^2+regressions!$R$2*AI194^6</f>
        <v>-0.52903510225453054</v>
      </c>
      <c r="AP194">
        <f>regressions!$P$1*AI194^2+regressions!$P$2*AI194^7</f>
        <v>-0.51200260188019109</v>
      </c>
      <c r="AQ194">
        <f>regressions!$T$2+regressions!$T$1*EXP(AI194)</f>
        <v>-3.3697159703447853E-2</v>
      </c>
      <c r="AR194" s="8">
        <f>(1-EXP(-2*regressions!$X$1*AI194))/2/EXP(-regressions!$X$1*AI194)</f>
        <v>-0.73326014100033632</v>
      </c>
      <c r="AT194" s="33">
        <v>1.519572260673876</v>
      </c>
      <c r="AU194">
        <f t="shared" si="39"/>
        <v>-0.77015572048704195</v>
      </c>
      <c r="AV194">
        <f>IF(AT194&lt;=regressions!$L$2,AT194*regressions!$L$1,regressions!$L$1*regressions!$L$2+regressions!$L$3*(AT194-regressions!$L$2))</f>
        <v>-1.2077253923290694</v>
      </c>
      <c r="AW194">
        <f>regressions!$J$1*AT194+regressions!$J$2*AT194^2</f>
        <v>-0.87760806171934425</v>
      </c>
      <c r="AX194">
        <f>regressions!$V$1*AT194</f>
        <v>-1.2077253957386316</v>
      </c>
      <c r="AY194">
        <f>regressions!$N$1*AT194^2</f>
        <v>-0.40234878883320901</v>
      </c>
      <c r="AZ194">
        <f>regressions!$R$1*AT194^2+regressions!$R$2*AT194^6</f>
        <v>-0.43809495537406318</v>
      </c>
      <c r="BA194">
        <f>regressions!$P$1*AT194^2+regressions!$P$2*AT194^7</f>
        <v>-0.42394127193068248</v>
      </c>
      <c r="BB194">
        <f>regressions!$T$2+regressions!$T$1*EXP(AT194)</f>
        <v>-2.7900463310290211E-2</v>
      </c>
      <c r="BC194" s="8">
        <f>(1-EXP(-2*regressions!$X$1*AT194))/2/EXP(-regressions!$X$1*AT194)</f>
        <v>-0.65867710408627711</v>
      </c>
      <c r="BE194">
        <f t="shared" si="40"/>
        <v>1.5450249893381507E-2</v>
      </c>
      <c r="BF194">
        <f t="shared" si="31"/>
        <v>5.1298787591304684E-2</v>
      </c>
      <c r="BG194">
        <f t="shared" si="32"/>
        <v>9.154823417341007E-2</v>
      </c>
      <c r="BH194">
        <f>BG194+regressions!$AR$1*(AI194-B194)</f>
        <v>-5.0766436386918939E-2</v>
      </c>
      <c r="BI194">
        <f>BG194-regressions!$AO$1*(AI194-B194)</f>
        <v>0.28488804642804433</v>
      </c>
      <c r="BJ194">
        <f t="shared" si="33"/>
        <v>0.18956735764495836</v>
      </c>
      <c r="BK194">
        <f>BJ194+regressions!$AR$1*(AT194-B194)</f>
        <v>-0.11117273821089924</v>
      </c>
      <c r="BL194">
        <f>BJ194-regressions!$AO$1*(AT194-B194)</f>
        <v>0.59813404610568033</v>
      </c>
      <c r="BM194">
        <f t="shared" si="41"/>
        <v>3.5848537697923177E-2</v>
      </c>
      <c r="BN194">
        <f t="shared" si="34"/>
        <v>7.6097984280028563E-2</v>
      </c>
      <c r="BO194">
        <f t="shared" si="35"/>
        <v>0.17411710775157685</v>
      </c>
      <c r="BP194">
        <f t="shared" si="42"/>
        <v>4.0249446582105386E-2</v>
      </c>
      <c r="BQ194">
        <f t="shared" si="43"/>
        <v>0.13826857005365367</v>
      </c>
      <c r="BR194">
        <f t="shared" si="44"/>
        <v>9.8019123471548286E-2</v>
      </c>
    </row>
    <row r="195" spans="1:70" x14ac:dyDescent="0.35">
      <c r="A195">
        <f t="shared" si="46"/>
        <v>2042</v>
      </c>
      <c r="B195" s="33">
        <v>1.8407462250874251</v>
      </c>
      <c r="C195">
        <f t="shared" si="45"/>
        <v>-0.98444313936086281</v>
      </c>
      <c r="D195">
        <f>IF($B195&lt;=regressions!$L$2,$B195*regressions!$L$1,regressions!$L$1*regressions!$L$2+regressions!$L$3*($B195-regressions!$L$2))</f>
        <v>-1.4629879831355248</v>
      </c>
      <c r="E195">
        <f>regressions!$J$1*B195+regressions!$J$2*B195^2</f>
        <v>-1.1114183907319921</v>
      </c>
      <c r="F195">
        <f>regressions!$V$1*B195</f>
        <v>-1.4629879872657259</v>
      </c>
      <c r="G195">
        <f>regressions!$N$1*B195^2</f>
        <v>-0.59040200175226498</v>
      </c>
      <c r="H195">
        <f>regressions!$R$1*B195^2+regressions!$R$2*B195^6</f>
        <v>-0.64262618938783489</v>
      </c>
      <c r="I195">
        <f>regressions!$P$1*B195^2+regressions!$P$2*B195^7</f>
        <v>-0.62204305312644503</v>
      </c>
      <c r="J195">
        <f>regressions!$T$2+regressions!$T$1*EXP(B195)</f>
        <v>-4.1427404335370933E-2</v>
      </c>
      <c r="K195" s="8">
        <f>(1-EXP(-2*regressions!$X$1*B195))/2/EXP(-regressions!$X$1*B195)</f>
        <v>-0.82129032715880257</v>
      </c>
      <c r="M195" s="33">
        <v>1.8105768859123836</v>
      </c>
      <c r="N195">
        <f t="shared" si="36"/>
        <v>-0.96667480745957779</v>
      </c>
      <c r="O195">
        <f>IF($B195&lt;=regressions!$L$2,$B195*regressions!$L$1,regressions!$L$1*regressions!$L$2+regressions!$L$3*($B195-regressions!$L$2))</f>
        <v>-1.4629879831355248</v>
      </c>
      <c r="P195">
        <f>regressions!$J$1*M195+regressions!$J$2*M195^2</f>
        <v>-1.0887379463675231</v>
      </c>
      <c r="Q195">
        <f>regressions!$V$1*M195</f>
        <v>-1.4390100047522838</v>
      </c>
      <c r="R195">
        <f>regressions!$N$1*M195^2</f>
        <v>-0.57120753515592226</v>
      </c>
      <c r="S195">
        <f>regressions!$R$1*M195^2+regressions!$R$2*M195^6</f>
        <v>-0.62176036870835716</v>
      </c>
      <c r="T195">
        <f>regressions!$P$1*M195^2+regressions!$P$2*M195^7</f>
        <v>-0.60182532352865903</v>
      </c>
      <c r="U195">
        <f>regressions!$T$2+regressions!$T$1*EXP(M195)</f>
        <v>-3.9963989764979967E-2</v>
      </c>
      <c r="V195" s="8">
        <f>(1-EXP(-2*regressions!$X$1*M195))/2/EXP(-regressions!$X$1*M195)</f>
        <v>-0.805462040069859</v>
      </c>
      <c r="X195" s="33">
        <v>1.740203225820891</v>
      </c>
      <c r="Y195">
        <f t="shared" si="37"/>
        <v>-0.92587585719110821</v>
      </c>
      <c r="Z195">
        <f>IF($B195&lt;=regressions!$L$2,$B195*regressions!$L$1,regressions!$L$1*regressions!$L$2+regressions!$L$3*($B195-regressions!$L$2))</f>
        <v>-1.4629879831355248</v>
      </c>
      <c r="AA195">
        <f>regressions!$J$1*X195+regressions!$J$2*X195^2</f>
        <v>-1.0364113566164406</v>
      </c>
      <c r="AB195">
        <f>regressions!$V$1*X195</f>
        <v>-1.3830784385588584</v>
      </c>
      <c r="AC195">
        <f>regressions!$N$1*X195^2</f>
        <v>-0.52766698603405005</v>
      </c>
      <c r="AD195">
        <f>regressions!$R$1*X195^2+regressions!$R$2*X195^6</f>
        <v>-0.57441893510435427</v>
      </c>
      <c r="AE195">
        <f>regressions!$P$1*X195^2+regressions!$P$2*X195^7</f>
        <v>-0.55596136039330224</v>
      </c>
      <c r="AF195">
        <f>regressions!$T$2+regressions!$T$1*EXP(X195)</f>
        <v>-3.6717214528276643E-2</v>
      </c>
      <c r="AG195" s="8">
        <f>(1-EXP(-2*regressions!$X$1*X195))/2/EXP(-regressions!$X$1*X195)</f>
        <v>-0.76900860631564549</v>
      </c>
      <c r="AH195" s="8"/>
      <c r="AI195" s="33">
        <v>1.6887605586063335</v>
      </c>
      <c r="AJ195">
        <f t="shared" si="38"/>
        <v>-0.88070396884287927</v>
      </c>
      <c r="AK195">
        <f>IF(AI195&lt;=regressions!$L$2,AI195*regressions!$L$1,regressions!$L$1*regressions!$L$2+regressions!$L$3*(AI195-regressions!$L$2))</f>
        <v>-1.3421928400352747</v>
      </c>
      <c r="AL195">
        <f>regressions!$J$1*AI195+regressions!$J$2*AI195^2</f>
        <v>-0.99867316168570097</v>
      </c>
      <c r="AM195">
        <f>regressions!$V$1*AI195</f>
        <v>-1.3421928438244557</v>
      </c>
      <c r="AN195">
        <f>regressions!$N$1*AI195^2</f>
        <v>-0.49693105589146913</v>
      </c>
      <c r="AO195">
        <f>regressions!$R$1*AI195^2+regressions!$R$2*AI195^6</f>
        <v>-0.54099232336932102</v>
      </c>
      <c r="AP195">
        <f>regressions!$P$1*AI195^2+regressions!$P$2*AI195^7</f>
        <v>-0.52358356758883717</v>
      </c>
      <c r="AQ195">
        <f>regressions!$T$2+regressions!$T$1*EXP(AI195)</f>
        <v>-3.4484301761760289E-2</v>
      </c>
      <c r="AR195" s="8">
        <f>(1-EXP(-2*regressions!$X$1*AI195))/2/EXP(-regressions!$X$1*AI195)</f>
        <v>-0.74276225686956598</v>
      </c>
      <c r="AT195" s="33">
        <v>1.5271934016620516</v>
      </c>
      <c r="AU195">
        <f t="shared" si="39"/>
        <v>-0.77502450025452152</v>
      </c>
      <c r="AV195">
        <f>IF(AT195&lt;=regressions!$L$2,AT195*regressions!$L$1,regressions!$L$1*regressions!$L$2+regressions!$L$3*(AT195-regressions!$L$2))</f>
        <v>-1.2137825215147902</v>
      </c>
      <c r="AW195">
        <f>regressions!$J$1*AT195+regressions!$J$2*AT195^2</f>
        <v>-0.88296083748931531</v>
      </c>
      <c r="AX195">
        <f>regressions!$V$1*AT195</f>
        <v>-1.2137825249414527</v>
      </c>
      <c r="AY195">
        <f>regressions!$N$1*AT195^2</f>
        <v>-0.40639472505607932</v>
      </c>
      <c r="AZ195">
        <f>regressions!$R$1*AT195^2+regressions!$R$2*AT195^6</f>
        <v>-0.44249758093612862</v>
      </c>
      <c r="BA195">
        <f>regressions!$P$1*AT195^2+regressions!$P$2*AT195^7</f>
        <v>-0.42820386601888749</v>
      </c>
      <c r="BB195">
        <f>regressions!$T$2+regressions!$T$1*EXP(AT195)</f>
        <v>-2.8173693178048985E-2</v>
      </c>
      <c r="BC195" s="8">
        <f>(1-EXP(-2*regressions!$X$1*AT195))/2/EXP(-regressions!$X$1*AT195)</f>
        <v>-0.66239460993606669</v>
      </c>
      <c r="BE195">
        <f t="shared" si="40"/>
        <v>1.7768331901285017E-2</v>
      </c>
      <c r="BF195">
        <f t="shared" ref="BF195:BF253" si="47">Y195-C195</f>
        <v>5.8567282169754598E-2</v>
      </c>
      <c r="BG195">
        <f t="shared" ref="BG195:BG253" si="48">AJ195-C195</f>
        <v>0.10373917051798354</v>
      </c>
      <c r="BH195">
        <f>BG195+regressions!$AR$1*(AI195-B195)</f>
        <v>-5.6352320343736995E-2</v>
      </c>
      <c r="BI195">
        <f>BG195-regressions!$AO$1*(AI195-B195)</f>
        <v>0.3212294592205005</v>
      </c>
      <c r="BJ195">
        <f t="shared" ref="BJ195:BJ253" si="49">AU195-C195</f>
        <v>0.20941863910634129</v>
      </c>
      <c r="BK195">
        <f>BJ195+regressions!$AR$1*(AT195-B195)</f>
        <v>-0.12085684099832245</v>
      </c>
      <c r="BL195">
        <f>BJ195-regressions!$AO$1*(AT195-B195)</f>
        <v>0.65811025371170806</v>
      </c>
      <c r="BM195">
        <f t="shared" si="41"/>
        <v>4.079895026846958E-2</v>
      </c>
      <c r="BN195">
        <f t="shared" ref="BN195:BN253" si="50">AJ195-N195</f>
        <v>8.5970838616698519E-2</v>
      </c>
      <c r="BO195">
        <f t="shared" ref="BO195:BO253" si="51">AU195-N195</f>
        <v>0.19165030720505627</v>
      </c>
      <c r="BP195">
        <f t="shared" si="42"/>
        <v>4.5171888348228939E-2</v>
      </c>
      <c r="BQ195">
        <f t="shared" si="43"/>
        <v>0.15085135693658669</v>
      </c>
      <c r="BR195">
        <f t="shared" si="44"/>
        <v>0.10567946858835775</v>
      </c>
    </row>
    <row r="196" spans="1:70" x14ac:dyDescent="0.35">
      <c r="A196">
        <f t="shared" si="46"/>
        <v>2043</v>
      </c>
      <c r="B196" s="33">
        <v>1.8768911814684959</v>
      </c>
      <c r="C196">
        <f t="shared" si="45"/>
        <v>-1.0097370532027916</v>
      </c>
      <c r="D196">
        <f>IF($B196&lt;=regressions!$L$2,$B196*regressions!$L$1,regressions!$L$1*regressions!$L$2+regressions!$L$3*($B196-regressions!$L$2))</f>
        <v>-1.4917152656450694</v>
      </c>
      <c r="E196">
        <f>regressions!$J$1*B196+regressions!$J$2*B196^2</f>
        <v>-1.1387870416574706</v>
      </c>
      <c r="F196">
        <f>regressions!$V$1*B196</f>
        <v>-1.4917152698563714</v>
      </c>
      <c r="G196">
        <f>regressions!$N$1*B196^2</f>
        <v>-0.61381595347588314</v>
      </c>
      <c r="H196">
        <f>regressions!$R$1*B196^2+regressions!$R$2*B196^6</f>
        <v>-0.66807522077172987</v>
      </c>
      <c r="I196">
        <f>regressions!$P$1*B196^2+regressions!$P$2*B196^7</f>
        <v>-0.64670432312556347</v>
      </c>
      <c r="J196">
        <f>regressions!$T$2+regressions!$T$1*EXP(B196)</f>
        <v>-4.3239814207430692E-2</v>
      </c>
      <c r="K196" s="8">
        <f>(1-EXP(-2*regressions!$X$1*B196))/2/EXP(-regressions!$X$1*B196)</f>
        <v>-0.84041697764067202</v>
      </c>
      <c r="M196" s="33">
        <v>1.8427686762195774</v>
      </c>
      <c r="N196">
        <f t="shared" ref="N196:N253" si="52">SUMPRODUCT(O$2:V$2,O196:V196)</f>
        <v>-0.98942624267447687</v>
      </c>
      <c r="O196">
        <f>IF($B196&lt;=regressions!$L$2,$B196*regressions!$L$1,regressions!$L$1*regressions!$L$2+regressions!$L$3*($B196-regressions!$L$2))</f>
        <v>-1.4917152656450694</v>
      </c>
      <c r="P196">
        <f>regressions!$J$1*M196+regressions!$J$2*M196^2</f>
        <v>-1.1129441328743042</v>
      </c>
      <c r="Q196">
        <f>regressions!$V$1*M196</f>
        <v>-1.4645953906496607</v>
      </c>
      <c r="R196">
        <f>regressions!$N$1*M196^2</f>
        <v>-0.59170007874359432</v>
      </c>
      <c r="S196">
        <f>regressions!$R$1*M196^2+regressions!$R$2*M196^6</f>
        <v>-0.64403719911811075</v>
      </c>
      <c r="T196">
        <f>regressions!$P$1*M196^2+regressions!$P$2*M196^7</f>
        <v>-0.62341030780331552</v>
      </c>
      <c r="U196">
        <f>regressions!$T$2+regressions!$T$1*EXP(M196)</f>
        <v>-4.1527094789881994E-2</v>
      </c>
      <c r="V196" s="8">
        <f>(1-EXP(-2*regressions!$X$1*M196))/2/EXP(-regressions!$X$1*M196)</f>
        <v>-0.82235580474760728</v>
      </c>
      <c r="X196" s="33">
        <v>1.7638591389572569</v>
      </c>
      <c r="Y196">
        <f t="shared" ref="Y196:Y253" si="53">SUMPRODUCT(Z$2:AG$2,Z196:AG196)</f>
        <v>-0.94327531713486634</v>
      </c>
      <c r="Z196">
        <f>IF($B196&lt;=regressions!$L$2,$B196*regressions!$L$1,regressions!$L$1*regressions!$L$2+regressions!$L$3*($B196-regressions!$L$2))</f>
        <v>-1.4917152656450694</v>
      </c>
      <c r="AA196">
        <f>regressions!$J$1*X196+regressions!$J$2*X196^2</f>
        <v>-1.0539104688123617</v>
      </c>
      <c r="AB196">
        <f>regressions!$V$1*X196</f>
        <v>-1.4018796813780097</v>
      </c>
      <c r="AC196">
        <f>regressions!$N$1*X196^2</f>
        <v>-0.5421104555160623</v>
      </c>
      <c r="AD196">
        <f>regressions!$R$1*X196^2+regressions!$R$2*X196^6</f>
        <v>-0.59012468618819036</v>
      </c>
      <c r="AE196">
        <f>regressions!$P$1*X196^2+regressions!$P$2*X196^7</f>
        <v>-0.57117589532602786</v>
      </c>
      <c r="AF196">
        <f>regressions!$T$2+regressions!$T$1*EXP(X196)</f>
        <v>-3.7783215707843786E-2</v>
      </c>
      <c r="AG196" s="8">
        <f>(1-EXP(-2*regressions!$X$1*X196))/2/EXP(-regressions!$X$1*X196)</f>
        <v>-0.78119045358130768</v>
      </c>
      <c r="AH196" s="8"/>
      <c r="AI196" s="33">
        <v>1.7069325166621441</v>
      </c>
      <c r="AJ196">
        <f t="shared" ref="AJ196:AJ253" si="54">SUMPRODUCT(AK$2:AR$2,AK196:AR196)</f>
        <v>-0.89288562312927544</v>
      </c>
      <c r="AK196">
        <f>IF(AI196&lt;=regressions!$L$2,AI196*regressions!$L$1,regressions!$L$1*regressions!$L$2+regressions!$L$3*(AI196-regressions!$L$2))</f>
        <v>-1.3566355458810688</v>
      </c>
      <c r="AL196">
        <f>regressions!$J$1*AI196+regressions!$J$2*AI196^2</f>
        <v>-1.0119546431613473</v>
      </c>
      <c r="AM196">
        <f>regressions!$V$1*AI196</f>
        <v>-1.3566355497110234</v>
      </c>
      <c r="AN196">
        <f>regressions!$N$1*AI196^2</f>
        <v>-0.5076830777584721</v>
      </c>
      <c r="AO196">
        <f>regressions!$R$1*AI196^2+regressions!$R$2*AI196^6</f>
        <v>-0.55268628262280928</v>
      </c>
      <c r="AP196">
        <f>regressions!$P$1*AI196^2+regressions!$P$2*AI196^7</f>
        <v>-0.53491009785140264</v>
      </c>
      <c r="AQ196">
        <f>regressions!$T$2+regressions!$T$1*EXP(AI196)</f>
        <v>-3.5259983293039025E-2</v>
      </c>
      <c r="AR196" s="8">
        <f>(1-EXP(-2*regressions!$X$1*AI196))/2/EXP(-regressions!$X$1*AI196)</f>
        <v>-0.75199590860014975</v>
      </c>
      <c r="AT196" s="33">
        <v>1.5342172972654</v>
      </c>
      <c r="AU196">
        <f t="shared" ref="AU196:AU253" si="55">SUMPRODUCT(AV$2:BC$2,AV196:BC196)</f>
        <v>-0.77952095778580444</v>
      </c>
      <c r="AV196">
        <f>IF(AT196&lt;=regressions!$L$2,AT196*regressions!$L$1,regressions!$L$1*regressions!$L$2+regressions!$L$3*(AT196-regressions!$L$2))</f>
        <v>-1.2193649721114275</v>
      </c>
      <c r="AW196">
        <f>regressions!$J$1*AT196+regressions!$J$2*AT196^2</f>
        <v>-0.8879025401971149</v>
      </c>
      <c r="AX196">
        <f>regressions!$V$1*AT196</f>
        <v>-1.2193649755538498</v>
      </c>
      <c r="AY196">
        <f>regressions!$N$1*AT196^2</f>
        <v>-0.41014151743223887</v>
      </c>
      <c r="AZ196">
        <f>regressions!$R$1*AT196^2+regressions!$R$2*AT196^6</f>
        <v>-0.44657461611380633</v>
      </c>
      <c r="BA196">
        <f>regressions!$P$1*AT196^2+regressions!$P$2*AT196^7</f>
        <v>-0.43215128249421036</v>
      </c>
      <c r="BB196">
        <f>regressions!$T$2+regressions!$T$1*EXP(AT196)</f>
        <v>-2.8427361476025696E-2</v>
      </c>
      <c r="BC196" s="8">
        <f>(1-EXP(-2*regressions!$X$1*AT196))/2/EXP(-regressions!$X$1*AT196)</f>
        <v>-0.6658264292533288</v>
      </c>
      <c r="BE196">
        <f t="shared" ref="BE196:BE253" si="56">N196-C196</f>
        <v>2.0310810528314738E-2</v>
      </c>
      <c r="BF196">
        <f t="shared" si="47"/>
        <v>6.646173606792527E-2</v>
      </c>
      <c r="BG196">
        <f t="shared" si="48"/>
        <v>0.11685143007351617</v>
      </c>
      <c r="BH196">
        <f>BG196+regressions!$AR$1*(AI196-B196)</f>
        <v>-6.2171609820191931E-2</v>
      </c>
      <c r="BI196">
        <f>BG196-regressions!$AO$1*(AI196-B196)</f>
        <v>0.36006093747023138</v>
      </c>
      <c r="BJ196">
        <f t="shared" si="49"/>
        <v>0.23021609541698718</v>
      </c>
      <c r="BK196">
        <f>BJ196+regressions!$AR$1*(AT196-B196)</f>
        <v>-0.13073355379401358</v>
      </c>
      <c r="BL196">
        <f>BJ196-regressions!$AO$1*(AT196-B196)</f>
        <v>0.72057971806436449</v>
      </c>
      <c r="BM196">
        <f t="shared" ref="BM196:BM253" si="57">Y196-N196</f>
        <v>4.6150925539610532E-2</v>
      </c>
      <c r="BN196">
        <f t="shared" si="50"/>
        <v>9.6540619545201434E-2</v>
      </c>
      <c r="BO196">
        <f t="shared" si="51"/>
        <v>0.20990528488867244</v>
      </c>
      <c r="BP196">
        <f t="shared" ref="BP196:BP253" si="58">AJ196-Y196</f>
        <v>5.0389694005590902E-2</v>
      </c>
      <c r="BQ196">
        <f t="shared" ref="BQ196:BQ253" si="59">AU196-Y196</f>
        <v>0.16375435934906191</v>
      </c>
      <c r="BR196">
        <f t="shared" ref="BR196:BR253" si="60">AU196-AJ196</f>
        <v>0.113364665343471</v>
      </c>
    </row>
    <row r="197" spans="1:70" x14ac:dyDescent="0.35">
      <c r="A197">
        <f t="shared" si="46"/>
        <v>2044</v>
      </c>
      <c r="B197" s="33">
        <v>1.9135235805325266</v>
      </c>
      <c r="C197">
        <f t="shared" si="45"/>
        <v>-1.0356176624710665</v>
      </c>
      <c r="D197">
        <f>IF($B197&lt;=regressions!$L$2,$B197*regressions!$L$1,regressions!$L$1*regressions!$L$2+regressions!$L$3*($B197-regressions!$L$2))</f>
        <v>-1.5208299577703006</v>
      </c>
      <c r="E197">
        <f>regressions!$J$1*B197+regressions!$J$2*B197^2</f>
        <v>-1.1667426817934214</v>
      </c>
      <c r="F197">
        <f>regressions!$V$1*B197</f>
        <v>-1.5208299620637971</v>
      </c>
      <c r="G197">
        <f>regressions!$N$1*B197^2</f>
        <v>-0.63801019883762211</v>
      </c>
      <c r="H197">
        <f>regressions!$R$1*B197^2+regressions!$R$2*B197^6</f>
        <v>-0.69436795194593048</v>
      </c>
      <c r="I197">
        <f>regressions!$P$1*B197^2+regressions!$P$2*B197^7</f>
        <v>-0.67218637269185544</v>
      </c>
      <c r="J197">
        <f>regressions!$T$2+regressions!$T$1*EXP(B197)</f>
        <v>-4.5144740251931444E-2</v>
      </c>
      <c r="K197" s="8">
        <f>(1-EXP(-2*regressions!$X$1*B197))/2/EXP(-regressions!$X$1*B197)</f>
        <v>-0.85998717301233663</v>
      </c>
      <c r="M197" s="33">
        <v>1.8751436650888411</v>
      </c>
      <c r="N197">
        <f t="shared" si="52"/>
        <v>-1.0125287229728466</v>
      </c>
      <c r="O197">
        <f>IF($B197&lt;=regressions!$L$2,$B197*regressions!$L$1,regressions!$L$1*regressions!$L$2+regressions!$L$3*($B197-regressions!$L$2))</f>
        <v>-1.5208299577703006</v>
      </c>
      <c r="P197">
        <f>regressions!$J$1*M197+regressions!$J$2*M197^2</f>
        <v>-1.1374589242471966</v>
      </c>
      <c r="Q197">
        <f>regressions!$V$1*M197</f>
        <v>-1.4903263790705903</v>
      </c>
      <c r="R197">
        <f>regressions!$N$1*M197^2</f>
        <v>-0.61267347480065615</v>
      </c>
      <c r="S197">
        <f>regressions!$R$1*M197^2+regressions!$R$2*M197^6</f>
        <v>-0.6668335370140045</v>
      </c>
      <c r="T197">
        <f>regressions!$P$1*M197^2+regressions!$P$2*M197^7</f>
        <v>-0.6455010052402721</v>
      </c>
      <c r="U197">
        <f>regressions!$T$2+regressions!$T$1*EXP(M197)</f>
        <v>-4.3150673578732569E-2</v>
      </c>
      <c r="V197" s="8">
        <f>(1-EXP(-2*regressions!$X$1*M197))/2/EXP(-regressions!$X$1*M197)</f>
        <v>-0.83948810191711043</v>
      </c>
      <c r="X197" s="33">
        <v>1.7871468661997247</v>
      </c>
      <c r="Y197">
        <f t="shared" si="53"/>
        <v>-0.96061379386194257</v>
      </c>
      <c r="Z197">
        <f>IF($B197&lt;=regressions!$L$2,$B197*regressions!$L$1,regressions!$L$1*regressions!$L$2+regressions!$L$3*($B197-regressions!$L$2))</f>
        <v>-1.5208299577703006</v>
      </c>
      <c r="AA197">
        <f>regressions!$J$1*X197+regressions!$J$2*X197^2</f>
        <v>-1.0712265726792403</v>
      </c>
      <c r="AB197">
        <f>regressions!$V$1*X197</f>
        <v>-1.4203882974719164</v>
      </c>
      <c r="AC197">
        <f>regressions!$N$1*X197^2</f>
        <v>-0.5565196099741897</v>
      </c>
      <c r="AD197">
        <f>regressions!$R$1*X197^2+regressions!$R$2*X197^6</f>
        <v>-0.60579171656873387</v>
      </c>
      <c r="AE197">
        <f>regressions!$P$1*X197^2+regressions!$P$2*X197^7</f>
        <v>-0.58635395935398227</v>
      </c>
      <c r="AF197">
        <f>regressions!$T$2+regressions!$T$1*EXP(X197)</f>
        <v>-3.8857547538787743E-2</v>
      </c>
      <c r="AG197" s="8">
        <f>(1-EXP(-2*regressions!$X$1*X197))/2/EXP(-regressions!$X$1*X197)</f>
        <v>-0.79325343166477313</v>
      </c>
      <c r="AH197" s="8"/>
      <c r="AI197" s="33">
        <v>1.7244930291512406</v>
      </c>
      <c r="AJ197">
        <f t="shared" si="54"/>
        <v>-0.90471445363412673</v>
      </c>
      <c r="AK197">
        <f>IF(AI197&lt;=regressions!$L$2,AI197*regressions!$L$1,regressions!$L$1*regressions!$L$2+regressions!$L$3*(AI197-regressions!$L$2))</f>
        <v>-1.3705922871195464</v>
      </c>
      <c r="AL197">
        <f>regressions!$J$1*AI197+regressions!$J$2*AI197^2</f>
        <v>-1.0248405186887801</v>
      </c>
      <c r="AM197">
        <f>regressions!$V$1*AI197</f>
        <v>-1.3705922909889028</v>
      </c>
      <c r="AN197">
        <f>regressions!$N$1*AI197^2</f>
        <v>-0.5181826534963867</v>
      </c>
      <c r="AO197">
        <f>regressions!$R$1*AI197^2+regressions!$R$2*AI197^6</f>
        <v>-0.56410497309488061</v>
      </c>
      <c r="AP197">
        <f>regressions!$P$1*AI197^2+regressions!$P$2*AI197^7</f>
        <v>-0.54597053558988806</v>
      </c>
      <c r="AQ197">
        <f>regressions!$T$2+regressions!$T$1*EXP(AI197)</f>
        <v>-3.6023076739435556E-2</v>
      </c>
      <c r="AR197" s="8">
        <f>(1-EXP(-2*regressions!$X$1*AI197))/2/EXP(-regressions!$X$1*AI197)</f>
        <v>-0.76095794769925007</v>
      </c>
      <c r="AT197" s="33">
        <v>1.5406736279901974</v>
      </c>
      <c r="AU197">
        <f t="shared" si="55"/>
        <v>-0.78366189238987582</v>
      </c>
      <c r="AV197">
        <f>IF(AT197&lt;=regressions!$L$2,AT197*regressions!$L$1,regressions!$L$1*regressions!$L$2+regressions!$L$3*(AT197-regressions!$L$2))</f>
        <v>-1.2244963335868957</v>
      </c>
      <c r="AW197">
        <f>regressions!$J$1*AT197+regressions!$J$2*AT197^2</f>
        <v>-0.89245204280529644</v>
      </c>
      <c r="AX197">
        <f>regressions!$V$1*AT197</f>
        <v>-1.2244963370438045</v>
      </c>
      <c r="AY197">
        <f>regressions!$N$1*AT197^2</f>
        <v>-0.41360071580515095</v>
      </c>
      <c r="AZ197">
        <f>regressions!$R$1*AT197^2+regressions!$R$2*AT197^6</f>
        <v>-0.4503386449143415</v>
      </c>
      <c r="BA197">
        <f>regressions!$P$1*AT197^2+regressions!$P$2*AT197^7</f>
        <v>-0.4357956928060161</v>
      </c>
      <c r="BB197">
        <f>regressions!$T$2+regressions!$T$1*EXP(AT197)</f>
        <v>-2.8662108973644483E-2</v>
      </c>
      <c r="BC197" s="8">
        <f>(1-EXP(-2*regressions!$X$1*AT197))/2/EXP(-regressions!$X$1*AT197)</f>
        <v>-0.66898574011199197</v>
      </c>
      <c r="BE197">
        <f t="shared" si="56"/>
        <v>2.3088939498219885E-2</v>
      </c>
      <c r="BF197">
        <f t="shared" si="47"/>
        <v>7.5003868609123892E-2</v>
      </c>
      <c r="BG197">
        <f t="shared" si="48"/>
        <v>0.13090320883693973</v>
      </c>
      <c r="BH197">
        <f>BG197+regressions!$AR$1*(AI197-B197)</f>
        <v>-6.8208875149006504E-2</v>
      </c>
      <c r="BI197">
        <f>BG197-regressions!$AO$1*(AI197-B197)</f>
        <v>0.40140443533665426</v>
      </c>
      <c r="BJ197">
        <f t="shared" si="49"/>
        <v>0.25195577008119063</v>
      </c>
      <c r="BK197">
        <f>BJ197+regressions!$AR$1*(AT197-B197)</f>
        <v>-0.1407793223273372</v>
      </c>
      <c r="BL197">
        <f>BJ197-regressions!$AO$1*(AT197-B197)</f>
        <v>0.78550110826108643</v>
      </c>
      <c r="BM197">
        <f t="shared" si="57"/>
        <v>5.1914929110904007E-2</v>
      </c>
      <c r="BN197">
        <f t="shared" si="50"/>
        <v>0.10781426933871985</v>
      </c>
      <c r="BO197">
        <f t="shared" si="51"/>
        <v>0.22886683058297075</v>
      </c>
      <c r="BP197">
        <f t="shared" si="58"/>
        <v>5.5899340227815841E-2</v>
      </c>
      <c r="BQ197">
        <f t="shared" si="59"/>
        <v>0.17695190147206674</v>
      </c>
      <c r="BR197">
        <f t="shared" si="60"/>
        <v>0.1210525612442509</v>
      </c>
    </row>
    <row r="198" spans="1:70" x14ac:dyDescent="0.35">
      <c r="A198">
        <f t="shared" si="46"/>
        <v>2045</v>
      </c>
      <c r="B198" s="33">
        <v>1.9506469032913438</v>
      </c>
      <c r="C198">
        <f t="shared" si="45"/>
        <v>-1.0620980357023515</v>
      </c>
      <c r="D198">
        <f>IF($B198&lt;=regressions!$L$2,$B198*regressions!$L$1,regressions!$L$1*regressions!$L$2+regressions!$L$3*($B198-regressions!$L$2))</f>
        <v>-1.5503348261492278</v>
      </c>
      <c r="E198">
        <f>regressions!$J$1*B198+regressions!$J$2*B198^2</f>
        <v>-1.1952967558612366</v>
      </c>
      <c r="F198">
        <f>regressions!$V$1*B198</f>
        <v>-1.5503348305260201</v>
      </c>
      <c r="G198">
        <f>regressions!$N$1*B198^2</f>
        <v>-0.66300577226043167</v>
      </c>
      <c r="H198">
        <f>regressions!$R$1*B198^2+regressions!$R$2*B198^6</f>
        <v>-0.72152661587941413</v>
      </c>
      <c r="I198">
        <f>regressions!$P$1*B198^2+regressions!$P$2*B198^7</f>
        <v>-0.69851117901392634</v>
      </c>
      <c r="J198">
        <f>regressions!$T$2+regressions!$T$1*EXP(B198)</f>
        <v>-4.7147717913894799E-2</v>
      </c>
      <c r="K198" s="8">
        <f>(1-EXP(-2*regressions!$X$1*B198))/2/EXP(-regressions!$X$1*B198)</f>
        <v>-0.88001469756757289</v>
      </c>
      <c r="M198" s="33">
        <v>1.9076977908834301</v>
      </c>
      <c r="N198">
        <f t="shared" si="52"/>
        <v>-1.0359839075887498</v>
      </c>
      <c r="O198">
        <f>IF($B198&lt;=regressions!$L$2,$B198*regressions!$L$1,regressions!$L$1*regressions!$L$2+regressions!$L$3*($B198-regressions!$L$2))</f>
        <v>-1.5503348261492278</v>
      </c>
      <c r="P198">
        <f>regressions!$J$1*M198+regressions!$J$2*M198^2</f>
        <v>-1.1622821211827983</v>
      </c>
      <c r="Q198">
        <f>regressions!$V$1*M198</f>
        <v>-1.516199741908077</v>
      </c>
      <c r="R198">
        <f>regressions!$N$1*M198^2</f>
        <v>-0.63413122382644516</v>
      </c>
      <c r="S198">
        <f>regressions!$R$1*M198^2+regressions!$R$2*M198^6</f>
        <v>-0.69015284358099072</v>
      </c>
      <c r="T198">
        <f>regressions!$P$1*M198^2+regressions!$P$2*M198^7</f>
        <v>-0.66810100542052164</v>
      </c>
      <c r="U198">
        <f>regressions!$T$2+regressions!$T$1*EXP(M198)</f>
        <v>-4.4837106870536131E-2</v>
      </c>
      <c r="V198" s="8">
        <f>(1-EXP(-2*regressions!$X$1*M198))/2/EXP(-regressions!$X$1*M198)</f>
        <v>-0.85686217883894455</v>
      </c>
      <c r="X198" s="33">
        <v>1.8100593118581361</v>
      </c>
      <c r="Y198">
        <f t="shared" si="53"/>
        <v>-0.97788296533865304</v>
      </c>
      <c r="Z198">
        <f>IF($B198&lt;=regressions!$L$2,$B198*regressions!$L$1,regressions!$L$1*regressions!$L$2+regressions!$L$3*($B198-regressions!$L$2))</f>
        <v>-1.5503348261492278</v>
      </c>
      <c r="AA198">
        <f>regressions!$J$1*X198+regressions!$J$2*X198^2</f>
        <v>-1.0883501471801837</v>
      </c>
      <c r="AB198">
        <f>regressions!$V$1*X198</f>
        <v>-1.4385986473291015</v>
      </c>
      <c r="AC198">
        <f>regressions!$N$1*X198^2</f>
        <v>-0.57088100945492604</v>
      </c>
      <c r="AD198">
        <f>regressions!$R$1*X198^2+regressions!$R$2*X198^6</f>
        <v>-0.62140538787546218</v>
      </c>
      <c r="AE198">
        <f>regressions!$P$1*X198^2+regressions!$P$2*X198^7</f>
        <v>-0.60148138517934824</v>
      </c>
      <c r="AF198">
        <f>regressions!$T$2+regressions!$T$1*EXP(X198)</f>
        <v>-3.9939267171345126E-2</v>
      </c>
      <c r="AG198" s="8">
        <f>(1-EXP(-2*regressions!$X$1*X198))/2/EXP(-regressions!$X$1*X198)</f>
        <v>-0.80519156225972677</v>
      </c>
      <c r="AH198" s="8"/>
      <c r="AI198" s="33">
        <v>1.7414445057318788</v>
      </c>
      <c r="AJ198">
        <f t="shared" si="54"/>
        <v>-0.91618630674913004</v>
      </c>
      <c r="AK198">
        <f>IF(AI198&lt;=regressions!$L$2,AI198*regressions!$L$1,regressions!$L$1*regressions!$L$2+regressions!$L$3*(AI198-regressions!$L$2))</f>
        <v>-1.3840649788985009</v>
      </c>
      <c r="AL198">
        <f>regressions!$J$1*AI198+regressions!$J$2*AI198^2</f>
        <v>-1.037327301036332</v>
      </c>
      <c r="AM198">
        <f>regressions!$V$1*AI198</f>
        <v>-1.3840649828058924</v>
      </c>
      <c r="AN198">
        <f>regressions!$N$1*AI198^2</f>
        <v>-0.52842001995318111</v>
      </c>
      <c r="AO198">
        <f>regressions!$R$1*AI198^2+regressions!$R$2*AI198^6</f>
        <v>-0.57523781442129174</v>
      </c>
      <c r="AP198">
        <f>regressions!$P$1*AI198^2+regressions!$P$2*AI198^7</f>
        <v>-0.55675460289774426</v>
      </c>
      <c r="AQ198">
        <f>regressions!$T$2+regressions!$T$1*EXP(AI198)</f>
        <v>-3.6772525376802458E-2</v>
      </c>
      <c r="AR198" s="8">
        <f>(1-EXP(-2*regressions!$X$1*AI198))/2/EXP(-regressions!$X$1*AI198)</f>
        <v>-0.76964603366849027</v>
      </c>
      <c r="AT198" s="33">
        <v>1.5465906725468828</v>
      </c>
      <c r="AU198">
        <f t="shared" si="55"/>
        <v>-0.78746351723272257</v>
      </c>
      <c r="AV198">
        <f>IF(AT198&lt;=regressions!$L$2,AT198*regressions!$L$1,regressions!$L$1*regressions!$L$2+regressions!$L$3*(AT198-regressions!$L$2))</f>
        <v>-1.2291990812900437</v>
      </c>
      <c r="AW198">
        <f>regressions!$J$1*AT198+regressions!$J$2*AT198^2</f>
        <v>-0.89662751731702817</v>
      </c>
      <c r="AX198">
        <f>regressions!$V$1*AT198</f>
        <v>-1.229199084760229</v>
      </c>
      <c r="AY198">
        <f>regressions!$N$1*AT198^2</f>
        <v>-0.4167837304359952</v>
      </c>
      <c r="AZ198">
        <f>regressions!$R$1*AT198^2+regressions!$R$2*AT198^6</f>
        <v>-0.45380209762421087</v>
      </c>
      <c r="BA198">
        <f>regressions!$P$1*AT198^2+regressions!$P$2*AT198^7</f>
        <v>-0.43914912100705772</v>
      </c>
      <c r="BB198">
        <f>regressions!$T$2+regressions!$T$1*EXP(AT198)</f>
        <v>-2.8878583483831329E-2</v>
      </c>
      <c r="BC198" s="8">
        <f>(1-EXP(-2*regressions!$X$1*AT198))/2/EXP(-regressions!$X$1*AT198)</f>
        <v>-0.67188521556612557</v>
      </c>
      <c r="BE198">
        <f t="shared" si="56"/>
        <v>2.6114128113601698E-2</v>
      </c>
      <c r="BF198">
        <f t="shared" si="47"/>
        <v>8.4215070363698463E-2</v>
      </c>
      <c r="BG198">
        <f t="shared" si="48"/>
        <v>0.14591172895322146</v>
      </c>
      <c r="BH198">
        <f>BG198+regressions!$AR$1*(AI198-B198)</f>
        <v>-7.4448022677092635E-2</v>
      </c>
      <c r="BI198">
        <f>BG198-regressions!$AO$1*(AI198-B198)</f>
        <v>0.44527870806323705</v>
      </c>
      <c r="BJ198">
        <f t="shared" si="49"/>
        <v>0.27463451846962894</v>
      </c>
      <c r="BK198">
        <f>BJ198+regressions!$AR$1*(AT198-B198)</f>
        <v>-0.15097117099777635</v>
      </c>
      <c r="BL198">
        <f>BJ198-regressions!$AO$1*(AT198-B198)</f>
        <v>0.85283579436163193</v>
      </c>
      <c r="BM198">
        <f t="shared" si="57"/>
        <v>5.8100942250096765E-2</v>
      </c>
      <c r="BN198">
        <f t="shared" si="50"/>
        <v>0.11979760083961977</v>
      </c>
      <c r="BO198">
        <f t="shared" si="51"/>
        <v>0.24852039035602724</v>
      </c>
      <c r="BP198">
        <f t="shared" si="58"/>
        <v>6.1696658589523001E-2</v>
      </c>
      <c r="BQ198">
        <f t="shared" si="59"/>
        <v>0.19041944810593048</v>
      </c>
      <c r="BR198">
        <f t="shared" si="60"/>
        <v>0.12872278951640748</v>
      </c>
    </row>
    <row r="199" spans="1:70" x14ac:dyDescent="0.35">
      <c r="A199">
        <f t="shared" si="46"/>
        <v>2046</v>
      </c>
      <c r="B199" s="33">
        <v>1.9882645478649246</v>
      </c>
      <c r="C199">
        <f t="shared" si="45"/>
        <v>-1.0891914695667675</v>
      </c>
      <c r="D199">
        <f>IF($B199&lt;=regressions!$L$2,$B199*regressions!$L$1,regressions!$L$1*regressions!$L$2+regressions!$L$3*($B199-regressions!$L$2))</f>
        <v>-1.5802325715390888</v>
      </c>
      <c r="E199">
        <f>regressions!$J$1*B199+regressions!$J$2*B199^2</f>
        <v>-1.2244608461929993</v>
      </c>
      <c r="F199">
        <f>regressions!$V$1*B199</f>
        <v>-1.5802325760002862</v>
      </c>
      <c r="G199">
        <f>regressions!$N$1*B199^2</f>
        <v>-0.68882408164666031</v>
      </c>
      <c r="H199">
        <f>regressions!$R$1*B199^2+regressions!$R$2*B199^6</f>
        <v>-0.74957378302892452</v>
      </c>
      <c r="I199">
        <f>regressions!$P$1*B199^2+regressions!$P$2*B199^7</f>
        <v>-0.72570108965758051</v>
      </c>
      <c r="J199">
        <f>regressions!$T$2+regressions!$T$1*EXP(B199)</f>
        <v>-4.9254653831662248E-2</v>
      </c>
      <c r="K199" s="8">
        <f>(1-EXP(-2*regressions!$X$1*B199))/2/EXP(-regressions!$X$1*B199)</f>
        <v>-0.90051386642450848</v>
      </c>
      <c r="M199" s="33">
        <v>1.9404272180319657</v>
      </c>
      <c r="N199">
        <f t="shared" si="52"/>
        <v>-1.0597935234167863</v>
      </c>
      <c r="O199">
        <f>IF($B199&lt;=regressions!$L$2,$B199*regressions!$L$1,regressions!$L$1*regressions!$L$2+regressions!$L$3*($B199-regressions!$L$2))</f>
        <v>-1.5802325715390888</v>
      </c>
      <c r="P199">
        <f>regressions!$J$1*M199+regressions!$J$2*M199^2</f>
        <v>-1.18741362808953</v>
      </c>
      <c r="Q199">
        <f>regressions!$V$1*M199</f>
        <v>-1.5422124307273206</v>
      </c>
      <c r="R199">
        <f>regressions!$N$1*M199^2</f>
        <v>-0.65607682893850872</v>
      </c>
      <c r="S199">
        <f>regressions!$R$1*M199^2+regressions!$R$2*M199^6</f>
        <v>-0.71399855885751728</v>
      </c>
      <c r="T199">
        <f>regressions!$P$1*M199^2+regressions!$P$2*M199^7</f>
        <v>-0.69121389204853878</v>
      </c>
      <c r="U199">
        <f>regressions!$T$2+regressions!$T$1*EXP(M199)</f>
        <v>-4.6588880096152745E-2</v>
      </c>
      <c r="V199" s="8">
        <f>(1-EXP(-2*regressions!$X$1*M199))/2/EXP(-regressions!$X$1*M199)</f>
        <v>-0.8744814703512328</v>
      </c>
      <c r="X199" s="33">
        <v>1.8325904028848945</v>
      </c>
      <c r="Y199">
        <f t="shared" si="53"/>
        <v>-0.99507504565764182</v>
      </c>
      <c r="Z199">
        <f>IF($B199&lt;=regressions!$L$2,$B199*regressions!$L$1,regressions!$L$1*regressions!$L$2+regressions!$L$3*($B199-regressions!$L$2))</f>
        <v>-1.5802325715390888</v>
      </c>
      <c r="AA199">
        <f>regressions!$J$1*X199+regressions!$J$2*X199^2</f>
        <v>-1.1052724031282222</v>
      </c>
      <c r="AB199">
        <f>regressions!$V$1*X199</f>
        <v>-1.4565059042137773</v>
      </c>
      <c r="AC199">
        <f>regressions!$N$1*X199^2</f>
        <v>-0.58518178587617919</v>
      </c>
      <c r="AD199">
        <f>regressions!$R$1*X199^2+regressions!$R$2*X199^6</f>
        <v>-0.63695168944996039</v>
      </c>
      <c r="AE199">
        <f>regressions!$P$1*X199^2+regressions!$P$2*X199^7</f>
        <v>-0.61654460919132881</v>
      </c>
      <c r="AF199">
        <f>regressions!$T$2+regressions!$T$1*EXP(X199)</f>
        <v>-4.1027428057488859E-2</v>
      </c>
      <c r="AG199" s="8">
        <f>(1-EXP(-2*regressions!$X$1*X199))/2/EXP(-regressions!$X$1*X199)</f>
        <v>-0.81699927673639172</v>
      </c>
      <c r="AH199" s="8"/>
      <c r="AI199" s="33">
        <v>1.7577906746753005</v>
      </c>
      <c r="AJ199">
        <f t="shared" si="54"/>
        <v>-0.92729814535032218</v>
      </c>
      <c r="AK199">
        <f>IF(AI199&lt;=regressions!$L$2,AI199*regressions!$L$1,regressions!$L$1*regressions!$L$2+regressions!$L$3*(AI199-regressions!$L$2))</f>
        <v>-1.3970565843727392</v>
      </c>
      <c r="AL199">
        <f>regressions!$J$1*AI199+regressions!$J$2*AI199^2</f>
        <v>-1.049412688729003</v>
      </c>
      <c r="AM199">
        <f>regressions!$V$1*AI199</f>
        <v>-1.3970565883168076</v>
      </c>
      <c r="AN199">
        <f>regressions!$N$1*AI199^2</f>
        <v>-0.53838666747658404</v>
      </c>
      <c r="AO199">
        <f>regressions!$R$1*AI199^2+regressions!$R$2*AI199^6</f>
        <v>-0.58607559265120091</v>
      </c>
      <c r="AP199">
        <f>regressions!$P$1*AI199^2+regressions!$P$2*AI199^7</f>
        <v>-0.5672533432340684</v>
      </c>
      <c r="AQ199">
        <f>regressions!$T$2+regressions!$T$1*EXP(AI199)</f>
        <v>-3.750734450109082E-2</v>
      </c>
      <c r="AR199" s="8">
        <f>(1-EXP(-2*regressions!$X$1*AI199))/2/EXP(-regressions!$X$1*AI199)</f>
        <v>-0.77805857687015445</v>
      </c>
      <c r="AT199" s="33">
        <v>1.5519953676096616</v>
      </c>
      <c r="AU199">
        <f t="shared" si="55"/>
        <v>-0.79094146211267202</v>
      </c>
      <c r="AV199">
        <f>IF(AT199&lt;=regressions!$L$2,AT199*regressions!$L$1,regressions!$L$1*regressions!$L$2+regressions!$L$3*(AT199-regressions!$L$2))</f>
        <v>-1.2334946239463824</v>
      </c>
      <c r="AW199">
        <f>regressions!$J$1*AT199+regressions!$J$2*AT199^2</f>
        <v>-0.90044644401585316</v>
      </c>
      <c r="AX199">
        <f>regressions!$V$1*AT199</f>
        <v>-1.2334946274286944</v>
      </c>
      <c r="AY199">
        <f>regressions!$N$1*AT199^2</f>
        <v>-0.4197017939466845</v>
      </c>
      <c r="AZ199">
        <f>regressions!$R$1*AT199^2+regressions!$R$2*AT199^6</f>
        <v>-0.45697720950902609</v>
      </c>
      <c r="BA199">
        <f>regressions!$P$1*AT199^2+regressions!$P$2*AT199^7</f>
        <v>-0.44222340367468044</v>
      </c>
      <c r="BB199">
        <f>regressions!$T$2+regressions!$T$1*EXP(AT199)</f>
        <v>-2.9077436188020306E-2</v>
      </c>
      <c r="BC199" s="8">
        <f>(1-EXP(-2*regressions!$X$1*AT199))/2/EXP(-regressions!$X$1*AT199)</f>
        <v>-0.6745370340187502</v>
      </c>
      <c r="BE199">
        <f t="shared" si="56"/>
        <v>2.9397946149981147E-2</v>
      </c>
      <c r="BF199">
        <f t="shared" si="47"/>
        <v>9.4116423909125668E-2</v>
      </c>
      <c r="BG199">
        <f t="shared" si="48"/>
        <v>0.16189332421644531</v>
      </c>
      <c r="BH199">
        <f>BG199+regressions!$AR$1*(AI199-B199)</f>
        <v>-8.0872370851203274E-2</v>
      </c>
      <c r="BI199">
        <f>BG199-regressions!$AO$1*(AI199-B199)</f>
        <v>0.49169961700021059</v>
      </c>
      <c r="BJ199">
        <f t="shared" si="49"/>
        <v>0.29825000745409547</v>
      </c>
      <c r="BK199">
        <f>BJ199+regressions!$AR$1*(AT199-B199)</f>
        <v>-0.1612866390018044</v>
      </c>
      <c r="BL199">
        <f>BJ199-regressions!$AO$1*(AT199-B199)</f>
        <v>0.92254775975254633</v>
      </c>
      <c r="BM199">
        <f t="shared" si="57"/>
        <v>6.4718477759144521E-2</v>
      </c>
      <c r="BN199">
        <f t="shared" si="50"/>
        <v>0.13249537806646416</v>
      </c>
      <c r="BO199">
        <f t="shared" si="51"/>
        <v>0.26885206130411432</v>
      </c>
      <c r="BP199">
        <f t="shared" si="58"/>
        <v>6.7776900307319643E-2</v>
      </c>
      <c r="BQ199">
        <f t="shared" si="59"/>
        <v>0.2041335835449698</v>
      </c>
      <c r="BR199">
        <f t="shared" si="60"/>
        <v>0.13635668323765016</v>
      </c>
    </row>
    <row r="200" spans="1:70" x14ac:dyDescent="0.35">
      <c r="A200">
        <f t="shared" si="46"/>
        <v>2047</v>
      </c>
      <c r="B200" s="33">
        <v>2.0263798282496381</v>
      </c>
      <c r="C200">
        <f t="shared" si="45"/>
        <v>-1.116911491212409</v>
      </c>
      <c r="D200">
        <f>IF($B200&lt;=regressions!$L$2,$B200*regressions!$L$1,regressions!$L$1*regressions!$L$2+regressions!$L$3*($B200-regressions!$L$2))</f>
        <v>-1.6105258278373755</v>
      </c>
      <c r="E200">
        <f>regressions!$J$1*B200+regressions!$J$2*B200^2</f>
        <v>-1.2542466719861425</v>
      </c>
      <c r="F200">
        <f>regressions!$V$1*B200</f>
        <v>-1.6105258323840947</v>
      </c>
      <c r="G200">
        <f>regressions!$N$1*B200^2</f>
        <v>-0.71548690797951919</v>
      </c>
      <c r="H200">
        <f>regressions!$R$1*B200^2+regressions!$R$2*B200^6</f>
        <v>-0.77853235435218915</v>
      </c>
      <c r="I200">
        <f>regressions!$P$1*B200^2+regressions!$P$2*B200^7</f>
        <v>-0.75377881945666758</v>
      </c>
      <c r="J200">
        <f>regressions!$T$2+regressions!$T$1*EXP(B200)</f>
        <v>-5.147185308973564E-2</v>
      </c>
      <c r="K200" s="8">
        <f>(1-EXP(-2*regressions!$X$1*B200))/2/EXP(-regressions!$X$1*B200)</f>
        <v>-0.9214995483710583</v>
      </c>
      <c r="M200" s="33">
        <v>1.9733283248608224</v>
      </c>
      <c r="N200">
        <f t="shared" si="52"/>
        <v>-1.0839593626636748</v>
      </c>
      <c r="O200">
        <f>IF($B200&lt;=regressions!$L$2,$B200*regressions!$L$1,regressions!$L$1*regressions!$L$2+regressions!$L$3*($B200-regressions!$L$2))</f>
        <v>-1.6105258278373755</v>
      </c>
      <c r="P200">
        <f>regressions!$J$1*M200+regressions!$J$2*M200^2</f>
        <v>-1.2128534485498597</v>
      </c>
      <c r="Q200">
        <f>regressions!$V$1*M200</f>
        <v>-1.5683615670951421</v>
      </c>
      <c r="R200">
        <f>regressions!$N$1*M200^2</f>
        <v>-0.67851379795810696</v>
      </c>
      <c r="S200">
        <f>regressions!$R$1*M200^2+regressions!$R$2*M200^6</f>
        <v>-0.73837410271525028</v>
      </c>
      <c r="T200">
        <f>regressions!$P$1*M200^2+regressions!$P$2*M200^7</f>
        <v>-0.71484324452410386</v>
      </c>
      <c r="U200">
        <f>regressions!$T$2+regressions!$T$1*EXP(M200)</f>
        <v>-4.8408588001344614E-2</v>
      </c>
      <c r="V200" s="8">
        <f>(1-EXP(-2*regressions!$X$1*M200))/2/EXP(-regressions!$X$1*M200)</f>
        <v>-0.89234959616982468</v>
      </c>
      <c r="X200" s="33">
        <v>1.854735015301137</v>
      </c>
      <c r="Y200">
        <f t="shared" si="53"/>
        <v>-1.0121827669991874</v>
      </c>
      <c r="Z200">
        <f>IF($B200&lt;=regressions!$L$2,$B200*regressions!$L$1,regressions!$L$1*regressions!$L$2+regressions!$L$3*($B200-regressions!$L$2))</f>
        <v>-1.6105258278373755</v>
      </c>
      <c r="AA200">
        <f>regressions!$J$1*X200+regressions!$J$2*X200^2</f>
        <v>-1.1219852504277252</v>
      </c>
      <c r="AB200">
        <f>regressions!$V$1*X200</f>
        <v>-1.474105995690852</v>
      </c>
      <c r="AC200">
        <f>regressions!$N$1*X200^2</f>
        <v>-0.59940964429599664</v>
      </c>
      <c r="AD200">
        <f>regressions!$R$1*X200^2+regressions!$R$2*X200^6</f>
        <v>-0.65241723971027321</v>
      </c>
      <c r="AE200">
        <f>regressions!$P$1*X200^2+regressions!$P$2*X200^7</f>
        <v>-0.63153067284526532</v>
      </c>
      <c r="AF200">
        <f>regressions!$T$2+regressions!$T$1*EXP(X200)</f>
        <v>-4.2121081856299702E-2</v>
      </c>
      <c r="AG200" s="8">
        <f>(1-EXP(-2*regressions!$X$1*X200))/2/EXP(-regressions!$X$1*X200)</f>
        <v>-0.82867139637579112</v>
      </c>
      <c r="AH200" s="8"/>
      <c r="AI200" s="33">
        <v>1.773536441196613</v>
      </c>
      <c r="AJ200">
        <f t="shared" si="54"/>
        <v>-0.93804796950266534</v>
      </c>
      <c r="AK200">
        <f>IF(AI200&lt;=regressions!$L$2,AI200*regressions!$L$1,regressions!$L$1*regressions!$L$2+regressions!$L$3*(AI200-regressions!$L$2))</f>
        <v>-1.4095710021083201</v>
      </c>
      <c r="AL200">
        <f>regressions!$J$1*AI200+regressions!$J$2*AI200^2</f>
        <v>-1.0610954753258102</v>
      </c>
      <c r="AM200">
        <f>regressions!$V$1*AI200</f>
        <v>-1.4095710060877182</v>
      </c>
      <c r="AN200">
        <f>regressions!$N$1*AI200^2</f>
        <v>-0.54807528342194678</v>
      </c>
      <c r="AO200">
        <f>regressions!$R$1*AI200^2+regressions!$R$2*AI200^6</f>
        <v>-0.5966103982319001</v>
      </c>
      <c r="AP200">
        <f>regressions!$P$1*AI200^2+regressions!$P$2*AI200^7</f>
        <v>-0.57745906179228779</v>
      </c>
      <c r="AQ200">
        <f>regressions!$T$2+regressions!$T$1*EXP(AI200)</f>
        <v>-3.8226622210252338E-2</v>
      </c>
      <c r="AR200" s="8">
        <f>(1-EXP(-2*regressions!$X$1*AI200))/2/EXP(-regressions!$X$1*AI200)</f>
        <v>-0.78619468473331</v>
      </c>
      <c r="AT200" s="33">
        <v>1.5569133673533571</v>
      </c>
      <c r="AU200">
        <f t="shared" si="55"/>
        <v>-0.79411077969868771</v>
      </c>
      <c r="AV200">
        <f>IF(AT200&lt;=regressions!$L$2,AT200*regressions!$L$1,regressions!$L$1*regressions!$L$2+regressions!$L$3*(AT200-regressions!$L$2))</f>
        <v>-1.2374033509767737</v>
      </c>
      <c r="AW200">
        <f>regressions!$J$1*AT200+regressions!$J$2*AT200^2</f>
        <v>-0.9039256239352913</v>
      </c>
      <c r="AX200">
        <f>regressions!$V$1*AT200</f>
        <v>-1.2374033544701206</v>
      </c>
      <c r="AY200">
        <f>regressions!$N$1*AT200^2</f>
        <v>-0.42236593036376324</v>
      </c>
      <c r="AZ200">
        <f>regressions!$R$1*AT200^2+regressions!$R$2*AT200^6</f>
        <v>-0.45987598724530399</v>
      </c>
      <c r="BA200">
        <f>regressions!$P$1*AT200^2+regressions!$P$2*AT200^7</f>
        <v>-0.44503015731515821</v>
      </c>
      <c r="BB200">
        <f>regressions!$T$2+regressions!$T$1*EXP(AT200)</f>
        <v>-2.9259318414174208E-2</v>
      </c>
      <c r="BC200" s="8">
        <f>(1-EXP(-2*regressions!$X$1*AT200))/2/EXP(-regressions!$X$1*AT200)</f>
        <v>-0.6769528910826984</v>
      </c>
      <c r="BE200">
        <f t="shared" si="56"/>
        <v>3.2952128548734194E-2</v>
      </c>
      <c r="BF200">
        <f t="shared" si="47"/>
        <v>0.10472872421322155</v>
      </c>
      <c r="BG200">
        <f t="shared" si="48"/>
        <v>0.17886352170974362</v>
      </c>
      <c r="BH200">
        <f>BG200+regressions!$AR$1*(AI200-B200)</f>
        <v>-8.7464716505283424E-2</v>
      </c>
      <c r="BI200">
        <f>BG200-regressions!$AO$1*(AI200-B200)</f>
        <v>0.54068041220925678</v>
      </c>
      <c r="BJ200">
        <f t="shared" si="49"/>
        <v>0.32280071151372125</v>
      </c>
      <c r="BK200">
        <f>BJ200+regressions!$AR$1*(AT200-B200)</f>
        <v>-0.17170372021709274</v>
      </c>
      <c r="BL200">
        <f>BJ200-regressions!$AO$1*(AT200-B200)</f>
        <v>0.99460351029398464</v>
      </c>
      <c r="BM200">
        <f t="shared" si="57"/>
        <v>7.1776595664487353E-2</v>
      </c>
      <c r="BN200">
        <f t="shared" si="50"/>
        <v>0.14591139316100943</v>
      </c>
      <c r="BO200">
        <f t="shared" si="51"/>
        <v>0.28984858296498706</v>
      </c>
      <c r="BP200">
        <f t="shared" si="58"/>
        <v>7.4134797496522076E-2</v>
      </c>
      <c r="BQ200">
        <f t="shared" si="59"/>
        <v>0.2180719873004997</v>
      </c>
      <c r="BR200">
        <f t="shared" si="60"/>
        <v>0.14393718980397763</v>
      </c>
    </row>
    <row r="201" spans="1:70" x14ac:dyDescent="0.35">
      <c r="A201">
        <f t="shared" si="46"/>
        <v>2048</v>
      </c>
      <c r="B201" s="33">
        <v>2.064995973087421</v>
      </c>
      <c r="C201">
        <f t="shared" si="45"/>
        <v>-1.1452718605435439</v>
      </c>
      <c r="D201">
        <f>IF($B201&lt;=regressions!$L$2,$B201*regressions!$L$1,regressions!$L$1*regressions!$L$2+regressions!$L$3*($B201-regressions!$L$2))</f>
        <v>-1.6412171611035971</v>
      </c>
      <c r="E201">
        <f>regressions!$J$1*B201+regressions!$J$2*B201^2</f>
        <v>-1.2846660884301466</v>
      </c>
      <c r="F201">
        <f>regressions!$V$1*B201</f>
        <v>-1.6412171657369616</v>
      </c>
      <c r="G201">
        <f>regressions!$N$1*B201^2</f>
        <v>-0.74301640465085128</v>
      </c>
      <c r="H201">
        <f>regressions!$R$1*B201^2+regressions!$R$2*B201^6</f>
        <v>-0.80842555345969813</v>
      </c>
      <c r="I201">
        <f>regressions!$P$1*B201^2+regressions!$P$2*B201^7</f>
        <v>-0.78276744682567856</v>
      </c>
      <c r="J201">
        <f>regressions!$T$2+regressions!$T$1*EXP(B201)</f>
        <v>-5.3806048620274466E-2</v>
      </c>
      <c r="K201" s="8">
        <f>(1-EXP(-2*regressions!$X$1*B201))/2/EXP(-regressions!$X$1*B201)</f>
        <v>-0.94298718961659922</v>
      </c>
      <c r="M201" s="33">
        <v>2.0063976920835107</v>
      </c>
      <c r="N201">
        <f t="shared" si="52"/>
        <v>-1.1084832806253733</v>
      </c>
      <c r="O201">
        <f>IF($B201&lt;=regressions!$L$2,$B201*regressions!$L$1,regressions!$L$1*regressions!$L$2+regressions!$L$3*($B201-regressions!$L$2))</f>
        <v>-1.6412171611035971</v>
      </c>
      <c r="P201">
        <f>regressions!$J$1*M201+regressions!$J$2*M201^2</f>
        <v>-1.23860168102109</v>
      </c>
      <c r="Q201">
        <f>regressions!$V$1*M201</f>
        <v>-1.5946444334315781</v>
      </c>
      <c r="R201">
        <f>regressions!$N$1*M201^2</f>
        <v>-0.70144564536933474</v>
      </c>
      <c r="S201">
        <f>regressions!$R$1*M201^2+regressions!$R$2*M201^6</f>
        <v>-0.76328287564816788</v>
      </c>
      <c r="T201">
        <f>regressions!$P$1*M201^2+regressions!$P$2*M201^7</f>
        <v>-0.73899263934432269</v>
      </c>
      <c r="U201">
        <f>regressions!$T$2+regressions!$T$1*EXP(M201)</f>
        <v>-5.0298939498273777E-2</v>
      </c>
      <c r="V201" s="8">
        <f>(1-EXP(-2*regressions!$X$1*M201))/2/EXP(-regressions!$X$1*M201)</f>
        <v>-0.91047035853062031</v>
      </c>
      <c r="X201" s="33">
        <v>1.8764889055190963</v>
      </c>
      <c r="Y201">
        <f t="shared" si="53"/>
        <v>-1.0291993618823883</v>
      </c>
      <c r="Z201">
        <f>IF($B201&lt;=regressions!$L$2,$B201*regressions!$L$1,regressions!$L$1*regressions!$L$2+regressions!$L$3*($B201-regressions!$L$2))</f>
        <v>-1.6412171611035971</v>
      </c>
      <c r="AA201">
        <f>regressions!$J$1*X201+regressions!$J$2*X201^2</f>
        <v>-1.138481266563109</v>
      </c>
      <c r="AB201">
        <f>regressions!$V$1*X201</f>
        <v>-1.491395549042325</v>
      </c>
      <c r="AC201">
        <f>regressions!$N$1*X201^2</f>
        <v>-0.61355286210840199</v>
      </c>
      <c r="AD201">
        <f>regressions!$R$1*X201^2+regressions!$R$2*X201^6</f>
        <v>-0.6677892852239129</v>
      </c>
      <c r="AE201">
        <f>regressions!$P$1*X201^2+regressions!$P$2*X201^7</f>
        <v>-0.64642722184836576</v>
      </c>
      <c r="AF201">
        <f>regressions!$T$2+regressions!$T$1*EXP(X201)</f>
        <v>-4.3219280348736497E-2</v>
      </c>
      <c r="AG201" s="8">
        <f>(1-EXP(-2*regressions!$X$1*X201))/2/EXP(-regressions!$X$1*X201)</f>
        <v>-0.84020311402921188</v>
      </c>
      <c r="AH201" s="8"/>
      <c r="AI201" s="33">
        <v>1.7886877576568185</v>
      </c>
      <c r="AJ201">
        <f t="shared" si="54"/>
        <v>-0.94843474082027157</v>
      </c>
      <c r="AK201">
        <f>IF(AI201&lt;=regressions!$L$2,AI201*regressions!$L$1,regressions!$L$1*regressions!$L$2+regressions!$L$3*(AI201-regressions!$L$2))</f>
        <v>-1.421612962921746</v>
      </c>
      <c r="AL201">
        <f>regressions!$J$1*AI201+regressions!$J$2*AI201^2</f>
        <v>-1.0723754635209648</v>
      </c>
      <c r="AM201">
        <f>regressions!$V$1*AI201</f>
        <v>-1.4216129669351401</v>
      </c>
      <c r="AN201">
        <f>regressions!$N$1*AI201^2</f>
        <v>-0.55747969447095524</v>
      </c>
      <c r="AO201">
        <f>regressions!$R$1*AI201^2+regressions!$R$2*AI201^6</f>
        <v>-0.60683556271570005</v>
      </c>
      <c r="AP201">
        <f>regressions!$P$1*AI201^2+regressions!$P$2*AI201^7</f>
        <v>-0.58736526461479666</v>
      </c>
      <c r="AQ201">
        <f>regressions!$T$2+regressions!$T$1*EXP(AI201)</f>
        <v>-3.8929519788904174E-2</v>
      </c>
      <c r="AR201" s="8">
        <f>(1-EXP(-2*regressions!$X$1*AI201))/2/EXP(-regressions!$X$1*AI201)</f>
        <v>-0.79405411099869239</v>
      </c>
      <c r="AT201" s="33">
        <v>1.561369101900552</v>
      </c>
      <c r="AU201">
        <f t="shared" si="55"/>
        <v>-0.79698595435003994</v>
      </c>
      <c r="AV201">
        <f>IF(AT201&lt;=regressions!$L$2,AT201*regressions!$L$1,regressions!$L$1*regressions!$L$2+regressions!$L$3*(AT201-regressions!$L$2))</f>
        <v>-1.2409446789500409</v>
      </c>
      <c r="AW201">
        <f>regressions!$J$1*AT201+regressions!$J$2*AT201^2</f>
        <v>-0.90708119363239881</v>
      </c>
      <c r="AX201">
        <f>regressions!$V$1*AT201</f>
        <v>-1.2409446824533854</v>
      </c>
      <c r="AY201">
        <f>regressions!$N$1*AT201^2</f>
        <v>-0.42478693012720181</v>
      </c>
      <c r="AZ201">
        <f>regressions!$R$1*AT201^2+regressions!$R$2*AT201^6</f>
        <v>-0.46251018184518516</v>
      </c>
      <c r="BA201">
        <f>regressions!$P$1*AT201^2+regressions!$P$2*AT201^7</f>
        <v>-0.44758075205368963</v>
      </c>
      <c r="BB201">
        <f>regressions!$T$2+regressions!$T$1*EXP(AT201)</f>
        <v>-2.942487881573419E-2</v>
      </c>
      <c r="BC201" s="8">
        <f>(1-EXP(-2*regressions!$X$1*AT201))/2/EXP(-regressions!$X$1*AT201)</f>
        <v>-0.67914401241866063</v>
      </c>
      <c r="BE201">
        <f t="shared" si="56"/>
        <v>3.6788579918170639E-2</v>
      </c>
      <c r="BF201">
        <f t="shared" si="47"/>
        <v>0.11607249866115565</v>
      </c>
      <c r="BG201">
        <f t="shared" si="48"/>
        <v>0.19683711972327234</v>
      </c>
      <c r="BH201">
        <f>BG201+regressions!$AR$1*(AI201-B201)</f>
        <v>-9.4207392366489562E-2</v>
      </c>
      <c r="BI201">
        <f>BG201-regressions!$AO$1*(AI201-B201)</f>
        <v>0.59223199436005414</v>
      </c>
      <c r="BJ201">
        <f t="shared" si="49"/>
        <v>0.34828590619350397</v>
      </c>
      <c r="BK201">
        <f>BJ201+regressions!$AR$1*(AT201-B201)</f>
        <v>-0.18220080688321993</v>
      </c>
      <c r="BL201">
        <f>BJ201-regressions!$AO$1*(AT201-B201)</f>
        <v>1.0689719823795396</v>
      </c>
      <c r="BM201">
        <f t="shared" si="57"/>
        <v>7.9283918742985016E-2</v>
      </c>
      <c r="BN201">
        <f t="shared" si="50"/>
        <v>0.1600485398051017</v>
      </c>
      <c r="BO201">
        <f t="shared" si="51"/>
        <v>0.31149732627533333</v>
      </c>
      <c r="BP201">
        <f t="shared" si="58"/>
        <v>8.0764621062116682E-2</v>
      </c>
      <c r="BQ201">
        <f t="shared" si="59"/>
        <v>0.23221340753234831</v>
      </c>
      <c r="BR201">
        <f t="shared" si="60"/>
        <v>0.15144878647023163</v>
      </c>
    </row>
    <row r="202" spans="1:70" x14ac:dyDescent="0.35">
      <c r="A202">
        <f t="shared" si="46"/>
        <v>2049</v>
      </c>
      <c r="B202" s="33">
        <v>2.1041161244416551</v>
      </c>
      <c r="C202">
        <f t="shared" si="45"/>
        <v>-1.1742865724312823</v>
      </c>
      <c r="D202">
        <f>IF($B202&lt;=regressions!$L$2,$B202*regressions!$L$1,regressions!$L$1*regressions!$L$2+regressions!$L$3*($B202-regressions!$L$2))</f>
        <v>-1.6723090685863731</v>
      </c>
      <c r="E202">
        <f>regressions!$J$1*B202+regressions!$J$2*B202^2</f>
        <v>-1.3157310857062168</v>
      </c>
      <c r="F202">
        <f>regressions!$V$1*B202</f>
        <v>-1.6723090733075141</v>
      </c>
      <c r="G202">
        <f>regressions!$N$1*B202^2</f>
        <v>-0.77143509651163122</v>
      </c>
      <c r="H202">
        <f>regressions!$R$1*B202^2+regressions!$R$2*B202^6</f>
        <v>-0.83927691785830805</v>
      </c>
      <c r="I202">
        <f>regressions!$P$1*B202^2+regressions!$P$2*B202^7</f>
        <v>-0.81269040946174587</v>
      </c>
      <c r="J202">
        <f>regressions!$T$2+regressions!$T$1*EXP(B202)</f>
        <v>-5.6264432933244575E-2</v>
      </c>
      <c r="K202" s="8">
        <f>(1-EXP(-2*regressions!$X$1*B202))/2/EXP(-regressions!$X$1*B202)</f>
        <v>-0.96499283848923756</v>
      </c>
      <c r="M202" s="33">
        <v>2.0396320919098065</v>
      </c>
      <c r="N202">
        <f t="shared" si="52"/>
        <v>-1.1333671935805294</v>
      </c>
      <c r="O202">
        <f>IF($B202&lt;=regressions!$L$2,$B202*regressions!$L$1,regressions!$L$1*regressions!$L$2+regressions!$L$3*($B202-regressions!$L$2))</f>
        <v>-1.6723090685863731</v>
      </c>
      <c r="P202">
        <f>regressions!$J$1*M202+regressions!$J$2*M202^2</f>
        <v>-1.2646585147588127</v>
      </c>
      <c r="Q202">
        <f>regressions!$V$1*M202</f>
        <v>-1.621058464354036</v>
      </c>
      <c r="R202">
        <f>regressions!$N$1*M202^2</f>
        <v>-0.72487589415399267</v>
      </c>
      <c r="S202">
        <f>regressions!$R$1*M202^2+regressions!$R$2*M202^6</f>
        <v>-0.78872825937166591</v>
      </c>
      <c r="T202">
        <f>regressions!$P$1*M202^2+regressions!$P$2*M202^7</f>
        <v>-0.76366565133637343</v>
      </c>
      <c r="U202">
        <f>regressions!$T$2+regressions!$T$1*EXP(M202)</f>
        <v>-5.2262762756088939E-2</v>
      </c>
      <c r="V202" s="8">
        <f>(1-EXP(-2*regressions!$X$1*M202))/2/EXP(-regressions!$X$1*M202)</f>
        <v>-0.92884774015804594</v>
      </c>
      <c r="X202" s="33">
        <v>1.8978486462191957</v>
      </c>
      <c r="Y202">
        <f t="shared" si="53"/>
        <v>-1.0461185456925339</v>
      </c>
      <c r="Z202">
        <f>IF($B202&lt;=regressions!$L$2,$B202*regressions!$L$1,regressions!$L$1*regressions!$L$2+regressions!$L$3*($B202-regressions!$L$2))</f>
        <v>-1.6723090685863731</v>
      </c>
      <c r="AA202">
        <f>regressions!$J$1*X202+regressions!$J$2*X202^2</f>
        <v>-1.1547536662636841</v>
      </c>
      <c r="AB202">
        <f>regressions!$V$1*X202</f>
        <v>-1.5083718403036976</v>
      </c>
      <c r="AC202">
        <f>regressions!$N$1*X202^2</f>
        <v>-0.62760028634467224</v>
      </c>
      <c r="AD202">
        <f>regressions!$R$1*X202^2+regressions!$R$2*X202^6</f>
        <v>-0.68305569768551955</v>
      </c>
      <c r="AE202">
        <f>regressions!$P$1*X202^2+regressions!$P$2*X202^7</f>
        <v>-0.66122250333986021</v>
      </c>
      <c r="AF202">
        <f>regressions!$T$2+regressions!$T$1*EXP(X202)</f>
        <v>-4.4321077348355928E-2</v>
      </c>
      <c r="AG202" s="8">
        <f>(1-EXP(-2*regressions!$X$1*X202))/2/EXP(-regressions!$X$1*X202)</f>
        <v>-0.85158997704880712</v>
      </c>
      <c r="AH202" s="8"/>
      <c r="AI202" s="33">
        <v>1.8032515046478492</v>
      </c>
      <c r="AJ202">
        <f t="shared" si="54"/>
        <v>-0.95845831035906026</v>
      </c>
      <c r="AK202">
        <f>IF(AI202&lt;=regressions!$L$2,AI202*regressions!$L$1,regressions!$L$1*regressions!$L$2+regressions!$L$3*(AI202-regressions!$L$2))</f>
        <v>-1.4331879353687447</v>
      </c>
      <c r="AL202">
        <f>regressions!$J$1*AI202+regressions!$J$2*AI202^2</f>
        <v>-1.0832533838509784</v>
      </c>
      <c r="AM202">
        <f>regressions!$V$1*AI202</f>
        <v>-1.4331879394148166</v>
      </c>
      <c r="AN202">
        <f>regressions!$N$1*AI202^2</f>
        <v>-0.56659480825164632</v>
      </c>
      <c r="AO202">
        <f>regressions!$R$1*AI202^2+regressions!$R$2*AI202^6</f>
        <v>-0.61674559472844004</v>
      </c>
      <c r="AP202">
        <f>regressions!$P$1*AI202^2+regressions!$P$2*AI202^7</f>
        <v>-0.5969665969720489</v>
      </c>
      <c r="AQ202">
        <f>regressions!$T$2+regressions!$T$1*EXP(AI202)</f>
        <v>-3.9615271707981632E-2</v>
      </c>
      <c r="AR202" s="8">
        <f>(1-EXP(-2*regressions!$X$1*AI202))/2/EXP(-regressions!$X$1*AI202)</f>
        <v>-0.80163720774770708</v>
      </c>
      <c r="AT202" s="33">
        <v>1.5653858341417544</v>
      </c>
      <c r="AU202">
        <f t="shared" si="55"/>
        <v>-0.79958091286722022</v>
      </c>
      <c r="AV202">
        <f>IF(AT202&lt;=regressions!$L$2,AT202*regressions!$L$1,regressions!$L$1*regressions!$L$2+regressions!$L$3*(AT202-regressions!$L$2))</f>
        <v>-1.2441370967424896</v>
      </c>
      <c r="AW202">
        <f>regressions!$J$1*AT202+regressions!$J$2*AT202^2</f>
        <v>-0.90992864159293196</v>
      </c>
      <c r="AX202">
        <f>regressions!$V$1*AT202</f>
        <v>-1.2441371002548469</v>
      </c>
      <c r="AY202">
        <f>regressions!$N$1*AT202^2</f>
        <v>-0.42697533014995781</v>
      </c>
      <c r="AZ202">
        <f>regressions!$R$1*AT202^2+regressions!$R$2*AT202^6</f>
        <v>-0.46489126707713746</v>
      </c>
      <c r="BA202">
        <f>regressions!$P$1*AT202^2+regressions!$P$2*AT202^7</f>
        <v>-0.44988629064642344</v>
      </c>
      <c r="BB202">
        <f>regressions!$T$2+regressions!$T$1*EXP(AT202)</f>
        <v>-2.9574760908781687E-2</v>
      </c>
      <c r="BC202" s="8">
        <f>(1-EXP(-2*regressions!$X$1*AT202))/2/EXP(-regressions!$X$1*AT202)</f>
        <v>-0.6811211671916455</v>
      </c>
      <c r="BE202">
        <f t="shared" si="56"/>
        <v>4.0919378850752919E-2</v>
      </c>
      <c r="BF202">
        <f t="shared" si="47"/>
        <v>0.12816802673874839</v>
      </c>
      <c r="BG202">
        <f t="shared" si="48"/>
        <v>0.21582826207222205</v>
      </c>
      <c r="BH202">
        <f>BG202+regressions!$AR$1*(AI202-B202)</f>
        <v>-0.10108231670480583</v>
      </c>
      <c r="BI202">
        <f>BG202-regressions!$AO$1*(AI202-B202)</f>
        <v>0.64636315746295625</v>
      </c>
      <c r="BJ202">
        <f t="shared" si="49"/>
        <v>0.3747056595640621</v>
      </c>
      <c r="BK202">
        <f>BJ202+regressions!$AR$1*(AT202-B202)</f>
        <v>-0.19275663700196544</v>
      </c>
      <c r="BL202">
        <f>BJ202-regressions!$AO$1*(AT202-B202)</f>
        <v>1.1456244513350806</v>
      </c>
      <c r="BM202">
        <f t="shared" si="57"/>
        <v>8.7248647887995467E-2</v>
      </c>
      <c r="BN202">
        <f t="shared" si="50"/>
        <v>0.17490888322146914</v>
      </c>
      <c r="BO202">
        <f t="shared" si="51"/>
        <v>0.33378628071330918</v>
      </c>
      <c r="BP202">
        <f t="shared" si="58"/>
        <v>8.7660235333473668E-2</v>
      </c>
      <c r="BQ202">
        <f t="shared" si="59"/>
        <v>0.24653763282531371</v>
      </c>
      <c r="BR202">
        <f t="shared" si="60"/>
        <v>0.15887739749184004</v>
      </c>
    </row>
    <row r="203" spans="1:70" x14ac:dyDescent="0.35">
      <c r="A203">
        <f t="shared" si="46"/>
        <v>2050</v>
      </c>
      <c r="B203" s="33">
        <v>2.1437433365850058</v>
      </c>
      <c r="C203">
        <f t="shared" si="45"/>
        <v>-1.2039698588551506</v>
      </c>
      <c r="D203">
        <f>IF($B203&lt;=regressions!$L$2,$B203*regressions!$L$1,regressions!$L$1*regressions!$L$2+regressions!$L$3*($B203-regressions!$L$2))</f>
        <v>-1.7038039777600322</v>
      </c>
      <c r="E203">
        <f>regressions!$J$1*B203+regressions!$J$2*B203^2</f>
        <v>-1.3474537878607711</v>
      </c>
      <c r="F203">
        <f>regressions!$V$1*B203</f>
        <v>-1.7038039825700872</v>
      </c>
      <c r="G203">
        <f>regressions!$N$1*B203^2</f>
        <v>-0.80076587864189019</v>
      </c>
      <c r="H203">
        <f>regressions!$R$1*B203^2+regressions!$R$2*B203^6</f>
        <v>-0.87111028923748501</v>
      </c>
      <c r="I203">
        <f>regressions!$P$1*B203^2+regressions!$P$2*B203^7</f>
        <v>-0.84357149940147425</v>
      </c>
      <c r="J203">
        <f>regressions!$T$2+regressions!$T$1*EXP(B203)</f>
        <v>-5.8854692371055319E-2</v>
      </c>
      <c r="K203" s="8">
        <f>(1-EXP(-2*regressions!$X$1*B203))/2/EXP(-regressions!$X$1*B203)</f>
        <v>-0.98753317111960259</v>
      </c>
      <c r="M203" s="33">
        <v>2.07302847773955</v>
      </c>
      <c r="N203">
        <f t="shared" si="52"/>
        <v>-1.1586130767918461</v>
      </c>
      <c r="O203">
        <f>IF($B203&lt;=regressions!$L$2,$B203*regressions!$L$1,regressions!$L$1*regressions!$L$2+regressions!$L$3*($B203-regressions!$L$2))</f>
        <v>-1.7038039777600322</v>
      </c>
      <c r="P203">
        <f>regressions!$J$1*M203+regressions!$J$2*M203^2</f>
        <v>-1.2910242259483609</v>
      </c>
      <c r="Q203">
        <f>regressions!$V$1*M203</f>
        <v>-1.6476012384861332</v>
      </c>
      <c r="R203">
        <f>regressions!$N$1*M203^2</f>
        <v>-0.74880807750481981</v>
      </c>
      <c r="S203">
        <f>regressions!$R$1*M203^2+regressions!$R$2*M203^6</f>
        <v>-0.81471361723278746</v>
      </c>
      <c r="T203">
        <f>regressions!$P$1*M203^2+regressions!$P$2*M203^7</f>
        <v>-0.78886585472196247</v>
      </c>
      <c r="U203">
        <f>regressions!$T$2+regressions!$T$1*EXP(M203)</f>
        <v>-5.430301054183876E-2</v>
      </c>
      <c r="V203" s="8">
        <f>(1-EXP(-2*regressions!$X$1*M203))/2/EXP(-regressions!$X$1*M203)</f>
        <v>-0.94748590254472564</v>
      </c>
      <c r="X203" s="33">
        <v>1.9188115664670196</v>
      </c>
      <c r="Y203">
        <f t="shared" si="53"/>
        <v>-1.0629344994770142</v>
      </c>
      <c r="Z203">
        <f>IF($B203&lt;=regressions!$L$2,$B203*regressions!$L$1,regressions!$L$1*regressions!$L$2+regressions!$L$3*($B203-regressions!$L$2))</f>
        <v>-1.7038039777600322</v>
      </c>
      <c r="AA203">
        <f>regressions!$J$1*X203+regressions!$J$2*X203^2</f>
        <v>-1.1707962722832141</v>
      </c>
      <c r="AB203">
        <f>regressions!$V$1*X203</f>
        <v>-1.5250327466701465</v>
      </c>
      <c r="AC203">
        <f>regressions!$N$1*X203^2</f>
        <v>-0.6415413292533847</v>
      </c>
      <c r="AD203">
        <f>regressions!$R$1*X203^2+regressions!$R$2*X203^6</f>
        <v>-0.69820496898997109</v>
      </c>
      <c r="AE203">
        <f>regressions!$P$1*X203^2+regressions!$P$2*X203^7</f>
        <v>-0.67590536124824541</v>
      </c>
      <c r="AF203">
        <f>regressions!$T$2+regressions!$T$1*EXP(X203)</f>
        <v>-4.542553059559485E-2</v>
      </c>
      <c r="AG203" s="8">
        <f>(1-EXP(-2*regressions!$X$1*X203))/2/EXP(-regressions!$X$1*X203)</f>
        <v>-0.86282787135208838</v>
      </c>
      <c r="AH203" s="8"/>
      <c r="AI203" s="33">
        <v>1.8172353820638134</v>
      </c>
      <c r="AJ203">
        <f t="shared" si="54"/>
        <v>-0.96811934993072712</v>
      </c>
      <c r="AK203">
        <f>IF(AI203&lt;=regressions!$L$2,AI203*regressions!$L$1,regressions!$L$1*regressions!$L$2+regressions!$L$3*(AI203-regressions!$L$2))</f>
        <v>-1.4443020391698944</v>
      </c>
      <c r="AL203">
        <f>regressions!$J$1*AI203+regressions!$J$2*AI203^2</f>
        <v>-1.093730817807947</v>
      </c>
      <c r="AM203">
        <f>regressions!$V$1*AI203</f>
        <v>-1.4443020432473426</v>
      </c>
      <c r="AN203">
        <f>regressions!$N$1*AI203^2</f>
        <v>-0.57541655470061148</v>
      </c>
      <c r="AO203">
        <f>regressions!$R$1*AI203^2+regressions!$R$2*AI203^6</f>
        <v>-0.62633611568423431</v>
      </c>
      <c r="AP203">
        <f>regressions!$P$1*AI203^2+regressions!$P$2*AI203^7</f>
        <v>-0.60625878147221512</v>
      </c>
      <c r="AQ203">
        <f>regressions!$T$2+regressions!$T$1*EXP(AI203)</f>
        <v>-4.0283185255775768E-2</v>
      </c>
      <c r="AR203" s="8">
        <f>(1-EXP(-2*regressions!$X$1*AI203))/2/EXP(-regressions!$X$1*AI203)</f>
        <v>-0.80894487999994413</v>
      </c>
      <c r="AT203" s="33">
        <v>1.5689857146099784</v>
      </c>
      <c r="AU203">
        <f t="shared" si="55"/>
        <v>-0.801909036686548</v>
      </c>
      <c r="AV203">
        <f>IF(AT203&lt;=regressions!$L$2,AT203*regressions!$L$1,regressions!$L$1*regressions!$L$2+regressions!$L$3*(AT203-regressions!$L$2))</f>
        <v>-1.2469982091511194</v>
      </c>
      <c r="AW203">
        <f>regressions!$J$1*AT203+regressions!$J$2*AT203^2</f>
        <v>-0.91248282577273598</v>
      </c>
      <c r="AX203">
        <f>regressions!$V$1*AT203</f>
        <v>-1.246998212671554</v>
      </c>
      <c r="AY203">
        <f>regressions!$N$1*AT203^2</f>
        <v>-0.42894139818014365</v>
      </c>
      <c r="AZ203">
        <f>regressions!$R$1*AT203^2+regressions!$R$2*AT203^6</f>
        <v>-0.46703042256673932</v>
      </c>
      <c r="BA203">
        <f>regressions!$P$1*AT203^2+regressions!$P$2*AT203^7</f>
        <v>-0.45195759202583147</v>
      </c>
      <c r="BB203">
        <f>regressions!$T$2+regressions!$T$1*EXP(AT203)</f>
        <v>-2.9709600931332451E-2</v>
      </c>
      <c r="BC203" s="8">
        <f>(1-EXP(-2*regressions!$X$1*AT203))/2/EXP(-regressions!$X$1*AT203)</f>
        <v>-0.68289468189281821</v>
      </c>
      <c r="BE203">
        <f t="shared" si="56"/>
        <v>4.5356782063304513E-2</v>
      </c>
      <c r="BF203">
        <f t="shared" si="47"/>
        <v>0.14103535937813638</v>
      </c>
      <c r="BG203">
        <f t="shared" si="48"/>
        <v>0.2358505089244235</v>
      </c>
      <c r="BH203">
        <f>BG203+regressions!$AR$1*(AI203-B203)</f>
        <v>-0.1080710359668608</v>
      </c>
      <c r="BI203">
        <f>BG203-regressions!$AO$1*(AI203-B203)</f>
        <v>0.70308081383818943</v>
      </c>
      <c r="BJ203">
        <f t="shared" si="49"/>
        <v>0.40206082216860262</v>
      </c>
      <c r="BK203">
        <f>BJ203+regressions!$AR$1*(AT203-B203)</f>
        <v>-0.20335024531233403</v>
      </c>
      <c r="BL203">
        <f>BJ203-regressions!$AO$1*(AT203-B203)</f>
        <v>1.2245344411060333</v>
      </c>
      <c r="BM203">
        <f t="shared" si="57"/>
        <v>9.567857731483187E-2</v>
      </c>
      <c r="BN203">
        <f t="shared" si="50"/>
        <v>0.19049372686111898</v>
      </c>
      <c r="BO203">
        <f t="shared" si="51"/>
        <v>0.3567040401052981</v>
      </c>
      <c r="BP203">
        <f t="shared" si="58"/>
        <v>9.4815149546287114E-2</v>
      </c>
      <c r="BQ203">
        <f t="shared" si="59"/>
        <v>0.26102546279046623</v>
      </c>
      <c r="BR203">
        <f t="shared" si="60"/>
        <v>0.16621031324417912</v>
      </c>
    </row>
    <row r="204" spans="1:70" x14ac:dyDescent="0.35">
      <c r="A204">
        <f t="shared" si="46"/>
        <v>2051</v>
      </c>
      <c r="B204" s="33">
        <v>2.1838805748041268</v>
      </c>
      <c r="C204">
        <f t="shared" si="45"/>
        <v>-1.2343361909737376</v>
      </c>
      <c r="D204">
        <f>IF($B204&lt;=regressions!$L$2,$B204*regressions!$L$1,regressions!$L$1*regressions!$L$2+regressions!$L$3*($B204-regressions!$L$2))</f>
        <v>-1.735704245374615</v>
      </c>
      <c r="E204">
        <f>regressions!$J$1*B204+regressions!$J$2*B204^2</f>
        <v>-1.3798464515535895</v>
      </c>
      <c r="F204">
        <f>regressions!$V$1*B204</f>
        <v>-1.7357042502747286</v>
      </c>
      <c r="G204">
        <f>regressions!$N$1*B204^2</f>
        <v>-0.83103201483712785</v>
      </c>
      <c r="H204">
        <f>regressions!$R$1*B204^2+regressions!$R$2*B204^6</f>
        <v>-0.90394980274653469</v>
      </c>
      <c r="I204">
        <f>regressions!$P$1*B204^2+regressions!$P$2*B204^7</f>
        <v>-0.8754348573957087</v>
      </c>
      <c r="J204">
        <f>regressions!$T$2+regressions!$T$1*EXP(B204)</f>
        <v>-6.1585044100828677E-2</v>
      </c>
      <c r="K204" s="8">
        <f>(1-EXP(-2*regressions!$X$1*B204))/2/EXP(-regressions!$X$1*B204)</f>
        <v>-1.0106255181538546</v>
      </c>
      <c r="M204" s="33">
        <v>2.1065839744081032</v>
      </c>
      <c r="N204">
        <f t="shared" si="52"/>
        <v>-1.1842229626076572</v>
      </c>
      <c r="O204">
        <f>IF($B204&lt;=regressions!$L$2,$B204*regressions!$L$1,regressions!$L$1*regressions!$L$2+regressions!$L$3*($B204-regressions!$L$2))</f>
        <v>-1.735704245374615</v>
      </c>
      <c r="P204">
        <f>regressions!$J$1*M204+regressions!$J$2*M204^2</f>
        <v>-1.3176991740306954</v>
      </c>
      <c r="Q204">
        <f>regressions!$V$1*M204</f>
        <v>-1.6742704707049834</v>
      </c>
      <c r="R204">
        <f>regressions!$N$1*M204^2</f>
        <v>-0.77324574042008454</v>
      </c>
      <c r="S204">
        <f>regressions!$R$1*M204^2+regressions!$R$2*M204^6</f>
        <v>-0.84124229443307275</v>
      </c>
      <c r="T204">
        <f>regressions!$P$1*M204^2+regressions!$P$2*M204^7</f>
        <v>-0.81459682401480649</v>
      </c>
      <c r="U204">
        <f>regressions!$T$2+regressions!$T$1*EXP(M204)</f>
        <v>-5.6422765823576103E-2</v>
      </c>
      <c r="V204" s="8">
        <f>(1-EXP(-2*regressions!$X$1*M204))/2/EXP(-regressions!$X$1*M204)</f>
        <v>-0.96638918452840605</v>
      </c>
      <c r="X204" s="33">
        <v>1.9393756957794321</v>
      </c>
      <c r="Y204">
        <f t="shared" si="53"/>
        <v>-1.0796418530068208</v>
      </c>
      <c r="Z204">
        <f>IF($B204&lt;=regressions!$L$2,$B204*regressions!$L$1,regressions!$L$1*regressions!$L$2+regressions!$L$3*($B204-regressions!$L$2))</f>
        <v>-1.735704245374615</v>
      </c>
      <c r="AA204">
        <f>regressions!$J$1*X204+regressions!$J$2*X204^2</f>
        <v>-1.1866034872407665</v>
      </c>
      <c r="AB204">
        <f>regressions!$V$1*X204</f>
        <v>-1.5413767020414035</v>
      </c>
      <c r="AC204">
        <f>regressions!$N$1*X204^2</f>
        <v>-0.6553659623263226</v>
      </c>
      <c r="AD204">
        <f>regressions!$R$1*X204^2+regressions!$R$2*X204^6</f>
        <v>-0.71322620458514296</v>
      </c>
      <c r="AE204">
        <f>regressions!$P$1*X204^2+regressions!$P$2*X204^7</f>
        <v>-0.69046523000182003</v>
      </c>
      <c r="AF204">
        <f>regressions!$T$2+regressions!$T$1*EXP(X204)</f>
        <v>-4.6531703624261296E-2</v>
      </c>
      <c r="AG204" s="8">
        <f>(1-EXP(-2*regressions!$X$1*X204))/2/EXP(-regressions!$X$1*X204)</f>
        <v>-0.87391300649820758</v>
      </c>
      <c r="AH204" s="8"/>
      <c r="AI204" s="33">
        <v>1.8306478093429757</v>
      </c>
      <c r="AJ204">
        <f t="shared" si="54"/>
        <v>-0.97741928673543532</v>
      </c>
      <c r="AK204">
        <f>IF(AI204&lt;=regressions!$L$2,AI204*regressions!$L$1,regressions!$L$1*regressions!$L$2+regressions!$L$3*(AI204-regressions!$L$2))</f>
        <v>-1.4549619659249589</v>
      </c>
      <c r="AL204">
        <f>regressions!$J$1*AI204+regressions!$J$2*AI204^2</f>
        <v>-1.1038101251735513</v>
      </c>
      <c r="AM204">
        <f>regressions!$V$1*AI204</f>
        <v>-1.4549619700325014</v>
      </c>
      <c r="AN204">
        <f>regressions!$N$1*AI204^2</f>
        <v>-0.58394182756011004</v>
      </c>
      <c r="AO204">
        <f>regressions!$R$1*AI204^2+regressions!$R$2*AI204^6</f>
        <v>-0.63560379567774672</v>
      </c>
      <c r="AP204">
        <f>regressions!$P$1*AI204^2+regressions!$P$2*AI204^7</f>
        <v>-0.6152385563165963</v>
      </c>
      <c r="AQ204">
        <f>regressions!$T$2+regressions!$T$1*EXP(AI204)</f>
        <v>-4.0932639820183463E-2</v>
      </c>
      <c r="AR204" s="8">
        <f>(1-EXP(-2*regressions!$X$1*AI204))/2/EXP(-regressions!$X$1*AI204)</f>
        <v>-0.81597854269623349</v>
      </c>
      <c r="AT204" s="33">
        <v>1.5721898342358285</v>
      </c>
      <c r="AU204">
        <f t="shared" si="55"/>
        <v>-0.80398317514657225</v>
      </c>
      <c r="AV204">
        <f>IF(AT204&lt;=regressions!$L$2,AT204*regressions!$L$1,regressions!$L$1*regressions!$L$2+regressions!$L$3*(AT204-regressions!$L$2))</f>
        <v>-1.2495447788222998</v>
      </c>
      <c r="AW204">
        <f>regressions!$J$1*AT204+regressions!$J$2*AT204^2</f>
        <v>-0.91475799190492757</v>
      </c>
      <c r="AX204">
        <f>regressions!$V$1*AT204</f>
        <v>-1.2495447823499235</v>
      </c>
      <c r="AY204">
        <f>regressions!$N$1*AT204^2</f>
        <v>-0.43069512084416189</v>
      </c>
      <c r="AZ204">
        <f>regressions!$R$1*AT204^2+regressions!$R$2*AT204^6</f>
        <v>-0.468938520899703</v>
      </c>
      <c r="BA204">
        <f>regressions!$P$1*AT204^2+regressions!$P$2*AT204^7</f>
        <v>-0.45380517872412846</v>
      </c>
      <c r="BB204">
        <f>regressions!$T$2+regressions!$T$1*EXP(AT204)</f>
        <v>-2.9830025993497822E-2</v>
      </c>
      <c r="BC204" s="8">
        <f>(1-EXP(-2*regressions!$X$1*AT204))/2/EXP(-regressions!$X$1*AT204)</f>
        <v>-0.68447445434577614</v>
      </c>
      <c r="BE204">
        <f t="shared" si="56"/>
        <v>5.0113228366080342E-2</v>
      </c>
      <c r="BF204">
        <f t="shared" si="47"/>
        <v>0.15469433796691678</v>
      </c>
      <c r="BG204">
        <f t="shared" si="48"/>
        <v>0.25691690423830227</v>
      </c>
      <c r="BH204">
        <f>BG204+regressions!$AR$1*(AI204-B204)</f>
        <v>-0.11515476115732498</v>
      </c>
      <c r="BI204">
        <f>BG204-regressions!$AO$1*(AI204-B204)</f>
        <v>0.76239020259628831</v>
      </c>
      <c r="BJ204">
        <f t="shared" si="49"/>
        <v>0.43035301582716534</v>
      </c>
      <c r="BK204">
        <f>BJ204+regressions!$AR$1*(AT204-B204)</f>
        <v>-0.21396091765860636</v>
      </c>
      <c r="BL204">
        <f>BJ204-regressions!$AO$1*(AT204-B204)</f>
        <v>1.3056776358590585</v>
      </c>
      <c r="BM204">
        <f t="shared" si="57"/>
        <v>0.10458110960083644</v>
      </c>
      <c r="BN204">
        <f t="shared" si="50"/>
        <v>0.20680367587222193</v>
      </c>
      <c r="BO204">
        <f t="shared" si="51"/>
        <v>0.380239787461085</v>
      </c>
      <c r="BP204">
        <f t="shared" si="58"/>
        <v>0.10222256627138548</v>
      </c>
      <c r="BQ204">
        <f t="shared" si="59"/>
        <v>0.27565867786024856</v>
      </c>
      <c r="BR204">
        <f t="shared" si="60"/>
        <v>0.17343611158886307</v>
      </c>
    </row>
    <row r="205" spans="1:70" x14ac:dyDescent="0.35">
      <c r="A205">
        <f t="shared" si="46"/>
        <v>2052</v>
      </c>
      <c r="B205" s="33">
        <v>2.2245307142258084</v>
      </c>
      <c r="C205">
        <f t="shared" si="45"/>
        <v>-1.2654002811222997</v>
      </c>
      <c r="D205">
        <f>IF($B205&lt;=regressions!$L$2,$B205*regressions!$L$1,regressions!$L$1*regressions!$L$2+regressions!$L$3*($B205-regressions!$L$2))</f>
        <v>-1.7680121565229208</v>
      </c>
      <c r="E205">
        <f>regressions!$J$1*B205+regressions!$J$2*B205^2</f>
        <v>-1.4129214646814967</v>
      </c>
      <c r="F205">
        <f>regressions!$V$1*B205</f>
        <v>-1.7680121615142437</v>
      </c>
      <c r="G205">
        <f>regressions!$N$1*B205^2</f>
        <v>-0.8622571358086577</v>
      </c>
      <c r="H205">
        <f>regressions!$R$1*B205^2+regressions!$R$2*B205^6</f>
        <v>-0.93781987520858179</v>
      </c>
      <c r="I205">
        <f>regressions!$P$1*B205^2+regressions!$P$2*B205^7</f>
        <v>-0.90830496656284065</v>
      </c>
      <c r="J205">
        <f>regressions!$T$2+regressions!$T$1*EXP(B205)</f>
        <v>-6.4464276076349331E-2</v>
      </c>
      <c r="K205" s="8">
        <f>(1-EXP(-2*regressions!$X$1*B205))/2/EXP(-regressions!$X$1*B205)</f>
        <v>-1.0342878925404555</v>
      </c>
      <c r="M205" s="33">
        <v>2.1402958689524119</v>
      </c>
      <c r="N205">
        <f t="shared" si="52"/>
        <v>-1.2101989386566836</v>
      </c>
      <c r="O205">
        <f>IF($B205&lt;=regressions!$L$2,$B205*regressions!$L$1,regressions!$L$1*regressions!$L$2+regressions!$L$3*($B205-regressions!$L$2))</f>
        <v>-1.7680121565229208</v>
      </c>
      <c r="P205">
        <f>regressions!$J$1*M205+regressions!$J$2*M205^2</f>
        <v>-1.3446837982102022</v>
      </c>
      <c r="Q205">
        <f>regressions!$V$1*M205</f>
        <v>-1.7010640048022487</v>
      </c>
      <c r="R205">
        <f>regressions!$N$1*M205^2</f>
        <v>-0.79819244118284605</v>
      </c>
      <c r="S205">
        <f>regressions!$R$1*M205^2+regressions!$R$2*M205^6</f>
        <v>-0.86831761806582519</v>
      </c>
      <c r="T205">
        <f>regressions!$P$1*M205^2+regressions!$P$2*M205^7</f>
        <v>-0.84086213475272409</v>
      </c>
      <c r="U205">
        <f>regressions!$T$2+regressions!$T$1*EXP(M205)</f>
        <v>-5.8625247648173527E-2</v>
      </c>
      <c r="V205" s="8">
        <f>(1-EXP(-2*regressions!$X$1*M205))/2/EXP(-regressions!$X$1*M205)</f>
        <v>-0.98556210115312926</v>
      </c>
      <c r="X205" s="33">
        <v>1.9595397118710745</v>
      </c>
      <c r="Y205">
        <f t="shared" si="53"/>
        <v>-1.0962356681042535</v>
      </c>
      <c r="Z205">
        <f>IF($B205&lt;=regressions!$L$2,$B205*regressions!$L$1,regressions!$L$1*regressions!$L$2+regressions!$L$3*($B205-regressions!$L$2))</f>
        <v>-1.7680121565229208</v>
      </c>
      <c r="AA205">
        <f>regressions!$J$1*X205+regressions!$J$2*X205^2</f>
        <v>-1.2021702664760299</v>
      </c>
      <c r="AB205">
        <f>regressions!$V$1*X205</f>
        <v>-1.5574026554917246</v>
      </c>
      <c r="AC205">
        <f>regressions!$N$1*X205^2</f>
        <v>-0.66906470893018199</v>
      </c>
      <c r="AD205">
        <f>regressions!$R$1*X205^2+regressions!$R$2*X205^6</f>
        <v>-0.72810911528088651</v>
      </c>
      <c r="AE205">
        <f>regressions!$P$1*X205^2+regressions!$P$2*X205^7</f>
        <v>-0.70489212676127189</v>
      </c>
      <c r="AF205">
        <f>regressions!$T$2+regressions!$T$1*EXP(X205)</f>
        <v>-4.7638667589885983E-2</v>
      </c>
      <c r="AG205" s="8">
        <f>(1-EXP(-2*regressions!$X$1*X205))/2/EXP(-regressions!$X$1*X205)</f>
        <v>-0.88484190166756171</v>
      </c>
      <c r="AH205" s="8"/>
      <c r="AI205" s="33">
        <v>1.843497834137664</v>
      </c>
      <c r="AJ205">
        <f t="shared" si="54"/>
        <v>-0.98636024121646937</v>
      </c>
      <c r="AK205">
        <f>IF(AI205&lt;=regressions!$L$2,AI205*regressions!$L$1,regressions!$L$1*regressions!$L$2+regressions!$L$3*(AI205-regressions!$L$2))</f>
        <v>-1.465174906525573</v>
      </c>
      <c r="AL205">
        <f>regressions!$J$1*AI205+regressions!$J$2*AI205^2</f>
        <v>-1.1134943753996029</v>
      </c>
      <c r="AM205">
        <f>regressions!$V$1*AI205</f>
        <v>-1.465174910661948</v>
      </c>
      <c r="AN205">
        <f>regressions!$N$1*AI205^2</f>
        <v>-0.59216842635669653</v>
      </c>
      <c r="AO205">
        <f>regressions!$R$1*AI205^2+regressions!$R$2*AI205^6</f>
        <v>-0.64454628993422702</v>
      </c>
      <c r="AP205">
        <f>regressions!$P$1*AI205^2+regressions!$P$2*AI205^7</f>
        <v>-0.62390361406720574</v>
      </c>
      <c r="AQ205">
        <f>regressions!$T$2+regressions!$T$1*EXP(AI205)</f>
        <v>-4.1563085844740041E-2</v>
      </c>
      <c r="AR205" s="8">
        <f>(1-EXP(-2*regressions!$X$1*AI205))/2/EXP(-regressions!$X$1*AI205)</f>
        <v>-0.82274007991147036</v>
      </c>
      <c r="AT205" s="33">
        <v>1.5750182749045307</v>
      </c>
      <c r="AU205">
        <f t="shared" si="55"/>
        <v>-0.80581565953786538</v>
      </c>
      <c r="AV205">
        <f>IF(AT205&lt;=regressions!$L$2,AT205*regressions!$L$1,regressions!$L$1*regressions!$L$2+regressions!$L$3*(AT205-regressions!$L$2))</f>
        <v>-1.25179276643348</v>
      </c>
      <c r="AW205">
        <f>regressions!$J$1*AT205+regressions!$J$2*AT205^2</f>
        <v>-0.91676779229179672</v>
      </c>
      <c r="AX205">
        <f>regressions!$V$1*AT205</f>
        <v>-1.25179276996745</v>
      </c>
      <c r="AY205">
        <f>regressions!$N$1*AT205^2</f>
        <v>-0.43224619484751953</v>
      </c>
      <c r="AZ205">
        <f>regressions!$R$1*AT205^2+regressions!$R$2*AT205^6</f>
        <v>-0.47062611815664696</v>
      </c>
      <c r="BA205">
        <f>regressions!$P$1*AT205^2+regressions!$P$2*AT205^7</f>
        <v>-0.45543926762312353</v>
      </c>
      <c r="BB205">
        <f>regressions!$T$2+regressions!$T$1*EXP(AT205)</f>
        <v>-2.993665249084982E-2</v>
      </c>
      <c r="BC205" s="8">
        <f>(1-EXP(-2*regressions!$X$1*AT205))/2/EXP(-regressions!$X$1*AT205)</f>
        <v>-0.68586996776588915</v>
      </c>
      <c r="BE205">
        <f t="shared" si="56"/>
        <v>5.5201342465616143E-2</v>
      </c>
      <c r="BF205">
        <f t="shared" si="47"/>
        <v>0.16916461301804619</v>
      </c>
      <c r="BG205">
        <f t="shared" si="48"/>
        <v>0.27904003990583037</v>
      </c>
      <c r="BH205">
        <f>BG205+regressions!$AR$1*(AI205-B205)</f>
        <v>-0.12231439866048771</v>
      </c>
      <c r="BI205">
        <f>BG205-regressions!$AO$1*(AI205-B205)</f>
        <v>0.82429508279391683</v>
      </c>
      <c r="BJ205">
        <f t="shared" si="49"/>
        <v>0.45958462158443436</v>
      </c>
      <c r="BK205">
        <f>BJ205+regressions!$AR$1*(AT205-B205)</f>
        <v>-0.22456814855269114</v>
      </c>
      <c r="BL205">
        <f>BJ205-regressions!$AO$1*(AT205-B205)</f>
        <v>1.3890317939033778</v>
      </c>
      <c r="BM205">
        <f t="shared" si="57"/>
        <v>0.11396327055243005</v>
      </c>
      <c r="BN205">
        <f t="shared" si="50"/>
        <v>0.22383869744021423</v>
      </c>
      <c r="BO205">
        <f t="shared" si="51"/>
        <v>0.40438327911881822</v>
      </c>
      <c r="BP205">
        <f t="shared" si="58"/>
        <v>0.10987542688778418</v>
      </c>
      <c r="BQ205">
        <f t="shared" si="59"/>
        <v>0.29042000856638817</v>
      </c>
      <c r="BR205">
        <f t="shared" si="60"/>
        <v>0.18054458167860399</v>
      </c>
    </row>
    <row r="206" spans="1:70" x14ac:dyDescent="0.35">
      <c r="A206">
        <f t="shared" si="46"/>
        <v>2053</v>
      </c>
      <c r="B206" s="33">
        <v>2.2656965386688976</v>
      </c>
      <c r="C206">
        <f t="shared" si="45"/>
        <v>-1.2971770847349773</v>
      </c>
      <c r="D206">
        <f>IF($B206&lt;=regressions!$L$2,$B206*regressions!$L$1,regressions!$L$1*regressions!$L$2+regressions!$L$3*($B206-regressions!$L$2))</f>
        <v>-1.8007299237280365</v>
      </c>
      <c r="E206">
        <f>regressions!$J$1*B206+regressions!$J$2*B206^2</f>
        <v>-1.4466913448785481</v>
      </c>
      <c r="F206">
        <f>regressions!$V$1*B206</f>
        <v>-1.800729928811726</v>
      </c>
      <c r="G206">
        <f>regressions!$N$1*B206^2</f>
        <v>-0.89446523709576709</v>
      </c>
      <c r="H206">
        <f>regressions!$R$1*B206^2+regressions!$R$2*B206^6</f>
        <v>-0.9727451922143977</v>
      </c>
      <c r="I206">
        <f>regressions!$P$1*B206^2+regressions!$P$2*B206^7</f>
        <v>-0.94220664527860032</v>
      </c>
      <c r="J206">
        <f>regressions!$T$2+regressions!$T$1*EXP(B206)</f>
        <v>-6.7501790222402852E-2</v>
      </c>
      <c r="K206" s="8">
        <f>(1-EXP(-2*regressions!$X$1*B206))/2/EXP(-regressions!$X$1*B206)</f>
        <v>-1.0585390184372587</v>
      </c>
      <c r="M206" s="33">
        <v>2.1741616018684504</v>
      </c>
      <c r="N206">
        <f t="shared" si="52"/>
        <v>-1.2365431461295464</v>
      </c>
      <c r="O206">
        <f>IF($B206&lt;=regressions!$L$2,$B206*regressions!$L$1,regressions!$L$1*regressions!$L$2+regressions!$L$3*($B206-regressions!$L$2))</f>
        <v>-1.8007299237280365</v>
      </c>
      <c r="P206">
        <f>regressions!$J$1*M206+regressions!$J$2*M206^2</f>
        <v>-1.3719786141328218</v>
      </c>
      <c r="Q206">
        <f>regressions!$V$1*M206</f>
        <v>-1.7279798065357337</v>
      </c>
      <c r="R206">
        <f>regressions!$N$1*M206^2</f>
        <v>-0.82365175272843771</v>
      </c>
      <c r="S206">
        <f>regressions!$R$1*M206^2+regressions!$R$2*M206^6</f>
        <v>-0.89594289696979901</v>
      </c>
      <c r="T206">
        <f>regressions!$P$1*M206^2+regressions!$P$2*M206^7</f>
        <v>-0.86766536406610184</v>
      </c>
      <c r="U206">
        <f>regressions!$T$2+regressions!$T$1*EXP(M206)</f>
        <v>-6.0913817307056466E-2</v>
      </c>
      <c r="V206" s="8">
        <f>(1-EXP(-2*regressions!$X$1*M206))/2/EXP(-regressions!$X$1*M206)</f>
        <v>-1.0050093428025617</v>
      </c>
      <c r="X206" s="33">
        <v>1.9793028918325124</v>
      </c>
      <c r="Y206">
        <f t="shared" si="53"/>
        <v>-1.112711422240108</v>
      </c>
      <c r="Z206">
        <f>IF($B206&lt;=regressions!$L$2,$B206*regressions!$L$1,regressions!$L$1*regressions!$L$2+regressions!$L$3*($B206-regressions!$L$2))</f>
        <v>-1.8007299237280365</v>
      </c>
      <c r="AA206">
        <f>regressions!$J$1*X206+regressions!$J$2*X206^2</f>
        <v>-1.2174920918777326</v>
      </c>
      <c r="AB206">
        <f>regressions!$V$1*X206</f>
        <v>-1.5731100324672669</v>
      </c>
      <c r="AC206">
        <f>regressions!$N$1*X206^2</f>
        <v>-0.6826286356962592</v>
      </c>
      <c r="AD206">
        <f>regressions!$R$1*X206^2+regressions!$R$2*X206^6</f>
        <v>-0.74284400768246017</v>
      </c>
      <c r="AE206">
        <f>regressions!$P$1*X206^2+regressions!$P$2*X206^7</f>
        <v>-0.71917664233499434</v>
      </c>
      <c r="AF206">
        <f>regressions!$T$2+regressions!$T$1*EXP(X206)</f>
        <v>-4.8745503050567504E-2</v>
      </c>
      <c r="AG206" s="8">
        <f>(1-EXP(-2*regressions!$X$1*X206))/2/EXP(-regressions!$X$1*X206)</f>
        <v>-0.89561137244853939</v>
      </c>
      <c r="AH206" s="8"/>
      <c r="AI206" s="33">
        <v>1.8557950487344261</v>
      </c>
      <c r="AJ206">
        <f t="shared" si="54"/>
        <v>-0.99494496804394128</v>
      </c>
      <c r="AK206">
        <f>IF(AI206&lt;=regressions!$L$2,AI206*regressions!$L$1,regressions!$L$1*regressions!$L$2+regressions!$L$3*(AI206-regressions!$L$2))</f>
        <v>-1.4749484847276673</v>
      </c>
      <c r="AL206">
        <f>regressions!$J$1*AI206+regressions!$J$2*AI206^2</f>
        <v>-1.12278728287003</v>
      </c>
      <c r="AM206">
        <f>regressions!$V$1*AI206</f>
        <v>-1.4749484888916344</v>
      </c>
      <c r="AN206">
        <f>regressions!$N$1*AI206^2</f>
        <v>-0.60009499916429621</v>
      </c>
      <c r="AO206">
        <f>regressions!$R$1*AI206^2+regressions!$R$2*AI206^6</f>
        <v>-0.65316217614918237</v>
      </c>
      <c r="AP206">
        <f>regressions!$P$1*AI206^2+regressions!$P$2*AI206^7</f>
        <v>-0.63225254124672359</v>
      </c>
      <c r="AQ206">
        <f>regressions!$T$2+regressions!$T$1*EXP(AI206)</f>
        <v>-4.2174043483112954E-2</v>
      </c>
      <c r="AR206" s="8">
        <f>(1-EXP(-2*regressions!$X$1*AI206))/2/EXP(-regressions!$X$1*AI206)</f>
        <v>-0.82923180616397074</v>
      </c>
      <c r="AT206" s="33">
        <v>1.5774901577987568</v>
      </c>
      <c r="AU206">
        <f t="shared" si="55"/>
        <v>-0.80741831770904948</v>
      </c>
      <c r="AV206">
        <f>IF(AT206&lt;=regressions!$L$2,AT206*regressions!$L$1,regressions!$L$1*regressions!$L$2+regressions!$L$3*(AT206-regressions!$L$2))</f>
        <v>-1.2537573691150903</v>
      </c>
      <c r="AW206">
        <f>regressions!$J$1*AT206+regressions!$J$2*AT206^2</f>
        <v>-0.91852530486521267</v>
      </c>
      <c r="AX206">
        <f>regressions!$V$1*AT206</f>
        <v>-1.2537573726546067</v>
      </c>
      <c r="AY206">
        <f>regressions!$N$1*AT206^2</f>
        <v>-0.43360402088799177</v>
      </c>
      <c r="AZ206">
        <f>regressions!$R$1*AT206^2+regressions!$R$2*AT206^6</f>
        <v>-0.47210344739423593</v>
      </c>
      <c r="BA206">
        <f>regressions!$P$1*AT206^2+regressions!$P$2*AT206^7</f>
        <v>-0.45686976356108794</v>
      </c>
      <c r="BB206">
        <f>regressions!$T$2+regressions!$T$1*EXP(AT206)</f>
        <v>-3.003008475612063E-2</v>
      </c>
      <c r="BC206" s="8">
        <f>(1-EXP(-2*regressions!$X$1*AT206))/2/EXP(-regressions!$X$1*AT206)</f>
        <v>-0.68709030477577415</v>
      </c>
      <c r="BE206">
        <f t="shared" si="56"/>
        <v>6.063393860543087E-2</v>
      </c>
      <c r="BF206">
        <f t="shared" si="47"/>
        <v>0.18446566249486929</v>
      </c>
      <c r="BG206">
        <f t="shared" si="48"/>
        <v>0.302232116691036</v>
      </c>
      <c r="BH206">
        <f>BG206+regressions!$AR$1*(AI206-B206)</f>
        <v>-0.12953057612982932</v>
      </c>
      <c r="BI206">
        <f>BG206-regressions!$AO$1*(AI206-B206)</f>
        <v>0.88879791233158101</v>
      </c>
      <c r="BJ206">
        <f t="shared" si="49"/>
        <v>0.4897587670259278</v>
      </c>
      <c r="BK206">
        <f>BJ206+regressions!$AR$1*(AT206-B206)</f>
        <v>-0.23515160172754113</v>
      </c>
      <c r="BL206">
        <f>BJ206-regressions!$AO$1*(AT206-B206)</f>
        <v>1.4745766641858715</v>
      </c>
      <c r="BM206">
        <f t="shared" si="57"/>
        <v>0.12383172388943842</v>
      </c>
      <c r="BN206">
        <f t="shared" si="50"/>
        <v>0.24159817808560513</v>
      </c>
      <c r="BO206">
        <f t="shared" si="51"/>
        <v>0.42912482842049693</v>
      </c>
      <c r="BP206">
        <f t="shared" si="58"/>
        <v>0.11776645419616671</v>
      </c>
      <c r="BQ206">
        <f t="shared" si="59"/>
        <v>0.30529310453105851</v>
      </c>
      <c r="BR206">
        <f t="shared" si="60"/>
        <v>0.1875266503348918</v>
      </c>
    </row>
    <row r="207" spans="1:70" x14ac:dyDescent="0.35">
      <c r="A207">
        <f t="shared" si="46"/>
        <v>2054</v>
      </c>
      <c r="B207" s="33">
        <v>2.3073807395260779</v>
      </c>
      <c r="C207">
        <f t="shared" si="45"/>
        <v>-1.329681802189032</v>
      </c>
      <c r="D207">
        <f>IF($B207&lt;=regressions!$L$2,$B207*regressions!$L$1,regressions!$L$1*regressions!$L$2+regressions!$L$3*($B207-regressions!$L$2))</f>
        <v>-1.8338596860545984</v>
      </c>
      <c r="E207">
        <f>regressions!$J$1*B207+regressions!$J$2*B207^2</f>
        <v>-1.4811687378937941</v>
      </c>
      <c r="F207">
        <f>regressions!$V$1*B207</f>
        <v>-1.8338596912318175</v>
      </c>
      <c r="G207">
        <f>regressions!$N$1*B207^2</f>
        <v>-0.92768067668802556</v>
      </c>
      <c r="H207">
        <f>regressions!$R$1*B207^2+regressions!$R$2*B207^6</f>
        <v>-1.008750694036388</v>
      </c>
      <c r="I207">
        <f>regressions!$P$1*B207^2+regressions!$P$2*B207^7</f>
        <v>-0.97716503925740528</v>
      </c>
      <c r="J207">
        <f>regressions!$T$2+regressions!$T$1*EXP(B207)</f>
        <v>-7.0707649116789506E-2</v>
      </c>
      <c r="K207" s="8">
        <f>(1-EXP(-2*regressions!$X$1*B207))/2/EXP(-regressions!$X$1*B207)</f>
        <v>-1.0833983612876041</v>
      </c>
      <c r="M207" s="33">
        <v>2.2081787588325694</v>
      </c>
      <c r="N207">
        <f t="shared" si="52"/>
        <v>-1.263257778141152</v>
      </c>
      <c r="O207">
        <f>IF($B207&lt;=regressions!$L$2,$B207*regressions!$L$1,regressions!$L$1*regressions!$L$2+regressions!$L$3*($B207-regressions!$L$2))</f>
        <v>-1.8338596860545984</v>
      </c>
      <c r="P207">
        <f>regressions!$J$1*M207+regressions!$J$2*M207^2</f>
        <v>-1.3995842107238023</v>
      </c>
      <c r="Q207">
        <f>regressions!$V$1*M207</f>
        <v>-1.7550159570496782</v>
      </c>
      <c r="R207">
        <f>regressions!$N$1*M207^2</f>
        <v>-0.84962726390391297</v>
      </c>
      <c r="S207">
        <f>regressions!$R$1*M207^2+regressions!$R$2*M207^6</f>
        <v>-0.92412142140148623</v>
      </c>
      <c r="T207">
        <f>regressions!$P$1*M207^2+regressions!$P$2*M207^7</f>
        <v>-0.89501009108462548</v>
      </c>
      <c r="U207">
        <f>regressions!$T$2+regressions!$T$1*EXP(M207)</f>
        <v>-6.3291984803780149E-2</v>
      </c>
      <c r="V207" s="8">
        <f>(1-EXP(-2*regressions!$X$1*M207))/2/EXP(-regressions!$X$1*M207)</f>
        <v>-1.024735774594232</v>
      </c>
      <c r="X207" s="33">
        <v>1.998665066509635</v>
      </c>
      <c r="Y207">
        <f t="shared" si="53"/>
        <v>-1.1290649924055147</v>
      </c>
      <c r="Z207">
        <f>IF($B207&lt;=regressions!$L$2,$B207*regressions!$L$1,regressions!$L$1*regressions!$L$2+regressions!$L$3*($B207-regressions!$L$2))</f>
        <v>-1.8338596860545984</v>
      </c>
      <c r="AA207">
        <f>regressions!$J$1*X207+regressions!$J$2*X207^2</f>
        <v>-1.2325649466482553</v>
      </c>
      <c r="AB207">
        <f>regressions!$V$1*X207</f>
        <v>-1.5884986985277532</v>
      </c>
      <c r="AC207">
        <f>regressions!$N$1*X207^2</f>
        <v>-0.69604934281212871</v>
      </c>
      <c r="AD207">
        <f>regressions!$R$1*X207^2+regressions!$R$2*X207^6</f>
        <v>-0.75742177340781536</v>
      </c>
      <c r="AE207">
        <f>regressions!$P$1*X207^2+regressions!$P$2*X207^7</f>
        <v>-0.73330993092927543</v>
      </c>
      <c r="AF207">
        <f>regressions!$T$2+regressions!$T$1*EXP(X207)</f>
        <v>-4.985130169189924E-2</v>
      </c>
      <c r="AG207" s="8">
        <f>(1-EXP(-2*regressions!$X$1*X207))/2/EXP(-regressions!$X$1*X207)</f>
        <v>-0.90621851834625633</v>
      </c>
      <c r="AH207" s="8"/>
      <c r="AI207" s="33">
        <v>1.8675495136052844</v>
      </c>
      <c r="AJ207">
        <f t="shared" si="54"/>
        <v>-1.0031768001369787</v>
      </c>
      <c r="AK207">
        <f>IF(AI207&lt;=regressions!$L$2,AI207*regressions!$L$1,regressions!$L$1*regressions!$L$2+regressions!$L$3*(AI207-regressions!$L$2))</f>
        <v>-1.484290696391547</v>
      </c>
      <c r="AL207">
        <f>regressions!$J$1*AI207+regressions!$J$2*AI207^2</f>
        <v>-1.1316931458864894</v>
      </c>
      <c r="AM207">
        <f>regressions!$V$1*AI207</f>
        <v>-1.4842907005818884</v>
      </c>
      <c r="AN207">
        <f>regressions!$N$1*AI207^2</f>
        <v>-0.60772098641369365</v>
      </c>
      <c r="AO207">
        <f>regressions!$R$1*AI207^2+regressions!$R$2*AI207^6</f>
        <v>-0.66145089300420445</v>
      </c>
      <c r="AP207">
        <f>regressions!$P$1*AI207^2+regressions!$P$2*AI207^7</f>
        <v>-0.6402847590476699</v>
      </c>
      <c r="AQ207">
        <f>regressions!$T$2+regressions!$T$1*EXP(AI207)</f>
        <v>-4.2765100978261188E-2</v>
      </c>
      <c r="AR207" s="8">
        <f>(1-EXP(-2*regressions!$X$1*AI207))/2/EXP(-regressions!$X$1*AI207)</f>
        <v>-0.83545642970671363</v>
      </c>
      <c r="AT207" s="33">
        <v>1.5796236895514433</v>
      </c>
      <c r="AU207">
        <f t="shared" si="55"/>
        <v>-0.80880248904765839</v>
      </c>
      <c r="AV207">
        <f>IF(AT207&lt;=regressions!$L$2,AT207*regressions!$L$1,regressions!$L$1*regressions!$L$2+regressions!$L$3*(AT207-regressions!$L$2))</f>
        <v>-1.2554530571318729</v>
      </c>
      <c r="AW207">
        <f>regressions!$J$1*AT207+regressions!$J$2*AT207^2</f>
        <v>-0.92004305234715322</v>
      </c>
      <c r="AX207">
        <f>regressions!$V$1*AT207</f>
        <v>-1.2554530606761765</v>
      </c>
      <c r="AY207">
        <f>regressions!$N$1*AT207^2</f>
        <v>-0.43477769989877257</v>
      </c>
      <c r="AZ207">
        <f>regressions!$R$1*AT207^2+regressions!$R$2*AT207^6</f>
        <v>-0.47338041465606101</v>
      </c>
      <c r="BA207">
        <f>regressions!$P$1*AT207^2+regressions!$P$2*AT207^7</f>
        <v>-0.45810625539361455</v>
      </c>
      <c r="BB207">
        <f>regressions!$T$2+regressions!$T$1*EXP(AT207)</f>
        <v>-3.0110913926620402E-2</v>
      </c>
      <c r="BC207" s="8">
        <f>(1-EXP(-2*regressions!$X$1*AT207))/2/EXP(-regressions!$X$1*AT207)</f>
        <v>-0.68814416130422074</v>
      </c>
      <c r="BE207">
        <f t="shared" si="56"/>
        <v>6.6424024047879948E-2</v>
      </c>
      <c r="BF207">
        <f t="shared" si="47"/>
        <v>0.20061680978351726</v>
      </c>
      <c r="BG207">
        <f t="shared" si="48"/>
        <v>0.32650500205205324</v>
      </c>
      <c r="BH207">
        <f>BG207+regressions!$AR$1*(AI207-B207)</f>
        <v>-0.1367836640140857</v>
      </c>
      <c r="BI207">
        <f>BG207-regressions!$AO$1*(AI207-B207)</f>
        <v>0.95590001357306487</v>
      </c>
      <c r="BJ207">
        <f t="shared" si="49"/>
        <v>0.52087931314137359</v>
      </c>
      <c r="BK207">
        <f>BJ207+regressions!$AR$1*(AT207-B207)</f>
        <v>-0.24569107348164043</v>
      </c>
      <c r="BL207">
        <f>BJ207-regressions!$AO$1*(AT207-B207)</f>
        <v>1.5622939055099687</v>
      </c>
      <c r="BM207">
        <f t="shared" si="57"/>
        <v>0.13419278573563731</v>
      </c>
      <c r="BN207">
        <f t="shared" si="50"/>
        <v>0.26008097800417329</v>
      </c>
      <c r="BO207">
        <f t="shared" si="51"/>
        <v>0.45445528909349364</v>
      </c>
      <c r="BP207">
        <f t="shared" si="58"/>
        <v>0.12588819226853598</v>
      </c>
      <c r="BQ207">
        <f t="shared" si="59"/>
        <v>0.32026250335785633</v>
      </c>
      <c r="BR207">
        <f t="shared" si="60"/>
        <v>0.19437431108932035</v>
      </c>
    </row>
    <row r="208" spans="1:70" x14ac:dyDescent="0.35">
      <c r="A208">
        <f t="shared" si="46"/>
        <v>2055</v>
      </c>
      <c r="B208" s="33">
        <v>2.3495859146793712</v>
      </c>
      <c r="C208">
        <f t="shared" si="45"/>
        <v>-1.3629298805682399</v>
      </c>
      <c r="D208">
        <f>IF($B208&lt;=regressions!$L$2,$B208*regressions!$L$1,regressions!$L$1*regressions!$L$2+regressions!$L$3*($B208-regressions!$L$2))</f>
        <v>-1.8674035082468539</v>
      </c>
      <c r="E208">
        <f>regressions!$J$1*B208+regressions!$J$2*B208^2</f>
        <v>-1.5163664158478019</v>
      </c>
      <c r="F208">
        <f>regressions!$V$1*B208</f>
        <v>-1.8674035135187714</v>
      </c>
      <c r="G208">
        <f>regressions!$N$1*B208^2</f>
        <v>-0.96192817235653894</v>
      </c>
      <c r="H208">
        <f>regressions!$R$1*B208^2+regressions!$R$2*B208^6</f>
        <v>-1.0458615603001469</v>
      </c>
      <c r="I208">
        <f>regressions!$P$1*B208^2+regressions!$P$2*B208^7</f>
        <v>-1.0132056127772533</v>
      </c>
      <c r="J208">
        <f>regressions!$T$2+regressions!$T$1*EXP(B208)</f>
        <v>-7.4092626469983741E-2</v>
      </c>
      <c r="K208" s="8">
        <f>(1-EXP(-2*regressions!$X$1*B208))/2/EXP(-regressions!$X$1*B208)</f>
        <v>-1.1088861591163424</v>
      </c>
      <c r="M208" s="33">
        <v>2.2423450628608852</v>
      </c>
      <c r="N208">
        <f t="shared" si="52"/>
        <v>-1.2903450781685697</v>
      </c>
      <c r="O208">
        <f>IF($B208&lt;=regressions!$L$2,$B208*regressions!$L$1,regressions!$L$1*regressions!$L$2+regressions!$L$3*($B208-regressions!$L$2))</f>
        <v>-1.8674035082468539</v>
      </c>
      <c r="P208">
        <f>regressions!$J$1*M208+regressions!$J$2*M208^2</f>
        <v>-1.4275012471751694</v>
      </c>
      <c r="Q208">
        <f>regressions!$V$1*M208</f>
        <v>-1.782170646643199</v>
      </c>
      <c r="R208">
        <f>regressions!$N$1*M208^2</f>
        <v>-0.87612258062331616</v>
      </c>
      <c r="S208">
        <f>regressions!$R$1*M208^2+regressions!$R$2*M208^6</f>
        <v>-0.95285646252825962</v>
      </c>
      <c r="T208">
        <f>regressions!$P$1*M208^2+regressions!$P$2*M208^7</f>
        <v>-0.92289989718422505</v>
      </c>
      <c r="U208">
        <f>regressions!$T$2+regressions!$T$1*EXP(M208)</f>
        <v>-6.5763415638130263E-2</v>
      </c>
      <c r="V208" s="8">
        <f>(1-EXP(-2*regressions!$X$1*M208))/2/EXP(-regressions!$X$1*M208)</f>
        <v>-1.0447464360242382</v>
      </c>
      <c r="X208" s="33">
        <v>2.0176265778707085</v>
      </c>
      <c r="Y208">
        <f t="shared" si="53"/>
        <v>-1.1452926392649001</v>
      </c>
      <c r="Z208">
        <f>IF($B208&lt;=regressions!$L$2,$B208*regressions!$L$1,regressions!$L$1*regressions!$L$2+regressions!$L$3*($B208-regressions!$L$2))</f>
        <v>-1.8674035082468539</v>
      </c>
      <c r="AA208">
        <f>regressions!$J$1*X208+regressions!$J$2*X208^2</f>
        <v>-1.2473852909712395</v>
      </c>
      <c r="AB208">
        <f>regressions!$V$1*X208</f>
        <v>-1.6035689254626666</v>
      </c>
      <c r="AC208">
        <f>regressions!$N$1*X208^2</f>
        <v>-0.70931895335094741</v>
      </c>
      <c r="AD208">
        <f>regressions!$R$1*X208^2+regressions!$R$2*X208^6</f>
        <v>-0.77183387723906172</v>
      </c>
      <c r="AE208">
        <f>regressions!$P$1*X208^2+regressions!$P$2*X208^7</f>
        <v>-0.74728369887674861</v>
      </c>
      <c r="AF208">
        <f>regressions!$T$2+regressions!$T$1*EXP(X208)</f>
        <v>-5.0955167988495385E-2</v>
      </c>
      <c r="AG208" s="8">
        <f>(1-EXP(-2*regressions!$X$1*X208))/2/EXP(-regressions!$X$1*X208)</f>
        <v>-0.91666071093807622</v>
      </c>
      <c r="AH208" s="8"/>
      <c r="AI208" s="33">
        <v>1.878771687523666</v>
      </c>
      <c r="AJ208">
        <f t="shared" si="54"/>
        <v>-1.0110595956351367</v>
      </c>
      <c r="AK208">
        <f>IF(AI208&lt;=regressions!$L$2,AI208*regressions!$L$1,regressions!$L$1*regressions!$L$2+regressions!$L$3*(AI208-regressions!$L$2))</f>
        <v>-1.4932098539394427</v>
      </c>
      <c r="AL208">
        <f>regressions!$J$1*AI208+regressions!$J$2*AI208^2</f>
        <v>-1.1402167892258326</v>
      </c>
      <c r="AM208">
        <f>regressions!$V$1*AI208</f>
        <v>-1.493209858154964</v>
      </c>
      <c r="AN208">
        <f>regressions!$N$1*AI208^2</f>
        <v>-0.61504656597228458</v>
      </c>
      <c r="AO208">
        <f>regressions!$R$1*AI208^2+regressions!$R$2*AI208^6</f>
        <v>-0.66941268010328858</v>
      </c>
      <c r="AP208">
        <f>regressions!$P$1*AI208^2+regressions!$P$2*AI208^7</f>
        <v>-0.64800046538729483</v>
      </c>
      <c r="AQ208">
        <f>regressions!$T$2+regressions!$T$1*EXP(AI208)</f>
        <v>-4.3335912793463632E-2</v>
      </c>
      <c r="AR208" s="8">
        <f>(1-EXP(-2*regressions!$X$1*AI208))/2/EXP(-regressions!$X$1*AI208)</f>
        <v>-0.84141701770104216</v>
      </c>
      <c r="AT208" s="33">
        <v>1.5814362062584379</v>
      </c>
      <c r="AU208">
        <f t="shared" si="55"/>
        <v>-0.80997903968924756</v>
      </c>
      <c r="AV208">
        <f>IF(AT208&lt;=regressions!$L$2,AT208*regressions!$L$1,regressions!$L$1*regressions!$L$2+regressions!$L$3*(AT208-regressions!$L$2))</f>
        <v>-1.2568936088632445</v>
      </c>
      <c r="AW208">
        <f>regressions!$J$1*AT208+regressions!$J$2*AT208^2</f>
        <v>-0.92133302137786377</v>
      </c>
      <c r="AX208">
        <f>regressions!$V$1*AT208</f>
        <v>-1.256893612411615</v>
      </c>
      <c r="AY208">
        <f>regressions!$N$1*AT208^2</f>
        <v>-0.43577603129099834</v>
      </c>
      <c r="AZ208">
        <f>regressions!$R$1*AT208^2+regressions!$R$2*AT208^6</f>
        <v>-0.47446659715313505</v>
      </c>
      <c r="BA208">
        <f>regressions!$P$1*AT208^2+regressions!$P$2*AT208^7</f>
        <v>-0.45915801416001328</v>
      </c>
      <c r="BB208">
        <f>regressions!$T$2+regressions!$T$1*EXP(AT208)</f>
        <v>-3.0179717006647469E-2</v>
      </c>
      <c r="BC208" s="8">
        <f>(1-EXP(-2*regressions!$X$1*AT208))/2/EXP(-regressions!$X$1*AT208)</f>
        <v>-0.68903986031324205</v>
      </c>
      <c r="BE208">
        <f t="shared" si="56"/>
        <v>7.2584802399670245E-2</v>
      </c>
      <c r="BF208">
        <f t="shared" si="47"/>
        <v>0.21763724130333983</v>
      </c>
      <c r="BG208">
        <f t="shared" si="48"/>
        <v>0.35187028493310324</v>
      </c>
      <c r="BH208">
        <f>BG208+regressions!$AR$1*(AI208-B208)</f>
        <v>-0.14405379323411449</v>
      </c>
      <c r="BI208">
        <f>BG208-regressions!$AO$1*(AI208-B208)</f>
        <v>1.025601726589056</v>
      </c>
      <c r="BJ208">
        <f t="shared" si="49"/>
        <v>0.55295084087899238</v>
      </c>
      <c r="BK208">
        <f>BJ208+regressions!$AR$1*(AT208-B208)</f>
        <v>-0.25616645862241927</v>
      </c>
      <c r="BL208">
        <f>BJ208-regressions!$AO$1*(AT208-B208)</f>
        <v>1.6521670085562734</v>
      </c>
      <c r="BM208">
        <f t="shared" si="57"/>
        <v>0.14505243890366959</v>
      </c>
      <c r="BN208">
        <f t="shared" si="50"/>
        <v>0.27928548253343299</v>
      </c>
      <c r="BO208">
        <f t="shared" si="51"/>
        <v>0.48036603847932213</v>
      </c>
      <c r="BP208">
        <f t="shared" si="58"/>
        <v>0.1342330436297634</v>
      </c>
      <c r="BQ208">
        <f t="shared" si="59"/>
        <v>0.33531359957565254</v>
      </c>
      <c r="BR208">
        <f t="shared" si="60"/>
        <v>0.20108055594588914</v>
      </c>
    </row>
    <row r="209" spans="1:70" x14ac:dyDescent="0.35">
      <c r="A209">
        <f t="shared" si="46"/>
        <v>2056</v>
      </c>
      <c r="B209" s="33">
        <v>2.3923145674530297</v>
      </c>
      <c r="C209">
        <f t="shared" si="45"/>
        <v>-1.3969370153423406</v>
      </c>
      <c r="D209">
        <f>IF($B209&lt;=regressions!$L$2,$B209*regressions!$L$1,regressions!$L$1*regressions!$L$2+regressions!$L$3*($B209-regressions!$L$2))</f>
        <v>-1.901363379896442</v>
      </c>
      <c r="E209">
        <f>regressions!$J$1*B209+regressions!$J$2*B209^2</f>
        <v>-1.5522972753692725</v>
      </c>
      <c r="F209">
        <f>regressions!$V$1*B209</f>
        <v>-1.9013633852642327</v>
      </c>
      <c r="G209">
        <f>regressions!$N$1*B209^2</f>
        <v>-0.99723279869343862</v>
      </c>
      <c r="H209">
        <f>regressions!$R$1*B209^2+regressions!$R$2*B209^6</f>
        <v>-1.0841031933479588</v>
      </c>
      <c r="I209">
        <f>regressions!$P$1*B209^2+regressions!$P$2*B209^7</f>
        <v>-1.0503541389968301</v>
      </c>
      <c r="J209">
        <f>regressions!$T$2+regressions!$T$1*EXP(B209)</f>
        <v>-7.7668261729404275E-2</v>
      </c>
      <c r="K209" s="8">
        <f>(1-EXP(-2*regressions!$X$1*B209))/2/EXP(-regressions!$X$1*B209)</f>
        <v>-1.135023455099099</v>
      </c>
      <c r="M209" s="33">
        <v>2.2766583668823737</v>
      </c>
      <c r="N209">
        <f t="shared" si="52"/>
        <v>-1.3178073385594722</v>
      </c>
      <c r="O209">
        <f>IF($B209&lt;=regressions!$L$2,$B209*regressions!$L$1,regressions!$L$1*regressions!$L$2+regressions!$L$3*($B209-regressions!$L$2))</f>
        <v>-1.901363379896442</v>
      </c>
      <c r="P209">
        <f>regressions!$J$1*M209+regressions!$J$2*M209^2</f>
        <v>-1.4557304500737294</v>
      </c>
      <c r="Q209">
        <f>regressions!$V$1*M209</f>
        <v>-1.8094421688675351</v>
      </c>
      <c r="R209">
        <f>regressions!$N$1*M209^2</f>
        <v>-0.90314132692272653</v>
      </c>
      <c r="S209">
        <f>regressions!$R$1*M209^2+regressions!$R$2*M209^6</f>
        <v>-0.98215127174468486</v>
      </c>
      <c r="T209">
        <f>regressions!$P$1*M209^2+regressions!$P$2*M209^7</f>
        <v>-0.95133836607619449</v>
      </c>
      <c r="U209">
        <f>regressions!$T$2+regressions!$T$1*EXP(M209)</f>
        <v>-6.8331937922216784E-2</v>
      </c>
      <c r="V209" s="8">
        <f>(1-EXP(-2*regressions!$X$1*M209))/2/EXP(-regressions!$X$1*M209)</f>
        <v>-1.0650465408527483</v>
      </c>
      <c r="X209" s="33">
        <v>2.0361882391628994</v>
      </c>
      <c r="Y209">
        <f t="shared" si="53"/>
        <v>-1.1613909915973195</v>
      </c>
      <c r="Z209">
        <f>IF($B209&lt;=regressions!$L$2,$B209*regressions!$L$1,regressions!$L$1*regressions!$L$2+regressions!$L$3*($B209-regressions!$L$2))</f>
        <v>-1.901363379896442</v>
      </c>
      <c r="AA209">
        <f>regressions!$J$1*X209+regressions!$J$2*X209^2</f>
        <v>-1.2619500385519902</v>
      </c>
      <c r="AB209">
        <f>regressions!$V$1*X209</f>
        <v>-1.6183213596244592</v>
      </c>
      <c r="AC209">
        <f>regressions!$N$1*X209^2</f>
        <v>-0.72243010176555467</v>
      </c>
      <c r="AD209">
        <f>regressions!$R$1*X209^2+regressions!$R$2*X209^6</f>
        <v>-0.78607234434921369</v>
      </c>
      <c r="AE209">
        <f>regressions!$P$1*X209^2+regressions!$P$2*X209^7</f>
        <v>-0.76109019247763021</v>
      </c>
      <c r="AF209">
        <f>regressions!$T$2+regressions!$T$1*EXP(X209)</f>
        <v>-5.2056220795534125E-2</v>
      </c>
      <c r="AG209" s="8">
        <f>(1-EXP(-2*regressions!$X$1*X209))/2/EXP(-regressions!$X$1*X209)</f>
        <v>-0.9269355826095973</v>
      </c>
      <c r="AH209" s="8"/>
      <c r="AI209" s="33">
        <v>1.8894723637261757</v>
      </c>
      <c r="AJ209">
        <f t="shared" si="54"/>
        <v>-1.0185976877303227</v>
      </c>
      <c r="AK209">
        <f>IF(AI209&lt;=regressions!$L$2,AI209*regressions!$L$1,regressions!$L$1*regressions!$L$2+regressions!$L$3*(AI209-regressions!$L$2))</f>
        <v>-1.5017145356181747</v>
      </c>
      <c r="AL209">
        <f>regressions!$J$1*AI209+regressions!$J$2*AI209^2</f>
        <v>-1.1483635101227014</v>
      </c>
      <c r="AM209">
        <f>regressions!$V$1*AI209</f>
        <v>-1.5017145398577056</v>
      </c>
      <c r="AN209">
        <f>regressions!$N$1*AI209^2</f>
        <v>-0.62207259968272932</v>
      </c>
      <c r="AO209">
        <f>regressions!$R$1*AI209^2+regressions!$R$2*AI209^6</f>
        <v>-0.67704851953502287</v>
      </c>
      <c r="AP209">
        <f>regressions!$P$1*AI209^2+regressions!$P$2*AI209^7</f>
        <v>-0.65540057850740385</v>
      </c>
      <c r="AQ209">
        <f>regressions!$T$2+regressions!$T$1*EXP(AI209)</f>
        <v>-4.3886197522943336E-2</v>
      </c>
      <c r="AR209" s="8">
        <f>(1-EXP(-2*regressions!$X$1*AI209))/2/EXP(-regressions!$X$1*AI209)</f>
        <v>-0.84711696318578744</v>
      </c>
      <c r="AT209" s="33">
        <v>1.5829442154165767</v>
      </c>
      <c r="AU209">
        <f t="shared" si="55"/>
        <v>-0.81095837783518143</v>
      </c>
      <c r="AV209">
        <f>IF(AT209&lt;=regressions!$L$2,AT209*regressions!$L$1,regressions!$L$1*regressions!$L$2+regressions!$L$3*(AT209-regressions!$L$2))</f>
        <v>-1.2580921441348356</v>
      </c>
      <c r="AW209">
        <f>regressions!$J$1*AT209+regressions!$J$2*AT209^2</f>
        <v>-0.9224066815065729</v>
      </c>
      <c r="AX209">
        <f>regressions!$V$1*AT209</f>
        <v>-1.2580921476865896</v>
      </c>
      <c r="AY209">
        <f>regressions!$N$1*AT209^2</f>
        <v>-0.43660751290823852</v>
      </c>
      <c r="AZ209">
        <f>regressions!$R$1*AT209^2+regressions!$R$2*AT209^6</f>
        <v>-0.47537124330105957</v>
      </c>
      <c r="BA209">
        <f>regressions!$P$1*AT209^2+regressions!$P$2*AT209^7</f>
        <v>-0.46003399305234743</v>
      </c>
      <c r="BB209">
        <f>regressions!$T$2+regressions!$T$1*EXP(AT209)</f>
        <v>-3.0237056105806841E-2</v>
      </c>
      <c r="BC209" s="8">
        <f>(1-EXP(-2*regressions!$X$1*AT209))/2/EXP(-regressions!$X$1*AT209)</f>
        <v>-0.68978536531058965</v>
      </c>
      <c r="BE209">
        <f t="shared" si="56"/>
        <v>7.9129676782868419E-2</v>
      </c>
      <c r="BF209">
        <f t="shared" si="47"/>
        <v>0.23554602374502109</v>
      </c>
      <c r="BG209">
        <f t="shared" si="48"/>
        <v>0.37833932761201794</v>
      </c>
      <c r="BH209">
        <f>BG209+regressions!$AR$1*(AI209-B209)</f>
        <v>-0.15132086947531764</v>
      </c>
      <c r="BI209">
        <f>BG209-regressions!$AO$1*(AI209-B209)</f>
        <v>1.0979025508582643</v>
      </c>
      <c r="BJ209">
        <f t="shared" si="49"/>
        <v>0.58597863750715917</v>
      </c>
      <c r="BK209">
        <f>BJ209+regressions!$AR$1*(AT209-B209)</f>
        <v>-0.26655771882688617</v>
      </c>
      <c r="BL209">
        <f>BJ209-regressions!$AO$1*(AT209-B209)</f>
        <v>1.7441812207327663</v>
      </c>
      <c r="BM209">
        <f t="shared" si="57"/>
        <v>0.15641634696215267</v>
      </c>
      <c r="BN209">
        <f t="shared" si="50"/>
        <v>0.29920965082914952</v>
      </c>
      <c r="BO209">
        <f t="shared" si="51"/>
        <v>0.50684896072429075</v>
      </c>
      <c r="BP209">
        <f t="shared" si="58"/>
        <v>0.14279330386699685</v>
      </c>
      <c r="BQ209">
        <f t="shared" si="59"/>
        <v>0.35043261376213808</v>
      </c>
      <c r="BR209">
        <f t="shared" si="60"/>
        <v>0.20763930989514123</v>
      </c>
    </row>
    <row r="210" spans="1:70" x14ac:dyDescent="0.35">
      <c r="A210">
        <f t="shared" si="46"/>
        <v>2057</v>
      </c>
      <c r="B210" s="33">
        <v>2.4355691056072613</v>
      </c>
      <c r="C210">
        <f t="shared" si="45"/>
        <v>-1.4317191519591226</v>
      </c>
      <c r="D210">
        <f>IF($B210&lt;=regressions!$L$2,$B210*regressions!$L$1,regressions!$L$1*regressions!$L$2+regressions!$L$3*($B210-regressions!$L$2))</f>
        <v>-1.9357412146426263</v>
      </c>
      <c r="E210">
        <f>regressions!$J$1*B210+regressions!$J$2*B210^2</f>
        <v>-1.5889743356131998</v>
      </c>
      <c r="F210">
        <f>regressions!$V$1*B210</f>
        <v>-1.9357412201074697</v>
      </c>
      <c r="G210">
        <f>regressions!$N$1*B210^2</f>
        <v>-1.0336199838593694</v>
      </c>
      <c r="H210">
        <f>regressions!$R$1*B210^2+regressions!$R$2*B210^6</f>
        <v>-1.1235012002254459</v>
      </c>
      <c r="I210">
        <f>regressions!$P$1*B210^2+regressions!$P$2*B210^7</f>
        <v>-1.0886366893099106</v>
      </c>
      <c r="J210">
        <f>regressions!$T$2+regressions!$T$1*EXP(B210)</f>
        <v>-8.1446919164782777E-2</v>
      </c>
      <c r="K210" s="8">
        <f>(1-EXP(-2*regressions!$X$1*B210))/2/EXP(-regressions!$X$1*B210)</f>
        <v>-1.1618321314605817</v>
      </c>
      <c r="M210" s="33">
        <v>2.3111166467027737</v>
      </c>
      <c r="N210">
        <f t="shared" si="52"/>
        <v>-1.345646899106598</v>
      </c>
      <c r="O210">
        <f>IF($B210&lt;=regressions!$L$2,$B210*regressions!$L$1,regressions!$L$1*regressions!$L$2+regressions!$L$3*($B210-regressions!$L$2))</f>
        <v>-1.9357412146426263</v>
      </c>
      <c r="P210">
        <f>regressions!$J$1*M210+regressions!$J$2*M210^2</f>
        <v>-1.4842726106611013</v>
      </c>
      <c r="Q210">
        <f>regressions!$V$1*M210</f>
        <v>-1.8368289149338985</v>
      </c>
      <c r="R210">
        <f>regressions!$N$1*M210^2</f>
        <v>-0.93068714591906854</v>
      </c>
      <c r="S210">
        <f>regressions!$R$1*M210^2+regressions!$R$2*M210^6</f>
        <v>-1.0120090798143164</v>
      </c>
      <c r="T210">
        <f>regressions!$P$1*M210^2+regressions!$P$2*M210^7</f>
        <v>-0.98032908374041583</v>
      </c>
      <c r="U210">
        <f>regressions!$T$2+regressions!$T$1*EXP(M210)</f>
        <v>-7.1001549844862455E-2</v>
      </c>
      <c r="V210" s="8">
        <f>(1-EXP(-2*regressions!$X$1*M210))/2/EXP(-regressions!$X$1*M210)</f>
        <v>-1.0856414772213312</v>
      </c>
      <c r="X210" s="33">
        <v>2.0543512976742551</v>
      </c>
      <c r="Y210">
        <f t="shared" si="53"/>
        <v>-1.1773570310338095</v>
      </c>
      <c r="Z210">
        <f>IF($B210&lt;=regressions!$L$2,$B210*regressions!$L$1,regressions!$L$1*regressions!$L$2+regressions!$L$3*($B210-regressions!$L$2))</f>
        <v>-1.9357412146426263</v>
      </c>
      <c r="AA210">
        <f>regressions!$J$1*X210+regressions!$J$2*X210^2</f>
        <v>-1.2762565340029641</v>
      </c>
      <c r="AB210">
        <f>regressions!$V$1*X210</f>
        <v>-1.6327569923325236</v>
      </c>
      <c r="AC210">
        <f>regressions!$N$1*X210^2</f>
        <v>-0.73537592166612387</v>
      </c>
      <c r="AD210">
        <f>regressions!$R$1*X210^2+regressions!$R$2*X210^6</f>
        <v>-0.80012974673613335</v>
      </c>
      <c r="AE210">
        <f>regressions!$P$1*X210^2+regressions!$P$2*X210^7</f>
        <v>-0.77472218507944557</v>
      </c>
      <c r="AF210">
        <f>regressions!$T$2+regressions!$T$1*EXP(X210)</f>
        <v>-5.315359486460719E-2</v>
      </c>
      <c r="AG210" s="8">
        <f>(1-EXP(-2*regressions!$X$1*X210))/2/EXP(-regressions!$X$1*X210)</f>
        <v>-0.93704101581278143</v>
      </c>
      <c r="AH210" s="8"/>
      <c r="AI210" s="33">
        <v>1.8996626116444357</v>
      </c>
      <c r="AJ210">
        <f t="shared" si="54"/>
        <v>-1.0257958372706237</v>
      </c>
      <c r="AK210">
        <f>IF(AI210&lt;=regressions!$L$2,AI210*regressions!$L$1,regressions!$L$1*regressions!$L$2+regressions!$L$3*(AI210-regressions!$L$2))</f>
        <v>-1.5098135391887935</v>
      </c>
      <c r="AL210">
        <f>regressions!$J$1*AI210+regressions!$J$2*AI210^2</f>
        <v>-1.1561390275348971</v>
      </c>
      <c r="AM210">
        <f>regressions!$V$1*AI210</f>
        <v>-1.509813543451189</v>
      </c>
      <c r="AN210">
        <f>regressions!$N$1*AI210^2</f>
        <v>-0.62880058151683615</v>
      </c>
      <c r="AO210">
        <f>regressions!$R$1*AI210^2+regressions!$R$2*AI210^6</f>
        <v>-0.68436007923031228</v>
      </c>
      <c r="AP210">
        <f>regressions!$P$1*AI210^2+regressions!$P$2*AI210^7</f>
        <v>-0.66248668228412311</v>
      </c>
      <c r="AQ210">
        <f>regressions!$T$2+regressions!$T$1*EXP(AI210)</f>
        <v>-4.441573560991631E-2</v>
      </c>
      <c r="AR210" s="8">
        <f>(1-EXP(-2*regressions!$X$1*AI210))/2/EXP(-regressions!$X$1*AI210)</f>
        <v>-0.85255995376475469</v>
      </c>
      <c r="AT210" s="33">
        <v>1.5841634358619934</v>
      </c>
      <c r="AU210">
        <f t="shared" si="55"/>
        <v>-0.81175046908087678</v>
      </c>
      <c r="AV210">
        <f>IF(AT210&lt;=regressions!$L$2,AT210*regressions!$L$1,regressions!$L$1*regressions!$L$2+regressions!$L$3*(AT210-regressions!$L$2))</f>
        <v>-1.2590611559606526</v>
      </c>
      <c r="AW210">
        <f>regressions!$J$1*AT210+regressions!$J$2*AT210^2</f>
        <v>-0.92327500396100759</v>
      </c>
      <c r="AX210">
        <f>regressions!$V$1*AT210</f>
        <v>-1.2590611595151424</v>
      </c>
      <c r="AY210">
        <f>regressions!$N$1*AT210^2</f>
        <v>-0.43728034244209801</v>
      </c>
      <c r="AZ210">
        <f>regressions!$R$1*AT210^2+regressions!$R$2*AT210^6</f>
        <v>-0.47610327434082333</v>
      </c>
      <c r="BA210">
        <f>regressions!$P$1*AT210^2+regressions!$P$2*AT210^7</f>
        <v>-0.4607428289227577</v>
      </c>
      <c r="BB210">
        <f>regressions!$T$2+regressions!$T$1*EXP(AT210)</f>
        <v>-3.0283477835620111E-2</v>
      </c>
      <c r="BC210" s="8">
        <f>(1-EXP(-2*regressions!$X$1*AT210))/2/EXP(-regressions!$X$1*AT210)</f>
        <v>-0.6903882936145157</v>
      </c>
      <c r="BE210">
        <f t="shared" si="56"/>
        <v>8.6072252852524622E-2</v>
      </c>
      <c r="BF210">
        <f t="shared" si="47"/>
        <v>0.25436212092531307</v>
      </c>
      <c r="BG210">
        <f t="shared" si="48"/>
        <v>0.40592331468849885</v>
      </c>
      <c r="BH210">
        <f>BG210+regressions!$AR$1*(AI210-B210)</f>
        <v>-0.15856458451520594</v>
      </c>
      <c r="BI210">
        <f>BG210-regressions!$AO$1*(AI210-B210)</f>
        <v>1.1728012761969873</v>
      </c>
      <c r="BJ210">
        <f t="shared" si="49"/>
        <v>0.6199686828782458</v>
      </c>
      <c r="BK210">
        <f>BJ210+regressions!$AR$1*(AT210-B210)</f>
        <v>-0.27684485324951025</v>
      </c>
      <c r="BL210">
        <f>BJ210-regressions!$AO$1*(AT210-B210)</f>
        <v>1.8383234738472689</v>
      </c>
      <c r="BM210">
        <f t="shared" si="57"/>
        <v>0.16828986807278845</v>
      </c>
      <c r="BN210">
        <f t="shared" si="50"/>
        <v>0.31985106183597423</v>
      </c>
      <c r="BO210">
        <f t="shared" si="51"/>
        <v>0.53389643002572118</v>
      </c>
      <c r="BP210">
        <f t="shared" si="58"/>
        <v>0.15156119376318578</v>
      </c>
      <c r="BQ210">
        <f t="shared" si="59"/>
        <v>0.36560656195293273</v>
      </c>
      <c r="BR210">
        <f t="shared" si="60"/>
        <v>0.21404536818974695</v>
      </c>
    </row>
    <row r="211" spans="1:70" x14ac:dyDescent="0.35">
      <c r="A211">
        <f t="shared" si="46"/>
        <v>2058</v>
      </c>
      <c r="B211" s="33">
        <v>2.4793518403760539</v>
      </c>
      <c r="C211">
        <f t="shared" ref="C211:C253" si="61">SUMPRODUCT(D$2:K$2,D211:K211)</f>
        <v>-1.4672924873454583</v>
      </c>
      <c r="D211">
        <f>IF($B211&lt;=regressions!$L$2,$B211*regressions!$L$1,regressions!$L$1*regressions!$L$2+regressions!$L$3*($B211-regressions!$L$2))</f>
        <v>-1.9705388494075768</v>
      </c>
      <c r="E211">
        <f>regressions!$J$1*B211+regressions!$J$2*B211^2</f>
        <v>-1.6264107361621805</v>
      </c>
      <c r="F211">
        <f>regressions!$V$1*B211</f>
        <v>-1.9705388549706584</v>
      </c>
      <c r="G211">
        <f>regressions!$N$1*B211^2</f>
        <v>-1.0711155060392583</v>
      </c>
      <c r="H211">
        <f>regressions!$R$1*B211^2+regressions!$R$2*B211^6</f>
        <v>-1.1640813732192807</v>
      </c>
      <c r="I211">
        <f>regressions!$P$1*B211^2+regressions!$P$2*B211^7</f>
        <v>-1.1280796216783142</v>
      </c>
      <c r="J211">
        <f>regressions!$T$2+regressions!$T$1*EXP(B211)</f>
        <v>-8.5441851823423814E-2</v>
      </c>
      <c r="K211" s="8">
        <f>(1-EXP(-2*regressions!$X$1*B211))/2/EXP(-regressions!$X$1*B211)</f>
        <v>-1.1893349447603854</v>
      </c>
      <c r="M211" s="33">
        <v>2.345717994337738</v>
      </c>
      <c r="N211">
        <f t="shared" si="52"/>
        <v>-1.3738661456840724</v>
      </c>
      <c r="O211">
        <f>IF($B211&lt;=regressions!$L$2,$B211*regressions!$L$1,regressions!$L$1*regressions!$L$2+regressions!$L$3*($B211-regressions!$L$2))</f>
        <v>-1.9705388494075768</v>
      </c>
      <c r="P211">
        <f>regressions!$J$1*M211+regressions!$J$2*M211^2</f>
        <v>-1.5131285822178757</v>
      </c>
      <c r="Q211">
        <f>regressions!$V$1*M211</f>
        <v>-1.8643293684147979</v>
      </c>
      <c r="R211">
        <f>regressions!$N$1*M211^2</f>
        <v>-0.9587637006766907</v>
      </c>
      <c r="S211">
        <f>regressions!$R$1*M211^2+regressions!$R$2*M211^6</f>
        <v>-1.0424330958392534</v>
      </c>
      <c r="T211">
        <f>regressions!$P$1*M211^2+regressions!$P$2*M211^7</f>
        <v>-1.0098756382045493</v>
      </c>
      <c r="U211">
        <f>regressions!$T$2+regressions!$T$1*EXP(M211)</f>
        <v>-7.3776427501456215E-2</v>
      </c>
      <c r="V211" s="8">
        <f>(1-EXP(-2*regressions!$X$1*M211))/2/EXP(-regressions!$X$1*M211)</f>
        <v>-1.1065368079938331</v>
      </c>
      <c r="X211" s="33">
        <v>2.072117399930165</v>
      </c>
      <c r="Y211">
        <f t="shared" si="53"/>
        <v>-1.1931880770984726</v>
      </c>
      <c r="Z211">
        <f>IF($B211&lt;=regressions!$L$2,$B211*regressions!$L$1,regressions!$L$1*regressions!$L$2+regressions!$L$3*($B211-regressions!$L$2))</f>
        <v>-1.9705388494075768</v>
      </c>
      <c r="AA211">
        <f>regressions!$J$1*X211+regressions!$J$2*X211^2</f>
        <v>-1.2903025310486473</v>
      </c>
      <c r="AB211">
        <f>regressions!$V$1*X211</f>
        <v>-1.6468771322120423</v>
      </c>
      <c r="AC211">
        <f>regressions!$N$1*X211^2</f>
        <v>-0.74815003299183269</v>
      </c>
      <c r="AD211">
        <f>regressions!$R$1*X211^2+regressions!$R$2*X211^6</f>
        <v>-0.81399918898649704</v>
      </c>
      <c r="AE211">
        <f>regressions!$P$1*X211^2+regressions!$P$2*X211^7</f>
        <v>-0.78817296351225297</v>
      </c>
      <c r="AF211">
        <f>regressions!$T$2+regressions!$T$1*EXP(X211)</f>
        <v>-5.4246442279004159E-2</v>
      </c>
      <c r="AG211" s="8">
        <f>(1-EXP(-2*regressions!$X$1*X211))/2/EXP(-regressions!$X$1*X211)</f>
        <v>-0.9469751327950342</v>
      </c>
      <c r="AH211" s="8"/>
      <c r="AI211" s="33">
        <v>1.9093537237702303</v>
      </c>
      <c r="AJ211">
        <f t="shared" si="54"/>
        <v>-1.0326591880472384</v>
      </c>
      <c r="AK211">
        <f>IF(AI211&lt;=regressions!$L$2,AI211*regressions!$L$1,regressions!$L$1*regressions!$L$2+regressions!$L$3*(AI211-regressions!$L$2))</f>
        <v>-1.5175158396960691</v>
      </c>
      <c r="AL211">
        <f>regressions!$J$1*AI211+regressions!$J$2*AI211^2</f>
        <v>-1.1635494345530317</v>
      </c>
      <c r="AM211">
        <f>regressions!$V$1*AI211</f>
        <v>-1.5175158439802092</v>
      </c>
      <c r="AN211">
        <f>regressions!$N$1*AI211^2</f>
        <v>-0.63523258747153677</v>
      </c>
      <c r="AO211">
        <f>regressions!$R$1*AI211^2+regressions!$R$2*AI211^6</f>
        <v>-0.69134965825274586</v>
      </c>
      <c r="AP211">
        <f>regressions!$P$1*AI211^2+regressions!$P$2*AI211^7</f>
        <v>-0.66926097338141266</v>
      </c>
      <c r="AQ211">
        <f>regressions!$T$2+regressions!$T$1*EXP(AI211)</f>
        <v>-4.4924366899625173E-2</v>
      </c>
      <c r="AR211" s="8">
        <f>(1-EXP(-2*regressions!$X$1*AI211))/2/EXP(-regressions!$X$1*AI211)</f>
        <v>-0.85774994194351106</v>
      </c>
      <c r="AT211" s="33">
        <v>1.5851088357882794</v>
      </c>
      <c r="AU211">
        <f t="shared" si="55"/>
        <v>-0.81236485167345618</v>
      </c>
      <c r="AV211">
        <f>IF(AT211&lt;=regressions!$L$2,AT211*regressions!$L$1,regressions!$L$1*regressions!$L$2+regressions!$L$3*(AT211-regressions!$L$2))</f>
        <v>-1.2598125407591454</v>
      </c>
      <c r="AW211">
        <f>regressions!$J$1*AT211+regressions!$J$2*AT211^2</f>
        <v>-0.92394848012880937</v>
      </c>
      <c r="AX211">
        <f>regressions!$V$1*AT211</f>
        <v>-1.2598125443157564</v>
      </c>
      <c r="AY211">
        <f>regressions!$N$1*AT211^2</f>
        <v>-0.43780242008937065</v>
      </c>
      <c r="AZ211">
        <f>regressions!$R$1*AT211^2+regressions!$R$2*AT211^6</f>
        <v>-0.47667128730435049</v>
      </c>
      <c r="BA211">
        <f>regressions!$P$1*AT211^2+regressions!$P$2*AT211^7</f>
        <v>-0.46129284509772023</v>
      </c>
      <c r="BB211">
        <f>regressions!$T$2+regressions!$T$1*EXP(AT211)</f>
        <v>-3.03195128481503E-2</v>
      </c>
      <c r="BC211" s="8">
        <f>(1-EXP(-2*regressions!$X$1*AT211))/2/EXP(-regressions!$X$1*AT211)</f>
        <v>-0.69085592934478157</v>
      </c>
      <c r="BE211">
        <f t="shared" si="56"/>
        <v>9.3426341661385859E-2</v>
      </c>
      <c r="BF211">
        <f t="shared" si="47"/>
        <v>0.27410441024698562</v>
      </c>
      <c r="BG211">
        <f t="shared" si="48"/>
        <v>0.43463329929821981</v>
      </c>
      <c r="BH211">
        <f>BG211+regressions!$AR$1*(AI211-B211)</f>
        <v>-0.16576442496449317</v>
      </c>
      <c r="BI211">
        <f>BG211-regressions!$AO$1*(AI211-B211)</f>
        <v>1.2502961036319056</v>
      </c>
      <c r="BJ211">
        <f t="shared" si="49"/>
        <v>0.65492763567200207</v>
      </c>
      <c r="BK211">
        <f>BJ211+regressions!$AR$1*(AT211-B211)</f>
        <v>-0.28700787121957461</v>
      </c>
      <c r="BL211">
        <f>BJ211-regressions!$AO$1*(AT211-B211)</f>
        <v>1.9345823145702741</v>
      </c>
      <c r="BM211">
        <f t="shared" si="57"/>
        <v>0.18067806858559976</v>
      </c>
      <c r="BN211">
        <f t="shared" si="50"/>
        <v>0.34120695763683395</v>
      </c>
      <c r="BO211">
        <f t="shared" si="51"/>
        <v>0.56150129401061621</v>
      </c>
      <c r="BP211">
        <f t="shared" si="58"/>
        <v>0.16052888905123419</v>
      </c>
      <c r="BQ211">
        <f t="shared" si="59"/>
        <v>0.38082322542501645</v>
      </c>
      <c r="BR211">
        <f t="shared" si="60"/>
        <v>0.22029433637378226</v>
      </c>
    </row>
    <row r="212" spans="1:70" x14ac:dyDescent="0.35">
      <c r="A212">
        <f t="shared" si="46"/>
        <v>2059</v>
      </c>
      <c r="B212" s="33">
        <v>2.5236649855521534</v>
      </c>
      <c r="C212">
        <f t="shared" si="61"/>
        <v>-1.5036734713132531</v>
      </c>
      <c r="D212">
        <f>IF($B212&lt;=regressions!$L$2,$B212*regressions!$L$1,regressions!$L$1*regressions!$L$2+regressions!$L$3*($B212-regressions!$L$2))</f>
        <v>-2.0057580436691294</v>
      </c>
      <c r="E212">
        <f>regressions!$J$1*B212+regressions!$J$2*B212^2</f>
        <v>-1.6646197348126253</v>
      </c>
      <c r="F212">
        <f>regressions!$V$1*B212</f>
        <v>-2.0057580493316389</v>
      </c>
      <c r="G212">
        <f>regressions!$N$1*B212^2</f>
        <v>-1.1097454896071286</v>
      </c>
      <c r="H212">
        <f>regressions!$R$1*B212^2+regressions!$R$2*B212^6</f>
        <v>-1.2058696688704242</v>
      </c>
      <c r="I212">
        <f>regressions!$P$1*B212^2+regressions!$P$2*B212^7</f>
        <v>-1.1687095678805208</v>
      </c>
      <c r="J212">
        <f>regressions!$T$2+regressions!$T$1*EXP(B212)</f>
        <v>-8.9667270779499736E-2</v>
      </c>
      <c r="K212" s="8">
        <f>(1-EXP(-2*regressions!$X$1*B212))/2/EXP(-regressions!$X$1*B212)</f>
        <v>-1.2175555626275105</v>
      </c>
      <c r="M212" s="33">
        <v>2.3804606116949421</v>
      </c>
      <c r="N212">
        <f t="shared" si="52"/>
        <v>-1.4024675089417591</v>
      </c>
      <c r="O212">
        <f>IF($B212&lt;=regressions!$L$2,$B212*regressions!$L$1,regressions!$L$1*regressions!$L$2+regressions!$L$3*($B212-regressions!$L$2))</f>
        <v>-2.0057580436691294</v>
      </c>
      <c r="P212">
        <f>regressions!$J$1*M212+regressions!$J$2*M212^2</f>
        <v>-1.5422992775645821</v>
      </c>
      <c r="Q212">
        <f>regressions!$V$1*M212</f>
        <v>-1.8919421002227066</v>
      </c>
      <c r="R212">
        <f>regressions!$N$1*M212^2</f>
        <v>-0.98737467498570219</v>
      </c>
      <c r="S212">
        <f>regressions!$R$1*M212^2+regressions!$R$2*M212^6</f>
        <v>-1.0734265060596837</v>
      </c>
      <c r="T212">
        <f>regressions!$P$1*M212^2+regressions!$P$2*M212^7</f>
        <v>-1.0399816191709548</v>
      </c>
      <c r="U212">
        <f>regressions!$T$2+regressions!$T$1*EXP(M212)</f>
        <v>-7.6660933107360024E-2</v>
      </c>
      <c r="V212" s="8">
        <f>(1-EXP(-2*regressions!$X$1*M212))/2/EXP(-regressions!$X$1*M212)</f>
        <v>-1.1277382713131645</v>
      </c>
      <c r="X212" s="33">
        <v>2.0894885591653334</v>
      </c>
      <c r="Y212">
        <f t="shared" si="53"/>
        <v>-1.2088817725608112</v>
      </c>
      <c r="Z212">
        <f>IF($B212&lt;=regressions!$L$2,$B212*regressions!$L$1,regressions!$L$1*regressions!$L$2+regressions!$L$3*($B212-regressions!$L$2))</f>
        <v>-2.0057580436691294</v>
      </c>
      <c r="AA212">
        <f>regressions!$J$1*X212+regressions!$J$2*X212^2</f>
        <v>-1.304086171525775</v>
      </c>
      <c r="AB212">
        <f>regressions!$V$1*X212</f>
        <v>-1.6606833793413687</v>
      </c>
      <c r="AC212">
        <f>regressions!$N$1*X212^2</f>
        <v>-0.76074652867892112</v>
      </c>
      <c r="AD212">
        <f>regressions!$R$1*X212^2+regressions!$R$2*X212^6</f>
        <v>-0.8276742934837229</v>
      </c>
      <c r="AE212">
        <f>regressions!$P$1*X212^2+regressions!$P$2*X212^7</f>
        <v>-0.80143631398786097</v>
      </c>
      <c r="AF212">
        <f>regressions!$T$2+regressions!$T$1*EXP(X212)</f>
        <v>-5.5333933804365069E-2</v>
      </c>
      <c r="AG212" s="8">
        <f>(1-EXP(-2*regressions!$X$1*X212))/2/EXP(-regressions!$X$1*X212)</f>
        <v>-0.95673628575442005</v>
      </c>
      <c r="AH212" s="8"/>
      <c r="AI212" s="33">
        <v>1.9185571672526061</v>
      </c>
      <c r="AJ212">
        <f t="shared" si="54"/>
        <v>-1.0391932246753823</v>
      </c>
      <c r="AK212">
        <f>IF(AI212&lt;=regressions!$L$2,AI212*regressions!$L$1,regressions!$L$1*regressions!$L$2+regressions!$L$3*(AI212-regressions!$L$2))</f>
        <v>-1.5248305509988416</v>
      </c>
      <c r="AL212">
        <f>regressions!$J$1*AI212+regressions!$J$2*AI212^2</f>
        <v>-1.1706011538194865</v>
      </c>
      <c r="AM212">
        <f>regressions!$V$1*AI212</f>
        <v>-1.5248305553036321</v>
      </c>
      <c r="AN212">
        <f>regressions!$N$1*AI212^2</f>
        <v>-0.6413712273070965</v>
      </c>
      <c r="AO212">
        <f>regressions!$R$1*AI212^2+regressions!$R$2*AI212^6</f>
        <v>-0.69802013412923469</v>
      </c>
      <c r="AP212">
        <f>regressions!$P$1*AI212^2+regressions!$P$2*AI212^7</f>
        <v>-0.67572621035383673</v>
      </c>
      <c r="AQ212">
        <f>regressions!$T$2+regressions!$T$1*EXP(AI212)</f>
        <v>-4.5411988054329236E-2</v>
      </c>
      <c r="AR212" s="8">
        <f>(1-EXP(-2*regressions!$X$1*AI212))/2/EXP(-regressions!$X$1*AI212)</f>
        <v>-0.8626911170527255</v>
      </c>
      <c r="AT212" s="33">
        <v>1.5857946689260314</v>
      </c>
      <c r="AU212">
        <f t="shared" si="55"/>
        <v>-0.8128106516318101</v>
      </c>
      <c r="AV212">
        <f>IF(AT212&lt;=regressions!$L$2,AT212*regressions!$L$1,regressions!$L$1*regressions!$L$2+regressions!$L$3*(AT212-regressions!$L$2))</f>
        <v>-1.2603576271079817</v>
      </c>
      <c r="AW212">
        <f>regressions!$J$1*AT212+regressions!$J$2*AT212^2</f>
        <v>-0.92443713969750441</v>
      </c>
      <c r="AX212">
        <f>regressions!$V$1*AT212</f>
        <v>-1.2603576306661315</v>
      </c>
      <c r="AY212">
        <f>regressions!$N$1*AT212^2</f>
        <v>-0.43818135225820554</v>
      </c>
      <c r="AZ212">
        <f>regressions!$R$1*AT212^2+regressions!$R$2*AT212^6</f>
        <v>-0.47708355911541001</v>
      </c>
      <c r="BA212">
        <f>regressions!$P$1*AT212^2+regressions!$P$2*AT212^7</f>
        <v>-0.46169205529637852</v>
      </c>
      <c r="BB212">
        <f>regressions!$T$2+regressions!$T$1*EXP(AT212)</f>
        <v>-3.034567550160789E-2</v>
      </c>
      <c r="BC212" s="8">
        <f>(1-EXP(-2*regressions!$X$1*AT212))/2/EXP(-regressions!$X$1*AT212)</f>
        <v>-0.69119523611956823</v>
      </c>
      <c r="BE212">
        <f t="shared" si="56"/>
        <v>0.10120596237149404</v>
      </c>
      <c r="BF212">
        <f t="shared" si="47"/>
        <v>0.29479169875244193</v>
      </c>
      <c r="BG212">
        <f t="shared" si="48"/>
        <v>0.4644802466378708</v>
      </c>
      <c r="BH212">
        <f>BG212+regressions!$AR$1*(AI212-B212)</f>
        <v>-0.1728996787625906</v>
      </c>
      <c r="BI212">
        <f>BG212-regressions!$AO$1*(AI212-B212)</f>
        <v>1.3303847568799041</v>
      </c>
      <c r="BJ212">
        <f t="shared" si="49"/>
        <v>0.69086281968144303</v>
      </c>
      <c r="BK212">
        <f>BJ212+regressions!$AR$1*(AT212-B212)</f>
        <v>-0.29702676688236018</v>
      </c>
      <c r="BL212">
        <f>BJ212-regressions!$AO$1*(AT212-B212)</f>
        <v>2.0329478376387966</v>
      </c>
      <c r="BM212">
        <f t="shared" si="57"/>
        <v>0.19358573638094789</v>
      </c>
      <c r="BN212">
        <f t="shared" si="50"/>
        <v>0.36327428426637676</v>
      </c>
      <c r="BO212">
        <f t="shared" si="51"/>
        <v>0.58965685730994899</v>
      </c>
      <c r="BP212">
        <f t="shared" si="58"/>
        <v>0.16968854788542886</v>
      </c>
      <c r="BQ212">
        <f t="shared" si="59"/>
        <v>0.3960711209290011</v>
      </c>
      <c r="BR212">
        <f t="shared" si="60"/>
        <v>0.22638257304357223</v>
      </c>
    </row>
    <row r="213" spans="1:70" x14ac:dyDescent="0.35">
      <c r="A213">
        <f t="shared" si="46"/>
        <v>2060</v>
      </c>
      <c r="B213" s="33">
        <v>2.5685106566220663</v>
      </c>
      <c r="C213">
        <f t="shared" si="61"/>
        <v>-1.5408788078659563</v>
      </c>
      <c r="D213">
        <f>IF($B213&lt;=regressions!$L$2,$B213*regressions!$L$1,regressions!$L$1*regressions!$L$2+regressions!$L$3*($B213-regressions!$L$2))</f>
        <v>-2.0414004787733027</v>
      </c>
      <c r="E213">
        <f>regressions!$J$1*B213+regressions!$J$2*B213^2</f>
        <v>-1.7036147052477726</v>
      </c>
      <c r="F213">
        <f>regressions!$V$1*B213</f>
        <v>-2.0414004845364357</v>
      </c>
      <c r="G213">
        <f>regressions!$N$1*B213^2</f>
        <v>-1.1495364010012472</v>
      </c>
      <c r="H213">
        <f>regressions!$R$1*B213^2+regressions!$R$2*B213^6</f>
        <v>-1.2488921853837782</v>
      </c>
      <c r="I213">
        <f>regressions!$P$1*B213^2+regressions!$P$2*B213^7</f>
        <v>-1.2105534196086505</v>
      </c>
      <c r="J213">
        <f>regressions!$T$2+regressions!$T$1*EXP(B213)</f>
        <v>-9.413842014022461E-2</v>
      </c>
      <c r="K213" s="8">
        <f>(1-EXP(-2*regressions!$X$1*B213))/2/EXP(-regressions!$X$1*B213)</f>
        <v>-1.2465186020077497</v>
      </c>
      <c r="M213" s="33">
        <v>2.4153428045860377</v>
      </c>
      <c r="N213">
        <f t="shared" si="52"/>
        <v>-1.4314534630540698</v>
      </c>
      <c r="O213">
        <f>IF($B213&lt;=regressions!$L$2,$B213*regressions!$L$1,regressions!$L$1*regressions!$L$2+regressions!$L$3*($B213-regressions!$L$2))</f>
        <v>-2.0414004787733027</v>
      </c>
      <c r="P213">
        <f>regressions!$J$1*M213+regressions!$J$2*M213^2</f>
        <v>-1.5717856666726397</v>
      </c>
      <c r="Q213">
        <f>regressions!$V$1*M213</f>
        <v>-1.9196657638508827</v>
      </c>
      <c r="R213">
        <f>regressions!$N$1*M213^2</f>
        <v>-1.0165237740560107</v>
      </c>
      <c r="S213">
        <f>regressions!$R$1*M213^2+regressions!$R$2*M213^6</f>
        <v>-1.1049924724855344</v>
      </c>
      <c r="T213">
        <f>regressions!$P$1*M213^2+regressions!$P$2*M213^7</f>
        <v>-1.0706506174929764</v>
      </c>
      <c r="U213">
        <f>regressions!$T$2+regressions!$T$1*EXP(M213)</f>
        <v>-7.965962361391743E-2</v>
      </c>
      <c r="V213" s="8">
        <f>(1-EXP(-2*regressions!$X$1*M213))/2/EXP(-regressions!$X$1*M213)</f>
        <v>-1.1492517813669481</v>
      </c>
      <c r="X213" s="33">
        <v>2.1064671249233733</v>
      </c>
      <c r="Y213">
        <f t="shared" si="53"/>
        <v>-1.2244360691064491</v>
      </c>
      <c r="Z213">
        <f>IF($B213&lt;=regressions!$L$2,$B213*regressions!$L$1,regressions!$L$1*regressions!$L$2+regressions!$L$3*($B213-regressions!$L$2))</f>
        <v>-2.0414004787733027</v>
      </c>
      <c r="AA213">
        <f>regressions!$J$1*X213+regressions!$J$2*X213^2</f>
        <v>-1.3176059651561967</v>
      </c>
      <c r="AB213">
        <f>regressions!$V$1*X213</f>
        <v>-1.6741776010903955</v>
      </c>
      <c r="AC213">
        <f>regressions!$N$1*X213^2</f>
        <v>-0.77315996091967709</v>
      </c>
      <c r="AD213">
        <f>regressions!$R$1*X213^2+regressions!$R$2*X213^6</f>
        <v>-0.84114918516516624</v>
      </c>
      <c r="AE213">
        <f>regressions!$P$1*X213^2+regressions!$P$2*X213^7</f>
        <v>-0.81450650756330678</v>
      </c>
      <c r="AF213">
        <f>regressions!$T$2+regressions!$T$1*EXP(X213)</f>
        <v>-5.6415260151404974E-2</v>
      </c>
      <c r="AG213" s="8">
        <f>(1-EXP(-2*regressions!$X$1*X213))/2/EXP(-regressions!$X$1*X213)</f>
        <v>-0.96632304738187524</v>
      </c>
      <c r="AH213" s="8"/>
      <c r="AI213" s="33">
        <v>1.9272845398577902</v>
      </c>
      <c r="AJ213">
        <f t="shared" si="54"/>
        <v>-1.0454037329797361</v>
      </c>
      <c r="AK213">
        <f>IF(AI213&lt;=regressions!$L$2,AI213*regressions!$L$1,regressions!$L$1*regressions!$L$2+regressions!$L$3*(AI213-regressions!$L$2))</f>
        <v>-1.5317668907678526</v>
      </c>
      <c r="AL213">
        <f>regressions!$J$1*AI213+regressions!$J$2*AI213^2</f>
        <v>-1.1773008958250142</v>
      </c>
      <c r="AM213">
        <f>regressions!$V$1*AI213</f>
        <v>-1.5317668950922252</v>
      </c>
      <c r="AN213">
        <f>regressions!$N$1*AI213^2</f>
        <v>-0.64721959820362318</v>
      </c>
      <c r="AO213">
        <f>regressions!$R$1*AI213^2+regressions!$R$2*AI213^6</f>
        <v>-0.70437491230200522</v>
      </c>
      <c r="AP213">
        <f>regressions!$P$1*AI213^2+regressions!$P$2*AI213^7</f>
        <v>-0.68188566477861379</v>
      </c>
      <c r="AQ213">
        <f>regressions!$T$2+regressions!$T$1*EXP(AI213)</f>
        <v>-4.5878549856362125E-2</v>
      </c>
      <c r="AR213" s="8">
        <f>(1-EXP(-2*regressions!$X$1*AI213))/2/EXP(-regressions!$X$1*AI213)</f>
        <v>-0.86738787870026046</v>
      </c>
      <c r="AT213" s="33">
        <v>1.5862345089653358</v>
      </c>
      <c r="AU213">
        <f t="shared" si="55"/>
        <v>-0.8130965976737069</v>
      </c>
      <c r="AV213">
        <f>IF(AT213&lt;=regressions!$L$2,AT213*regressions!$L$1,regressions!$L$1*regressions!$L$2+regressions!$L$3*(AT213-regressions!$L$2))</f>
        <v>-1.2607072031023445</v>
      </c>
      <c r="AW213">
        <f>regressions!$J$1*AT213+regressions!$J$2*AT213^2</f>
        <v>-0.92475056841071934</v>
      </c>
      <c r="AX213">
        <f>regressions!$V$1*AT213</f>
        <v>-1.2607072066614811</v>
      </c>
      <c r="AY213">
        <f>regressions!$N$1*AT213^2</f>
        <v>-0.4384244561542861</v>
      </c>
      <c r="AZ213">
        <f>regressions!$R$1*AT213^2+regressions!$R$2*AT213^6</f>
        <v>-0.47734805164217159</v>
      </c>
      <c r="BA213">
        <f>regressions!$P$1*AT213^2+regressions!$P$2*AT213^7</f>
        <v>-0.46194816847490272</v>
      </c>
      <c r="BB213">
        <f>regressions!$T$2+regressions!$T$1*EXP(AT213)</f>
        <v>-3.0362463639067888E-2</v>
      </c>
      <c r="BC213" s="8">
        <f>(1-EXP(-2*regressions!$X$1*AT213))/2/EXP(-regressions!$X$1*AT213)</f>
        <v>-0.69141286944247327</v>
      </c>
      <c r="BE213">
        <f t="shared" si="56"/>
        <v>0.10942534481188648</v>
      </c>
      <c r="BF213">
        <f t="shared" si="47"/>
        <v>0.31644273875950724</v>
      </c>
      <c r="BG213">
        <f t="shared" si="48"/>
        <v>0.49547507488622022</v>
      </c>
      <c r="BH213">
        <f>BG213+regressions!$AR$1*(AI213-B213)</f>
        <v>-0.17994943973428046</v>
      </c>
      <c r="BI213">
        <f>BG213-regressions!$AO$1*(AI213-B213)</f>
        <v>1.4130645850523407</v>
      </c>
      <c r="BJ213">
        <f t="shared" si="49"/>
        <v>0.72778221019224942</v>
      </c>
      <c r="BK213">
        <f>BJ213+regressions!$AR$1*(AT213-B213)</f>
        <v>-0.30688149565028333</v>
      </c>
      <c r="BL213">
        <f>BJ213-regressions!$AO$1*(AT213-B213)</f>
        <v>2.1334116217396639</v>
      </c>
      <c r="BM213">
        <f t="shared" si="57"/>
        <v>0.20701739394762075</v>
      </c>
      <c r="BN213">
        <f t="shared" si="50"/>
        <v>0.38604973007433374</v>
      </c>
      <c r="BO213">
        <f t="shared" si="51"/>
        <v>0.61835686538036294</v>
      </c>
      <c r="BP213">
        <f t="shared" si="58"/>
        <v>0.17903233612671299</v>
      </c>
      <c r="BQ213">
        <f t="shared" si="59"/>
        <v>0.41133947143274219</v>
      </c>
      <c r="BR213">
        <f t="shared" si="60"/>
        <v>0.2323071353060292</v>
      </c>
    </row>
    <row r="214" spans="1:70" x14ac:dyDescent="0.35">
      <c r="A214">
        <f t="shared" si="46"/>
        <v>2061</v>
      </c>
      <c r="B214" s="33">
        <v>2.6138908699537624</v>
      </c>
      <c r="C214">
        <f t="shared" si="61"/>
        <v>-1.5789254564008868</v>
      </c>
      <c r="D214">
        <f>IF($B214&lt;=regressions!$L$2,$B214*regressions!$L$1,regressions!$L$1*regressions!$L$2+regressions!$L$3*($B214-regressions!$L$2))</f>
        <v>-2.0774677572887019</v>
      </c>
      <c r="E214">
        <f>regressions!$J$1*B214+regressions!$J$2*B214^2</f>
        <v>-1.7434091345995544</v>
      </c>
      <c r="F214">
        <f>regressions!$V$1*B214</f>
        <v>-2.0774677631536576</v>
      </c>
      <c r="G214">
        <f>regressions!$N$1*B214^2</f>
        <v>-1.1905150443113877</v>
      </c>
      <c r="H214">
        <f>regressions!$R$1*B214^2+regressions!$R$2*B214^6</f>
        <v>-1.2931751383514165</v>
      </c>
      <c r="I214">
        <f>regressions!$P$1*B214^2+regressions!$P$2*B214^7</f>
        <v>-1.2536383133417557</v>
      </c>
      <c r="J214">
        <f>regressions!$T$2+regressions!$T$1*EXP(B214)</f>
        <v>-9.8871658314124755E-2</v>
      </c>
      <c r="K214" s="8">
        <f>(1-EXP(-2*regressions!$X$1*B214))/2/EXP(-regressions!$X$1*B214)</f>
        <v>-1.2762496689911522</v>
      </c>
      <c r="M214" s="33">
        <v>2.4503629770504554</v>
      </c>
      <c r="N214">
        <f t="shared" si="52"/>
        <v>-1.4608265245199901</v>
      </c>
      <c r="O214">
        <f>IF($B214&lt;=regressions!$L$2,$B214*regressions!$L$1,regressions!$L$1*regressions!$L$2+regressions!$L$3*($B214-regressions!$L$2))</f>
        <v>-2.0774677572887019</v>
      </c>
      <c r="P214">
        <f>regressions!$J$1*M214+regressions!$J$2*M214^2</f>
        <v>-1.6015887743789694</v>
      </c>
      <c r="Q214">
        <f>regressions!$V$1*M214</f>
        <v>-1.9474990908620429</v>
      </c>
      <c r="R214">
        <f>regressions!$N$1*M214^2</f>
        <v>-1.0462147251309553</v>
      </c>
      <c r="S214">
        <f>regressions!$R$1*M214^2+regressions!$R$2*M214^6</f>
        <v>-1.137134131362264</v>
      </c>
      <c r="T214">
        <f>regressions!$P$1*M214^2+regressions!$P$2*M214^7</f>
        <v>-1.1018862245020884</v>
      </c>
      <c r="U214">
        <f>regressions!$T$2+regressions!$T$1*EXP(M214)</f>
        <v>-8.2777259747125881E-2</v>
      </c>
      <c r="V214" s="8">
        <f>(1-EXP(-2*regressions!$X$1*M214))/2/EXP(-regressions!$X$1*M214)</f>
        <v>-1.171083429355573</v>
      </c>
      <c r="X214" s="33">
        <v>2.1230557546463436</v>
      </c>
      <c r="Y214">
        <f t="shared" si="53"/>
        <v>-1.2398492133328314</v>
      </c>
      <c r="Z214">
        <f>IF($B214&lt;=regressions!$L$2,$B214*regressions!$L$1,regressions!$L$1*regressions!$L$2+regressions!$L$3*($B214-regressions!$L$2))</f>
        <v>-2.0774677572887019</v>
      </c>
      <c r="AA214">
        <f>regressions!$J$1*X214+regressions!$J$2*X214^2</f>
        <v>-1.330860770070772</v>
      </c>
      <c r="AB214">
        <f>regressions!$V$1*X214</f>
        <v>-1.6873619095404926</v>
      </c>
      <c r="AC214">
        <f>regressions!$N$1*X214^2</f>
        <v>-0.78538532709933484</v>
      </c>
      <c r="AD214">
        <f>regressions!$R$1*X214^2+regressions!$R$2*X214^6</f>
        <v>-0.85441847592554432</v>
      </c>
      <c r="AE214">
        <f>regressions!$P$1*X214^2+regressions!$P$2*X214^7</f>
        <v>-0.82737828526090229</v>
      </c>
      <c r="AF214">
        <f>regressions!$T$2+regressions!$T$1*EXP(X214)</f>
        <v>-5.7489633148145279E-2</v>
      </c>
      <c r="AG214" s="8">
        <f>(1-EXP(-2*regressions!$X$1*X214))/2/EXP(-regressions!$X$1*X214)</f>
        <v>-0.97573420175632508</v>
      </c>
      <c r="AH214" s="8"/>
      <c r="AI214" s="33">
        <v>1.9355475299521079</v>
      </c>
      <c r="AJ214">
        <f t="shared" si="54"/>
        <v>-1.0512967627947425</v>
      </c>
      <c r="AK214">
        <f>IF(AI214&lt;=regressions!$L$2,AI214*regressions!$L$1,regressions!$L$1*regressions!$L$2+regressions!$L$3*(AI214-regressions!$L$2))</f>
        <v>-1.5383341486809743</v>
      </c>
      <c r="AL214">
        <f>regressions!$J$1*AI214+regressions!$J$2*AI214^2</f>
        <v>-1.1836556199544901</v>
      </c>
      <c r="AM214">
        <f>regressions!$V$1*AI214</f>
        <v>-1.5383341530238872</v>
      </c>
      <c r="AN214">
        <f>regressions!$N$1*AI214^2</f>
        <v>-0.65278124039035157</v>
      </c>
      <c r="AO214">
        <f>regressions!$R$1*AI214^2+regressions!$R$2*AI214^6</f>
        <v>-0.71041787775927423</v>
      </c>
      <c r="AP214">
        <f>regressions!$P$1*AI214^2+regressions!$P$2*AI214^7</f>
        <v>-0.68774307447411076</v>
      </c>
      <c r="AQ214">
        <f>regressions!$T$2+regressions!$T$1*EXP(AI214)</f>
        <v>-4.6324054424281197E-2</v>
      </c>
      <c r="AR214" s="8">
        <f>(1-EXP(-2*regressions!$X$1*AI214))/2/EXP(-regressions!$X$1*AI214)</f>
        <v>-0.8718448116980414</v>
      </c>
      <c r="AT214" s="33">
        <v>1.5864412823015119</v>
      </c>
      <c r="AU214">
        <f t="shared" si="55"/>
        <v>-0.81323103590435786</v>
      </c>
      <c r="AV214">
        <f>IF(AT214&lt;=regressions!$L$2,AT214*regressions!$L$1,regressions!$L$1*regressions!$L$2+regressions!$L$3*(AT214-regressions!$L$2))</f>
        <v>-1.260871542380587</v>
      </c>
      <c r="AW214">
        <f>regressions!$J$1*AT214+regressions!$J$2*AT214^2</f>
        <v>-0.92489792540744442</v>
      </c>
      <c r="AX214">
        <f>regressions!$V$1*AT214</f>
        <v>-1.2608715459401876</v>
      </c>
      <c r="AY214">
        <f>regressions!$N$1*AT214^2</f>
        <v>-0.43853876509861067</v>
      </c>
      <c r="AZ214">
        <f>regressions!$R$1*AT214^2+regressions!$R$2*AT214^6</f>
        <v>-0.47747241754015274</v>
      </c>
      <c r="BA214">
        <f>regressions!$P$1*AT214^2+regressions!$P$2*AT214^7</f>
        <v>-0.46206859444054355</v>
      </c>
      <c r="BB214">
        <f>regressions!$T$2+regressions!$T$1*EXP(AT214)</f>
        <v>-3.0370358467522104E-2</v>
      </c>
      <c r="BC214" s="8">
        <f>(1-EXP(-2*regressions!$X$1*AT214))/2/EXP(-regressions!$X$1*AT214)</f>
        <v>-0.69151518876749274</v>
      </c>
      <c r="BE214">
        <f t="shared" si="56"/>
        <v>0.11809893188089671</v>
      </c>
      <c r="BF214">
        <f t="shared" si="47"/>
        <v>0.33907624306805539</v>
      </c>
      <c r="BG214">
        <f t="shared" si="48"/>
        <v>0.52762869360614428</v>
      </c>
      <c r="BH214">
        <f>BG214+regressions!$AR$1*(AI214-B214)</f>
        <v>-0.18689261048337169</v>
      </c>
      <c r="BI214">
        <f>BG214-regressions!$AO$1*(AI214-B214)</f>
        <v>1.4983326571588114</v>
      </c>
      <c r="BJ214">
        <f t="shared" si="49"/>
        <v>0.76569442049652892</v>
      </c>
      <c r="BK214">
        <f>BJ214+regressions!$AR$1*(AT214-B214)</f>
        <v>-0.31655195234134814</v>
      </c>
      <c r="BL214">
        <f>BJ214-regressions!$AO$1*(AT214-B214)</f>
        <v>2.2359666680019892</v>
      </c>
      <c r="BM214">
        <f t="shared" si="57"/>
        <v>0.22097731118715869</v>
      </c>
      <c r="BN214">
        <f t="shared" si="50"/>
        <v>0.40952976172524758</v>
      </c>
      <c r="BO214">
        <f t="shared" si="51"/>
        <v>0.64759548861563221</v>
      </c>
      <c r="BP214">
        <f t="shared" si="58"/>
        <v>0.18855245053808889</v>
      </c>
      <c r="BQ214">
        <f t="shared" si="59"/>
        <v>0.42661817742847352</v>
      </c>
      <c r="BR214">
        <f t="shared" si="60"/>
        <v>0.23806572689038463</v>
      </c>
    </row>
    <row r="215" spans="1:70" x14ac:dyDescent="0.35">
      <c r="A215">
        <f t="shared" si="46"/>
        <v>2062</v>
      </c>
      <c r="B215" s="33">
        <v>2.6598075420395602</v>
      </c>
      <c r="C215">
        <f t="shared" si="61"/>
        <v>-1.6178306328022667</v>
      </c>
      <c r="D215">
        <f>IF($B215&lt;=regressions!$L$2,$B215*regressions!$L$1,regressions!$L$1*regressions!$L$2+regressions!$L$3*($B215-regressions!$L$2))</f>
        <v>-2.1139614024047777</v>
      </c>
      <c r="E215">
        <f>regressions!$J$1*B215+regressions!$J$2*B215^2</f>
        <v>-1.7840166209015205</v>
      </c>
      <c r="F215">
        <f>regressions!$V$1*B215</f>
        <v>-2.1139614083727594</v>
      </c>
      <c r="G215">
        <f>regressions!$N$1*B215^2</f>
        <v>-1.2327085565805103</v>
      </c>
      <c r="H215">
        <f>regressions!$R$1*B215^2+regressions!$R$2*B215^6</f>
        <v>-1.3387448347026889</v>
      </c>
      <c r="I215">
        <f>regressions!$P$1*B215^2+regressions!$P$2*B215^7</f>
        <v>-1.2979916139183056</v>
      </c>
      <c r="J215">
        <f>regressions!$T$2+regressions!$T$1*EXP(B215)</f>
        <v>-0.10388454609303496</v>
      </c>
      <c r="K215" s="8">
        <f>(1-EXP(-2*regressions!$X$1*B215))/2/EXP(-regressions!$X$1*B215)</f>
        <v>-1.3067754002900218</v>
      </c>
      <c r="M215" s="33">
        <v>2.4855196259740939</v>
      </c>
      <c r="N215">
        <f t="shared" si="52"/>
        <v>-1.4905892510112404</v>
      </c>
      <c r="O215">
        <f>IF($B215&lt;=regressions!$L$2,$B215*regressions!$L$1,regressions!$L$1*regressions!$L$2+regressions!$L$3*($B215-regressions!$L$2))</f>
        <v>-2.1139614024047777</v>
      </c>
      <c r="P215">
        <f>regressions!$J$1*M215+regressions!$J$2*M215^2</f>
        <v>-1.6317096781983542</v>
      </c>
      <c r="Q215">
        <f>regressions!$V$1*M215</f>
        <v>-1.9754408866114048</v>
      </c>
      <c r="R215">
        <f>regressions!$N$1*M215^2</f>
        <v>-1.0764512780243394</v>
      </c>
      <c r="S215">
        <f>regressions!$R$1*M215^2+regressions!$R$2*M215^6</f>
        <v>-1.1698545914726737</v>
      </c>
      <c r="T215">
        <f>regressions!$P$1*M215^2+regressions!$P$2*M215^7</f>
        <v>-1.1336920311872081</v>
      </c>
      <c r="U215">
        <f>regressions!$T$2+regressions!$T$1*EXP(M215)</f>
        <v>-8.6018815490096906E-2</v>
      </c>
      <c r="V215" s="8">
        <f>(1-EXP(-2*regressions!$X$1*M215))/2/EXP(-regressions!$X$1*M215)</f>
        <v>-1.1932394846567169</v>
      </c>
      <c r="X215" s="33">
        <v>2.1392573871260012</v>
      </c>
      <c r="Y215">
        <f t="shared" si="53"/>
        <v>-1.2551197330758397</v>
      </c>
      <c r="Z215">
        <f>IF($B215&lt;=regressions!$L$2,$B215*regressions!$L$1,regressions!$L$1*regressions!$L$2+regressions!$L$3*($B215-regressions!$L$2))</f>
        <v>-2.1139614024047777</v>
      </c>
      <c r="AA215">
        <f>regressions!$J$1*X215+regressions!$J$2*X215^2</f>
        <v>-1.3438497740635826</v>
      </c>
      <c r="AB215">
        <f>regressions!$V$1*X215</f>
        <v>-1.7002386403840979</v>
      </c>
      <c r="AC215">
        <f>regressions!$N$1*X215^2</f>
        <v>-0.79741805549064815</v>
      </c>
      <c r="AD215">
        <f>regressions!$R$1*X215^2+regressions!$R$2*X215^6</f>
        <v>-0.86747724875556809</v>
      </c>
      <c r="AE215">
        <f>regressions!$P$1*X215^2+regressions!$P$2*X215^7</f>
        <v>-0.84004684292955234</v>
      </c>
      <c r="AF215">
        <f>regressions!$T$2+regressions!$T$1*EXP(X215)</f>
        <v>-5.855628681978093E-2</v>
      </c>
      <c r="AG215" s="8">
        <f>(1-EXP(-2*regressions!$X$1*X215))/2/EXP(-regressions!$X$1*X215)</f>
        <v>-0.98496873556309861</v>
      </c>
      <c r="AH215" s="8"/>
      <c r="AI215" s="33">
        <v>1.9433578801948326</v>
      </c>
      <c r="AJ215">
        <f t="shared" si="54"/>
        <v>-1.0568785930899536</v>
      </c>
      <c r="AK215">
        <f>IF(AI215&lt;=regressions!$L$2,AI215*regressions!$L$1,regressions!$L$1*regressions!$L$2+regressions!$L$3*(AI215-regressions!$L$2))</f>
        <v>-1.5445416575670203</v>
      </c>
      <c r="AL215">
        <f>regressions!$J$1*AI215+regressions!$J$2*AI215^2</f>
        <v>-1.1896724981564142</v>
      </c>
      <c r="AM215">
        <f>regressions!$V$1*AI215</f>
        <v>-1.5445416619274577</v>
      </c>
      <c r="AN215">
        <f>regressions!$N$1*AI215^2</f>
        <v>-0.65806009478295124</v>
      </c>
      <c r="AO215">
        <f>regressions!$R$1*AI215^2+regressions!$R$2*AI215^6</f>
        <v>-0.7161533488808044</v>
      </c>
      <c r="AP215">
        <f>regressions!$P$1*AI215^2+regressions!$P$2*AI215^7</f>
        <v>-0.69330259884160117</v>
      </c>
      <c r="AQ215">
        <f>regressions!$T$2+regressions!$T$1*EXP(AI215)</f>
        <v>-4.6748552365862506E-2</v>
      </c>
      <c r="AR215" s="8">
        <f>(1-EXP(-2*regressions!$X$1*AI215))/2/EXP(-regressions!$X$1*AI215)</f>
        <v>-0.87606666241264775</v>
      </c>
      <c r="AT215" s="33">
        <v>1.586427299182426</v>
      </c>
      <c r="AU215">
        <f t="shared" si="55"/>
        <v>-0.81322194422910643</v>
      </c>
      <c r="AV215">
        <f>IF(AT215&lt;=regressions!$L$2,AT215*regressions!$L$1,regressions!$L$1*regressions!$L$2+regressions!$L$3*(AT215-regressions!$L$2))</f>
        <v>-1.2608604288794911</v>
      </c>
      <c r="AW215">
        <f>regressions!$J$1*AT215+regressions!$J$2*AT215^2</f>
        <v>-0.92488796011873098</v>
      </c>
      <c r="AX215">
        <f>regressions!$V$1*AT215</f>
        <v>-1.2608604324390604</v>
      </c>
      <c r="AY215">
        <f>regressions!$N$1*AT215^2</f>
        <v>-0.43853103444659119</v>
      </c>
      <c r="AZ215">
        <f>regressions!$R$1*AT215^2+regressions!$R$2*AT215^6</f>
        <v>-0.4774640067440572</v>
      </c>
      <c r="BA215">
        <f>regressions!$P$1*AT215^2+regressions!$P$2*AT215^7</f>
        <v>-0.46206045009815122</v>
      </c>
      <c r="BB215">
        <f>regressions!$T$2+regressions!$T$1*EXP(AT215)</f>
        <v>-3.0369824525524211E-2</v>
      </c>
      <c r="BC215" s="8">
        <f>(1-EXP(-2*regressions!$X$1*AT215))/2/EXP(-regressions!$X$1*AT215)</f>
        <v>-0.69150826923299513</v>
      </c>
      <c r="BE215">
        <f t="shared" si="56"/>
        <v>0.12724138179102629</v>
      </c>
      <c r="BF215">
        <f t="shared" si="47"/>
        <v>0.36271089972642701</v>
      </c>
      <c r="BG215">
        <f t="shared" si="48"/>
        <v>0.56095203971231311</v>
      </c>
      <c r="BH215">
        <f>BG215+regressions!$AR$1*(AI215-B215)</f>
        <v>-0.19370790387103343</v>
      </c>
      <c r="BI215">
        <f>BG215-regressions!$AO$1*(AI215-B215)</f>
        <v>1.5861858489466587</v>
      </c>
      <c r="BJ215">
        <f t="shared" si="49"/>
        <v>0.80460868857316026</v>
      </c>
      <c r="BK215">
        <f>BJ215+regressions!$AR$1*(AT215-B215)</f>
        <v>-0.32601795089282204</v>
      </c>
      <c r="BL215">
        <f>BJ215-regressions!$AO$1*(AT215-B215)</f>
        <v>2.3406073410225279</v>
      </c>
      <c r="BM215">
        <f t="shared" si="57"/>
        <v>0.23546951793540072</v>
      </c>
      <c r="BN215">
        <f t="shared" si="50"/>
        <v>0.43371065792128682</v>
      </c>
      <c r="BO215">
        <f t="shared" si="51"/>
        <v>0.67736730678213397</v>
      </c>
      <c r="BP215">
        <f t="shared" si="58"/>
        <v>0.19824113998588611</v>
      </c>
      <c r="BQ215">
        <f t="shared" si="59"/>
        <v>0.44189778884673325</v>
      </c>
      <c r="BR215">
        <f t="shared" si="60"/>
        <v>0.24365664886084715</v>
      </c>
    </row>
    <row r="216" spans="1:70" x14ac:dyDescent="0.35">
      <c r="A216">
        <f t="shared" si="46"/>
        <v>2063</v>
      </c>
      <c r="B216" s="33">
        <v>2.7062624887964963</v>
      </c>
      <c r="C216">
        <f t="shared" si="61"/>
        <v>-1.6576118104194266</v>
      </c>
      <c r="D216">
        <f>IF($B216&lt;=regressions!$L$2,$B216*regressions!$L$1,regressions!$L$1*regressions!$L$2+regressions!$L$3*($B216-regressions!$L$2))</f>
        <v>-2.150882857375775</v>
      </c>
      <c r="E216">
        <f>regressions!$J$1*B216+regressions!$J$2*B216^2</f>
        <v>-1.8254508704351728</v>
      </c>
      <c r="F216">
        <f>regressions!$V$1*B216</f>
        <v>-2.1508828634479906</v>
      </c>
      <c r="G216">
        <f>regressions!$N$1*B216^2</f>
        <v>-1.2761444028236555</v>
      </c>
      <c r="H216">
        <f>regressions!$R$1*B216^2+regressions!$R$2*B216^6</f>
        <v>-1.3856276447904781</v>
      </c>
      <c r="I216">
        <f>regressions!$P$1*B216^2+regressions!$P$2*B216^7</f>
        <v>-1.3436408967253222</v>
      </c>
      <c r="J216">
        <f>regressions!$T$2+regressions!$T$1*EXP(B216)</f>
        <v>-0.10919594215029499</v>
      </c>
      <c r="K216" s="8">
        <f>(1-EXP(-2*regressions!$X$1*B216))/2/EXP(-regressions!$X$1*B216)</f>
        <v>-1.3381235064412773</v>
      </c>
      <c r="M216" s="33">
        <v>2.5208113359869309</v>
      </c>
      <c r="N216">
        <f t="shared" si="52"/>
        <v>-1.5207442402657787</v>
      </c>
      <c r="O216">
        <f>IF($B216&lt;=regressions!$L$2,$B216*regressions!$L$1,regressions!$L$1*regressions!$L$2+regressions!$L$3*($B216-regressions!$L$2))</f>
        <v>-2.150882857375775</v>
      </c>
      <c r="P216">
        <f>regressions!$J$1*M216+regressions!$J$2*M216^2</f>
        <v>-1.6621495062280682</v>
      </c>
      <c r="Q216">
        <f>regressions!$V$1*M216</f>
        <v>-2.0034900261914106</v>
      </c>
      <c r="R216">
        <f>regressions!$N$1*M216^2</f>
        <v>-1.1072372055845985</v>
      </c>
      <c r="S216">
        <f>regressions!$R$1*M216^2+regressions!$R$2*M216^6</f>
        <v>-1.2031569322765114</v>
      </c>
      <c r="T216">
        <f>regressions!$P$1*M216^2+regressions!$P$2*M216^7</f>
        <v>-1.1660716272273368</v>
      </c>
      <c r="U216">
        <f>regressions!$T$2+regressions!$T$1*EXP(M216)</f>
        <v>-8.9389488031550002E-2</v>
      </c>
      <c r="V216" s="8">
        <f>(1-EXP(-2*regressions!$X$1*M216))/2/EXP(-regressions!$X$1*M216)</f>
        <v>-1.2157263961809275</v>
      </c>
      <c r="X216" s="33">
        <v>2.1550752176972705</v>
      </c>
      <c r="Y216">
        <f t="shared" si="53"/>
        <v>-1.2702464240725346</v>
      </c>
      <c r="Z216">
        <f>IF($B216&lt;=regressions!$L$2,$B216*regressions!$L$1,regressions!$L$1*regressions!$L$2+regressions!$L$3*($B216-regressions!$L$2))</f>
        <v>-2.150882857375775</v>
      </c>
      <c r="AA216">
        <f>regressions!$J$1*X216+regressions!$J$2*X216^2</f>
        <v>-1.3565724765564751</v>
      </c>
      <c r="AB216">
        <f>regressions!$V$1*X216</f>
        <v>-1.7128103332089861</v>
      </c>
      <c r="AC216">
        <f>regressions!$N$1*X216^2</f>
        <v>-0.80925399077902038</v>
      </c>
      <c r="AD216">
        <f>regressions!$R$1*X216^2+regressions!$R$2*X216^6</f>
        <v>-0.88032104169711045</v>
      </c>
      <c r="AE216">
        <f>regressions!$P$1*X216^2+regressions!$P$2*X216^7</f>
        <v>-0.85250781592478131</v>
      </c>
      <c r="AF216">
        <f>regressions!$T$2+regressions!$T$1*EXP(X216)</f>
        <v>-5.9614478374964704E-2</v>
      </c>
      <c r="AG216" s="8">
        <f>(1-EXP(-2*regressions!$X$1*X216))/2/EXP(-regressions!$X$1*X216)</f>
        <v>-0.99402582960998376</v>
      </c>
      <c r="AH216" s="8"/>
      <c r="AI216" s="33">
        <v>1.9507273546523327</v>
      </c>
      <c r="AJ216">
        <f t="shared" si="54"/>
        <v>-1.0621556993306989</v>
      </c>
      <c r="AK216">
        <f>IF(AI216&lt;=regressions!$L$2,AI216*regressions!$L$1,regressions!$L$1*regressions!$L$2+regressions!$L$3*(AI216-regressions!$L$2))</f>
        <v>-1.5503987672687309</v>
      </c>
      <c r="AL216">
        <f>regressions!$J$1*AI216+regressions!$J$2*AI216^2</f>
        <v>-1.1953588811138689</v>
      </c>
      <c r="AM216">
        <f>regressions!$V$1*AI216</f>
        <v>-1.5503987716457039</v>
      </c>
      <c r="AN216">
        <f>regressions!$N$1*AI216^2</f>
        <v>-0.66306046264708052</v>
      </c>
      <c r="AO216">
        <f>regressions!$R$1*AI216^2+regressions!$R$2*AI216^6</f>
        <v>-0.72158603351586592</v>
      </c>
      <c r="AP216">
        <f>regressions!$P$1*AI216^2+regressions!$P$2*AI216^7</f>
        <v>-0.69856877634909198</v>
      </c>
      <c r="AQ216">
        <f>regressions!$T$2+regressions!$T$1*EXP(AI216)</f>
        <v>-4.7152139890281157E-2</v>
      </c>
      <c r="AR216" s="8">
        <f>(1-EXP(-2*regressions!$X$1*AI216))/2/EXP(-regressions!$X$1*AI216)</f>
        <v>-0.88005831649076272</v>
      </c>
      <c r="AT216" s="33">
        <v>1.5862042833331929</v>
      </c>
      <c r="AU216">
        <f t="shared" si="55"/>
        <v>-0.81307694645998463</v>
      </c>
      <c r="AV216">
        <f>IF(AT216&lt;=regressions!$L$2,AT216*regressions!$L$1,regressions!$L$1*regressions!$L$2+regressions!$L$3*(AT216-regressions!$L$2))</f>
        <v>-1.260683180379383</v>
      </c>
      <c r="AW216">
        <f>regressions!$J$1*AT216+regressions!$J$2*AT216^2</f>
        <v>-0.92472902870257845</v>
      </c>
      <c r="AX216">
        <f>regressions!$V$1*AT216</f>
        <v>-1.2606831839384518</v>
      </c>
      <c r="AY216">
        <f>regressions!$N$1*AT216^2</f>
        <v>-0.43840774799416926</v>
      </c>
      <c r="AZ216">
        <f>regressions!$R$1*AT216^2+regressions!$R$2*AT216^6</f>
        <v>-0.47732987348442868</v>
      </c>
      <c r="BA216">
        <f>regressions!$P$1*AT216^2+regressions!$P$2*AT216^7</f>
        <v>-0.46193056620878192</v>
      </c>
      <c r="BB216">
        <f>regressions!$T$2+regressions!$T$1*EXP(AT216)</f>
        <v>-3.0361309728659129E-2</v>
      </c>
      <c r="BC216" s="8">
        <f>(1-EXP(-2*regressions!$X$1*AT216))/2/EXP(-regressions!$X$1*AT216)</f>
        <v>-0.69139791305832488</v>
      </c>
      <c r="BE216">
        <f t="shared" si="56"/>
        <v>0.13686757015364792</v>
      </c>
      <c r="BF216">
        <f t="shared" si="47"/>
        <v>0.38736538634689199</v>
      </c>
      <c r="BG216">
        <f t="shared" si="48"/>
        <v>0.59545611108872776</v>
      </c>
      <c r="BH216">
        <f>BG216+regressions!$AR$1*(AI216-B216)</f>
        <v>-0.20037384330106311</v>
      </c>
      <c r="BI216">
        <f>BG216-regressions!$AO$1*(AI216-B216)</f>
        <v>1.6766209225767374</v>
      </c>
      <c r="BJ216">
        <f t="shared" si="49"/>
        <v>0.84453486395944199</v>
      </c>
      <c r="BK216">
        <f>BJ216+regressions!$AR$1*(AT216-B216)</f>
        <v>-0.33525920554797095</v>
      </c>
      <c r="BL216">
        <f>BJ216-regressions!$AO$1*(AT216-B216)</f>
        <v>2.4473293123434483</v>
      </c>
      <c r="BM216">
        <f t="shared" si="57"/>
        <v>0.25049781619324407</v>
      </c>
      <c r="BN216">
        <f t="shared" si="50"/>
        <v>0.45858854093507984</v>
      </c>
      <c r="BO216">
        <f t="shared" si="51"/>
        <v>0.70766729380579407</v>
      </c>
      <c r="BP216">
        <f t="shared" si="58"/>
        <v>0.20809072474183576</v>
      </c>
      <c r="BQ216">
        <f t="shared" si="59"/>
        <v>0.45716947761255</v>
      </c>
      <c r="BR216">
        <f t="shared" si="60"/>
        <v>0.24907875287071424</v>
      </c>
    </row>
    <row r="217" spans="1:70" x14ac:dyDescent="0.35">
      <c r="A217">
        <f t="shared" si="46"/>
        <v>2064</v>
      </c>
      <c r="B217" s="33">
        <v>2.7532574249262898</v>
      </c>
      <c r="C217">
        <f t="shared" si="61"/>
        <v>-1.6982867209242027</v>
      </c>
      <c r="D217">
        <f>IF($B217&lt;=regressions!$L$2,$B217*regressions!$L$1,regressions!$L$1*regressions!$L$2+regressions!$L$3*($B217-regressions!$L$2))</f>
        <v>-2.1882334850120446</v>
      </c>
      <c r="E217">
        <f>regressions!$J$1*B217+regressions!$J$2*B217^2</f>
        <v>-1.8677256949722254</v>
      </c>
      <c r="F217">
        <f>regressions!$V$1*B217</f>
        <v>-2.1882334911897057</v>
      </c>
      <c r="G217">
        <f>regressions!$N$1*B217^2</f>
        <v>-1.3208503707673604</v>
      </c>
      <c r="H217">
        <f>regressions!$R$1*B217^2+regressions!$R$2*B217^6</f>
        <v>-1.4338499725187437</v>
      </c>
      <c r="I217">
        <f>regressions!$P$1*B217^2+regressions!$P$2*B217^7</f>
        <v>-1.3906139284158519</v>
      </c>
      <c r="J217">
        <f>regressions!$T$2+regressions!$T$1*EXP(B217)</f>
        <v>-0.11482610661333886</v>
      </c>
      <c r="K217" s="8">
        <f>(1-EXP(-2*regressions!$X$1*B217))/2/EXP(-regressions!$X$1*B217)</f>
        <v>-1.3703228168105854</v>
      </c>
      <c r="M217" s="33">
        <v>2.5562367746244901</v>
      </c>
      <c r="N217">
        <f t="shared" si="52"/>
        <v>-1.5512941290239959</v>
      </c>
      <c r="O217">
        <f>IF($B217&lt;=regressions!$L$2,$B217*regressions!$L$1,regressions!$L$1*regressions!$L$2+regressions!$L$3*($B217-regressions!$L$2))</f>
        <v>-2.1882334850120446</v>
      </c>
      <c r="P217">
        <f>regressions!$J$1*M217+regressions!$J$2*M217^2</f>
        <v>-1.6929094351396436</v>
      </c>
      <c r="Q217">
        <f>regressions!$V$1*M217</f>
        <v>-2.0316454505861592</v>
      </c>
      <c r="R217">
        <f>regressions!$N$1*M217^2</f>
        <v>-1.1385763040897292</v>
      </c>
      <c r="S217">
        <f>regressions!$R$1*M217^2+regressions!$R$2*M217^6</f>
        <v>-1.2370442018894616</v>
      </c>
      <c r="T217">
        <f>regressions!$P$1*M217^2+regressions!$P$2*M217^7</f>
        <v>-1.1990285998784589</v>
      </c>
      <c r="U217">
        <f>regressions!$T$2+regressions!$T$1*EXP(M217)</f>
        <v>-9.2894708203761944E-2</v>
      </c>
      <c r="V217" s="8">
        <f>(1-EXP(-2*regressions!$X$1*M217))/2/EXP(-regressions!$X$1*M217)</f>
        <v>-1.2385507939133298</v>
      </c>
      <c r="X217" s="33">
        <v>2.1705126750624988</v>
      </c>
      <c r="Y217">
        <f t="shared" si="53"/>
        <v>-1.2852283369644348</v>
      </c>
      <c r="Z217">
        <f>IF($B217&lt;=regressions!$L$2,$B217*regressions!$L$1,regressions!$L$1*regressions!$L$2+regressions!$L$3*($B217-regressions!$L$2))</f>
        <v>-2.1882334850120446</v>
      </c>
      <c r="AA217">
        <f>regressions!$J$1*X217+regressions!$J$2*X217^2</f>
        <v>-1.3690286712545323</v>
      </c>
      <c r="AB217">
        <f>regressions!$V$1*X217</f>
        <v>-1.7250797130786546</v>
      </c>
      <c r="AC217">
        <f>regressions!$N$1*X217^2</f>
        <v>-0.82088937948452989</v>
      </c>
      <c r="AD217">
        <f>regressions!$R$1*X217^2+regressions!$R$2*X217^6</f>
        <v>-0.89294583168898156</v>
      </c>
      <c r="AE217">
        <f>regressions!$P$1*X217^2+regressions!$P$2*X217^7</f>
        <v>-0.8647572636780021</v>
      </c>
      <c r="AF217">
        <f>regressions!$T$2+regressions!$T$1*EXP(X217)</f>
        <v>-6.0663489097901889E-2</v>
      </c>
      <c r="AG217" s="8">
        <f>(1-EXP(-2*regressions!$X$1*X217))/2/EXP(-regressions!$X$1*X217)</f>
        <v>-1.0029048506187668</v>
      </c>
      <c r="AH217" s="8"/>
      <c r="AI217" s="33">
        <v>1.957667709067213</v>
      </c>
      <c r="AJ217">
        <f t="shared" si="54"/>
        <v>-1.0671347229846209</v>
      </c>
      <c r="AK217">
        <f>IF(AI217&lt;=regressions!$L$2,AI217*regressions!$L$1,regressions!$L$1*regressions!$L$2+regressions!$L$3*(AI217-regressions!$L$2))</f>
        <v>-1.5559148210132874</v>
      </c>
      <c r="AL217">
        <f>regressions!$J$1*AI217+regressions!$J$2*AI217^2</f>
        <v>-1.2007222667977246</v>
      </c>
      <c r="AM217">
        <f>regressions!$V$1*AI217</f>
        <v>-1.5559148254058326</v>
      </c>
      <c r="AN217">
        <f>regressions!$N$1*AI217^2</f>
        <v>-0.66778696729142517</v>
      </c>
      <c r="AO217">
        <f>regressions!$R$1*AI217^2+regressions!$R$2*AI217^6</f>
        <v>-0.72672098729473111</v>
      </c>
      <c r="AP217">
        <f>regressions!$P$1*AI217^2+regressions!$P$2*AI217^7</f>
        <v>-0.70354648416017529</v>
      </c>
      <c r="AQ217">
        <f>regressions!$T$2+regressions!$T$1*EXP(AI217)</f>
        <v>-4.7534955900295828E-2</v>
      </c>
      <c r="AR217" s="8">
        <f>(1-EXP(-2*regressions!$X$1*AI217))/2/EXP(-regressions!$X$1*AI217)</f>
        <v>-0.88382477791223957</v>
      </c>
      <c r="AT217" s="33">
        <v>1.5857834001313058</v>
      </c>
      <c r="AU217">
        <f t="shared" si="55"/>
        <v>-0.81280332609190964</v>
      </c>
      <c r="AV217">
        <f>IF(AT217&lt;=regressions!$L$2,AT217*regressions!$L$1,regressions!$L$1*regressions!$L$2+regressions!$L$3*(AT217-regressions!$L$2))</f>
        <v>-1.2603486708971563</v>
      </c>
      <c r="AW217">
        <f>regressions!$J$1*AT217+regressions!$J$2*AT217^2</f>
        <v>-0.92442911000314587</v>
      </c>
      <c r="AX217">
        <f>regressions!$V$1*AT217</f>
        <v>-1.260348674455281</v>
      </c>
      <c r="AY217">
        <f>regressions!$N$1*AT217^2</f>
        <v>-0.43817512477079651</v>
      </c>
      <c r="AZ217">
        <f>regressions!$R$1*AT217^2+regressions!$R$2*AT217^6</f>
        <v>-0.47707678372044787</v>
      </c>
      <c r="BA217">
        <f>regressions!$P$1*AT217^2+regressions!$P$2*AT217^7</f>
        <v>-0.46168549455492564</v>
      </c>
      <c r="BB217">
        <f>regressions!$T$2+regressions!$T$1*EXP(AT217)</f>
        <v>-3.0345245482986588E-2</v>
      </c>
      <c r="BC217" s="8">
        <f>(1-EXP(-2*regressions!$X$1*AT217))/2/EXP(-regressions!$X$1*AT217)</f>
        <v>-0.69118966059892417</v>
      </c>
      <c r="BE217">
        <f t="shared" si="56"/>
        <v>0.14699259190020686</v>
      </c>
      <c r="BF217">
        <f t="shared" si="47"/>
        <v>0.41305838395976791</v>
      </c>
      <c r="BG217">
        <f t="shared" si="48"/>
        <v>0.63115199793958188</v>
      </c>
      <c r="BH217">
        <f>BG217+regressions!$AR$1*(AI217-B217)</f>
        <v>-0.20686876201134274</v>
      </c>
      <c r="BI217">
        <f>BG217-regressions!$AO$1*(AI217-B217)</f>
        <v>1.7696345996030145</v>
      </c>
      <c r="BJ217">
        <f t="shared" si="49"/>
        <v>0.8854833948322931</v>
      </c>
      <c r="BK217">
        <f>BJ217+regressions!$AR$1*(AT217-B217)</f>
        <v>-0.34425531342289983</v>
      </c>
      <c r="BL217">
        <f>BJ217-regressions!$AO$1*(AT217-B217)</f>
        <v>2.5561295062992557</v>
      </c>
      <c r="BM217">
        <f t="shared" si="57"/>
        <v>0.26606579205956105</v>
      </c>
      <c r="BN217">
        <f t="shared" si="50"/>
        <v>0.48415940603937502</v>
      </c>
      <c r="BO217">
        <f t="shared" si="51"/>
        <v>0.73849080293208624</v>
      </c>
      <c r="BP217">
        <f t="shared" si="58"/>
        <v>0.21809361397981397</v>
      </c>
      <c r="BQ217">
        <f t="shared" si="59"/>
        <v>0.4724250108725252</v>
      </c>
      <c r="BR217">
        <f t="shared" si="60"/>
        <v>0.25433139689271123</v>
      </c>
    </row>
    <row r="218" spans="1:70" x14ac:dyDescent="0.35">
      <c r="A218">
        <f t="shared" si="46"/>
        <v>2065</v>
      </c>
      <c r="B218" s="33">
        <v>2.8007939633368228</v>
      </c>
      <c r="C218">
        <f t="shared" si="61"/>
        <v>-1.7398733550411043</v>
      </c>
      <c r="D218">
        <f>IF($B218&lt;=regressions!$L$2,$B218*regressions!$L$1,regressions!$L$1*regressions!$L$2+regressions!$L$3*($B218-regressions!$L$2))</f>
        <v>-2.2260145672202492</v>
      </c>
      <c r="E218">
        <f>regressions!$J$1*B218+regressions!$J$2*B218^2</f>
        <v>-1.910855008915437</v>
      </c>
      <c r="F218">
        <f>regressions!$V$1*B218</f>
        <v>-2.2260145735045711</v>
      </c>
      <c r="G218">
        <f>regressions!$N$1*B218^2</f>
        <v>-1.3668545653134005</v>
      </c>
      <c r="H218">
        <f>regressions!$R$1*B218^2+regressions!$R$2*B218^6</f>
        <v>-1.4834382234121721</v>
      </c>
      <c r="I218">
        <f>regressions!$P$1*B218^2+regressions!$P$2*B218^7</f>
        <v>-1.4389386460602871</v>
      </c>
      <c r="J218">
        <f>regressions!$T$2+regressions!$T$1*EXP(B218)</f>
        <v>-0.12079681342994356</v>
      </c>
      <c r="K218" s="8">
        <f>(1-EXP(-2*regressions!$X$1*B218))/2/EXP(-regressions!$X$1*B218)</f>
        <v>-1.4034033264794081</v>
      </c>
      <c r="M218" s="33">
        <v>2.5917946877389824</v>
      </c>
      <c r="N218">
        <f t="shared" si="52"/>
        <v>-1.5822415920051447</v>
      </c>
      <c r="O218">
        <f>IF($B218&lt;=regressions!$L$2,$B218*regressions!$L$1,regressions!$L$1*regressions!$L$2+regressions!$L$3*($B218-regressions!$L$2))</f>
        <v>-2.2260145672202492</v>
      </c>
      <c r="P218">
        <f>regressions!$J$1*M218+regressions!$J$2*M218^2</f>
        <v>-1.723990688252997</v>
      </c>
      <c r="Q218">
        <f>regressions!$V$1*M218</f>
        <v>-2.0599061630242739</v>
      </c>
      <c r="R218">
        <f>regressions!$N$1*M218^2</f>
        <v>-1.1704723935765036</v>
      </c>
      <c r="S218">
        <f>regressions!$R$1*M218^2+regressions!$R$2*M218^6</f>
        <v>-1.27151941490297</v>
      </c>
      <c r="T218">
        <f>regressions!$P$1*M218^2+regressions!$P$2*M218^7</f>
        <v>-1.2325665327154514</v>
      </c>
      <c r="U218">
        <f>regressions!$T$2+regressions!$T$1*EXP(M218)</f>
        <v>-9.6540151434635152E-2</v>
      </c>
      <c r="V218" s="8">
        <f>(1-EXP(-2*regressions!$X$1*M218))/2/EXP(-regressions!$X$1*M218)</f>
        <v>-1.2617194906369795</v>
      </c>
      <c r="X218" s="33">
        <v>2.1855733996425672</v>
      </c>
      <c r="Y218">
        <f t="shared" si="53"/>
        <v>-1.3000647646449359</v>
      </c>
      <c r="Z218">
        <f>IF($B218&lt;=regressions!$L$2,$B218*regressions!$L$1,regressions!$L$1*regressions!$L$2+regressions!$L$3*($B218-regressions!$L$2))</f>
        <v>-2.2260145672202492</v>
      </c>
      <c r="AA218">
        <f>regressions!$J$1*X218+regressions!$J$2*X218^2</f>
        <v>-1.3812184294735912</v>
      </c>
      <c r="AB218">
        <f>regressions!$V$1*X218</f>
        <v>-1.7370496733262228</v>
      </c>
      <c r="AC218">
        <f>regressions!$N$1*X218^2</f>
        <v>-0.83232085534102618</v>
      </c>
      <c r="AD218">
        <f>regressions!$R$1*X218^2+regressions!$R$2*X218^6</f>
        <v>-0.9053480183705046</v>
      </c>
      <c r="AE218">
        <f>regressions!$P$1*X218^2+regressions!$P$2*X218^7</f>
        <v>-0.87679165421904182</v>
      </c>
      <c r="AF218">
        <f>regressions!$T$2+regressions!$T$1*EXP(X218)</f>
        <v>-6.1702625146218847E-2</v>
      </c>
      <c r="AG218" s="8">
        <f>(1-EXP(-2*regressions!$X$1*X218))/2/EXP(-regressions!$X$1*X218)</f>
        <v>-1.0116053432731726</v>
      </c>
      <c r="AH218" s="8"/>
      <c r="AI218" s="33">
        <v>1.9641906640366145</v>
      </c>
      <c r="AJ218">
        <f t="shared" si="54"/>
        <v>-1.0718224430851291</v>
      </c>
      <c r="AK218">
        <f>IF(AI218&lt;=regressions!$L$2,AI218*regressions!$L$1,regressions!$L$1*regressions!$L$2+regressions!$L$3*(AI218-regressions!$L$2))</f>
        <v>-1.5610991340949645</v>
      </c>
      <c r="AL218">
        <f>regressions!$J$1*AI218+regressions!$J$2*AI218^2</f>
        <v>-1.2057702712860319</v>
      </c>
      <c r="AM218">
        <f>regressions!$V$1*AI218</f>
        <v>-1.5610991385021458</v>
      </c>
      <c r="AN218">
        <f>regressions!$N$1*AI218^2</f>
        <v>-0.67224451778038152</v>
      </c>
      <c r="AO218">
        <f>regressions!$R$1*AI218^2+regressions!$R$2*AI218^6</f>
        <v>-0.7315635741605544</v>
      </c>
      <c r="AP218">
        <f>regressions!$P$1*AI218^2+regressions!$P$2*AI218^7</f>
        <v>-0.70824089989704386</v>
      </c>
      <c r="AQ218">
        <f>regressions!$T$2+regressions!$T$1*EXP(AI218)</f>
        <v>-4.7897179083661305E-2</v>
      </c>
      <c r="AR218" s="8">
        <f>(1-EXP(-2*regressions!$X$1*AI218))/2/EXP(-regressions!$X$1*AI218)</f>
        <v>-0.88737114932475136</v>
      </c>
      <c r="AT218" s="33">
        <v>1.5851752834023201</v>
      </c>
      <c r="AU218">
        <f t="shared" si="55"/>
        <v>-0.81240803972952835</v>
      </c>
      <c r="AV218">
        <f>IF(AT218&lt;=regressions!$L$2,AT218*regressions!$L$1,regressions!$L$1*regressions!$L$2+regressions!$L$3*(AT218-regressions!$L$2))</f>
        <v>-1.2598653519829439</v>
      </c>
      <c r="AW218">
        <f>regressions!$J$1*AT218+regressions!$J$2*AT218^2</f>
        <v>-0.92399582102497635</v>
      </c>
      <c r="AX218">
        <f>regressions!$V$1*AT218</f>
        <v>-1.2598653555397041</v>
      </c>
      <c r="AY218">
        <f>regressions!$N$1*AT218^2</f>
        <v>-0.43783912613166093</v>
      </c>
      <c r="AZ218">
        <f>regressions!$R$1*AT218^2+regressions!$R$2*AT218^6</f>
        <v>-0.47671122289385226</v>
      </c>
      <c r="BA218">
        <f>regressions!$P$1*AT218^2+regressions!$P$2*AT218^7</f>
        <v>-0.46133151542009748</v>
      </c>
      <c r="BB218">
        <f>regressions!$T$2+regressions!$T$1*EXP(AT218)</f>
        <v>-3.0322046857472786E-2</v>
      </c>
      <c r="BC218" s="8">
        <f>(1-EXP(-2*regressions!$X$1*AT218))/2/EXP(-regressions!$X$1*AT218)</f>
        <v>-0.69088880105782557</v>
      </c>
      <c r="BE218">
        <f t="shared" si="56"/>
        <v>0.1576317630359596</v>
      </c>
      <c r="BF218">
        <f t="shared" si="47"/>
        <v>0.43980859039616838</v>
      </c>
      <c r="BG218">
        <f t="shared" si="48"/>
        <v>0.66805091195597521</v>
      </c>
      <c r="BH218">
        <f>BG218+regressions!$AR$1*(AI218-B218)</f>
        <v>-0.21317080154992951</v>
      </c>
      <c r="BI218">
        <f>BG218-regressions!$AO$1*(AI218-B218)</f>
        <v>1.8652236276930676</v>
      </c>
      <c r="BJ218">
        <f t="shared" si="49"/>
        <v>0.92746531531157594</v>
      </c>
      <c r="BK218">
        <f>BJ218+regressions!$AR$1*(AT218-B218)</f>
        <v>-0.3529857383690842</v>
      </c>
      <c r="BL218">
        <f>BJ218-regressions!$AO$1*(AT218-B218)</f>
        <v>2.6670060481478486</v>
      </c>
      <c r="BM218">
        <f t="shared" si="57"/>
        <v>0.28217682736020877</v>
      </c>
      <c r="BN218">
        <f t="shared" si="50"/>
        <v>0.51041914892001561</v>
      </c>
      <c r="BO218">
        <f t="shared" si="51"/>
        <v>0.76983355227561634</v>
      </c>
      <c r="BP218">
        <f t="shared" si="58"/>
        <v>0.22824232155980684</v>
      </c>
      <c r="BQ218">
        <f t="shared" si="59"/>
        <v>0.48765672491540757</v>
      </c>
      <c r="BR218">
        <f t="shared" si="60"/>
        <v>0.25941440335560073</v>
      </c>
    </row>
    <row r="219" spans="1:70" x14ac:dyDescent="0.35">
      <c r="A219">
        <f t="shared" si="46"/>
        <v>2066</v>
      </c>
      <c r="B219" s="33">
        <v>2.8488736146268829</v>
      </c>
      <c r="C219">
        <f t="shared" si="61"/>
        <v>-1.7823899631433213</v>
      </c>
      <c r="D219">
        <f>IF($B219&lt;=regressions!$L$2,$B219*regressions!$L$1,regressions!$L$1*regressions!$L$2+regressions!$L$3*($B219-regressions!$L$2))</f>
        <v>-2.2642273045938452</v>
      </c>
      <c r="E219">
        <f>regressions!$J$1*B219+regressions!$J$2*B219^2</f>
        <v>-1.9548528263408285</v>
      </c>
      <c r="F219">
        <f>regressions!$V$1*B219</f>
        <v>-2.2642273109860467</v>
      </c>
      <c r="G219">
        <f>regressions!$N$1*B219^2</f>
        <v>-1.4141854027311511</v>
      </c>
      <c r="H219">
        <f>regressions!$R$1*B219^2+regressions!$R$2*B219^6</f>
        <v>-1.5344187705243164</v>
      </c>
      <c r="I219">
        <f>regressions!$P$1*B219^2+regressions!$P$2*B219^7</f>
        <v>-1.4886431346305029</v>
      </c>
      <c r="J219">
        <f>regressions!$T$2+regressions!$T$1*EXP(B219)</f>
        <v>-0.12713147231436583</v>
      </c>
      <c r="K219" s="8">
        <f>(1-EXP(-2*regressions!$X$1*B219))/2/EXP(-regressions!$X$1*B219)</f>
        <v>-1.4373962451000259</v>
      </c>
      <c r="M219" s="33">
        <v>2.627483895146733</v>
      </c>
      <c r="N219">
        <f t="shared" si="52"/>
        <v>-1.6135893409217112</v>
      </c>
      <c r="O219">
        <f>IF($B219&lt;=regressions!$L$2,$B219*regressions!$L$1,regressions!$L$1*regressions!$L$2+regressions!$L$3*($B219-regressions!$L$2))</f>
        <v>-2.2642273045938452</v>
      </c>
      <c r="P219">
        <f>regressions!$J$1*M219+regressions!$J$2*M219^2</f>
        <v>-1.7553945336884529</v>
      </c>
      <c r="Q219">
        <f>regressions!$V$1*M219</f>
        <v>-2.0882712255195641</v>
      </c>
      <c r="R219">
        <f>regressions!$N$1*M219^2</f>
        <v>-1.202929318107385</v>
      </c>
      <c r="S219">
        <f>regressions!$R$1*M219^2+regressions!$R$2*M219^6</f>
        <v>-1.3065855500461845</v>
      </c>
      <c r="T219">
        <f>regressions!$P$1*M219^2+regressions!$P$2*M219^7</f>
        <v>-1.2666890042295251</v>
      </c>
      <c r="U219">
        <f>regressions!$T$2+regressions!$T$1*EXP(M219)</f>
        <v>-0.10033174923985272</v>
      </c>
      <c r="V219" s="8">
        <f>(1-EXP(-2*regressions!$X$1*M219))/2/EXP(-regressions!$X$1*M219)</f>
        <v>-1.2852394838338257</v>
      </c>
      <c r="X219" s="33">
        <v>2.2002612233578431</v>
      </c>
      <c r="Y219">
        <f t="shared" si="53"/>
        <v>-1.3147552299536336</v>
      </c>
      <c r="Z219">
        <f>IF($B219&lt;=regressions!$L$2,$B219*regressions!$L$1,regressions!$L$1*regressions!$L$2+regressions!$L$3*($B219-regressions!$L$2))</f>
        <v>-2.2642273045938452</v>
      </c>
      <c r="AA219">
        <f>regressions!$J$1*X219+regressions!$J$2*X219^2</f>
        <v>-1.3931420841213138</v>
      </c>
      <c r="AB219">
        <f>regressions!$V$1*X219</f>
        <v>-1.7487232594847411</v>
      </c>
      <c r="AC219">
        <f>regressions!$N$1*X219^2</f>
        <v>-0.84354542468664728</v>
      </c>
      <c r="AD219">
        <f>regressions!$R$1*X219^2+regressions!$R$2*X219^6</f>
        <v>-0.91752440790359735</v>
      </c>
      <c r="AE219">
        <f>regressions!$P$1*X219^2+regressions!$P$2*X219^7</f>
        <v>-0.88860784870977916</v>
      </c>
      <c r="AF219">
        <f>regressions!$T$2+regressions!$T$1*EXP(X219)</f>
        <v>-6.2731218255096172E-2</v>
      </c>
      <c r="AG219" s="8">
        <f>(1-EXP(-2*regressions!$X$1*X219))/2/EXP(-regressions!$X$1*X219)</f>
        <v>-1.0201270225068158</v>
      </c>
      <c r="AH219" s="8"/>
      <c r="AI219" s="33">
        <v>1.9703078808725878</v>
      </c>
      <c r="AJ219">
        <f t="shared" si="54"/>
        <v>-1.0762257497635428</v>
      </c>
      <c r="AK219">
        <f>IF(AI219&lt;=regressions!$L$2,AI219*regressions!$L$1,regressions!$L$1*regressions!$L$2+regressions!$L$3*(AI219-regressions!$L$2))</f>
        <v>-1.5659609746894432</v>
      </c>
      <c r="AL219">
        <f>regressions!$J$1*AI219+regressions!$J$2*AI219^2</f>
        <v>-1.2105106017367131</v>
      </c>
      <c r="AM219">
        <f>regressions!$V$1*AI219</f>
        <v>-1.5659609791103499</v>
      </c>
      <c r="AN219">
        <f>regressions!$N$1*AI219^2</f>
        <v>-0.6764382746451979</v>
      </c>
      <c r="AO219">
        <f>regressions!$R$1*AI219^2+regressions!$R$2*AI219^6</f>
        <v>-0.73611942909614148</v>
      </c>
      <c r="AP219">
        <f>regressions!$P$1*AI219^2+regressions!$P$2*AI219^7</f>
        <v>-0.71265746551481735</v>
      </c>
      <c r="AQ219">
        <f>regressions!$T$2+regressions!$T$1*EXP(AI219)</f>
        <v>-4.8239025021353903E-2</v>
      </c>
      <c r="AR219" s="8">
        <f>(1-EXP(-2*regressions!$X$1*AI219))/2/EXP(-regressions!$X$1*AI219)</f>
        <v>-0.89070261361483627</v>
      </c>
      <c r="AT219" s="33">
        <v>1.584390060903244</v>
      </c>
      <c r="AU219">
        <f t="shared" si="55"/>
        <v>-0.81189773015020394</v>
      </c>
      <c r="AV219">
        <f>IF(AT219&lt;=regressions!$L$2,AT219*regressions!$L$1,regressions!$L$1*regressions!$L$2+regressions!$L$3*(AT219-regressions!$L$2))</f>
        <v>-1.2592412729738012</v>
      </c>
      <c r="AW219">
        <f>regressions!$J$1*AT219+regressions!$J$2*AT219^2</f>
        <v>-0.92343643191679692</v>
      </c>
      <c r="AX219">
        <f>regressions!$V$1*AT219</f>
        <v>-1.2592412765287992</v>
      </c>
      <c r="AY219">
        <f>regressions!$N$1*AT219^2</f>
        <v>-0.43740546307265982</v>
      </c>
      <c r="AZ219">
        <f>regressions!$R$1*AT219^2+regressions!$R$2*AT219^6</f>
        <v>-0.47623940392105796</v>
      </c>
      <c r="BA219">
        <f>regressions!$P$1*AT219^2+regressions!$P$2*AT219^7</f>
        <v>-0.46087464530225458</v>
      </c>
      <c r="BB219">
        <f>regressions!$T$2+regressions!$T$1*EXP(AT219)</f>
        <v>-3.0292112807234026E-2</v>
      </c>
      <c r="BC219" s="8">
        <f>(1-EXP(-2*regressions!$X$1*AT219))/2/EXP(-regressions!$X$1*AT219)</f>
        <v>-0.69050038285305615</v>
      </c>
      <c r="BE219">
        <f t="shared" si="56"/>
        <v>0.16880062222161007</v>
      </c>
      <c r="BF219">
        <f t="shared" si="47"/>
        <v>0.46763473318968773</v>
      </c>
      <c r="BG219">
        <f t="shared" si="48"/>
        <v>0.70616421337977853</v>
      </c>
      <c r="BH219">
        <f>BG219+regressions!$AR$1*(AI219-B219)</f>
        <v>-0.21925790959551339</v>
      </c>
      <c r="BI219">
        <f>BG219-regressions!$AO$1*(AI219-B219)</f>
        <v>1.9633848414982347</v>
      </c>
      <c r="BJ219">
        <f t="shared" si="49"/>
        <v>0.97049223299311738</v>
      </c>
      <c r="BK219">
        <f>BJ219+regressions!$AR$1*(AT219-B219)</f>
        <v>-0.36142979605511694</v>
      </c>
      <c r="BL219">
        <f>BJ219-regressions!$AO$1*(AT219-B219)</f>
        <v>2.7799582143996782</v>
      </c>
      <c r="BM219">
        <f t="shared" si="57"/>
        <v>0.29883411096807766</v>
      </c>
      <c r="BN219">
        <f t="shared" si="50"/>
        <v>0.53736359115816845</v>
      </c>
      <c r="BO219">
        <f t="shared" si="51"/>
        <v>0.8016916107715073</v>
      </c>
      <c r="BP219">
        <f t="shared" si="58"/>
        <v>0.23852948019009079</v>
      </c>
      <c r="BQ219">
        <f t="shared" si="59"/>
        <v>0.50285749980342964</v>
      </c>
      <c r="BR219">
        <f t="shared" si="60"/>
        <v>0.26432801961333885</v>
      </c>
    </row>
    <row r="220" spans="1:70" x14ac:dyDescent="0.35">
      <c r="A220">
        <f t="shared" si="46"/>
        <v>2067</v>
      </c>
      <c r="B220" s="33">
        <v>2.8974977866357219</v>
      </c>
      <c r="C220">
        <f t="shared" si="61"/>
        <v>-1.8258550557071282</v>
      </c>
      <c r="D220">
        <f>IF($B220&lt;=regressions!$L$2,$B220*regressions!$L$1,regressions!$L$1*regressions!$L$2+regressions!$L$3*($B220-regressions!$L$2))</f>
        <v>-2.3028728160550829</v>
      </c>
      <c r="E220">
        <f>regressions!$J$1*B220+regressions!$J$2*B220^2</f>
        <v>-1.9997332579442282</v>
      </c>
      <c r="F220">
        <f>regressions!$V$1*B220</f>
        <v>-2.3028728225563855</v>
      </c>
      <c r="G220">
        <f>regressions!$N$1*B220^2</f>
        <v>-1.4628716045833501</v>
      </c>
      <c r="H220">
        <f>regressions!$R$1*B220^2+regressions!$R$2*B220^6</f>
        <v>-1.5868179180760187</v>
      </c>
      <c r="I220">
        <f>regressions!$P$1*B220^2+regressions!$P$2*B220^7</f>
        <v>-1.5397556027088022</v>
      </c>
      <c r="J220">
        <f>regressions!$T$2+regressions!$T$1*EXP(B220)</f>
        <v>-0.13385526113303212</v>
      </c>
      <c r="K220" s="8">
        <f>(1-EXP(-2*regressions!$X$1*B220))/2/EXP(-regressions!$X$1*B220)</f>
        <v>-1.4723340478077303</v>
      </c>
      <c r="M220" s="33">
        <v>2.663303286499286</v>
      </c>
      <c r="N220">
        <f t="shared" si="52"/>
        <v>-1.6453401235295519</v>
      </c>
      <c r="O220">
        <f>IF($B220&lt;=regressions!$L$2,$B220*regressions!$L$1,regressions!$L$1*regressions!$L$2+regressions!$L$3*($B220-regressions!$L$2))</f>
        <v>-2.3028728160550829</v>
      </c>
      <c r="P220">
        <f>regressions!$J$1*M220+regressions!$J$2*M220^2</f>
        <v>-1.7871222825924935</v>
      </c>
      <c r="Q220">
        <f>regressions!$V$1*M220</f>
        <v>-2.1167397555894634</v>
      </c>
      <c r="R220">
        <f>regressions!$N$1*M220^2</f>
        <v>-1.2359509459784495</v>
      </c>
      <c r="S220">
        <f>regressions!$R$1*M220^2+regressions!$R$2*M220^6</f>
        <v>-1.3422455476911219</v>
      </c>
      <c r="T220">
        <f>regressions!$P$1*M220^2+regressions!$P$2*M220^7</f>
        <v>-1.301399586281518</v>
      </c>
      <c r="U220">
        <f>regressions!$T$2+regressions!$T$1*EXP(M220)</f>
        <v>-0.10427570128246397</v>
      </c>
      <c r="V220" s="8">
        <f>(1-EXP(-2*regressions!$X$1*M220))/2/EXP(-regressions!$X$1*M220)</f>
        <v>-1.309117957759651</v>
      </c>
      <c r="X220" s="33">
        <v>2.2145801507483998</v>
      </c>
      <c r="Y220">
        <f t="shared" si="53"/>
        <v>-1.3292994737194845</v>
      </c>
      <c r="Z220">
        <f>IF($B220&lt;=regressions!$L$2,$B220*regressions!$L$1,regressions!$L$1*regressions!$L$2+regressions!$L$3*($B220-regressions!$L$2))</f>
        <v>-2.3028728160550829</v>
      </c>
      <c r="AA220">
        <f>regressions!$J$1*X220+regressions!$J$2*X220^2</f>
        <v>-1.404800214313692</v>
      </c>
      <c r="AB220">
        <f>regressions!$V$1*X220</f>
        <v>-1.7601036542819215</v>
      </c>
      <c r="AC220">
        <f>regressions!$N$1*X220^2</f>
        <v>-0.85456045191465368</v>
      </c>
      <c r="AD220">
        <f>regressions!$R$1*X220^2+regressions!$R$2*X220^6</f>
        <v>-0.9294721968679569</v>
      </c>
      <c r="AE220">
        <f>regressions!$P$1*X220^2+regressions!$P$2*X220^7</f>
        <v>-0.90020308604096655</v>
      </c>
      <c r="AF220">
        <f>regressions!$T$2+regressions!$T$1*EXP(X220)</f>
        <v>-6.3748626348643811E-2</v>
      </c>
      <c r="AG220" s="8">
        <f>(1-EXP(-2*regressions!$X$1*X220))/2/EXP(-regressions!$X$1*X220)</f>
        <v>-1.028469766017128</v>
      </c>
      <c r="AH220" s="8"/>
      <c r="AI220" s="33">
        <v>1.9760309399346705</v>
      </c>
      <c r="AJ220">
        <f t="shared" si="54"/>
        <v>-1.0803516196626428</v>
      </c>
      <c r="AK220">
        <f>IF(AI220&lt;=regressions!$L$2,AI220*regressions!$L$1,regressions!$L$1*regressions!$L$2+regressions!$L$3*(AI220-regressions!$L$2))</f>
        <v>-1.5705095466329788</v>
      </c>
      <c r="AL220">
        <f>regressions!$J$1*AI220+regressions!$J$2*AI220^2</f>
        <v>-1.2149510314039131</v>
      </c>
      <c r="AM220">
        <f>regressions!$V$1*AI220</f>
        <v>-1.5705095510667268</v>
      </c>
      <c r="AN220">
        <f>regressions!$N$1*AI220^2</f>
        <v>-0.6803736175626528</v>
      </c>
      <c r="AO220">
        <f>regressions!$R$1*AI220^2+regressions!$R$2*AI220^6</f>
        <v>-0.74039442300954283</v>
      </c>
      <c r="AP220">
        <f>regressions!$P$1*AI220^2+regressions!$P$2*AI220^7</f>
        <v>-0.71680185325405266</v>
      </c>
      <c r="AQ220">
        <f>regressions!$T$2+regressions!$T$1*EXP(AI220)</f>
        <v>-4.8560743328538401E-2</v>
      </c>
      <c r="AR220" s="8">
        <f>(1-EXP(-2*regressions!$X$1*AI220))/2/EXP(-regressions!$X$1*AI220)</f>
        <v>-0.89382441667079271</v>
      </c>
      <c r="AT220" s="33">
        <v>1.58343737855783</v>
      </c>
      <c r="AU220">
        <f t="shared" si="55"/>
        <v>-0.81127873899253289</v>
      </c>
      <c r="AV220">
        <f>IF(AT220&lt;=regressions!$L$2,AT220*regressions!$L$1,regressions!$L$1*regressions!$L$2+regressions!$L$3*(AT220-regressions!$L$2))</f>
        <v>-1.2584841002554272</v>
      </c>
      <c r="AW220">
        <f>regressions!$J$1*AT220+regressions!$J$2*AT220^2</f>
        <v>-0.92275788046273766</v>
      </c>
      <c r="AX220">
        <f>regressions!$V$1*AT220</f>
        <v>-1.2584841038082877</v>
      </c>
      <c r="AY220">
        <f>regressions!$N$1*AT220^2</f>
        <v>-0.4368796037014907</v>
      </c>
      <c r="AZ220">
        <f>regressions!$R$1*AT220^2+regressions!$R$2*AT220^6</f>
        <v>-0.47566727535129844</v>
      </c>
      <c r="BA220">
        <f>regressions!$P$1*AT220^2+regressions!$P$2*AT220^7</f>
        <v>-0.46032064479090018</v>
      </c>
      <c r="BB220">
        <f>regressions!$T$2+regressions!$T$1*EXP(AT220)</f>
        <v>-3.0255826440174667E-2</v>
      </c>
      <c r="BC220" s="8">
        <f>(1-EXP(-2*regressions!$X$1*AT220))/2/EXP(-regressions!$X$1*AT220)</f>
        <v>-0.69002922364196906</v>
      </c>
      <c r="BE220">
        <f t="shared" si="56"/>
        <v>0.1805149321775763</v>
      </c>
      <c r="BF220">
        <f t="shared" si="47"/>
        <v>0.49655558198764371</v>
      </c>
      <c r="BG220">
        <f t="shared" si="48"/>
        <v>0.74550343604448543</v>
      </c>
      <c r="BH220">
        <f>BG220+regressions!$AR$1*(AI220-B220)</f>
        <v>-0.22510783726510941</v>
      </c>
      <c r="BI220">
        <f>BG220-regressions!$AO$1*(AI220-B220)</f>
        <v>2.0641152180557998</v>
      </c>
      <c r="BJ220">
        <f t="shared" si="49"/>
        <v>1.0145763167145954</v>
      </c>
      <c r="BK220">
        <f>BJ220+regressions!$AR$1*(AT220-B220)</f>
        <v>-0.3695666401985318</v>
      </c>
      <c r="BL220">
        <f>BJ220-regressions!$AO$1*(AT220-B220)</f>
        <v>2.894986385258548</v>
      </c>
      <c r="BM220">
        <f t="shared" si="57"/>
        <v>0.31604064981006741</v>
      </c>
      <c r="BN220">
        <f t="shared" si="50"/>
        <v>0.56498850386690913</v>
      </c>
      <c r="BO220">
        <f t="shared" si="51"/>
        <v>0.83406138453701906</v>
      </c>
      <c r="BP220">
        <f t="shared" si="58"/>
        <v>0.24894785405684172</v>
      </c>
      <c r="BQ220">
        <f t="shared" si="59"/>
        <v>0.51802073472695165</v>
      </c>
      <c r="BR220">
        <f t="shared" si="60"/>
        <v>0.26907288067010993</v>
      </c>
    </row>
    <row r="221" spans="1:70" x14ac:dyDescent="0.35">
      <c r="A221">
        <f t="shared" si="46"/>
        <v>2068</v>
      </c>
      <c r="B221" s="33">
        <v>2.9466677840588194</v>
      </c>
      <c r="C221">
        <f t="shared" si="61"/>
        <v>-1.8702874036167223</v>
      </c>
      <c r="D221">
        <f>IF($B221&lt;=regressions!$L$2,$B221*regressions!$L$1,regressions!$L$1*regressions!$L$2+regressions!$L$3*($B221-regressions!$L$2))</f>
        <v>-2.3419521385496216</v>
      </c>
      <c r="E221">
        <f>regressions!$J$1*B221+regressions!$J$2*B221^2</f>
        <v>-2.0455105078952447</v>
      </c>
      <c r="F221">
        <f>regressions!$V$1*B221</f>
        <v>-2.3419521451612502</v>
      </c>
      <c r="G221">
        <f>regressions!$N$1*B221^2</f>
        <v>-1.5129421913905232</v>
      </c>
      <c r="H221">
        <f>regressions!$R$1*B221^2+regressions!$R$2*B221^6</f>
        <v>-1.6406618627111935</v>
      </c>
      <c r="I221">
        <f>regressions!$P$1*B221^2+regressions!$P$2*B221^7</f>
        <v>-1.5923043563062835</v>
      </c>
      <c r="J221">
        <f>regressions!$T$2+regressions!$T$1*EXP(B221)</f>
        <v>-0.14099526967000683</v>
      </c>
      <c r="K221" s="8">
        <f>(1-EXP(-2*regressions!$X$1*B221))/2/EXP(-regressions!$X$1*B221)</f>
        <v>-1.5082505282836944</v>
      </c>
      <c r="M221" s="33">
        <v>2.6992518173662843</v>
      </c>
      <c r="N221">
        <f t="shared" si="52"/>
        <v>-1.6774967227117745</v>
      </c>
      <c r="O221">
        <f>IF($B221&lt;=regressions!$L$2,$B221*regressions!$L$1,regressions!$L$1*regressions!$L$2+regressions!$L$3*($B221-regressions!$L$2))</f>
        <v>-2.3419521385496216</v>
      </c>
      <c r="P221">
        <f>regressions!$J$1*M221+regressions!$J$2*M221^2</f>
        <v>-1.8191752874333336</v>
      </c>
      <c r="Q221">
        <f>regressions!$V$1*M221</f>
        <v>-2.1453109231417811</v>
      </c>
      <c r="R221">
        <f>regressions!$N$1*M221^2</f>
        <v>-1.2695411698714909</v>
      </c>
      <c r="S221">
        <f>regressions!$R$1*M221^2+regressions!$R$2*M221^6</f>
        <v>-1.3785023072020059</v>
      </c>
      <c r="T221">
        <f>regressions!$P$1*M221^2+regressions!$P$2*M221^7</f>
        <v>-1.3367018424111217</v>
      </c>
      <c r="U221">
        <f>regressions!$T$2+regressions!$T$1*EXP(M221)</f>
        <v>-0.10837848802869104</v>
      </c>
      <c r="V221" s="8">
        <f>(1-EXP(-2*regressions!$X$1*M221))/2/EXP(-regressions!$X$1*M221)</f>
        <v>-1.3333622856897542</v>
      </c>
      <c r="X221" s="33">
        <v>2.2285343413488934</v>
      </c>
      <c r="Y221">
        <f t="shared" si="53"/>
        <v>-1.3436974431539219</v>
      </c>
      <c r="Z221">
        <f>IF($B221&lt;=regressions!$L$2,$B221*regressions!$L$1,regressions!$L$1*regressions!$L$2+regressions!$L$3*($B221-regressions!$L$2))</f>
        <v>-2.3419521385496216</v>
      </c>
      <c r="AA221">
        <f>regressions!$J$1*X221+regressions!$J$2*X221^2</f>
        <v>-1.4161936306091645</v>
      </c>
      <c r="AB221">
        <f>regressions!$V$1*X221</f>
        <v>-1.7711941636320461</v>
      </c>
      <c r="AC221">
        <f>regressions!$N$1*X221^2</f>
        <v>-0.86536364502836383</v>
      </c>
      <c r="AD221">
        <f>regressions!$R$1*X221^2+regressions!$R$2*X221^6</f>
        <v>-0.94118895627823029</v>
      </c>
      <c r="AE221">
        <f>regressions!$P$1*X221^2+regressions!$P$2*X221^7</f>
        <v>-0.91157496753889455</v>
      </c>
      <c r="AF221">
        <f>regressions!$T$2+regressions!$T$1*EXP(X221)</f>
        <v>-6.4754234059937299E-2</v>
      </c>
      <c r="AG221" s="8">
        <f>(1-EXP(-2*regressions!$X$1*X221))/2/EXP(-regressions!$X$1*X221)</f>
        <v>-1.0366336069932764</v>
      </c>
      <c r="AH221" s="8"/>
      <c r="AI221" s="33">
        <v>1.9813713212406221</v>
      </c>
      <c r="AJ221">
        <f t="shared" si="54"/>
        <v>-1.0842070931455305</v>
      </c>
      <c r="AK221">
        <f>IF(AI221&lt;=regressions!$L$2,AI221*regressions!$L$1,regressions!$L$1*regressions!$L$2+regressions!$L$3*(AI221-regressions!$L$2))</f>
        <v>-1.5747539740122052</v>
      </c>
      <c r="AL221">
        <f>regressions!$J$1*AI221+regressions!$J$2*AI221^2</f>
        <v>-1.2190993765916454</v>
      </c>
      <c r="AM221">
        <f>regressions!$V$1*AI221</f>
        <v>-1.5747539784579359</v>
      </c>
      <c r="AN221">
        <f>regressions!$N$1*AI221^2</f>
        <v>-0.68405611496206187</v>
      </c>
      <c r="AO221">
        <f>regressions!$R$1*AI221^2+regressions!$R$2*AI221^6</f>
        <v>-0.74439462973346604</v>
      </c>
      <c r="AP221">
        <f>regressions!$P$1*AI221^2+regressions!$P$2*AI221^7</f>
        <v>-0.72067993362957605</v>
      </c>
      <c r="AQ221">
        <f>regressions!$T$2+regressions!$T$1*EXP(AI221)</f>
        <v>-4.886261484255406E-2</v>
      </c>
      <c r="AR221" s="8">
        <f>(1-EXP(-2*regressions!$X$1*AI221))/2/EXP(-regressions!$X$1*AI221)</f>
        <v>-0.89674185129335326</v>
      </c>
      <c r="AT221" s="33">
        <v>1.5823264235050472</v>
      </c>
      <c r="AU221">
        <f t="shared" si="55"/>
        <v>-0.81055711906313777</v>
      </c>
      <c r="AV221">
        <f>IF(AT221&lt;=regressions!$L$2,AT221*regressions!$L$1,regressions!$L$1*regressions!$L$2+regressions!$L$3*(AT221-regressions!$L$2))</f>
        <v>-1.2576011355806265</v>
      </c>
      <c r="AW221">
        <f>regressions!$J$1*AT221+regressions!$J$2*AT221^2</f>
        <v>-0.92196678608161409</v>
      </c>
      <c r="AX221">
        <f>regressions!$V$1*AT221</f>
        <v>-1.2576011391309945</v>
      </c>
      <c r="AY221">
        <f>regressions!$N$1*AT221^2</f>
        <v>-0.43626678080699832</v>
      </c>
      <c r="AZ221">
        <f>regressions!$R$1*AT221^2+regressions!$R$2*AT221^6</f>
        <v>-0.47500052962813105</v>
      </c>
      <c r="BA221">
        <f>regressions!$P$1*AT221^2+regressions!$P$2*AT221^7</f>
        <v>-0.45967502654697301</v>
      </c>
      <c r="BB221">
        <f>regressions!$T$2+regressions!$T$1*EXP(AT221)</f>
        <v>-3.0213555320309025E-2</v>
      </c>
      <c r="BC221" s="8">
        <f>(1-EXP(-2*regressions!$X$1*AT221))/2/EXP(-regressions!$X$1*AT221)</f>
        <v>-0.68947992000481184</v>
      </c>
      <c r="BE221">
        <f t="shared" si="56"/>
        <v>0.19279068090494778</v>
      </c>
      <c r="BF221">
        <f t="shared" si="47"/>
        <v>0.52658996046280038</v>
      </c>
      <c r="BG221">
        <f t="shared" si="48"/>
        <v>0.78608031047119176</v>
      </c>
      <c r="BH221">
        <f>BG221+regressions!$AR$1*(AI221-B221)</f>
        <v>-0.23069813603669753</v>
      </c>
      <c r="BI221">
        <f>BG221-regressions!$AO$1*(AI221-B221)</f>
        <v>2.1674119270810173</v>
      </c>
      <c r="BJ221">
        <f t="shared" si="49"/>
        <v>1.0597302845535845</v>
      </c>
      <c r="BK221">
        <f>BJ221+regressions!$AR$1*(AT221-B221)</f>
        <v>-0.3773752498853149</v>
      </c>
      <c r="BL221">
        <f>BJ221-regressions!$AO$1*(AT221-B221)</f>
        <v>3.012091999087636</v>
      </c>
      <c r="BM221">
        <f t="shared" si="57"/>
        <v>0.3337992795578526</v>
      </c>
      <c r="BN221">
        <f t="shared" si="50"/>
        <v>0.59328962956624398</v>
      </c>
      <c r="BO221">
        <f t="shared" si="51"/>
        <v>0.86693960364863676</v>
      </c>
      <c r="BP221">
        <f t="shared" si="58"/>
        <v>0.25949035000839138</v>
      </c>
      <c r="BQ221">
        <f t="shared" si="59"/>
        <v>0.53314032409078416</v>
      </c>
      <c r="BR221">
        <f t="shared" si="60"/>
        <v>0.27364997408239278</v>
      </c>
    </row>
    <row r="222" spans="1:70" x14ac:dyDescent="0.35">
      <c r="A222">
        <f t="shared" si="46"/>
        <v>2069</v>
      </c>
      <c r="B222" s="33">
        <v>2.9963848081310438</v>
      </c>
      <c r="C222">
        <f t="shared" si="61"/>
        <v>-1.9157060383109441</v>
      </c>
      <c r="D222">
        <f>IF($B222&lt;=regressions!$L$2,$B222*regressions!$L$1,regressions!$L$1*regressions!$L$2+regressions!$L$3*($B222-regressions!$L$2))</f>
        <v>-2.3814662267947133</v>
      </c>
      <c r="E222">
        <f>regressions!$J$1*B222+regressions!$J$2*B222^2</f>
        <v>-2.0921988706018908</v>
      </c>
      <c r="F222">
        <f>regressions!$V$1*B222</f>
        <v>-2.3814662335178953</v>
      </c>
      <c r="G222">
        <f>regressions!$N$1*B222^2</f>
        <v>-1.5644264760397901</v>
      </c>
      <c r="H222">
        <f>regressions!$R$1*B222^2+regressions!$R$2*B222^6</f>
        <v>-1.6959766522521622</v>
      </c>
      <c r="I222">
        <f>regressions!$P$1*B222^2+regressions!$P$2*B222^7</f>
        <v>-1.6463177706673906</v>
      </c>
      <c r="J222">
        <f>regressions!$T$2+regressions!$T$1*EXP(B222)</f>
        <v>-0.14858065580085594</v>
      </c>
      <c r="K222" s="8">
        <f>(1-EXP(-2*regressions!$X$1*B222))/2/EXP(-regressions!$X$1*B222)</f>
        <v>-1.5451808540665612</v>
      </c>
      <c r="M222" s="33">
        <v>2.7353285055188969</v>
      </c>
      <c r="N222">
        <f t="shared" si="52"/>
        <v>-1.710061955594433</v>
      </c>
      <c r="O222">
        <f>IF($B222&lt;=regressions!$L$2,$B222*regressions!$L$1,regressions!$L$1*regressions!$L$2+regressions!$L$3*($B222-regressions!$L$2))</f>
        <v>-2.3814662267947133</v>
      </c>
      <c r="P222">
        <f>regressions!$J$1*M222+regressions!$J$2*M222^2</f>
        <v>-1.8515549403626705</v>
      </c>
      <c r="Q222">
        <f>regressions!$V$1*M222</f>
        <v>-2.1739839475208464</v>
      </c>
      <c r="R222">
        <f>regressions!$N$1*M222^2</f>
        <v>-1.3037039069533833</v>
      </c>
      <c r="S222">
        <f>regressions!$R$1*M222^2+regressions!$R$2*M222^6</f>
        <v>-1.4153586841295303</v>
      </c>
      <c r="T222">
        <f>regressions!$P$1*M222^2+regressions!$P$2*M222^7</f>
        <v>-1.3725993260019007</v>
      </c>
      <c r="U222">
        <f>regressions!$T$2+regressions!$T$1*EXP(M222)</f>
        <v>-0.11264688403027306</v>
      </c>
      <c r="V222" s="8">
        <f>(1-EXP(-2*regressions!$X$1*M222))/2/EXP(-regressions!$X$1*M222)</f>
        <v>-1.3579800323324969</v>
      </c>
      <c r="X222" s="33">
        <v>2.2421280932390331</v>
      </c>
      <c r="Y222">
        <f t="shared" si="53"/>
        <v>-1.3579492805942501</v>
      </c>
      <c r="Z222">
        <f>IF($B222&lt;=regressions!$L$2,$B222*regressions!$L$1,regressions!$L$1*regressions!$L$2+regressions!$L$3*($B222-regressions!$L$2))</f>
        <v>-2.3814662267947133</v>
      </c>
      <c r="AA222">
        <f>regressions!$J$1*X222+regressions!$J$2*X222^2</f>
        <v>-1.4273233608428024</v>
      </c>
      <c r="AB222">
        <f>regressions!$V$1*X222</f>
        <v>-1.7819982035622111</v>
      </c>
      <c r="AC222">
        <f>regressions!$N$1*X222^2</f>
        <v>-0.87595304133919927</v>
      </c>
      <c r="AD222">
        <f>regressions!$R$1*X222^2+regressions!$R$2*X222^6</f>
        <v>-0.95267261576669771</v>
      </c>
      <c r="AE222">
        <f>regressions!$P$1*X222^2+regressions!$P$2*X222^7</f>
        <v>-0.92272144182348848</v>
      </c>
      <c r="AF222">
        <f>regressions!$T$2+regressions!$T$1*EXP(X222)</f>
        <v>-6.5747453161538072E-2</v>
      </c>
      <c r="AG222" s="8">
        <f>(1-EXP(-2*regressions!$X$1*X222))/2/EXP(-regressions!$X$1*X222)</f>
        <v>-1.0446187270478651</v>
      </c>
      <c r="AH222" s="8"/>
      <c r="AI222" s="33">
        <v>1.9863403871758161</v>
      </c>
      <c r="AJ222">
        <f t="shared" si="54"/>
        <v>-1.0877992532150511</v>
      </c>
      <c r="AK222">
        <f>IF(AI222&lt;=regressions!$L$2,AI222*regressions!$L$1,regressions!$L$1*regressions!$L$2+regressions!$L$3*(AI222-regressions!$L$2))</f>
        <v>-1.5787032874219076</v>
      </c>
      <c r="AL222">
        <f>regressions!$J$1*AI222+regressions!$J$2*AI222^2</f>
        <v>-1.2229634754417065</v>
      </c>
      <c r="AM222">
        <f>regressions!$V$1*AI222</f>
        <v>-1.5787032918787878</v>
      </c>
      <c r="AN222">
        <f>regressions!$N$1*AI222^2</f>
        <v>-0.6874914955144521</v>
      </c>
      <c r="AO222">
        <f>regressions!$R$1*AI222^2+regressions!$R$2*AI222^6</f>
        <v>-0.74812629508600559</v>
      </c>
      <c r="AP222">
        <f>regressions!$P$1*AI222^2+regressions!$P$2*AI222^7</f>
        <v>-0.72429774540644531</v>
      </c>
      <c r="AQ222">
        <f>regressions!$T$2+regressions!$T$1*EXP(AI222)</f>
        <v>-4.9144948870571997E-2</v>
      </c>
      <c r="AR222" s="8">
        <f>(1-EXP(-2*regressions!$X$1*AI222))/2/EXP(-regressions!$X$1*AI222)</f>
        <v>-0.89946024221043586</v>
      </c>
      <c r="AT222" s="33">
        <v>1.5810659460191718</v>
      </c>
      <c r="AU222">
        <f t="shared" si="55"/>
        <v>-0.80973864625738101</v>
      </c>
      <c r="AV222">
        <f>IF(AT222&lt;=regressions!$L$2,AT222*regressions!$L$1,regressions!$L$1*regressions!$L$2+regressions!$L$3*(AT222-regressions!$L$2))</f>
        <v>-1.2565993334909544</v>
      </c>
      <c r="AW222">
        <f>regressions!$J$1*AT222+regressions!$J$2*AT222^2</f>
        <v>-0.92106946333726758</v>
      </c>
      <c r="AX222">
        <f>regressions!$V$1*AT222</f>
        <v>-1.256599337038494</v>
      </c>
      <c r="AY222">
        <f>regressions!$N$1*AT222^2</f>
        <v>-0.435571999476695</v>
      </c>
      <c r="AZ222">
        <f>regressions!$R$1*AT222^2+regressions!$R$2*AT222^6</f>
        <v>-0.47424461140011165</v>
      </c>
      <c r="BA222">
        <f>regressions!$P$1*AT222^2+regressions!$P$2*AT222^7</f>
        <v>-0.45894306333281409</v>
      </c>
      <c r="BB222">
        <f>regressions!$T$2+regressions!$T$1*EXP(AT222)</f>
        <v>-3.0165651801714342E-2</v>
      </c>
      <c r="BC222" s="8">
        <f>(1-EXP(-2*regressions!$X$1*AT222))/2/EXP(-regressions!$X$1*AT222)</f>
        <v>-0.68885685679095021</v>
      </c>
      <c r="BE222">
        <f t="shared" si="56"/>
        <v>0.20564408271651113</v>
      </c>
      <c r="BF222">
        <f t="shared" si="47"/>
        <v>0.55775675771669397</v>
      </c>
      <c r="BG222">
        <f t="shared" si="48"/>
        <v>0.82790678509589299</v>
      </c>
      <c r="BH222">
        <f>BG222+regressions!$AR$1*(AI222-B222)</f>
        <v>-0.23600615440095396</v>
      </c>
      <c r="BI222">
        <f>BG222-regressions!$AO$1*(AI222-B222)</f>
        <v>2.2732723764837393</v>
      </c>
      <c r="BJ222">
        <f t="shared" si="49"/>
        <v>1.1059673920535631</v>
      </c>
      <c r="BK222">
        <f>BJ222+regressions!$AR$1*(AT222-B222)</f>
        <v>-0.38483441792101103</v>
      </c>
      <c r="BL222">
        <f>BJ222-regressions!$AO$1*(AT222-B222)</f>
        <v>3.131277508814633</v>
      </c>
      <c r="BM222">
        <f t="shared" si="57"/>
        <v>0.35211267500018284</v>
      </c>
      <c r="BN222">
        <f t="shared" si="50"/>
        <v>0.62226270237938186</v>
      </c>
      <c r="BO222">
        <f t="shared" si="51"/>
        <v>0.90032330933705196</v>
      </c>
      <c r="BP222">
        <f t="shared" si="58"/>
        <v>0.27015002737919902</v>
      </c>
      <c r="BQ222">
        <f t="shared" si="59"/>
        <v>0.54821063433686912</v>
      </c>
      <c r="BR222">
        <f t="shared" si="60"/>
        <v>0.2780606069576701</v>
      </c>
    </row>
    <row r="223" spans="1:70" x14ac:dyDescent="0.35">
      <c r="A223">
        <f t="shared" si="46"/>
        <v>2070</v>
      </c>
      <c r="B223" s="33">
        <v>3.0466499563782437</v>
      </c>
      <c r="C223">
        <f t="shared" si="61"/>
        <v>-1.9621302517627572</v>
      </c>
      <c r="D223">
        <f>IF($B223&lt;=regressions!$L$2,$B223*regressions!$L$1,regressions!$L$1*regressions!$L$2+regressions!$L$3*($B223-regressions!$L$2))</f>
        <v>-2.4214159530817718</v>
      </c>
      <c r="E223">
        <f>regressions!$J$1*B223+regressions!$J$2*B223^2</f>
        <v>-2.139812727389224</v>
      </c>
      <c r="F223">
        <f>regressions!$V$1*B223</f>
        <v>-2.4214159599177369</v>
      </c>
      <c r="G223">
        <f>regressions!$N$1*B223^2</f>
        <v>-1.6173540569442313</v>
      </c>
      <c r="H223">
        <f>regressions!$R$1*B223^2+regressions!$R$2*B223^6</f>
        <v>-1.7527881418317599</v>
      </c>
      <c r="I223">
        <f>regressions!$P$1*B223^2+regressions!$P$2*B223^7</f>
        <v>-1.701824259929132</v>
      </c>
      <c r="J223">
        <f>regressions!$T$2+regressions!$T$1*EXP(B223)</f>
        <v>-0.15664281520054063</v>
      </c>
      <c r="K223" s="8">
        <f>(1-EXP(-2*regressions!$X$1*B223))/2/EXP(-regressions!$X$1*B223)</f>
        <v>-1.58316162421554</v>
      </c>
      <c r="M223" s="33">
        <v>2.7715324274032094</v>
      </c>
      <c r="N223">
        <f t="shared" si="52"/>
        <v>-1.7430386726922189</v>
      </c>
      <c r="O223">
        <f>IF($B223&lt;=regressions!$L$2,$B223*regressions!$L$1,regressions!$L$1*regressions!$L$2+regressions!$L$3*($B223-regressions!$L$2))</f>
        <v>-2.4214159530817718</v>
      </c>
      <c r="P223">
        <f>regressions!$J$1*M223+regressions!$J$2*M223^2</f>
        <v>-1.8842626716401913</v>
      </c>
      <c r="Q223">
        <f>regressions!$V$1*M223</f>
        <v>-2.2027580947046279</v>
      </c>
      <c r="R223">
        <f>regressions!$N$1*M223^2</f>
        <v>-1.3384430989256424</v>
      </c>
      <c r="S223">
        <f>regressions!$R$1*M223^2+regressions!$R$2*M223^6</f>
        <v>-1.452817487250653</v>
      </c>
      <c r="T223">
        <f>regressions!$P$1*M223^2+regressions!$P$2*M223^7</f>
        <v>-1.409095578301742</v>
      </c>
      <c r="U223">
        <f>regressions!$T$2+regressions!$T$1*EXP(M223)</f>
        <v>-0.11708797186527062</v>
      </c>
      <c r="V223" s="8">
        <f>(1-EXP(-2*regressions!$X$1*M223))/2/EXP(-regressions!$X$1*M223)</f>
        <v>-1.3829789564082107</v>
      </c>
      <c r="X223" s="33">
        <v>2.2553658276957269</v>
      </c>
      <c r="Y223">
        <f t="shared" si="53"/>
        <v>-1.3720553125968666</v>
      </c>
      <c r="Z223">
        <f>IF($B223&lt;=regressions!$L$2,$B223*regressions!$L$1,regressions!$L$1*regressions!$L$2+regressions!$L$3*($B223-regressions!$L$2))</f>
        <v>-2.4214159530817718</v>
      </c>
      <c r="AA223">
        <f>regressions!$J$1*X223+regressions!$J$2*X223^2</f>
        <v>-1.4381906365432733</v>
      </c>
      <c r="AB223">
        <f>regressions!$V$1*X223</f>
        <v>-1.7925192880141629</v>
      </c>
      <c r="AC223">
        <f>regressions!$N$1*X223^2</f>
        <v>-0.88632699334241904</v>
      </c>
      <c r="AD223">
        <f>regressions!$R$1*X223^2+regressions!$R$2*X223^6</f>
        <v>-0.96392144797002077</v>
      </c>
      <c r="AE223">
        <f>regressions!$P$1*X223^2+regressions!$P$2*X223^7</f>
        <v>-0.93364078985471866</v>
      </c>
      <c r="AF223">
        <f>regressions!$T$2+regressions!$T$1*EXP(X223)</f>
        <v>-6.6727722908680231E-2</v>
      </c>
      <c r="AG223" s="8">
        <f>(1-EXP(-2*regressions!$X$1*X223))/2/EXP(-regressions!$X$1*X223)</f>
        <v>-1.0524254493437417</v>
      </c>
      <c r="AH223" s="8"/>
      <c r="AI223" s="33">
        <v>1.9909493671351899</v>
      </c>
      <c r="AJ223">
        <f t="shared" si="54"/>
        <v>-1.0911352060606114</v>
      </c>
      <c r="AK223">
        <f>IF(AI223&lt;=regressions!$L$2,AI223*regressions!$L$1,regressions!$L$1*regressions!$L$2+regressions!$L$3*(AI223-regressions!$L$2))</f>
        <v>-1.5823664117587544</v>
      </c>
      <c r="AL223">
        <f>regressions!$J$1*AI223+regressions!$J$2*AI223^2</f>
        <v>-1.2265511684562074</v>
      </c>
      <c r="AM223">
        <f>regressions!$V$1*AI223</f>
        <v>-1.5823664162259758</v>
      </c>
      <c r="AN223">
        <f>regressions!$N$1*AI223^2</f>
        <v>-0.69068562145198076</v>
      </c>
      <c r="AO223">
        <f>regressions!$R$1*AI223^2+regressions!$R$2*AI223^6</f>
        <v>-0.75159580793404135</v>
      </c>
      <c r="AP223">
        <f>regressions!$P$1*AI223^2+regressions!$P$2*AI223^7</f>
        <v>-0.72766146750779459</v>
      </c>
      <c r="AQ223">
        <f>regressions!$T$2+regressions!$T$1*EXP(AI223)</f>
        <v>-4.9408080507993432E-2</v>
      </c>
      <c r="AR223" s="8">
        <f>(1-EXP(-2*regressions!$X$1*AI223))/2/EXP(-regressions!$X$1*AI223)</f>
        <v>-0.90198493215259523</v>
      </c>
      <c r="AT223" s="33">
        <v>1.5796642803571854</v>
      </c>
      <c r="AU223">
        <f t="shared" si="55"/>
        <v>-0.80882883109213988</v>
      </c>
      <c r="AV223">
        <f>IF(AT223&lt;=regressions!$L$2,AT223*regressions!$L$1,regressions!$L$1*regressions!$L$2+regressions!$L$3*(AT223-regressions!$L$2))</f>
        <v>-1.2554853178858092</v>
      </c>
      <c r="AW223">
        <f>regressions!$J$1*AT223+regressions!$J$2*AT223^2</f>
        <v>-0.92007193496495931</v>
      </c>
      <c r="AX223">
        <f>regressions!$V$1*AT223</f>
        <v>-1.2554853214302037</v>
      </c>
      <c r="AY223">
        <f>regressions!$N$1*AT223^2</f>
        <v>-0.4348000447192763</v>
      </c>
      <c r="AZ223">
        <f>regressions!$R$1*AT223^2+regressions!$R$2*AT223^6</f>
        <v>-0.47340472583394327</v>
      </c>
      <c r="BA223">
        <f>regressions!$P$1*AT223^2+regressions!$P$2*AT223^7</f>
        <v>-0.45812979604677956</v>
      </c>
      <c r="BB223">
        <f>regressions!$T$2+regressions!$T$1*EXP(AT223)</f>
        <v>-3.0112453387672614E-2</v>
      </c>
      <c r="BC223" s="8">
        <f>(1-EXP(-2*regressions!$X$1*AT223))/2/EXP(-regressions!$X$1*AT223)</f>
        <v>-0.6881642161321293</v>
      </c>
      <c r="BE223">
        <f t="shared" si="56"/>
        <v>0.21909157907053833</v>
      </c>
      <c r="BF223">
        <f t="shared" si="47"/>
        <v>0.5900749391658906</v>
      </c>
      <c r="BG223">
        <f t="shared" si="48"/>
        <v>0.87099504570214581</v>
      </c>
      <c r="BH223">
        <f>BG223+regressions!$AR$1*(AI223-B223)</f>
        <v>-0.24100903434406984</v>
      </c>
      <c r="BI223">
        <f>BG223-regressions!$AO$1*(AI223-B223)</f>
        <v>2.3816942534228538</v>
      </c>
      <c r="BJ223">
        <f t="shared" si="49"/>
        <v>1.1533014206706174</v>
      </c>
      <c r="BK223">
        <f>BJ223+regressions!$AR$1*(AT223-B223)</f>
        <v>-0.39192274016311335</v>
      </c>
      <c r="BL223">
        <f>BJ223-regressions!$AO$1*(AT223-B223)</f>
        <v>3.2525463401905124</v>
      </c>
      <c r="BM223">
        <f t="shared" si="57"/>
        <v>0.37098336009535227</v>
      </c>
      <c r="BN223">
        <f t="shared" si="50"/>
        <v>0.65190346663160748</v>
      </c>
      <c r="BO223">
        <f t="shared" si="51"/>
        <v>0.93420984160007903</v>
      </c>
      <c r="BP223">
        <f t="shared" si="58"/>
        <v>0.28092010653625521</v>
      </c>
      <c r="BQ223">
        <f t="shared" si="59"/>
        <v>0.56322648150472676</v>
      </c>
      <c r="BR223">
        <f t="shared" si="60"/>
        <v>0.28230637496847155</v>
      </c>
    </row>
    <row r="224" spans="1:70" x14ac:dyDescent="0.35">
      <c r="A224">
        <f t="shared" si="46"/>
        <v>2071</v>
      </c>
      <c r="B224" s="33">
        <v>3.0974642224381208</v>
      </c>
      <c r="C224">
        <f t="shared" si="61"/>
        <v>-2.0095795962817493</v>
      </c>
      <c r="D224">
        <f>IF($B224&lt;=regressions!$L$2,$B224*regressions!$L$1,regressions!$L$1*regressions!$L$2+regressions!$L$3*($B224-regressions!$L$2))</f>
        <v>-2.4618021071340075</v>
      </c>
      <c r="E224">
        <f>regressions!$J$1*B224+regressions!$J$2*B224^2</f>
        <v>-2.1883665430954933</v>
      </c>
      <c r="F224">
        <f>regressions!$V$1*B224</f>
        <v>-2.4618021140839876</v>
      </c>
      <c r="G224">
        <f>regressions!$N$1*B224^2</f>
        <v>-1.6717548109594358</v>
      </c>
      <c r="H224">
        <f>regressions!$R$1*B224^2+regressions!$R$2*B224^6</f>
        <v>-1.8111219472742834</v>
      </c>
      <c r="I224">
        <f>regressions!$P$1*B224^2+regressions!$P$2*B224^7</f>
        <v>-1.758852244494675</v>
      </c>
      <c r="J224">
        <f>regressions!$T$2+regressions!$T$1*EXP(B224)</f>
        <v>-0.1652155658174819</v>
      </c>
      <c r="K224" s="8">
        <f>(1-EXP(-2*regressions!$X$1*B224))/2/EXP(-regressions!$X$1*B224)</f>
        <v>-1.6222309294327897</v>
      </c>
      <c r="M224" s="33">
        <v>2.8078627147935751</v>
      </c>
      <c r="N224">
        <f t="shared" si="52"/>
        <v>-1.7764297570824303</v>
      </c>
      <c r="O224">
        <f>IF($B224&lt;=regressions!$L$2,$B224*regressions!$L$1,regressions!$L$1*regressions!$L$2+regressions!$L$3*($B224-regressions!$L$2))</f>
        <v>-2.4618021071340075</v>
      </c>
      <c r="P224">
        <f>regressions!$J$1*M224+regressions!$J$2*M224^2</f>
        <v>-1.9172999481176318</v>
      </c>
      <c r="Q224">
        <f>regressions!$V$1*M224</f>
        <v>-2.2316326746448869</v>
      </c>
      <c r="R224">
        <f>regressions!$N$1*M224^2</f>
        <v>-1.3737627120270226</v>
      </c>
      <c r="S224">
        <f>regressions!$R$1*M224^2+regressions!$R$2*M224^6</f>
        <v>-1.4908814754543309</v>
      </c>
      <c r="T224">
        <f>regressions!$P$1*M224^2+regressions!$P$2*M224^7</f>
        <v>-1.4461941262981284</v>
      </c>
      <c r="U224">
        <f>regressions!$T$2+regressions!$T$1*EXP(M224)</f>
        <v>-0.12170915677094712</v>
      </c>
      <c r="V224" s="8">
        <f>(1-EXP(-2*regressions!$X$1*M224))/2/EXP(-regressions!$X$1*M224)</f>
        <v>-1.4083670133912791</v>
      </c>
      <c r="X224" s="33">
        <v>2.2682520748777781</v>
      </c>
      <c r="Y224">
        <f t="shared" si="53"/>
        <v>-1.3860160393791474</v>
      </c>
      <c r="Z224">
        <f>IF($B224&lt;=regressions!$L$2,$B224*regressions!$L$1,regressions!$L$1*regressions!$L$2+regressions!$L$3*($B224-regressions!$L$2))</f>
        <v>-2.4618021071340075</v>
      </c>
      <c r="AA224">
        <f>regressions!$J$1*X224+regressions!$J$2*X224^2</f>
        <v>-1.4487968799155275</v>
      </c>
      <c r="AB224">
        <f>regressions!$V$1*X224</f>
        <v>-1.8027610174667834</v>
      </c>
      <c r="AC224">
        <f>regressions!$N$1*X224^2</f>
        <v>-0.89648415480098798</v>
      </c>
      <c r="AD224">
        <f>regressions!$R$1*X224^2+regressions!$R$2*X224^6</f>
        <v>-0.97493405315396153</v>
      </c>
      <c r="AE224">
        <f>regressions!$P$1*X224^2+regressions!$P$2*X224^7</f>
        <v>-0.94433161019981349</v>
      </c>
      <c r="AF224">
        <f>regressions!$T$2+regressions!$T$1*EXP(X224)</f>
        <v>-6.7694510297628269E-2</v>
      </c>
      <c r="AG224" s="8">
        <f>(1-EXP(-2*regressions!$X$1*X224))/2/EXP(-regressions!$X$1*X224)</f>
        <v>-1.0600542319085484</v>
      </c>
      <c r="AH224" s="8"/>
      <c r="AI224" s="33">
        <v>1.9952093439440017</v>
      </c>
      <c r="AJ224">
        <f t="shared" si="54"/>
        <v>-1.0942220631509587</v>
      </c>
      <c r="AK224">
        <f>IF(AI224&lt;=regressions!$L$2,AI224*regressions!$L$1,regressions!$L$1*regressions!$L$2+regressions!$L$3*(AI224-regressions!$L$2))</f>
        <v>-1.5857521554287877</v>
      </c>
      <c r="AL224">
        <f>regressions!$J$1*AI224+regressions!$J$2*AI224^2</f>
        <v>-1.2298702806584694</v>
      </c>
      <c r="AM224">
        <f>regressions!$V$1*AI224</f>
        <v>-1.5857521599055677</v>
      </c>
      <c r="AN224">
        <f>regressions!$N$1*AI224^2</f>
        <v>-0.69364446366100396</v>
      </c>
      <c r="AO224">
        <f>regressions!$R$1*AI224^2+regressions!$R$2*AI224^6</f>
        <v>-0.75480967319568648</v>
      </c>
      <c r="AP224">
        <f>regressions!$P$1*AI224^2+regressions!$P$2*AI224^7</f>
        <v>-0.73077739279440268</v>
      </c>
      <c r="AQ224">
        <f>regressions!$T$2+regressions!$T$1*EXP(AI224)</f>
        <v>-4.9652368037131495E-2</v>
      </c>
      <c r="AR224" s="8">
        <f>(1-EXP(-2*regressions!$X$1*AI224))/2/EXP(-regressions!$X$1*AI224)</f>
        <v>-0.90432126894612253</v>
      </c>
      <c r="AT224" s="33">
        <v>1.5781293645865113</v>
      </c>
      <c r="AU224">
        <f t="shared" si="55"/>
        <v>-0.80783292985092459</v>
      </c>
      <c r="AV224">
        <f>IF(AT224&lt;=regressions!$L$2,AT224*regressions!$L$1,regressions!$L$1*regressions!$L$2+regressions!$L$3*(AT224-regressions!$L$2))</f>
        <v>-1.2542653977811165</v>
      </c>
      <c r="AW224">
        <f>regressions!$J$1*AT224+regressions!$J$2*AT224^2</f>
        <v>-0.91897994442047748</v>
      </c>
      <c r="AX224">
        <f>regressions!$V$1*AT224</f>
        <v>-1.2542654013220671</v>
      </c>
      <c r="AY224">
        <f>regressions!$N$1*AT224^2</f>
        <v>-0.43395548905508158</v>
      </c>
      <c r="AZ224">
        <f>regressions!$R$1*AT224^2+regressions!$R$2*AT224^6</f>
        <v>-0.47248584689005546</v>
      </c>
      <c r="BA224">
        <f>regressions!$P$1*AT224^2+regressions!$P$2*AT224^7</f>
        <v>-0.45724004172351762</v>
      </c>
      <c r="BB224">
        <f>regressions!$T$2+regressions!$T$1*EXP(AT224)</f>
        <v>-3.0054283110122509E-2</v>
      </c>
      <c r="BC224" s="8">
        <f>(1-EXP(-2*regressions!$X$1*AT224))/2/EXP(-regressions!$X$1*AT224)</f>
        <v>-0.68740598612799286</v>
      </c>
      <c r="BE224">
        <f t="shared" si="56"/>
        <v>0.23314983919931898</v>
      </c>
      <c r="BF224">
        <f t="shared" si="47"/>
        <v>0.6235635569026019</v>
      </c>
      <c r="BG224">
        <f t="shared" si="48"/>
        <v>0.9153575331307906</v>
      </c>
      <c r="BH224">
        <f>BG224+regressions!$AR$1*(AI224-B224)</f>
        <v>-0.24568370775281267</v>
      </c>
      <c r="BI224">
        <f>BG224-regressions!$AO$1*(AI224-B224)</f>
        <v>2.4926755611914704</v>
      </c>
      <c r="BJ224">
        <f t="shared" si="49"/>
        <v>1.2017466664308247</v>
      </c>
      <c r="BK224">
        <f>BJ224+regressions!$AR$1*(AT224-B224)</f>
        <v>-0.39861860578979358</v>
      </c>
      <c r="BL224">
        <f>BJ224-regressions!$AO$1*(AT224-B224)</f>
        <v>3.3759028518172522</v>
      </c>
      <c r="BM224">
        <f t="shared" si="57"/>
        <v>0.39041371770328293</v>
      </c>
      <c r="BN224">
        <f t="shared" si="50"/>
        <v>0.68220769393147163</v>
      </c>
      <c r="BO224">
        <f t="shared" si="51"/>
        <v>0.96859682723150575</v>
      </c>
      <c r="BP224">
        <f t="shared" si="58"/>
        <v>0.2917939762281887</v>
      </c>
      <c r="BQ224">
        <f t="shared" si="59"/>
        <v>0.57818310952822283</v>
      </c>
      <c r="BR224">
        <f t="shared" si="60"/>
        <v>0.28638913330003413</v>
      </c>
    </row>
    <row r="225" spans="1:70" x14ac:dyDescent="0.35">
      <c r="A225">
        <f t="shared" si="46"/>
        <v>2072</v>
      </c>
      <c r="B225" s="33">
        <v>3.1488284959510731</v>
      </c>
      <c r="C225">
        <f t="shared" si="61"/>
        <v>-2.0580738841292838</v>
      </c>
      <c r="D225">
        <f>IF($B225&lt;=regressions!$L$2,$B225*regressions!$L$1,regressions!$L$1*regressions!$L$2+regressions!$L$3*($B225-regressions!$L$2))</f>
        <v>-2.5026253960196692</v>
      </c>
      <c r="E225">
        <f>regressions!$J$1*B225+regressions!$J$2*B225^2</f>
        <v>-2.2378748625894156</v>
      </c>
      <c r="F225">
        <f>regressions!$V$1*B225</f>
        <v>-2.5026254030848989</v>
      </c>
      <c r="G225">
        <f>regressions!$N$1*B225^2</f>
        <v>-1.7276588860642779</v>
      </c>
      <c r="H225">
        <f>regressions!$R$1*B225^2+regressions!$R$2*B225^6</f>
        <v>-1.8710033955921064</v>
      </c>
      <c r="I225">
        <f>regressions!$P$1*B225^2+regressions!$P$2*B225^7</f>
        <v>-1.8174301159717858</v>
      </c>
      <c r="J225">
        <f>regressions!$T$2+regressions!$T$1*EXP(B225)</f>
        <v>-0.17433534846289359</v>
      </c>
      <c r="K225" s="8">
        <f>(1-EXP(-2*regressions!$X$1*B225))/2/EXP(-regressions!$X$1*B225)</f>
        <v>-1.6624284147580826</v>
      </c>
      <c r="M225" s="33">
        <v>2.8443185516164933</v>
      </c>
      <c r="N225">
        <f t="shared" si="52"/>
        <v>-1.810238123605554</v>
      </c>
      <c r="O225">
        <f>IF($B225&lt;=regressions!$L$2,$B225*regressions!$L$1,regressions!$L$1*regressions!$L$2+regressions!$L$3*($B225-regressions!$L$2))</f>
        <v>-2.5026253960196692</v>
      </c>
      <c r="P225">
        <f>regressions!$J$1*M225+regressions!$J$2*M225^2</f>
        <v>-1.9506682717793824</v>
      </c>
      <c r="Q225">
        <f>regressions!$V$1*M225</f>
        <v>-2.2606070387428581</v>
      </c>
      <c r="R225">
        <f>regressions!$N$1*M225^2</f>
        <v>-1.4096667369918545</v>
      </c>
      <c r="S225">
        <f>regressions!$R$1*M225^2+regressions!$R$2*M225^6</f>
        <v>-1.5295533544734399</v>
      </c>
      <c r="T225">
        <f>regressions!$P$1*M225^2+regressions!$P$2*M225^7</f>
        <v>-1.4838984804474002</v>
      </c>
      <c r="U225">
        <f>regressions!$T$2+regressions!$T$1*EXP(M225)</f>
        <v>-0.1265181820041264</v>
      </c>
      <c r="V225" s="8">
        <f>(1-EXP(-2*regressions!$X$1*M225))/2/EXP(-regressions!$X$1*M225)</f>
        <v>-1.4341523584135325</v>
      </c>
      <c r="X225" s="33">
        <v>2.2807914604784592</v>
      </c>
      <c r="Y225">
        <f t="shared" si="53"/>
        <v>-1.3998321246081178</v>
      </c>
      <c r="Z225">
        <f>IF($B225&lt;=regressions!$L$2,$B225*regressions!$L$1,regressions!$L$1*regressions!$L$2+regressions!$L$3*($B225-regressions!$L$2))</f>
        <v>-2.5026253960196692</v>
      </c>
      <c r="AA225">
        <f>regressions!$J$1*X225+regressions!$J$2*X225^2</f>
        <v>-1.459143691372381</v>
      </c>
      <c r="AB225">
        <f>regressions!$V$1*X225</f>
        <v>-1.8127270683278238</v>
      </c>
      <c r="AC225">
        <f>regressions!$N$1*X225^2</f>
        <v>-0.90642346706420962</v>
      </c>
      <c r="AD225">
        <f>regressions!$R$1*X225^2+regressions!$R$2*X225^6</f>
        <v>-0.98570934410568944</v>
      </c>
      <c r="AE225">
        <f>regressions!$P$1*X225^2+regressions!$P$2*X225^7</f>
        <v>-0.95479280454970505</v>
      </c>
      <c r="AF225">
        <f>regressions!$T$2+regressions!$T$1*EXP(X225)</f>
        <v>-6.8647310241991416E-2</v>
      </c>
      <c r="AG225" s="8">
        <f>(1-EXP(-2*regressions!$X$1*X225))/2/EXP(-regressions!$X$1*X225)</f>
        <v>-1.0675056611307763</v>
      </c>
      <c r="AH225" s="8"/>
      <c r="AI225" s="33">
        <v>1.9991312419150273</v>
      </c>
      <c r="AJ225">
        <f t="shared" si="54"/>
        <v>-1.0970669247933715</v>
      </c>
      <c r="AK225">
        <f>IF(AI225&lt;=regressions!$L$2,AI225*regressions!$L$1,regressions!$L$1*regressions!$L$2+regressions!$L$3*(AI225-regressions!$L$2))</f>
        <v>-1.5888692008555259</v>
      </c>
      <c r="AL225">
        <f>regressions!$J$1*AI225+regressions!$J$2*AI225^2</f>
        <v>-1.2329286052994606</v>
      </c>
      <c r="AM225">
        <f>regressions!$V$1*AI225</f>
        <v>-1.5888692053411055</v>
      </c>
      <c r="AN225">
        <f>regressions!$N$1*AI225^2</f>
        <v>-0.69637407848848532</v>
      </c>
      <c r="AO225">
        <f>regressions!$R$1*AI225^2+regressions!$R$2*AI225^6</f>
        <v>-0.75777448671426129</v>
      </c>
      <c r="AP225">
        <f>regressions!$P$1*AI225^2+regressions!$P$2*AI225^7</f>
        <v>-0.73365190365194199</v>
      </c>
      <c r="AQ225">
        <f>regressions!$T$2+regressions!$T$1*EXP(AI225)</f>
        <v>-4.9878190414260795E-2</v>
      </c>
      <c r="AR225" s="8">
        <f>(1-EXP(-2*regressions!$X$1*AI225))/2/EXP(-regressions!$X$1*AI225)</f>
        <v>-0.90647459358106719</v>
      </c>
      <c r="AT225" s="33">
        <v>1.5764687594435749</v>
      </c>
      <c r="AU225">
        <f t="shared" si="55"/>
        <v>-0.80675595534346245</v>
      </c>
      <c r="AV225">
        <f>IF(AT225&lt;=regressions!$L$2,AT225*regressions!$L$1,regressions!$L$1*regressions!$L$2+regressions!$L$3*(AT225-regressions!$L$2))</f>
        <v>-1.2529455822977336</v>
      </c>
      <c r="AW225">
        <f>regressions!$J$1*AT225+regressions!$J$2*AT225^2</f>
        <v>-0.91779896796001148</v>
      </c>
      <c r="AX225">
        <f>regressions!$V$1*AT225</f>
        <v>-1.2529455858349581</v>
      </c>
      <c r="AY225">
        <f>regressions!$N$1*AT225^2</f>
        <v>-0.43304270004287387</v>
      </c>
      <c r="AZ225">
        <f>regressions!$R$1*AT225^2+regressions!$R$2*AT225^6</f>
        <v>-0.47149272552645871</v>
      </c>
      <c r="BA225">
        <f>regressions!$P$1*AT225^2+regressions!$P$2*AT225^7</f>
        <v>-0.45627840146664339</v>
      </c>
      <c r="BB225">
        <f>regressions!$T$2+regressions!$T$1*EXP(AT225)</f>
        <v>-2.9991449925063189E-2</v>
      </c>
      <c r="BC225" s="8">
        <f>(1-EXP(-2*regressions!$X$1*AT225))/2/EXP(-regressions!$X$1*AT225)</f>
        <v>-0.68658596920977333</v>
      </c>
      <c r="BE225">
        <f t="shared" si="56"/>
        <v>0.2478357605237298</v>
      </c>
      <c r="BF225">
        <f t="shared" si="47"/>
        <v>0.65824175952116604</v>
      </c>
      <c r="BG225">
        <f t="shared" si="48"/>
        <v>0.96100695933591229</v>
      </c>
      <c r="BH225">
        <f>BG225+regressions!$AR$1*(AI225-B225)</f>
        <v>-0.250006892823331</v>
      </c>
      <c r="BI225">
        <f>BG225-regressions!$AO$1*(AI225-B225)</f>
        <v>2.6062146522067309</v>
      </c>
      <c r="BJ225">
        <f t="shared" si="49"/>
        <v>1.2513179287858214</v>
      </c>
      <c r="BK225">
        <f>BJ225+regressions!$AR$1*(AT225-B225)</f>
        <v>-0.40490018846501652</v>
      </c>
      <c r="BL225">
        <f>BJ225-regressions!$AO$1*(AT225-B225)</f>
        <v>3.5013522968607451</v>
      </c>
      <c r="BM225">
        <f t="shared" si="57"/>
        <v>0.41040599899743624</v>
      </c>
      <c r="BN225">
        <f t="shared" si="50"/>
        <v>0.71317119881218249</v>
      </c>
      <c r="BO225">
        <f t="shared" si="51"/>
        <v>1.0034821682620916</v>
      </c>
      <c r="BP225">
        <f t="shared" si="58"/>
        <v>0.30276519981474626</v>
      </c>
      <c r="BQ225">
        <f t="shared" si="59"/>
        <v>0.59307616926465534</v>
      </c>
      <c r="BR225">
        <f t="shared" si="60"/>
        <v>0.29031096944990908</v>
      </c>
    </row>
    <row r="226" spans="1:70" x14ac:dyDescent="0.35">
      <c r="A226">
        <f t="shared" si="46"/>
        <v>2073</v>
      </c>
      <c r="B226" s="33">
        <v>3.2007435625215166</v>
      </c>
      <c r="C226">
        <f t="shared" si="61"/>
        <v>-2.1076331869352773</v>
      </c>
      <c r="D226">
        <f>IF($B226&lt;=regressions!$L$2,$B226*regressions!$L$1,regressions!$L$1*regressions!$L$2+regressions!$L$3*($B226-regressions!$L$2))</f>
        <v>-2.5438864441213069</v>
      </c>
      <c r="E226">
        <f>regressions!$J$1*B226+regressions!$J$2*B226^2</f>
        <v>-2.2883523072123038</v>
      </c>
      <c r="F226">
        <f>regressions!$V$1*B226</f>
        <v>-2.5438864513030217</v>
      </c>
      <c r="G226">
        <f>regressions!$N$1*B226^2</f>
        <v>-1.785096693813375</v>
      </c>
      <c r="H226">
        <f>regressions!$R$1*B226^2+regressions!$R$2*B226^6</f>
        <v>-1.9324574724594046</v>
      </c>
      <c r="I226">
        <f>regressions!$P$1*B226^2+regressions!$P$2*B226^7</f>
        <v>-1.8775861995168104</v>
      </c>
      <c r="J226">
        <f>regressions!$T$2+regressions!$T$1*EXP(B226)</f>
        <v>-0.18404144499294087</v>
      </c>
      <c r="K226" s="8">
        <f>(1-EXP(-2*regressions!$X$1*B226))/2/EXP(-regressions!$X$1*B226)</f>
        <v>-1.7037953449542107</v>
      </c>
      <c r="M226" s="33">
        <v>2.8808991709361123</v>
      </c>
      <c r="N226">
        <f t="shared" si="52"/>
        <v>-1.8444667180909149</v>
      </c>
      <c r="O226">
        <f>IF($B226&lt;=regressions!$L$2,$B226*regressions!$L$1,regressions!$L$1*regressions!$L$2+regressions!$L$3*($B226-regressions!$L$2))</f>
        <v>-2.5438864441213069</v>
      </c>
      <c r="P226">
        <f>regressions!$J$1*M226+regressions!$J$2*M226^2</f>
        <v>-1.9843691783368269</v>
      </c>
      <c r="Q226">
        <f>regressions!$V$1*M226</f>
        <v>-2.2896805774533888</v>
      </c>
      <c r="R226">
        <f>regressions!$N$1*M226^2</f>
        <v>-1.4461591889667322</v>
      </c>
      <c r="S226">
        <f>regressions!$R$1*M226^2+regressions!$R$2*M226^6</f>
        <v>-1.5688357734629688</v>
      </c>
      <c r="T226">
        <f>regressions!$P$1*M226^2+regressions!$P$2*M226^7</f>
        <v>-1.5222121322569517</v>
      </c>
      <c r="U226">
        <f>regressions!$T$2+regressions!$T$1*EXP(M226)</f>
        <v>-0.13152314496630788</v>
      </c>
      <c r="V226" s="8">
        <f>(1-EXP(-2*regressions!$X$1*M226))/2/EXP(-regressions!$X$1*M226)</f>
        <v>-1.4603433493274092</v>
      </c>
      <c r="X226" s="33">
        <v>2.2929886932854462</v>
      </c>
      <c r="Y226">
        <f t="shared" si="53"/>
        <v>-1.4135043855334086</v>
      </c>
      <c r="Z226">
        <f>IF($B226&lt;=regressions!$L$2,$B226*regressions!$L$1,regressions!$L$1*regressions!$L$2+regressions!$L$3*($B226-regressions!$L$2))</f>
        <v>-2.5438864441213069</v>
      </c>
      <c r="AA226">
        <f>regressions!$J$1*X226+regressions!$J$2*X226^2</f>
        <v>-1.4692328375983981</v>
      </c>
      <c r="AB226">
        <f>regressions!$V$1*X226</f>
        <v>-1.822421183046792</v>
      </c>
      <c r="AC226">
        <f>regressions!$N$1*X226^2</f>
        <v>-0.9161441456442313</v>
      </c>
      <c r="AD226">
        <f>regressions!$R$1*X226^2+regressions!$R$2*X226^6</f>
        <v>-0.99624653131932228</v>
      </c>
      <c r="AE226">
        <f>regressions!$P$1*X226^2+regressions!$P$2*X226^7</f>
        <v>-0.96502356350938456</v>
      </c>
      <c r="AF226">
        <f>regressions!$T$2+regressions!$T$1*EXP(X226)</f>
        <v>-6.9585645670026591E-2</v>
      </c>
      <c r="AG226" s="8">
        <f>(1-EXP(-2*regressions!$X$1*X226))/2/EXP(-regressions!$X$1*X226)</f>
        <v>-1.074780445432038</v>
      </c>
      <c r="AH226" s="8"/>
      <c r="AI226" s="33">
        <v>2.0027258164103534</v>
      </c>
      <c r="AJ226">
        <f t="shared" si="54"/>
        <v>-1.0996768650817514</v>
      </c>
      <c r="AK226">
        <f>IF(AI226&lt;=regressions!$L$2,AI226*regressions!$L$1,regressions!$L$1*regressions!$L$2+regressions!$L$3*(AI226-regressions!$L$2))</f>
        <v>-1.5917260961838853</v>
      </c>
      <c r="AL226">
        <f>regressions!$J$1*AI226+regressions!$J$2*AI226^2</f>
        <v>-1.2357338890203771</v>
      </c>
      <c r="AM226">
        <f>regressions!$V$1*AI226</f>
        <v>-1.5917261006775303</v>
      </c>
      <c r="AN226">
        <f>regressions!$N$1*AI226^2</f>
        <v>-0.69888058619860016</v>
      </c>
      <c r="AO226">
        <f>regressions!$R$1*AI226^2+regressions!$R$2*AI226^6</f>
        <v>-0.76049691193332403</v>
      </c>
      <c r="AP226">
        <f>regressions!$P$1*AI226^2+regressions!$P$2*AI226^7</f>
        <v>-0.73629144931889567</v>
      </c>
      <c r="AQ226">
        <f>regressions!$T$2+regressions!$T$1*EXP(AI226)</f>
        <v>-5.0085944851736799E-2</v>
      </c>
      <c r="AR226" s="8">
        <f>(1-EXP(-2*regressions!$X$1*AI226))/2/EXP(-regressions!$X$1*AI226)</f>
        <v>-0.90845022921183427</v>
      </c>
      <c r="AT226" s="33">
        <v>1.5746896662712204</v>
      </c>
      <c r="AU226">
        <f t="shared" si="55"/>
        <v>-0.80560268728341355</v>
      </c>
      <c r="AV226">
        <f>IF(AT226&lt;=regressions!$L$2,AT226*regressions!$L$1,regressions!$L$1*regressions!$L$2+regressions!$L$3*(AT226-regressions!$L$2))</f>
        <v>-1.2515315949177461</v>
      </c>
      <c r="AW226">
        <f>regressions!$J$1*AT226+regressions!$J$2*AT226^2</f>
        <v>-0.9165342262599866</v>
      </c>
      <c r="AX226">
        <f>regressions!$V$1*AT226</f>
        <v>-1.2515315984509789</v>
      </c>
      <c r="AY226">
        <f>regressions!$N$1*AT226^2</f>
        <v>-0.43206584771611978</v>
      </c>
      <c r="AZ226">
        <f>regressions!$R$1*AT226^2+regressions!$R$2*AT226^6</f>
        <v>-0.47042989780193406</v>
      </c>
      <c r="BA226">
        <f>regressions!$P$1*AT226^2+regressions!$P$2*AT226^7</f>
        <v>-0.45524926828560591</v>
      </c>
      <c r="BB226">
        <f>regressions!$T$2+regressions!$T$1*EXP(AT226)</f>
        <v>-2.992424912002975E-2</v>
      </c>
      <c r="BC226" s="8">
        <f>(1-EXP(-2*regressions!$X$1*AT226))/2/EXP(-regressions!$X$1*AT226)</f>
        <v>-0.68570779018867567</v>
      </c>
      <c r="BE226">
        <f t="shared" si="56"/>
        <v>0.26316646884436246</v>
      </c>
      <c r="BF226">
        <f t="shared" si="47"/>
        <v>0.69412880140186872</v>
      </c>
      <c r="BG226">
        <f t="shared" si="48"/>
        <v>1.0079563218535259</v>
      </c>
      <c r="BH226">
        <f>BG226+regressions!$AR$1*(AI226-B226)</f>
        <v>-0.25395509054663568</v>
      </c>
      <c r="BI226">
        <f>BG226-regressions!$AO$1*(AI226-B226)</f>
        <v>2.7223102573601423</v>
      </c>
      <c r="BJ226">
        <f t="shared" si="49"/>
        <v>1.3020304996518637</v>
      </c>
      <c r="BK226">
        <f>BJ226+regressions!$AR$1*(AT226-B226)</f>
        <v>-0.4107454383646667</v>
      </c>
      <c r="BL226">
        <f>BJ226-regressions!$AO$1*(AT226-B226)</f>
        <v>3.6289007863662142</v>
      </c>
      <c r="BM226">
        <f t="shared" si="57"/>
        <v>0.43096233255750627</v>
      </c>
      <c r="BN226">
        <f t="shared" si="50"/>
        <v>0.74478985300916345</v>
      </c>
      <c r="BO226">
        <f t="shared" si="51"/>
        <v>1.0388640308075012</v>
      </c>
      <c r="BP226">
        <f t="shared" si="58"/>
        <v>0.31382752045165718</v>
      </c>
      <c r="BQ226">
        <f t="shared" si="59"/>
        <v>0.60790169824999507</v>
      </c>
      <c r="BR226">
        <f t="shared" si="60"/>
        <v>0.29407417779833789</v>
      </c>
    </row>
    <row r="227" spans="1:70" x14ac:dyDescent="0.35">
      <c r="A227">
        <f t="shared" si="46"/>
        <v>2074</v>
      </c>
      <c r="B227" s="33">
        <v>3.25321010375005</v>
      </c>
      <c r="C227">
        <f t="shared" si="61"/>
        <v>-2.1582778349049132</v>
      </c>
      <c r="D227">
        <f>IF($B227&lt;=regressions!$L$2,$B227*regressions!$L$1,regressions!$L$1*regressions!$L$2+regressions!$L$3*($B227-regressions!$L$2))</f>
        <v>-2.5855857931613317</v>
      </c>
      <c r="E227">
        <f>regressions!$J$1*B227+regressions!$J$2*B227^2</f>
        <v>-2.3398135711488979</v>
      </c>
      <c r="F227">
        <f>regressions!$V$1*B227</f>
        <v>-2.5855858004607692</v>
      </c>
      <c r="G227">
        <f>regressions!$N$1*B227^2</f>
        <v>-1.8440989015690878</v>
      </c>
      <c r="H227">
        <f>regressions!$R$1*B227^2+regressions!$R$2*B227^6</f>
        <v>-1.9955087665189359</v>
      </c>
      <c r="I227">
        <f>regressions!$P$1*B227^2+regressions!$P$2*B227^7</f>
        <v>-1.9393487134146419</v>
      </c>
      <c r="J227">
        <f>regressions!$T$2+regressions!$T$1*EXP(B227)</f>
        <v>-0.19437621570242147</v>
      </c>
      <c r="K227" s="8">
        <f>(1-EXP(-2*regressions!$X$1*B227))/2/EXP(-regressions!$X$1*B227)</f>
        <v>-1.7463746727073468</v>
      </c>
      <c r="M227" s="33">
        <v>2.9176038520929382</v>
      </c>
      <c r="N227">
        <f t="shared" si="52"/>
        <v>-1.8791185166058693</v>
      </c>
      <c r="O227">
        <f>IF($B227&lt;=regressions!$L$2,$B227*regressions!$L$1,regressions!$L$1*regressions!$L$2+regressions!$L$3*($B227-regressions!$L$2))</f>
        <v>-2.5855857931613317</v>
      </c>
      <c r="P227">
        <f>regressions!$J$1*M227+regressions!$J$2*M227^2</f>
        <v>-2.0184042358737599</v>
      </c>
      <c r="Q227">
        <f>regressions!$V$1*M227</f>
        <v>-2.3188527180108438</v>
      </c>
      <c r="R227">
        <f>regressions!$N$1*M227^2</f>
        <v>-1.4832441073880298</v>
      </c>
      <c r="S227">
        <f>regressions!$R$1*M227^2+regressions!$R$2*M227^6</f>
        <v>-1.6087313214243832</v>
      </c>
      <c r="T227">
        <f>regressions!$P$1*M227^2+regressions!$P$2*M227^7</f>
        <v>-1.5611385517190517</v>
      </c>
      <c r="U227">
        <f>regressions!$T$2+regressions!$T$1*EXP(M227)</f>
        <v>-0.13673251413280074</v>
      </c>
      <c r="V227" s="8">
        <f>(1-EXP(-2*regressions!$X$1*M227))/2/EXP(-regressions!$X$1*M227)</f>
        <v>-1.4869485499276143</v>
      </c>
      <c r="X227" s="33">
        <v>2.3048485535914494</v>
      </c>
      <c r="Y227">
        <f t="shared" si="53"/>
        <v>-1.4270337834613653</v>
      </c>
      <c r="Z227">
        <f>IF($B227&lt;=regressions!$L$2,$B227*regressions!$L$1,regressions!$L$1*regressions!$L$2+regressions!$L$3*($B227-regressions!$L$2))</f>
        <v>-2.5855857931613317</v>
      </c>
      <c r="AA227">
        <f>regressions!$J$1*X227+regressions!$J$2*X227^2</f>
        <v>-1.4790662401296952</v>
      </c>
      <c r="AB227">
        <f>regressions!$V$1*X227</f>
        <v>-1.8318471609039562</v>
      </c>
      <c r="AC227">
        <f>regressions!$N$1*X227^2</f>
        <v>-0.92564566707026907</v>
      </c>
      <c r="AD227">
        <f>regressions!$R$1*X227^2+regressions!$R$2*X227^6</f>
        <v>-1.0065451084966752</v>
      </c>
      <c r="AE227">
        <f>regressions!$P$1*X227^2+regressions!$P$2*X227^7</f>
        <v>-0.97502335268336882</v>
      </c>
      <c r="AF227">
        <f>regressions!$T$2+regressions!$T$1*EXP(X227)</f>
        <v>-7.0509067546168591E-2</v>
      </c>
      <c r="AG227" s="8">
        <f>(1-EXP(-2*regressions!$X$1*X227))/2/EXP(-regressions!$X$1*X227)</f>
        <v>-1.0818794091110595</v>
      </c>
      <c r="AH227" s="8"/>
      <c r="AI227" s="33">
        <v>2.0060036447856273</v>
      </c>
      <c r="AJ227">
        <f t="shared" si="54"/>
        <v>-1.1020589181582447</v>
      </c>
      <c r="AK227">
        <f>IF(AI227&lt;=regressions!$L$2,AI227*regressions!$L$1,regressions!$L$1*regressions!$L$2+regressions!$L$3*(AI227-regressions!$L$2))</f>
        <v>-1.5943312480828542</v>
      </c>
      <c r="AL227">
        <f>regressions!$J$1*AI227+regressions!$J$2*AI227^2</f>
        <v>-1.2382938183854095</v>
      </c>
      <c r="AM227">
        <f>regressions!$V$1*AI227</f>
        <v>-1.594331252583854</v>
      </c>
      <c r="AN227">
        <f>regressions!$N$1*AI227^2</f>
        <v>-0.70117015101430891</v>
      </c>
      <c r="AO227">
        <f>regressions!$R$1*AI227^2+regressions!$R$2*AI227^6</f>
        <v>-0.76298365830017212</v>
      </c>
      <c r="AP227">
        <f>regressions!$P$1*AI227^2+regressions!$P$2*AI227^7</f>
        <v>-0.73870252488597521</v>
      </c>
      <c r="AQ227">
        <f>regressions!$T$2+regressions!$T$1*EXP(AI227)</f>
        <v>-5.0276044500587945E-2</v>
      </c>
      <c r="AR227" s="8">
        <f>(1-EXP(-2*regressions!$X$1*AI227))/2/EXP(-regressions!$X$1*AI227)</f>
        <v>-0.91025347104844956</v>
      </c>
      <c r="AT227" s="33">
        <v>1.5727989440806827</v>
      </c>
      <c r="AU227">
        <f t="shared" si="55"/>
        <v>-0.80437768228921425</v>
      </c>
      <c r="AV227">
        <f>IF(AT227&lt;=regressions!$L$2,AT227*regressions!$L$1,regressions!$L$1*regressions!$L$2+regressions!$L$3*(AT227-regressions!$L$2))</f>
        <v>-1.2500288870449794</v>
      </c>
      <c r="AW227">
        <f>regressions!$J$1*AT227+regressions!$J$2*AT227^2</f>
        <v>-0.91519069558698984</v>
      </c>
      <c r="AX227">
        <f>regressions!$V$1*AT227</f>
        <v>-1.2500288905739698</v>
      </c>
      <c r="AY227">
        <f>regressions!$N$1*AT227^2</f>
        <v>-0.43102891190620057</v>
      </c>
      <c r="AZ227">
        <f>regressions!$R$1*AT227^2+regressions!$R$2*AT227^6</f>
        <v>-0.46930169285422618</v>
      </c>
      <c r="BA227">
        <f>regressions!$P$1*AT227^2+regressions!$P$2*AT227^7</f>
        <v>-0.45415683481301761</v>
      </c>
      <c r="BB227">
        <f>regressions!$T$2+regressions!$T$1*EXP(AT227)</f>
        <v>-2.9852962730198961E-2</v>
      </c>
      <c r="BC227" s="8">
        <f>(1-EXP(-2*regressions!$X$1*AT227))/2/EXP(-regressions!$X$1*AT227)</f>
        <v>-0.68477490399596264</v>
      </c>
      <c r="BE227">
        <f t="shared" si="56"/>
        <v>0.27915931829904395</v>
      </c>
      <c r="BF227">
        <f t="shared" si="47"/>
        <v>0.73124405144354787</v>
      </c>
      <c r="BG227">
        <f t="shared" si="48"/>
        <v>1.0562189167466685</v>
      </c>
      <c r="BH227">
        <f>BG227+regressions!$AR$1*(AI227-B227)</f>
        <v>-0.25750458133610632</v>
      </c>
      <c r="BI227">
        <f>BG227-regressions!$AO$1*(AI227-B227)</f>
        <v>2.8409615119674001</v>
      </c>
      <c r="BJ227">
        <f t="shared" si="49"/>
        <v>1.3539001526156991</v>
      </c>
      <c r="BK227">
        <f>BJ227+regressions!$AR$1*(AT227-B227)</f>
        <v>-0.41613207503262362</v>
      </c>
      <c r="BL227">
        <f>BJ227-regressions!$AO$1*(AT227-B227)</f>
        <v>3.7585552540945613</v>
      </c>
      <c r="BM227">
        <f t="shared" si="57"/>
        <v>0.45208473314450393</v>
      </c>
      <c r="BN227">
        <f t="shared" si="50"/>
        <v>0.77705959844762451</v>
      </c>
      <c r="BO227">
        <f t="shared" si="51"/>
        <v>1.0747408343166551</v>
      </c>
      <c r="BP227">
        <f t="shared" si="58"/>
        <v>0.32497486530312059</v>
      </c>
      <c r="BQ227">
        <f t="shared" si="59"/>
        <v>0.62265610117215109</v>
      </c>
      <c r="BR227">
        <f t="shared" si="60"/>
        <v>0.2976812358690305</v>
      </c>
    </row>
    <row r="228" spans="1:70" x14ac:dyDescent="0.35">
      <c r="A228">
        <f t="shared" si="46"/>
        <v>2075</v>
      </c>
      <c r="B228" s="33">
        <v>3.306228697336651</v>
      </c>
      <c r="C228">
        <f t="shared" si="61"/>
        <v>-2.2100284158029191</v>
      </c>
      <c r="D228">
        <f>IF($B228&lt;=regressions!$L$2,$B228*regressions!$L$1,regressions!$L$1*regressions!$L$2+regressions!$L$3*($B228-regressions!$L$2))</f>
        <v>-2.6277239022840382</v>
      </c>
      <c r="E228">
        <f>regressions!$J$1*B228+regressions!$J$2*B228^2</f>
        <v>-2.3922734177308529</v>
      </c>
      <c r="F228">
        <f>regressions!$V$1*B228</f>
        <v>-2.6277239097024365</v>
      </c>
      <c r="G228">
        <f>regressions!$N$1*B228^2</f>
        <v>-1.9046964245212965</v>
      </c>
      <c r="H228">
        <f>regressions!$R$1*B228^2+regressions!$R$2*B228^6</f>
        <v>-2.0601814103722331</v>
      </c>
      <c r="I228">
        <f>regressions!$P$1*B228^2+regressions!$P$2*B228^7</f>
        <v>-2.0027457257143109</v>
      </c>
      <c r="J228">
        <f>regressions!$T$2+regressions!$T$1*EXP(B228)</f>
        <v>-0.20538535770376454</v>
      </c>
      <c r="K228" s="8">
        <f>(1-EXP(-2*regressions!$X$1*B228))/2/EXP(-regressions!$X$1*B228)</f>
        <v>-1.7902111097725555</v>
      </c>
      <c r="M228" s="33">
        <v>2.954431917987808</v>
      </c>
      <c r="N228">
        <f t="shared" si="52"/>
        <v>-1.914196524727108</v>
      </c>
      <c r="O228">
        <f>IF($B228&lt;=regressions!$L$2,$B228*regressions!$L$1,regressions!$L$1*regressions!$L$2+regressions!$L$3*($B228-regressions!$L$2))</f>
        <v>-2.6277239022840382</v>
      </c>
      <c r="P228">
        <f>regressions!$J$1*M228+regressions!$J$2*M228^2</f>
        <v>-2.0527750435404011</v>
      </c>
      <c r="Q228">
        <f>regressions!$V$1*M228</f>
        <v>-2.3481229222704596</v>
      </c>
      <c r="R228">
        <f>regressions!$N$1*M228^2</f>
        <v>-1.5209255558226198</v>
      </c>
      <c r="S228">
        <f>regressions!$R$1*M228^2+regressions!$R$2*M228^6</f>
        <v>-1.6492425234759129</v>
      </c>
      <c r="T228">
        <f>regressions!$P$1*M228^2+regressions!$P$2*M228^7</f>
        <v>-1.6006811845947646</v>
      </c>
      <c r="U228">
        <f>regressions!$T$2+regressions!$T$1*EXP(M228)</f>
        <v>-0.14215514682722905</v>
      </c>
      <c r="V228" s="8">
        <f>(1-EXP(-2*regressions!$X$1*M228))/2/EXP(-regressions!$X$1*M228)</f>
        <v>-1.513976733330294</v>
      </c>
      <c r="X228" s="33">
        <v>2.3163758824024892</v>
      </c>
      <c r="Y228">
        <f t="shared" si="53"/>
        <v>-1.4404214145666476</v>
      </c>
      <c r="Z228">
        <f>IF($B228&lt;=regressions!$L$2,$B228*regressions!$L$1,regressions!$L$1*regressions!$L$2+regressions!$L$3*($B228-regressions!$L$2))</f>
        <v>-2.6277239022840382</v>
      </c>
      <c r="AA228">
        <f>regressions!$J$1*X228+regressions!$J$2*X228^2</f>
        <v>-1.488645964433531</v>
      </c>
      <c r="AB228">
        <f>regressions!$V$1*X228</f>
        <v>-1.8410088494332981</v>
      </c>
      <c r="AC228">
        <f>regressions!$N$1*X228^2</f>
        <v>-0.93492775603741674</v>
      </c>
      <c r="AD228">
        <f>regressions!$R$1*X228^2+regressions!$R$2*X228^6</f>
        <v>-1.0166048383818291</v>
      </c>
      <c r="AE228">
        <f>regressions!$P$1*X228^2+regressions!$P$2*X228^7</f>
        <v>-0.98479189907429965</v>
      </c>
      <c r="AF228">
        <f>regressions!$T$2+regressions!$T$1*EXP(X228)</f>
        <v>-7.14171548202025E-2</v>
      </c>
      <c r="AG228" s="8">
        <f>(1-EXP(-2*regressions!$X$1*X228))/2/EXP(-regressions!$X$1*X228)</f>
        <v>-1.0888034863555802</v>
      </c>
      <c r="AH228" s="8"/>
      <c r="AI228" s="33">
        <v>2.0089751186036198</v>
      </c>
      <c r="AJ228">
        <f t="shared" si="54"/>
        <v>-1.1042200657152796</v>
      </c>
      <c r="AK228">
        <f>IF(AI228&lt;=regressions!$L$2,AI228*regressions!$L$1,regressions!$L$1*regressions!$L$2+regressions!$L$3*(AI228-regressions!$L$2))</f>
        <v>-1.5966929155569887</v>
      </c>
      <c r="AL228">
        <f>regressions!$J$1*AI228+regressions!$J$2*AI228^2</f>
        <v>-1.2406160077021549</v>
      </c>
      <c r="AM228">
        <f>regressions!$V$1*AI228</f>
        <v>-1.5966929200646556</v>
      </c>
      <c r="AN228">
        <f>regressions!$N$1*AI228^2</f>
        <v>-0.70324896267729287</v>
      </c>
      <c r="AO228">
        <f>regressions!$R$1*AI228^2+regressions!$R$2*AI228^6</f>
        <v>-0.76524146132387072</v>
      </c>
      <c r="AP228">
        <f>regressions!$P$1*AI228^2+regressions!$P$2*AI228^7</f>
        <v>-0.74089165189644268</v>
      </c>
      <c r="AQ228">
        <f>regressions!$T$2+regressions!$T$1*EXP(AI228)</f>
        <v>-5.0448916237773249E-2</v>
      </c>
      <c r="AR228" s="8">
        <f>(1-EXP(-2*regressions!$X$1*AI228))/2/EXP(-regressions!$X$1*AI228)</f>
        <v>-0.91188957709708363</v>
      </c>
      <c r="AT228" s="33">
        <v>1.5708031257815676</v>
      </c>
      <c r="AU228">
        <f t="shared" si="55"/>
        <v>-0.80308528351414821</v>
      </c>
      <c r="AV228">
        <f>IF(AT228&lt;=regressions!$L$2,AT228*regressions!$L$1,regressions!$L$1*regressions!$L$2+regressions!$L$3*(AT228-regressions!$L$2))</f>
        <v>-1.2484426509042594</v>
      </c>
      <c r="AW228">
        <f>regressions!$J$1*AT228+regressions!$J$2*AT228^2</f>
        <v>-0.91377311852866083</v>
      </c>
      <c r="AX228">
        <f>regressions!$V$1*AT228</f>
        <v>-1.2484426544287719</v>
      </c>
      <c r="AY228">
        <f>regressions!$N$1*AT228^2</f>
        <v>-0.42993568943373728</v>
      </c>
      <c r="AZ228">
        <f>regressions!$R$1*AT228^2+regressions!$R$2*AT228^6</f>
        <v>-0.46811224073297225</v>
      </c>
      <c r="BA228">
        <f>regressions!$P$1*AT228^2+regressions!$P$2*AT228^7</f>
        <v>-0.45300510088266183</v>
      </c>
      <c r="BB228">
        <f>regressions!$T$2+regressions!$T$1*EXP(AT228)</f>
        <v>-2.977785996008462E-2</v>
      </c>
      <c r="BC228" s="8">
        <f>(1-EXP(-2*regressions!$X$1*AT228))/2/EXP(-regressions!$X$1*AT228)</f>
        <v>-0.68379060312216078</v>
      </c>
      <c r="BE228">
        <f t="shared" si="56"/>
        <v>0.29583189107581109</v>
      </c>
      <c r="BF228">
        <f t="shared" si="47"/>
        <v>0.76960700123627146</v>
      </c>
      <c r="BG228">
        <f t="shared" si="48"/>
        <v>1.1058083500876394</v>
      </c>
      <c r="BH228">
        <f>BG228+regressions!$AR$1*(AI228-B228)</f>
        <v>-0.26063142185566024</v>
      </c>
      <c r="BI228">
        <f>BG228-regressions!$AO$1*(AI228-B228)</f>
        <v>2.9621679785406352</v>
      </c>
      <c r="BJ228">
        <f t="shared" si="49"/>
        <v>1.4069431322887709</v>
      </c>
      <c r="BK228">
        <f>BJ228+regressions!$AR$1*(AT228-B228)</f>
        <v>-0.42103758103968514</v>
      </c>
      <c r="BL228">
        <f>BJ228-regressions!$AO$1*(AT228-B228)</f>
        <v>3.8903234227992716</v>
      </c>
      <c r="BM228">
        <f t="shared" si="57"/>
        <v>0.47377511016046037</v>
      </c>
      <c r="BN228">
        <f t="shared" si="50"/>
        <v>0.80997645901182835</v>
      </c>
      <c r="BO228">
        <f t="shared" si="51"/>
        <v>1.1111112412129598</v>
      </c>
      <c r="BP228">
        <f t="shared" si="58"/>
        <v>0.33620134885136799</v>
      </c>
      <c r="BQ228">
        <f t="shared" si="59"/>
        <v>0.63733613105249942</v>
      </c>
      <c r="BR228">
        <f t="shared" si="60"/>
        <v>0.30113478220113143</v>
      </c>
    </row>
    <row r="229" spans="1:70" x14ac:dyDescent="0.35">
      <c r="A229">
        <f t="shared" si="46"/>
        <v>2076</v>
      </c>
      <c r="B229" s="33">
        <v>3.3597998172549373</v>
      </c>
      <c r="C229">
        <f t="shared" si="61"/>
        <v>-2.2629057737023173</v>
      </c>
      <c r="D229">
        <f>IF($B229&lt;=regressions!$L$2,$B229*regressions!$L$1,regressions!$L$1*regressions!$L$2+regressions!$L$3*($B229-regressions!$L$2))</f>
        <v>-2.6703011481940995</v>
      </c>
      <c r="E229">
        <f>regressions!$J$1*B229+regressions!$J$2*B229^2</f>
        <v>-2.4457466756769164</v>
      </c>
      <c r="F229">
        <f>regressions!$V$1*B229</f>
        <v>-2.670301155732699</v>
      </c>
      <c r="G229">
        <f>regressions!$N$1*B229^2</f>
        <v>-1.9669204175035329</v>
      </c>
      <c r="H229">
        <f>regressions!$R$1*B229^2+regressions!$R$2*B229^6</f>
        <v>-2.1264990180978276</v>
      </c>
      <c r="I229">
        <f>regressions!$P$1*B229^2+regressions!$P$2*B229^7</f>
        <v>-2.0678051077284856</v>
      </c>
      <c r="J229">
        <f>regressions!$T$2+regressions!$T$1*EXP(B229)</f>
        <v>-0.21711818623562976</v>
      </c>
      <c r="K229" s="8">
        <f>(1-EXP(-2*regressions!$X$1*B229))/2/EXP(-regressions!$X$1*B229)</f>
        <v>-1.8353512012009616</v>
      </c>
      <c r="M229" s="33">
        <v>2.991382732503622</v>
      </c>
      <c r="N229">
        <f t="shared" si="52"/>
        <v>-1.949703776832677</v>
      </c>
      <c r="O229">
        <f>IF($B229&lt;=regressions!$L$2,$B229*regressions!$L$1,regressions!$L$1*regressions!$L$2+regressions!$L$3*($B229-regressions!$L$2))</f>
        <v>-2.6703011481940995</v>
      </c>
      <c r="P229">
        <f>regressions!$J$1*M229+regressions!$J$2*M229^2</f>
        <v>-2.0874832302936603</v>
      </c>
      <c r="Q229">
        <f>regressions!$V$1*M229</f>
        <v>-2.3774906846591897</v>
      </c>
      <c r="R229">
        <f>regressions!$N$1*M229^2</f>
        <v>-1.5592076217740716</v>
      </c>
      <c r="S229">
        <f>regressions!$R$1*M229^2+regressions!$R$2*M229^6</f>
        <v>-1.6903718369683425</v>
      </c>
      <c r="T229">
        <f>regressions!$P$1*M229^2+regressions!$P$2*M229^7</f>
        <v>-1.6408434495462114</v>
      </c>
      <c r="U229">
        <f>regressions!$T$2+regressions!$T$1*EXP(M229)</f>
        <v>-0.14780030788496118</v>
      </c>
      <c r="V229" s="8">
        <f>(1-EXP(-2*regressions!$X$1*M229))/2/EXP(-regressions!$X$1*M229)</f>
        <v>-1.541436885509013</v>
      </c>
      <c r="X229" s="33">
        <v>2.3275755713941075</v>
      </c>
      <c r="Y229">
        <f t="shared" si="53"/>
        <v>-1.4536685010371053</v>
      </c>
      <c r="Z229">
        <f>IF($B229&lt;=regressions!$L$2,$B229*regressions!$L$1,regressions!$L$1*regressions!$L$2+regressions!$L$3*($B229-regressions!$L$2))</f>
        <v>-2.6703011481940995</v>
      </c>
      <c r="AA229">
        <f>regressions!$J$1*X229+regressions!$J$2*X229^2</f>
        <v>-1.497974209471759</v>
      </c>
      <c r="AB229">
        <f>regressions!$V$1*X229</f>
        <v>-1.8499101364399151</v>
      </c>
      <c r="AC229">
        <f>regressions!$N$1*X229^2</f>
        <v>-0.94399037286415388</v>
      </c>
      <c r="AD229">
        <f>regressions!$R$1*X229^2+regressions!$R$2*X229^6</f>
        <v>-1.0264257389450226</v>
      </c>
      <c r="AE229">
        <f>regressions!$P$1*X229^2+regressions!$P$2*X229^7</f>
        <v>-0.99432917780975971</v>
      </c>
      <c r="AF229">
        <f>regressions!$T$2+regressions!$T$1*EXP(X229)</f>
        <v>-7.2309514307632744E-2</v>
      </c>
      <c r="AG229" s="8">
        <f>(1-EXP(-2*regressions!$X$1*X229))/2/EXP(-regressions!$X$1*X229)</f>
        <v>-1.0955537154188679</v>
      </c>
      <c r="AH229" s="8"/>
      <c r="AI229" s="33">
        <v>2.0116504370122472</v>
      </c>
      <c r="AJ229">
        <f t="shared" si="54"/>
        <v>-1.1061672256672113</v>
      </c>
      <c r="AK229">
        <f>IF(AI229&lt;=regressions!$L$2,AI229*regressions!$L$1,regressions!$L$1*regressions!$L$2+regressions!$L$3*(AI229-regressions!$L$2))</f>
        <v>-1.5988192046833984</v>
      </c>
      <c r="AL229">
        <f>regressions!$J$1*AI229+regressions!$J$2*AI229^2</f>
        <v>-1.2427079880505192</v>
      </c>
      <c r="AM229">
        <f>regressions!$V$1*AI229</f>
        <v>-1.5988192091970681</v>
      </c>
      <c r="AN229">
        <f>regressions!$N$1*AI229^2</f>
        <v>-0.70512321945883916</v>
      </c>
      <c r="AO229">
        <f>regressions!$R$1*AI229^2+regressions!$R$2*AI229^6</f>
        <v>-0.76727706421313613</v>
      </c>
      <c r="AP229">
        <f>regressions!$P$1*AI229^2+regressions!$P$2*AI229^7</f>
        <v>-0.74286536047593221</v>
      </c>
      <c r="AQ229">
        <f>regressions!$T$2+regressions!$T$1*EXP(AI229)</f>
        <v>-5.0604998561176992E-2</v>
      </c>
      <c r="AR229" s="8">
        <f>(1-EXP(-2*regressions!$X$1*AI229))/2/EXP(-regressions!$X$1*AI229)</f>
        <v>-0.91336375970899741</v>
      </c>
      <c r="AT229" s="33">
        <v>1.5687084336211621</v>
      </c>
      <c r="AU229">
        <f t="shared" si="55"/>
        <v>-0.8017296299126504</v>
      </c>
      <c r="AV229">
        <f>IF(AT229&lt;=regressions!$L$2,AT229*regressions!$L$1,regressions!$L$1*regressions!$L$2+regressions!$L$3*(AT229-regressions!$L$2))</f>
        <v>-1.2467778318122655</v>
      </c>
      <c r="AW229">
        <f>regressions!$J$1*AT229+regressions!$J$2*AT229^2</f>
        <v>-0.91228601429700173</v>
      </c>
      <c r="AX229">
        <f>regressions!$V$1*AT229</f>
        <v>-1.2467778353320778</v>
      </c>
      <c r="AY229">
        <f>regressions!$N$1*AT229^2</f>
        <v>-0.42878980115251986</v>
      </c>
      <c r="AZ229">
        <f>regressions!$R$1*AT229^2+regressions!$R$2*AT229^6</f>
        <v>-0.46686548007068696</v>
      </c>
      <c r="BA229">
        <f>regressions!$P$1*AT229^2+regressions!$P$2*AT229^7</f>
        <v>-0.4517978809518835</v>
      </c>
      <c r="BB229">
        <f>regressions!$T$2+regressions!$T$1*EXP(AT229)</f>
        <v>-2.9699197608148188E-2</v>
      </c>
      <c r="BC229" s="8">
        <f>(1-EXP(-2*regressions!$X$1*AT229))/2/EXP(-regressions!$X$1*AT229)</f>
        <v>-0.68275802476312919</v>
      </c>
      <c r="BE229">
        <f t="shared" si="56"/>
        <v>0.31320199686964023</v>
      </c>
      <c r="BF229">
        <f t="shared" si="47"/>
        <v>0.80923727266521195</v>
      </c>
      <c r="BG229">
        <f t="shared" si="48"/>
        <v>1.156738548035106</v>
      </c>
      <c r="BH229">
        <f>BG229+regressions!$AR$1*(AI229-B229)</f>
        <v>-0.26331144210134916</v>
      </c>
      <c r="BI229">
        <f>BG229-regressions!$AO$1*(AI229-B229)</f>
        <v>3.0859296665908795</v>
      </c>
      <c r="BJ229">
        <f t="shared" si="49"/>
        <v>1.4611761437896669</v>
      </c>
      <c r="BK229">
        <f>BJ229+regressions!$AR$1*(AT229-B229)</f>
        <v>-0.42543919642194195</v>
      </c>
      <c r="BL229">
        <f>BJ229-regressions!$AO$1*(AT229-B229)</f>
        <v>4.0242137718646998</v>
      </c>
      <c r="BM229">
        <f t="shared" si="57"/>
        <v>0.49603527579557172</v>
      </c>
      <c r="BN229">
        <f t="shared" si="50"/>
        <v>0.84353655116546578</v>
      </c>
      <c r="BO229">
        <f t="shared" si="51"/>
        <v>1.1479741469200266</v>
      </c>
      <c r="BP229">
        <f t="shared" si="58"/>
        <v>0.34750127536989406</v>
      </c>
      <c r="BQ229">
        <f t="shared" si="59"/>
        <v>0.65193887112445492</v>
      </c>
      <c r="BR229">
        <f t="shared" si="60"/>
        <v>0.30443759575456086</v>
      </c>
    </row>
    <row r="230" spans="1:70" x14ac:dyDescent="0.35">
      <c r="A230">
        <f t="shared" si="46"/>
        <v>2077</v>
      </c>
      <c r="B230" s="33">
        <v>3.4139238339973885</v>
      </c>
      <c r="C230">
        <f t="shared" si="61"/>
        <v>-2.3169310074838831</v>
      </c>
      <c r="D230">
        <f>IF($B230&lt;=regressions!$L$2,$B230*regressions!$L$1,regressions!$L$1*regressions!$L$2+regressions!$L$3*($B230-regressions!$L$2))</f>
        <v>-2.7133178253514689</v>
      </c>
      <c r="E230">
        <f>regressions!$J$1*B230+regressions!$J$2*B230^2</f>
        <v>-2.5002482352739492</v>
      </c>
      <c r="F230">
        <f>regressions!$V$1*B230</f>
        <v>-2.71331783301151</v>
      </c>
      <c r="G230">
        <f>regressions!$N$1*B230^2</f>
        <v>-2.0308022666144163</v>
      </c>
      <c r="H230">
        <f>regressions!$R$1*B230^2+regressions!$R$2*B230^6</f>
        <v>-2.1944846191363481</v>
      </c>
      <c r="I230">
        <f>regressions!$P$1*B230^2+regressions!$P$2*B230^7</f>
        <v>-2.1345544841933006</v>
      </c>
      <c r="J230">
        <f>regressions!$T$2+regressions!$T$1*EXP(B230)</f>
        <v>-0.2296279410328429</v>
      </c>
      <c r="K230" s="8">
        <f>(1-EXP(-2*regressions!$X$1*B230))/2/EXP(-regressions!$X$1*B230)</f>
        <v>-1.8818434027916688</v>
      </c>
      <c r="M230" s="33">
        <v>3.028455698057742</v>
      </c>
      <c r="N230">
        <f t="shared" si="52"/>
        <v>-1.9856433354133756</v>
      </c>
      <c r="O230">
        <f>IF($B230&lt;=regressions!$L$2,$B230*regressions!$L$1,regressions!$L$1*regressions!$L$2+regressions!$L$3*($B230-regressions!$L$2))</f>
        <v>-2.7133178253514689</v>
      </c>
      <c r="P230">
        <f>regressions!$J$1*M230+regressions!$J$2*M230^2</f>
        <v>-2.1225304536814695</v>
      </c>
      <c r="Q230">
        <f>regressions!$V$1*M230</f>
        <v>-2.4069555302304022</v>
      </c>
      <c r="R230">
        <f>regressions!$N$1*M230^2</f>
        <v>-1.5980944164564894</v>
      </c>
      <c r="S230">
        <f>regressions!$R$1*M230^2+regressions!$R$2*M230^6</f>
        <v>-1.7321216474457388</v>
      </c>
      <c r="T230">
        <f>regressions!$P$1*M230^2+regressions!$P$2*M230^7</f>
        <v>-1.6816287351151824</v>
      </c>
      <c r="U230">
        <f>regressions!$T$2+regressions!$T$1*EXP(M230)</f>
        <v>-0.15367768925133984</v>
      </c>
      <c r="V230" s="8">
        <f>(1-EXP(-2*regressions!$X$1*M230))/2/EXP(-regressions!$X$1*M230)</f>
        <v>-1.5693382089870695</v>
      </c>
      <c r="X230" s="33">
        <v>2.3384525535689598</v>
      </c>
      <c r="Y230">
        <f t="shared" si="53"/>
        <v>-1.4667763825472961</v>
      </c>
      <c r="Z230">
        <f>IF($B230&lt;=regressions!$L$2,$B230*regressions!$L$1,regressions!$L$1*regressions!$L$2+regressions!$L$3*($B230-regressions!$L$2))</f>
        <v>-2.7133178253514689</v>
      </c>
      <c r="AA230">
        <f>regressions!$J$1*X230+regressions!$J$2*X230^2</f>
        <v>-1.5070532977324995</v>
      </c>
      <c r="AB230">
        <f>regressions!$V$1*X230</f>
        <v>-1.85855494257486</v>
      </c>
      <c r="AC230">
        <f>regressions!$N$1*X230^2</f>
        <v>-0.95283370127017053</v>
      </c>
      <c r="AD230">
        <f>regressions!$R$1*X230^2+regressions!$R$2*X230^6</f>
        <v>-1.0360080699285643</v>
      </c>
      <c r="AE230">
        <f>regressions!$P$1*X230^2+regressions!$P$2*X230^7</f>
        <v>-1.0036353992097218</v>
      </c>
      <c r="AF230">
        <f>regressions!$T$2+regressions!$T$1*EXP(X230)</f>
        <v>-7.3185780504916337E-2</v>
      </c>
      <c r="AG230" s="8">
        <f>(1-EXP(-2*regressions!$X$1*X230))/2/EXP(-regressions!$X$1*X230)</f>
        <v>-1.1021312329580388</v>
      </c>
      <c r="AH230" s="8"/>
      <c r="AI230" s="33">
        <v>2.0140396011899178</v>
      </c>
      <c r="AJ230">
        <f t="shared" si="54"/>
        <v>-1.1079072419231879</v>
      </c>
      <c r="AK230">
        <f>IF(AI230&lt;=regressions!$L$2,AI230*regressions!$L$1,regressions!$L$1*regressions!$L$2+regressions!$L$3*(AI230-regressions!$L$2))</f>
        <v>-1.6007180641970198</v>
      </c>
      <c r="AL230">
        <f>regressions!$J$1*AI230+regressions!$J$2*AI230^2</f>
        <v>-1.2445771974443369</v>
      </c>
      <c r="AM230">
        <f>regressions!$V$1*AI230</f>
        <v>-1.6007180687160503</v>
      </c>
      <c r="AN230">
        <f>regressions!$N$1*AI230^2</f>
        <v>-0.70679911255400851</v>
      </c>
      <c r="AO230">
        <f>regressions!$R$1*AI230^2+regressions!$R$2*AI230^6</f>
        <v>-0.7690972010192676</v>
      </c>
      <c r="AP230">
        <f>regressions!$P$1*AI230^2+regressions!$P$2*AI230^7</f>
        <v>-0.74463017292012434</v>
      </c>
      <c r="AQ230">
        <f>regressions!$T$2+regressions!$T$1*EXP(AI230)</f>
        <v>-5.074473959438542E-2</v>
      </c>
      <c r="AR230" s="8">
        <f>(1-EXP(-2*regressions!$X$1*AI230))/2/EXP(-regressions!$X$1*AI230)</f>
        <v>-0.9146811778977445</v>
      </c>
      <c r="AT230" s="33">
        <v>1.5665207938723527</v>
      </c>
      <c r="AU230">
        <f t="shared" si="55"/>
        <v>-0.80031466515061989</v>
      </c>
      <c r="AV230">
        <f>IF(AT230&lt;=regressions!$L$2,AT230*regressions!$L$1,regressions!$L$1*regressions!$L$2+regressions!$L$3*(AT230-regressions!$L$2))</f>
        <v>-1.2450391398511909</v>
      </c>
      <c r="AW230">
        <f>regressions!$J$1*AT230+regressions!$J$2*AT230^2</f>
        <v>-0.91073368861600967</v>
      </c>
      <c r="AX230">
        <f>regressions!$V$1*AT230</f>
        <v>-1.2450391433660948</v>
      </c>
      <c r="AY230">
        <f>regressions!$N$1*AT230^2</f>
        <v>-0.42759469883344642</v>
      </c>
      <c r="AZ230">
        <f>regressions!$R$1*AT230^2+regressions!$R$2*AT230^6</f>
        <v>-0.4655651655782766</v>
      </c>
      <c r="BA230">
        <f>regressions!$P$1*AT230^2+regressions!$P$2*AT230^7</f>
        <v>-0.45053881135512802</v>
      </c>
      <c r="BB230">
        <f>regressions!$T$2+regressions!$T$1*EXP(AT230)</f>
        <v>-2.9617220491983044E-2</v>
      </c>
      <c r="BC230" s="8">
        <f>(1-EXP(-2*regressions!$X$1*AT230))/2/EXP(-regressions!$X$1*AT230)</f>
        <v>-0.68168015768098678</v>
      </c>
      <c r="BE230">
        <f t="shared" si="56"/>
        <v>0.33128767207050758</v>
      </c>
      <c r="BF230">
        <f t="shared" si="47"/>
        <v>0.850154624936587</v>
      </c>
      <c r="BG230">
        <f t="shared" si="48"/>
        <v>1.2090237655606952</v>
      </c>
      <c r="BH230">
        <f>BG230+regressions!$AR$1*(AI230-B230)</f>
        <v>-0.26552024278396669</v>
      </c>
      <c r="BI230">
        <f>BG230-regressions!$AO$1*(AI230-B230)</f>
        <v>3.2122470496542377</v>
      </c>
      <c r="BJ230">
        <f t="shared" si="49"/>
        <v>1.5166163423332633</v>
      </c>
      <c r="BK230">
        <f>BJ230+regressions!$AR$1*(AT230-B230)</f>
        <v>-0.42931391387866835</v>
      </c>
      <c r="BL230">
        <f>BJ230-regressions!$AO$1*(AT230-B230)</f>
        <v>4.1602355062278269</v>
      </c>
      <c r="BM230">
        <f t="shared" si="57"/>
        <v>0.51886695286607942</v>
      </c>
      <c r="BN230">
        <f t="shared" si="50"/>
        <v>0.87773609349018766</v>
      </c>
      <c r="BO230">
        <f t="shared" si="51"/>
        <v>1.1853286702627557</v>
      </c>
      <c r="BP230">
        <f t="shared" si="58"/>
        <v>0.35886914062410824</v>
      </c>
      <c r="BQ230">
        <f t="shared" si="59"/>
        <v>0.66646171739667626</v>
      </c>
      <c r="BR230">
        <f t="shared" si="60"/>
        <v>0.30759257677256802</v>
      </c>
    </row>
    <row r="231" spans="1:70" x14ac:dyDescent="0.35">
      <c r="A231">
        <f t="shared" si="46"/>
        <v>2078</v>
      </c>
      <c r="B231" s="33">
        <v>3.4686010148912532</v>
      </c>
      <c r="C231">
        <f t="shared" si="61"/>
        <v>-2.3721254690717921</v>
      </c>
      <c r="D231">
        <f>IF($B231&lt;=regressions!$L$2,$B231*regressions!$L$1,regressions!$L$1*regressions!$L$2+regressions!$L$3*($B231-regressions!$L$2))</f>
        <v>-2.7567741462224529</v>
      </c>
      <c r="E231">
        <f>regressions!$J$1*B231+regressions!$J$2*B231^2</f>
        <v>-2.5557930445029977</v>
      </c>
      <c r="F231">
        <f>regressions!$V$1*B231</f>
        <v>-2.7567741540051767</v>
      </c>
      <c r="G231">
        <f>regressions!$N$1*B231^2</f>
        <v>-2.096373580653629</v>
      </c>
      <c r="H231">
        <f>regressions!$R$1*B231^2+regressions!$R$2*B231^6</f>
        <v>-2.264160588375419</v>
      </c>
      <c r="I231">
        <f>regressions!$P$1*B231^2+regressions!$P$2*B231^7</f>
        <v>-2.2030211798724273</v>
      </c>
      <c r="J231">
        <f>regressions!$T$2+regressions!$T$1*EXP(B231)</f>
        <v>-0.24297212009554847</v>
      </c>
      <c r="K231" s="8">
        <f>(1-EXP(-2*regressions!$X$1*B231))/2/EXP(-regressions!$X$1*B231)</f>
        <v>-1.9297381619184149</v>
      </c>
      <c r="M231" s="33">
        <v>3.0656502532783523</v>
      </c>
      <c r="N231">
        <f t="shared" si="52"/>
        <v>-2.0220182904022312</v>
      </c>
      <c r="O231">
        <f>IF($B231&lt;=regressions!$L$2,$B231*regressions!$L$1,regressions!$L$1*regressions!$L$2+regressions!$L$3*($B231-regressions!$L$2))</f>
        <v>-2.7567741462224529</v>
      </c>
      <c r="P231">
        <f>regressions!$J$1*M231+regressions!$J$2*M231^2</f>
        <v>-2.1579183986690906</v>
      </c>
      <c r="Q231">
        <f>regressions!$V$1*M231</f>
        <v>-2.4365170128170965</v>
      </c>
      <c r="R231">
        <f>regressions!$N$1*M231^2</f>
        <v>-1.6375900745380501</v>
      </c>
      <c r="S231">
        <f>regressions!$R$1*M231^2+regressions!$R$2*M231^6</f>
        <v>-1.7744942644503776</v>
      </c>
      <c r="T231">
        <f>regressions!$P$1*M231^2+regressions!$P$2*M231^7</f>
        <v>-1.7230403965458716</v>
      </c>
      <c r="U231">
        <f>regressions!$T$2+regressions!$T$1*EXP(M231)</f>
        <v>-0.1597974305630365</v>
      </c>
      <c r="V231" s="8">
        <f>(1-EXP(-2*regressions!$X$1*M231))/2/EXP(-regressions!$X$1*M231)</f>
        <v>-1.5976901266859407</v>
      </c>
      <c r="X231" s="33">
        <v>2.3490117945721272</v>
      </c>
      <c r="Y231">
        <f t="shared" si="53"/>
        <v>-1.4797465080555354</v>
      </c>
      <c r="Z231">
        <f>IF($B231&lt;=regressions!$L$2,$B231*regressions!$L$1,regressions!$L$1*regressions!$L$2+regressions!$L$3*($B231-regressions!$L$2))</f>
        <v>-2.7567741462224529</v>
      </c>
      <c r="AA231">
        <f>regressions!$J$1*X231+regressions!$J$2*X231^2</f>
        <v>-1.5158856657145947</v>
      </c>
      <c r="AB231">
        <f>regressions!$V$1*X231</f>
        <v>-1.8669472144327277</v>
      </c>
      <c r="AC231">
        <f>regressions!$N$1*X231^2</f>
        <v>-0.96145813648381806</v>
      </c>
      <c r="AD231">
        <f>regressions!$R$1*X231^2+regressions!$R$2*X231^6</f>
        <v>-1.0453523197648456</v>
      </c>
      <c r="AE231">
        <f>regressions!$P$1*X231^2+regressions!$P$2*X231^7</f>
        <v>-1.0127109962045817</v>
      </c>
      <c r="AF231">
        <f>regressions!$T$2+regressions!$T$1*EXP(X231)</f>
        <v>-7.4045615343306531E-2</v>
      </c>
      <c r="AG231" s="8">
        <f>(1-EXP(-2*regressions!$X$1*X231))/2/EXP(-regressions!$X$1*X231)</f>
        <v>-1.108537268531693</v>
      </c>
      <c r="AH231" s="8"/>
      <c r="AI231" s="33">
        <v>2.0161524097681647</v>
      </c>
      <c r="AJ231">
        <f t="shared" si="54"/>
        <v>-1.1094468751952575</v>
      </c>
      <c r="AK231">
        <f>IF(AI231&lt;=regressions!$L$2,AI231*regressions!$L$1,regressions!$L$1*regressions!$L$2+regressions!$L$3*(AI231-regressions!$L$2))</f>
        <v>-1.6023972818526171</v>
      </c>
      <c r="AL231">
        <f>regressions!$J$1*AI231+regressions!$J$2*AI231^2</f>
        <v>-1.2462309720532287</v>
      </c>
      <c r="AM231">
        <f>regressions!$V$1*AI231</f>
        <v>-1.6023972863763882</v>
      </c>
      <c r="AN231">
        <f>regressions!$N$1*AI231^2</f>
        <v>-0.70828281179159092</v>
      </c>
      <c r="AO231">
        <f>regressions!$R$1*AI231^2+regressions!$R$2*AI231^6</f>
        <v>-0.77070858120965147</v>
      </c>
      <c r="AP231">
        <f>regressions!$P$1*AI231^2+regressions!$P$2*AI231^7</f>
        <v>-0.74619258866885363</v>
      </c>
      <c r="AQ231">
        <f>regressions!$T$2+regressions!$T$1*EXP(AI231)</f>
        <v>-5.0868595202352901E-2</v>
      </c>
      <c r="AR231" s="8">
        <f>(1-EXP(-2*regressions!$X$1*AI231))/2/EXP(-regressions!$X$1*AI231)</f>
        <v>-0.91584693038516984</v>
      </c>
      <c r="AT231" s="33">
        <v>1.5642458508074895</v>
      </c>
      <c r="AU231">
        <f t="shared" si="55"/>
        <v>-0.79884414616810673</v>
      </c>
      <c r="AV231">
        <f>IF(AT231&lt;=regressions!$L$2,AT231*regressions!$L$1,regressions!$L$1*regressions!$L$2+regressions!$L$3*(AT231-regressions!$L$2))</f>
        <v>-1.2432310609748893</v>
      </c>
      <c r="AW231">
        <f>regressions!$J$1*AT231+regressions!$J$2*AT231^2</f>
        <v>-0.90912024320584361</v>
      </c>
      <c r="AX231">
        <f>regressions!$V$1*AT231</f>
        <v>-1.2432310644846887</v>
      </c>
      <c r="AY231">
        <f>regressions!$N$1*AT231^2</f>
        <v>-0.42635367187843315</v>
      </c>
      <c r="AZ231">
        <f>regressions!$R$1*AT231^2+regressions!$R$2*AT231^6</f>
        <v>-0.46421487535432165</v>
      </c>
      <c r="BA231">
        <f>regressions!$P$1*AT231^2+regressions!$P$2*AT231^7</f>
        <v>-0.44923135737808861</v>
      </c>
      <c r="BB231">
        <f>regressions!$T$2+regressions!$T$1*EXP(AT231)</f>
        <v>-2.9532161872033107E-2</v>
      </c>
      <c r="BC231" s="8">
        <f>(1-EXP(-2*regressions!$X$1*AT231))/2/EXP(-regressions!$X$1*AT231)</f>
        <v>-0.6805598487880733</v>
      </c>
      <c r="BE231">
        <f t="shared" si="56"/>
        <v>0.35010717866956087</v>
      </c>
      <c r="BF231">
        <f t="shared" si="47"/>
        <v>0.89237896101625669</v>
      </c>
      <c r="BG231">
        <f t="shared" si="48"/>
        <v>1.2626785938765346</v>
      </c>
      <c r="BH231">
        <f>BG231+regressions!$AR$1*(AI231-B231)</f>
        <v>-0.26723319305575299</v>
      </c>
      <c r="BI231">
        <f>BG231-regressions!$AO$1*(AI231-B231)</f>
        <v>3.3411210797216615</v>
      </c>
      <c r="BJ231">
        <f t="shared" si="49"/>
        <v>1.5732813229036853</v>
      </c>
      <c r="BK231">
        <f>BJ231+regressions!$AR$1*(AT231-B231)</f>
        <v>-0.43263847471298478</v>
      </c>
      <c r="BL231">
        <f>BJ231-regressions!$AO$1*(AT231-B231)</f>
        <v>4.2983985265067908</v>
      </c>
      <c r="BM231">
        <f t="shared" si="57"/>
        <v>0.54227178234669582</v>
      </c>
      <c r="BN231">
        <f t="shared" si="50"/>
        <v>0.91257141520697371</v>
      </c>
      <c r="BO231">
        <f t="shared" si="51"/>
        <v>1.2231741442341244</v>
      </c>
      <c r="BP231">
        <f t="shared" si="58"/>
        <v>0.37029963286027789</v>
      </c>
      <c r="BQ231">
        <f t="shared" si="59"/>
        <v>0.6809023618874287</v>
      </c>
      <c r="BR231">
        <f t="shared" si="60"/>
        <v>0.3106027290271508</v>
      </c>
    </row>
    <row r="232" spans="1:70" x14ac:dyDescent="0.35">
      <c r="A232">
        <f t="shared" si="46"/>
        <v>2079</v>
      </c>
      <c r="B232" s="33">
        <v>3.5238315244847409</v>
      </c>
      <c r="C232">
        <f t="shared" si="61"/>
        <v>-2.4285107613902537</v>
      </c>
      <c r="D232">
        <f>IF($B232&lt;=regressions!$L$2,$B232*regressions!$L$1,regressions!$L$1*regressions!$L$2+regressions!$L$3*($B232-regressions!$L$2))</f>
        <v>-2.80067024158665</v>
      </c>
      <c r="E232">
        <f>regressions!$J$1*B232+regressions!$J$2*B232^2</f>
        <v>-2.6123961051147147</v>
      </c>
      <c r="F232">
        <f>regressions!$V$1*B232</f>
        <v>-2.8006702494932982</v>
      </c>
      <c r="G232">
        <f>regressions!$N$1*B232^2</f>
        <v>-2.1636661823819869</v>
      </c>
      <c r="H232">
        <f>regressions!$R$1*B232^2+regressions!$R$2*B232^6</f>
        <v>-2.3355485722613198</v>
      </c>
      <c r="I232">
        <f>regressions!$P$1*B232^2+regressions!$P$2*B232^7</f>
        <v>-2.2732321623763165</v>
      </c>
      <c r="J232">
        <f>regressions!$T$2+regressions!$T$1*EXP(B232)</f>
        <v>-0.25721284342223577</v>
      </c>
      <c r="K232" s="8">
        <f>(1-EXP(-2*regressions!$X$1*B232))/2/EXP(-regressions!$X$1*B232)</f>
        <v>-1.9790880018882018</v>
      </c>
      <c r="M232" s="33">
        <v>3.1029658707984504</v>
      </c>
      <c r="N232">
        <f t="shared" si="52"/>
        <v>-2.0588317585207911</v>
      </c>
      <c r="O232">
        <f>IF($B232&lt;=regressions!$L$2,$B232*regressions!$L$1,regressions!$L$1*regressions!$L$2+regressions!$L$3*($B232-regressions!$L$2))</f>
        <v>-2.80067024158665</v>
      </c>
      <c r="P232">
        <f>regressions!$J$1*M232+regressions!$J$2*M232^2</f>
        <v>-2.193648776505464</v>
      </c>
      <c r="Q232">
        <f>regressions!$V$1*M232</f>
        <v>-2.4661747132786105</v>
      </c>
      <c r="R232">
        <f>regressions!$N$1*M232^2</f>
        <v>-1.6776987538562158</v>
      </c>
      <c r="S232">
        <f>regressions!$R$1*M232^2+regressions!$R$2*M232^6</f>
        <v>-1.8174919171710031</v>
      </c>
      <c r="T232">
        <f>regressions!$P$1*M232^2+regressions!$P$2*M232^7</f>
        <v>-1.7650817524493057</v>
      </c>
      <c r="U232">
        <f>regressions!$T$2+regressions!$T$1*EXP(M232)</f>
        <v>-0.16617014076343678</v>
      </c>
      <c r="V232" s="8">
        <f>(1-EXP(-2*regressions!$X$1*M232))/2/EXP(-regressions!$X$1*M232)</f>
        <v>-1.6265022859298757</v>
      </c>
      <c r="X232" s="33">
        <v>2.3592582846232459</v>
      </c>
      <c r="Y232">
        <f t="shared" si="53"/>
        <v>-1.4925804279190185</v>
      </c>
      <c r="Z232">
        <f>IF($B232&lt;=regressions!$L$2,$B232*regressions!$L$1,regressions!$L$1*regressions!$L$2+regressions!$L$3*($B232-regressions!$L$2))</f>
        <v>-2.80067024158665</v>
      </c>
      <c r="AA232">
        <f>regressions!$J$1*X232+regressions!$J$2*X232^2</f>
        <v>-1.5244738548497041</v>
      </c>
      <c r="AB232">
        <f>regressions!$V$1*X232</f>
        <v>-1.8750909181394746</v>
      </c>
      <c r="AC232">
        <f>regressions!$N$1*X232^2</f>
        <v>-0.96986427368642891</v>
      </c>
      <c r="AD232">
        <f>regressions!$R$1*X232^2+regressions!$R$2*X232^6</f>
        <v>-1.0544591928742129</v>
      </c>
      <c r="AE232">
        <f>regressions!$P$1*X232^2+regressions!$P$2*X232^7</f>
        <v>-1.0215566121115116</v>
      </c>
      <c r="AF232">
        <f>regressions!$T$2+regressions!$T$1*EXP(X232)</f>
        <v>-7.4888707885110178E-2</v>
      </c>
      <c r="AG232" s="8">
        <f>(1-EXP(-2*regressions!$X$1*X232))/2/EXP(-regressions!$X$1*X232)</f>
        <v>-1.1147731392546834</v>
      </c>
      <c r="AH232" s="8"/>
      <c r="AI232" s="33">
        <v>2.0179984551481649</v>
      </c>
      <c r="AJ232">
        <f t="shared" si="54"/>
        <v>-1.110792794778239</v>
      </c>
      <c r="AK232">
        <f>IF(AI232&lt;=regressions!$L$2,AI232*regressions!$L$1,regressions!$L$1*regressions!$L$2+regressions!$L$3*(AI232-regressions!$L$2))</f>
        <v>-1.6038644814972258</v>
      </c>
      <c r="AL232">
        <f>regressions!$J$1*AI232+regressions!$J$2*AI232^2</f>
        <v>-1.2476765384155113</v>
      </c>
      <c r="AM232">
        <f>regressions!$V$1*AI232</f>
        <v>-1.603864486025139</v>
      </c>
      <c r="AN232">
        <f>regressions!$N$1*AI232^2</f>
        <v>-0.70958045259295788</v>
      </c>
      <c r="AO232">
        <f>regressions!$R$1*AI232^2+regressions!$R$2*AI232^6</f>
        <v>-0.77211787559814349</v>
      </c>
      <c r="AP232">
        <f>regressions!$P$1*AI232^2+regressions!$P$2*AI232^7</f>
        <v>-0.74755907059589022</v>
      </c>
      <c r="AQ232">
        <f>regressions!$T$2+regressions!$T$1*EXP(AI232)</f>
        <v>-5.0977027218221622E-2</v>
      </c>
      <c r="AR232" s="8">
        <f>(1-EXP(-2*regressions!$X$1*AI232))/2/EXP(-regressions!$X$1*AI232)</f>
        <v>-0.91686604933757765</v>
      </c>
      <c r="AT232" s="33">
        <v>1.5618889799936793</v>
      </c>
      <c r="AU232">
        <f t="shared" si="55"/>
        <v>-0.7973216514032343</v>
      </c>
      <c r="AV232">
        <f>IF(AT232&lt;=regressions!$L$2,AT232*regressions!$L$1,regressions!$L$1*regressions!$L$2+regressions!$L$3*(AT232-regressions!$L$2))</f>
        <v>-1.2413578675757051</v>
      </c>
      <c r="AW232">
        <f>regressions!$J$1*AT232+regressions!$J$2*AT232^2</f>
        <v>-0.90744958487596084</v>
      </c>
      <c r="AX232">
        <f>regressions!$V$1*AT232</f>
        <v>-1.2413578710802162</v>
      </c>
      <c r="AY232">
        <f>regressions!$N$1*AT232^2</f>
        <v>-0.42506985385650137</v>
      </c>
      <c r="AZ232">
        <f>regressions!$R$1*AT232^2+regressions!$R$2*AT232^6</f>
        <v>-0.46281801799979849</v>
      </c>
      <c r="BA232">
        <f>regressions!$P$1*AT232^2+regressions!$P$2*AT232^7</f>
        <v>-0.44787882014428204</v>
      </c>
      <c r="BB232">
        <f>regressions!$T$2+regressions!$T$1*EXP(AT232)</f>
        <v>-2.9444243872080306E-2</v>
      </c>
      <c r="BC232" s="8">
        <f>(1-EXP(-2*regressions!$X$1*AT232))/2/EXP(-regressions!$X$1*AT232)</f>
        <v>-0.6793998094622582</v>
      </c>
      <c r="BE232">
        <f t="shared" si="56"/>
        <v>0.36967900286946254</v>
      </c>
      <c r="BF232">
        <f t="shared" si="47"/>
        <v>0.93593033347123522</v>
      </c>
      <c r="BG232">
        <f t="shared" si="48"/>
        <v>1.3177179666120147</v>
      </c>
      <c r="BH232">
        <f>BG232+regressions!$AR$1*(AI232-B232)</f>
        <v>-0.26842542862035312</v>
      </c>
      <c r="BI232">
        <f>BG232-regressions!$AO$1*(AI232-B232)</f>
        <v>3.4725531992393854</v>
      </c>
      <c r="BJ232">
        <f t="shared" si="49"/>
        <v>1.6311891099870195</v>
      </c>
      <c r="BK232">
        <f>BJ232+regressions!$AR$1*(AT232-B232)</f>
        <v>-0.43538936550156926</v>
      </c>
      <c r="BL232">
        <f>BJ232-regressions!$AO$1*(AT232-B232)</f>
        <v>4.4387134002607818</v>
      </c>
      <c r="BM232">
        <f t="shared" si="57"/>
        <v>0.56625133060177268</v>
      </c>
      <c r="BN232">
        <f t="shared" si="50"/>
        <v>0.94803896374255214</v>
      </c>
      <c r="BO232">
        <f t="shared" si="51"/>
        <v>1.261510107117557</v>
      </c>
      <c r="BP232">
        <f t="shared" si="58"/>
        <v>0.38178763314077946</v>
      </c>
      <c r="BQ232">
        <f t="shared" si="59"/>
        <v>0.69525877651578416</v>
      </c>
      <c r="BR232">
        <f t="shared" si="60"/>
        <v>0.3134711433750047</v>
      </c>
    </row>
    <row r="233" spans="1:70" x14ac:dyDescent="0.35">
      <c r="A233">
        <f t="shared" si="46"/>
        <v>2080</v>
      </c>
      <c r="B233" s="33">
        <v>3.5796154250029533</v>
      </c>
      <c r="C233">
        <f t="shared" si="61"/>
        <v>-2.4861087360251983</v>
      </c>
      <c r="D233">
        <f>IF($B233&lt;=regressions!$L$2,$B233*regressions!$L$1,regressions!$L$1*regressions!$L$2+regressions!$L$3*($B233-regressions!$L$2))</f>
        <v>-2.8450061608993171</v>
      </c>
      <c r="E233">
        <f>regressions!$J$1*B233+regressions!$J$2*B233^2</f>
        <v>-2.6700724686584936</v>
      </c>
      <c r="F233">
        <f>regressions!$V$1*B233</f>
        <v>-2.845006168931131</v>
      </c>
      <c r="G233">
        <f>regressions!$N$1*B233^2</f>
        <v>-2.2327120996154322</v>
      </c>
      <c r="H233">
        <f>regressions!$R$1*B233^2+regressions!$R$2*B233^6</f>
        <v>-2.4086694107583151</v>
      </c>
      <c r="I233">
        <f>regressions!$P$1*B233^2+regressions!$P$2*B233^7</f>
        <v>-2.3452139809538752</v>
      </c>
      <c r="J233">
        <f>regressions!$T$2+regressions!$T$1*EXP(B233)</f>
        <v>-0.27241724952081098</v>
      </c>
      <c r="K233" s="8">
        <f>(1-EXP(-2*regressions!$X$1*B233))/2/EXP(-regressions!$X$1*B233)</f>
        <v>-2.0299476099966953</v>
      </c>
      <c r="M233" s="33">
        <v>3.1404020551614735</v>
      </c>
      <c r="N233">
        <f t="shared" si="52"/>
        <v>-2.0960868826410186</v>
      </c>
      <c r="O233">
        <f>IF($B233&lt;=regressions!$L$2,$B233*regressions!$L$1,regressions!$L$1*regressions!$L$2+regressions!$L$3*($B233-regressions!$L$2))</f>
        <v>-2.8450061608993171</v>
      </c>
      <c r="P233">
        <f>regressions!$J$1*M233+regressions!$J$2*M233^2</f>
        <v>-2.2297233236277574</v>
      </c>
      <c r="Q233">
        <f>regressions!$V$1*M233</f>
        <v>-2.4959282378360585</v>
      </c>
      <c r="R233">
        <f>regressions!$N$1*M233^2</f>
        <v>-1.7184246351064878</v>
      </c>
      <c r="S233">
        <f>regressions!$R$1*M233^2+regressions!$R$2*M233^6</f>
        <v>-1.861116749933396</v>
      </c>
      <c r="T233">
        <f>regressions!$P$1*M233^2+regressions!$P$2*M233^7</f>
        <v>-1.8077560813067761</v>
      </c>
      <c r="U233">
        <f>regressions!$T$2+regressions!$T$1*EXP(M233)</f>
        <v>-0.17280692080568572</v>
      </c>
      <c r="V233" s="8">
        <f>(1-EXP(-2*regressions!$X$1*M233))/2/EXP(-regressions!$X$1*M233)</f>
        <v>-1.6557845626068934</v>
      </c>
      <c r="X233" s="33">
        <v>2.3691970310270793</v>
      </c>
      <c r="Y233">
        <f t="shared" si="53"/>
        <v>-1.5052797863212131</v>
      </c>
      <c r="Z233">
        <f>IF($B233&lt;=regressions!$L$2,$B233*regressions!$L$1,regressions!$L$1*regressions!$L$2+regressions!$L$3*($B233-regressions!$L$2))</f>
        <v>-2.8450061608993171</v>
      </c>
      <c r="AA233">
        <f>regressions!$J$1*X233+regressions!$J$2*X233^2</f>
        <v>-1.532820502847154</v>
      </c>
      <c r="AB233">
        <f>regressions!$V$1*X233</f>
        <v>-1.8829900333999705</v>
      </c>
      <c r="AC233">
        <f>regressions!$N$1*X233^2</f>
        <v>-0.97805289679884333</v>
      </c>
      <c r="AD233">
        <f>regressions!$R$1*X233^2+regressions!$R$2*X233^6</f>
        <v>-1.063329597348305</v>
      </c>
      <c r="AE233">
        <f>regressions!$P$1*X233^2+regressions!$P$2*X233^7</f>
        <v>-1.0301730887748364</v>
      </c>
      <c r="AF233">
        <f>regressions!$T$2+regressions!$T$1*EXP(X233)</f>
        <v>-7.5714773966189586E-2</v>
      </c>
      <c r="AG233" s="8">
        <f>(1-EXP(-2*regressions!$X$1*X233))/2/EXP(-regressions!$X$1*X233)</f>
        <v>-1.1208402446080372</v>
      </c>
      <c r="AH233" s="8"/>
      <c r="AI233" s="33">
        <v>2.0195871206338381</v>
      </c>
      <c r="AJ233">
        <f t="shared" si="54"/>
        <v>-1.1119515712403423</v>
      </c>
      <c r="AK233">
        <f>IF(AI233&lt;=regressions!$L$2,AI233*regressions!$L$1,regressions!$L$1*regressions!$L$2+regressions!$L$3*(AI233-regressions!$L$2))</f>
        <v>-1.6051271207915976</v>
      </c>
      <c r="AL233">
        <f>regressions!$J$1*AI233+regressions!$J$2*AI233^2</f>
        <v>-1.248921006576158</v>
      </c>
      <c r="AM233">
        <f>regressions!$V$1*AI233</f>
        <v>-1.6051271253230754</v>
      </c>
      <c r="AN233">
        <f>regressions!$N$1*AI233^2</f>
        <v>-0.71069812411381217</v>
      </c>
      <c r="AO233">
        <f>regressions!$R$1*AI233^2+regressions!$R$2*AI233^6</f>
        <v>-0.77333170355974568</v>
      </c>
      <c r="AP233">
        <f>regressions!$P$1*AI233^2+regressions!$P$2*AI233^7</f>
        <v>-0.74873603254461707</v>
      </c>
      <c r="AQ233">
        <f>regressions!$T$2+regressions!$T$1*EXP(AI233)</f>
        <v>-5.1070501780800512E-2</v>
      </c>
      <c r="AR233" s="8">
        <f>(1-EXP(-2*regressions!$X$1*AI233))/2/EXP(-regressions!$X$1*AI233)</f>
        <v>-0.91774349475429395</v>
      </c>
      <c r="AT233" s="33">
        <v>1.5594553009432244</v>
      </c>
      <c r="AU233">
        <f t="shared" si="55"/>
        <v>-0.79575058868657289</v>
      </c>
      <c r="AV233">
        <f>IF(AT233&lt;=regressions!$L$2,AT233*regressions!$L$1,regressions!$L$1*regressions!$L$2+regressions!$L$3*(AT233-regressions!$L$2))</f>
        <v>-1.2394236285387867</v>
      </c>
      <c r="AW233">
        <f>regressions!$J$1*AT233+regressions!$J$2*AT233^2</f>
        <v>-0.90572543423976692</v>
      </c>
      <c r="AX233">
        <f>regressions!$V$1*AT233</f>
        <v>-1.2394236320378373</v>
      </c>
      <c r="AY233">
        <f>regressions!$N$1*AT233^2</f>
        <v>-0.42374622885620578</v>
      </c>
      <c r="AZ233">
        <f>regressions!$R$1*AT233^2+regressions!$R$2*AT233^6</f>
        <v>-0.46137783953202582</v>
      </c>
      <c r="BA233">
        <f>regressions!$P$1*AT233^2+regressions!$P$2*AT233^7</f>
        <v>-0.44648434330793441</v>
      </c>
      <c r="BB233">
        <f>regressions!$T$2+regressions!$T$1*EXP(AT233)</f>
        <v>-2.9353677894982146E-2</v>
      </c>
      <c r="BC233" s="8">
        <f>(1-EXP(-2*regressions!$X$1*AT233))/2/EXP(-regressions!$X$1*AT233)</f>
        <v>-0.67820262160197653</v>
      </c>
      <c r="BE233">
        <f t="shared" si="56"/>
        <v>0.39002185338417972</v>
      </c>
      <c r="BF233">
        <f t="shared" si="47"/>
        <v>0.98082894970398526</v>
      </c>
      <c r="BG233">
        <f t="shared" si="48"/>
        <v>1.3741571647848561</v>
      </c>
      <c r="BH233">
        <f>BG233+regressions!$AR$1*(AI233-B233)</f>
        <v>-0.26907185026179836</v>
      </c>
      <c r="BI233">
        <f>BG233-regressions!$AO$1*(AI233-B233)</f>
        <v>3.6065453508349368</v>
      </c>
      <c r="BJ233">
        <f t="shared" si="49"/>
        <v>1.6903581473386255</v>
      </c>
      <c r="BK233">
        <f>BJ233+regressions!$AR$1*(AT233-B233)</f>
        <v>-0.4375428154824661</v>
      </c>
      <c r="BL233">
        <f>BJ233-regressions!$AO$1*(AT233-B233)</f>
        <v>4.5811913343071069</v>
      </c>
      <c r="BM233">
        <f t="shared" si="57"/>
        <v>0.59080709631980555</v>
      </c>
      <c r="BN233">
        <f t="shared" si="50"/>
        <v>0.98413531140067634</v>
      </c>
      <c r="BO233">
        <f t="shared" si="51"/>
        <v>1.3003362939544458</v>
      </c>
      <c r="BP233">
        <f t="shared" si="58"/>
        <v>0.39332821508087079</v>
      </c>
      <c r="BQ233">
        <f t="shared" si="59"/>
        <v>0.70952919763464017</v>
      </c>
      <c r="BR233">
        <f t="shared" si="60"/>
        <v>0.31620098255376938</v>
      </c>
    </row>
    <row r="234" spans="1:70" x14ac:dyDescent="0.35">
      <c r="A234">
        <f t="shared" si="46"/>
        <v>2081</v>
      </c>
      <c r="B234" s="33">
        <v>3.6359526768728663</v>
      </c>
      <c r="C234">
        <f t="shared" si="61"/>
        <v>-2.5449414905743732</v>
      </c>
      <c r="D234">
        <f>IF($B234&lt;=regressions!$L$2,$B234*regressions!$L$1,regressions!$L$1*regressions!$L$2+regressions!$L$3*($B234-regressions!$L$2))</f>
        <v>-2.8897818727086118</v>
      </c>
      <c r="E234">
        <f>regressions!$J$1*B234+regressions!$J$2*B234^2</f>
        <v>-2.7288372324697319</v>
      </c>
      <c r="F234">
        <f>regressions!$V$1*B234</f>
        <v>-2.8897818808668334</v>
      </c>
      <c r="G234">
        <f>regressions!$N$1*B234^2</f>
        <v>-2.3035435561630204</v>
      </c>
      <c r="H234">
        <f>regressions!$R$1*B234^2+regressions!$R$2*B234^6</f>
        <v>-2.4835430549704509</v>
      </c>
      <c r="I234">
        <f>regressions!$P$1*B234^2+regressions!$P$2*B234^7</f>
        <v>-2.4189927009996426</v>
      </c>
      <c r="J234">
        <f>regressions!$T$2+regressions!$T$1*EXP(B234)</f>
        <v>-0.28865792778649763</v>
      </c>
      <c r="K234" s="8">
        <f>(1-EXP(-2*regressions!$X$1*B234))/2/EXP(-regressions!$X$1*B234)</f>
        <v>-2.0823739294531216</v>
      </c>
      <c r="M234" s="33">
        <v>3.1779583408328964</v>
      </c>
      <c r="N234">
        <f t="shared" si="52"/>
        <v>-2.1337868311615877</v>
      </c>
      <c r="O234">
        <f>IF($B234&lt;=regressions!$L$2,$B234*regressions!$L$1,regressions!$L$1*regressions!$L$2+regressions!$L$3*($B234-regressions!$L$2))</f>
        <v>-2.8897818727086118</v>
      </c>
      <c r="P234">
        <f>regressions!$J$1*M234+regressions!$J$2*M234^2</f>
        <v>-2.2661438006023795</v>
      </c>
      <c r="Q234">
        <f>regressions!$V$1*M234</f>
        <v>-2.5257772164919845</v>
      </c>
      <c r="R234">
        <f>regressions!$N$1*M234^2</f>
        <v>-1.7597719215064862</v>
      </c>
      <c r="S234">
        <f>regressions!$R$1*M234^2+regressions!$R$2*M234^6</f>
        <v>-1.9053708175320807</v>
      </c>
      <c r="T234">
        <f>regressions!$P$1*M234^2+regressions!$P$2*M234^7</f>
        <v>-1.8510666178093926</v>
      </c>
      <c r="U234">
        <f>regressions!$T$2+regressions!$T$1*EXP(M234)</f>
        <v>-0.17971938749989314</v>
      </c>
      <c r="V234" s="8">
        <f>(1-EXP(-2*regressions!$X$1*M234))/2/EXP(-regressions!$X$1*M234)</f>
        <v>-1.685547065486654</v>
      </c>
      <c r="X234" s="33">
        <v>2.3788330512265512</v>
      </c>
      <c r="Y234">
        <f t="shared" si="53"/>
        <v>-1.5178463140053977</v>
      </c>
      <c r="Z234">
        <f>IF($B234&lt;=regressions!$L$2,$B234*regressions!$L$1,regressions!$L$1*regressions!$L$2+regressions!$L$3*($B234-regressions!$L$2))</f>
        <v>-2.8897818727086118</v>
      </c>
      <c r="AA234">
        <f>regressions!$J$1*X234+regressions!$J$2*X234^2</f>
        <v>-1.5409283354469194</v>
      </c>
      <c r="AB234">
        <f>regressions!$V$1*X234</f>
        <v>-1.8906485479766921</v>
      </c>
      <c r="AC234">
        <f>regressions!$N$1*X234^2</f>
        <v>-0.9860249676137699</v>
      </c>
      <c r="AD234">
        <f>regressions!$R$1*X234^2+regressions!$R$2*X234^6</f>
        <v>-1.0719646330225332</v>
      </c>
      <c r="AE234">
        <f>regressions!$P$1*X234^2+regressions!$P$2*X234^7</f>
        <v>-1.0385614550742985</v>
      </c>
      <c r="AF234">
        <f>regressions!$T$2+regressions!$T$1*EXP(X234)</f>
        <v>-7.6523555788545972E-2</v>
      </c>
      <c r="AG234" s="8">
        <f>(1-EXP(-2*regressions!$X$1*X234))/2/EXP(-regressions!$X$1*X234)</f>
        <v>-1.1267400614021998</v>
      </c>
      <c r="AH234" s="8"/>
      <c r="AI234" s="33">
        <v>2.0209275783099265</v>
      </c>
      <c r="AJ234">
        <f t="shared" si="54"/>
        <v>-1.1129296699660394</v>
      </c>
      <c r="AK234">
        <f>IF(AI234&lt;=regressions!$L$2,AI234*regressions!$L$1,regressions!$L$1*regressions!$L$2+regressions!$L$3*(AI234-regressions!$L$2))</f>
        <v>-1.6061924895237409</v>
      </c>
      <c r="AL234">
        <f>regressions!$J$1*AI234+regressions!$J$2*AI234^2</f>
        <v>-1.2499713640869698</v>
      </c>
      <c r="AM234">
        <f>regressions!$V$1*AI234</f>
        <v>-1.6061924940582266</v>
      </c>
      <c r="AN234">
        <f>regressions!$N$1*AI234^2</f>
        <v>-0.7116418585040698</v>
      </c>
      <c r="AO234">
        <f>regressions!$R$1*AI234^2+regressions!$R$2*AI234^6</f>
        <v>-0.77435662145844109</v>
      </c>
      <c r="AP234">
        <f>regressions!$P$1*AI234^2+regressions!$P$2*AI234^7</f>
        <v>-0.7497298280411514</v>
      </c>
      <c r="AQ234">
        <f>regressions!$T$2+regressions!$T$1*EXP(AI234)</f>
        <v>-5.1149487781539979E-2</v>
      </c>
      <c r="AR234" s="8">
        <f>(1-EXP(-2*regressions!$X$1*AI234))/2/EXP(-regressions!$X$1*AI234)</f>
        <v>-0.91848414947181345</v>
      </c>
      <c r="AT234" s="33">
        <v>1.5569496891512473</v>
      </c>
      <c r="AU234">
        <f t="shared" si="55"/>
        <v>-0.79413420281546554</v>
      </c>
      <c r="AV234">
        <f>IF(AT234&lt;=regressions!$L$2,AT234*regressions!$L$1,regressions!$L$1*regressions!$L$2+regressions!$L$3*(AT234-regressions!$L$2))</f>
        <v>-1.2374322188093489</v>
      </c>
      <c r="AW234">
        <f>regressions!$J$1*AT234+regressions!$J$2*AT234^2</f>
        <v>-0.90395133406337191</v>
      </c>
      <c r="AX234">
        <f>regressions!$V$1*AT234</f>
        <v>-1.2374322223027774</v>
      </c>
      <c r="AY234">
        <f>regressions!$N$1*AT234^2</f>
        <v>-0.42238563765028153</v>
      </c>
      <c r="AZ234">
        <f>regressions!$R$1*AT234^2+regressions!$R$2*AT234^6</f>
        <v>-0.45989743009347367</v>
      </c>
      <c r="BA234">
        <f>regressions!$P$1*AT234^2+regressions!$P$2*AT234^7</f>
        <v>-0.44505091954885917</v>
      </c>
      <c r="BB234">
        <f>regressions!$T$2+regressions!$T$1*EXP(AT234)</f>
        <v>-2.9260665032363825E-2</v>
      </c>
      <c r="BC234" s="8">
        <f>(1-EXP(-2*regressions!$X$1*AT234))/2/EXP(-regressions!$X$1*AT234)</f>
        <v>-0.67697074342940877</v>
      </c>
      <c r="BE234">
        <f t="shared" si="56"/>
        <v>0.41115465941278551</v>
      </c>
      <c r="BF234">
        <f t="shared" si="47"/>
        <v>1.0270951765689755</v>
      </c>
      <c r="BG234">
        <f t="shared" si="48"/>
        <v>1.4320118206083339</v>
      </c>
      <c r="BH234">
        <f>BG234+regressions!$AR$1*(AI234-B234)</f>
        <v>-0.26914712282534992</v>
      </c>
      <c r="BI234">
        <f>BG234-regressions!$AO$1*(AI234-B234)</f>
        <v>3.7430999849120608</v>
      </c>
      <c r="BJ234">
        <f t="shared" si="49"/>
        <v>1.7508072877589078</v>
      </c>
      <c r="BK234">
        <f>BJ234+regressions!$AR$1*(AT234-B234)</f>
        <v>-0.43907479465267452</v>
      </c>
      <c r="BL234">
        <f>BJ234-regressions!$AO$1*(AT234-B234)</f>
        <v>4.7258441480224587</v>
      </c>
      <c r="BM234">
        <f t="shared" si="57"/>
        <v>0.61594051715619003</v>
      </c>
      <c r="BN234">
        <f t="shared" si="50"/>
        <v>1.0208571611955484</v>
      </c>
      <c r="BO234">
        <f t="shared" si="51"/>
        <v>1.3396526283461223</v>
      </c>
      <c r="BP234">
        <f t="shared" si="58"/>
        <v>0.40491664403935834</v>
      </c>
      <c r="BQ234">
        <f t="shared" si="59"/>
        <v>0.72371211118993217</v>
      </c>
      <c r="BR234">
        <f t="shared" si="60"/>
        <v>0.31879546715057383</v>
      </c>
    </row>
    <row r="235" spans="1:70" x14ac:dyDescent="0.35">
      <c r="A235">
        <f t="shared" si="46"/>
        <v>2082</v>
      </c>
      <c r="B235" s="33">
        <v>3.6928431393165617</v>
      </c>
      <c r="C235">
        <f t="shared" si="61"/>
        <v>-2.6050313656685198</v>
      </c>
      <c r="D235">
        <f>IF($B235&lt;=regressions!$L$2,$B235*regressions!$L$1,regressions!$L$1*regressions!$L$2+regressions!$L$3*($B235-regressions!$L$2))</f>
        <v>-2.9349972651270844</v>
      </c>
      <c r="E235">
        <f>regressions!$J$1*B235+regressions!$J$2*B235^2</f>
        <v>-2.7887055356196848</v>
      </c>
      <c r="F235">
        <f>regressions!$V$1*B235</f>
        <v>-2.9349972734129546</v>
      </c>
      <c r="G235">
        <f>regressions!$N$1*B235^2</f>
        <v>-2.3761929626192142</v>
      </c>
      <c r="H235">
        <f>regressions!$R$1*B235^2+regressions!$R$2*B235^6</f>
        <v>-2.5601884802344519</v>
      </c>
      <c r="I235">
        <f>regressions!$P$1*B235^2+regressions!$P$2*B235^7</f>
        <v>-2.4945938340047213</v>
      </c>
      <c r="J235">
        <f>regressions!$T$2+regressions!$T$1*EXP(B235)</f>
        <v>-0.30601339013765427</v>
      </c>
      <c r="K235" s="8">
        <f>(1-EXP(-2*regressions!$X$1*B235))/2/EXP(-regressions!$X$1*B235)</f>
        <v>-2.1364262553557039</v>
      </c>
      <c r="M235" s="33">
        <v>3.2156342903124457</v>
      </c>
      <c r="N235">
        <f t="shared" si="52"/>
        <v>-2.1719347973974235</v>
      </c>
      <c r="O235">
        <f>IF($B235&lt;=regressions!$L$2,$B235*regressions!$L$1,regressions!$L$1*regressions!$L$2+regressions!$L$3*($B235-regressions!$L$2))</f>
        <v>-2.9349972651270844</v>
      </c>
      <c r="P235">
        <f>regressions!$J$1*M235+regressions!$J$2*M235^2</f>
        <v>-2.3029119911008298</v>
      </c>
      <c r="Q235">
        <f>regressions!$V$1*M235</f>
        <v>-2.5557213015299931</v>
      </c>
      <c r="R235">
        <f>regressions!$N$1*M235^2</f>
        <v>-1.8017448384370538</v>
      </c>
      <c r="S235">
        <f>regressions!$R$1*M235^2+regressions!$R$2*M235^6</f>
        <v>-1.9502560804018798</v>
      </c>
      <c r="T235">
        <f>regressions!$P$1*M235^2+regressions!$P$2*M235^7</f>
        <v>-1.8950165490306314</v>
      </c>
      <c r="U235">
        <f>regressions!$T$2+regressions!$T$1*EXP(M235)</f>
        <v>-0.18691969856403007</v>
      </c>
      <c r="V235" s="8">
        <f>(1-EXP(-2*regressions!$X$1*M235))/2/EXP(-regressions!$X$1*M235)</f>
        <v>-1.7158001406958927</v>
      </c>
      <c r="X235" s="33">
        <v>2.3881713663644812</v>
      </c>
      <c r="Y235">
        <f t="shared" si="53"/>
        <v>-1.5302818213079938</v>
      </c>
      <c r="Z235">
        <f>IF($B235&lt;=regressions!$L$2,$B235*regressions!$L$1,regressions!$L$1*regressions!$L$2+regressions!$L$3*($B235-regressions!$L$2))</f>
        <v>-2.9349972651270844</v>
      </c>
      <c r="AA235">
        <f>regressions!$J$1*X235+regressions!$J$2*X235^2</f>
        <v>-1.5488001585664208</v>
      </c>
      <c r="AB235">
        <f>regressions!$V$1*X235</f>
        <v>-1.8980704525727179</v>
      </c>
      <c r="AC235">
        <f>regressions!$N$1*X235^2</f>
        <v>-0.99378161527606279</v>
      </c>
      <c r="AD235">
        <f>regressions!$R$1*X235^2+regressions!$R$2*X235^6</f>
        <v>-1.0803655799396443</v>
      </c>
      <c r="AE235">
        <f>regressions!$P$1*X235^2+regressions!$P$2*X235^7</f>
        <v>-1.0467229158034268</v>
      </c>
      <c r="AF235">
        <f>regressions!$T$2+regressions!$T$1*EXP(X235)</f>
        <v>-7.7314821466806155E-2</v>
      </c>
      <c r="AG235" s="8">
        <f>(1-EXP(-2*regressions!$X$1*X235))/2/EXP(-regressions!$X$1*X235)</f>
        <v>-1.1324741388918969</v>
      </c>
      <c r="AH235" s="8"/>
      <c r="AI235" s="33">
        <v>2.0220287875987126</v>
      </c>
      <c r="AJ235">
        <f t="shared" si="54"/>
        <v>-1.1137334454951582</v>
      </c>
      <c r="AK235">
        <f>IF(AI235&lt;=regressions!$L$2,AI235*regressions!$L$1,regressions!$L$1*regressions!$L$2+regressions!$L$3*(AI235-regressions!$L$2))</f>
        <v>-1.6070677084618294</v>
      </c>
      <c r="AL235">
        <f>regressions!$J$1*AI235+regressions!$J$2*AI235^2</f>
        <v>-1.2508344708091688</v>
      </c>
      <c r="AM235">
        <f>regressions!$V$1*AI235</f>
        <v>-1.6070677129987858</v>
      </c>
      <c r="AN235">
        <f>regressions!$N$1*AI235^2</f>
        <v>-0.71241762122252961</v>
      </c>
      <c r="AO235">
        <f>regressions!$R$1*AI235^2+regressions!$R$2*AI235^6</f>
        <v>-0.7751991122187194</v>
      </c>
      <c r="AP235">
        <f>regressions!$P$1*AI235^2+regressions!$P$2*AI235^7</f>
        <v>-0.75054674011799127</v>
      </c>
      <c r="AQ235">
        <f>regressions!$T$2+regressions!$T$1*EXP(AI235)</f>
        <v>-5.1214455419248801E-2</v>
      </c>
      <c r="AR235" s="8">
        <f>(1-EXP(-2*regressions!$X$1*AI235))/2/EXP(-regressions!$X$1*AI235)</f>
        <v>-0.91909281474769133</v>
      </c>
      <c r="AT235" s="33">
        <v>1.5543767875509404</v>
      </c>
      <c r="AU235">
        <f t="shared" si="55"/>
        <v>-0.79247558281798025</v>
      </c>
      <c r="AV235">
        <f>IF(AT235&lt;=regressions!$L$2,AT235*regressions!$L$1,regressions!$L$1*regressions!$L$2+regressions!$L$3*(AT235-regressions!$L$2))</f>
        <v>-1.2353873284970733</v>
      </c>
      <c r="AW235">
        <f>regressions!$J$1*AT235+regressions!$J$2*AT235^2</f>
        <v>-0.90213065726101438</v>
      </c>
      <c r="AX235">
        <f>regressions!$V$1*AT235</f>
        <v>-1.2353873319847288</v>
      </c>
      <c r="AY235">
        <f>regressions!$N$1*AT235^2</f>
        <v>-0.42099078366987047</v>
      </c>
      <c r="AZ235">
        <f>regressions!$R$1*AT235^2+regressions!$R$2*AT235^6</f>
        <v>-0.45837973045267433</v>
      </c>
      <c r="BA235">
        <f>regressions!$P$1*AT235^2+regressions!$P$2*AT235^7</f>
        <v>-0.44358139686657133</v>
      </c>
      <c r="BB235">
        <f>regressions!$T$2+regressions!$T$1*EXP(AT235)</f>
        <v>-2.9165396467169015E-2</v>
      </c>
      <c r="BC235" s="8">
        <f>(1-EXP(-2*regressions!$X$1*AT235))/2/EXP(-regressions!$X$1*AT235)</f>
        <v>-0.67570651505020929</v>
      </c>
      <c r="BE235">
        <f t="shared" si="56"/>
        <v>0.43309656827109633</v>
      </c>
      <c r="BF235">
        <f t="shared" si="47"/>
        <v>1.0747495443605259</v>
      </c>
      <c r="BG235">
        <f t="shared" si="48"/>
        <v>1.4912979201733616</v>
      </c>
      <c r="BH235">
        <f>BG235+regressions!$AR$1*(AI235-B235)</f>
        <v>-0.26862567468054355</v>
      </c>
      <c r="BI235">
        <f>BG235-regressions!$AO$1*(AI235-B235)</f>
        <v>3.8822200652470356</v>
      </c>
      <c r="BJ235">
        <f t="shared" si="49"/>
        <v>1.8125557828505396</v>
      </c>
      <c r="BK235">
        <f>BJ235+regressions!$AR$1*(AT235-B235)</f>
        <v>-0.4399610125696003</v>
      </c>
      <c r="BL235">
        <f>BJ235-regressions!$AO$1*(AT235-B235)</f>
        <v>4.8726842475566841</v>
      </c>
      <c r="BM235">
        <f t="shared" si="57"/>
        <v>0.64165297608942962</v>
      </c>
      <c r="BN235">
        <f t="shared" si="50"/>
        <v>1.0582013519022653</v>
      </c>
      <c r="BO235">
        <f t="shared" si="51"/>
        <v>1.3794592145794433</v>
      </c>
      <c r="BP235">
        <f t="shared" si="58"/>
        <v>0.41654837581283566</v>
      </c>
      <c r="BQ235">
        <f t="shared" si="59"/>
        <v>0.73780623849001359</v>
      </c>
      <c r="BR235">
        <f t="shared" si="60"/>
        <v>0.32125786267717793</v>
      </c>
    </row>
    <row r="236" spans="1:70" x14ac:dyDescent="0.35">
      <c r="A236">
        <f t="shared" si="46"/>
        <v>2083</v>
      </c>
      <c r="B236" s="33">
        <v>3.7502865710117632</v>
      </c>
      <c r="C236">
        <f t="shared" si="61"/>
        <v>-2.6664009416456311</v>
      </c>
      <c r="D236">
        <f>IF($B236&lt;=regressions!$L$2,$B236*regressions!$L$1,regressions!$L$1*regressions!$L$2+regressions!$L$3*($B236-regressions!$L$2))</f>
        <v>-2.9806521463566544</v>
      </c>
      <c r="E236">
        <f>regressions!$J$1*B236+regressions!$J$2*B236^2</f>
        <v>-2.8496925548324334</v>
      </c>
      <c r="F236">
        <f>regressions!$V$1*B236</f>
        <v>-2.9806521547714144</v>
      </c>
      <c r="G236">
        <f>regressions!$N$1*B236^2</f>
        <v>-2.4506929070209948</v>
      </c>
      <c r="H236">
        <f>regressions!$R$1*B236^2+regressions!$R$2*B236^6</f>
        <v>-2.6386235944861305</v>
      </c>
      <c r="I236">
        <f>regressions!$P$1*B236^2+regressions!$P$2*B236^7</f>
        <v>-2.5720422626642603</v>
      </c>
      <c r="J236">
        <f>regressions!$T$2+regressions!$T$1*EXP(B236)</f>
        <v>-0.32456858563346375</v>
      </c>
      <c r="K236" s="8">
        <f>(1-EXP(-2*regressions!$X$1*B236))/2/EXP(-regressions!$X$1*B236)</f>
        <v>-2.192166334907371</v>
      </c>
      <c r="M236" s="33">
        <v>3.2534294923418563</v>
      </c>
      <c r="N236">
        <f t="shared" si="52"/>
        <v>-2.2105339989813491</v>
      </c>
      <c r="O236">
        <f>IF($B236&lt;=regressions!$L$2,$B236*regressions!$L$1,regressions!$L$1*regressions!$L$2+regressions!$L$3*($B236-regressions!$L$2))</f>
        <v>-2.9806521463566544</v>
      </c>
      <c r="P236">
        <f>regressions!$J$1*M236+regressions!$J$2*M236^2</f>
        <v>-2.3400297009088371</v>
      </c>
      <c r="Q236">
        <f>regressions!$V$1*M236</f>
        <v>-2.5857601660903065</v>
      </c>
      <c r="R236">
        <f>regressions!$N$1*M236^2</f>
        <v>-1.8443476330619928</v>
      </c>
      <c r="S236">
        <f>regressions!$R$1*M236^2+regressions!$R$2*M236^6</f>
        <v>-1.9957743996278801</v>
      </c>
      <c r="T236">
        <f>regressions!$P$1*M236^2+regressions!$P$2*M236^7</f>
        <v>-1.9396090104285444</v>
      </c>
      <c r="U236">
        <f>regressions!$T$2+regressions!$T$1*EXP(M236)</f>
        <v>-0.19442057894123968</v>
      </c>
      <c r="V236" s="8">
        <f>(1-EXP(-2*regressions!$X$1*M236))/2/EXP(-regressions!$X$1*M236)</f>
        <v>-1.7465543763523026</v>
      </c>
      <c r="X236" s="33">
        <v>2.3972169953223523</v>
      </c>
      <c r="Y236">
        <f t="shared" si="53"/>
        <v>-1.5425881914850843</v>
      </c>
      <c r="Z236">
        <f>IF($B236&lt;=regressions!$L$2,$B236*regressions!$L$1,regressions!$L$1*regressions!$L$2+regressions!$L$3*($B236-regressions!$L$2))</f>
        <v>-2.9806521463566544</v>
      </c>
      <c r="AA236">
        <f>regressions!$J$1*X236+regressions!$J$2*X236^2</f>
        <v>-1.5564388508270968</v>
      </c>
      <c r="AB236">
        <f>regressions!$V$1*X236</f>
        <v>-1.9052597360938615</v>
      </c>
      <c r="AC236">
        <f>regressions!$N$1*X236^2</f>
        <v>-1.0013241261116061</v>
      </c>
      <c r="AD236">
        <f>regressions!$R$1*X236^2+regressions!$R$2*X236^6</f>
        <v>-1.0885338872047436</v>
      </c>
      <c r="AE236">
        <f>regressions!$P$1*X236^2+regressions!$P$2*X236^7</f>
        <v>-1.0546588409187254</v>
      </c>
      <c r="AF236">
        <f>regressions!$T$2+regressions!$T$1*EXP(X236)</f>
        <v>-7.8088364532399784E-2</v>
      </c>
      <c r="AG236" s="8">
        <f>(1-EXP(-2*regressions!$X$1*X236))/2/EXP(-regressions!$X$1*X236)</f>
        <v>-1.1380440940409509</v>
      </c>
      <c r="AH236" s="8"/>
      <c r="AI236" s="33">
        <v>2.0228994944339438</v>
      </c>
      <c r="AJ236">
        <f t="shared" si="54"/>
        <v>-1.1143691366046631</v>
      </c>
      <c r="AK236">
        <f>IF(AI236&lt;=regressions!$L$2,AI236*regressions!$L$1,regressions!$L$1*regressions!$L$2+regressions!$L$3*(AI236-regressions!$L$2))</f>
        <v>-1.6077597286976535</v>
      </c>
      <c r="AL236">
        <f>regressions!$J$1*AI236+regressions!$J$2*AI236^2</f>
        <v>-1.2515170544616334</v>
      </c>
      <c r="AM236">
        <f>regressions!$V$1*AI236</f>
        <v>-1.6077597332365636</v>
      </c>
      <c r="AN236">
        <f>regressions!$N$1*AI236^2</f>
        <v>-0.71303130234465273</v>
      </c>
      <c r="AO236">
        <f>regressions!$R$1*AI236^2+regressions!$R$2*AI236^6</f>
        <v>-0.77586557597323369</v>
      </c>
      <c r="AP236">
        <f>regressions!$P$1*AI236^2+regressions!$P$2*AI236^7</f>
        <v>-0.75119297218304981</v>
      </c>
      <c r="AQ236">
        <f>regressions!$T$2+regressions!$T$1*EXP(AI236)</f>
        <v>-5.1265874860290078E-2</v>
      </c>
      <c r="AR236" s="8">
        <f>(1-EXP(-2*regressions!$X$1*AI236))/2/EXP(-regressions!$X$1*AI236)</f>
        <v>-0.91957420638942944</v>
      </c>
      <c r="AT236" s="33">
        <v>1.5517410174153581</v>
      </c>
      <c r="AU236">
        <f t="shared" si="55"/>
        <v>-0.79077766891628887</v>
      </c>
      <c r="AV236">
        <f>IF(AT236&lt;=regressions!$L$2,AT236*regressions!$L$1,regressions!$L$1*regressions!$L$2+regressions!$L$3*(AT236-regressions!$L$2))</f>
        <v>-1.2332924715406337</v>
      </c>
      <c r="AW236">
        <f>regressions!$J$1*AT236+regressions!$J$2*AT236^2</f>
        <v>-0.90026661454962842</v>
      </c>
      <c r="AX236">
        <f>regressions!$V$1*AT236</f>
        <v>-1.233292475022375</v>
      </c>
      <c r="AY236">
        <f>regressions!$N$1*AT236^2</f>
        <v>-0.41956423878697802</v>
      </c>
      <c r="AZ236">
        <f>regressions!$R$1*AT236^2+regressions!$R$2*AT236^6</f>
        <v>-0.4568275382958692</v>
      </c>
      <c r="BA236">
        <f>regressions!$P$1*AT236^2+regressions!$P$2*AT236^7</f>
        <v>-0.44207848467223859</v>
      </c>
      <c r="BB236">
        <f>regressions!$T$2+regressions!$T$1*EXP(AT236)</f>
        <v>-2.9068053868153039E-2</v>
      </c>
      <c r="BC236" s="8">
        <f>(1-EXP(-2*regressions!$X$1*AT236))/2/EXP(-regressions!$X$1*AT236)</f>
        <v>-0.67441216377814084</v>
      </c>
      <c r="BE236">
        <f t="shared" si="56"/>
        <v>0.45586694266428207</v>
      </c>
      <c r="BF236">
        <f t="shared" si="47"/>
        <v>1.1238127501605468</v>
      </c>
      <c r="BG236">
        <f t="shared" si="48"/>
        <v>1.552031805040968</v>
      </c>
      <c r="BH236">
        <f>BG236+regressions!$AR$1*(AI236-B236)</f>
        <v>-0.26748169769460772</v>
      </c>
      <c r="BI236">
        <f>BG236-regressions!$AO$1*(AI236-B236)</f>
        <v>4.0239090727084807</v>
      </c>
      <c r="BJ236">
        <f t="shared" si="49"/>
        <v>1.8756232727293423</v>
      </c>
      <c r="BK236">
        <f>BJ236+regressions!$AR$1*(AT236-B236)</f>
        <v>-0.44017691785272905</v>
      </c>
      <c r="BL236">
        <f>BJ236-regressions!$AO$1*(AT236-B236)</f>
        <v>5.0217246008884988</v>
      </c>
      <c r="BM236">
        <f t="shared" si="57"/>
        <v>0.66794580749626475</v>
      </c>
      <c r="BN236">
        <f t="shared" si="50"/>
        <v>1.096164862376686</v>
      </c>
      <c r="BO236">
        <f t="shared" si="51"/>
        <v>1.4197563300650602</v>
      </c>
      <c r="BP236">
        <f t="shared" si="58"/>
        <v>0.42821905488042122</v>
      </c>
      <c r="BQ236">
        <f t="shared" si="59"/>
        <v>0.75181052256879544</v>
      </c>
      <c r="BR236">
        <f t="shared" si="60"/>
        <v>0.32359146768837421</v>
      </c>
    </row>
    <row r="237" spans="1:70" x14ac:dyDescent="0.35">
      <c r="A237">
        <f t="shared" si="46"/>
        <v>2084</v>
      </c>
      <c r="B237" s="33">
        <v>3.8082826308186308</v>
      </c>
      <c r="C237">
        <f t="shared" si="61"/>
        <v>-2.7290730348596268</v>
      </c>
      <c r="D237">
        <f>IF($B237&lt;=regressions!$L$2,$B237*regressions!$L$1,regressions!$L$1*regressions!$L$2+regressions!$L$3*($B237-regressions!$L$2))</f>
        <v>-3.0267462452662564</v>
      </c>
      <c r="E237">
        <f>regressions!$J$1*B237+regressions!$J$2*B237^2</f>
        <v>-2.911813500373488</v>
      </c>
      <c r="F237">
        <f>regressions!$V$1*B237</f>
        <v>-3.026746253811146</v>
      </c>
      <c r="G237">
        <f>regressions!$N$1*B237^2</f>
        <v>-2.5270761453804962</v>
      </c>
      <c r="H237">
        <f>regressions!$R$1*B237^2+regressions!$R$2*B237^6</f>
        <v>-2.7188651416965079</v>
      </c>
      <c r="I237">
        <f>regressions!$P$1*B237^2+regressions!$P$2*B237^7</f>
        <v>-2.6513621608382794</v>
      </c>
      <c r="J237">
        <f>regressions!$T$2+regressions!$T$1*EXP(B237)</f>
        <v>-0.34441546216406238</v>
      </c>
      <c r="K237" s="8">
        <f>(1-EXP(-2*regressions!$X$1*B237))/2/EXP(-regressions!$X$1*B237)</f>
        <v>-2.2496584720705792</v>
      </c>
      <c r="M237" s="33">
        <v>3.2913435602033743</v>
      </c>
      <c r="N237">
        <f t="shared" si="52"/>
        <v>-2.2495876772767329</v>
      </c>
      <c r="O237">
        <f>IF($B237&lt;=regressions!$L$2,$B237*regressions!$L$1,regressions!$L$1*regressions!$L$2+regressions!$L$3*($B237-regressions!$L$2))</f>
        <v>-3.0267462452662564</v>
      </c>
      <c r="P237">
        <f>regressions!$J$1*M237+regressions!$J$2*M237^2</f>
        <v>-2.3774987569673387</v>
      </c>
      <c r="Q237">
        <f>regressions!$V$1*M237</f>
        <v>-2.6158935028174501</v>
      </c>
      <c r="R237">
        <f>regressions!$N$1*M237^2</f>
        <v>-1.8875845739279697</v>
      </c>
      <c r="S237">
        <f>regressions!$R$1*M237^2+regressions!$R$2*M237^6</f>
        <v>-2.0419275317922381</v>
      </c>
      <c r="T237">
        <f>regressions!$P$1*M237^2+regressions!$P$2*M237^7</f>
        <v>-1.9848470816740644</v>
      </c>
      <c r="U237">
        <f>regressions!$T$2+regressions!$T$1*EXP(M237)</f>
        <v>-0.2022353484496584</v>
      </c>
      <c r="V237" s="8">
        <f>(1-EXP(-2*regressions!$X$1*M237))/2/EXP(-regressions!$X$1*M237)</f>
        <v>-1.7778206073579637</v>
      </c>
      <c r="X237" s="33">
        <v>2.4059749492063816</v>
      </c>
      <c r="Y237">
        <f t="shared" si="53"/>
        <v>-1.554767374325337</v>
      </c>
      <c r="Z237">
        <f>IF($B237&lt;=regressions!$L$2,$B237*regressions!$L$1,regressions!$L$1*regressions!$L$2+regressions!$L$3*($B237-regressions!$L$2))</f>
        <v>-3.0267462452662564</v>
      </c>
      <c r="AA237">
        <f>regressions!$J$1*X237+regressions!$J$2*X237^2</f>
        <v>-1.5638473564470177</v>
      </c>
      <c r="AB237">
        <f>regressions!$V$1*X237</f>
        <v>-1.9122203812663123</v>
      </c>
      <c r="AC237">
        <f>regressions!$N$1*X237^2</f>
        <v>-1.0086539338042484</v>
      </c>
      <c r="AD237">
        <f>regressions!$R$1*X237^2+regressions!$R$2*X237^6</f>
        <v>-1.0964711622307457</v>
      </c>
      <c r="AE237">
        <f>regressions!$P$1*X237^2+regressions!$P$2*X237^7</f>
        <v>-1.0623707551590766</v>
      </c>
      <c r="AF237">
        <f>regressions!$T$2+regressions!$T$1*EXP(X237)</f>
        <v>-7.8844003399159951E-2</v>
      </c>
      <c r="AG237" s="8">
        <f>(1-EXP(-2*regressions!$X$1*X237))/2/EXP(-regressions!$X$1*X237)</f>
        <v>-1.1434516069354483</v>
      </c>
      <c r="AH237" s="8"/>
      <c r="AI237" s="33">
        <v>2.0235482309950656</v>
      </c>
      <c r="AJ237">
        <f t="shared" si="54"/>
        <v>-1.114842862082003</v>
      </c>
      <c r="AK237">
        <f>IF(AI237&lt;=regressions!$L$2,AI237*regressions!$L$1,regressions!$L$1*regressions!$L$2+regressions!$L$3*(AI237-regressions!$L$2))</f>
        <v>-1.6082753314353948</v>
      </c>
      <c r="AL237">
        <f>regressions!$J$1*AI237+regressions!$J$2*AI237^2</f>
        <v>-1.2520257068608887</v>
      </c>
      <c r="AM237">
        <f>regressions!$V$1*AI237</f>
        <v>-1.6082753359757604</v>
      </c>
      <c r="AN237">
        <f>regressions!$N$1*AI237^2</f>
        <v>-0.71348870880355808</v>
      </c>
      <c r="AO237">
        <f>regressions!$R$1*AI237^2+regressions!$R$2*AI237^6</f>
        <v>-0.77636232172107178</v>
      </c>
      <c r="AP237">
        <f>regressions!$P$1*AI237^2+regressions!$P$2*AI237^7</f>
        <v>-0.75167463987084782</v>
      </c>
      <c r="AQ237">
        <f>regressions!$T$2+regressions!$T$1*EXP(AI237)</f>
        <v>-5.130421500155443E-2</v>
      </c>
      <c r="AR237" s="8">
        <f>(1-EXP(-2*regressions!$X$1*AI237))/2/EXP(-regressions!$X$1*AI237)</f>
        <v>-0.91993295139466569</v>
      </c>
      <c r="AT237" s="33">
        <v>1.549046588733221</v>
      </c>
      <c r="AU237">
        <f t="shared" si="55"/>
        <v>-0.78904325919930907</v>
      </c>
      <c r="AV237">
        <f>IF(AT237&lt;=regressions!$L$2,AT237*regressions!$L$1,regressions!$L$1*regressions!$L$2+regressions!$L$3*(AT237-regressions!$L$2))</f>
        <v>-1.2311509939541754</v>
      </c>
      <c r="AW237">
        <f>regressions!$J$1*AT237+regressions!$J$2*AT237^2</f>
        <v>-0.89836226177489542</v>
      </c>
      <c r="AX237">
        <f>regressions!$V$1*AT237</f>
        <v>-1.2311509974298713</v>
      </c>
      <c r="AY237">
        <f>regressions!$N$1*AT237^2</f>
        <v>-0.41810844890491894</v>
      </c>
      <c r="AZ237">
        <f>regressions!$R$1*AT237^2+regressions!$R$2*AT237^6</f>
        <v>-0.45524351430921844</v>
      </c>
      <c r="BA237">
        <f>regressions!$P$1*AT237^2+regressions!$P$2*AT237^7</f>
        <v>-0.44054475967823381</v>
      </c>
      <c r="BB237">
        <f>regressions!$T$2+regressions!$T$1*EXP(AT237)</f>
        <v>-2.8968809775562182E-2</v>
      </c>
      <c r="BC237" s="8">
        <f>(1-EXP(-2*regressions!$X$1*AT237))/2/EXP(-regressions!$X$1*AT237)</f>
        <v>-0.67308980923290052</v>
      </c>
      <c r="BE237">
        <f t="shared" si="56"/>
        <v>0.4794853575828939</v>
      </c>
      <c r="BF237">
        <f t="shared" si="47"/>
        <v>1.1743056605342899</v>
      </c>
      <c r="BG237">
        <f t="shared" si="48"/>
        <v>1.6142301727776238</v>
      </c>
      <c r="BH237">
        <f>BG237+regressions!$AR$1*(AI237-B237)</f>
        <v>-0.26568914774263508</v>
      </c>
      <c r="BI237">
        <f>BG237-regressions!$AO$1*(AI237-B237)</f>
        <v>4.1681710072130294</v>
      </c>
      <c r="BJ237">
        <f t="shared" si="49"/>
        <v>1.9400297756603178</v>
      </c>
      <c r="BK237">
        <f>BJ237+regressions!$AR$1*(AT237-B237)</f>
        <v>-0.43969769838397132</v>
      </c>
      <c r="BL237">
        <f>BJ237-regressions!$AO$1*(AT237-B237)</f>
        <v>5.172978713653869</v>
      </c>
      <c r="BM237">
        <f t="shared" si="57"/>
        <v>0.69482030295139596</v>
      </c>
      <c r="BN237">
        <f t="shared" si="50"/>
        <v>1.1347448151947299</v>
      </c>
      <c r="BO237">
        <f t="shared" si="51"/>
        <v>1.4605444180774239</v>
      </c>
      <c r="BP237">
        <f t="shared" si="58"/>
        <v>0.43992451224333395</v>
      </c>
      <c r="BQ237">
        <f t="shared" si="59"/>
        <v>0.76572411512602789</v>
      </c>
      <c r="BR237">
        <f t="shared" si="60"/>
        <v>0.32579960288269394</v>
      </c>
    </row>
    <row r="238" spans="1:70" x14ac:dyDescent="0.35">
      <c r="A238">
        <f t="shared" si="46"/>
        <v>2085</v>
      </c>
      <c r="B238" s="33">
        <v>3.8668308785716352</v>
      </c>
      <c r="C238">
        <f t="shared" si="61"/>
        <v>-2.7930706936041743</v>
      </c>
      <c r="D238">
        <f>IF($B238&lt;=regressions!$L$2,$B238*regressions!$L$1,regressions!$L$1*regressions!$L$2+regressions!$L$3*($B238-regressions!$L$2))</f>
        <v>-3.0732792120212031</v>
      </c>
      <c r="E238">
        <f>regressions!$J$1*B238+regressions!$J$2*B238^2</f>
        <v>-2.9750836119146014</v>
      </c>
      <c r="F238">
        <f>regressions!$V$1*B238</f>
        <v>-3.0732792206974611</v>
      </c>
      <c r="G238">
        <f>regressions!$N$1*B238^2</f>
        <v>-2.6053755921040045</v>
      </c>
      <c r="H238">
        <f>regressions!$R$1*B238^2+regressions!$R$2*B238^6</f>
        <v>-2.8009286001675471</v>
      </c>
      <c r="I238">
        <f>regressions!$P$1*B238^2+regressions!$P$2*B238^7</f>
        <v>-2.7325769080459286</v>
      </c>
      <c r="J238">
        <f>regressions!$T$2+regressions!$T$1*EXP(B238)</f>
        <v>-0.36565357970754669</v>
      </c>
      <c r="K238" s="8">
        <f>(1-EXP(-2*regressions!$X$1*B238))/2/EXP(-regressions!$X$1*B238)</f>
        <v>-2.3089696368696355</v>
      </c>
      <c r="M238" s="33">
        <v>3.3293761301044671</v>
      </c>
      <c r="N238">
        <f t="shared" si="52"/>
        <v>-2.289099096800034</v>
      </c>
      <c r="O238">
        <f>IF($B238&lt;=regressions!$L$2,$B238*regressions!$L$1,regressions!$L$1*regressions!$L$2+regressions!$L$3*($B238-regressions!$L$2))</f>
        <v>-3.0732792120212031</v>
      </c>
      <c r="P238">
        <f>regressions!$J$1*M238+regressions!$J$2*M238^2</f>
        <v>-2.415321006443913</v>
      </c>
      <c r="Q238">
        <f>regressions!$V$1*M238</f>
        <v>-2.6461210225764544</v>
      </c>
      <c r="R238">
        <f>regressions!$N$1*M238^2</f>
        <v>-1.9314599505460459</v>
      </c>
      <c r="S238">
        <f>regressions!$R$1*M238^2+regressions!$R$2*M238^6</f>
        <v>-2.0887171236561555</v>
      </c>
      <c r="T238">
        <f>regressions!$P$1*M238^2+regressions!$P$2*M238^7</f>
        <v>-2.0307337823016351</v>
      </c>
      <c r="U238">
        <f>regressions!$T$2+regressions!$T$1*EXP(M238)</f>
        <v>-0.21037795083439875</v>
      </c>
      <c r="V238" s="8">
        <f>(1-EXP(-2*regressions!$X$1*M238))/2/EXP(-regressions!$X$1*M238)</f>
        <v>-1.8096099203536038</v>
      </c>
      <c r="X238" s="33">
        <v>2.4144502262529928</v>
      </c>
      <c r="Y238">
        <f t="shared" si="53"/>
        <v>-1.56682138004239</v>
      </c>
      <c r="Z238">
        <f>IF($B238&lt;=regressions!$L$2,$B238*regressions!$L$1,regressions!$L$1*regressions!$L$2+regressions!$L$3*($B238-regressions!$L$2))</f>
        <v>-3.0732792120212031</v>
      </c>
      <c r="AA238">
        <f>regressions!$J$1*X238+regressions!$J$2*X238^2</f>
        <v>-1.5710286784861016</v>
      </c>
      <c r="AB238">
        <f>regressions!$V$1*X238</f>
        <v>-1.9189563605876077</v>
      </c>
      <c r="AC238">
        <f>regressions!$N$1*X238^2</f>
        <v>-1.0157726099191107</v>
      </c>
      <c r="AD238">
        <f>regressions!$R$1*X238^2+regressions!$R$2*X238^6</f>
        <v>-1.1041791603719793</v>
      </c>
      <c r="AE238">
        <f>regressions!$P$1*X238^2+regressions!$P$2*X238^7</f>
        <v>-1.0698603280335315</v>
      </c>
      <c r="AF238">
        <f>regressions!$T$2+regressions!$T$1*EXP(X238)</f>
        <v>-7.9581580794013979E-2</v>
      </c>
      <c r="AG238" s="8">
        <f>(1-EXP(-2*regressions!$X$1*X238))/2/EXP(-regressions!$X$1*X238)</f>
        <v>-1.1486984163436311</v>
      </c>
      <c r="AH238" s="8"/>
      <c r="AI238" s="33">
        <v>2.0239833159491045</v>
      </c>
      <c r="AJ238">
        <f t="shared" si="54"/>
        <v>-1.1151606171413462</v>
      </c>
      <c r="AK238">
        <f>IF(AI238&lt;=regressions!$L$2,AI238*regressions!$L$1,regressions!$L$1*regressions!$L$2+regressions!$L$3*(AI238-regressions!$L$2))</f>
        <v>-1.6086211281838692</v>
      </c>
      <c r="AL238">
        <f>regressions!$J$1*AI238+regressions!$J$2*AI238^2</f>
        <v>-1.2523668808017971</v>
      </c>
      <c r="AM238">
        <f>regressions!$V$1*AI238</f>
        <v>-1.6086211327252111</v>
      </c>
      <c r="AN238">
        <f>regressions!$N$1*AI238^2</f>
        <v>-0.71379555750629442</v>
      </c>
      <c r="AO238">
        <f>regressions!$R$1*AI238^2+regressions!$R$2*AI238^6</f>
        <v>-0.77669555993333128</v>
      </c>
      <c r="AP238">
        <f>regressions!$P$1*AI238^2+regressions!$P$2*AI238^7</f>
        <v>-0.75199776381472183</v>
      </c>
      <c r="AQ238">
        <f>regressions!$T$2+regressions!$T$1*EXP(AI238)</f>
        <v>-5.1329942333141178E-2</v>
      </c>
      <c r="AR238" s="8">
        <f>(1-EXP(-2*regressions!$X$1*AI238))/2/EXP(-regressions!$X$1*AI238)</f>
        <v>-0.92017358507013547</v>
      </c>
      <c r="AT238" s="33">
        <v>1.5462975100848282</v>
      </c>
      <c r="AU238">
        <f t="shared" si="55"/>
        <v>-0.78727501601445271</v>
      </c>
      <c r="AV238">
        <f>IF(AT238&lt;=regressions!$L$2,AT238*regressions!$L$1,regressions!$L$1*regressions!$L$2+regressions!$L$3*(AT238-regressions!$L$2))</f>
        <v>-1.228966081676492</v>
      </c>
      <c r="AW238">
        <f>regressions!$J$1*AT238+regressions!$J$2*AT238^2</f>
        <v>-0.89642050692094311</v>
      </c>
      <c r="AX238">
        <f>regressions!$V$1*AT238</f>
        <v>-1.2289660851460193</v>
      </c>
      <c r="AY238">
        <f>regressions!$N$1*AT238^2</f>
        <v>-0.41662573935746788</v>
      </c>
      <c r="AZ238">
        <f>regressions!$R$1*AT238^2+regressions!$R$2*AT238^6</f>
        <v>-0.45363018805243333</v>
      </c>
      <c r="BA238">
        <f>regressions!$P$1*AT238^2+regressions!$P$2*AT238^7</f>
        <v>-0.43898267158606141</v>
      </c>
      <c r="BB238">
        <f>regressions!$T$2+regressions!$T$1*EXP(AT238)</f>
        <v>-2.886782797738608E-2</v>
      </c>
      <c r="BC238" s="8">
        <f>(1-EXP(-2*regressions!$X$1*AT238))/2/EXP(-regressions!$X$1*AT238)</f>
        <v>-0.67174146821931624</v>
      </c>
      <c r="BE238">
        <f t="shared" si="56"/>
        <v>0.50397159680414028</v>
      </c>
      <c r="BF238">
        <f t="shared" si="47"/>
        <v>1.2262493135617842</v>
      </c>
      <c r="BG238">
        <f t="shared" si="48"/>
        <v>1.6779100764628281</v>
      </c>
      <c r="BH238">
        <f>BG238+regressions!$AR$1*(AI238-B238)</f>
        <v>-0.26322174577931978</v>
      </c>
      <c r="BI238">
        <f>BG238-regressions!$AO$1*(AI238-B238)</f>
        <v>4.3150103880199513</v>
      </c>
      <c r="BJ238">
        <f t="shared" si="49"/>
        <v>2.0057956775897217</v>
      </c>
      <c r="BK238">
        <f>BJ238+regressions!$AR$1*(AT238-B238)</f>
        <v>-0.43849828220707732</v>
      </c>
      <c r="BL238">
        <f>BJ238-regressions!$AO$1*(AT238-B238)</f>
        <v>5.3264606056788981</v>
      </c>
      <c r="BM238">
        <f t="shared" si="57"/>
        <v>0.72227771675764396</v>
      </c>
      <c r="BN238">
        <f t="shared" si="50"/>
        <v>1.1739384796586878</v>
      </c>
      <c r="BO238">
        <f t="shared" si="51"/>
        <v>1.5018240807855814</v>
      </c>
      <c r="BP238">
        <f t="shared" si="58"/>
        <v>0.45166076290104384</v>
      </c>
      <c r="BQ238">
        <f t="shared" si="59"/>
        <v>0.77954636402793731</v>
      </c>
      <c r="BR238">
        <f t="shared" si="60"/>
        <v>0.32788560112689347</v>
      </c>
    </row>
    <row r="239" spans="1:70" x14ac:dyDescent="0.35">
      <c r="A239">
        <f t="shared" si="46"/>
        <v>2086</v>
      </c>
      <c r="B239" s="33">
        <v>3.9259307759352464</v>
      </c>
      <c r="C239">
        <f t="shared" si="61"/>
        <v>-2.858417193631829</v>
      </c>
      <c r="D239">
        <f>IF($B239&lt;=regressions!$L$2,$B239*regressions!$L$1,regressions!$L$1*regressions!$L$2+regressions!$L$3*($B239-regressions!$L$2))</f>
        <v>-3.1202506187632704</v>
      </c>
      <c r="E239">
        <f>regressions!$J$1*B239+regressions!$J$2*B239^2</f>
        <v>-3.0395181543793681</v>
      </c>
      <c r="F239">
        <f>regressions!$V$1*B239</f>
        <v>-3.1202506275721347</v>
      </c>
      <c r="G239">
        <f>regressions!$N$1*B239^2</f>
        <v>-2.6856243103083295</v>
      </c>
      <c r="H239">
        <f>regressions!$R$1*B239^2+regressions!$R$2*B239^6</f>
        <v>-2.8848280754711575</v>
      </c>
      <c r="I239">
        <f>regressions!$P$1*B239^2+regressions!$P$2*B239^7</f>
        <v>-2.8157089981560302</v>
      </c>
      <c r="J239">
        <f>regressions!$T$2+regressions!$T$1*EXP(B239)</f>
        <v>-0.38839078009332606</v>
      </c>
      <c r="K239" s="8">
        <f>(1-EXP(-2*regressions!$X$1*B239))/2/EXP(-regressions!$X$1*B239)</f>
        <v>-2.3701695795588926</v>
      </c>
      <c r="M239" s="33">
        <v>3.3675268596444403</v>
      </c>
      <c r="N239">
        <f t="shared" si="52"/>
        <v>-2.3290715446521899</v>
      </c>
      <c r="O239">
        <f>IF($B239&lt;=regressions!$L$2,$B239*regressions!$L$1,regressions!$L$1*regressions!$L$2+regressions!$L$3*($B239-regressions!$L$2))</f>
        <v>-3.1202506187632704</v>
      </c>
      <c r="P239">
        <f>regressions!$J$1*M239+regressions!$J$2*M239^2</f>
        <v>-2.4534983158333818</v>
      </c>
      <c r="Q239">
        <f>regressions!$V$1*M239</f>
        <v>-2.6764424532341509</v>
      </c>
      <c r="R239">
        <f>regressions!$N$1*M239^2</f>
        <v>-1.9759780729562135</v>
      </c>
      <c r="S239">
        <f>regressions!$R$1*M239^2+regressions!$R$2*M239^6</f>
        <v>-2.1361447066751937</v>
      </c>
      <c r="T239">
        <f>regressions!$P$1*M239^2+regressions!$P$2*M239^7</f>
        <v>-2.0772720671781664</v>
      </c>
      <c r="U239">
        <f>regressions!$T$2+regressions!$T$1*EXP(M239)</f>
        <v>-0.21886298429509551</v>
      </c>
      <c r="V239" s="8">
        <f>(1-EXP(-2*regressions!$X$1*M239))/2/EXP(-regressions!$X$1*M239)</f>
        <v>-1.8419336588351656</v>
      </c>
      <c r="X239" s="33">
        <v>2.4226478071274986</v>
      </c>
      <c r="Y239">
        <f t="shared" si="53"/>
        <v>-1.5787522734396353</v>
      </c>
      <c r="Z239">
        <f>IF($B239&lt;=regressions!$L$2,$B239*regressions!$L$1,regressions!$L$1*regressions!$L$2+regressions!$L$3*($B239-regressions!$L$2))</f>
        <v>-3.1202506187632704</v>
      </c>
      <c r="AA239">
        <f>regressions!$J$1*X239+regressions!$J$2*X239^2</f>
        <v>-1.5779858724308198</v>
      </c>
      <c r="AB239">
        <f>regressions!$V$1*X239</f>
        <v>-1.9254716325901193</v>
      </c>
      <c r="AC239">
        <f>regressions!$N$1*X239^2</f>
        <v>-1.022681854769617</v>
      </c>
      <c r="AD239">
        <f>regressions!$R$1*X239^2+regressions!$R$2*X239^6</f>
        <v>-1.111659774942567</v>
      </c>
      <c r="AE239">
        <f>regressions!$P$1*X239^2+regressions!$P$2*X239^7</f>
        <v>-1.0771293641746307</v>
      </c>
      <c r="AF239">
        <f>regressions!$T$2+regressions!$T$1*EXP(X239)</f>
        <v>-8.0300963156346855E-2</v>
      </c>
      <c r="AG239" s="8">
        <f>(1-EXP(-2*regressions!$X$1*X239))/2/EXP(-regressions!$X$1*X239)</f>
        <v>-1.1537863154208852</v>
      </c>
      <c r="AH239" s="8"/>
      <c r="AI239" s="33">
        <v>2.024212855151458</v>
      </c>
      <c r="AJ239">
        <f t="shared" si="54"/>
        <v>-1.1153282704363618</v>
      </c>
      <c r="AK239">
        <f>IF(AI239&lt;=regressions!$L$2,AI239*regressions!$L$1,regressions!$L$1*regressions!$L$2+regressions!$L$3*(AI239-regressions!$L$2))</f>
        <v>-1.6088035613135017</v>
      </c>
      <c r="AL239">
        <f>regressions!$J$1*AI239+regressions!$J$2*AI239^2</f>
        <v>-1.25254688753063</v>
      </c>
      <c r="AM239">
        <f>regressions!$V$1*AI239</f>
        <v>-1.6088035658553586</v>
      </c>
      <c r="AN239">
        <f>regressions!$N$1*AI239^2</f>
        <v>-0.71395746926946924</v>
      </c>
      <c r="AO239">
        <f>regressions!$R$1*AI239^2+regressions!$R$2*AI239^6</f>
        <v>-0.77687139604496736</v>
      </c>
      <c r="AP239">
        <f>regressions!$P$1*AI239^2+regressions!$P$2*AI239^7</f>
        <v>-0.75216826328104947</v>
      </c>
      <c r="AQ239">
        <f>regressions!$T$2+regressions!$T$1*EXP(AI239)</f>
        <v>-5.1343519897372847E-2</v>
      </c>
      <c r="AR239" s="8">
        <f>(1-EXP(-2*regressions!$X$1*AI239))/2/EXP(-regressions!$X$1*AI239)</f>
        <v>-0.92030054859802113</v>
      </c>
      <c r="AT239" s="33">
        <v>1.5434975980428598</v>
      </c>
      <c r="AU239">
        <f t="shared" si="55"/>
        <v>-0.78547547208825952</v>
      </c>
      <c r="AV239">
        <f>IF(AT239&lt;=regressions!$L$2,AT239*regressions!$L$1,regressions!$L$1*regressions!$L$2+regressions!$L$3*(AT239-regressions!$L$2))</f>
        <v>-1.2267407680425924</v>
      </c>
      <c r="AW239">
        <f>regressions!$J$1*AT239+regressions!$J$2*AT239^2</f>
        <v>-0.89444411681564795</v>
      </c>
      <c r="AX239">
        <f>regressions!$V$1*AT239</f>
        <v>-1.2267407715058376</v>
      </c>
      <c r="AY239">
        <f>regressions!$N$1*AT239^2</f>
        <v>-0.41511832011824107</v>
      </c>
      <c r="AZ239">
        <f>regressions!$R$1*AT239^2+regressions!$R$2*AT239^6</f>
        <v>-0.45198996362556487</v>
      </c>
      <c r="BA239">
        <f>regressions!$P$1*AT239^2+regressions!$P$2*AT239^7</f>
        <v>-0.43739454857427984</v>
      </c>
      <c r="BB239">
        <f>regressions!$T$2+regressions!$T$1*EXP(AT239)</f>
        <v>-2.8765263875696875E-2</v>
      </c>
      <c r="BC239" s="8">
        <f>(1-EXP(-2*regressions!$X$1*AT239))/2/EXP(-regressions!$X$1*AT239)</f>
        <v>-0.67036905939596925</v>
      </c>
      <c r="BE239">
        <f t="shared" si="56"/>
        <v>0.52934564897963909</v>
      </c>
      <c r="BF239">
        <f t="shared" si="47"/>
        <v>1.2796649201921937</v>
      </c>
      <c r="BG239">
        <f t="shared" si="48"/>
        <v>1.7430889231954672</v>
      </c>
      <c r="BH239">
        <f>BG239+regressions!$AR$1*(AI239-B239)</f>
        <v>-0.26005297949575845</v>
      </c>
      <c r="BI239">
        <f>BG239-regressions!$AO$1*(AI239-B239)</f>
        <v>4.4644322524591669</v>
      </c>
      <c r="BJ239">
        <f t="shared" si="49"/>
        <v>2.0729417215435695</v>
      </c>
      <c r="BK239">
        <f>BJ239+regressions!$AR$1*(AT239-B239)</f>
        <v>-0.43655333912828143</v>
      </c>
      <c r="BL239">
        <f>BJ239-regressions!$AO$1*(AT239-B239)</f>
        <v>5.4821847881503345</v>
      </c>
      <c r="BM239">
        <f t="shared" si="57"/>
        <v>0.75031927121255459</v>
      </c>
      <c r="BN239">
        <f t="shared" si="50"/>
        <v>1.2137432742158281</v>
      </c>
      <c r="BO239">
        <f t="shared" si="51"/>
        <v>1.5435960725639304</v>
      </c>
      <c r="BP239">
        <f t="shared" si="58"/>
        <v>0.46342400300327347</v>
      </c>
      <c r="BQ239">
        <f t="shared" si="59"/>
        <v>0.79327680135137579</v>
      </c>
      <c r="BR239">
        <f t="shared" si="60"/>
        <v>0.32985279834810233</v>
      </c>
    </row>
    <row r="240" spans="1:70" x14ac:dyDescent="0.35">
      <c r="A240">
        <f t="shared" ref="A240:A253" si="62">1+A239</f>
        <v>2087</v>
      </c>
      <c r="B240" s="33">
        <v>3.9855816873220453</v>
      </c>
      <c r="C240">
        <f t="shared" si="61"/>
        <v>-2.9251360332481169</v>
      </c>
      <c r="D240">
        <f>IF($B240&lt;=regressions!$L$2,$B240*regressions!$L$1,regressions!$L$1*regressions!$L$2+regressions!$L$3*($B240-regressions!$L$2))</f>
        <v>-3.167659960340393</v>
      </c>
      <c r="E240">
        <f>regressions!$J$1*B240+regressions!$J$2*B240^2</f>
        <v>-3.1051324137741787</v>
      </c>
      <c r="F240">
        <f>regressions!$V$1*B240</f>
        <v>-3.1676599692830996</v>
      </c>
      <c r="G240">
        <f>regressions!$N$1*B240^2</f>
        <v>-2.7678555020456295</v>
      </c>
      <c r="H240">
        <f>regressions!$R$1*B240^2+regressions!$R$2*B240^6</f>
        <v>-2.9705761878088306</v>
      </c>
      <c r="I240">
        <f>regressions!$P$1*B240^2+regressions!$P$2*B240^7</f>
        <v>-2.9007799419187901</v>
      </c>
      <c r="J240">
        <f>regressions!$T$2+regressions!$T$1*EXP(B240)</f>
        <v>-0.41274391870177324</v>
      </c>
      <c r="K240" s="8">
        <f>(1-EXP(-2*regressions!$X$1*B240))/2/EXP(-regressions!$X$1*B240)</f>
        <v>-2.4333309498856566</v>
      </c>
      <c r="M240" s="33">
        <v>3.4057954263588939</v>
      </c>
      <c r="N240">
        <f t="shared" si="52"/>
        <v>-2.3695083299577884</v>
      </c>
      <c r="O240">
        <f>IF($B240&lt;=regressions!$L$2,$B240*regressions!$L$1,regressions!$L$1*regressions!$L$2+regressions!$L$3*($B240-regressions!$L$2))</f>
        <v>-3.167659960340393</v>
      </c>
      <c r="P240">
        <f>regressions!$J$1*M240+regressions!$J$2*M240^2</f>
        <v>-2.4920325700863413</v>
      </c>
      <c r="Q240">
        <f>regressions!$V$1*M240</f>
        <v>-2.706857538502335</v>
      </c>
      <c r="R240">
        <f>regressions!$N$1*M240^2</f>
        <v>-2.0211432712762569</v>
      </c>
      <c r="S240">
        <f>regressions!$R$1*M240^2+regressions!$R$2*M240^6</f>
        <v>-2.1842116913460226</v>
      </c>
      <c r="T240">
        <f>regressions!$P$1*M240^2+regressions!$P$2*M240^7</f>
        <v>-2.1244648217861095</v>
      </c>
      <c r="U240">
        <f>regressions!$T$2+regressions!$T$1*EXP(M240)</f>
        <v>-0.22770573356637749</v>
      </c>
      <c r="V240" s="8">
        <f>(1-EXP(-2*regressions!$X$1*M240))/2/EXP(-regressions!$X$1*M240)</f>
        <v>-1.8748034284343464</v>
      </c>
      <c r="X240" s="33">
        <v>2.4305726505913992</v>
      </c>
      <c r="Y240">
        <f t="shared" si="53"/>
        <v>-1.5905621683402191</v>
      </c>
      <c r="Z240">
        <f>IF($B240&lt;=regressions!$L$2,$B240*regressions!$L$1,regressions!$L$1*regressions!$L$2+regressions!$L$3*($B240-regressions!$L$2))</f>
        <v>-3.167659960340393</v>
      </c>
      <c r="AA240">
        <f>regressions!$J$1*X240+regressions!$J$2*X240^2</f>
        <v>-1.5847220401055724</v>
      </c>
      <c r="AB240">
        <f>regressions!$V$1*X240</f>
        <v>-1.9317701383975112</v>
      </c>
      <c r="AC240">
        <f>regressions!$N$1*X240^2</f>
        <v>-1.0293834886247013</v>
      </c>
      <c r="AD240">
        <f>regressions!$R$1*X240^2+regressions!$R$2*X240^6</f>
        <v>-1.1189150276152153</v>
      </c>
      <c r="AE240">
        <f>regressions!$P$1*X240^2+regressions!$P$2*X240^7</f>
        <v>-1.0841797940534361</v>
      </c>
      <c r="AF240">
        <f>regressions!$T$2+regressions!$T$1*EXP(X240)</f>
        <v>-8.1002040009526155E-2</v>
      </c>
      <c r="AG240" s="8">
        <f>(1-EXP(-2*regressions!$X$1*X240))/2/EXP(-regressions!$X$1*X240)</f>
        <v>-1.158717147558155</v>
      </c>
      <c r="AH240" s="8"/>
      <c r="AI240" s="33">
        <v>2.0242447427605024</v>
      </c>
      <c r="AJ240">
        <f t="shared" si="54"/>
        <v>-1.1153515616255343</v>
      </c>
      <c r="AK240">
        <f>IF(AI240&lt;=regressions!$L$2,AI240*regressions!$L$1,regressions!$L$1*regressions!$L$2+regressions!$L$3*(AI240-regressions!$L$2))</f>
        <v>-1.6088289049421924</v>
      </c>
      <c r="AL240">
        <f>regressions!$J$1*AI240+regressions!$J$2*AI240^2</f>
        <v>-1.2525718947648299</v>
      </c>
      <c r="AM240">
        <f>regressions!$V$1*AI240</f>
        <v>-1.6088289094841211</v>
      </c>
      <c r="AN240">
        <f>regressions!$N$1*AI240^2</f>
        <v>-0.71397996352042414</v>
      </c>
      <c r="AO240">
        <f>regressions!$R$1*AI240^2+regressions!$R$2*AI240^6</f>
        <v>-0.7768958247742439</v>
      </c>
      <c r="AP240">
        <f>regressions!$P$1*AI240^2+regressions!$P$2*AI240^7</f>
        <v>-0.75219195060874644</v>
      </c>
      <c r="AQ240">
        <f>regressions!$T$2+regressions!$T$1*EXP(AI240)</f>
        <v>-5.1345406340522787E-2</v>
      </c>
      <c r="AR240" s="8">
        <f>(1-EXP(-2*regressions!$X$1*AI240))/2/EXP(-regressions!$X$1*AI240)</f>
        <v>-0.92031818701950041</v>
      </c>
      <c r="AT240" s="33">
        <v>1.5406504861216126</v>
      </c>
      <c r="AU240">
        <f t="shared" si="55"/>
        <v>-0.78364703638561073</v>
      </c>
      <c r="AV240">
        <f>IF(AT240&lt;=regressions!$L$2,AT240*regressions!$L$1,regressions!$L$1*regressions!$L$2+regressions!$L$3*(AT240-regressions!$L$2))</f>
        <v>-1.2244779408963742</v>
      </c>
      <c r="AW240">
        <f>regressions!$J$1*AT240+regressions!$J$2*AT240^2</f>
        <v>-0.89243572354324852</v>
      </c>
      <c r="AX240">
        <f>regressions!$V$1*AT240</f>
        <v>-1.224477944353231</v>
      </c>
      <c r="AY240">
        <f>regressions!$N$1*AT240^2</f>
        <v>-0.41358829082252907</v>
      </c>
      <c r="AZ240">
        <f>regressions!$R$1*AT240^2+regressions!$R$2*AT240^6</f>
        <v>-0.45032512513142825</v>
      </c>
      <c r="BA240">
        <f>regressions!$P$1*AT240^2+regressions!$P$2*AT240^7</f>
        <v>-0.43578260258877466</v>
      </c>
      <c r="BB240">
        <f>regressions!$T$2+regressions!$T$1*EXP(AT240)</f>
        <v>-2.8661264842701317E-2</v>
      </c>
      <c r="BC240" s="8">
        <f>(1-EXP(-2*regressions!$X$1*AT240))/2/EXP(-regressions!$X$1*AT240)</f>
        <v>-0.66897440774115646</v>
      </c>
      <c r="BE240">
        <f t="shared" si="56"/>
        <v>0.55562770329032851</v>
      </c>
      <c r="BF240">
        <f t="shared" si="47"/>
        <v>1.3345738649078978</v>
      </c>
      <c r="BG240">
        <f t="shared" si="48"/>
        <v>1.8097844716225826</v>
      </c>
      <c r="BH240">
        <f>BG240+regressions!$AR$1*(AI240-B240)</f>
        <v>-0.25615610558370672</v>
      </c>
      <c r="BI240">
        <f>BG240-regressions!$AO$1*(AI240-B240)</f>
        <v>4.6164421531788342</v>
      </c>
      <c r="BJ240">
        <f t="shared" si="49"/>
        <v>2.1414889968625062</v>
      </c>
      <c r="BK240">
        <f>BJ240+regressions!$AR$1*(AT240-B240)</f>
        <v>-0.43383728302198277</v>
      </c>
      <c r="BL240">
        <f>BJ240-regressions!$AO$1*(AT240-B240)</f>
        <v>5.6401662413579778</v>
      </c>
      <c r="BM240">
        <f t="shared" si="57"/>
        <v>0.77894616161756924</v>
      </c>
      <c r="BN240">
        <f t="shared" si="50"/>
        <v>1.2541567683322541</v>
      </c>
      <c r="BO240">
        <f t="shared" si="51"/>
        <v>1.5858612935721776</v>
      </c>
      <c r="BP240">
        <f t="shared" si="58"/>
        <v>0.47521060671468485</v>
      </c>
      <c r="BQ240">
        <f t="shared" si="59"/>
        <v>0.8069151319546084</v>
      </c>
      <c r="BR240">
        <f t="shared" si="60"/>
        <v>0.33170452523992355</v>
      </c>
    </row>
    <row r="241" spans="1:70" x14ac:dyDescent="0.35">
      <c r="A241">
        <f t="shared" si="62"/>
        <v>2088</v>
      </c>
      <c r="B241" s="33">
        <v>4.0457828808717897</v>
      </c>
      <c r="C241">
        <f t="shared" si="61"/>
        <v>-2.9932509279597563</v>
      </c>
      <c r="D241">
        <f>IF($B241&lt;=regressions!$L$2,$B241*regressions!$L$1,regressions!$L$1*regressions!$L$2+regressions!$L$3*($B241-regressions!$L$2))</f>
        <v>-3.2155066550848077</v>
      </c>
      <c r="E241">
        <f>regressions!$J$1*B241+regressions!$J$2*B241^2</f>
        <v>-3.1719416930091189</v>
      </c>
      <c r="F241">
        <f>regressions!$V$1*B241</f>
        <v>-3.215506664162592</v>
      </c>
      <c r="G241">
        <f>regressions!$N$1*B241^2</f>
        <v>-2.8521024984478833</v>
      </c>
      <c r="H241">
        <f>regressions!$R$1*B241^2+regressions!$R$2*B241^6</f>
        <v>-3.0581839535630326</v>
      </c>
      <c r="I241">
        <f>regressions!$P$1*B241^2+regressions!$P$2*B241^7</f>
        <v>-2.9878101629650873</v>
      </c>
      <c r="J241">
        <f>regressions!$T$2+regressions!$T$1*EXP(B241)</f>
        <v>-0.43883966407085589</v>
      </c>
      <c r="K241" s="8">
        <f>(1-EXP(-2*regressions!$X$1*B241))/2/EXP(-regressions!$X$1*B241)</f>
        <v>-2.4985294216876071</v>
      </c>
      <c r="M241" s="33">
        <v>3.4441815263381579</v>
      </c>
      <c r="N241">
        <f t="shared" si="52"/>
        <v>-2.4104127833109841</v>
      </c>
      <c r="O241">
        <f>IF($B241&lt;=regressions!$L$2,$B241*regressions!$L$1,regressions!$L$1*regressions!$L$2+regressions!$L$3*($B241-regressions!$L$2))</f>
        <v>-3.2155066550848077</v>
      </c>
      <c r="P241">
        <f>regressions!$J$1*M241+regressions!$J$2*M241^2</f>
        <v>-2.5309256717644608</v>
      </c>
      <c r="Q241">
        <f>regressions!$V$1*M241</f>
        <v>-2.7373660368397292</v>
      </c>
      <c r="R241">
        <f>regressions!$N$1*M241^2</f>
        <v>-2.0669598952361814</v>
      </c>
      <c r="S241">
        <f>regressions!$R$1*M241^2+regressions!$R$2*M241^6</f>
        <v>-2.2329193613825526</v>
      </c>
      <c r="T241">
        <f>regressions!$P$1*M241^2+regressions!$P$2*M241^7</f>
        <v>-2.1723148573162288</v>
      </c>
      <c r="U241">
        <f>regressions!$T$2+regressions!$T$1*EXP(M241)</f>
        <v>-0.23692220363280164</v>
      </c>
      <c r="V241" s="8">
        <f>(1-EXP(-2*regressions!$X$1*M241))/2/EXP(-regressions!$X$1*M241)</f>
        <v>-1.9082311023649472</v>
      </c>
      <c r="X241" s="33">
        <v>2.4382296895151954</v>
      </c>
      <c r="Y241">
        <f t="shared" si="53"/>
        <v>-1.6022532222750305</v>
      </c>
      <c r="Z241">
        <f>IF($B241&lt;=regressions!$L$2,$B241*regressions!$L$1,regressions!$L$1*regressions!$L$2+regressions!$L$3*($B241-regressions!$L$2))</f>
        <v>-3.2155066550848077</v>
      </c>
      <c r="AA241">
        <f>regressions!$J$1*X241+regressions!$J$2*X241^2</f>
        <v>-1.5912403238982489</v>
      </c>
      <c r="AB241">
        <f>regressions!$V$1*X241</f>
        <v>-1.9378557985558027</v>
      </c>
      <c r="AC241">
        <f>regressions!$N$1*X241^2</f>
        <v>-1.0358794432518832</v>
      </c>
      <c r="AD241">
        <f>regressions!$R$1*X241^2+regressions!$R$2*X241^6</f>
        <v>-1.1259470591952017</v>
      </c>
      <c r="AE241">
        <f>regressions!$P$1*X241^2+regressions!$P$2*X241^7</f>
        <v>-1.0910136650516358</v>
      </c>
      <c r="AF241">
        <f>regressions!$T$2+regressions!$T$1*EXP(X241)</f>
        <v>-8.1684723307970858E-2</v>
      </c>
      <c r="AG241" s="8">
        <f>(1-EXP(-2*regressions!$X$1*X241))/2/EXP(-regressions!$X$1*X241)</f>
        <v>-1.1634928023720534</v>
      </c>
      <c r="AH241" s="8"/>
      <c r="AI241" s="33">
        <v>2.0240866627243266</v>
      </c>
      <c r="AJ241">
        <f t="shared" si="54"/>
        <v>-1.1152360994482686</v>
      </c>
      <c r="AK241">
        <f>IF(AI241&lt;=regressions!$L$2,AI241*regressions!$L$1,regressions!$L$1*regressions!$L$2+regressions!$L$3*(AI241-regressions!$L$2))</f>
        <v>-1.6087032661169449</v>
      </c>
      <c r="AL241">
        <f>regressions!$J$1*AI241+regressions!$J$2*AI241^2</f>
        <v>-1.252447925216343</v>
      </c>
      <c r="AM241">
        <f>regressions!$V$1*AI241</f>
        <v>-1.6087032706585187</v>
      </c>
      <c r="AN241">
        <f>regressions!$N$1*AI241^2</f>
        <v>-0.71386845371230923</v>
      </c>
      <c r="AO241">
        <f>regressions!$R$1*AI241^2+regressions!$R$2*AI241^6</f>
        <v>-0.77677472521353563</v>
      </c>
      <c r="AP241">
        <f>regressions!$P$1*AI241^2+regressions!$P$2*AI241^7</f>
        <v>-0.75207452639957861</v>
      </c>
      <c r="AQ241">
        <f>regressions!$T$2+regressions!$T$1*EXP(AI241)</f>
        <v>-5.1336055053444359E-2</v>
      </c>
      <c r="AR241" s="8">
        <f>(1-EXP(-2*regressions!$X$1*AI241))/2/EXP(-regressions!$X$1*AI241)</f>
        <v>-0.92023074760649692</v>
      </c>
      <c r="AT241" s="33">
        <v>1.5377596332970265</v>
      </c>
      <c r="AU241">
        <f t="shared" si="55"/>
        <v>-0.78179199971708835</v>
      </c>
      <c r="AV241">
        <f>IF(AT241&lt;=regressions!$L$2,AT241*regressions!$L$1,regressions!$L$1*regressions!$L$2+regressions!$L$3*(AT241-regressions!$L$2))</f>
        <v>-1.2221803493621679</v>
      </c>
      <c r="AW241">
        <f>regressions!$J$1*AT241+regressions!$J$2*AT241^2</f>
        <v>-0.8903978305757263</v>
      </c>
      <c r="AX241">
        <f>regressions!$V$1*AT241</f>
        <v>-1.2221803528125386</v>
      </c>
      <c r="AY241">
        <f>regressions!$N$1*AT241^2</f>
        <v>-0.41203764560438244</v>
      </c>
      <c r="AZ241">
        <f>regressions!$R$1*AT241^2+regressions!$R$2*AT241^6</f>
        <v>-0.44863784193676737</v>
      </c>
      <c r="BA241">
        <f>regressions!$P$1*AT241^2+regressions!$P$2*AT241^7</f>
        <v>-0.43414893443834474</v>
      </c>
      <c r="BB241">
        <f>regressions!$T$2+regressions!$T$1*EXP(AT241)</f>
        <v>-2.8555970566231409E-2</v>
      </c>
      <c r="BC241" s="8">
        <f>(1-EXP(-2*regressions!$X$1*AT241))/2/EXP(-regressions!$X$1*AT241)</f>
        <v>-0.66755924882393747</v>
      </c>
      <c r="BE241">
        <f t="shared" si="56"/>
        <v>0.58283814464877226</v>
      </c>
      <c r="BF241">
        <f t="shared" si="47"/>
        <v>1.3909977056847258</v>
      </c>
      <c r="BG241">
        <f t="shared" si="48"/>
        <v>1.8780148285114877</v>
      </c>
      <c r="BH241">
        <f>BG241+regressions!$AR$1*(AI241-B241)</f>
        <v>-0.25150415262871872</v>
      </c>
      <c r="BI241">
        <f>BG241-regressions!$AO$1*(AI241-B241)</f>
        <v>4.7710461539909907</v>
      </c>
      <c r="BJ241">
        <f t="shared" si="49"/>
        <v>2.211458928242668</v>
      </c>
      <c r="BK241">
        <f>BJ241+regressions!$AR$1*(AT241-B241)</f>
        <v>-0.4303242748467464</v>
      </c>
      <c r="BL241">
        <f>BJ241-regressions!$AO$1*(AT241-B241)</f>
        <v>5.800420392944476</v>
      </c>
      <c r="BM241">
        <f t="shared" si="57"/>
        <v>0.80815956103595354</v>
      </c>
      <c r="BN241">
        <f t="shared" si="50"/>
        <v>1.2951766838627154</v>
      </c>
      <c r="BO241">
        <f t="shared" si="51"/>
        <v>1.6286207835938957</v>
      </c>
      <c r="BP241">
        <f t="shared" si="58"/>
        <v>0.48701712282676191</v>
      </c>
      <c r="BQ241">
        <f t="shared" si="59"/>
        <v>0.82046122255794218</v>
      </c>
      <c r="BR241">
        <f t="shared" si="60"/>
        <v>0.33344409973118028</v>
      </c>
    </row>
    <row r="242" spans="1:70" x14ac:dyDescent="0.35">
      <c r="A242">
        <f t="shared" si="62"/>
        <v>2089</v>
      </c>
      <c r="B242" s="33">
        <v>4.1065335294898615</v>
      </c>
      <c r="C242">
        <f t="shared" si="61"/>
        <v>-3.0627858046557908</v>
      </c>
      <c r="D242">
        <f>IF($B242&lt;=regressions!$L$2,$B242*regressions!$L$1,regressions!$L$1*regressions!$L$2+regressions!$L$3*($B242-regressions!$L$2))</f>
        <v>-3.2637900456383897</v>
      </c>
      <c r="E242">
        <f>regressions!$J$1*B242+regressions!$J$2*B242^2</f>
        <v>-3.2399613077133678</v>
      </c>
      <c r="F242">
        <f>regressions!$V$1*B242</f>
        <v>-3.2637900548524841</v>
      </c>
      <c r="G242">
        <f>regressions!$N$1*B242^2</f>
        <v>-2.9383987498022504</v>
      </c>
      <c r="H242">
        <f>regressions!$R$1*B242^2+regressions!$R$2*B242^6</f>
        <v>-3.1476606608052227</v>
      </c>
      <c r="I242">
        <f>regressions!$P$1*B242^2+regressions!$P$2*B242^7</f>
        <v>-3.0768188868805444</v>
      </c>
      <c r="J242">
        <f>regressions!$T$2+regressions!$T$1*EXP(B242)</f>
        <v>-0.46681537197667256</v>
      </c>
      <c r="K242" s="8">
        <f>(1-EXP(-2*regressions!$X$1*B242))/2/EXP(-regressions!$X$1*B242)</f>
        <v>-2.5658438230759906</v>
      </c>
      <c r="M242" s="33">
        <v>3.482684872916062</v>
      </c>
      <c r="N242">
        <f t="shared" si="52"/>
        <v>-2.4517882562271609</v>
      </c>
      <c r="O242">
        <f>IF($B242&lt;=regressions!$L$2,$B242*regressions!$L$1,regressions!$L$1*regressions!$L$2+regressions!$L$3*($B242-regressions!$L$2))</f>
        <v>-3.2637900456383897</v>
      </c>
      <c r="P242">
        <f>regressions!$J$1*M242+regressions!$J$2*M242^2</f>
        <v>-2.5701795402214564</v>
      </c>
      <c r="Q242">
        <f>regressions!$V$1*M242</f>
        <v>-2.7679677204098407</v>
      </c>
      <c r="R242">
        <f>regressions!$N$1*M242^2</f>
        <v>-2.1134323136993967</v>
      </c>
      <c r="S242">
        <f>regressions!$R$1*M242^2+regressions!$R$2*M242^6</f>
        <v>-2.2822688677193042</v>
      </c>
      <c r="T242">
        <f>regressions!$P$1*M242^2+regressions!$P$2*M242^7</f>
        <v>-2.2208249055654274</v>
      </c>
      <c r="U242">
        <f>regressions!$T$2+regressions!$T$1*EXP(M242)</f>
        <v>-0.24652915516419577</v>
      </c>
      <c r="V242" s="8">
        <f>(1-EXP(-2*regressions!$X$1*M242))/2/EXP(-regressions!$X$1*M242)</f>
        <v>-1.9422288270370602</v>
      </c>
      <c r="X242" s="33">
        <v>2.4456238272150319</v>
      </c>
      <c r="Y242">
        <f t="shared" si="53"/>
        <v>-1.61382763142139</v>
      </c>
      <c r="Z242">
        <f>IF($B242&lt;=regressions!$L$2,$B242*regressions!$L$1,regressions!$L$1*regressions!$L$2+regressions!$L$3*($B242-regressions!$L$2))</f>
        <v>-3.2637900456383897</v>
      </c>
      <c r="AA242">
        <f>regressions!$J$1*X242+regressions!$J$2*X242^2</f>
        <v>-1.5975439012878037</v>
      </c>
      <c r="AB242">
        <f>regressions!$V$1*X242</f>
        <v>-1.9437325101218068</v>
      </c>
      <c r="AC242">
        <f>regressions!$N$1*X242^2</f>
        <v>-1.0421717537912343</v>
      </c>
      <c r="AD242">
        <f>regressions!$R$1*X242^2+regressions!$R$2*X242^6</f>
        <v>-1.1327581207635922</v>
      </c>
      <c r="AE242">
        <f>regressions!$P$1*X242^2+regressions!$P$2*X242^7</f>
        <v>-1.097633132885359</v>
      </c>
      <c r="AF242">
        <f>regressions!$T$2+regressions!$T$1*EXP(X242)</f>
        <v>-8.234894676303281E-2</v>
      </c>
      <c r="AG242" s="8">
        <f>(1-EXP(-2*regressions!$X$1*X242))/2/EXP(-regressions!$X$1*X242)</f>
        <v>-1.1681152118348865</v>
      </c>
      <c r="AH242" s="8"/>
      <c r="AI242" s="33">
        <v>2.0237460906010458</v>
      </c>
      <c r="AJ242">
        <f t="shared" si="54"/>
        <v>-1.1149873602722198</v>
      </c>
      <c r="AK242">
        <f>IF(AI242&lt;=regressions!$L$2,AI242*regressions!$L$1,regressions!$L$1*regressions!$L$2+regressions!$L$3*(AI242-regressions!$L$2))</f>
        <v>-1.6084325862606128</v>
      </c>
      <c r="AL242">
        <f>regressions!$J$1*AI242+regressions!$J$2*AI242^2</f>
        <v>-1.2521808555778398</v>
      </c>
      <c r="AM242">
        <f>regressions!$V$1*AI242</f>
        <v>-1.6084325908014225</v>
      </c>
      <c r="AN242">
        <f>regressions!$N$1*AI242^2</f>
        <v>-0.71362824340358444</v>
      </c>
      <c r="AO242">
        <f>regressions!$R$1*AI242^2+regressions!$R$2*AI242^6</f>
        <v>-0.77651385663764905</v>
      </c>
      <c r="AP242">
        <f>regressions!$P$1*AI242^2+regressions!$P$2*AI242^7</f>
        <v>-0.75182157540714556</v>
      </c>
      <c r="AQ242">
        <f>regressions!$T$2+regressions!$T$1*EXP(AI242)</f>
        <v>-5.1315913397147001E-2</v>
      </c>
      <c r="AR242" s="8">
        <f>(1-EXP(-2*regressions!$X$1*AI242))/2/EXP(-regressions!$X$1*AI242)</f>
        <v>-0.92004237859385096</v>
      </c>
      <c r="AT242" s="33">
        <v>1.534828332118735</v>
      </c>
      <c r="AU242">
        <f t="shared" si="55"/>
        <v>-0.77991254010388322</v>
      </c>
      <c r="AV242">
        <f>IF(AT242&lt;=regressions!$L$2,AT242*regressions!$L$1,regressions!$L$1*regressions!$L$2+regressions!$L$3*(AT242-regressions!$L$2))</f>
        <v>-1.2198506102920321</v>
      </c>
      <c r="AW242">
        <f>regressions!$J$1*AT242+regressions!$J$2*AT242^2</f>
        <v>-0.88833281863411395</v>
      </c>
      <c r="AX242">
        <f>regressions!$V$1*AT242</f>
        <v>-1.2198506137358254</v>
      </c>
      <c r="AY242">
        <f>regressions!$N$1*AT242^2</f>
        <v>-0.41046827775223482</v>
      </c>
      <c r="AZ242">
        <f>regressions!$R$1*AT242^2+regressions!$R$2*AT242^6</f>
        <v>-0.44693017373578608</v>
      </c>
      <c r="BA242">
        <f>regressions!$P$1*AT242^2+regressions!$P$2*AT242^7</f>
        <v>-0.43249553869907342</v>
      </c>
      <c r="BB242">
        <f>regressions!$T$2+regressions!$T$1*EXP(AT242)</f>
        <v>-2.8449513384486542E-2</v>
      </c>
      <c r="BC242" s="8">
        <f>(1-EXP(-2*regressions!$X$1*AT242))/2/EXP(-regressions!$X$1*AT242)</f>
        <v>-0.66612523288784942</v>
      </c>
      <c r="BE242">
        <f t="shared" si="56"/>
        <v>0.61099754842862986</v>
      </c>
      <c r="BF242">
        <f t="shared" si="47"/>
        <v>1.4489581732344008</v>
      </c>
      <c r="BG242">
        <f t="shared" si="48"/>
        <v>1.947798444383571</v>
      </c>
      <c r="BH242">
        <f>BG242+regressions!$AR$1*(AI242-B242)</f>
        <v>-0.24606992465277822</v>
      </c>
      <c r="BI242">
        <f>BG242-regressions!$AO$1*(AI242-B242)</f>
        <v>4.928250824386522</v>
      </c>
      <c r="BJ242">
        <f t="shared" si="49"/>
        <v>2.2828732645519074</v>
      </c>
      <c r="BK242">
        <f>BJ242+regressions!$AR$1*(AT242-B242)</f>
        <v>-0.4259882263782182</v>
      </c>
      <c r="BL242">
        <f>BJ242-regressions!$AO$1*(AT242-B242)</f>
        <v>5.9629630965992853</v>
      </c>
      <c r="BM242">
        <f t="shared" si="57"/>
        <v>0.83796062480577094</v>
      </c>
      <c r="BN242">
        <f t="shared" si="50"/>
        <v>1.3368008959549411</v>
      </c>
      <c r="BO242">
        <f t="shared" si="51"/>
        <v>1.6718757161232776</v>
      </c>
      <c r="BP242">
        <f t="shared" si="58"/>
        <v>0.49884027114917018</v>
      </c>
      <c r="BQ242">
        <f t="shared" si="59"/>
        <v>0.83391509131750674</v>
      </c>
      <c r="BR242">
        <f t="shared" si="60"/>
        <v>0.33507482016833656</v>
      </c>
    </row>
    <row r="243" spans="1:70" x14ac:dyDescent="0.35">
      <c r="A243">
        <f t="shared" si="62"/>
        <v>2090</v>
      </c>
      <c r="B243" s="33">
        <v>4.1678327119434453</v>
      </c>
      <c r="C243">
        <f t="shared" si="61"/>
        <v>-3.1337647953001539</v>
      </c>
      <c r="D243">
        <f>IF($B243&lt;=regressions!$L$2,$B243*regressions!$L$1,regressions!$L$1*regressions!$L$2+regressions!$L$3*($B243-regressions!$L$2))</f>
        <v>-3.312509399823873</v>
      </c>
      <c r="E243">
        <f>regressions!$J$1*B243+regressions!$J$2*B243^2</f>
        <v>-3.3092065820496357</v>
      </c>
      <c r="F243">
        <f>regressions!$V$1*B243</f>
        <v>-3.3125094091755081</v>
      </c>
      <c r="G243">
        <f>regressions!$N$1*B243^2</f>
        <v>-3.0267778155685892</v>
      </c>
      <c r="H243">
        <f>regressions!$R$1*B243^2+regressions!$R$2*B243^6</f>
        <v>-3.2390137385191924</v>
      </c>
      <c r="I243">
        <f>regressions!$P$1*B243^2+regressions!$P$2*B243^7</f>
        <v>-3.1678240229418231</v>
      </c>
      <c r="J243">
        <f>regressions!$T$2+regressions!$T$1*EXP(B243)</f>
        <v>-0.4968200412124395</v>
      </c>
      <c r="K243" s="8">
        <f>(1-EXP(-2*regressions!$X$1*B243))/2/EXP(-regressions!$X$1*B243)</f>
        <v>-2.635356272467908</v>
      </c>
      <c r="M243" s="33">
        <v>3.5213051954255747</v>
      </c>
      <c r="N243">
        <f t="shared" si="52"/>
        <v>-2.4936381205993157</v>
      </c>
      <c r="O243">
        <f>IF($B243&lt;=regressions!$L$2,$B243*regressions!$L$1,regressions!$L$1*regressions!$L$2+regressions!$L$3*($B243-regressions!$L$2))</f>
        <v>-3.312509399823873</v>
      </c>
      <c r="P243">
        <f>regressions!$J$1*M243+regressions!$J$2*M243^2</f>
        <v>-2.6097961108086905</v>
      </c>
      <c r="Q243">
        <f>regressions!$V$1*M243</f>
        <v>-2.7986623740919701</v>
      </c>
      <c r="R243">
        <f>regressions!$N$1*M243^2</f>
        <v>-2.1605649141717764</v>
      </c>
      <c r="S243">
        <f>regressions!$R$1*M243^2+regressions!$R$2*M243^6</f>
        <v>-2.3322612223397647</v>
      </c>
      <c r="T243">
        <f>regressions!$P$1*M243^2+regressions!$P$2*M243^7</f>
        <v>-2.2699976136347888</v>
      </c>
      <c r="U243">
        <f>regressions!$T$2+regressions!$T$1*EXP(M243)</f>
        <v>-0.25654414176200713</v>
      </c>
      <c r="V243" s="8">
        <f>(1-EXP(-2*regressions!$X$1*M243))/2/EXP(-regressions!$X$1*M243)</f>
        <v>-1.9768090278412833</v>
      </c>
      <c r="X243" s="33">
        <v>2.452759934092787</v>
      </c>
      <c r="Y243">
        <f t="shared" si="53"/>
        <v>-1.6252876257851199</v>
      </c>
      <c r="Z243">
        <f>IF($B243&lt;=regressions!$L$2,$B243*regressions!$L$1,regressions!$L$1*regressions!$L$2+regressions!$L$3*($B243-regressions!$L$2))</f>
        <v>-3.312509399823873</v>
      </c>
      <c r="AA243">
        <f>regressions!$J$1*X243+regressions!$J$2*X243^2</f>
        <v>-1.6036359796619859</v>
      </c>
      <c r="AB243">
        <f>regressions!$V$1*X243</f>
        <v>-1.949404143992741</v>
      </c>
      <c r="AC243">
        <f>regressions!$N$1*X243^2</f>
        <v>-1.0482625509546573</v>
      </c>
      <c r="AD243">
        <f>regressions!$R$1*X243^2+regressions!$R$2*X243^6</f>
        <v>-1.1393505651830784</v>
      </c>
      <c r="AE243">
        <f>regressions!$P$1*X243^2+regressions!$P$2*X243^7</f>
        <v>-1.1040404533747135</v>
      </c>
      <c r="AF243">
        <f>regressions!$T$2+regressions!$T$1*EXP(X243)</f>
        <v>-8.2994665150836283E-2</v>
      </c>
      <c r="AG243" s="8">
        <f>(1-EXP(-2*regressions!$X$1*X243))/2/EXP(-regressions!$X$1*X243)</f>
        <v>-1.1725863465427289</v>
      </c>
      <c r="AH243" s="8"/>
      <c r="AI243" s="33">
        <v>2.0232302956770924</v>
      </c>
      <c r="AJ243">
        <f t="shared" si="54"/>
        <v>-1.1146106870744492</v>
      </c>
      <c r="AK243">
        <f>IF(AI243&lt;=regressions!$L$2,AI243*regressions!$L$1,regressions!$L$1*regressions!$L$2+regressions!$L$3*(AI243-regressions!$L$2))</f>
        <v>-1.6080226428554754</v>
      </c>
      <c r="AL243">
        <f>regressions!$J$1*AI243+regressions!$J$2*AI243^2</f>
        <v>-1.251776415933511</v>
      </c>
      <c r="AM243">
        <f>regressions!$V$1*AI243</f>
        <v>-1.6080226473951278</v>
      </c>
      <c r="AN243">
        <f>regressions!$N$1*AI243^2</f>
        <v>-0.71326452295468157</v>
      </c>
      <c r="AO243">
        <f>regressions!$R$1*AI243^2+regressions!$R$2*AI243^6</f>
        <v>-0.77611885497827693</v>
      </c>
      <c r="AP243">
        <f>regressions!$P$1*AI243^2+regressions!$P$2*AI243^7</f>
        <v>-0.751438563074734</v>
      </c>
      <c r="AQ243">
        <f>regressions!$T$2+regressions!$T$1*EXP(AI243)</f>
        <v>-5.1285422009266897E-2</v>
      </c>
      <c r="AR243" s="8">
        <f>(1-EXP(-2*regressions!$X$1*AI243))/2/EXP(-regressions!$X$1*AI243)</f>
        <v>-0.91975712824533584</v>
      </c>
      <c r="AT243" s="33">
        <v>1.5318597164343093</v>
      </c>
      <c r="AU243">
        <f t="shared" si="55"/>
        <v>-0.77801072790949022</v>
      </c>
      <c r="AV243">
        <f>IF(AT243&lt;=regressions!$L$2,AT243*regressions!$L$1,regressions!$L$1*regressions!$L$2+regressions!$L$3*(AT243-regressions!$L$2))</f>
        <v>-1.2174912144048253</v>
      </c>
      <c r="AW243">
        <f>regressions!$J$1*AT243+regressions!$J$2*AT243^2</f>
        <v>-0.88624295129061093</v>
      </c>
      <c r="AX243">
        <f>regressions!$V$1*AT243</f>
        <v>-1.2174912178419579</v>
      </c>
      <c r="AY243">
        <f>regressions!$N$1*AT243^2</f>
        <v>-0.40888198418675248</v>
      </c>
      <c r="AZ243">
        <f>regressions!$R$1*AT243^2+regressions!$R$2*AT243^6</f>
        <v>-0.44520407542010171</v>
      </c>
      <c r="BA243">
        <f>regressions!$P$1*AT243^2+regressions!$P$2*AT243^7</f>
        <v>-0.43082430843138081</v>
      </c>
      <c r="BB243">
        <f>regressions!$T$2+regressions!$T$1*EXP(AT243)</f>
        <v>-2.8342018609916544E-2</v>
      </c>
      <c r="BC243" s="8">
        <f>(1-EXP(-2*regressions!$X$1*AT243))/2/EXP(-regressions!$X$1*AT243)</f>
        <v>-0.66467392875467401</v>
      </c>
      <c r="BE243">
        <f t="shared" si="56"/>
        <v>0.64012667470083828</v>
      </c>
      <c r="BF243">
        <f t="shared" si="47"/>
        <v>1.5084771695150341</v>
      </c>
      <c r="BG243">
        <f t="shared" si="48"/>
        <v>2.0191541082257047</v>
      </c>
      <c r="BH243">
        <f>BG243+regressions!$AR$1*(AI243-B243)</f>
        <v>-0.23982600532626686</v>
      </c>
      <c r="BI243">
        <f>BG243-regressions!$AO$1*(AI243-B243)</f>
        <v>5.0880632327839237</v>
      </c>
      <c r="BJ243">
        <f t="shared" si="49"/>
        <v>2.3557540673906638</v>
      </c>
      <c r="BK243">
        <f>BJ243+regressions!$AR$1*(AT243-B243)</f>
        <v>-0.42080280466669562</v>
      </c>
      <c r="BL243">
        <f>BJ243-regressions!$AO$1*(AT243-B243)</f>
        <v>6.1278106111348309</v>
      </c>
      <c r="BM243">
        <f t="shared" si="57"/>
        <v>0.86835049481419579</v>
      </c>
      <c r="BN243">
        <f t="shared" si="50"/>
        <v>1.3790274335248665</v>
      </c>
      <c r="BO243">
        <f t="shared" si="51"/>
        <v>1.7156273926898256</v>
      </c>
      <c r="BP243">
        <f t="shared" si="58"/>
        <v>0.51067693871067066</v>
      </c>
      <c r="BQ243">
        <f t="shared" si="59"/>
        <v>0.84727689787562965</v>
      </c>
      <c r="BR243">
        <f t="shared" si="60"/>
        <v>0.336599959164959</v>
      </c>
    </row>
    <row r="244" spans="1:70" x14ac:dyDescent="0.35">
      <c r="A244">
        <f t="shared" si="62"/>
        <v>2091</v>
      </c>
      <c r="B244" s="33">
        <v>4.2296794140136988</v>
      </c>
      <c r="C244">
        <f t="shared" si="61"/>
        <v>-3.2062122301139291</v>
      </c>
      <c r="D244">
        <f>IF($B244&lt;=regressions!$L$2,$B244*regressions!$L$1,regressions!$L$1*regressions!$L$2+regressions!$L$3*($B244-regressions!$L$2))</f>
        <v>-3.3616639115605715</v>
      </c>
      <c r="E244">
        <f>regressions!$J$1*B244+regressions!$J$2*B244^2</f>
        <v>-3.3796928445321566</v>
      </c>
      <c r="F244">
        <f>regressions!$V$1*B244</f>
        <v>-3.3616639210509764</v>
      </c>
      <c r="G244">
        <f>regressions!$N$1*B244^2</f>
        <v>-3.1172733543504307</v>
      </c>
      <c r="H244">
        <f>regressions!$R$1*B244^2+regressions!$R$2*B244^6</f>
        <v>-3.3322486192922529</v>
      </c>
      <c r="I244">
        <f>regressions!$P$1*B244^2+regressions!$P$2*B244^7</f>
        <v>-3.2608420380821772</v>
      </c>
      <c r="J244">
        <f>regressions!$T$2+regressions!$T$1*EXP(B244)</f>
        <v>-0.52901535901594943</v>
      </c>
      <c r="K244" s="8">
        <f>(1-EXP(-2*regressions!$X$1*B244))/2/EXP(-regressions!$X$1*B244)</f>
        <v>-2.7071523207435733</v>
      </c>
      <c r="M244" s="33">
        <v>3.5600422380180339</v>
      </c>
      <c r="N244">
        <f t="shared" si="52"/>
        <v>-2.5359657681581891</v>
      </c>
      <c r="O244">
        <f>IF($B244&lt;=regressions!$L$2,$B244*regressions!$L$1,regressions!$L$1*regressions!$L$2+regressions!$L$3*($B244-regressions!$L$2))</f>
        <v>-3.3616639115605715</v>
      </c>
      <c r="P244">
        <f>regressions!$J$1*M244+regressions!$J$2*M244^2</f>
        <v>-2.6497773341044129</v>
      </c>
      <c r="Q244">
        <f>regressions!$V$1*M244</f>
        <v>-2.8294497945427586</v>
      </c>
      <c r="R244">
        <f>regressions!$N$1*M244^2</f>
        <v>-2.2083621022996645</v>
      </c>
      <c r="S244">
        <f>regressions!$R$1*M244^2+regressions!$R$2*M244^6</f>
        <v>-2.3828972919273732</v>
      </c>
      <c r="T244">
        <f>regressions!$P$1*M244^2+regressions!$P$2*M244^7</f>
        <v>-2.3198355384227609</v>
      </c>
      <c r="U244">
        <f>regressions!$T$2+regressions!$T$1*EXP(M244)</f>
        <v>-0.26698554911216321</v>
      </c>
      <c r="V244" s="8">
        <f>(1-EXP(-2*regressions!$X$1*M244))/2/EXP(-regressions!$X$1*M244)</f>
        <v>-2.0119844151053252</v>
      </c>
      <c r="X244" s="33">
        <v>2.4596428445604714</v>
      </c>
      <c r="Y244">
        <f t="shared" si="53"/>
        <v>-1.6366354646186894</v>
      </c>
      <c r="Z244">
        <f>IF($B244&lt;=regressions!$L$2,$B244*regressions!$L$1,regressions!$L$1*regressions!$L$2+regressions!$L$3*($B244-regressions!$L$2))</f>
        <v>-3.3616639115605715</v>
      </c>
      <c r="AA244">
        <f>regressions!$J$1*X244+regressions!$J$2*X244^2</f>
        <v>-1.6095197914137103</v>
      </c>
      <c r="AB244">
        <f>regressions!$V$1*X244</f>
        <v>-1.9548745424618017</v>
      </c>
      <c r="AC244">
        <f>regressions!$N$1*X244^2</f>
        <v>-1.0541540535444083</v>
      </c>
      <c r="AD244">
        <f>regressions!$R$1*X244^2+regressions!$R$2*X244^6</f>
        <v>-1.1457268389592761</v>
      </c>
      <c r="AE244">
        <f>regressions!$P$1*X244^2+regressions!$P$2*X244^7</f>
        <v>-1.1102379745525124</v>
      </c>
      <c r="AF244">
        <f>regressions!$T$2+regressions!$T$1*EXP(X244)</f>
        <v>-8.3621853605092555E-2</v>
      </c>
      <c r="AG244" s="8">
        <f>(1-EXP(-2*regressions!$X$1*X244))/2/EXP(-regressions!$X$1*X244)</f>
        <v>-1.1769082121196162</v>
      </c>
      <c r="AH244" s="8"/>
      <c r="AI244" s="33">
        <v>2.0225463433506028</v>
      </c>
      <c r="AJ244">
        <f t="shared" si="54"/>
        <v>-1.1141112888210587</v>
      </c>
      <c r="AK244">
        <f>IF(AI244&lt;=regressions!$L$2,AI244*regressions!$L$1,regressions!$L$1*regressions!$L$2+regressions!$L$3*(AI244-regressions!$L$2))</f>
        <v>-1.6074790513375059</v>
      </c>
      <c r="AL244">
        <f>regressions!$J$1*AI244+regressions!$J$2*AI244^2</f>
        <v>-1.2512401895583918</v>
      </c>
      <c r="AM244">
        <f>regressions!$V$1*AI244</f>
        <v>-1.6074790558756236</v>
      </c>
      <c r="AN244">
        <f>regressions!$N$1*AI244^2</f>
        <v>-0.71278236679675355</v>
      </c>
      <c r="AO244">
        <f>regressions!$R$1*AI244^2+regressions!$R$2*AI244^6</f>
        <v>-0.77559522991562735</v>
      </c>
      <c r="AP244">
        <f>regressions!$P$1*AI244^2+regressions!$P$2*AI244^7</f>
        <v>-0.75093083267455341</v>
      </c>
      <c r="AQ244">
        <f>regressions!$T$2+regressions!$T$1*EXP(AI244)</f>
        <v>-5.1245014187321802E-2</v>
      </c>
      <c r="AR244" s="8">
        <f>(1-EXP(-2*regressions!$X$1*AI244))/2/EXP(-regressions!$X$1*AI244)</f>
        <v>-0.91937894422815658</v>
      </c>
      <c r="AT244" s="33">
        <v>1.528856768744842</v>
      </c>
      <c r="AU244">
        <f t="shared" si="55"/>
        <v>-0.77608853074721806</v>
      </c>
      <c r="AV244">
        <f>IF(AT244&lt;=regressions!$L$2,AT244*regressions!$L$1,regressions!$L$1*regressions!$L$2+regressions!$L$3*(AT244-regressions!$L$2))</f>
        <v>-1.2151045321322778</v>
      </c>
      <c r="AW244">
        <f>regressions!$J$1*AT244+regressions!$J$2*AT244^2</f>
        <v>-0.88413038032206237</v>
      </c>
      <c r="AX244">
        <f>regressions!$V$1*AT244</f>
        <v>-1.2151045355626722</v>
      </c>
      <c r="AY244">
        <f>regressions!$N$1*AT244^2</f>
        <v>-0.40728046976491977</v>
      </c>
      <c r="AZ244">
        <f>regressions!$R$1*AT244^2+regressions!$R$2*AT244^6</f>
        <v>-0.44346140175952398</v>
      </c>
      <c r="BA244">
        <f>regressions!$P$1*AT244^2+regressions!$P$2*AT244^7</f>
        <v>-0.4291370397139897</v>
      </c>
      <c r="BB244">
        <f>regressions!$T$2+regressions!$T$1*EXP(AT244)</f>
        <v>-2.8233604842201866E-2</v>
      </c>
      <c r="BC244" s="8">
        <f>(1-EXP(-2*regressions!$X$1*AT244))/2/EXP(-regressions!$X$1*AT244)</f>
        <v>-0.66320682755546234</v>
      </c>
      <c r="BE244">
        <f t="shared" si="56"/>
        <v>0.67024646195574</v>
      </c>
      <c r="BF244">
        <f t="shared" si="47"/>
        <v>1.5695767654952397</v>
      </c>
      <c r="BG244">
        <f t="shared" si="48"/>
        <v>2.0921009412928706</v>
      </c>
      <c r="BH244">
        <f>BG244+regressions!$AR$1*(AI244-B244)</f>
        <v>-0.23274476286845669</v>
      </c>
      <c r="BI244">
        <f>BG244-regressions!$AO$1*(AI244-B244)</f>
        <v>5.250490938570076</v>
      </c>
      <c r="BJ244">
        <f t="shared" si="49"/>
        <v>2.4301236993667112</v>
      </c>
      <c r="BK244">
        <f>BJ244+regressions!$AR$1*(AT244-B244)</f>
        <v>-0.41474143722811796</v>
      </c>
      <c r="BL244">
        <f>BJ244-regressions!$AO$1*(AT244-B244)</f>
        <v>6.2949795798842141</v>
      </c>
      <c r="BM244">
        <f t="shared" si="57"/>
        <v>0.89933030353949972</v>
      </c>
      <c r="BN244">
        <f t="shared" si="50"/>
        <v>1.4218544793371304</v>
      </c>
      <c r="BO244">
        <f t="shared" si="51"/>
        <v>1.759877237410971</v>
      </c>
      <c r="BP244">
        <f t="shared" si="58"/>
        <v>0.52252417579763066</v>
      </c>
      <c r="BQ244">
        <f t="shared" si="59"/>
        <v>0.8605469338714713</v>
      </c>
      <c r="BR244">
        <f t="shared" si="60"/>
        <v>0.33802275807384063</v>
      </c>
    </row>
    <row r="245" spans="1:70" x14ac:dyDescent="0.35">
      <c r="A245">
        <f t="shared" si="62"/>
        <v>2092</v>
      </c>
      <c r="B245" s="33">
        <v>4.2920725297021187</v>
      </c>
      <c r="C245">
        <f t="shared" si="61"/>
        <v>-3.2801526302255208</v>
      </c>
      <c r="D245">
        <f>IF($B245&lt;=regressions!$L$2,$B245*regressions!$L$1,regressions!$L$1*regressions!$L$2+regressions!$L$3*($B245-regressions!$L$2))</f>
        <v>-3.4112527018231771</v>
      </c>
      <c r="E245">
        <f>regressions!$J$1*B245+regressions!$J$2*B245^2</f>
        <v>-3.4514354238526961</v>
      </c>
      <c r="F245">
        <f>regressions!$V$1*B245</f>
        <v>-3.4112527114535771</v>
      </c>
      <c r="G245">
        <f>regressions!$N$1*B245^2</f>
        <v>-3.2099191138306828</v>
      </c>
      <c r="H245">
        <f>regressions!$R$1*B245^2+regressions!$R$2*B245^6</f>
        <v>-3.4273685952207353</v>
      </c>
      <c r="I245">
        <f>regressions!$P$1*B245^2+regressions!$P$2*B245^7</f>
        <v>-3.3558878226322797</v>
      </c>
      <c r="J245">
        <f>regressions!$T$2+regressions!$T$1*EXP(B245)</f>
        <v>-0.56357684489605719</v>
      </c>
      <c r="K245" s="8">
        <f>(1-EXP(-2*regressions!$X$1*B245))/2/EXP(-regressions!$X$1*B245)</f>
        <v>-2.7813210998176348</v>
      </c>
      <c r="M245" s="33">
        <v>3.5988957585428607</v>
      </c>
      <c r="N245">
        <f t="shared" si="52"/>
        <v>-2.5787746099351732</v>
      </c>
      <c r="O245">
        <f>IF($B245&lt;=regressions!$L$2,$B245*regressions!$L$1,regressions!$L$1*regressions!$L$2+regressions!$L$3*($B245-regressions!$L$2))</f>
        <v>-3.4112527018231771</v>
      </c>
      <c r="P245">
        <f>regressions!$J$1*M245+regressions!$J$2*M245^2</f>
        <v>-2.6901251751657131</v>
      </c>
      <c r="Q245">
        <f>regressions!$V$1*M245</f>
        <v>-2.8603297893058088</v>
      </c>
      <c r="R245">
        <f>regressions!$N$1*M245^2</f>
        <v>-2.2568283013578339</v>
      </c>
      <c r="S245">
        <f>regressions!$R$1*M245^2+regressions!$R$2*M245^6</f>
        <v>-2.4341777913366847</v>
      </c>
      <c r="T245">
        <f>regressions!$P$1*M245^2+regressions!$P$2*M245^7</f>
        <v>-2.370341140908228</v>
      </c>
      <c r="U245">
        <f>regressions!$T$2+regressions!$T$1*EXP(M245)</f>
        <v>-0.27787263614513308</v>
      </c>
      <c r="V245" s="8">
        <f>(1-EXP(-2*regressions!$X$1*M245))/2/EXP(-regressions!$X$1*M245)</f>
        <v>-2.0477679902255463</v>
      </c>
      <c r="X245" s="33">
        <v>2.4662773542309506</v>
      </c>
      <c r="Y245">
        <f t="shared" si="53"/>
        <v>-1.6478734320681365</v>
      </c>
      <c r="Z245">
        <f>IF($B245&lt;=regressions!$L$2,$B245*regressions!$L$1,regressions!$L$1*regressions!$L$2+regressions!$L$3*($B245-regressions!$L$2))</f>
        <v>-3.4112527018231771</v>
      </c>
      <c r="AA245">
        <f>regressions!$J$1*X245+regressions!$J$2*X245^2</f>
        <v>-1.6151985893048564</v>
      </c>
      <c r="AB245">
        <f>regressions!$V$1*X245</f>
        <v>-1.9601475169854075</v>
      </c>
      <c r="AC245">
        <f>regressions!$N$1*X245^2</f>
        <v>-1.0598485612843567</v>
      </c>
      <c r="AD245">
        <f>regressions!$R$1*X245^2+regressions!$R$2*X245^6</f>
        <v>-1.1518894744498458</v>
      </c>
      <c r="AE245">
        <f>regressions!$P$1*X245^2+regressions!$P$2*X245^7</f>
        <v>-1.1162281291051994</v>
      </c>
      <c r="AF245">
        <f>regressions!$T$2+regressions!$T$1*EXP(X245)</f>
        <v>-8.4230506897772922E-2</v>
      </c>
      <c r="AG245" s="8">
        <f>(1-EXP(-2*regressions!$X$1*X245))/2/EXP(-regressions!$X$1*X245)</f>
        <v>-1.1810828457558409</v>
      </c>
      <c r="AH245" s="8"/>
      <c r="AI245" s="33">
        <v>2.0217010977495606</v>
      </c>
      <c r="AJ245">
        <f t="shared" si="54"/>
        <v>-1.1134942402119641</v>
      </c>
      <c r="AK245">
        <f>IF(AI245&lt;=regressions!$L$2,AI245*regressions!$L$1,regressions!$L$1*regressions!$L$2+regressions!$L$3*(AI245-regressions!$L$2))</f>
        <v>-1.6068072671772184</v>
      </c>
      <c r="AL245">
        <f>regressions!$J$1*AI245+regressions!$J$2*AI245^2</f>
        <v>-1.2505776130723376</v>
      </c>
      <c r="AM245">
        <f>regressions!$V$1*AI245</f>
        <v>-1.6068072717134394</v>
      </c>
      <c r="AN245">
        <f>regressions!$N$1*AI245^2</f>
        <v>-0.71218673122961385</v>
      </c>
      <c r="AO245">
        <f>regressions!$R$1*AI245^2+regressions!$R$2*AI245^6</f>
        <v>-0.77494836254067323</v>
      </c>
      <c r="AP245">
        <f>regressions!$P$1*AI245^2+regressions!$P$2*AI245^7</f>
        <v>-0.75030360300318089</v>
      </c>
      <c r="AQ245">
        <f>regressions!$T$2+regressions!$T$1*EXP(AI245)</f>
        <v>-5.1195115344616487E-2</v>
      </c>
      <c r="AR245" s="8">
        <f>(1-EXP(-2*regressions!$X$1*AI245))/2/EXP(-regressions!$X$1*AI245)</f>
        <v>-0.91891167327176204</v>
      </c>
      <c r="AT245" s="33">
        <v>1.5258223272100671</v>
      </c>
      <c r="AU245">
        <f t="shared" si="55"/>
        <v>-0.77414781817232881</v>
      </c>
      <c r="AV245">
        <f>IF(AT245&lt;=regressions!$L$2,AT245*regressions!$L$1,regressions!$L$1*regressions!$L$2+regressions!$L$3*(AT245-regressions!$L$2))</f>
        <v>-1.2126928191865172</v>
      </c>
      <c r="AW245">
        <f>regressions!$J$1*AT245+regressions!$J$2*AT245^2</f>
        <v>-0.88199715082505847</v>
      </c>
      <c r="AX245">
        <f>regressions!$V$1*AT245</f>
        <v>-1.2126928226101032</v>
      </c>
      <c r="AY245">
        <f>regressions!$N$1*AT245^2</f>
        <v>-0.40566535141463594</v>
      </c>
      <c r="AZ245">
        <f>regressions!$R$1*AT245^2+regressions!$R$2*AT245^6</f>
        <v>-0.44170391189834324</v>
      </c>
      <c r="BA245">
        <f>regressions!$P$1*AT245^2+regressions!$P$2*AT245^7</f>
        <v>-0.42743543599931499</v>
      </c>
      <c r="BB245">
        <f>regressions!$T$2+regressions!$T$1*EXP(AT245)</f>
        <v>-2.8124384270345332E-2</v>
      </c>
      <c r="BC245" s="8">
        <f>(1-EXP(-2*regressions!$X$1*AT245))/2/EXP(-regressions!$X$1*AT245)</f>
        <v>-0.66172534629580704</v>
      </c>
      <c r="BE245">
        <f t="shared" si="56"/>
        <v>0.70137802029034768</v>
      </c>
      <c r="BF245">
        <f t="shared" si="47"/>
        <v>1.6322791981573843</v>
      </c>
      <c r="BG245">
        <f t="shared" si="48"/>
        <v>2.1666583900135565</v>
      </c>
      <c r="BH245">
        <f>BG245+regressions!$AR$1*(AI245-B245)</f>
        <v>-0.2247983556550408</v>
      </c>
      <c r="BI245">
        <f>BG245-regressions!$AO$1*(AI245-B245)</f>
        <v>5.4155419829853955</v>
      </c>
      <c r="BJ245">
        <f t="shared" si="49"/>
        <v>2.5060048120531921</v>
      </c>
      <c r="BK245">
        <f>BJ245+regressions!$AR$1*(AT245-B245)</f>
        <v>-0.40777731797802108</v>
      </c>
      <c r="BL245">
        <f>BJ245-regressions!$AO$1*(AT245-B245)</f>
        <v>6.4644870103612844</v>
      </c>
      <c r="BM245">
        <f t="shared" si="57"/>
        <v>0.93090117786703663</v>
      </c>
      <c r="BN245">
        <f t="shared" si="50"/>
        <v>1.4652803697232091</v>
      </c>
      <c r="BO245">
        <f t="shared" si="51"/>
        <v>1.8046267917628445</v>
      </c>
      <c r="BP245">
        <f t="shared" si="58"/>
        <v>0.53437919185617244</v>
      </c>
      <c r="BQ245">
        <f t="shared" si="59"/>
        <v>0.87372561389580772</v>
      </c>
      <c r="BR245">
        <f t="shared" si="60"/>
        <v>0.33934642203963528</v>
      </c>
    </row>
    <row r="246" spans="1:70" x14ac:dyDescent="0.35">
      <c r="A246">
        <f t="shared" si="62"/>
        <v>2093</v>
      </c>
      <c r="B246" s="33">
        <v>4.3550108624892161</v>
      </c>
      <c r="C246">
        <f t="shared" si="61"/>
        <v>-3.3556106997669541</v>
      </c>
      <c r="D246">
        <f>IF($B246&lt;=regressions!$L$2,$B246*regressions!$L$1,regressions!$L$1*regressions!$L$2+regressions!$L$3*($B246-regressions!$L$2))</f>
        <v>-3.4612748196421257</v>
      </c>
      <c r="E246">
        <f>regressions!$J$1*B246+regressions!$J$2*B246^2</f>
        <v>-3.5244496447190081</v>
      </c>
      <c r="F246">
        <f>regressions!$V$1*B246</f>
        <v>-3.4612748294137443</v>
      </c>
      <c r="G246">
        <f>regressions!$N$1*B246^2</f>
        <v>-3.304748920683291</v>
      </c>
      <c r="H246">
        <f>regressions!$R$1*B246^2+regressions!$R$2*B246^6</f>
        <v>-3.524374666770246</v>
      </c>
      <c r="I246">
        <f>regressions!$P$1*B246^2+regressions!$P$2*B246^7</f>
        <v>-3.4529745473607072</v>
      </c>
      <c r="J246">
        <f>regressions!$T$2+regressions!$T$1*EXP(B246)</f>
        <v>-0.60069510249227343</v>
      </c>
      <c r="K246" s="8">
        <f>(1-EXP(-2*regressions!$X$1*B246))/2/EXP(-regressions!$X$1*B246)</f>
        <v>-2.8579554779274723</v>
      </c>
      <c r="M246" s="33">
        <v>3.6378655274848115</v>
      </c>
      <c r="N246">
        <f t="shared" si="52"/>
        <v>-2.6220680757270265</v>
      </c>
      <c r="O246">
        <f>IF($B246&lt;=regressions!$L$2,$B246*regressions!$L$1,regressions!$L$1*regressions!$L$2+regressions!$L$3*($B246-regressions!$L$2))</f>
        <v>-3.4612748196421257</v>
      </c>
      <c r="P246">
        <f>regressions!$J$1*M246+regressions!$J$2*M246^2</f>
        <v>-2.7308416128022892</v>
      </c>
      <c r="Q246">
        <f>regressions!$V$1*M246</f>
        <v>-2.8913021759670321</v>
      </c>
      <c r="R246">
        <f>regressions!$N$1*M246^2</f>
        <v>-2.3059679517283578</v>
      </c>
      <c r="S246">
        <f>regressions!$R$1*M246^2+regressions!$R$2*M246^6</f>
        <v>-2.4861032768821567</v>
      </c>
      <c r="T246">
        <f>regressions!$P$1*M246^2+regressions!$P$2*M246^7</f>
        <v>-2.42151678021798</v>
      </c>
      <c r="U246">
        <f>regressions!$T$2+regressions!$T$1*EXP(M246)</f>
        <v>-0.28922557830934731</v>
      </c>
      <c r="V246" s="8">
        <f>(1-EXP(-2*regressions!$X$1*M246))/2/EXP(-regressions!$X$1*M246)</f>
        <v>-2.084173051976129</v>
      </c>
      <c r="X246" s="33">
        <v>2.4726682173580876</v>
      </c>
      <c r="Y246">
        <f t="shared" si="53"/>
        <v>-1.659003833041496</v>
      </c>
      <c r="Z246">
        <f>IF($B246&lt;=regressions!$L$2,$B246*regressions!$L$1,regressions!$L$1*regressions!$L$2+regressions!$L$3*($B246-regressions!$L$2))</f>
        <v>-3.4612748196421257</v>
      </c>
      <c r="AA246">
        <f>regressions!$J$1*X246+regressions!$J$2*X246^2</f>
        <v>-1.6206756420866086</v>
      </c>
      <c r="AB246">
        <f>regressions!$V$1*X246</f>
        <v>-1.9652268461486748</v>
      </c>
      <c r="AC246">
        <f>regressions!$N$1*X246^2</f>
        <v>-1.0653484479571094</v>
      </c>
      <c r="AD246">
        <f>regressions!$R$1*X246^2+regressions!$R$2*X246^6</f>
        <v>-1.1578410824134178</v>
      </c>
      <c r="AE246">
        <f>regressions!$P$1*X246^2+regressions!$P$2*X246^7</f>
        <v>-1.1220134271385915</v>
      </c>
      <c r="AF246">
        <f>regressions!$T$2+regressions!$T$1*EXP(X246)</f>
        <v>-8.4820638710385671E-2</v>
      </c>
      <c r="AG246" s="8">
        <f>(1-EXP(-2*regressions!$X$1*X246))/2/EXP(-regressions!$X$1*X246)</f>
        <v>-1.1851123128782521</v>
      </c>
      <c r="AH246" s="8"/>
      <c r="AI246" s="33">
        <v>2.0207012245567157</v>
      </c>
      <c r="AJ246">
        <f t="shared" si="54"/>
        <v>-1.1127644817594087</v>
      </c>
      <c r="AK246">
        <f>IF(AI246&lt;=regressions!$L$2,AI246*regressions!$L$1,regressions!$L$1*regressions!$L$2+regressions!$L$3*(AI246-regressions!$L$2))</f>
        <v>-1.6060125881248564</v>
      </c>
      <c r="AL246">
        <f>regressions!$J$1*AI246+regressions!$J$2*AI246^2</f>
        <v>-1.2497939769168565</v>
      </c>
      <c r="AM246">
        <f>regressions!$V$1*AI246</f>
        <v>-1.606012592658834</v>
      </c>
      <c r="AN246">
        <f>regressions!$N$1*AI246^2</f>
        <v>-0.7114824527081246</v>
      </c>
      <c r="AO246">
        <f>regressions!$R$1*AI246^2+regressions!$R$2*AI246^6</f>
        <v>-0.77418350354383725</v>
      </c>
      <c r="AP246">
        <f>regressions!$P$1*AI246^2+regressions!$P$2*AI246^7</f>
        <v>-0.74956196659031871</v>
      </c>
      <c r="AQ246">
        <f>regressions!$T$2+regressions!$T$1*EXP(AI246)</f>
        <v>-5.1136142534674557E-2</v>
      </c>
      <c r="AR246" s="8">
        <f>(1-EXP(-2*regressions!$X$1*AI246))/2/EXP(-regressions!$X$1*AI246)</f>
        <v>-0.91835906108799226</v>
      </c>
      <c r="AT246" s="33">
        <v>1.5227590923202803</v>
      </c>
      <c r="AU246">
        <f t="shared" si="55"/>
        <v>-0.77219036616740688</v>
      </c>
      <c r="AV246">
        <f>IF(AT246&lt;=regressions!$L$2,AT246*regressions!$L$1,regressions!$L$1*regressions!$L$2+regressions!$L$3*(AT246-regressions!$L$2))</f>
        <v>-1.2102582218627786</v>
      </c>
      <c r="AW246">
        <f>regressions!$J$1*AT246+regressions!$J$2*AT246^2</f>
        <v>-0.87984520610257633</v>
      </c>
      <c r="AX246">
        <f>regressions!$V$1*AT246</f>
        <v>-1.2102582252794916</v>
      </c>
      <c r="AY246">
        <f>regressions!$N$1*AT246^2</f>
        <v>-0.40403816210429411</v>
      </c>
      <c r="AZ246">
        <f>regressions!$R$1*AT246^2+regressions!$R$2*AT246^6</f>
        <v>-0.43993327367202406</v>
      </c>
      <c r="BA246">
        <f>regressions!$P$1*AT246^2+regressions!$P$2*AT246^7</f>
        <v>-0.42572111229499626</v>
      </c>
      <c r="BB246">
        <f>regressions!$T$2+regressions!$T$1*EXP(AT246)</f>
        <v>-2.8014462963939508E-2</v>
      </c>
      <c r="BC246" s="8">
        <f>(1-EXP(-2*regressions!$X$1*AT246))/2/EXP(-regressions!$X$1*AT246)</f>
        <v>-0.66023083126216331</v>
      </c>
      <c r="BE246">
        <f t="shared" si="56"/>
        <v>0.73354262403992765</v>
      </c>
      <c r="BF246">
        <f t="shared" si="47"/>
        <v>1.6966068667254581</v>
      </c>
      <c r="BG246">
        <f t="shared" si="48"/>
        <v>2.2428462180075455</v>
      </c>
      <c r="BH246">
        <f>BG246+regressions!$AR$1*(AI246-B246)</f>
        <v>-0.21595873855057146</v>
      </c>
      <c r="BI246">
        <f>BG246-regressions!$AO$1*(AI246-B246)</f>
        <v>5.583224878900336</v>
      </c>
      <c r="BJ246">
        <f t="shared" si="49"/>
        <v>2.5834203335995474</v>
      </c>
      <c r="BK246">
        <f>BJ246+regressions!$AR$1*(AT246-B246)</f>
        <v>-0.39988341391865223</v>
      </c>
      <c r="BL246">
        <f>BJ246-regressions!$AO$1*(AT246-B246)</f>
        <v>6.6363502541252481</v>
      </c>
      <c r="BM246">
        <f t="shared" si="57"/>
        <v>0.96306424268553048</v>
      </c>
      <c r="BN246">
        <f t="shared" si="50"/>
        <v>1.5093035939676178</v>
      </c>
      <c r="BO246">
        <f t="shared" si="51"/>
        <v>1.8498777095596197</v>
      </c>
      <c r="BP246">
        <f t="shared" si="58"/>
        <v>0.54623935128208734</v>
      </c>
      <c r="BQ246">
        <f t="shared" si="59"/>
        <v>0.88681346687408913</v>
      </c>
      <c r="BR246">
        <f t="shared" si="60"/>
        <v>0.34057411559200179</v>
      </c>
    </row>
    <row r="247" spans="1:70" x14ac:dyDescent="0.35">
      <c r="A247">
        <f t="shared" si="62"/>
        <v>2094</v>
      </c>
      <c r="B247" s="33">
        <v>4.4184931266435763</v>
      </c>
      <c r="C247">
        <f t="shared" si="61"/>
        <v>-3.4326113173947181</v>
      </c>
      <c r="D247">
        <f>IF($B247&lt;=regressions!$L$2,$B247*regressions!$L$1,regressions!$L$1*regressions!$L$2+regressions!$L$3*($B247-regressions!$L$2))</f>
        <v>-3.5117292431440146</v>
      </c>
      <c r="E247">
        <f>regressions!$J$1*B247+regressions!$J$2*B247^2</f>
        <v>-3.5987508237100947</v>
      </c>
      <c r="F247">
        <f>regressions!$V$1*B247</f>
        <v>-3.5117292530580726</v>
      </c>
      <c r="G247">
        <f>regressions!$N$1*B247^2</f>
        <v>-3.4017966704720553</v>
      </c>
      <c r="H247">
        <f>regressions!$R$1*B247^2+regressions!$R$2*B247^6</f>
        <v>-3.6232653843252085</v>
      </c>
      <c r="I247">
        <f>regressions!$P$1*B247^2+regressions!$P$2*B247^7</f>
        <v>-3.5521135113162394</v>
      </c>
      <c r="J247">
        <f>regressions!$T$2+regressions!$T$1*EXP(B247)</f>
        <v>-0.64057719007693958</v>
      </c>
      <c r="K247" s="8">
        <f>(1-EXP(-2*regressions!$X$1*B247))/2/EXP(-regressions!$X$1*B247)</f>
        <v>-2.9371522219558583</v>
      </c>
      <c r="M247" s="33">
        <v>3.6769513269559697</v>
      </c>
      <c r="N247">
        <f t="shared" si="52"/>
        <v>-2.6658496135614604</v>
      </c>
      <c r="O247">
        <f>IF($B247&lt;=regressions!$L$2,$B247*regressions!$L$1,regressions!$L$1*regressions!$L$2+regressions!$L$3*($B247-regressions!$L$2))</f>
        <v>-3.5117292431440146</v>
      </c>
      <c r="P247">
        <f>regressions!$J$1*M247+regressions!$J$2*M247^2</f>
        <v>-2.7719286388712026</v>
      </c>
      <c r="Q247">
        <f>regressions!$V$1*M247</f>
        <v>-2.9223667813535057</v>
      </c>
      <c r="R247">
        <f>regressions!$N$1*M247^2</f>
        <v>-2.3557855103713141</v>
      </c>
      <c r="S247">
        <f>regressions!$R$1*M247^2+regressions!$R$2*M247^6</f>
        <v>-2.5386741394419339</v>
      </c>
      <c r="T247">
        <f>regressions!$P$1*M247^2+regressions!$P$2*M247^7</f>
        <v>-2.4733647074728942</v>
      </c>
      <c r="U247">
        <f>regressions!$T$2+regressions!$T$1*EXP(M247)</f>
        <v>-0.30106551306990786</v>
      </c>
      <c r="V247" s="8">
        <f>(1-EXP(-2*regressions!$X$1*M247))/2/EXP(-regressions!$X$1*M247)</f>
        <v>-2.1212132029987476</v>
      </c>
      <c r="X247" s="33">
        <v>2.4788201445104359</v>
      </c>
      <c r="Y247">
        <f t="shared" si="53"/>
        <v>-1.6700289892915297</v>
      </c>
      <c r="Z247">
        <f>IF($B247&lt;=regressions!$L$2,$B247*regressions!$L$1,regressions!$L$1*regressions!$L$2+regressions!$L$3*($B247-regressions!$L$2))</f>
        <v>-3.5117292431440146</v>
      </c>
      <c r="AA247">
        <f>regressions!$J$1*X247+regressions!$J$2*X247^2</f>
        <v>-1.6259542303657928</v>
      </c>
      <c r="AB247">
        <f>regressions!$V$1*X247</f>
        <v>-1.9701162738165174</v>
      </c>
      <c r="AC247">
        <f>regressions!$N$1*X247^2</f>
        <v>-1.0706561548398392</v>
      </c>
      <c r="AD247">
        <f>regressions!$R$1*X247^2+regressions!$R$2*X247^6</f>
        <v>-1.1635843448899812</v>
      </c>
      <c r="AE247">
        <f>regressions!$P$1*X247^2+regressions!$P$2*X247^7</f>
        <v>-1.1275964492607444</v>
      </c>
      <c r="AF247">
        <f>regressions!$T$2+regressions!$T$1*EXP(X247)</f>
        <v>-8.5392280898462014E-2</v>
      </c>
      <c r="AG247" s="8">
        <f>(1-EXP(-2*regressions!$X$1*X247))/2/EXP(-regressions!$X$1*X247)</f>
        <v>-1.1889987039503911</v>
      </c>
      <c r="AH247" s="8"/>
      <c r="AI247" s="33">
        <v>2.0195531940154958</v>
      </c>
      <c r="AJ247">
        <f t="shared" si="54"/>
        <v>-1.1119268201706682</v>
      </c>
      <c r="AK247">
        <f>IF(AI247&lt;=regressions!$L$2,AI247*regressions!$L$1,regressions!$L$1*regressions!$L$2+regressions!$L$3*(AI247-regressions!$L$2))</f>
        <v>-1.6051001565994309</v>
      </c>
      <c r="AL247">
        <f>regressions!$J$1*AI247+regressions!$J$2*AI247^2</f>
        <v>-1.2488944261249899</v>
      </c>
      <c r="AM247">
        <f>regressions!$V$1*AI247</f>
        <v>-1.6051001611308329</v>
      </c>
      <c r="AN247">
        <f>regressions!$N$1*AI247^2</f>
        <v>-0.71067424657840483</v>
      </c>
      <c r="AO247">
        <f>regressions!$R$1*AI247^2+regressions!$R$2*AI247^6</f>
        <v>-0.77330577188825622</v>
      </c>
      <c r="AP247">
        <f>regressions!$P$1*AI247^2+regressions!$P$2*AI247^7</f>
        <v>-0.7487108883801975</v>
      </c>
      <c r="AQ247">
        <f>regressions!$T$2+regressions!$T$1*EXP(AI247)</f>
        <v>-5.1068504040108292E-2</v>
      </c>
      <c r="AR247" s="8">
        <f>(1-EXP(-2*regressions!$X$1*AI247))/2/EXP(-regressions!$X$1*AI247)</f>
        <v>-0.91772475253075014</v>
      </c>
      <c r="AT247" s="33">
        <v>1.5196696332514696</v>
      </c>
      <c r="AU247">
        <f t="shared" si="55"/>
        <v>-0.77021786142930426</v>
      </c>
      <c r="AV247">
        <f>IF(AT247&lt;=regressions!$L$2,AT247*regressions!$L$1,regressions!$L$1*regressions!$L$2+regressions!$L$3*(AT247-regressions!$L$2))</f>
        <v>-1.207802782090333</v>
      </c>
      <c r="AW247">
        <f>regressions!$J$1*AT247+regressions!$J$2*AT247^2</f>
        <v>-0.87767639233177608</v>
      </c>
      <c r="AX247">
        <f>regressions!$V$1*AT247</f>
        <v>-1.2078027855001139</v>
      </c>
      <c r="AY247">
        <f>regressions!$N$1*AT247^2</f>
        <v>-0.40240035465197033</v>
      </c>
      <c r="AZ247">
        <f>regressions!$R$1*AT247^2+regressions!$R$2*AT247^6</f>
        <v>-0.43815106774936224</v>
      </c>
      <c r="BA247">
        <f>regressions!$P$1*AT247^2+regressions!$P$2*AT247^7</f>
        <v>-0.42399559917645085</v>
      </c>
      <c r="BB247">
        <f>regressions!$T$2+regressions!$T$1*EXP(AT247)</f>
        <v>-2.7903941153717186E-2</v>
      </c>
      <c r="BC247" s="8">
        <f>(1-EXP(-2*regressions!$X$1*AT247))/2/EXP(-regressions!$X$1*AT247)</f>
        <v>-0.65872456127579626</v>
      </c>
      <c r="BE247">
        <f t="shared" si="56"/>
        <v>0.7667617038332577</v>
      </c>
      <c r="BF247">
        <f t="shared" si="47"/>
        <v>1.7625823281031885</v>
      </c>
      <c r="BG247">
        <f t="shared" si="48"/>
        <v>2.3206844972240499</v>
      </c>
      <c r="BH247">
        <f>BG247+regressions!$AR$1*(AI247-B247)</f>
        <v>-0.20619766998297351</v>
      </c>
      <c r="BI247">
        <f>BG247-regressions!$AO$1*(AI247-B247)</f>
        <v>5.7535485995253506</v>
      </c>
      <c r="BJ247">
        <f t="shared" si="49"/>
        <v>2.6623934559654137</v>
      </c>
      <c r="BK247">
        <f>BJ247+regressions!$AR$1*(AT247-B247)</f>
        <v>-0.39103247258988505</v>
      </c>
      <c r="BL247">
        <f>BJ247-regressions!$AO$1*(AT247-B247)</f>
        <v>6.8105869867936866</v>
      </c>
      <c r="BM247">
        <f t="shared" si="57"/>
        <v>0.99582062426993079</v>
      </c>
      <c r="BN247">
        <f t="shared" si="50"/>
        <v>1.5539227933907922</v>
      </c>
      <c r="BO247">
        <f t="shared" si="51"/>
        <v>1.8956317521321562</v>
      </c>
      <c r="BP247">
        <f t="shared" si="58"/>
        <v>0.55810216912086141</v>
      </c>
      <c r="BQ247">
        <f t="shared" si="59"/>
        <v>0.89981112786222539</v>
      </c>
      <c r="BR247">
        <f t="shared" si="60"/>
        <v>0.34170895874136398</v>
      </c>
    </row>
    <row r="248" spans="1:70" x14ac:dyDescent="0.35">
      <c r="A248">
        <f t="shared" si="62"/>
        <v>2095</v>
      </c>
      <c r="B248" s="33">
        <v>4.4825179485793019</v>
      </c>
      <c r="C248">
        <f t="shared" si="61"/>
        <v>-3.5111795272139075</v>
      </c>
      <c r="D248">
        <f>IF($B248&lt;=regressions!$L$2,$B248*regressions!$L$1,regressions!$L$1*regressions!$L$2+regressions!$L$3*($B248-regressions!$L$2))</f>
        <v>-3.5626148806304689</v>
      </c>
      <c r="E248">
        <f>regressions!$J$1*B248+regressions!$J$2*B248^2</f>
        <v>-3.6743542651525791</v>
      </c>
      <c r="F248">
        <f>regressions!$V$1*B248</f>
        <v>-3.5626148906881836</v>
      </c>
      <c r="G248">
        <f>regressions!$N$1*B248^2</f>
        <v>-3.5010963175476757</v>
      </c>
      <c r="H248">
        <f>regressions!$R$1*B248^2+regressions!$R$2*B248^6</f>
        <v>-3.7240366821563984</v>
      </c>
      <c r="I248">
        <f>regressions!$P$1*B248^2+regressions!$P$2*B248^7</f>
        <v>-3.6533139799513012</v>
      </c>
      <c r="J248">
        <f>regressions!$T$2+regressions!$T$1*EXP(B248)</f>
        <v>-0.68344812138645861</v>
      </c>
      <c r="K248" s="8">
        <f>(1-EXP(-2*regressions!$X$1*B248))/2/EXP(-regressions!$X$1*B248)</f>
        <v>-3.0190121671205503</v>
      </c>
      <c r="M248" s="33">
        <v>3.7161529497398265</v>
      </c>
      <c r="N248">
        <f t="shared" si="52"/>
        <v>-2.7101226891626573</v>
      </c>
      <c r="O248">
        <f>IF($B248&lt;=regressions!$L$2,$B248*regressions!$L$1,regressions!$L$1*regressions!$L$2+regressions!$L$3*($B248-regressions!$L$2))</f>
        <v>-3.5626148806304689</v>
      </c>
      <c r="P248">
        <f>regressions!$J$1*M248+regressions!$J$2*M248^2</f>
        <v>-2.8133882575918121</v>
      </c>
      <c r="Q248">
        <f>regressions!$V$1*M248</f>
        <v>-2.9535234407737261</v>
      </c>
      <c r="R248">
        <f>regressions!$N$1*M248^2</f>
        <v>-2.4062854502881619</v>
      </c>
      <c r="S248">
        <f>regressions!$R$1*M248^2+regressions!$R$2*M248^6</f>
        <v>-2.5918905973738755</v>
      </c>
      <c r="T248">
        <f>regressions!$P$1*M248^2+regressions!$P$2*M248^7</f>
        <v>-2.5258870594069314</v>
      </c>
      <c r="U248">
        <f>regressions!$T$2+regressions!$T$1*EXP(M248)</f>
        <v>-0.31341458775061232</v>
      </c>
      <c r="V248" s="8">
        <f>(1-EXP(-2*regressions!$X$1*M248))/2/EXP(-regressions!$X$1*M248)</f>
        <v>-2.1589023564757599</v>
      </c>
      <c r="X248" s="33">
        <v>2.4847378004635465</v>
      </c>
      <c r="Y248">
        <f t="shared" si="53"/>
        <v>-1.6809512357055993</v>
      </c>
      <c r="Z248">
        <f>IF($B248&lt;=regressions!$L$2,$B248*regressions!$L$1,regressions!$L$1*regressions!$L$2+regressions!$L$3*($B248-regressions!$L$2))</f>
        <v>-3.5626148806304689</v>
      </c>
      <c r="AA248">
        <f>regressions!$J$1*X248+regressions!$J$2*X248^2</f>
        <v>-1.6310376427069442</v>
      </c>
      <c r="AB248">
        <f>regressions!$V$1*X248</f>
        <v>-1.974819507458494</v>
      </c>
      <c r="AC248">
        <f>regressions!$N$1*X248^2</f>
        <v>-1.0757741844313951</v>
      </c>
      <c r="AD248">
        <f>regressions!$R$1*X248^2+regressions!$R$2*X248^6</f>
        <v>-1.1691220084041305</v>
      </c>
      <c r="AE248">
        <f>regressions!$P$1*X248^2+regressions!$P$2*X248^7</f>
        <v>-1.1329798399739761</v>
      </c>
      <c r="AF248">
        <f>regressions!$T$2+regressions!$T$1*EXP(X248)</f>
        <v>-8.5945482751714236E-2</v>
      </c>
      <c r="AG248" s="8">
        <f>(1-EXP(-2*regressions!$X$1*X248))/2/EXP(-regressions!$X$1*X248)</f>
        <v>-1.1927441314002012</v>
      </c>
      <c r="AH248" s="8"/>
      <c r="AI248" s="33">
        <v>2.0182632840931616</v>
      </c>
      <c r="AJ248">
        <f t="shared" si="54"/>
        <v>-1.1109859290071857</v>
      </c>
      <c r="AK248">
        <f>IF(AI248&lt;=regressions!$L$2,AI248*regressions!$L$1,regressions!$L$1*regressions!$L$2+regressions!$L$3*(AI248-regressions!$L$2))</f>
        <v>-1.6040749622027333</v>
      </c>
      <c r="AL248">
        <f>regressions!$J$1*AI248+regressions!$J$2*AI248^2</f>
        <v>-1.2478839613563242</v>
      </c>
      <c r="AM248">
        <f>regressions!$V$1*AI248</f>
        <v>-1.6040749667312408</v>
      </c>
      <c r="AN248">
        <f>regressions!$N$1*AI248^2</f>
        <v>-0.70976670622729576</v>
      </c>
      <c r="AO248">
        <f>regressions!$R$1*AI248^2+regressions!$R$2*AI248^6</f>
        <v>-0.772320153928029</v>
      </c>
      <c r="AP248">
        <f>regressions!$P$1*AI248^2+regressions!$P$2*AI248^7</f>
        <v>-0.74775520484715052</v>
      </c>
      <c r="AQ248">
        <f>regressions!$T$2+regressions!$T$1*EXP(AI248)</f>
        <v>-5.0992599021897754E-2</v>
      </c>
      <c r="AR248" s="8">
        <f>(1-EXP(-2*regressions!$X$1*AI248))/2/EXP(-regressions!$X$1*AI248)</f>
        <v>-0.91701229197452605</v>
      </c>
      <c r="AT248" s="33">
        <v>1.5165563939192308</v>
      </c>
      <c r="AU248">
        <f t="shared" si="55"/>
        <v>-0.76823190546577969</v>
      </c>
      <c r="AV248">
        <f>IF(AT248&lt;=regressions!$L$2,AT248*regressions!$L$1,regressions!$L$1*regressions!$L$2+regressions!$L$3*(AT248-regressions!$L$2))</f>
        <v>-1.2053284422440167</v>
      </c>
      <c r="AW248">
        <f>regressions!$J$1*AT248+regressions!$J$2*AT248^2</f>
        <v>-0.87549246302223038</v>
      </c>
      <c r="AX248">
        <f>regressions!$V$1*AT248</f>
        <v>-1.2053284456468121</v>
      </c>
      <c r="AY248">
        <f>regressions!$N$1*AT248^2</f>
        <v>-0.40075330537895587</v>
      </c>
      <c r="AZ248">
        <f>regressions!$R$1*AT248^2+regressions!$R$2*AT248^6</f>
        <v>-0.43635879160527885</v>
      </c>
      <c r="BA248">
        <f>regressions!$P$1*AT248^2+regressions!$P$2*AT248^7</f>
        <v>-0.42226034663544137</v>
      </c>
      <c r="BB248">
        <f>regressions!$T$2+regressions!$T$1*EXP(AT248)</f>
        <v>-2.7792913501528731E-2</v>
      </c>
      <c r="BC248" s="8">
        <f>(1-EXP(-2*regressions!$X$1*AT248))/2/EXP(-regressions!$X$1*AT248)</f>
        <v>-0.65720775080073468</v>
      </c>
      <c r="BE248">
        <f t="shared" si="56"/>
        <v>0.80105683805125016</v>
      </c>
      <c r="BF248">
        <f t="shared" si="47"/>
        <v>1.8302282915083081</v>
      </c>
      <c r="BG248">
        <f t="shared" si="48"/>
        <v>2.4001935982067217</v>
      </c>
      <c r="BH248">
        <f>BG248+regressions!$AR$1*(AI248-B248)</f>
        <v>-0.19548671977652088</v>
      </c>
      <c r="BI248">
        <f>BG248-regressions!$AO$1*(AI248-B248)</f>
        <v>5.9265225660919381</v>
      </c>
      <c r="BJ248">
        <f t="shared" si="49"/>
        <v>2.7429476217481277</v>
      </c>
      <c r="BK248">
        <f>BJ248+regressions!$AR$1*(AT248-B248)</f>
        <v>-0.38119703029476382</v>
      </c>
      <c r="BL248">
        <f>BJ248-regressions!$AO$1*(AT248-B248)</f>
        <v>6.9872151881494418</v>
      </c>
      <c r="BM248">
        <f t="shared" si="57"/>
        <v>1.029171453457058</v>
      </c>
      <c r="BN248">
        <f t="shared" si="50"/>
        <v>1.5991367601554716</v>
      </c>
      <c r="BO248">
        <f t="shared" si="51"/>
        <v>1.9418907836968775</v>
      </c>
      <c r="BP248">
        <f t="shared" si="58"/>
        <v>0.56996530669841361</v>
      </c>
      <c r="BQ248">
        <f t="shared" si="59"/>
        <v>0.91271933023981966</v>
      </c>
      <c r="BR248">
        <f t="shared" si="60"/>
        <v>0.34275402354140605</v>
      </c>
    </row>
    <row r="249" spans="1:70" x14ac:dyDescent="0.35">
      <c r="A249">
        <f t="shared" si="62"/>
        <v>2096</v>
      </c>
      <c r="B249" s="33">
        <v>4.5470838682598052</v>
      </c>
      <c r="C249">
        <f t="shared" si="61"/>
        <v>-3.5913405290849072</v>
      </c>
      <c r="D249">
        <f>IF($B249&lt;=regressions!$L$2,$B249*regressions!$L$1,regressions!$L$1*regressions!$L$2+regressions!$L$3*($B249-regressions!$L$2))</f>
        <v>-3.613930571693849</v>
      </c>
      <c r="E249">
        <f>regressions!$J$1*B249+regressions!$J$2*B249^2</f>
        <v>-3.7512752570224182</v>
      </c>
      <c r="F249">
        <f>regressions!$V$1*B249</f>
        <v>-3.6139305818964345</v>
      </c>
      <c r="G249">
        <f>regressions!$N$1*B249^2</f>
        <v>-3.602681864954036</v>
      </c>
      <c r="H249">
        <f>regressions!$R$1*B249^2+regressions!$R$2*B249^6</f>
        <v>-3.8266817045294701</v>
      </c>
      <c r="I249">
        <f>regressions!$P$1*B249^2+regressions!$P$2*B249^7</f>
        <v>-3.7565830129824627</v>
      </c>
      <c r="J249">
        <f>regressions!$T$2+regressions!$T$1*EXP(B249)</f>
        <v>-0.72955250965756913</v>
      </c>
      <c r="K249" s="8">
        <f>(1-EXP(-2*regressions!$X$1*B249))/2/EXP(-regressions!$X$1*B249)</f>
        <v>-3.103640394379279</v>
      </c>
      <c r="M249" s="33">
        <v>3.755470198384939</v>
      </c>
      <c r="N249">
        <f t="shared" si="52"/>
        <v>-2.7548907854158049</v>
      </c>
      <c r="O249">
        <f>IF($B249&lt;=regressions!$L$2,$B249*regressions!$L$1,regressions!$L$1*regressions!$L$2+regressions!$L$3*($B249-regressions!$L$2))</f>
        <v>-3.613930571693849</v>
      </c>
      <c r="P249">
        <f>regressions!$J$1*M249+regressions!$J$2*M249^2</f>
        <v>-2.8552224848801382</v>
      </c>
      <c r="Q249">
        <f>regressions!$V$1*M249</f>
        <v>-2.9847719972972668</v>
      </c>
      <c r="R249">
        <f>regressions!$N$1*M249^2</f>
        <v>-2.4574722599786338</v>
      </c>
      <c r="S249">
        <f>regressions!$R$1*M249^2+regressions!$R$2*M249^6</f>
        <v>-2.645752689241041</v>
      </c>
      <c r="T249">
        <f>regressions!$P$1*M249^2+regressions!$P$2*M249^7</f>
        <v>-2.5790858517528501</v>
      </c>
      <c r="U249">
        <f>regressions!$T$2+regressions!$T$1*EXP(M249)</f>
        <v>-0.32629600984375606</v>
      </c>
      <c r="V249" s="8">
        <f>(1-EXP(-2*regressions!$X$1*M249))/2/EXP(-regressions!$X$1*M249)</f>
        <v>-2.197254742990129</v>
      </c>
      <c r="X249" s="33">
        <v>2.4904258022968735</v>
      </c>
      <c r="Y249">
        <f t="shared" si="53"/>
        <v>-1.6917729167956206</v>
      </c>
      <c r="Z249">
        <f>IF($B249&lt;=regressions!$L$2,$B249*regressions!$L$1,regressions!$L$1*regressions!$L$2+regressions!$L$3*($B249-regressions!$L$2))</f>
        <v>-3.613930571693849</v>
      </c>
      <c r="AA249">
        <f>regressions!$J$1*X249+regressions!$J$2*X249^2</f>
        <v>-1.6359291719601985</v>
      </c>
      <c r="AB249">
        <f>regressions!$V$1*X249</f>
        <v>-1.9793402166362664</v>
      </c>
      <c r="AC249">
        <f>regressions!$N$1*X249^2</f>
        <v>-1.0807050944630914</v>
      </c>
      <c r="AD249">
        <f>regressions!$R$1*X249^2+regressions!$R$2*X249^6</f>
        <v>-1.1744568774823769</v>
      </c>
      <c r="AE249">
        <f>regressions!$P$1*X249^2+regressions!$P$2*X249^7</f>
        <v>-1.1381663013678822</v>
      </c>
      <c r="AF249">
        <f>regressions!$T$2+regressions!$T$1*EXP(X249)</f>
        <v>-8.648031025218586E-2</v>
      </c>
      <c r="AG249" s="8">
        <f>(1-EXP(-2*regressions!$X$1*X249))/2/EXP(-regressions!$X$1*X249)</f>
        <v>-1.1963507266729942</v>
      </c>
      <c r="AH249" s="8"/>
      <c r="AI249" s="33">
        <v>2.0168375837793673</v>
      </c>
      <c r="AJ249">
        <f t="shared" si="54"/>
        <v>-1.109946349594102</v>
      </c>
      <c r="AK249">
        <f>IF(AI249&lt;=regressions!$L$2,AI249*regressions!$L$1,regressions!$L$1*regressions!$L$2+regressions!$L$3*(AI249-regressions!$L$2))</f>
        <v>-1.6029418443409624</v>
      </c>
      <c r="AL249">
        <f>regressions!$J$1*AI249+regressions!$J$2*AI249^2</f>
        <v>-1.2467674401710349</v>
      </c>
      <c r="AM249">
        <f>regressions!$V$1*AI249</f>
        <v>-1.602941848866271</v>
      </c>
      <c r="AN249">
        <f>regressions!$N$1*AI249^2</f>
        <v>-0.70876430261054524</v>
      </c>
      <c r="AO249">
        <f>regressions!$R$1*AI249^2+regressions!$R$2*AI249^6</f>
        <v>-0.77123150293407516</v>
      </c>
      <c r="AP249">
        <f>regressions!$P$1*AI249^2+regressions!$P$2*AI249^7</f>
        <v>-0.74669962350901553</v>
      </c>
      <c r="AQ249">
        <f>regressions!$T$2+regressions!$T$1*EXP(AI249)</f>
        <v>-5.0908817225131506E-2</v>
      </c>
      <c r="AR249" s="8">
        <f>(1-EXP(-2*regressions!$X$1*AI249))/2/EXP(-regressions!$X$1*AI249)</f>
        <v>-0.91622512389223532</v>
      </c>
      <c r="AT249" s="33">
        <v>1.5134216987462619</v>
      </c>
      <c r="AU249">
        <f t="shared" si="55"/>
        <v>-0.7662340185096963</v>
      </c>
      <c r="AV249">
        <f>IF(AT249&lt;=regressions!$L$2,AT249*regressions!$L$1,regressions!$L$1*regressions!$L$2+regressions!$L$3*(AT249-regressions!$L$2))</f>
        <v>-1.2028370497281207</v>
      </c>
      <c r="AW249">
        <f>regressions!$J$1*AT249+regressions!$J$2*AT249^2</f>
        <v>-0.87329508327354699</v>
      </c>
      <c r="AX249">
        <f>regressions!$V$1*AT249</f>
        <v>-1.2028370531238826</v>
      </c>
      <c r="AY249">
        <f>regressions!$N$1*AT249^2</f>
        <v>-0.39909831761243497</v>
      </c>
      <c r="AZ249">
        <f>regressions!$R$1*AT249^2+regressions!$R$2*AT249^6</f>
        <v>-0.43455786332949392</v>
      </c>
      <c r="BA249">
        <f>regressions!$P$1*AT249^2+regressions!$P$2*AT249^7</f>
        <v>-0.42051672776971882</v>
      </c>
      <c r="BB249">
        <f>regressions!$T$2+regressions!$T$1*EXP(AT249)</f>
        <v>-2.7681469359920947E-2</v>
      </c>
      <c r="BC249" s="8">
        <f>(1-EXP(-2*regressions!$X$1*AT249))/2/EXP(-regressions!$X$1*AT249)</f>
        <v>-0.65568155291189179</v>
      </c>
      <c r="BE249">
        <f t="shared" si="56"/>
        <v>0.8364497436691023</v>
      </c>
      <c r="BF249">
        <f t="shared" si="47"/>
        <v>1.8995676122892866</v>
      </c>
      <c r="BG249">
        <f t="shared" si="48"/>
        <v>2.4813941794908052</v>
      </c>
      <c r="BH249">
        <f>BG249+regressions!$AR$1*(AI249-B249)</f>
        <v>-0.18379727775886012</v>
      </c>
      <c r="BI249">
        <f>BG249-regressions!$AO$1*(AI249-B249)</f>
        <v>6.1021566345383924</v>
      </c>
      <c r="BJ249">
        <f t="shared" si="49"/>
        <v>2.8251065105752109</v>
      </c>
      <c r="BK249">
        <f>BJ249+regressions!$AR$1*(AT249-B249)</f>
        <v>-0.3703494211105931</v>
      </c>
      <c r="BL249">
        <f>BJ249-regressions!$AO$1*(AT249-B249)</f>
        <v>7.1662531222886798</v>
      </c>
      <c r="BM249">
        <f t="shared" si="57"/>
        <v>1.0631178686201843</v>
      </c>
      <c r="BN249">
        <f t="shared" si="50"/>
        <v>1.6449444358217029</v>
      </c>
      <c r="BO249">
        <f t="shared" si="51"/>
        <v>1.9886567669061086</v>
      </c>
      <c r="BP249">
        <f t="shared" si="58"/>
        <v>0.5818265672015186</v>
      </c>
      <c r="BQ249">
        <f t="shared" si="59"/>
        <v>0.92553889828592428</v>
      </c>
      <c r="BR249">
        <f t="shared" si="60"/>
        <v>0.34371233108440569</v>
      </c>
    </row>
    <row r="250" spans="1:70" x14ac:dyDescent="0.35">
      <c r="A250">
        <f t="shared" si="62"/>
        <v>2097</v>
      </c>
      <c r="B250" s="33">
        <v>4.6121893406458589</v>
      </c>
      <c r="C250">
        <f t="shared" si="61"/>
        <v>-3.6731196682926504</v>
      </c>
      <c r="D250">
        <f>IF($B250&lt;=regressions!$L$2,$B250*regressions!$L$1,regressions!$L$1*regressions!$L$2+regressions!$L$3*($B250-regressions!$L$2))</f>
        <v>-3.6656750883681317</v>
      </c>
      <c r="E250">
        <f>regressions!$J$1*B250+regressions!$J$2*B250^2</f>
        <v>-3.8295290668761064</v>
      </c>
      <c r="F250">
        <f>regressions!$V$1*B250</f>
        <v>-3.6656750987167981</v>
      </c>
      <c r="G250">
        <f>regressions!$N$1*B250^2</f>
        <v>-3.7065873543545815</v>
      </c>
      <c r="H250">
        <f>regressions!$R$1*B250^2+regressions!$R$2*B250^6</f>
        <v>-3.9311906236719132</v>
      </c>
      <c r="I250">
        <f>regressions!$P$1*B250^2+regressions!$P$2*B250^7</f>
        <v>-3.8619252814199494</v>
      </c>
      <c r="J250">
        <f>regressions!$T$2+regressions!$T$1*EXP(B250)</f>
        <v>-0.77915636905867625</v>
      </c>
      <c r="K250" s="8">
        <f>(1-EXP(-2*regressions!$X$1*B250))/2/EXP(-regressions!$X$1*B250)</f>
        <v>-3.1911464159152656</v>
      </c>
      <c r="M250" s="33">
        <v>3.7949028843457775</v>
      </c>
      <c r="N250">
        <f t="shared" si="52"/>
        <v>-2.8001574018297557</v>
      </c>
      <c r="O250">
        <f>IF($B250&lt;=regressions!$L$2,$B250*regressions!$L$1,regressions!$L$1*regressions!$L$2+regressions!$L$3*($B250-regressions!$L$2))</f>
        <v>-3.6656750883681317</v>
      </c>
      <c r="P250">
        <f>regressions!$J$1*M250+regressions!$J$2*M250^2</f>
        <v>-2.8974333477019387</v>
      </c>
      <c r="Q250">
        <f>regressions!$V$1*M250</f>
        <v>-3.0161123010719431</v>
      </c>
      <c r="R250">
        <f>regressions!$N$1*M250^2</f>
        <v>-2.5093504428919076</v>
      </c>
      <c r="S250">
        <f>regressions!$R$1*M250^2+regressions!$R$2*M250^6</f>
        <v>-2.7002602663437201</v>
      </c>
      <c r="T250">
        <f>regressions!$P$1*M250^2+regressions!$P$2*M250^7</f>
        <v>-2.6329629723883188</v>
      </c>
      <c r="U250">
        <f>regressions!$T$2+regressions!$T$1*EXP(M250)</f>
        <v>-0.33973409991896564</v>
      </c>
      <c r="V250" s="8">
        <f>(1-EXP(-2*regressions!$X$1*M250))/2/EXP(-regressions!$X$1*M250)</f>
        <v>-2.2362849175754196</v>
      </c>
      <c r="X250" s="33">
        <v>2.4958887176820914</v>
      </c>
      <c r="Y250">
        <f t="shared" si="53"/>
        <v>-1.7024963833811069</v>
      </c>
      <c r="Z250">
        <f>IF($B250&lt;=regressions!$L$2,$B250*regressions!$L$1,regressions!$L$1*regressions!$L$2+regressions!$L$3*($B250-regressions!$L$2))</f>
        <v>-3.6656750883681317</v>
      </c>
      <c r="AA250">
        <f>regressions!$J$1*X250+regressions!$J$2*X250^2</f>
        <v>-1.6406321118053824</v>
      </c>
      <c r="AB250">
        <f>regressions!$V$1*X250</f>
        <v>-1.9836820316431902</v>
      </c>
      <c r="AC250">
        <f>regressions!$N$1*X250^2</f>
        <v>-1.0854514921854237</v>
      </c>
      <c r="AD250">
        <f>regressions!$R$1*X250^2+regressions!$R$2*X250^6</f>
        <v>-1.1795918084755814</v>
      </c>
      <c r="AE250">
        <f>regressions!$P$1*X250^2+regressions!$P$2*X250^7</f>
        <v>-1.1431585871050287</v>
      </c>
      <c r="AF250">
        <f>regressions!$T$2+regressions!$T$1*EXP(X250)</f>
        <v>-8.6996845332571932E-2</v>
      </c>
      <c r="AG250" s="8">
        <f>(1-EXP(-2*regressions!$X$1*X250))/2/EXP(-regressions!$X$1*X250)</f>
        <v>-1.1998206374072686</v>
      </c>
      <c r="AH250" s="8"/>
      <c r="AI250" s="33">
        <v>2.0152819965000428</v>
      </c>
      <c r="AJ250">
        <f t="shared" si="54"/>
        <v>-1.1088124921557678</v>
      </c>
      <c r="AK250">
        <f>IF(AI250&lt;=regressions!$L$2,AI250*regressions!$L$1,regressions!$L$1*regressions!$L$2+regressions!$L$3*(AI250-regressions!$L$2))</f>
        <v>-1.6017054949380121</v>
      </c>
      <c r="AL250">
        <f>regressions!$J$1*AI250+regressions!$J$2*AI250^2</f>
        <v>-1.2455495785185697</v>
      </c>
      <c r="AM250">
        <f>regressions!$V$1*AI250</f>
        <v>-1.6017054994598303</v>
      </c>
      <c r="AN250">
        <f>regressions!$N$1*AI250^2</f>
        <v>-0.70767138412712882</v>
      </c>
      <c r="AO250">
        <f>regressions!$R$1*AI250^2+regressions!$R$2*AI250^6</f>
        <v>-0.77004453899236591</v>
      </c>
      <c r="AP250">
        <f>regressions!$P$1*AI250^2+regressions!$P$2*AI250^7</f>
        <v>-0.74554872280408957</v>
      </c>
      <c r="AQ250">
        <f>regressions!$T$2+regressions!$T$1*EXP(AI250)</f>
        <v>-5.0817538737358142E-2</v>
      </c>
      <c r="AR250" s="8">
        <f>(1-EXP(-2*regressions!$X$1*AI250))/2/EXP(-regressions!$X$1*AI250)</f>
        <v>-0.91536659361391615</v>
      </c>
      <c r="AT250" s="33">
        <v>1.5102677581574873</v>
      </c>
      <c r="AU250">
        <f t="shared" si="55"/>
        <v>-0.76422564325839004</v>
      </c>
      <c r="AV250">
        <f>IF(AT250&lt;=regressions!$L$2,AT250*regressions!$L$1,regressions!$L$1*regressions!$L$2+regressions!$L$3*(AT250-regressions!$L$2))</f>
        <v>-1.2003303613438043</v>
      </c>
      <c r="AW250">
        <f>regressions!$J$1*AT250+regressions!$J$2*AT250^2</f>
        <v>-0.87108583384102545</v>
      </c>
      <c r="AX250">
        <f>regressions!$V$1*AT250</f>
        <v>-1.2003303647324897</v>
      </c>
      <c r="AY250">
        <f>regressions!$N$1*AT250^2</f>
        <v>-0.39743662504214849</v>
      </c>
      <c r="AZ250">
        <f>regressions!$R$1*AT250^2+regressions!$R$2*AT250^6</f>
        <v>-0.43274962527636168</v>
      </c>
      <c r="BA250">
        <f>regressions!$P$1*AT250^2+regressions!$P$2*AT250^7</f>
        <v>-0.41876604231884557</v>
      </c>
      <c r="BB250">
        <f>regressions!$T$2+regressions!$T$1*EXP(AT250)</f>
        <v>-2.7569693021518168E-2</v>
      </c>
      <c r="BC250" s="8">
        <f>(1-EXP(-2*regressions!$X$1*AT250))/2/EXP(-regressions!$X$1*AT250)</f>
        <v>-0.6541470621293094</v>
      </c>
      <c r="BE250">
        <f t="shared" si="56"/>
        <v>0.87296226646289465</v>
      </c>
      <c r="BF250">
        <f t="shared" si="47"/>
        <v>1.9706232849115435</v>
      </c>
      <c r="BG250">
        <f t="shared" si="48"/>
        <v>2.5643071761368823</v>
      </c>
      <c r="BH250">
        <f>BG250+regressions!$AR$1*(AI250-B250)</f>
        <v>-0.17110056315659117</v>
      </c>
      <c r="BI250">
        <f>BG250-regressions!$AO$1*(AI250-B250)</f>
        <v>6.2804610812304675</v>
      </c>
      <c r="BJ250">
        <f t="shared" si="49"/>
        <v>2.9088940250342601</v>
      </c>
      <c r="BK250">
        <f>BJ250+regressions!$AR$1*(AT250-B250)</f>
        <v>-0.35846178669612483</v>
      </c>
      <c r="BL250">
        <f>BJ250-regressions!$AO$1*(AT250-B250)</f>
        <v>7.3477193177594451</v>
      </c>
      <c r="BM250">
        <f t="shared" si="57"/>
        <v>1.0976610184486488</v>
      </c>
      <c r="BN250">
        <f t="shared" si="50"/>
        <v>1.6913449096739879</v>
      </c>
      <c r="BO250">
        <f t="shared" si="51"/>
        <v>2.0359317585713654</v>
      </c>
      <c r="BP250">
        <f t="shared" si="58"/>
        <v>0.59368389122533904</v>
      </c>
      <c r="BQ250">
        <f t="shared" si="59"/>
        <v>0.93827074012271683</v>
      </c>
      <c r="BR250">
        <f t="shared" si="60"/>
        <v>0.34458684889737778</v>
      </c>
    </row>
    <row r="251" spans="1:70" x14ac:dyDescent="0.35">
      <c r="A251">
        <f t="shared" si="62"/>
        <v>2098</v>
      </c>
      <c r="B251" s="33">
        <v>4.6778327371857875</v>
      </c>
      <c r="C251">
        <f t="shared" si="61"/>
        <v>-3.7565424245593433</v>
      </c>
      <c r="D251">
        <f>IF($B251&lt;=regressions!$L$2,$B251*regressions!$L$1,regressions!$L$1*regressions!$L$2+regressions!$L$3*($B251-regressions!$L$2))</f>
        <v>-3.7178471363132819</v>
      </c>
      <c r="E251">
        <f>regressions!$J$1*B251+regressions!$J$2*B251^2</f>
        <v>-3.9091309378154371</v>
      </c>
      <c r="F251">
        <f>regressions!$V$1*B251</f>
        <v>-3.7178471468092367</v>
      </c>
      <c r="G251">
        <f>regressions!$N$1*B251^2</f>
        <v>-3.8128468559895081</v>
      </c>
      <c r="H251">
        <f>regressions!$R$1*B251^2+regressions!$R$2*B251^6</f>
        <v>-4.0375504493103929</v>
      </c>
      <c r="I251">
        <f>regressions!$P$1*B251^2+regressions!$P$2*B251^7</f>
        <v>-3.9693428731735443</v>
      </c>
      <c r="J251">
        <f>regressions!$T$2+regressions!$T$1*EXP(B251)</f>
        <v>-0.83254908915819126</v>
      </c>
      <c r="K251" s="8">
        <f>(1-EXP(-2*regressions!$X$1*B251))/2/EXP(-regressions!$X$1*B251)</f>
        <v>-3.2816443690858588</v>
      </c>
      <c r="M251" s="33">
        <v>3.8344508271684905</v>
      </c>
      <c r="N251">
        <f t="shared" si="52"/>
        <v>-2.8459260539968967</v>
      </c>
      <c r="O251">
        <f>IF($B251&lt;=regressions!$L$2,$B251*regressions!$L$1,regressions!$L$1*regressions!$L$2+regressions!$L$3*($B251-regressions!$L$2))</f>
        <v>-3.7178471363132819</v>
      </c>
      <c r="P251">
        <f>regressions!$J$1*M251+regressions!$J$2*M251^2</f>
        <v>-2.9400228834438034</v>
      </c>
      <c r="Q251">
        <f>regressions!$V$1*M251</f>
        <v>-3.0475442086766718</v>
      </c>
      <c r="R251">
        <f>regressions!$N$1*M251^2</f>
        <v>-2.5619245168727844</v>
      </c>
      <c r="S251">
        <f>regressions!$R$1*M251^2+regressions!$R$2*M251^6</f>
        <v>-2.7554129850550315</v>
      </c>
      <c r="T251">
        <f>regressions!$P$1*M251^2+regressions!$P$2*M251^7</f>
        <v>-2.6875201742359085</v>
      </c>
      <c r="U251">
        <f>regressions!$T$2+regressions!$T$1*EXP(M251)</f>
        <v>-0.35375434726948846</v>
      </c>
      <c r="V251" s="8">
        <f>(1-EXP(-2*regressions!$X$1*M251))/2/EXP(-regressions!$X$1*M251)</f>
        <v>-2.2760077669593746</v>
      </c>
      <c r="X251" s="33">
        <v>2.5011310633504316</v>
      </c>
      <c r="Y251">
        <f t="shared" si="53"/>
        <v>-1.7131239894584247</v>
      </c>
      <c r="Z251">
        <f>IF($B251&lt;=regressions!$L$2,$B251*regressions!$L$1,regressions!$L$1*regressions!$L$2+regressions!$L$3*($B251-regressions!$L$2))</f>
        <v>-3.7178471363132819</v>
      </c>
      <c r="AA251">
        <f>regressions!$J$1*X251+regressions!$J$2*X251^2</f>
        <v>-1.6451497535030013</v>
      </c>
      <c r="AB251">
        <f>regressions!$V$1*X251</f>
        <v>-1.9878485422861834</v>
      </c>
      <c r="AC251">
        <f>regressions!$N$1*X251^2</f>
        <v>-1.090016028922844</v>
      </c>
      <c r="AD251">
        <f>regressions!$R$1*X251^2+regressions!$R$2*X251^6</f>
        <v>-1.1845297036774582</v>
      </c>
      <c r="AE251">
        <f>regressions!$P$1*X251^2+regressions!$P$2*X251^7</f>
        <v>-1.1479594966908817</v>
      </c>
      <c r="AF251">
        <f>regressions!$T$2+regressions!$T$1*EXP(X251)</f>
        <v>-8.7495185136744064E-2</v>
      </c>
      <c r="AG251" s="8">
        <f>(1-EXP(-2*regressions!$X$1*X251))/2/EXP(-regressions!$X$1*X251)</f>
        <v>-1.2031560247309181</v>
      </c>
      <c r="AH251" s="8"/>
      <c r="AI251" s="33">
        <v>2.0136022436281604</v>
      </c>
      <c r="AJ251">
        <f t="shared" si="54"/>
        <v>-1.1075886371544184</v>
      </c>
      <c r="AK251">
        <f>IF(AI251&lt;=regressions!$L$2,AI251*regressions!$L$1,regressions!$L$1*regressions!$L$2+regressions!$L$3*(AI251-regressions!$L$2))</f>
        <v>-1.6003704612257552</v>
      </c>
      <c r="AL251">
        <f>regressions!$J$1*AI251+regressions!$J$2*AI251^2</f>
        <v>-1.2442349524182281</v>
      </c>
      <c r="AM251">
        <f>regressions!$V$1*AI251</f>
        <v>-1.6003704657438045</v>
      </c>
      <c r="AN251">
        <f>regressions!$N$1*AI251^2</f>
        <v>-0.70649217680902621</v>
      </c>
      <c r="AO251">
        <f>regressions!$R$1*AI251^2+regressions!$R$2*AI251^6</f>
        <v>-0.76876384924136831</v>
      </c>
      <c r="AP251">
        <f>regressions!$P$1*AI251^2+regressions!$P$2*AI251^7</f>
        <v>-0.74430695229936372</v>
      </c>
      <c r="AQ251">
        <f>regressions!$T$2+regressions!$T$1*EXP(AI251)</f>
        <v>-5.0719133795810091E-2</v>
      </c>
      <c r="AR251" s="8">
        <f>(1-EXP(-2*regressions!$X$1*AI251))/2/EXP(-regressions!$X$1*AI251)</f>
        <v>-0.91443994824889774</v>
      </c>
      <c r="AT251" s="33">
        <v>1.5070966738161538</v>
      </c>
      <c r="AU251">
        <f t="shared" si="55"/>
        <v>-0.76220814844557494</v>
      </c>
      <c r="AV251">
        <f>IF(AT251&lt;=regressions!$L$2,AT251*regressions!$L$1,regressions!$L$1*regressions!$L$2+regressions!$L$3*(AT251-regressions!$L$2))</f>
        <v>-1.1978100474506388</v>
      </c>
      <c r="AW251">
        <f>regressions!$J$1*AT251+regressions!$J$2*AT251^2</f>
        <v>-0.86886621501766947</v>
      </c>
      <c r="AX251">
        <f>regressions!$V$1*AT251</f>
        <v>-1.1978100508322087</v>
      </c>
      <c r="AY251">
        <f>regressions!$N$1*AT251^2</f>
        <v>-0.39576939493589081</v>
      </c>
      <c r="AZ251">
        <f>regressions!$R$1*AT251^2+regressions!$R$2*AT251^6</f>
        <v>-0.43093534756115559</v>
      </c>
      <c r="BA251">
        <f>regressions!$P$1*AT251^2+regressions!$P$2*AT251^7</f>
        <v>-0.4170095200513067</v>
      </c>
      <c r="BB251">
        <f>regressions!$T$2+regressions!$T$1*EXP(AT251)</f>
        <v>-2.7457663958427317E-2</v>
      </c>
      <c r="BC251" s="8">
        <f>(1-EXP(-2*regressions!$X$1*AT251))/2/EXP(-regressions!$X$1*AT251)</f>
        <v>-0.6526053171242685</v>
      </c>
      <c r="BE251">
        <f t="shared" si="56"/>
        <v>0.9106163705624466</v>
      </c>
      <c r="BF251">
        <f t="shared" si="47"/>
        <v>2.0434184351009188</v>
      </c>
      <c r="BG251">
        <f t="shared" si="48"/>
        <v>2.6489537874049249</v>
      </c>
      <c r="BH251">
        <f>BG251+regressions!$AR$1*(AI251-B251)</f>
        <v>-0.15736763479287719</v>
      </c>
      <c r="BI251">
        <f>BG251-regressions!$AO$1*(AI251-B251)</f>
        <v>6.4614465877439979</v>
      </c>
      <c r="BJ251">
        <f t="shared" si="49"/>
        <v>2.9943342761137686</v>
      </c>
      <c r="BK251">
        <f>BJ251+regressions!$AR$1*(AT251-B251)</f>
        <v>-0.34550608690505769</v>
      </c>
      <c r="BL251">
        <f>BJ251-regressions!$AO$1*(AT251-B251)</f>
        <v>7.5316325476421326</v>
      </c>
      <c r="BM251">
        <f t="shared" si="57"/>
        <v>1.132802064538472</v>
      </c>
      <c r="BN251">
        <f t="shared" si="50"/>
        <v>1.7383374168424783</v>
      </c>
      <c r="BO251">
        <f t="shared" si="51"/>
        <v>2.083717905551322</v>
      </c>
      <c r="BP251">
        <f t="shared" si="58"/>
        <v>0.60553535230400635</v>
      </c>
      <c r="BQ251">
        <f t="shared" si="59"/>
        <v>0.95091584101284976</v>
      </c>
      <c r="BR251">
        <f t="shared" si="60"/>
        <v>0.34538048870884341</v>
      </c>
    </row>
    <row r="252" spans="1:70" x14ac:dyDescent="0.35">
      <c r="A252">
        <f t="shared" si="62"/>
        <v>2099</v>
      </c>
      <c r="B252" s="33">
        <v>4.7440123473456346</v>
      </c>
      <c r="C252">
        <f t="shared" si="61"/>
        <v>-3.8416344003828282</v>
      </c>
      <c r="D252">
        <f>IF($B252&lt;=regressions!$L$2,$B252*regressions!$L$1,regressions!$L$1*regressions!$L$2+regressions!$L$3*($B252-regressions!$L$2))</f>
        <v>-3.7704453560314026</v>
      </c>
      <c r="E252">
        <f>regressions!$J$1*B252+regressions!$J$2*B252^2</f>
        <v>-3.9900960844897879</v>
      </c>
      <c r="F252">
        <f>regressions!$V$1*B252</f>
        <v>-3.7704453666758493</v>
      </c>
      <c r="G252">
        <f>regressions!$N$1*B252^2</f>
        <v>-3.9214944586743199</v>
      </c>
      <c r="H252">
        <f>regressions!$R$1*B252^2+regressions!$R$2*B252^6</f>
        <v>-4.145744829485186</v>
      </c>
      <c r="I252">
        <f>regressions!$P$1*B252^2+regressions!$P$2*B252^7</f>
        <v>-4.0788350866172047</v>
      </c>
      <c r="J252">
        <f>regressions!$T$2+regressions!$T$1*EXP(B252)</f>
        <v>-0.89004559967646901</v>
      </c>
      <c r="K252" s="8">
        <f>(1-EXP(-2*regressions!$X$1*B252))/2/EXP(-regressions!$X$1*B252)</f>
        <v>-3.3752532192351761</v>
      </c>
      <c r="M252" s="33">
        <v>3.8741138537194462</v>
      </c>
      <c r="N252">
        <f t="shared" si="52"/>
        <v>-2.8922002730493643</v>
      </c>
      <c r="O252">
        <f>IF($B252&lt;=regressions!$L$2,$B252*regressions!$L$1,regressions!$L$1*regressions!$L$2+regressions!$L$3*($B252-regressions!$L$2))</f>
        <v>-3.7704453560314026</v>
      </c>
      <c r="P252">
        <f>regressions!$J$1*M252+regressions!$J$2*M252^2</f>
        <v>-2.9829931393016329</v>
      </c>
      <c r="Q252">
        <f>regressions!$V$1*M252</f>
        <v>-3.0790675825083329</v>
      </c>
      <c r="R252">
        <f>regressions!$N$1*M252^2</f>
        <v>-2.6151990136035854</v>
      </c>
      <c r="S252">
        <f>regressions!$R$1*M252^2+regressions!$R$2*M252^6</f>
        <v>-2.8112102989570502</v>
      </c>
      <c r="T252">
        <f>regressions!$P$1*M252^2+regressions!$P$2*M252^7</f>
        <v>-2.7427590679102449</v>
      </c>
      <c r="U252">
        <f>regressions!$T$2+regressions!$T$1*EXP(M252)</f>
        <v>-0.36838346844194442</v>
      </c>
      <c r="V252" s="8">
        <f>(1-EXP(-2*regressions!$X$1*M252))/2/EXP(-regressions!$X$1*M252)</f>
        <v>-2.3164385170047699</v>
      </c>
      <c r="X252" s="33">
        <v>2.5061573037273961</v>
      </c>
      <c r="Y252">
        <f t="shared" si="53"/>
        <v>-1.7236580892494922</v>
      </c>
      <c r="Z252">
        <f>IF($B252&lt;=regressions!$L$2,$B252*regressions!$L$1,regressions!$L$1*regressions!$L$2+regressions!$L$3*($B252-regressions!$L$2))</f>
        <v>-3.7704453560314026</v>
      </c>
      <c r="AA252">
        <f>regressions!$J$1*X252+regressions!$J$2*X252^2</f>
        <v>-1.6494853828431288</v>
      </c>
      <c r="AB252">
        <f>regressions!$V$1*X252</f>
        <v>-1.9918432968006248</v>
      </c>
      <c r="AC252">
        <f>regressions!$N$1*X252^2</f>
        <v>-1.0944013948886748</v>
      </c>
      <c r="AD252">
        <f>regressions!$R$1*X252^2+regressions!$R$2*X252^6</f>
        <v>-1.1892735057300607</v>
      </c>
      <c r="AE252">
        <f>regressions!$P$1*X252^2+regressions!$P$2*X252^7</f>
        <v>-1.1525718700194816</v>
      </c>
      <c r="AF252">
        <f>regressions!$T$2+regressions!$T$1*EXP(X252)</f>
        <v>-8.7975441284376177E-2</v>
      </c>
      <c r="AG252" s="8">
        <f>(1-EXP(-2*regressions!$X$1*X252))/2/EXP(-regressions!$X$1*X252)</f>
        <v>-1.206359060675311</v>
      </c>
      <c r="AH252" s="8"/>
      <c r="AI252" s="33">
        <v>2.0118038680744732</v>
      </c>
      <c r="AJ252">
        <f t="shared" si="54"/>
        <v>-1.106278936810664</v>
      </c>
      <c r="AK252">
        <f>IF(AI252&lt;=regressions!$L$2,AI252*regressions!$L$1,regressions!$L$1*regressions!$L$2+regressions!$L$3*(AI252-regressions!$L$2))</f>
        <v>-1.5989411485978919</v>
      </c>
      <c r="AL252">
        <f>regressions!$J$1*AI252+regressions!$J$2*AI252^2</f>
        <v>-1.2428279998104328</v>
      </c>
      <c r="AM252">
        <f>regressions!$V$1*AI252</f>
        <v>-1.598941153111906</v>
      </c>
      <c r="AN252">
        <f>regressions!$N$1*AI252^2</f>
        <v>-0.7052307847976077</v>
      </c>
      <c r="AO252">
        <f>regressions!$R$1*AI252^2+regressions!$R$2*AI252^6</f>
        <v>-0.76739388841754463</v>
      </c>
      <c r="AP252">
        <f>regressions!$P$1*AI252^2+regressions!$P$2*AI252^7</f>
        <v>-0.7429786331997088</v>
      </c>
      <c r="AQ252">
        <f>regressions!$T$2+regressions!$T$1*EXP(AI252)</f>
        <v>-5.0613962639884484E-2</v>
      </c>
      <c r="AR252" s="8">
        <f>(1-EXP(-2*regressions!$X$1*AI252))/2/EXP(-regressions!$X$1*AI252)</f>
        <v>-0.91344833775508272</v>
      </c>
      <c r="AT252" s="33">
        <v>1.5039104436135693</v>
      </c>
      <c r="AU252">
        <f t="shared" si="55"/>
        <v>-0.7601828322528934</v>
      </c>
      <c r="AV252">
        <f>IF(AT252&lt;=regressions!$L$2,AT252*regressions!$L$1,regressions!$L$1*regressions!$L$2+regressions!$L$3*(AT252-regressions!$L$2))</f>
        <v>-1.1952776959323499</v>
      </c>
      <c r="AW252">
        <f>regressions!$J$1*AT252+regressions!$J$2*AT252^2</f>
        <v>-0.86663765034056417</v>
      </c>
      <c r="AX252">
        <f>regressions!$V$1*AT252</f>
        <v>-1.1952776993067709</v>
      </c>
      <c r="AY252">
        <f>regressions!$N$1*AT252^2</f>
        <v>-0.39409773121867059</v>
      </c>
      <c r="AZ252">
        <f>regressions!$R$1*AT252^2+regressions!$R$2*AT252^6</f>
        <v>-0.42911623140806793</v>
      </c>
      <c r="BA252">
        <f>regressions!$P$1*AT252^2+regressions!$P$2*AT252^7</f>
        <v>-0.41524832400800149</v>
      </c>
      <c r="BB252">
        <f>regressions!$T$2+regressions!$T$1*EXP(AT252)</f>
        <v>-2.7345457051905962E-2</v>
      </c>
      <c r="BC252" s="8">
        <f>(1-EXP(-2*regressions!$X$1*AT252))/2/EXP(-regressions!$X$1*AT252)</f>
        <v>-0.65105730330280431</v>
      </c>
      <c r="BE252">
        <f t="shared" si="56"/>
        <v>0.94943412733346388</v>
      </c>
      <c r="BF252">
        <f t="shared" si="47"/>
        <v>2.1179763111333361</v>
      </c>
      <c r="BG252">
        <f t="shared" si="48"/>
        <v>2.735355463572164</v>
      </c>
      <c r="BH252">
        <f>BG252+regressions!$AR$1*(AI252-B252)</f>
        <v>-0.14256940209910773</v>
      </c>
      <c r="BI252">
        <f>BG252-regressions!$AO$1*(AI252-B252)</f>
        <v>6.6451242247341042</v>
      </c>
      <c r="BJ252">
        <f t="shared" si="49"/>
        <v>3.0814515681299346</v>
      </c>
      <c r="BK252">
        <f>BJ252+regressions!$AR$1*(AT252-B252)</f>
        <v>-0.33145411121514723</v>
      </c>
      <c r="BL252">
        <f>BJ252-regressions!$AO$1*(AT252-B252)</f>
        <v>7.7180118095256667</v>
      </c>
      <c r="BM252">
        <f t="shared" si="57"/>
        <v>1.1685421837998722</v>
      </c>
      <c r="BN252">
        <f t="shared" si="50"/>
        <v>1.7859213362387003</v>
      </c>
      <c r="BO252">
        <f t="shared" si="51"/>
        <v>2.1320174407964707</v>
      </c>
      <c r="BP252">
        <f t="shared" si="58"/>
        <v>0.61737915243882813</v>
      </c>
      <c r="BQ252">
        <f t="shared" si="59"/>
        <v>0.96347525699659875</v>
      </c>
      <c r="BR252">
        <f t="shared" si="60"/>
        <v>0.34609610455777062</v>
      </c>
    </row>
    <row r="253" spans="1:70" x14ac:dyDescent="0.35">
      <c r="A253">
        <f t="shared" si="62"/>
        <v>2100</v>
      </c>
      <c r="B253" s="33">
        <v>4.8107263801771296</v>
      </c>
      <c r="C253">
        <f t="shared" si="61"/>
        <v>-3.928421308684177</v>
      </c>
      <c r="D253">
        <f>IF($B253&lt;=regressions!$L$2,$B253*regressions!$L$1,regressions!$L$1*regressions!$L$2+regressions!$L$3*($B253-regressions!$L$2))</f>
        <v>-3.823468324112921</v>
      </c>
      <c r="E253">
        <f>regressions!$J$1*B253+regressions!$J$2*B253^2</f>
        <v>-4.0724396891398085</v>
      </c>
      <c r="F253">
        <f>regressions!$V$1*B253</f>
        <v>-3.8234683349070582</v>
      </c>
      <c r="G253">
        <f>regressions!$N$1*B253^2</f>
        <v>-4.0325642598501057</v>
      </c>
      <c r="H253">
        <f>regressions!$R$1*B253^2+regressions!$R$2*B253^6</f>
        <v>-4.2557538423432302</v>
      </c>
      <c r="I253">
        <f>regressions!$P$1*B253^2+regressions!$P$2*B253^7</f>
        <v>-4.1903982114690796</v>
      </c>
      <c r="J253">
        <f>regressions!$T$2+regressions!$T$1*EXP(B253)</f>
        <v>-0.95198874454175297</v>
      </c>
      <c r="K253" s="8">
        <f>(1-EXP(-2*regressions!$X$1*B253))/2/EXP(-regressions!$X$1*B253)</f>
        <v>-3.4720969717908345</v>
      </c>
      <c r="M253" s="33">
        <v>3.9138917974545016</v>
      </c>
      <c r="N253">
        <f t="shared" si="52"/>
        <v>-2.9389836051107627</v>
      </c>
      <c r="O253">
        <f>IF($B253&lt;=regressions!$L$2,$B253*regressions!$L$1,regressions!$L$1*regressions!$L$2+regressions!$L$3*($B253-regressions!$L$2))</f>
        <v>-3.823468324112921</v>
      </c>
      <c r="P253">
        <f>regressions!$J$1*M253+regressions!$J$2*M253^2</f>
        <v>-3.0263461716858817</v>
      </c>
      <c r="Q253">
        <f>regressions!$V$1*M253</f>
        <v>-3.1106822902009994</v>
      </c>
      <c r="R253">
        <f>regressions!$N$1*M253^2</f>
        <v>-2.6691784780424208</v>
      </c>
      <c r="S253">
        <f>regressions!$R$1*M253^2+regressions!$R$2*M253^6</f>
        <v>-2.8676514507743254</v>
      </c>
      <c r="T253">
        <f>regressions!$P$1*M253^2+regressions!$P$2*M253^7</f>
        <v>-2.798681114105392</v>
      </c>
      <c r="U253">
        <f>regressions!$T$2+regressions!$T$1*EXP(M253)</f>
        <v>-0.38364946880353717</v>
      </c>
      <c r="V253" s="8">
        <f>(1-EXP(-2*regressions!$X$1*M253))/2/EXP(-regressions!$X$1*M253)</f>
        <v>-2.3575927403513672</v>
      </c>
      <c r="X253" s="33">
        <v>2.5109718497238944</v>
      </c>
      <c r="Y253">
        <f t="shared" si="53"/>
        <v>-1.7341010344232517</v>
      </c>
      <c r="Z253">
        <f>IF($B253&lt;=regressions!$L$2,$B253*regressions!$L$1,regressions!$L$1*regressions!$L$2+regressions!$L$3*($B253-regressions!$L$2))</f>
        <v>-3.823468324112921</v>
      </c>
      <c r="AA253">
        <f>regressions!$J$1*X253+regressions!$J$2*X253^2</f>
        <v>-1.6536422772834916</v>
      </c>
      <c r="AB253">
        <f>regressions!$V$1*X253</f>
        <v>-1.9956698008895744</v>
      </c>
      <c r="AC253">
        <f>regressions!$N$1*X253^2</f>
        <v>-1.0986103142521919</v>
      </c>
      <c r="AD253">
        <f>regressions!$R$1*X253^2+regressions!$R$2*X253^6</f>
        <v>-1.1938261923071172</v>
      </c>
      <c r="AE253">
        <f>regressions!$P$1*X253^2+regressions!$P$2*X253^7</f>
        <v>-1.1569985821863173</v>
      </c>
      <c r="AF253">
        <f>regressions!$T$2+regressions!$T$1*EXP(X253)</f>
        <v>-8.8437739141427274E-2</v>
      </c>
      <c r="AG253" s="8">
        <f>(1-EXP(-2*regressions!$X$1*X253))/2/EXP(-regressions!$X$1*X253)</f>
        <v>-1.2094319257046546</v>
      </c>
      <c r="AH253" s="8"/>
      <c r="AI253" s="33">
        <v>2.0098922379427324</v>
      </c>
      <c r="AJ253">
        <f t="shared" si="54"/>
        <v>-1.1048874167858984</v>
      </c>
      <c r="AK253">
        <f>IF(AI253&lt;=regressions!$L$2,AI253*regressions!$L$1,regressions!$L$1*regressions!$L$2+regressions!$L$3*(AI253-regressions!$L$2))</f>
        <v>-1.5974218235150419</v>
      </c>
      <c r="AL253">
        <f>regressions!$J$1*AI253+regressions!$J$2*AI253^2</f>
        <v>-1.241333022558972</v>
      </c>
      <c r="AM253">
        <f>regressions!$V$1*AI253</f>
        <v>-1.597421828024767</v>
      </c>
      <c r="AN253">
        <f>regressions!$N$1*AI253^2</f>
        <v>-0.70389119107955367</v>
      </c>
      <c r="AO253">
        <f>regressions!$R$1*AI253^2+regressions!$R$2*AI253^6</f>
        <v>-0.76593897967967262</v>
      </c>
      <c r="AP253">
        <f>regressions!$P$1*AI253^2+regressions!$P$2*AI253^7</f>
        <v>-0.74156795912954054</v>
      </c>
      <c r="AQ253">
        <f>regressions!$T$2+regressions!$T$1*EXP(AI253)</f>
        <v>-5.050237540539905E-2</v>
      </c>
      <c r="AR253" s="8">
        <f>(1-EXP(-2*regressions!$X$1*AI253))/2/EXP(-regressions!$X$1*AI253)</f>
        <v>-0.91239481613998585</v>
      </c>
      <c r="AT253" s="33">
        <v>1.5007109664245211</v>
      </c>
      <c r="AU253">
        <f t="shared" si="55"/>
        <v>-0.75815092556797414</v>
      </c>
      <c r="AV253">
        <f>IF(AT253&lt;=regressions!$L$2,AT253*regressions!$L$1,regressions!$L$1*regressions!$L$2+regressions!$L$3*(AT253-regressions!$L$2))</f>
        <v>-1.1927348159763302</v>
      </c>
      <c r="AW253">
        <f>regressions!$J$1*AT253+regressions!$J$2*AT253^2</f>
        <v>-0.86440149012932532</v>
      </c>
      <c r="AX253">
        <f>regressions!$V$1*AT253</f>
        <v>-1.1927348193435723</v>
      </c>
      <c r="AY253">
        <f>regressions!$N$1*AT253^2</f>
        <v>-0.39242267742032816</v>
      </c>
      <c r="AZ253">
        <f>regressions!$R$1*AT253^2+regressions!$R$2*AT253^6</f>
        <v>-0.42729341235514945</v>
      </c>
      <c r="BA253">
        <f>regressions!$P$1*AT253^2+regressions!$P$2*AT253^7</f>
        <v>-0.41348355360716582</v>
      </c>
      <c r="BB253">
        <f>regressions!$T$2+regressions!$T$1*EXP(AT253)</f>
        <v>-2.7233142812546414E-2</v>
      </c>
      <c r="BC253" s="8">
        <f>(1-EXP(-2*regressions!$X$1*AT253))/2/EXP(-regressions!$X$1*AT253)</f>
        <v>-0.64950395527195992</v>
      </c>
      <c r="BE253">
        <f t="shared" si="56"/>
        <v>0.98943770357341432</v>
      </c>
      <c r="BF253">
        <f t="shared" si="47"/>
        <v>2.1943202742609254</v>
      </c>
      <c r="BG253">
        <f t="shared" si="48"/>
        <v>2.8235338918982786</v>
      </c>
      <c r="BH253">
        <f>BG253+regressions!$AR$1*(AI253-B253)</f>
        <v>-0.12667663695114006</v>
      </c>
      <c r="BI253">
        <f>BG253-regressions!$AO$1*(AI253-B253)</f>
        <v>6.8315054349135504</v>
      </c>
      <c r="BJ253">
        <f t="shared" si="49"/>
        <v>3.1702703831162031</v>
      </c>
      <c r="BK253">
        <f>BJ253+regressions!$AR$1*(AT253-B253)</f>
        <v>-0.31627749098121782</v>
      </c>
      <c r="BL253">
        <f>BJ253-regressions!$AO$1*(AT253-B253)</f>
        <v>7.90687630533583</v>
      </c>
      <c r="BM253">
        <f t="shared" si="57"/>
        <v>1.204882570687511</v>
      </c>
      <c r="BN253">
        <f t="shared" si="50"/>
        <v>1.8340961883248643</v>
      </c>
      <c r="BO253">
        <f t="shared" si="51"/>
        <v>2.1808326795427888</v>
      </c>
      <c r="BP253">
        <f t="shared" si="58"/>
        <v>0.62921361763735328</v>
      </c>
      <c r="BQ253">
        <f t="shared" si="59"/>
        <v>0.97595010885527755</v>
      </c>
      <c r="BR253">
        <f t="shared" si="60"/>
        <v>0.34673649121792427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12760-017F-4D71-926A-4B1FDEC270E2}">
  <dimension ref="A1:D69"/>
  <sheetViews>
    <sheetView topLeftCell="A53" workbookViewId="0">
      <selection sqref="A1:A69"/>
    </sheetView>
  </sheetViews>
  <sheetFormatPr defaultRowHeight="14.5" x14ac:dyDescent="0.35"/>
  <sheetData>
    <row r="1" spans="1:4" x14ac:dyDescent="0.35">
      <c r="A1">
        <f>regressions!B10</f>
        <v>-1</v>
      </c>
      <c r="B1">
        <f>regressions!C10</f>
        <v>-0.59642907312262095</v>
      </c>
      <c r="C1">
        <f>regressions!D10</f>
        <v>1</v>
      </c>
      <c r="D1">
        <f>regressions!E10</f>
        <v>1979</v>
      </c>
    </row>
    <row r="2" spans="1:4" x14ac:dyDescent="0.35">
      <c r="A2">
        <f>regressions!B11</f>
        <v>2.5</v>
      </c>
      <c r="B2">
        <f>regressions!C11</f>
        <v>-3</v>
      </c>
      <c r="C2">
        <f>regressions!D11</f>
        <v>1</v>
      </c>
      <c r="D2">
        <f>regressions!E11</f>
        <v>1982</v>
      </c>
    </row>
    <row r="3" spans="1:4" x14ac:dyDescent="0.35">
      <c r="A3">
        <f>regressions!B12</f>
        <v>3</v>
      </c>
      <c r="B3">
        <f>regressions!C12</f>
        <v>-1</v>
      </c>
      <c r="C3">
        <f>regressions!D12</f>
        <v>1</v>
      </c>
      <c r="D3">
        <f>regressions!E12</f>
        <v>1991</v>
      </c>
    </row>
    <row r="4" spans="1:4" x14ac:dyDescent="0.35">
      <c r="A4">
        <f>regressions!B13</f>
        <v>3</v>
      </c>
      <c r="B4">
        <f>regressions!C13</f>
        <v>-1.33</v>
      </c>
      <c r="C4">
        <f>regressions!D13</f>
        <v>1</v>
      </c>
      <c r="D4">
        <f>regressions!E13</f>
        <v>1994</v>
      </c>
    </row>
    <row r="5" spans="1:4" x14ac:dyDescent="0.35">
      <c r="A5">
        <f>regressions!B14</f>
        <v>3</v>
      </c>
      <c r="B5">
        <f>regressions!C14</f>
        <v>-3.6</v>
      </c>
      <c r="C5">
        <f>regressions!D14</f>
        <v>0.5</v>
      </c>
      <c r="D5">
        <f>regressions!E14</f>
        <v>1994</v>
      </c>
    </row>
    <row r="6" spans="1:4" x14ac:dyDescent="0.35">
      <c r="A6">
        <f>regressions!B15</f>
        <v>6</v>
      </c>
      <c r="B6">
        <f>regressions!C15</f>
        <v>-6.7</v>
      </c>
      <c r="C6">
        <f>regressions!D15</f>
        <v>0.5</v>
      </c>
      <c r="D6">
        <f>regressions!E15</f>
        <v>1994</v>
      </c>
    </row>
    <row r="7" spans="1:4" x14ac:dyDescent="0.35">
      <c r="A7">
        <f>regressions!B16</f>
        <v>2.5</v>
      </c>
      <c r="B7">
        <f>regressions!C16</f>
        <v>-1.4</v>
      </c>
      <c r="C7">
        <f>regressions!D16</f>
        <v>1</v>
      </c>
      <c r="D7">
        <f>regressions!E16</f>
        <v>1995</v>
      </c>
    </row>
    <row r="8" spans="1:4" x14ac:dyDescent="0.35">
      <c r="A8">
        <f>regressions!B17</f>
        <v>2.5</v>
      </c>
      <c r="B8">
        <f>regressions!C17</f>
        <v>-1.5</v>
      </c>
      <c r="C8">
        <f>regressions!D17</f>
        <v>1</v>
      </c>
      <c r="D8">
        <f>regressions!E17</f>
        <v>1995</v>
      </c>
    </row>
    <row r="9" spans="1:4" x14ac:dyDescent="0.35">
      <c r="A9">
        <f>regressions!B18</f>
        <v>2.5</v>
      </c>
      <c r="B9">
        <f>regressions!C18</f>
        <v>-1.9</v>
      </c>
      <c r="C9">
        <f>regressions!D18</f>
        <v>1</v>
      </c>
      <c r="D9">
        <f>regressions!E18</f>
        <v>1995</v>
      </c>
    </row>
    <row r="10" spans="1:4" x14ac:dyDescent="0.35">
      <c r="A10">
        <f>regressions!B19</f>
        <v>2.5</v>
      </c>
      <c r="B10">
        <f>regressions!C19</f>
        <v>-1.435622202473182</v>
      </c>
      <c r="C10">
        <f>regressions!D19</f>
        <v>1</v>
      </c>
      <c r="D10">
        <f>regressions!E19</f>
        <v>1996</v>
      </c>
    </row>
    <row r="11" spans="1:4" x14ac:dyDescent="0.35">
      <c r="A11">
        <f>regressions!B20</f>
        <v>2.5</v>
      </c>
      <c r="B11">
        <f>regressions!C20</f>
        <v>-2.8909238132996098</v>
      </c>
      <c r="C11">
        <f>regressions!D20</f>
        <v>1</v>
      </c>
      <c r="D11">
        <f>regressions!E20</f>
        <v>1996</v>
      </c>
    </row>
    <row r="12" spans="1:4" x14ac:dyDescent="0.35">
      <c r="A12">
        <f>regressions!B21</f>
        <v>2.4900000000000002</v>
      </c>
      <c r="B12">
        <f>regressions!C21</f>
        <v>0.03</v>
      </c>
      <c r="C12">
        <f>regressions!D21</f>
        <v>0.16666666666666666</v>
      </c>
      <c r="D12">
        <f>regressions!E21</f>
        <v>2000</v>
      </c>
    </row>
    <row r="13" spans="1:4" x14ac:dyDescent="0.35">
      <c r="A13">
        <f>regressions!B22</f>
        <v>2.4900000000000002</v>
      </c>
      <c r="B13">
        <f>regressions!C22</f>
        <v>0.1</v>
      </c>
      <c r="C13">
        <f>regressions!D22</f>
        <v>0.16666666666666666</v>
      </c>
      <c r="D13">
        <f>regressions!E22</f>
        <v>2000</v>
      </c>
    </row>
    <row r="14" spans="1:4" x14ac:dyDescent="0.35">
      <c r="A14">
        <f>regressions!B23</f>
        <v>4</v>
      </c>
      <c r="B14">
        <f>regressions!C23</f>
        <v>-0.01</v>
      </c>
      <c r="C14">
        <f>regressions!D23</f>
        <v>0.16666666666666666</v>
      </c>
      <c r="D14">
        <f>regressions!E23</f>
        <v>2000</v>
      </c>
    </row>
    <row r="15" spans="1:4" x14ac:dyDescent="0.35">
      <c r="A15">
        <f>regressions!B24</f>
        <v>4</v>
      </c>
      <c r="B15">
        <f>regressions!C24</f>
        <v>-0.04</v>
      </c>
      <c r="C15">
        <f>regressions!D24</f>
        <v>0.16666666666666666</v>
      </c>
      <c r="D15">
        <f>regressions!E24</f>
        <v>2000</v>
      </c>
    </row>
    <row r="16" spans="1:4" x14ac:dyDescent="0.35">
      <c r="A16">
        <f>regressions!B25</f>
        <v>5.2</v>
      </c>
      <c r="B16">
        <f>regressions!C25</f>
        <v>-0.01</v>
      </c>
      <c r="C16">
        <f>regressions!D25</f>
        <v>0.16666666666666666</v>
      </c>
      <c r="D16">
        <f>regressions!E25</f>
        <v>2000</v>
      </c>
    </row>
    <row r="17" spans="1:4" x14ac:dyDescent="0.35">
      <c r="A17">
        <f>regressions!B26</f>
        <v>5.2</v>
      </c>
      <c r="B17">
        <f>regressions!C26</f>
        <v>-0.13</v>
      </c>
      <c r="C17">
        <f>regressions!D26</f>
        <v>0.16666666666666666</v>
      </c>
      <c r="D17">
        <f>regressions!E26</f>
        <v>2000</v>
      </c>
    </row>
    <row r="18" spans="1:4" x14ac:dyDescent="0.35">
      <c r="A18">
        <f>regressions!B27</f>
        <v>2.5</v>
      </c>
      <c r="B18">
        <f>regressions!C27</f>
        <v>-1.5</v>
      </c>
      <c r="C18">
        <f>regressions!D27</f>
        <v>1</v>
      </c>
      <c r="D18">
        <f>regressions!E27</f>
        <v>2000</v>
      </c>
    </row>
    <row r="19" spans="1:4" x14ac:dyDescent="0.35">
      <c r="A19">
        <f>regressions!B28</f>
        <v>1</v>
      </c>
      <c r="B19">
        <f>regressions!C28</f>
        <v>2.2999999999999998</v>
      </c>
      <c r="C19">
        <f>regressions!D28</f>
        <v>1</v>
      </c>
      <c r="D19">
        <f>regressions!E28</f>
        <v>2002</v>
      </c>
    </row>
    <row r="20" spans="1:4" x14ac:dyDescent="0.35">
      <c r="A20">
        <f>regressions!B29</f>
        <v>2.5</v>
      </c>
      <c r="B20">
        <f>regressions!C29</f>
        <v>3.3000365094043249E-2</v>
      </c>
      <c r="C20">
        <f>regressions!D29</f>
        <v>1</v>
      </c>
      <c r="D20">
        <f>regressions!E29</f>
        <v>2003</v>
      </c>
    </row>
    <row r="21" spans="1:4" x14ac:dyDescent="0.35">
      <c r="A21">
        <f>regressions!B30</f>
        <v>0.6</v>
      </c>
      <c r="B21">
        <f>regressions!C30</f>
        <v>-0.17962065483383896</v>
      </c>
      <c r="C21">
        <f>regressions!D30</f>
        <v>0.5</v>
      </c>
      <c r="D21">
        <f>regressions!E30</f>
        <v>2005</v>
      </c>
    </row>
    <row r="22" spans="1:4" x14ac:dyDescent="0.35">
      <c r="A22">
        <f>regressions!B31</f>
        <v>1</v>
      </c>
      <c r="B22">
        <f>regressions!C31</f>
        <v>-0.30947656699459297</v>
      </c>
      <c r="C22">
        <f>regressions!D31</f>
        <v>0.5</v>
      </c>
      <c r="D22">
        <f>regressions!E31</f>
        <v>2005</v>
      </c>
    </row>
    <row r="23" spans="1:4" x14ac:dyDescent="0.35">
      <c r="A23">
        <f>regressions!B32</f>
        <v>2.5</v>
      </c>
      <c r="B23">
        <f>regressions!C32</f>
        <v>-0.9804776851232514</v>
      </c>
      <c r="C23">
        <f>regressions!D32</f>
        <v>1</v>
      </c>
      <c r="D23">
        <f>regressions!E32</f>
        <v>2006</v>
      </c>
    </row>
    <row r="24" spans="1:4" x14ac:dyDescent="0.35">
      <c r="A24">
        <f>regressions!B33</f>
        <v>3</v>
      </c>
      <c r="B24">
        <f>regressions!C33</f>
        <v>-0.93</v>
      </c>
      <c r="C24">
        <f>regressions!D33</f>
        <v>0.5</v>
      </c>
      <c r="D24">
        <f>regressions!E33</f>
        <v>2006</v>
      </c>
    </row>
    <row r="25" spans="1:4" x14ac:dyDescent="0.35">
      <c r="A25">
        <f>regressions!B34</f>
        <v>3</v>
      </c>
      <c r="B25">
        <f>regressions!C34</f>
        <v>-1.05</v>
      </c>
      <c r="C25">
        <f>regressions!D34</f>
        <v>0.5</v>
      </c>
      <c r="D25">
        <f>regressions!E34</f>
        <v>2006</v>
      </c>
    </row>
    <row r="26" spans="1:4" x14ac:dyDescent="0.35">
      <c r="A26">
        <f>regressions!B35</f>
        <v>3</v>
      </c>
      <c r="B26">
        <f>regressions!C35</f>
        <v>-2.5</v>
      </c>
      <c r="C26">
        <f>regressions!D35</f>
        <v>1</v>
      </c>
      <c r="D26">
        <f>regressions!E35</f>
        <v>2008</v>
      </c>
    </row>
    <row r="27" spans="1:4" x14ac:dyDescent="0.35">
      <c r="A27">
        <f>regressions!B36</f>
        <v>3.2</v>
      </c>
      <c r="B27">
        <f>regressions!C36</f>
        <v>-5.1135252093739076</v>
      </c>
      <c r="C27">
        <f>regressions!D36</f>
        <v>1</v>
      </c>
      <c r="D27">
        <f>regressions!E36</f>
        <v>2011</v>
      </c>
    </row>
    <row r="28" spans="1:4" x14ac:dyDescent="0.35">
      <c r="A28">
        <f>regressions!B37</f>
        <v>1.92</v>
      </c>
      <c r="B28">
        <f>regressions!C37</f>
        <v>-0.5</v>
      </c>
      <c r="C28">
        <f>regressions!D37</f>
        <v>1</v>
      </c>
      <c r="D28">
        <f>regressions!E37</f>
        <v>2012</v>
      </c>
    </row>
    <row r="29" spans="1:4" x14ac:dyDescent="0.35">
      <c r="A29">
        <f>regressions!B38</f>
        <v>2.9099999999999997</v>
      </c>
      <c r="B29">
        <f>regressions!C38</f>
        <v>-1.8</v>
      </c>
      <c r="C29">
        <f>regressions!D38</f>
        <v>0.5</v>
      </c>
      <c r="D29">
        <f>regressions!E38</f>
        <v>2012</v>
      </c>
    </row>
    <row r="30" spans="1:4" x14ac:dyDescent="0.35">
      <c r="A30">
        <f>regressions!B39</f>
        <v>5.4</v>
      </c>
      <c r="B30">
        <f>regressions!C39</f>
        <v>-4.5999999999999996</v>
      </c>
      <c r="C30">
        <f>regressions!D39</f>
        <v>0.5</v>
      </c>
      <c r="D30">
        <f>regressions!E39</f>
        <v>2012</v>
      </c>
    </row>
    <row r="31" spans="1:4" x14ac:dyDescent="0.35">
      <c r="A31">
        <f>regressions!B40</f>
        <v>2.9</v>
      </c>
      <c r="B31">
        <f>regressions!C40</f>
        <v>-2</v>
      </c>
      <c r="C31">
        <f>regressions!D40</f>
        <v>1</v>
      </c>
      <c r="D31">
        <f>regressions!E40</f>
        <v>2013</v>
      </c>
    </row>
    <row r="32" spans="1:4" x14ac:dyDescent="0.35">
      <c r="A32">
        <f>regressions!B41</f>
        <v>3</v>
      </c>
      <c r="B32">
        <f>regressions!C41</f>
        <v>-0.71756668095998166</v>
      </c>
      <c r="C32">
        <f>regressions!D41</f>
        <v>1</v>
      </c>
      <c r="D32">
        <f>regressions!E41</f>
        <v>2016</v>
      </c>
    </row>
    <row r="33" spans="1:4" x14ac:dyDescent="0.35">
      <c r="A33">
        <f>regressions!B42</f>
        <v>1</v>
      </c>
      <c r="B33">
        <f>regressions!C42</f>
        <v>-0.4658664448796927</v>
      </c>
      <c r="C33">
        <f>regressions!D42</f>
        <v>0.25</v>
      </c>
      <c r="D33">
        <f>regressions!E42</f>
        <v>2018</v>
      </c>
    </row>
    <row r="34" spans="1:4" x14ac:dyDescent="0.35">
      <c r="A34">
        <f>regressions!B43</f>
        <v>2</v>
      </c>
      <c r="B34">
        <f>regressions!C43</f>
        <v>-1.0740738140966928</v>
      </c>
      <c r="C34">
        <f>regressions!D43</f>
        <v>0.25</v>
      </c>
      <c r="D34">
        <f>regressions!E43</f>
        <v>2018</v>
      </c>
    </row>
    <row r="35" spans="1:4" x14ac:dyDescent="0.35">
      <c r="A35">
        <f>regressions!B44</f>
        <v>3</v>
      </c>
      <c r="B35">
        <f>regressions!C44</f>
        <v>-1.8369485050307706</v>
      </c>
      <c r="C35">
        <f>regressions!D44</f>
        <v>0.25</v>
      </c>
      <c r="D35">
        <f>regressions!E44</f>
        <v>2018</v>
      </c>
    </row>
    <row r="36" spans="1:4" x14ac:dyDescent="0.35">
      <c r="A36">
        <f>regressions!B45</f>
        <v>4</v>
      </c>
      <c r="B36">
        <f>regressions!C45</f>
        <v>-2.7931051587285425</v>
      </c>
      <c r="C36">
        <f>regressions!D45</f>
        <v>0.25</v>
      </c>
      <c r="D36">
        <f>regressions!E45</f>
        <v>2018</v>
      </c>
    </row>
    <row r="37" spans="1:4" x14ac:dyDescent="0.35">
      <c r="A37">
        <f>regressions!B46</f>
        <v>2.5</v>
      </c>
      <c r="B37">
        <f>regressions!C46</f>
        <v>-2</v>
      </c>
      <c r="C37">
        <f>regressions!D46</f>
        <v>1</v>
      </c>
      <c r="D37">
        <f>regressions!E46</f>
        <v>2019</v>
      </c>
    </row>
    <row r="38" spans="1:4" x14ac:dyDescent="0.35">
      <c r="A38">
        <f>regressions!B47</f>
        <v>2</v>
      </c>
      <c r="B38">
        <f>regressions!C47</f>
        <v>-1.0517705037403</v>
      </c>
      <c r="C38">
        <f>regressions!D47</f>
        <v>0.33333333333333331</v>
      </c>
      <c r="D38">
        <f>regressions!E47</f>
        <v>2019</v>
      </c>
    </row>
    <row r="39" spans="1:4" x14ac:dyDescent="0.35">
      <c r="A39">
        <f>regressions!B48</f>
        <v>4</v>
      </c>
      <c r="B39">
        <f>regressions!C48</f>
        <v>-4.6911160007283899</v>
      </c>
      <c r="C39">
        <f>regressions!D48</f>
        <v>0.33333333333333331</v>
      </c>
      <c r="D39">
        <f>regressions!E48</f>
        <v>2019</v>
      </c>
    </row>
    <row r="40" spans="1:4" x14ac:dyDescent="0.35">
      <c r="A40">
        <f>regressions!B49</f>
        <v>6</v>
      </c>
      <c r="B40">
        <f>regressions!C49</f>
        <v>-9.49637530496768</v>
      </c>
      <c r="C40">
        <f>regressions!D49</f>
        <v>0.33333333333333331</v>
      </c>
      <c r="D40">
        <f>regressions!E49</f>
        <v>2019</v>
      </c>
    </row>
    <row r="41" spans="1:4" x14ac:dyDescent="0.35">
      <c r="A41">
        <f>regressions!B50</f>
        <v>3</v>
      </c>
      <c r="B41">
        <f>regressions!C50</f>
        <v>-9.1999999999999993</v>
      </c>
      <c r="C41">
        <f>regressions!D50</f>
        <v>1</v>
      </c>
      <c r="D41">
        <f>regressions!E50</f>
        <v>2000</v>
      </c>
    </row>
    <row r="42" spans="1:4" x14ac:dyDescent="0.35">
      <c r="A42">
        <f>regressions!B51</f>
        <v>1.2</v>
      </c>
      <c r="B42">
        <f>regressions!C51</f>
        <v>-2.2000000000000002</v>
      </c>
      <c r="C42">
        <f>regressions!D51</f>
        <v>0.25</v>
      </c>
      <c r="D42">
        <f>regressions!E51</f>
        <v>2021</v>
      </c>
    </row>
    <row r="43" spans="1:4" x14ac:dyDescent="0.35">
      <c r="A43">
        <f>regressions!B52</f>
        <v>3</v>
      </c>
      <c r="B43">
        <f>regressions!C52</f>
        <v>-8.5</v>
      </c>
      <c r="C43">
        <f>regressions!D52</f>
        <v>0.25</v>
      </c>
      <c r="D43">
        <f>regressions!E52</f>
        <v>2021</v>
      </c>
    </row>
    <row r="44" spans="1:4" x14ac:dyDescent="0.35">
      <c r="A44">
        <f>regressions!B53</f>
        <v>5</v>
      </c>
      <c r="B44">
        <f>regressions!C53</f>
        <v>-16.100000000000001</v>
      </c>
      <c r="C44">
        <f>regressions!D53</f>
        <v>0.25</v>
      </c>
      <c r="D44">
        <f>regressions!E53</f>
        <v>2021</v>
      </c>
    </row>
    <row r="45" spans="1:4" x14ac:dyDescent="0.35">
      <c r="A45">
        <f>regressions!B54</f>
        <v>7</v>
      </c>
      <c r="B45">
        <f>regressions!C54</f>
        <v>-25</v>
      </c>
      <c r="C45">
        <f>regressions!D54</f>
        <v>0.25</v>
      </c>
      <c r="D45">
        <f>regressions!E54</f>
        <v>2021</v>
      </c>
    </row>
    <row r="46" spans="1:4" x14ac:dyDescent="0.35">
      <c r="A46">
        <f>regressions!B55</f>
        <v>3.7</v>
      </c>
      <c r="B46">
        <f>regressions!C55</f>
        <v>-3.7</v>
      </c>
      <c r="C46">
        <f>regressions!D55</f>
        <v>1</v>
      </c>
      <c r="D46">
        <f>regressions!E55</f>
        <v>2021</v>
      </c>
    </row>
    <row r="47" spans="1:4" x14ac:dyDescent="0.35">
      <c r="A47">
        <f>regressions!B56</f>
        <v>4.6487373814138984</v>
      </c>
      <c r="B47">
        <f>regressions!C56</f>
        <v>5.1295273109904338</v>
      </c>
      <c r="C47">
        <f>regressions!D56</f>
        <v>1</v>
      </c>
      <c r="D47">
        <f>regressions!E56</f>
        <v>2015</v>
      </c>
    </row>
    <row r="48" spans="1:4" x14ac:dyDescent="0.35">
      <c r="A48">
        <f>regressions!B57</f>
        <v>9.2982230505350998</v>
      </c>
      <c r="B48">
        <f>regressions!C57</f>
        <v>-4.8593007850505128</v>
      </c>
      <c r="C48">
        <f>regressions!D57</f>
        <v>0</v>
      </c>
      <c r="D48">
        <f>regressions!E57</f>
        <v>2015</v>
      </c>
    </row>
    <row r="49" spans="1:4" x14ac:dyDescent="0.35">
      <c r="A49">
        <f>regressions!B58</f>
        <v>13.606208917250999</v>
      </c>
      <c r="B49">
        <f>regressions!C58</f>
        <v>-24.061208104792932</v>
      </c>
      <c r="C49">
        <f>regressions!D58</f>
        <v>0</v>
      </c>
      <c r="D49">
        <f>regressions!E58</f>
        <v>2015</v>
      </c>
    </row>
    <row r="50" spans="1:4" x14ac:dyDescent="0.35">
      <c r="A50">
        <f>regressions!B59</f>
        <v>16.682700289727595</v>
      </c>
      <c r="B50">
        <f>regressions!C59</f>
        <v>-78.907648460775576</v>
      </c>
      <c r="C50">
        <f>regressions!D59</f>
        <v>0</v>
      </c>
      <c r="D50">
        <f>regressions!E59</f>
        <v>2015</v>
      </c>
    </row>
    <row r="51" spans="1:4" x14ac:dyDescent="0.35">
      <c r="A51">
        <f>regressions!B60</f>
        <v>7.2</v>
      </c>
      <c r="B51">
        <f>regressions!C60</f>
        <v>-5</v>
      </c>
      <c r="C51">
        <f>regressions!D60</f>
        <v>1</v>
      </c>
      <c r="D51">
        <f>regressions!E60</f>
        <v>2021</v>
      </c>
    </row>
    <row r="52" spans="1:4" x14ac:dyDescent="0.35">
      <c r="A52">
        <f>regressions!B61</f>
        <v>1</v>
      </c>
      <c r="B52">
        <f>regressions!C61</f>
        <v>-2.2999999999999998</v>
      </c>
      <c r="C52">
        <f>regressions!D61</f>
        <v>1</v>
      </c>
      <c r="D52">
        <f>regressions!E61</f>
        <v>2020</v>
      </c>
    </row>
    <row r="53" spans="1:4" x14ac:dyDescent="0.35">
      <c r="A53">
        <f>regressions!B62</f>
        <v>4.3</v>
      </c>
      <c r="B53">
        <f>regressions!C62</f>
        <v>5.63</v>
      </c>
      <c r="C53">
        <f>regressions!D62</f>
        <v>0.1111111111111111</v>
      </c>
      <c r="D53">
        <f>regressions!E62</f>
        <v>2021</v>
      </c>
    </row>
    <row r="54" spans="1:4" x14ac:dyDescent="0.35">
      <c r="A54">
        <f>regressions!B63</f>
        <v>4.3</v>
      </c>
      <c r="B54">
        <f>regressions!C63</f>
        <v>3.61</v>
      </c>
      <c r="C54">
        <f>regressions!D63</f>
        <v>0.1111111111111111</v>
      </c>
      <c r="D54">
        <f>regressions!E63</f>
        <v>2021</v>
      </c>
    </row>
    <row r="55" spans="1:4" x14ac:dyDescent="0.35">
      <c r="A55">
        <f>regressions!B64</f>
        <v>4.3</v>
      </c>
      <c r="B55">
        <f>regressions!C64</f>
        <v>-1.71</v>
      </c>
      <c r="C55">
        <f>regressions!D64</f>
        <v>0.1111111111111111</v>
      </c>
      <c r="D55">
        <f>regressions!E64</f>
        <v>2021</v>
      </c>
    </row>
    <row r="56" spans="1:4" x14ac:dyDescent="0.35">
      <c r="A56">
        <f>regressions!B65</f>
        <v>4.3</v>
      </c>
      <c r="B56">
        <f>regressions!C65</f>
        <v>-1.63</v>
      </c>
      <c r="C56">
        <f>regressions!D65</f>
        <v>0.1111111111111111</v>
      </c>
      <c r="D56">
        <f>regressions!E65</f>
        <v>2021</v>
      </c>
    </row>
    <row r="57" spans="1:4" x14ac:dyDescent="0.35">
      <c r="A57">
        <f>regressions!B66</f>
        <v>4.3</v>
      </c>
      <c r="B57">
        <f>regressions!C66</f>
        <v>-2.17</v>
      </c>
      <c r="C57">
        <f>regressions!D66</f>
        <v>0.1111111111111111</v>
      </c>
      <c r="D57">
        <f>regressions!E66</f>
        <v>2021</v>
      </c>
    </row>
    <row r="58" spans="1:4" x14ac:dyDescent="0.35">
      <c r="A58">
        <f>regressions!B67</f>
        <v>4.3</v>
      </c>
      <c r="B58">
        <f>regressions!C67</f>
        <v>-0.64</v>
      </c>
      <c r="C58">
        <f>regressions!D67</f>
        <v>0.1111111111111111</v>
      </c>
      <c r="D58">
        <f>regressions!E67</f>
        <v>2021</v>
      </c>
    </row>
    <row r="59" spans="1:4" x14ac:dyDescent="0.35">
      <c r="A59">
        <f>regressions!B68</f>
        <v>4.3</v>
      </c>
      <c r="B59">
        <f>regressions!C68</f>
        <v>-1.82</v>
      </c>
      <c r="C59">
        <f>regressions!D68</f>
        <v>0.1111111111111111</v>
      </c>
      <c r="D59">
        <f>regressions!E68</f>
        <v>2021</v>
      </c>
    </row>
    <row r="60" spans="1:4" x14ac:dyDescent="0.35">
      <c r="A60">
        <f>regressions!B69</f>
        <v>4.3</v>
      </c>
      <c r="B60">
        <f>regressions!C69</f>
        <v>-1.75</v>
      </c>
      <c r="C60">
        <f>regressions!D69</f>
        <v>0.1111111111111111</v>
      </c>
      <c r="D60">
        <f>regressions!E69</f>
        <v>2021</v>
      </c>
    </row>
    <row r="61" spans="1:4" x14ac:dyDescent="0.35">
      <c r="A61">
        <f>regressions!B70</f>
        <v>4.3</v>
      </c>
      <c r="B61">
        <f>regressions!C70</f>
        <v>-2.16</v>
      </c>
      <c r="C61">
        <f>regressions!D70</f>
        <v>0.1111111111111111</v>
      </c>
      <c r="D61">
        <f>regressions!E70</f>
        <v>2021</v>
      </c>
    </row>
    <row r="62" spans="1:4" x14ac:dyDescent="0.35">
      <c r="A62">
        <f>regressions!B71</f>
        <v>2.5</v>
      </c>
      <c r="B62">
        <f>regressions!C71</f>
        <v>-5.22</v>
      </c>
      <c r="C62">
        <f>regressions!D71</f>
        <v>1</v>
      </c>
      <c r="D62">
        <f>regressions!E71</f>
        <v>1995</v>
      </c>
    </row>
    <row r="63" spans="1:4" x14ac:dyDescent="0.35">
      <c r="A63">
        <f>regressions!B72</f>
        <v>1</v>
      </c>
      <c r="B63">
        <f>regressions!C72</f>
        <v>-3.8</v>
      </c>
      <c r="C63">
        <f>regressions!D72</f>
        <v>1</v>
      </c>
      <c r="D63">
        <f>regressions!E72</f>
        <v>2009</v>
      </c>
    </row>
    <row r="64" spans="1:4" x14ac:dyDescent="0.35">
      <c r="A64">
        <f>regressions!B73</f>
        <v>3.03</v>
      </c>
      <c r="B64">
        <f>regressions!C73</f>
        <v>-1.35</v>
      </c>
      <c r="C64">
        <f>regressions!D73</f>
        <v>1</v>
      </c>
      <c r="D64">
        <f>regressions!E73</f>
        <v>2010</v>
      </c>
    </row>
    <row r="65" spans="1:4" x14ac:dyDescent="0.35">
      <c r="A65">
        <f>regressions!B74</f>
        <v>1</v>
      </c>
      <c r="B65">
        <f>regressions!C74</f>
        <v>-1.35</v>
      </c>
      <c r="C65">
        <f>regressions!D74</f>
        <v>0.5</v>
      </c>
      <c r="D65">
        <f>regressions!E74</f>
        <v>2011</v>
      </c>
    </row>
    <row r="66" spans="1:4" x14ac:dyDescent="0.35">
      <c r="A66">
        <f>regressions!B75</f>
        <v>1</v>
      </c>
      <c r="B66">
        <f>regressions!C75</f>
        <v>-1.61</v>
      </c>
      <c r="C66">
        <f>regressions!D75</f>
        <v>0.5</v>
      </c>
      <c r="D66">
        <f>regressions!E75</f>
        <v>2011</v>
      </c>
    </row>
    <row r="67" spans="1:4" x14ac:dyDescent="0.35">
      <c r="A67">
        <f>regressions!B76</f>
        <v>3</v>
      </c>
      <c r="B67">
        <f>regressions!C76</f>
        <v>-0.7</v>
      </c>
      <c r="C67">
        <f>regressions!D76</f>
        <v>1</v>
      </c>
      <c r="D67">
        <f>regressions!E76</f>
        <v>2011</v>
      </c>
    </row>
    <row r="68" spans="1:4" x14ac:dyDescent="0.35">
      <c r="A68">
        <f>regressions!B77</f>
        <v>2</v>
      </c>
      <c r="B68">
        <f>regressions!C77</f>
        <v>-0.7</v>
      </c>
      <c r="C68">
        <f>regressions!D77</f>
        <v>0.5</v>
      </c>
      <c r="D68">
        <f>regressions!E77</f>
        <v>2013</v>
      </c>
    </row>
    <row r="69" spans="1:4" x14ac:dyDescent="0.35">
      <c r="A69">
        <f>regressions!B78</f>
        <v>4</v>
      </c>
      <c r="B69">
        <f>regressions!C78</f>
        <v>-1.8</v>
      </c>
      <c r="C69">
        <f>regressions!D78</f>
        <v>0.5</v>
      </c>
      <c r="D69">
        <f>regressions!E78</f>
        <v>2013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048575"/>
  <sheetViews>
    <sheetView topLeftCell="A2" zoomScaleNormal="100" workbookViewId="0">
      <selection activeCell="B10" sqref="B10:C10"/>
    </sheetView>
  </sheetViews>
  <sheetFormatPr defaultRowHeight="14.5" x14ac:dyDescent="0.35"/>
  <cols>
    <col min="1" max="1" width="33" customWidth="1"/>
    <col min="5" max="5" width="12" bestFit="1" customWidth="1"/>
    <col min="6" max="8" width="12" customWidth="1"/>
    <col min="9" max="9" width="11.81640625" customWidth="1"/>
    <col min="22" max="22" width="12" bestFit="1" customWidth="1"/>
    <col min="29" max="29" width="19.81640625" customWidth="1"/>
    <col min="30" max="30" width="10.54296875" customWidth="1"/>
  </cols>
  <sheetData>
    <row r="1" spans="1:64" ht="16" thickBot="1" x14ac:dyDescent="0.4">
      <c r="G1">
        <v>80.797513985175385</v>
      </c>
      <c r="J1">
        <v>-0.45333655341919293</v>
      </c>
      <c r="L1">
        <v>-0.79477983613196934</v>
      </c>
      <c r="N1" s="2">
        <v>-0.17424486337852776</v>
      </c>
      <c r="P1">
        <v>-0.18360388675977432</v>
      </c>
      <c r="R1">
        <v>-0.18978411516097285</v>
      </c>
      <c r="T1">
        <v>-7.8146650387236269E-3</v>
      </c>
      <c r="V1" s="2">
        <v>-0.79477983837573385</v>
      </c>
      <c r="X1">
        <v>-0.40701265917205615</v>
      </c>
      <c r="AC1" s="23" t="s">
        <v>560</v>
      </c>
      <c r="AD1" s="23" t="s">
        <v>561</v>
      </c>
      <c r="AG1" t="s">
        <v>722</v>
      </c>
      <c r="AH1" t="s">
        <v>33</v>
      </c>
      <c r="AI1" t="s">
        <v>13</v>
      </c>
      <c r="AJ1" t="s">
        <v>23</v>
      </c>
      <c r="AK1" t="s">
        <v>15</v>
      </c>
      <c r="AL1" t="s">
        <v>16</v>
      </c>
      <c r="AM1" t="s">
        <v>25</v>
      </c>
      <c r="AN1" t="s">
        <v>24</v>
      </c>
      <c r="AO1">
        <v>1.4309921043085638</v>
      </c>
      <c r="AP1">
        <f>SUM(AP4:AP24)</f>
        <v>166.98551338132253</v>
      </c>
      <c r="AQ1">
        <f>SUM(AQ4:AQ24)</f>
        <v>223.68479018202117</v>
      </c>
      <c r="AR1">
        <v>1.0533328212344109</v>
      </c>
      <c r="AS1">
        <f>SUM(AS4:AS24)</f>
        <v>153.29753955893659</v>
      </c>
      <c r="AT1">
        <f>SUM(AT4:AT24)</f>
        <v>199.84047008788193</v>
      </c>
    </row>
    <row r="2" spans="1:64" ht="16" thickBot="1" x14ac:dyDescent="0.4">
      <c r="G2" s="2">
        <v>-4.1192264160148276E-2</v>
      </c>
      <c r="J2" s="2">
        <v>-8.1733325629855427E-2</v>
      </c>
      <c r="L2">
        <v>12.836513107050566</v>
      </c>
      <c r="P2" s="2">
        <v>9.8543399444156673E-7</v>
      </c>
      <c r="R2" s="70">
        <v>1.1006956475507582E-5</v>
      </c>
      <c r="T2">
        <f>-T1</f>
        <v>7.8146650387236269E-3</v>
      </c>
      <c r="AC2" s="23" t="s">
        <v>556</v>
      </c>
      <c r="AD2" s="35">
        <f>M5</f>
        <v>0.13179100261299873</v>
      </c>
      <c r="AE2" s="24">
        <f t="shared" ref="AE2:AE5" si="0">AD2</f>
        <v>0.13179100261299873</v>
      </c>
      <c r="AG2">
        <f>SUM(AG4:AG24)</f>
        <v>14</v>
      </c>
      <c r="AO2">
        <f>SQRT(AP1/(AG2-2)/AQ1)</f>
        <v>0.24941958240578296</v>
      </c>
      <c r="AQ2">
        <f>SUMPRODUCT(AM4:AM24,$AG4:$AG24)/SUM($AG4:$AG24)</f>
        <v>3.4692977026614642</v>
      </c>
      <c r="AR2">
        <f>SQRT(AS1/(AG2-2)/AT1)</f>
        <v>0.25283386746260195</v>
      </c>
      <c r="AT2">
        <f>SUMPRODUCT(AN4:AN24,$AG4:$AG24)/SUM($AG4:$AG24)</f>
        <v>2.321904935400299</v>
      </c>
    </row>
    <row r="3" spans="1:64" ht="15.5" x14ac:dyDescent="0.35">
      <c r="L3">
        <v>-17.827404168275013</v>
      </c>
      <c r="AC3" s="23" t="s">
        <v>557</v>
      </c>
      <c r="AD3" s="35">
        <f>K5</f>
        <v>0.2078310294868955</v>
      </c>
      <c r="AE3" s="24">
        <f t="shared" si="0"/>
        <v>0.2078310294868955</v>
      </c>
      <c r="AT3" s="4"/>
      <c r="AU3" s="4"/>
      <c r="BD3" s="4"/>
      <c r="BE3" s="4"/>
    </row>
    <row r="4" spans="1:64" ht="15.5" x14ac:dyDescent="0.35">
      <c r="G4">
        <f>SUMPRODUCT(H10:H78,D10:D78)</f>
        <v>346.55194714373977</v>
      </c>
      <c r="AC4" s="23" t="s">
        <v>555</v>
      </c>
      <c r="AD4" s="35">
        <f>W5</f>
        <v>0.13914661606363005</v>
      </c>
      <c r="AE4" s="24">
        <f t="shared" si="0"/>
        <v>0.13914661606363005</v>
      </c>
      <c r="AG4">
        <v>1</v>
      </c>
      <c r="AH4">
        <f>Table1!C4</f>
        <v>2.5</v>
      </c>
      <c r="AI4">
        <f>Table1!E4</f>
        <v>-3</v>
      </c>
      <c r="AJ4">
        <f>Table1!G4</f>
        <v>0</v>
      </c>
      <c r="AK4">
        <f>Table1!I4</f>
        <v>-12</v>
      </c>
      <c r="AL4">
        <f>Table1!K4</f>
        <v>5</v>
      </c>
      <c r="AM4">
        <f>(AI4-AK4)/2</f>
        <v>4.5</v>
      </c>
      <c r="AN4">
        <f>(AL4-AI4)/2</f>
        <v>4</v>
      </c>
      <c r="AO4">
        <f t="shared" ref="AO4:AO24" si="1">AO$1*AH4</f>
        <v>3.5774802607714093</v>
      </c>
      <c r="AP4">
        <f>AG4*(AO4-AM4)^2</f>
        <v>0.85104266926638694</v>
      </c>
      <c r="AQ4">
        <f>AG4*(AM4-AQ$2)^2</f>
        <v>1.0623472257389355</v>
      </c>
      <c r="AR4">
        <f t="shared" ref="AR4:AR24" si="2">AR$1*AH4</f>
        <v>2.6333320530860274</v>
      </c>
      <c r="AS4">
        <f t="shared" ref="AS4:AS24" si="3">AG4*(AR4-AN4)^2</f>
        <v>1.8677812771220532</v>
      </c>
      <c r="AT4">
        <f>AG4*(AN4-AT$2)^2</f>
        <v>2.8160030458338747</v>
      </c>
    </row>
    <row r="5" spans="1:64" ht="15.5" x14ac:dyDescent="0.35">
      <c r="G5">
        <f>SQRT(G4/(H7-2))</f>
        <v>3.0604360541796476</v>
      </c>
      <c r="I5" t="s">
        <v>721</v>
      </c>
      <c r="K5">
        <f>EXP(K8)/$H8</f>
        <v>0.2078310294868955</v>
      </c>
      <c r="M5">
        <f>EXP(M8)/$H8</f>
        <v>0.13179100261299873</v>
      </c>
      <c r="O5">
        <f>EXP(O8)/$H8</f>
        <v>0.11297088131851339</v>
      </c>
      <c r="Q5">
        <f>EXP(Q8)/$H8</f>
        <v>0.11609119514932272</v>
      </c>
      <c r="S5">
        <f>EXP(S8)/$H8</f>
        <v>0.11760769911204765</v>
      </c>
      <c r="U5">
        <f>EXP(U8)/$H8</f>
        <v>9.9767198691121019E-4</v>
      </c>
      <c r="W5">
        <f>EXP(W8)/$H8</f>
        <v>0.13914661606363005</v>
      </c>
      <c r="Y5">
        <f>EXP(Y8)/$H8</f>
        <v>0.17356390426968069</v>
      </c>
      <c r="AC5" s="23" t="s">
        <v>559</v>
      </c>
      <c r="AD5" s="35">
        <f>U5</f>
        <v>9.9767198691121019E-4</v>
      </c>
      <c r="AE5" s="24">
        <f t="shared" si="0"/>
        <v>9.9767198691121019E-4</v>
      </c>
      <c r="AG5">
        <v>1</v>
      </c>
      <c r="AH5">
        <f>Table1!C7</f>
        <v>3</v>
      </c>
      <c r="AI5">
        <f>Table1!E7</f>
        <v>-3.6</v>
      </c>
      <c r="AJ5">
        <f>Table1!G7</f>
        <v>0</v>
      </c>
      <c r="AK5">
        <f>Table1!I7</f>
        <v>-21</v>
      </c>
      <c r="AL5">
        <f>Table1!K7</f>
        <v>0</v>
      </c>
      <c r="AM5">
        <f>(AI5-AK5)/2</f>
        <v>8.6999999999999993</v>
      </c>
      <c r="AN5">
        <f>(AL5-AI5)/2</f>
        <v>1.8</v>
      </c>
      <c r="AO5">
        <f t="shared" si="1"/>
        <v>4.2929763129256919</v>
      </c>
      <c r="AP5">
        <f t="shared" ref="AP5:AP20" si="4">AG5*(AO5-AM5)^2</f>
        <v>19.421857778434024</v>
      </c>
      <c r="AQ5">
        <f t="shared" ref="AQ5:AQ24" si="5">AG5*(AM5-AQ$2)^2</f>
        <v>27.360246523382628</v>
      </c>
      <c r="AR5">
        <f t="shared" si="2"/>
        <v>3.1599984637032326</v>
      </c>
      <c r="AS5">
        <f t="shared" si="3"/>
        <v>1.8495958212751527</v>
      </c>
      <c r="AT5">
        <f t="shared" ref="AT5:AT24" si="6">AG5*(AN5-AT$2)^2</f>
        <v>0.27238476159519021</v>
      </c>
    </row>
    <row r="6" spans="1:64" ht="15.5" x14ac:dyDescent="0.35">
      <c r="G6">
        <f>2*G5</f>
        <v>6.1208721083592952</v>
      </c>
      <c r="I6" t="s">
        <v>720</v>
      </c>
      <c r="K6">
        <v>2</v>
      </c>
      <c r="M6">
        <v>3</v>
      </c>
      <c r="O6">
        <v>1</v>
      </c>
      <c r="Q6">
        <v>2</v>
      </c>
      <c r="S6">
        <v>2</v>
      </c>
      <c r="U6">
        <v>1</v>
      </c>
      <c r="W6">
        <v>1</v>
      </c>
      <c r="Y6">
        <v>1</v>
      </c>
      <c r="AA6">
        <f>SUM(K6:Y6)</f>
        <v>13</v>
      </c>
      <c r="AC6" s="23" t="s">
        <v>543</v>
      </c>
      <c r="AD6" s="35">
        <f>S5</f>
        <v>0.11760769911204765</v>
      </c>
      <c r="AE6" s="24">
        <f>AD6</f>
        <v>0.11760769911204765</v>
      </c>
      <c r="AG6">
        <v>1</v>
      </c>
      <c r="AH6">
        <f>Table1!C13</f>
        <v>2.5</v>
      </c>
      <c r="AI6">
        <f>Table1!E13</f>
        <v>-2.8909238132996098</v>
      </c>
      <c r="AJ6">
        <f>Table1!G13</f>
        <v>0</v>
      </c>
      <c r="AK6">
        <f>Table1!I13</f>
        <v>-13.071417387190749</v>
      </c>
      <c r="AL6">
        <f>Table1!K13</f>
        <v>-0.50357654687015618</v>
      </c>
      <c r="AM6">
        <f>(AI6-AK6)/2</f>
        <v>5.0902467869455696</v>
      </c>
      <c r="AN6">
        <f>(AL6-AI6)/2</f>
        <v>1.1936736332147269</v>
      </c>
      <c r="AO6">
        <f t="shared" si="1"/>
        <v>3.5774802607714093</v>
      </c>
      <c r="AP6">
        <f t="shared" si="4"/>
        <v>2.2884625627130366</v>
      </c>
      <c r="AQ6">
        <f t="shared" si="5"/>
        <v>2.6274759338414801</v>
      </c>
      <c r="AR6">
        <f t="shared" si="2"/>
        <v>2.6333320530860274</v>
      </c>
      <c r="AS6">
        <f t="shared" si="3"/>
        <v>2.0726163659063297</v>
      </c>
      <c r="AT6">
        <f t="shared" si="6"/>
        <v>1.2729058712313517</v>
      </c>
    </row>
    <row r="7" spans="1:64" ht="15.5" x14ac:dyDescent="0.35">
      <c r="H7">
        <f>SUM(D10:D78)</f>
        <v>39.000000000000021</v>
      </c>
      <c r="I7" t="s">
        <v>719</v>
      </c>
      <c r="K7" s="5">
        <f>SQRT(K9/($H7-K6))</f>
        <v>3.1187119070690152</v>
      </c>
      <c r="L7" s="5"/>
      <c r="M7" s="5">
        <f>SQRT(M9/($H7-M6))</f>
        <v>3.1960647019196315</v>
      </c>
      <c r="N7" s="5"/>
      <c r="O7" s="5">
        <f>SQRT(O9/($H7-O6))</f>
        <v>3.127488236377062</v>
      </c>
      <c r="P7" s="5"/>
      <c r="Q7" s="5">
        <f>SQRT(Q9/($H7-Q6))</f>
        <v>3.1656300405766129</v>
      </c>
      <c r="R7" s="5"/>
      <c r="S7" s="5">
        <f>SQRT(S9/($H7-S6))</f>
        <v>3.1645767546663643</v>
      </c>
      <c r="T7" s="5"/>
      <c r="U7" s="5">
        <f>SQRT(U9/($H7-U6))</f>
        <v>3.5307080384200149</v>
      </c>
      <c r="V7" s="5"/>
      <c r="W7" s="5">
        <f>SQRT(W9/($H7-W6))</f>
        <v>3.1108209478276176</v>
      </c>
      <c r="X7" s="5"/>
      <c r="Y7" s="5">
        <f>SQRT(Y9/($H7-Y6))</f>
        <v>3.0932414113940356</v>
      </c>
      <c r="AA7" s="5">
        <f>SQRT(AA9/($H7-AA6))</f>
        <v>3.7212885904649551</v>
      </c>
      <c r="AC7" s="23" t="s">
        <v>542</v>
      </c>
      <c r="AD7" s="35">
        <f>Q5</f>
        <v>0.11609119514932272</v>
      </c>
      <c r="AE7" s="24">
        <f>AD7</f>
        <v>0.11609119514932272</v>
      </c>
      <c r="AG7">
        <v>1</v>
      </c>
      <c r="AH7">
        <f>Table1!C21</f>
        <v>1</v>
      </c>
      <c r="AI7">
        <f>Table1!E21</f>
        <v>2.2999999999999998</v>
      </c>
      <c r="AJ7">
        <f>Table1!G21</f>
        <v>1</v>
      </c>
      <c r="AM7">
        <f>AJ7</f>
        <v>1</v>
      </c>
      <c r="AN7">
        <f>AJ7</f>
        <v>1</v>
      </c>
      <c r="AO7">
        <f t="shared" si="1"/>
        <v>1.4309921043085638</v>
      </c>
      <c r="AP7">
        <f t="shared" si="4"/>
        <v>0.18575419397632395</v>
      </c>
      <c r="AQ7">
        <f t="shared" si="5"/>
        <v>6.0974311443691844</v>
      </c>
      <c r="AR7">
        <f t="shared" si="2"/>
        <v>1.0533328212344109</v>
      </c>
      <c r="AS7">
        <f t="shared" si="3"/>
        <v>2.8443898208216252E-3</v>
      </c>
      <c r="AT7">
        <f t="shared" si="6"/>
        <v>1.7474326582356685</v>
      </c>
    </row>
    <row r="8" spans="1:64" ht="16" thickBot="1" x14ac:dyDescent="0.4">
      <c r="H8">
        <f>EXP(K8)+EXP(M8)+EXP(O8)+EXP(Q8)+EXP(S8)+EXP(U8)+EXP(W8)+EXP(Y8)</f>
        <v>2.4143855249167904E-27</v>
      </c>
      <c r="I8" t="s">
        <v>718</v>
      </c>
      <c r="J8" t="s">
        <v>539</v>
      </c>
      <c r="K8">
        <f>-K9/2/K7^2-$H7*LN(K7)</f>
        <v>-62.85938258479721</v>
      </c>
      <c r="L8" t="s">
        <v>324</v>
      </c>
      <c r="M8">
        <f>-M9/2/M7^2-$H7*LN(M7)</f>
        <v>-63.314890621837719</v>
      </c>
      <c r="N8" t="s">
        <v>540</v>
      </c>
      <c r="O8">
        <f>-O9/2/O7^2-$H7*LN(O7)</f>
        <v>-63.468977878062248</v>
      </c>
      <c r="P8" t="s">
        <v>542</v>
      </c>
      <c r="Q8">
        <f>-Q9/2/Q7^2-$H7*LN(Q7)</f>
        <v>-63.441731928799854</v>
      </c>
      <c r="R8" t="s">
        <v>543</v>
      </c>
      <c r="S8">
        <f>-S9/2/S7^2-$H7*LN(S7)</f>
        <v>-63.428753474159279</v>
      </c>
      <c r="T8" t="s">
        <v>541</v>
      </c>
      <c r="U8">
        <f>-U9/2/U7^2-$H7*LN(U7)</f>
        <v>-68.198438703244975</v>
      </c>
      <c r="V8" t="s">
        <v>544</v>
      </c>
      <c r="W8">
        <f>-W9/2/W7^2-$H7*LN(W7)</f>
        <v>-63.260579807067344</v>
      </c>
      <c r="X8" t="s">
        <v>723</v>
      </c>
      <c r="Y8">
        <f>-Y9/2/Y7^2-$H7*LN(Y7)</f>
        <v>-63.0395621202276</v>
      </c>
      <c r="AA8">
        <f>-AA9/2/AA7^2-$H7*LN(AA7)</f>
        <v>-64.248730140023184</v>
      </c>
      <c r="AC8" s="23" t="s">
        <v>558</v>
      </c>
      <c r="AD8" s="35">
        <f>O5</f>
        <v>0.11297088131851339</v>
      </c>
      <c r="AE8" s="24">
        <f>AD8</f>
        <v>0.11297088131851339</v>
      </c>
      <c r="AG8">
        <v>1</v>
      </c>
      <c r="AH8">
        <f>Table1!C25</f>
        <v>2.5</v>
      </c>
      <c r="AI8">
        <f>Table1!E25</f>
        <v>-0.9804776851232514</v>
      </c>
      <c r="AJ8">
        <f>Table1!G25</f>
        <v>0</v>
      </c>
      <c r="AK8">
        <f>Table1!I25</f>
        <v>-3.0412246519557202</v>
      </c>
      <c r="AL8">
        <f>Table1!K25</f>
        <v>4.6418105858271858E-2</v>
      </c>
      <c r="AM8">
        <f>(AI8-AK8)/2</f>
        <v>1.0303734834162344</v>
      </c>
      <c r="AN8">
        <f>(AL8-AI8)/2</f>
        <v>0.51344789549076164</v>
      </c>
      <c r="AO8">
        <f t="shared" si="1"/>
        <v>3.5774802607714093</v>
      </c>
      <c r="AP8">
        <f t="shared" si="4"/>
        <v>6.4877529352486665</v>
      </c>
      <c r="AQ8">
        <f t="shared" si="5"/>
        <v>5.9483513472209548</v>
      </c>
      <c r="AR8">
        <f t="shared" si="2"/>
        <v>2.6333320530860274</v>
      </c>
      <c r="AS8">
        <f t="shared" si="3"/>
        <v>4.493908841623389</v>
      </c>
      <c r="AT8">
        <f t="shared" si="6"/>
        <v>3.2705168651983656</v>
      </c>
      <c r="AU8" s="2"/>
      <c r="BD8" s="2"/>
      <c r="BE8" s="2"/>
    </row>
    <row r="9" spans="1:64" ht="15.5" x14ac:dyDescent="0.35">
      <c r="B9" t="s">
        <v>544</v>
      </c>
      <c r="C9" t="s">
        <v>624</v>
      </c>
      <c r="D9" t="s">
        <v>623</v>
      </c>
      <c r="E9" t="s">
        <v>80</v>
      </c>
      <c r="F9" t="s">
        <v>1038</v>
      </c>
      <c r="I9" t="s">
        <v>717</v>
      </c>
      <c r="K9">
        <f>SUM(K10:K78)</f>
        <v>359.87546649388025</v>
      </c>
      <c r="M9">
        <f>SUM(M10:M78)</f>
        <v>367.73386483883866</v>
      </c>
      <c r="O9">
        <f>SUM(O10:O78)</f>
        <v>371.68494140972263</v>
      </c>
      <c r="Q9">
        <f>SUM(Q10:Q78)</f>
        <v>370.78490149064049</v>
      </c>
      <c r="S9">
        <f>SUM(S10:S78)</f>
        <v>370.53820333846409</v>
      </c>
      <c r="U9">
        <f>SUM(U10:U78)</f>
        <v>473.70417159742124</v>
      </c>
      <c r="W9">
        <f>SUM(W10:W78)</f>
        <v>367.73386483883871</v>
      </c>
      <c r="Y9">
        <f>SUM(Y10:Y78)</f>
        <v>363.58941230819295</v>
      </c>
      <c r="AA9">
        <f>SUM(AA10:AA78)</f>
        <v>360.04770811164121</v>
      </c>
      <c r="AC9" s="23" t="s">
        <v>724</v>
      </c>
      <c r="AD9" s="11">
        <f>Y5</f>
        <v>0.17356390426968069</v>
      </c>
      <c r="AE9" s="24">
        <f>AD9</f>
        <v>0.17356390426968069</v>
      </c>
      <c r="AG9">
        <v>0.5</v>
      </c>
      <c r="AH9">
        <f>Table1!C26</f>
        <v>3</v>
      </c>
      <c r="AI9">
        <f>Table1!E26</f>
        <v>-0.93</v>
      </c>
      <c r="AJ9">
        <f>Table1!G26</f>
        <v>0.13</v>
      </c>
      <c r="AM9">
        <f>AJ9</f>
        <v>0.13</v>
      </c>
      <c r="AN9">
        <f>AJ9</f>
        <v>0.13</v>
      </c>
      <c r="AO9">
        <f t="shared" si="1"/>
        <v>4.2929763129256919</v>
      </c>
      <c r="AP9">
        <f t="shared" si="4"/>
        <v>8.6651858909901947</v>
      </c>
      <c r="AQ9">
        <f t="shared" si="5"/>
        <v>5.5754545735000667</v>
      </c>
      <c r="AR9">
        <f t="shared" si="2"/>
        <v>3.1599984637032326</v>
      </c>
      <c r="AS9">
        <f t="shared" si="3"/>
        <v>4.5904453450219753</v>
      </c>
      <c r="AT9">
        <f t="shared" si="6"/>
        <v>2.4022236229160945</v>
      </c>
    </row>
    <row r="10" spans="1:64" ht="15" thickBot="1" x14ac:dyDescent="0.4">
      <c r="A10" t="str">
        <f>Table1!A3</f>
        <v>d'Arge 1979</v>
      </c>
      <c r="B10">
        <f>Table1!C3</f>
        <v>-1</v>
      </c>
      <c r="C10">
        <f>Table1!E3</f>
        <v>-0.59642907312262095</v>
      </c>
      <c r="D10">
        <v>1</v>
      </c>
      <c r="E10">
        <v>1979</v>
      </c>
      <c r="F10" s="5">
        <f>Table1!M3</f>
        <v>2.9325226176909172</v>
      </c>
      <c r="G10" s="5">
        <f>G$1+G$2*E10</f>
        <v>-0.7219767877580523</v>
      </c>
      <c r="H10" s="5">
        <f>(F10-G10)^2</f>
        <v>13.355365904426872</v>
      </c>
      <c r="J10">
        <f t="shared" ref="J10:J41" si="7">J$1*B10+J$2*B10^2</f>
        <v>0.37160322778933752</v>
      </c>
      <c r="K10">
        <f t="shared" ref="K10:K41" si="8">$D10*(J10-$C10)^2</f>
        <v>0.93708653560890054</v>
      </c>
      <c r="L10">
        <f t="shared" ref="L10:L41" si="9">IF(B10&lt;=L$2,B10*L$1,L$1*L$2+L$3*(B10-L$2))</f>
        <v>0.79477983613196934</v>
      </c>
      <c r="M10">
        <f t="shared" ref="M10:M41" si="10">$D10*(L10-$C10)^2</f>
        <v>1.9354622291893468</v>
      </c>
      <c r="N10">
        <f t="shared" ref="N10:N41" si="11">N$1*B10^2</f>
        <v>-0.17424486337852776</v>
      </c>
      <c r="O10">
        <f t="shared" ref="O10:O41" si="12">$D10*(N10-$C10)^2</f>
        <v>0.1782395069572445</v>
      </c>
      <c r="P10">
        <f t="shared" ref="P10:P41" si="13">P$1*B10^2+P$2*B10^7</f>
        <v>-0.18360487219376875</v>
      </c>
      <c r="Q10">
        <f t="shared" ref="Q10:Q41" si="14">$D10*(P10-$C10)^2</f>
        <v>0.17042382087254532</v>
      </c>
      <c r="R10" s="24">
        <f t="shared" ref="R10:R41" si="15">R$1*B10^2+R$2*B10^6</f>
        <v>-0.18977310820449733</v>
      </c>
      <c r="S10">
        <f t="shared" ref="S10:S41" si="16">$D10*(R10-$C10)^2</f>
        <v>0.1653690738034902</v>
      </c>
      <c r="T10">
        <f t="shared" ref="T10:T41" si="17">T$2+T$1*EXP(B10)</f>
        <v>4.9398104313359715E-3</v>
      </c>
      <c r="U10">
        <f t="shared" ref="U10:U41" si="18">$D10*(T10-$C10)^2</f>
        <v>0.36164453410693259</v>
      </c>
      <c r="V10">
        <f t="shared" ref="V10:V41" si="19">V$1*B10</f>
        <v>0.79477983837573385</v>
      </c>
      <c r="W10">
        <f t="shared" ref="W10:W41" si="20">$D10*(V10-$C10)^2</f>
        <v>1.9354622354324371</v>
      </c>
      <c r="X10">
        <f>(1-EXP(-2*X$1*B10))/2/EXP(-X$1*B10)</f>
        <v>0.41834367992897836</v>
      </c>
      <c r="Y10">
        <f t="shared" ref="Y10:Y41" si="21">$D10*(X10-$C10)^2</f>
        <v>1.0297637403359221</v>
      </c>
      <c r="Z10" s="33">
        <f>J10*K$5+L10*M$5+N10*O$5+P10*Q$5+R10*S$5+T10*U$5+V10*W$5+X10*Y$5</f>
        <v>0.30186244516504568</v>
      </c>
      <c r="AA10">
        <f t="shared" ref="AA10:AA41" si="22">$D10*(Z10-$C10)^2</f>
        <v>0.80692765182756132</v>
      </c>
      <c r="AG10">
        <v>0.5</v>
      </c>
      <c r="AH10">
        <f>Table1!C27</f>
        <v>3</v>
      </c>
      <c r="AI10">
        <f>Table1!E27</f>
        <v>-1.05</v>
      </c>
      <c r="AJ10">
        <f>Table1!G27</f>
        <v>0.13</v>
      </c>
      <c r="AM10">
        <f>AJ10</f>
        <v>0.13</v>
      </c>
      <c r="AN10">
        <f>AJ10</f>
        <v>0.13</v>
      </c>
      <c r="AO10">
        <f t="shared" si="1"/>
        <v>4.2929763129256919</v>
      </c>
      <c r="AP10">
        <f t="shared" si="4"/>
        <v>8.6651858909901947</v>
      </c>
      <c r="AQ10">
        <f t="shared" si="5"/>
        <v>5.5754545735000667</v>
      </c>
      <c r="AR10">
        <f t="shared" si="2"/>
        <v>3.1599984637032326</v>
      </c>
      <c r="AS10">
        <f t="shared" si="3"/>
        <v>4.5904453450219753</v>
      </c>
      <c r="AT10">
        <f t="shared" si="6"/>
        <v>2.4022236229160945</v>
      </c>
    </row>
    <row r="11" spans="1:64" x14ac:dyDescent="0.35">
      <c r="A11" t="str">
        <f>Table1!A4</f>
        <v>Nordhaus 1982</v>
      </c>
      <c r="B11">
        <f>Table1!C4</f>
        <v>2.5</v>
      </c>
      <c r="C11">
        <f>Table1!E4</f>
        <v>-3</v>
      </c>
      <c r="D11">
        <v>1</v>
      </c>
      <c r="E11">
        <v>1982</v>
      </c>
      <c r="F11" s="5">
        <f>Table1!M4</f>
        <v>-3</v>
      </c>
      <c r="G11" s="5">
        <f t="shared" ref="G11:G74" si="23">G$1+G$2*E11</f>
        <v>-0.84555358023850147</v>
      </c>
      <c r="H11" s="5">
        <f t="shared" ref="H11:H74" si="24">(F11-G11)^2</f>
        <v>4.6416393756231393</v>
      </c>
      <c r="J11">
        <f t="shared" si="7"/>
        <v>-1.6441746687345788</v>
      </c>
      <c r="K11">
        <f t="shared" si="8"/>
        <v>1.838262328900989</v>
      </c>
      <c r="L11">
        <f t="shared" si="9"/>
        <v>-1.9869495903299232</v>
      </c>
      <c r="M11">
        <f t="shared" si="10"/>
        <v>1.0262711325327103</v>
      </c>
      <c r="N11">
        <f t="shared" si="11"/>
        <v>-1.0890303961157985</v>
      </c>
      <c r="O11">
        <f t="shared" si="12"/>
        <v>3.6518048269693417</v>
      </c>
      <c r="P11">
        <f t="shared" si="13"/>
        <v>-1.1469228310703414</v>
      </c>
      <c r="Q11">
        <f t="shared" si="14"/>
        <v>3.4338949940083583</v>
      </c>
      <c r="R11" s="24">
        <f t="shared" si="15"/>
        <v>-1.1834634745228021</v>
      </c>
      <c r="S11">
        <f t="shared" si="16"/>
        <v>3.2998049483927705</v>
      </c>
      <c r="T11">
        <f t="shared" si="17"/>
        <v>-8.7387444600447534E-2</v>
      </c>
      <c r="U11">
        <f t="shared" si="18"/>
        <v>8.4833118978711095</v>
      </c>
      <c r="V11">
        <f t="shared" si="19"/>
        <v>-1.9869495959393346</v>
      </c>
      <c r="W11">
        <f t="shared" si="20"/>
        <v>1.0262711211674773</v>
      </c>
      <c r="X11">
        <f t="shared" ref="X11:X60" si="25">(1-EXP(-2*X$1*B11))/2/EXP(-X$1*B11)</f>
        <v>-1.2024359346677713</v>
      </c>
      <c r="Y11">
        <f t="shared" si="21"/>
        <v>3.231236568973729</v>
      </c>
      <c r="Z11" s="33">
        <f t="shared" ref="Z11:Z60" si="26">J11*K$5+L11*M$5+N11*O$5+P11*Q$5+R11*S$5+T11*U$5+V11*W$5+X11*Y$5</f>
        <v>-1.484197346791621</v>
      </c>
      <c r="AA11">
        <f t="shared" si="22"/>
        <v>2.2976576834735614</v>
      </c>
      <c r="AG11">
        <v>0.5</v>
      </c>
      <c r="AH11">
        <f>Table1!C14</f>
        <v>2.4900000000000002</v>
      </c>
      <c r="AI11">
        <f>Table1!E14</f>
        <v>0.03</v>
      </c>
      <c r="AJ11">
        <f>Table1!G14</f>
        <v>5.2456722354448461E-2</v>
      </c>
      <c r="AM11">
        <f>AJ11</f>
        <v>5.2456722354448461E-2</v>
      </c>
      <c r="AN11">
        <f>AJ11</f>
        <v>5.2456722354448461E-2</v>
      </c>
      <c r="AO11">
        <f t="shared" si="1"/>
        <v>3.5631703397283241</v>
      </c>
      <c r="AP11">
        <f t="shared" si="4"/>
        <v>6.162555051607181</v>
      </c>
      <c r="AQ11">
        <f t="shared" si="5"/>
        <v>5.8374011423527037</v>
      </c>
      <c r="AR11">
        <f t="shared" si="2"/>
        <v>2.6227987248736833</v>
      </c>
      <c r="AS11">
        <f t="shared" si="3"/>
        <v>3.3033290049572948</v>
      </c>
      <c r="AT11">
        <f t="shared" si="6"/>
        <v>2.5751975958485018</v>
      </c>
      <c r="AU11" s="3"/>
      <c r="AV11" s="3"/>
      <c r="AW11" s="3"/>
      <c r="AX11" s="3"/>
      <c r="AY11" s="3"/>
      <c r="BD11" s="3"/>
      <c r="BE11" s="3"/>
      <c r="BF11" s="3"/>
      <c r="BG11" s="3"/>
      <c r="BH11" s="3"/>
      <c r="BI11" s="3"/>
    </row>
    <row r="12" spans="1:64" x14ac:dyDescent="0.35">
      <c r="A12" t="str">
        <f>Table1!A5</f>
        <v>Nordhaus 1991</v>
      </c>
      <c r="B12">
        <f>Table1!C5</f>
        <v>3</v>
      </c>
      <c r="C12">
        <f>Table1!E5</f>
        <v>-1</v>
      </c>
      <c r="D12">
        <v>1</v>
      </c>
      <c r="E12">
        <v>1991</v>
      </c>
      <c r="F12" s="5">
        <f>Table1!M5</f>
        <v>-0.77341098431592292</v>
      </c>
      <c r="G12" s="5">
        <f t="shared" si="23"/>
        <v>-1.2162839576798348</v>
      </c>
      <c r="H12" s="5">
        <f t="shared" si="24"/>
        <v>0.19613647053619218</v>
      </c>
      <c r="J12">
        <f t="shared" si="7"/>
        <v>-2.0956095909262777</v>
      </c>
      <c r="K12">
        <f t="shared" si="8"/>
        <v>1.2003603757296457</v>
      </c>
      <c r="L12">
        <f t="shared" si="9"/>
        <v>-2.3843395083959082</v>
      </c>
      <c r="M12">
        <f t="shared" si="10"/>
        <v>1.9163958745058249</v>
      </c>
      <c r="N12">
        <f t="shared" si="11"/>
        <v>-1.56820377040675</v>
      </c>
      <c r="O12">
        <f t="shared" si="12"/>
        <v>0.32285552470444662</v>
      </c>
      <c r="P12">
        <f t="shared" si="13"/>
        <v>-1.6502798366921252</v>
      </c>
      <c r="Q12">
        <f t="shared" si="14"/>
        <v>0.42286386600833703</v>
      </c>
      <c r="R12" s="24">
        <f t="shared" si="15"/>
        <v>-1.7000329651781108</v>
      </c>
      <c r="S12">
        <f t="shared" si="16"/>
        <v>0.49004615233605803</v>
      </c>
      <c r="T12">
        <f t="shared" si="17"/>
        <v>-0.14914707813890357</v>
      </c>
      <c r="U12">
        <f t="shared" si="18"/>
        <v>0.72395069463956496</v>
      </c>
      <c r="V12">
        <f t="shared" si="19"/>
        <v>-2.3843395151272015</v>
      </c>
      <c r="W12">
        <f t="shared" si="20"/>
        <v>1.9163958931426155</v>
      </c>
      <c r="X12">
        <f t="shared" si="25"/>
        <v>-1.5478907500015633</v>
      </c>
      <c r="Y12">
        <f t="shared" si="21"/>
        <v>0.30018427393727554</v>
      </c>
      <c r="Z12" s="33">
        <f t="shared" si="26"/>
        <v>-1.9190280160093458</v>
      </c>
      <c r="AA12">
        <f t="shared" si="22"/>
        <v>0.84461249421007434</v>
      </c>
      <c r="AG12">
        <v>0.5</v>
      </c>
      <c r="AH12">
        <f>Table1!C15</f>
        <v>2.4900000000000002</v>
      </c>
      <c r="AI12">
        <f>Table1!E15</f>
        <v>0.1</v>
      </c>
      <c r="AJ12">
        <f>Table1!G15</f>
        <v>1.3758216049095459E-2</v>
      </c>
      <c r="AM12">
        <f>AJ12</f>
        <v>1.3758216049095459E-2</v>
      </c>
      <c r="AN12">
        <f>AJ12</f>
        <v>1.3758216049095459E-2</v>
      </c>
      <c r="AO12">
        <f t="shared" si="1"/>
        <v>3.5631703397283241</v>
      </c>
      <c r="AP12">
        <f t="shared" si="4"/>
        <v>6.2991632118605452</v>
      </c>
      <c r="AQ12">
        <f t="shared" si="5"/>
        <v>5.9703765717686359</v>
      </c>
      <c r="AR12">
        <f t="shared" si="2"/>
        <v>2.6227987248736833</v>
      </c>
      <c r="AS12">
        <f t="shared" si="3"/>
        <v>3.4035461883438316</v>
      </c>
      <c r="AT12">
        <f t="shared" si="6"/>
        <v>2.6637706390258611</v>
      </c>
    </row>
    <row r="13" spans="1:64" x14ac:dyDescent="0.35">
      <c r="A13" t="str">
        <f>Table1!A6</f>
        <v>Nordhaus 1994b</v>
      </c>
      <c r="B13">
        <f>Table1!C6</f>
        <v>3</v>
      </c>
      <c r="C13">
        <f>Table1!E6</f>
        <v>-1.33</v>
      </c>
      <c r="D13">
        <v>1</v>
      </c>
      <c r="E13">
        <v>1994</v>
      </c>
      <c r="F13" s="5">
        <f>Table1!M6</f>
        <v>-1.0286366091401775</v>
      </c>
      <c r="G13" s="5">
        <f t="shared" si="23"/>
        <v>-1.3398607501602839</v>
      </c>
      <c r="H13" s="5">
        <f t="shared" si="24"/>
        <v>9.6860465953703095E-2</v>
      </c>
      <c r="J13">
        <f t="shared" si="7"/>
        <v>-2.0956095909262777</v>
      </c>
      <c r="K13">
        <f t="shared" si="8"/>
        <v>0.58615804571830221</v>
      </c>
      <c r="L13">
        <f t="shared" si="9"/>
        <v>-2.3843395083959082</v>
      </c>
      <c r="M13">
        <f t="shared" si="10"/>
        <v>1.1116317989645252</v>
      </c>
      <c r="N13">
        <f t="shared" si="11"/>
        <v>-1.56820377040675</v>
      </c>
      <c r="O13">
        <f t="shared" si="12"/>
        <v>5.6741036235991617E-2</v>
      </c>
      <c r="P13">
        <f t="shared" si="13"/>
        <v>-1.6502798366921252</v>
      </c>
      <c r="Q13">
        <f t="shared" si="14"/>
        <v>0.10257917379153433</v>
      </c>
      <c r="R13" s="24">
        <f t="shared" si="15"/>
        <v>-1.7000329651781108</v>
      </c>
      <c r="S13">
        <f t="shared" si="16"/>
        <v>0.13692439531850487</v>
      </c>
      <c r="T13">
        <f t="shared" si="17"/>
        <v>-0.14914707813890357</v>
      </c>
      <c r="U13">
        <f t="shared" si="18"/>
        <v>1.394413623067889</v>
      </c>
      <c r="V13">
        <f t="shared" si="19"/>
        <v>-2.3843395151272015</v>
      </c>
      <c r="W13">
        <f t="shared" si="20"/>
        <v>1.1116318131586622</v>
      </c>
      <c r="X13">
        <f t="shared" si="25"/>
        <v>-1.5478907500015633</v>
      </c>
      <c r="Y13">
        <f t="shared" si="21"/>
        <v>4.7476378936243721E-2</v>
      </c>
      <c r="Z13" s="33">
        <f t="shared" si="26"/>
        <v>-1.9190280160093458</v>
      </c>
      <c r="AA13">
        <f t="shared" si="22"/>
        <v>0.34695400364390605</v>
      </c>
      <c r="AG13">
        <f>1/3</f>
        <v>0.33333333333333331</v>
      </c>
      <c r="AH13">
        <f>Table1!C40</f>
        <v>2</v>
      </c>
      <c r="AI13">
        <f>Table1!E40</f>
        <v>-1.0517705037403</v>
      </c>
      <c r="AJ13">
        <f>Table1!G40</f>
        <v>0.58185612208306359</v>
      </c>
      <c r="AM13">
        <f t="shared" ref="AM13:AM20" si="27">AJ13</f>
        <v>0.58185612208306359</v>
      </c>
      <c r="AN13">
        <f t="shared" ref="AN13:AN20" si="28">AJ13</f>
        <v>0.58185612208306359</v>
      </c>
      <c r="AO13">
        <f t="shared" si="1"/>
        <v>2.8619842086171277</v>
      </c>
      <c r="AP13">
        <f t="shared" si="4"/>
        <v>1.732994697000497</v>
      </c>
      <c r="AQ13">
        <f t="shared" si="5"/>
        <v>2.7791062937510302</v>
      </c>
      <c r="AR13">
        <f t="shared" si="2"/>
        <v>2.1066656424688217</v>
      </c>
      <c r="AS13">
        <f t="shared" si="3"/>
        <v>0.77501469115301513</v>
      </c>
      <c r="AT13">
        <f t="shared" si="6"/>
        <v>1.0092566242422396</v>
      </c>
    </row>
    <row r="14" spans="1:64" ht="15" thickBot="1" x14ac:dyDescent="0.4">
      <c r="A14" t="str">
        <f>Table1!A7</f>
        <v>Nordhaus 1994a</v>
      </c>
      <c r="B14">
        <f>Table1!C7</f>
        <v>3</v>
      </c>
      <c r="C14">
        <f>Table1!E7</f>
        <v>-3.6</v>
      </c>
      <c r="D14">
        <v>0.5</v>
      </c>
      <c r="E14">
        <v>1994</v>
      </c>
      <c r="F14" s="5">
        <f>Table1!M7</f>
        <v>-2.7842795435373229</v>
      </c>
      <c r="G14" s="5">
        <f t="shared" si="23"/>
        <v>-1.3398607501602839</v>
      </c>
      <c r="H14" s="5">
        <f t="shared" si="24"/>
        <v>2.0863456506607809</v>
      </c>
      <c r="J14">
        <f t="shared" si="7"/>
        <v>-2.0956095909262777</v>
      </c>
      <c r="K14">
        <f t="shared" si="8"/>
        <v>1.1315952514565009</v>
      </c>
      <c r="L14">
        <f t="shared" si="9"/>
        <v>-2.3843395083959082</v>
      </c>
      <c r="M14">
        <f t="shared" si="10"/>
        <v>0.7389152154235511</v>
      </c>
      <c r="N14">
        <f t="shared" si="11"/>
        <v>-1.56820377040675</v>
      </c>
      <c r="O14">
        <f t="shared" si="12"/>
        <v>2.0640979592946738</v>
      </c>
      <c r="P14">
        <f t="shared" si="13"/>
        <v>-1.6502798366921252</v>
      </c>
      <c r="Q14">
        <f t="shared" si="14"/>
        <v>1.9007043576046432</v>
      </c>
      <c r="R14" s="24">
        <f t="shared" si="15"/>
        <v>-1.7000329651781108</v>
      </c>
      <c r="S14">
        <f t="shared" si="16"/>
        <v>1.8049373667049413</v>
      </c>
      <c r="T14">
        <f t="shared" si="17"/>
        <v>-0.14914707813890357</v>
      </c>
      <c r="U14">
        <f t="shared" si="18"/>
        <v>5.9541929441586339</v>
      </c>
      <c r="V14">
        <f t="shared" si="19"/>
        <v>-2.3843395151272015</v>
      </c>
      <c r="W14">
        <f t="shared" si="20"/>
        <v>0.73891520724058379</v>
      </c>
      <c r="X14">
        <f t="shared" si="25"/>
        <v>-1.5478907500015633</v>
      </c>
      <c r="Y14">
        <f t="shared" si="21"/>
        <v>2.1055761869645733</v>
      </c>
      <c r="Z14" s="33">
        <f t="shared" si="26"/>
        <v>-1.9190280160093458</v>
      </c>
      <c r="AA14">
        <f t="shared" si="22"/>
        <v>1.4128334054807383</v>
      </c>
      <c r="AG14">
        <f>1/3</f>
        <v>0.33333333333333331</v>
      </c>
      <c r="AH14">
        <f>Table1!C41</f>
        <v>4</v>
      </c>
      <c r="AI14">
        <f>Table1!E41</f>
        <v>-4.6911160007283899</v>
      </c>
      <c r="AJ14">
        <f>Table1!G41</f>
        <v>0.70640391035611572</v>
      </c>
      <c r="AM14">
        <f t="shared" si="27"/>
        <v>0.70640391035611572</v>
      </c>
      <c r="AN14">
        <f t="shared" si="28"/>
        <v>0.70640391035611572</v>
      </c>
      <c r="AO14">
        <f t="shared" si="1"/>
        <v>5.7239684172342553</v>
      </c>
      <c r="AP14">
        <f t="shared" si="4"/>
        <v>8.3919845268944222</v>
      </c>
      <c r="AQ14">
        <f t="shared" si="5"/>
        <v>2.5445273691864765</v>
      </c>
      <c r="AR14">
        <f t="shared" si="2"/>
        <v>4.2133312849376434</v>
      </c>
      <c r="AS14">
        <f t="shared" si="3"/>
        <v>4.0995132035297619</v>
      </c>
      <c r="AT14">
        <f t="shared" si="6"/>
        <v>0.8699478539729355</v>
      </c>
      <c r="AU14" s="2"/>
      <c r="AV14" s="2"/>
      <c r="AW14" s="2"/>
      <c r="AX14" s="2"/>
      <c r="AY14" s="2"/>
      <c r="BD14" s="2"/>
      <c r="BE14" s="2"/>
      <c r="BF14" s="2"/>
      <c r="BG14" s="2"/>
      <c r="BH14" s="2"/>
      <c r="BI14" s="2"/>
    </row>
    <row r="15" spans="1:64" ht="15" thickBot="1" x14ac:dyDescent="0.4">
      <c r="A15">
        <f>Table1!A8</f>
        <v>0</v>
      </c>
      <c r="B15">
        <f>Table1!C8</f>
        <v>6</v>
      </c>
      <c r="C15">
        <f>Table1!E8</f>
        <v>-6.7</v>
      </c>
      <c r="D15">
        <v>0.5</v>
      </c>
      <c r="E15">
        <v>1994</v>
      </c>
      <c r="F15" s="5">
        <f>Table1!M8</f>
        <v>-1.7602609915457885</v>
      </c>
      <c r="G15" s="5">
        <f t="shared" si="23"/>
        <v>-1.3398607501602839</v>
      </c>
      <c r="H15" s="5">
        <f t="shared" si="24"/>
        <v>0.17673636295699052</v>
      </c>
      <c r="J15">
        <f t="shared" si="7"/>
        <v>-5.6624190431899528</v>
      </c>
      <c r="K15">
        <f t="shared" si="8"/>
        <v>0.5382871209674267</v>
      </c>
      <c r="L15">
        <f t="shared" si="9"/>
        <v>-4.7686790167918165</v>
      </c>
      <c r="M15">
        <f t="shared" si="10"/>
        <v>1.8650003700901128</v>
      </c>
      <c r="N15">
        <f t="shared" si="11"/>
        <v>-6.2728150816269999</v>
      </c>
      <c r="O15">
        <f t="shared" si="12"/>
        <v>9.1243477242673468E-2</v>
      </c>
      <c r="P15">
        <f t="shared" si="13"/>
        <v>-6.3338814726838812</v>
      </c>
      <c r="Q15">
        <f t="shared" si="14"/>
        <v>6.7021388022061867E-2</v>
      </c>
      <c r="R15" s="24">
        <f t="shared" si="15"/>
        <v>-6.3186875844737411</v>
      </c>
      <c r="S15">
        <f t="shared" si="16"/>
        <v>7.2699579117235222E-2</v>
      </c>
      <c r="T15">
        <f t="shared" si="17"/>
        <v>-3.1448462230834076</v>
      </c>
      <c r="U15">
        <f t="shared" si="18"/>
        <v>6.3195591887621569</v>
      </c>
      <c r="V15">
        <f t="shared" si="19"/>
        <v>-4.7686790302544031</v>
      </c>
      <c r="W15">
        <f t="shared" si="20"/>
        <v>1.8650003440895369</v>
      </c>
      <c r="X15">
        <f t="shared" si="25"/>
        <v>-5.7049514507431969</v>
      </c>
      <c r="Y15">
        <f t="shared" si="21"/>
        <v>0.49506080768903443</v>
      </c>
      <c r="Z15" s="33">
        <f t="shared" si="26"/>
        <v>-5.649231716923615</v>
      </c>
      <c r="AA15">
        <f t="shared" si="22"/>
        <v>0.55205699235964711</v>
      </c>
      <c r="AG15">
        <f>1/3</f>
        <v>0.33333333333333331</v>
      </c>
      <c r="AH15">
        <f>Table1!C42</f>
        <v>6</v>
      </c>
      <c r="AI15">
        <f>Table1!E42</f>
        <v>-9.49637530496768</v>
      </c>
      <c r="AJ15">
        <f>Table1!G42</f>
        <v>1.1160602606516015</v>
      </c>
      <c r="AM15">
        <f t="shared" si="27"/>
        <v>1.1160602606516015</v>
      </c>
      <c r="AN15">
        <f t="shared" si="28"/>
        <v>1.1160602606516015</v>
      </c>
      <c r="AO15">
        <f t="shared" si="1"/>
        <v>8.5859526258513839</v>
      </c>
      <c r="AP15">
        <f t="shared" si="4"/>
        <v>18.599763982556663</v>
      </c>
      <c r="AQ15">
        <f t="shared" si="5"/>
        <v>1.8459088194923736</v>
      </c>
      <c r="AR15">
        <f t="shared" si="2"/>
        <v>6.3199969274064651</v>
      </c>
      <c r="AS15">
        <f t="shared" si="3"/>
        <v>9.0269856105319057</v>
      </c>
      <c r="AT15">
        <f t="shared" si="6"/>
        <v>0.48468712653993068</v>
      </c>
    </row>
    <row r="16" spans="1:64" x14ac:dyDescent="0.35">
      <c r="A16" t="str">
        <f>Table1!A9</f>
        <v>Fankhauser 1995</v>
      </c>
      <c r="B16">
        <f>Table1!C9</f>
        <v>2.5</v>
      </c>
      <c r="C16">
        <f>Table1!E9</f>
        <v>-1.4</v>
      </c>
      <c r="D16">
        <v>1</v>
      </c>
      <c r="E16">
        <v>1995</v>
      </c>
      <c r="F16" s="5">
        <f>Table1!M9</f>
        <v>-1.4</v>
      </c>
      <c r="G16" s="5">
        <f t="shared" si="23"/>
        <v>-1.3810530143204289</v>
      </c>
      <c r="H16" s="5">
        <f t="shared" si="24"/>
        <v>3.5898826634186786E-4</v>
      </c>
      <c r="J16">
        <f t="shared" si="7"/>
        <v>-1.6441746687345788</v>
      </c>
      <c r="K16">
        <f t="shared" si="8"/>
        <v>5.962126885164136E-2</v>
      </c>
      <c r="L16">
        <f t="shared" si="9"/>
        <v>-1.9869495903299232</v>
      </c>
      <c r="M16">
        <f t="shared" si="10"/>
        <v>0.34450982158846483</v>
      </c>
      <c r="N16">
        <f t="shared" si="11"/>
        <v>-1.0890303961157985</v>
      </c>
      <c r="O16">
        <f t="shared" si="12"/>
        <v>9.6702094539897102E-2</v>
      </c>
      <c r="P16">
        <f t="shared" si="13"/>
        <v>-1.1469228310703414</v>
      </c>
      <c r="Q16">
        <f t="shared" si="14"/>
        <v>6.4048053433450894E-2</v>
      </c>
      <c r="R16" s="24">
        <f t="shared" si="15"/>
        <v>-1.1834634745228021</v>
      </c>
      <c r="S16">
        <f t="shared" si="16"/>
        <v>4.6888066865737141E-2</v>
      </c>
      <c r="T16">
        <f t="shared" si="17"/>
        <v>-8.7387444600447534E-2</v>
      </c>
      <c r="U16">
        <f t="shared" si="18"/>
        <v>1.7229517205925431</v>
      </c>
      <c r="V16">
        <f t="shared" si="19"/>
        <v>-1.9869495959393346</v>
      </c>
      <c r="W16">
        <f t="shared" si="20"/>
        <v>0.3445098281733483</v>
      </c>
      <c r="X16">
        <f t="shared" si="25"/>
        <v>-1.2024359346677713</v>
      </c>
      <c r="Y16">
        <f t="shared" si="21"/>
        <v>3.9031559910597084E-2</v>
      </c>
      <c r="Z16" s="33">
        <f t="shared" si="26"/>
        <v>-1.484197346791621</v>
      </c>
      <c r="AA16">
        <f t="shared" si="22"/>
        <v>7.0891932067485E-3</v>
      </c>
      <c r="AG16">
        <v>1</v>
      </c>
      <c r="AH16">
        <f>Table1!C43</f>
        <v>3</v>
      </c>
      <c r="AI16">
        <f>Table1!E43</f>
        <v>-9.1999999999999993</v>
      </c>
      <c r="AJ16">
        <f>Table1!G43</f>
        <v>10.3</v>
      </c>
      <c r="AK16">
        <f>Table1!I43</f>
        <v>-20</v>
      </c>
      <c r="AL16">
        <f>Table1!K43</f>
        <v>-2</v>
      </c>
      <c r="AM16">
        <f>(AI16-AK16)/2</f>
        <v>5.4</v>
      </c>
      <c r="AN16">
        <f>(AL16-AI16)/2</f>
        <v>3.5999999999999996</v>
      </c>
      <c r="AO16">
        <f t="shared" si="1"/>
        <v>4.2929763129256919</v>
      </c>
      <c r="AP16">
        <f t="shared" si="4"/>
        <v>1.2255014437435963</v>
      </c>
      <c r="AQ16">
        <f t="shared" si="5"/>
        <v>3.7276113609483015</v>
      </c>
      <c r="AR16">
        <f t="shared" si="2"/>
        <v>3.1599984637032326</v>
      </c>
      <c r="AS16">
        <f t="shared" si="3"/>
        <v>0.19360135194351524</v>
      </c>
      <c r="AT16">
        <f t="shared" si="6"/>
        <v>1.6335269941541131</v>
      </c>
      <c r="AU16" s="3"/>
      <c r="AV16" s="3"/>
      <c r="AW16" s="3"/>
      <c r="AX16" s="3"/>
      <c r="AY16" s="3"/>
      <c r="AZ16" s="3"/>
      <c r="BA16" s="3"/>
      <c r="BB16" s="3"/>
      <c r="BD16" s="3"/>
      <c r="BE16" s="3"/>
      <c r="BF16" s="3"/>
      <c r="BG16" s="3"/>
      <c r="BH16" s="3"/>
      <c r="BI16" s="3"/>
      <c r="BJ16" s="3"/>
      <c r="BK16" s="3"/>
      <c r="BL16" s="3"/>
    </row>
    <row r="17" spans="1:64" x14ac:dyDescent="0.35">
      <c r="A17" t="str">
        <f>Table1!A10</f>
        <v>Berz undated</v>
      </c>
      <c r="B17">
        <f>Table1!C10</f>
        <v>2.5</v>
      </c>
      <c r="C17">
        <f>Table1!E10</f>
        <v>-1.5</v>
      </c>
      <c r="D17">
        <v>1</v>
      </c>
      <c r="E17">
        <v>1995</v>
      </c>
      <c r="F17" s="5">
        <f>Table1!M10</f>
        <v>-1.5</v>
      </c>
      <c r="G17" s="5">
        <f t="shared" si="23"/>
        <v>-1.3810530143204289</v>
      </c>
      <c r="H17" s="5">
        <f t="shared" si="24"/>
        <v>1.4148385402256086E-2</v>
      </c>
      <c r="J17">
        <f t="shared" si="7"/>
        <v>-1.6441746687345788</v>
      </c>
      <c r="K17">
        <f t="shared" si="8"/>
        <v>2.0786335104725547E-2</v>
      </c>
      <c r="L17">
        <f t="shared" si="9"/>
        <v>-1.9869495903299232</v>
      </c>
      <c r="M17">
        <f t="shared" si="10"/>
        <v>0.23711990352248008</v>
      </c>
      <c r="N17">
        <f t="shared" si="11"/>
        <v>-1.0890303961157985</v>
      </c>
      <c r="O17">
        <f t="shared" si="12"/>
        <v>0.16889601531673745</v>
      </c>
      <c r="P17">
        <f t="shared" si="13"/>
        <v>-1.1469228310703414</v>
      </c>
      <c r="Q17">
        <f t="shared" si="14"/>
        <v>0.12466348721938265</v>
      </c>
      <c r="R17" s="24">
        <f t="shared" si="15"/>
        <v>-1.1834634745228021</v>
      </c>
      <c r="S17">
        <f t="shared" si="16"/>
        <v>0.10019537196117675</v>
      </c>
      <c r="T17">
        <f t="shared" si="17"/>
        <v>-8.7387444600447534E-2</v>
      </c>
      <c r="U17">
        <f t="shared" si="18"/>
        <v>1.9954742316724539</v>
      </c>
      <c r="V17">
        <f t="shared" si="19"/>
        <v>-1.9869495959393346</v>
      </c>
      <c r="W17">
        <f t="shared" si="20"/>
        <v>0.23711990898548124</v>
      </c>
      <c r="X17">
        <f t="shared" si="25"/>
        <v>-1.2024359346677713</v>
      </c>
      <c r="Y17">
        <f t="shared" si="21"/>
        <v>8.8544372977042859E-2</v>
      </c>
      <c r="Z17" s="33">
        <f t="shared" si="26"/>
        <v>-1.484197346791621</v>
      </c>
      <c r="AA17">
        <f t="shared" si="22"/>
        <v>2.4972384842429223E-4</v>
      </c>
      <c r="AG17">
        <v>0.25</v>
      </c>
      <c r="AH17">
        <f>Table1!C44</f>
        <v>1.2</v>
      </c>
      <c r="AI17">
        <f>Table1!E44</f>
        <v>-2.2000000000000002</v>
      </c>
      <c r="AJ17">
        <f>Table1!G44</f>
        <v>2.9</v>
      </c>
      <c r="AM17">
        <f t="shared" si="27"/>
        <v>2.9</v>
      </c>
      <c r="AN17">
        <f t="shared" si="28"/>
        <v>2.9</v>
      </c>
      <c r="AO17">
        <f t="shared" si="1"/>
        <v>1.7171905251702766</v>
      </c>
      <c r="AP17">
        <f t="shared" si="4"/>
        <v>0.34975956343674147</v>
      </c>
      <c r="AQ17">
        <f t="shared" si="5"/>
        <v>8.1024968563905245E-2</v>
      </c>
      <c r="AR17">
        <f t="shared" si="2"/>
        <v>1.263999385481293</v>
      </c>
      <c r="AS17">
        <f t="shared" si="3"/>
        <v>0.66912450267639667</v>
      </c>
      <c r="AT17">
        <f t="shared" si="6"/>
        <v>8.3548475928633098E-2</v>
      </c>
    </row>
    <row r="18" spans="1:64" ht="15" thickBot="1" x14ac:dyDescent="0.4">
      <c r="A18" t="str">
        <f>Table1!A11</f>
        <v>Tol 1995</v>
      </c>
      <c r="B18">
        <f>Table1!C11</f>
        <v>2.5</v>
      </c>
      <c r="C18">
        <f>Table1!E11</f>
        <v>-1.9</v>
      </c>
      <c r="D18">
        <v>1</v>
      </c>
      <c r="E18">
        <v>1995</v>
      </c>
      <c r="F18" s="5">
        <f>Table1!M11</f>
        <v>-1.9</v>
      </c>
      <c r="G18" s="5">
        <f t="shared" si="23"/>
        <v>-1.3810530143204289</v>
      </c>
      <c r="H18" s="5">
        <f t="shared" si="24"/>
        <v>0.26930597394591282</v>
      </c>
      <c r="J18">
        <f t="shared" si="7"/>
        <v>-1.6441746687345788</v>
      </c>
      <c r="K18">
        <f t="shared" si="8"/>
        <v>6.5446600117062423E-2</v>
      </c>
      <c r="L18">
        <f t="shared" si="9"/>
        <v>-1.9869495903299232</v>
      </c>
      <c r="M18">
        <f t="shared" si="10"/>
        <v>7.560231258541497E-3</v>
      </c>
      <c r="N18">
        <f t="shared" si="11"/>
        <v>-1.0890303961157985</v>
      </c>
      <c r="O18">
        <f t="shared" si="12"/>
        <v>0.65767169842409845</v>
      </c>
      <c r="P18">
        <f t="shared" si="13"/>
        <v>-1.1469228310703414</v>
      </c>
      <c r="Q18">
        <f t="shared" si="14"/>
        <v>0.56712522236310936</v>
      </c>
      <c r="R18" s="24">
        <f t="shared" si="15"/>
        <v>-1.1834634745228021</v>
      </c>
      <c r="S18">
        <f t="shared" si="16"/>
        <v>0.51342459234293492</v>
      </c>
      <c r="T18">
        <f t="shared" si="17"/>
        <v>-8.7387444600447534E-2</v>
      </c>
      <c r="U18">
        <f t="shared" si="18"/>
        <v>3.2855642759920958</v>
      </c>
      <c r="V18">
        <f t="shared" si="19"/>
        <v>-1.9869495959393346</v>
      </c>
      <c r="W18">
        <f t="shared" si="20"/>
        <v>7.5602322340135716E-3</v>
      </c>
      <c r="X18">
        <f t="shared" si="25"/>
        <v>-1.2024359346677713</v>
      </c>
      <c r="Y18">
        <f t="shared" si="21"/>
        <v>0.48659562524282568</v>
      </c>
      <c r="Z18" s="33">
        <f t="shared" si="26"/>
        <v>-1.484197346791621</v>
      </c>
      <c r="AA18">
        <f t="shared" si="22"/>
        <v>0.17289184641512745</v>
      </c>
      <c r="AG18">
        <v>0.25</v>
      </c>
      <c r="AH18">
        <f>Table1!C45</f>
        <v>3</v>
      </c>
      <c r="AI18">
        <f>Table1!E45</f>
        <v>-8.5</v>
      </c>
      <c r="AJ18">
        <f>Table1!G45</f>
        <v>6.7</v>
      </c>
      <c r="AM18">
        <f t="shared" si="27"/>
        <v>6.7</v>
      </c>
      <c r="AN18">
        <f t="shared" si="28"/>
        <v>6.7</v>
      </c>
      <c r="AO18">
        <f t="shared" si="1"/>
        <v>4.2929763129256919</v>
      </c>
      <c r="AP18">
        <f t="shared" si="4"/>
        <v>1.4484407575341993</v>
      </c>
      <c r="AQ18">
        <f t="shared" si="5"/>
        <v>2.6093593335071237</v>
      </c>
      <c r="AR18">
        <f t="shared" si="2"/>
        <v>3.1599984637032326</v>
      </c>
      <c r="AS18">
        <f t="shared" si="3"/>
        <v>3.1329027192458687</v>
      </c>
      <c r="AT18">
        <f t="shared" si="6"/>
        <v>4.7919290986680663</v>
      </c>
      <c r="AU18" s="2"/>
      <c r="AV18" s="2"/>
      <c r="AW18" s="2"/>
      <c r="AX18" s="2"/>
      <c r="AY18" s="2"/>
      <c r="AZ18" s="2"/>
      <c r="BA18" s="2"/>
      <c r="BB18" s="2"/>
      <c r="BD18" s="2"/>
      <c r="BE18" s="2"/>
      <c r="BF18" s="2"/>
      <c r="BG18" s="2"/>
      <c r="BH18" s="2"/>
      <c r="BI18" s="2"/>
      <c r="BJ18" s="2"/>
      <c r="BK18" s="2"/>
      <c r="BL18" s="2"/>
    </row>
    <row r="19" spans="1:64" x14ac:dyDescent="0.35">
      <c r="A19" t="str">
        <f>Table1!A12</f>
        <v>Nordhaus and Yang 1996</v>
      </c>
      <c r="B19">
        <f>Table1!C12</f>
        <v>2.5</v>
      </c>
      <c r="C19">
        <f>Table1!E12</f>
        <v>-1.435622202473182</v>
      </c>
      <c r="D19">
        <v>1</v>
      </c>
      <c r="E19">
        <v>1996</v>
      </c>
      <c r="F19" s="5">
        <f>Table1!M12</f>
        <v>-1.435622202473182</v>
      </c>
      <c r="G19" s="5">
        <f t="shared" si="23"/>
        <v>-1.4222452784805739</v>
      </c>
      <c r="H19" s="5">
        <f t="shared" si="24"/>
        <v>1.7894209550401252E-4</v>
      </c>
      <c r="J19">
        <f t="shared" si="7"/>
        <v>-1.6441746687345788</v>
      </c>
      <c r="K19">
        <f t="shared" si="8"/>
        <v>4.3494131183711093E-2</v>
      </c>
      <c r="L19">
        <f t="shared" si="9"/>
        <v>-1.9869495903299232</v>
      </c>
      <c r="M19">
        <f t="shared" si="10"/>
        <v>0.30396188860093765</v>
      </c>
      <c r="N19">
        <f t="shared" si="11"/>
        <v>-1.0890303961157985</v>
      </c>
      <c r="O19">
        <f t="shared" si="12"/>
        <v>0.12012588023407396</v>
      </c>
      <c r="P19">
        <f t="shared" si="13"/>
        <v>-1.1469228310703414</v>
      </c>
      <c r="Q19">
        <f t="shared" si="14"/>
        <v>8.3347327048395245E-2</v>
      </c>
      <c r="R19" s="24">
        <f t="shared" si="15"/>
        <v>-1.1834634745228021</v>
      </c>
      <c r="S19">
        <f t="shared" si="16"/>
        <v>6.3584024081553683E-2</v>
      </c>
      <c r="T19">
        <f t="shared" si="17"/>
        <v>-8.7387444600447534E-2</v>
      </c>
      <c r="U19">
        <f t="shared" si="18"/>
        <v>1.817736962336151</v>
      </c>
      <c r="V19">
        <f t="shared" si="19"/>
        <v>-1.9869495959393346</v>
      </c>
      <c r="W19">
        <f t="shared" si="20"/>
        <v>0.30396189478618191</v>
      </c>
      <c r="X19">
        <f t="shared" si="25"/>
        <v>-1.2024359346677713</v>
      </c>
      <c r="Y19">
        <f t="shared" si="21"/>
        <v>5.4375835493016687E-2</v>
      </c>
      <c r="Z19" s="33">
        <f t="shared" si="26"/>
        <v>-1.484197346791621</v>
      </c>
      <c r="AA19">
        <f t="shared" si="22"/>
        <v>2.3595446455571779E-3</v>
      </c>
      <c r="AG19">
        <v>0.25</v>
      </c>
      <c r="AH19">
        <f>Table1!C46</f>
        <v>5</v>
      </c>
      <c r="AI19">
        <f>Table1!E46</f>
        <v>-16.100000000000001</v>
      </c>
      <c r="AJ19">
        <f>Table1!G46</f>
        <v>13.3</v>
      </c>
      <c r="AM19">
        <f t="shared" si="27"/>
        <v>13.3</v>
      </c>
      <c r="AN19">
        <f t="shared" si="28"/>
        <v>13.3</v>
      </c>
      <c r="AO19">
        <f t="shared" si="1"/>
        <v>7.1549605215428187</v>
      </c>
      <c r="AP19">
        <f t="shared" si="4"/>
        <v>9.4403775479493284</v>
      </c>
      <c r="AQ19">
        <f t="shared" si="5"/>
        <v>24.160676914724295</v>
      </c>
      <c r="AR19">
        <f t="shared" si="2"/>
        <v>5.2666641061720547</v>
      </c>
      <c r="AS19">
        <f t="shared" si="3"/>
        <v>16.133621395766109</v>
      </c>
      <c r="AT19">
        <f t="shared" si="6"/>
        <v>30.129642811847081</v>
      </c>
    </row>
    <row r="20" spans="1:64" x14ac:dyDescent="0.35">
      <c r="A20" t="str">
        <f>Table1!A13</f>
        <v>Plambeck and Hope 1996</v>
      </c>
      <c r="B20">
        <f>Table1!C13</f>
        <v>2.5</v>
      </c>
      <c r="C20">
        <f>Table1!E13</f>
        <v>-2.8909238132996098</v>
      </c>
      <c r="D20">
        <v>1</v>
      </c>
      <c r="E20">
        <v>1996</v>
      </c>
      <c r="F20" s="5">
        <f>Table1!M13</f>
        <v>-2.8909238132996098</v>
      </c>
      <c r="G20" s="5">
        <f t="shared" si="23"/>
        <v>-1.4222452784805739</v>
      </c>
      <c r="H20" s="5">
        <f t="shared" si="24"/>
        <v>2.1570166386381899</v>
      </c>
      <c r="J20">
        <f t="shared" si="7"/>
        <v>-1.6441746687345788</v>
      </c>
      <c r="K20">
        <f t="shared" si="8"/>
        <v>1.5543834294736365</v>
      </c>
      <c r="L20">
        <f t="shared" si="9"/>
        <v>-1.9869495903299232</v>
      </c>
      <c r="M20">
        <f t="shared" si="10"/>
        <v>0.81716939579364856</v>
      </c>
      <c r="N20">
        <f t="shared" si="11"/>
        <v>-1.0890303961157985</v>
      </c>
      <c r="O20">
        <f t="shared" si="12"/>
        <v>3.2468198868903526</v>
      </c>
      <c r="P20">
        <f t="shared" si="13"/>
        <v>-1.1469228310703414</v>
      </c>
      <c r="Q20">
        <f t="shared" si="14"/>
        <v>3.0415394260166528</v>
      </c>
      <c r="R20" s="24">
        <f t="shared" si="15"/>
        <v>-1.1834634745228021</v>
      </c>
      <c r="S20">
        <f t="shared" si="16"/>
        <v>2.9154208084958109</v>
      </c>
      <c r="T20">
        <f t="shared" si="17"/>
        <v>-8.7387444600447534E-2</v>
      </c>
      <c r="U20">
        <f t="shared" si="18"/>
        <v>7.8598161706188847</v>
      </c>
      <c r="V20">
        <f t="shared" si="19"/>
        <v>-1.9869495959393346</v>
      </c>
      <c r="W20">
        <f t="shared" si="20"/>
        <v>0.81716938565212205</v>
      </c>
      <c r="X20">
        <f t="shared" si="25"/>
        <v>-1.2024359346677713</v>
      </c>
      <c r="Y20">
        <f t="shared" si="21"/>
        <v>2.8509913162866463</v>
      </c>
      <c r="Z20" s="33">
        <f t="shared" si="26"/>
        <v>-1.484197346791621</v>
      </c>
      <c r="AA20">
        <f t="shared" si="22"/>
        <v>1.9788793515740517</v>
      </c>
      <c r="AG20">
        <v>0.25</v>
      </c>
      <c r="AH20">
        <f>Table1!C47</f>
        <v>7</v>
      </c>
      <c r="AI20">
        <f>Table1!E47</f>
        <v>-25</v>
      </c>
      <c r="AJ20">
        <f>Table1!G47</f>
        <v>20.7</v>
      </c>
      <c r="AM20">
        <f t="shared" si="27"/>
        <v>20.7</v>
      </c>
      <c r="AN20">
        <f t="shared" si="28"/>
        <v>20.7</v>
      </c>
      <c r="AO20">
        <f t="shared" si="1"/>
        <v>10.016944730159947</v>
      </c>
      <c r="AP20">
        <f t="shared" si="4"/>
        <v>28.531917474614328</v>
      </c>
      <c r="AQ20">
        <f t="shared" si="5"/>
        <v>74.224275414876871</v>
      </c>
      <c r="AR20">
        <f t="shared" si="2"/>
        <v>7.3733297486408755</v>
      </c>
      <c r="AS20">
        <f t="shared" si="3"/>
        <v>44.400034997115064</v>
      </c>
      <c r="AT20">
        <f t="shared" si="6"/>
        <v>84.438594550865972</v>
      </c>
    </row>
    <row r="21" spans="1:64" x14ac:dyDescent="0.35">
      <c r="A21" t="str">
        <f>Table1!A14</f>
        <v>Mendelsohn et al. 2000, 2006</v>
      </c>
      <c r="B21">
        <f>Table1!C14</f>
        <v>2.4900000000000002</v>
      </c>
      <c r="C21">
        <f>Table1!E14</f>
        <v>0.03</v>
      </c>
      <c r="D21">
        <f>1/6</f>
        <v>0.16666666666666666</v>
      </c>
      <c r="E21">
        <v>2000</v>
      </c>
      <c r="F21" s="5">
        <f>Table1!M14</f>
        <v>0.03</v>
      </c>
      <c r="G21" s="5">
        <f t="shared" si="23"/>
        <v>-1.5870143351211681</v>
      </c>
      <c r="H21" s="5">
        <f t="shared" si="24"/>
        <v>2.6147353599873533</v>
      </c>
      <c r="J21">
        <f t="shared" si="7"/>
        <v>-1.6355628102514572</v>
      </c>
      <c r="K21">
        <f t="shared" si="8"/>
        <v>0.46234991248212198</v>
      </c>
      <c r="L21">
        <f t="shared" si="9"/>
        <v>-1.9790017919686038</v>
      </c>
      <c r="M21">
        <f t="shared" si="10"/>
        <v>0.67268136668884337</v>
      </c>
      <c r="N21">
        <f t="shared" si="11"/>
        <v>-1.0803355774332102</v>
      </c>
      <c r="O21">
        <f t="shared" si="12"/>
        <v>0.20547418241899007</v>
      </c>
      <c r="P21">
        <f t="shared" si="13"/>
        <v>-1.1377776372849608</v>
      </c>
      <c r="Q21">
        <f t="shared" si="14"/>
        <v>0.22728410169047425</v>
      </c>
      <c r="R21" s="24">
        <f t="shared" si="15"/>
        <v>-1.1740570995523838</v>
      </c>
      <c r="S21">
        <f t="shared" si="16"/>
        <v>0.24162558316374985</v>
      </c>
      <c r="T21">
        <f t="shared" si="17"/>
        <v>-8.6440167782107863E-2</v>
      </c>
      <c r="U21">
        <f t="shared" si="18"/>
        <v>2.259718778854238E-3</v>
      </c>
      <c r="V21">
        <f t="shared" si="19"/>
        <v>-1.9790017975555774</v>
      </c>
      <c r="W21">
        <f t="shared" si="20"/>
        <v>0.67268137043025666</v>
      </c>
      <c r="X21">
        <f t="shared" si="25"/>
        <v>-1.1960805161207282</v>
      </c>
      <c r="Y21">
        <f t="shared" si="21"/>
        <v>0.25054557200181188</v>
      </c>
      <c r="Z21" s="33">
        <f t="shared" si="26"/>
        <v>-1.4759999615614305</v>
      </c>
      <c r="AA21">
        <f t="shared" si="22"/>
        <v>0.37800598070383834</v>
      </c>
      <c r="AG21">
        <v>1</v>
      </c>
      <c r="AH21">
        <f>Table1!C54</f>
        <v>1</v>
      </c>
      <c r="AI21">
        <f>Table1!E54</f>
        <v>-2.2999999999999998</v>
      </c>
      <c r="AJ21">
        <f>Table1!G54</f>
        <v>1.32</v>
      </c>
      <c r="AM21">
        <f t="shared" ref="AM21" si="29">AJ21</f>
        <v>1.32</v>
      </c>
      <c r="AN21">
        <f t="shared" ref="AN21" si="30">AJ21</f>
        <v>1.32</v>
      </c>
      <c r="AO21">
        <f t="shared" si="1"/>
        <v>1.4309921043085638</v>
      </c>
      <c r="AP21">
        <f t="shared" ref="AP21" si="31">AG21*(AO21-AM21)^2</f>
        <v>1.23192472188431E-2</v>
      </c>
      <c r="AQ21">
        <f t="shared" si="5"/>
        <v>4.6194806146658465</v>
      </c>
      <c r="AR21">
        <f t="shared" si="2"/>
        <v>1.0533328212344109</v>
      </c>
      <c r="AS21">
        <f t="shared" si="3"/>
        <v>7.1111384230798713E-2</v>
      </c>
      <c r="AT21">
        <f t="shared" si="6"/>
        <v>1.0038134995794772</v>
      </c>
    </row>
    <row r="22" spans="1:64" x14ac:dyDescent="0.35">
      <c r="A22">
        <f>Table1!A15</f>
        <v>0</v>
      </c>
      <c r="B22">
        <f>Table1!C15</f>
        <v>2.4900000000000002</v>
      </c>
      <c r="C22">
        <f>Table1!E15</f>
        <v>0.1</v>
      </c>
      <c r="D22">
        <f t="shared" ref="D22:D26" si="32">1/6</f>
        <v>0.16666666666666666</v>
      </c>
      <c r="E22">
        <v>2000</v>
      </c>
      <c r="F22" s="5">
        <f>Table1!M15</f>
        <v>0.1</v>
      </c>
      <c r="G22" s="5">
        <f t="shared" si="23"/>
        <v>-1.5870143351211681</v>
      </c>
      <c r="H22" s="5">
        <f t="shared" si="24"/>
        <v>2.8460173669043169</v>
      </c>
      <c r="J22">
        <f t="shared" si="7"/>
        <v>-1.6355628102514572</v>
      </c>
      <c r="K22">
        <f t="shared" si="8"/>
        <v>0.50202971138798924</v>
      </c>
      <c r="L22">
        <f t="shared" si="9"/>
        <v>-1.9790017919686038</v>
      </c>
      <c r="M22">
        <f t="shared" si="10"/>
        <v>0.72037474183477768</v>
      </c>
      <c r="N22">
        <f t="shared" si="11"/>
        <v>-1.0803355774332102</v>
      </c>
      <c r="O22">
        <f t="shared" si="12"/>
        <v>0.23219867922576498</v>
      </c>
      <c r="P22">
        <f t="shared" si="13"/>
        <v>-1.1377776372849608</v>
      </c>
      <c r="Q22">
        <f t="shared" si="14"/>
        <v>0.25534891322712339</v>
      </c>
      <c r="R22" s="24">
        <f t="shared" si="15"/>
        <v>-1.1740570995523838</v>
      </c>
      <c r="S22">
        <f t="shared" si="16"/>
        <v>0.27053691548663883</v>
      </c>
      <c r="T22">
        <f t="shared" si="17"/>
        <v>-8.6440167782107863E-2</v>
      </c>
      <c r="U22">
        <f t="shared" si="18"/>
        <v>5.7933226937700883E-3</v>
      </c>
      <c r="V22">
        <f t="shared" si="19"/>
        <v>-1.9790017975555774</v>
      </c>
      <c r="W22">
        <f t="shared" si="20"/>
        <v>0.72037474570655369</v>
      </c>
      <c r="X22">
        <f t="shared" si="25"/>
        <v>-1.1960805161207282</v>
      </c>
      <c r="Y22">
        <f t="shared" si="21"/>
        <v>0.27997078404462888</v>
      </c>
      <c r="Z22" s="33">
        <f t="shared" si="26"/>
        <v>-1.4759999615614305</v>
      </c>
      <c r="AA22">
        <f t="shared" si="22"/>
        <v>0.41396264647360509</v>
      </c>
      <c r="AG22">
        <v>1</v>
      </c>
      <c r="AH22">
        <f>Table1!C64</f>
        <v>2.5</v>
      </c>
      <c r="AI22" s="5">
        <f>Table1!E65</f>
        <v>-3.8</v>
      </c>
      <c r="AJ22">
        <f>Table1!G64</f>
        <v>8.44</v>
      </c>
      <c r="AM22">
        <f t="shared" ref="AM22" si="33">AJ22</f>
        <v>8.44</v>
      </c>
      <c r="AN22">
        <f t="shared" ref="AN22" si="34">AJ22</f>
        <v>8.44</v>
      </c>
      <c r="AO22">
        <f t="shared" si="1"/>
        <v>3.5774802607714093</v>
      </c>
      <c r="AP22">
        <f t="shared" ref="AP22:AP24" si="35">AG22*(AO22-AM22)^2</f>
        <v>23.644098214387675</v>
      </c>
      <c r="AQ22">
        <f t="shared" si="5"/>
        <v>24.707881328766593</v>
      </c>
      <c r="AR22">
        <f t="shared" si="2"/>
        <v>2.6333320530860274</v>
      </c>
      <c r="AS22">
        <f t="shared" si="3"/>
        <v>33.717392645718121</v>
      </c>
      <c r="AT22">
        <f t="shared" si="6"/>
        <v>37.43108721947921</v>
      </c>
    </row>
    <row r="23" spans="1:64" x14ac:dyDescent="0.35">
      <c r="A23">
        <f>Table1!A16</f>
        <v>0</v>
      </c>
      <c r="B23">
        <f>Table1!C16</f>
        <v>4</v>
      </c>
      <c r="C23">
        <f>Table1!E16</f>
        <v>-0.01</v>
      </c>
      <c r="D23">
        <f t="shared" si="32"/>
        <v>0.16666666666666666</v>
      </c>
      <c r="E23">
        <v>2000</v>
      </c>
      <c r="F23" s="5">
        <f>Table1!M16</f>
        <v>-5.0459249646834254E-3</v>
      </c>
      <c r="G23" s="5">
        <f t="shared" si="23"/>
        <v>-1.5870143351211681</v>
      </c>
      <c r="H23" s="5">
        <f t="shared" si="24"/>
        <v>2.5026240507330355</v>
      </c>
      <c r="J23">
        <f t="shared" si="7"/>
        <v>-3.1210794237544586</v>
      </c>
      <c r="K23">
        <f t="shared" si="8"/>
        <v>1.613135863484729</v>
      </c>
      <c r="L23">
        <f t="shared" si="9"/>
        <v>-3.1791193445278774</v>
      </c>
      <c r="M23">
        <f t="shared" si="10"/>
        <v>1.6738862366434673</v>
      </c>
      <c r="N23">
        <f t="shared" si="11"/>
        <v>-2.7879178140564442</v>
      </c>
      <c r="O23">
        <f t="shared" si="12"/>
        <v>1.2861378969420223</v>
      </c>
      <c r="P23">
        <f t="shared" si="13"/>
        <v>-2.9215168375914584</v>
      </c>
      <c r="Q23">
        <f t="shared" si="14"/>
        <v>1.4128217159297611</v>
      </c>
      <c r="R23" s="24">
        <f t="shared" si="15"/>
        <v>-2.9914613488518866</v>
      </c>
      <c r="S23">
        <f t="shared" si="16"/>
        <v>1.4815186291162852</v>
      </c>
      <c r="T23">
        <f t="shared" si="17"/>
        <v>-0.41885158920427584</v>
      </c>
      <c r="U23">
        <f t="shared" si="18"/>
        <v>2.7859936999143652E-2</v>
      </c>
      <c r="V23">
        <f t="shared" si="19"/>
        <v>-3.1791193535029354</v>
      </c>
      <c r="W23">
        <f t="shared" si="20"/>
        <v>1.6738862461244772</v>
      </c>
      <c r="X23">
        <f t="shared" si="25"/>
        <v>-2.4488116094800945</v>
      </c>
      <c r="Y23">
        <f t="shared" si="21"/>
        <v>0.99130034442248161</v>
      </c>
      <c r="Z23" s="33">
        <f t="shared" si="26"/>
        <v>-2.9413781559962957</v>
      </c>
      <c r="AA23">
        <f t="shared" si="22"/>
        <v>1.4321629822420407</v>
      </c>
      <c r="AG23">
        <v>1</v>
      </c>
      <c r="AH23">
        <f>Table1!C65</f>
        <v>1</v>
      </c>
      <c r="AI23" s="5">
        <f>Table1!E66</f>
        <v>-1.35</v>
      </c>
      <c r="AK23">
        <f>Table1!I65</f>
        <v>-2.7</v>
      </c>
      <c r="AL23">
        <f>Table1!K65</f>
        <v>-4.2</v>
      </c>
      <c r="AM23">
        <f>(AI23-AK23)/2</f>
        <v>0.67500000000000004</v>
      </c>
      <c r="AN23">
        <f>(AL23-AI23)/2</f>
        <v>-1.425</v>
      </c>
      <c r="AO23">
        <f t="shared" si="1"/>
        <v>1.4309921043085638</v>
      </c>
      <c r="AP23">
        <f t="shared" si="35"/>
        <v>0.57152406177689041</v>
      </c>
      <c r="AQ23">
        <f t="shared" si="5"/>
        <v>7.8080996510991376</v>
      </c>
      <c r="AR23">
        <f t="shared" si="2"/>
        <v>1.0533328212344109</v>
      </c>
      <c r="AS23">
        <f t="shared" si="3"/>
        <v>6.1421335728077153</v>
      </c>
      <c r="AT23">
        <f t="shared" si="6"/>
        <v>14.039296594927121</v>
      </c>
    </row>
    <row r="24" spans="1:64" x14ac:dyDescent="0.35">
      <c r="A24">
        <f>Table1!A17</f>
        <v>0</v>
      </c>
      <c r="B24">
        <f>Table1!C17</f>
        <v>4</v>
      </c>
      <c r="C24">
        <f>Table1!E17</f>
        <v>-0.04</v>
      </c>
      <c r="D24">
        <f t="shared" si="32"/>
        <v>0.16666666666666666</v>
      </c>
      <c r="E24">
        <v>2000</v>
      </c>
      <c r="F24" s="5">
        <f>Table1!M17</f>
        <v>-2.0183699858733702E-2</v>
      </c>
      <c r="G24" s="5">
        <f t="shared" si="23"/>
        <v>-1.5870143351211681</v>
      </c>
      <c r="H24" s="5">
        <f t="shared" si="24"/>
        <v>2.4549582395968836</v>
      </c>
      <c r="J24">
        <f t="shared" si="7"/>
        <v>-3.1210794237544586</v>
      </c>
      <c r="K24">
        <f t="shared" si="8"/>
        <v>1.5821750692471843</v>
      </c>
      <c r="L24">
        <f t="shared" si="9"/>
        <v>-3.1791193445278774</v>
      </c>
      <c r="M24">
        <f t="shared" si="10"/>
        <v>1.6423450431981883</v>
      </c>
      <c r="N24">
        <f t="shared" si="11"/>
        <v>-2.7879178140564442</v>
      </c>
      <c r="O24">
        <f t="shared" si="12"/>
        <v>1.2585087188014576</v>
      </c>
      <c r="P24">
        <f t="shared" si="13"/>
        <v>-2.9215168375914584</v>
      </c>
      <c r="Q24">
        <f t="shared" si="14"/>
        <v>1.3838565475538465</v>
      </c>
      <c r="R24" s="24">
        <f t="shared" si="15"/>
        <v>-2.9914613488518866</v>
      </c>
      <c r="S24">
        <f t="shared" si="16"/>
        <v>1.4518540156277662</v>
      </c>
      <c r="T24">
        <f t="shared" si="17"/>
        <v>-0.41885158920427584</v>
      </c>
      <c r="U24">
        <f t="shared" si="18"/>
        <v>2.3921421107100899E-2</v>
      </c>
      <c r="V24">
        <f t="shared" si="19"/>
        <v>-3.1791193535029354</v>
      </c>
      <c r="W24">
        <f t="shared" si="20"/>
        <v>1.6423450525894476</v>
      </c>
      <c r="X24">
        <f t="shared" si="25"/>
        <v>-2.4488116094800945</v>
      </c>
      <c r="Y24">
        <f t="shared" si="21"/>
        <v>0.96706222832768041</v>
      </c>
      <c r="Z24" s="33">
        <f t="shared" si="26"/>
        <v>-2.9413781559962957</v>
      </c>
      <c r="AA24">
        <f t="shared" si="22"/>
        <v>1.4029992006820775</v>
      </c>
      <c r="AG24">
        <v>1</v>
      </c>
      <c r="AH24">
        <f>Table1!C69</f>
        <v>3</v>
      </c>
      <c r="AI24" s="5">
        <f>Table1!E69</f>
        <v>-0.7</v>
      </c>
      <c r="AK24">
        <f>Table1!I69</f>
        <v>-1.8</v>
      </c>
      <c r="AL24">
        <f>Table1!K69</f>
        <v>-0.3</v>
      </c>
      <c r="AM24">
        <f>(AI24-AK24)/2</f>
        <v>0.55000000000000004</v>
      </c>
      <c r="AN24">
        <f>(AL24-AI24)/2</f>
        <v>0.19999999999999998</v>
      </c>
      <c r="AO24">
        <f t="shared" si="1"/>
        <v>4.2929763129256919</v>
      </c>
      <c r="AP24">
        <f t="shared" si="35"/>
        <v>14.009871679122808</v>
      </c>
      <c r="AQ24">
        <f t="shared" si="5"/>
        <v>8.5222990767645044</v>
      </c>
      <c r="AR24">
        <f t="shared" si="2"/>
        <v>3.1599984637032326</v>
      </c>
      <c r="AS24">
        <f t="shared" si="3"/>
        <v>8.7615909051254963</v>
      </c>
      <c r="AT24">
        <f t="shared" si="6"/>
        <v>4.5024805548761462</v>
      </c>
    </row>
    <row r="25" spans="1:64" ht="15" thickBot="1" x14ac:dyDescent="0.4">
      <c r="A25">
        <f>Table1!A18</f>
        <v>0</v>
      </c>
      <c r="B25">
        <f>Table1!C18</f>
        <v>5.2</v>
      </c>
      <c r="C25">
        <f>Table1!E18</f>
        <v>-0.01</v>
      </c>
      <c r="D25">
        <f t="shared" si="32"/>
        <v>0.16666666666666666</v>
      </c>
      <c r="E25">
        <v>2000</v>
      </c>
      <c r="F25" s="5">
        <f>Table1!M18</f>
        <v>-3.3313857306890367E-3</v>
      </c>
      <c r="G25" s="5">
        <f t="shared" si="23"/>
        <v>-1.5870143351211681</v>
      </c>
      <c r="H25" s="5">
        <f t="shared" si="24"/>
        <v>2.5080516841901264</v>
      </c>
      <c r="J25">
        <f t="shared" si="7"/>
        <v>-4.5674192028110943</v>
      </c>
      <c r="K25">
        <f t="shared" si="8"/>
        <v>3.4616782983585517</v>
      </c>
      <c r="L25">
        <f t="shared" si="9"/>
        <v>-4.1328551478862403</v>
      </c>
      <c r="M25">
        <f t="shared" si="10"/>
        <v>2.8329890950753454</v>
      </c>
      <c r="N25">
        <f t="shared" si="11"/>
        <v>-4.7115811057553909</v>
      </c>
      <c r="O25">
        <f t="shared" si="12"/>
        <v>3.6841441489993478</v>
      </c>
      <c r="P25">
        <f t="shared" si="13"/>
        <v>-4.8633394175448474</v>
      </c>
      <c r="Q25">
        <f t="shared" si="14"/>
        <v>3.92581725031576</v>
      </c>
      <c r="R25" s="24">
        <f t="shared" si="15"/>
        <v>-4.9141482338868085</v>
      </c>
      <c r="S25">
        <f t="shared" si="16"/>
        <v>4.0084449833225175</v>
      </c>
      <c r="T25">
        <f t="shared" si="17"/>
        <v>-1.4087671860340736</v>
      </c>
      <c r="U25">
        <f t="shared" si="18"/>
        <v>0.3260916067876134</v>
      </c>
      <c r="V25">
        <f t="shared" si="19"/>
        <v>-4.1328551595538165</v>
      </c>
      <c r="W25">
        <f t="shared" si="20"/>
        <v>2.8329891111099212</v>
      </c>
      <c r="X25">
        <f t="shared" si="25"/>
        <v>-4.0906445945529351</v>
      </c>
      <c r="Y25">
        <f t="shared" si="21"/>
        <v>2.7752767178423481</v>
      </c>
      <c r="Z25" s="33">
        <f t="shared" si="26"/>
        <v>-4.4551951253169468</v>
      </c>
      <c r="AA25">
        <f t="shared" si="22"/>
        <v>3.2932932836902578</v>
      </c>
    </row>
    <row r="26" spans="1:64" x14ac:dyDescent="0.35">
      <c r="A26">
        <f>Table1!A19</f>
        <v>0</v>
      </c>
      <c r="B26">
        <f>Table1!C19</f>
        <v>5.2</v>
      </c>
      <c r="C26">
        <f>Table1!E19</f>
        <v>-0.13</v>
      </c>
      <c r="D26">
        <f t="shared" si="32"/>
        <v>0.16666666666666666</v>
      </c>
      <c r="E26">
        <v>2000</v>
      </c>
      <c r="F26" s="5">
        <f>Table1!M19</f>
        <v>-4.3308014498957478E-2</v>
      </c>
      <c r="G26" s="5">
        <f t="shared" si="23"/>
        <v>-1.5870143351211681</v>
      </c>
      <c r="H26" s="5">
        <f t="shared" si="24"/>
        <v>2.3830292043289631</v>
      </c>
      <c r="J26">
        <f t="shared" si="7"/>
        <v>-4.5674192028110943</v>
      </c>
      <c r="K26">
        <f t="shared" si="8"/>
        <v>3.281781530246108</v>
      </c>
      <c r="L26">
        <f t="shared" si="9"/>
        <v>-4.1328551478862403</v>
      </c>
      <c r="M26">
        <f t="shared" si="10"/>
        <v>2.6704748891598955</v>
      </c>
      <c r="N26">
        <f t="shared" si="11"/>
        <v>-4.7115811057553909</v>
      </c>
      <c r="O26">
        <f t="shared" si="12"/>
        <v>3.4984809047691319</v>
      </c>
      <c r="P26">
        <f t="shared" si="13"/>
        <v>-4.8633394175448474</v>
      </c>
      <c r="Q26">
        <f t="shared" si="14"/>
        <v>3.7340836736139655</v>
      </c>
      <c r="R26" s="24">
        <f t="shared" si="15"/>
        <v>-4.9141482338868085</v>
      </c>
      <c r="S26">
        <f t="shared" si="16"/>
        <v>3.814679053967045</v>
      </c>
      <c r="T26">
        <f t="shared" si="17"/>
        <v>-1.4087671860340736</v>
      </c>
      <c r="U26">
        <f t="shared" si="18"/>
        <v>0.27254091934625052</v>
      </c>
      <c r="V26">
        <f t="shared" si="19"/>
        <v>-4.1328551595538165</v>
      </c>
      <c r="W26">
        <f t="shared" si="20"/>
        <v>2.6704749047277687</v>
      </c>
      <c r="X26">
        <f t="shared" si="25"/>
        <v>-4.0906445945529351</v>
      </c>
      <c r="Y26">
        <f t="shared" si="21"/>
        <v>2.6144509340602307</v>
      </c>
      <c r="Z26" s="33">
        <f t="shared" si="26"/>
        <v>-4.4551951253169468</v>
      </c>
      <c r="AA26">
        <f t="shared" si="22"/>
        <v>3.1178854786775796</v>
      </c>
      <c r="AC26" t="s">
        <v>1014</v>
      </c>
      <c r="AD26" t="s">
        <v>766</v>
      </c>
      <c r="AE26" t="s">
        <v>625</v>
      </c>
      <c r="AF26" t="s">
        <v>766</v>
      </c>
      <c r="AG26" t="s">
        <v>1015</v>
      </c>
      <c r="AH26" t="s">
        <v>766</v>
      </c>
      <c r="AI26" t="s">
        <v>1016</v>
      </c>
      <c r="AJ26" t="s">
        <v>766</v>
      </c>
      <c r="AK26" t="s">
        <v>1017</v>
      </c>
      <c r="AL26" t="s">
        <v>766</v>
      </c>
      <c r="AM26" t="s">
        <v>1018</v>
      </c>
      <c r="AN26" s="39" t="s">
        <v>767</v>
      </c>
      <c r="AT26" s="4"/>
      <c r="AU26" s="4"/>
    </row>
    <row r="27" spans="1:64" x14ac:dyDescent="0.35">
      <c r="A27" t="str">
        <f>Table1!A20</f>
        <v>Nordhaus and Boyer 2000</v>
      </c>
      <c r="B27">
        <f>Table1!C20</f>
        <v>2.5</v>
      </c>
      <c r="C27">
        <f>Table1!E20</f>
        <v>-1.5</v>
      </c>
      <c r="D27">
        <v>1</v>
      </c>
      <c r="E27">
        <v>2000</v>
      </c>
      <c r="F27" s="5">
        <f>Table1!M20</f>
        <v>-1.5</v>
      </c>
      <c r="G27" s="5">
        <f t="shared" si="23"/>
        <v>-1.5870143351211681</v>
      </c>
      <c r="H27" s="5">
        <f t="shared" si="24"/>
        <v>7.5714945165789435E-3</v>
      </c>
      <c r="J27">
        <f t="shared" si="7"/>
        <v>-1.6441746687345788</v>
      </c>
      <c r="K27">
        <f t="shared" si="8"/>
        <v>2.0786335104725547E-2</v>
      </c>
      <c r="L27">
        <f t="shared" si="9"/>
        <v>-1.9869495903299232</v>
      </c>
      <c r="M27">
        <f t="shared" si="10"/>
        <v>0.23711990352248008</v>
      </c>
      <c r="N27">
        <f t="shared" si="11"/>
        <v>-1.0890303961157985</v>
      </c>
      <c r="O27">
        <f t="shared" si="12"/>
        <v>0.16889601531673745</v>
      </c>
      <c r="P27">
        <f t="shared" si="13"/>
        <v>-1.1469228310703414</v>
      </c>
      <c r="Q27">
        <f t="shared" si="14"/>
        <v>0.12466348721938265</v>
      </c>
      <c r="R27" s="24">
        <f t="shared" si="15"/>
        <v>-1.1834634745228021</v>
      </c>
      <c r="S27">
        <f t="shared" si="16"/>
        <v>0.10019537196117675</v>
      </c>
      <c r="T27">
        <f t="shared" si="17"/>
        <v>-8.7387444600447534E-2</v>
      </c>
      <c r="U27">
        <f t="shared" si="18"/>
        <v>1.9954742316724539</v>
      </c>
      <c r="V27">
        <f t="shared" si="19"/>
        <v>-1.9869495959393346</v>
      </c>
      <c r="W27">
        <f t="shared" si="20"/>
        <v>0.23711990898548124</v>
      </c>
      <c r="X27">
        <f t="shared" si="25"/>
        <v>-1.2024359346677713</v>
      </c>
      <c r="Y27">
        <f t="shared" si="21"/>
        <v>8.8544372977042859E-2</v>
      </c>
      <c r="Z27" s="33">
        <f t="shared" si="26"/>
        <v>-1.484197346791621</v>
      </c>
      <c r="AA27">
        <f t="shared" si="22"/>
        <v>2.4972384842429223E-4</v>
      </c>
      <c r="AC27" t="str">
        <f>AC3</f>
        <v>Parabolic</v>
      </c>
      <c r="AD27" t="s">
        <v>766</v>
      </c>
      <c r="AE27" s="21">
        <f>AD3</f>
        <v>0.2078310294868955</v>
      </c>
      <c r="AF27" s="21" t="s">
        <v>766</v>
      </c>
      <c r="AG27" s="21">
        <f>regressionsenum!$AA3</f>
        <v>6.3570376505511672E-2</v>
      </c>
      <c r="AH27" s="21" t="s">
        <v>766</v>
      </c>
      <c r="AI27" s="21">
        <f>regressionselic!$AA3</f>
        <v>0.19960412323643875</v>
      </c>
      <c r="AJ27" s="21" t="s">
        <v>766</v>
      </c>
      <c r="AK27" s="21">
        <f>regressionsectric!$AA3</f>
        <v>0.10751713814934422</v>
      </c>
      <c r="AL27" s="21" t="s">
        <v>766</v>
      </c>
      <c r="AM27" s="21">
        <f>regressionscge!$AA3</f>
        <v>0.10969627053984496</v>
      </c>
      <c r="AN27" s="39" t="s">
        <v>767</v>
      </c>
    </row>
    <row r="28" spans="1:64" x14ac:dyDescent="0.35">
      <c r="A28" t="str">
        <f>Table1!A21</f>
        <v>Tol 2002</v>
      </c>
      <c r="B28">
        <f>Table1!C21</f>
        <v>1</v>
      </c>
      <c r="C28">
        <f>Table1!E21</f>
        <v>2.2999999999999998</v>
      </c>
      <c r="D28">
        <v>1</v>
      </c>
      <c r="E28">
        <v>2002</v>
      </c>
      <c r="F28" s="5">
        <f>Table1!M21</f>
        <v>7.3811814044296282</v>
      </c>
      <c r="G28" s="5">
        <f t="shared" si="23"/>
        <v>-1.669398863441458</v>
      </c>
      <c r="H28" s="5">
        <f t="shared" si="24"/>
        <v>81.913003185177473</v>
      </c>
      <c r="J28">
        <f t="shared" si="7"/>
        <v>-0.53506987904904835</v>
      </c>
      <c r="K28">
        <f t="shared" si="8"/>
        <v>8.037621219091184</v>
      </c>
      <c r="L28">
        <f t="shared" si="9"/>
        <v>-0.79477983613196934</v>
      </c>
      <c r="M28">
        <f t="shared" si="10"/>
        <v>9.5776622341290167</v>
      </c>
      <c r="N28">
        <f t="shared" si="11"/>
        <v>-0.17424486337852776</v>
      </c>
      <c r="O28">
        <f t="shared" si="12"/>
        <v>6.121887643955028</v>
      </c>
      <c r="P28">
        <f t="shared" si="13"/>
        <v>-0.18360290132577989</v>
      </c>
      <c r="Q28">
        <f t="shared" si="14"/>
        <v>6.1682833714738301</v>
      </c>
      <c r="R28" s="24">
        <f t="shared" si="15"/>
        <v>-0.18977310820449733</v>
      </c>
      <c r="S28">
        <f t="shared" si="16"/>
        <v>6.1989701303382834</v>
      </c>
      <c r="T28">
        <f t="shared" si="17"/>
        <v>-1.3427796931533009E-2</v>
      </c>
      <c r="U28">
        <f t="shared" si="18"/>
        <v>5.3519481716154846</v>
      </c>
      <c r="V28">
        <f t="shared" si="19"/>
        <v>-0.79477983837573385</v>
      </c>
      <c r="W28">
        <f t="shared" si="20"/>
        <v>9.5776622480169316</v>
      </c>
      <c r="X28">
        <f t="shared" si="25"/>
        <v>-0.41834367992897836</v>
      </c>
      <c r="Y28">
        <f t="shared" si="21"/>
        <v>7.3893923622098177</v>
      </c>
      <c r="Z28" s="33">
        <f t="shared" si="26"/>
        <v>-0.46248069388622703</v>
      </c>
      <c r="AA28">
        <f t="shared" si="22"/>
        <v>7.6312995840941289</v>
      </c>
      <c r="AC28" t="str">
        <f>AC9</f>
        <v>Hyperbolic sine</v>
      </c>
      <c r="AD28" t="s">
        <v>766</v>
      </c>
      <c r="AE28" s="21">
        <f>AD9</f>
        <v>0.17356390426968069</v>
      </c>
      <c r="AF28" s="21" t="s">
        <v>766</v>
      </c>
      <c r="AG28" s="21">
        <f>regressionsenum!$AA9</f>
        <v>2.9837207890771451E-2</v>
      </c>
      <c r="AH28" s="21" t="s">
        <v>766</v>
      </c>
      <c r="AI28" s="21">
        <f>regressionselic!$AA9</f>
        <v>8.9912256043691158E-2</v>
      </c>
      <c r="AJ28" s="21" t="s">
        <v>766</v>
      </c>
      <c r="AK28" s="21">
        <f>regressionsectric!$AA9</f>
        <v>0.12629532505501911</v>
      </c>
      <c r="AL28" s="21" t="s">
        <v>766</v>
      </c>
      <c r="AM28" s="21">
        <f>regressionscge!$AA9</f>
        <v>0.15210358811966579</v>
      </c>
      <c r="AN28" s="39" t="s">
        <v>767</v>
      </c>
    </row>
    <row r="29" spans="1:64" x14ac:dyDescent="0.35">
      <c r="A29" t="str">
        <f>Table1!A22</f>
        <v>Maddison 2003</v>
      </c>
      <c r="B29">
        <f>Table1!C22</f>
        <v>2.5</v>
      </c>
      <c r="C29">
        <f>Table1!E22</f>
        <v>3.3000365094043249E-2</v>
      </c>
      <c r="D29">
        <v>1</v>
      </c>
      <c r="E29">
        <v>2003</v>
      </c>
      <c r="F29" s="5">
        <f>Table1!M22</f>
        <v>3.3000365094043249E-2</v>
      </c>
      <c r="G29" s="5">
        <f t="shared" si="23"/>
        <v>-1.7105911276016172</v>
      </c>
      <c r="H29" s="5">
        <f t="shared" si="24"/>
        <v>3.040111293400682</v>
      </c>
      <c r="J29">
        <f t="shared" si="7"/>
        <v>-1.6441746687345788</v>
      </c>
      <c r="K29">
        <f t="shared" si="8"/>
        <v>2.81291609409804</v>
      </c>
      <c r="L29">
        <f t="shared" si="9"/>
        <v>-1.9869495903299232</v>
      </c>
      <c r="M29">
        <f t="shared" si="10"/>
        <v>4.0801978224172846</v>
      </c>
      <c r="N29">
        <f t="shared" si="11"/>
        <v>-1.0890303961157985</v>
      </c>
      <c r="O29">
        <f t="shared" si="12"/>
        <v>1.2589530291011373</v>
      </c>
      <c r="P29">
        <f t="shared" si="13"/>
        <v>-1.1469228310703414</v>
      </c>
      <c r="Q29">
        <f t="shared" si="14"/>
        <v>1.3922187488467772</v>
      </c>
      <c r="R29" s="24">
        <f t="shared" si="15"/>
        <v>-1.1834634745228021</v>
      </c>
      <c r="S29">
        <f t="shared" si="16"/>
        <v>1.4797842730953583</v>
      </c>
      <c r="T29">
        <f t="shared" si="17"/>
        <v>-8.7387444600447534E-2</v>
      </c>
      <c r="U29">
        <f t="shared" si="18"/>
        <v>1.449322472303693E-2</v>
      </c>
      <c r="V29">
        <f t="shared" si="19"/>
        <v>-1.9869495959393346</v>
      </c>
      <c r="W29">
        <f t="shared" si="20"/>
        <v>4.0801978450787439</v>
      </c>
      <c r="X29">
        <f t="shared" si="25"/>
        <v>-1.2024359346677713</v>
      </c>
      <c r="Y29">
        <f t="shared" si="21"/>
        <v>1.5263028507691638</v>
      </c>
      <c r="Z29" s="33">
        <f t="shared" si="26"/>
        <v>-1.484197346791621</v>
      </c>
      <c r="AA29">
        <f t="shared" si="22"/>
        <v>2.3018888969510947</v>
      </c>
      <c r="AC29" t="str">
        <f>AC4</f>
        <v>Linear</v>
      </c>
      <c r="AD29" t="s">
        <v>766</v>
      </c>
      <c r="AE29" s="21">
        <f>AD4</f>
        <v>0.13914661606363005</v>
      </c>
      <c r="AF29" s="21" t="s">
        <v>766</v>
      </c>
      <c r="AG29" s="21">
        <f>regressionsenum!$AA4</f>
        <v>2.6373454836913668E-2</v>
      </c>
      <c r="AH29" s="21" t="s">
        <v>766</v>
      </c>
      <c r="AI29" s="21">
        <f>regressionselic!$AA4</f>
        <v>0.26942738379205211</v>
      </c>
      <c r="AJ29" s="21" t="s">
        <v>766</v>
      </c>
      <c r="AK29" s="21">
        <f>regressionsectric!$AA4</f>
        <v>0.11543024718806794</v>
      </c>
      <c r="AL29" s="21" t="s">
        <v>766</v>
      </c>
      <c r="AM29" s="21">
        <f>regressionscge!$AA4</f>
        <v>3.3446548412103577E-3</v>
      </c>
      <c r="AN29" s="39" t="s">
        <v>767</v>
      </c>
    </row>
    <row r="30" spans="1:64" x14ac:dyDescent="0.35">
      <c r="A30" t="str">
        <f>Table1!A23</f>
        <v>Rehdanz and Maddison 2005</v>
      </c>
      <c r="B30">
        <f>Table1!C23</f>
        <v>0.6</v>
      </c>
      <c r="C30">
        <f>Table1!E23</f>
        <v>-0.17962065483383896</v>
      </c>
      <c r="D30">
        <v>0.5</v>
      </c>
      <c r="E30">
        <v>2005</v>
      </c>
      <c r="F30" s="5">
        <f>Table1!M23</f>
        <v>-1.0354850240503519</v>
      </c>
      <c r="G30" s="5">
        <f t="shared" si="23"/>
        <v>-1.7929756559219072</v>
      </c>
      <c r="H30" s="5">
        <f t="shared" si="24"/>
        <v>0.57379205737316807</v>
      </c>
      <c r="J30">
        <f t="shared" si="7"/>
        <v>-0.30142592927826367</v>
      </c>
      <c r="K30">
        <f t="shared" si="8"/>
        <v>7.4182624412408114E-3</v>
      </c>
      <c r="L30">
        <f t="shared" si="9"/>
        <v>-0.47686790167918158</v>
      </c>
      <c r="M30">
        <f t="shared" si="10"/>
        <v>4.4177962878568032E-2</v>
      </c>
      <c r="N30">
        <f t="shared" si="11"/>
        <v>-6.2728150816269992E-2</v>
      </c>
      <c r="O30">
        <f t="shared" si="12"/>
        <v>6.8319287477486886E-3</v>
      </c>
      <c r="P30">
        <f t="shared" si="13"/>
        <v>-6.6097371647673681E-2</v>
      </c>
      <c r="Q30">
        <f t="shared" si="14"/>
        <v>6.4437679126831387E-3</v>
      </c>
      <c r="R30" s="24">
        <f t="shared" si="15"/>
        <v>-6.8321767917388893E-2</v>
      </c>
      <c r="S30">
        <f t="shared" si="16"/>
        <v>6.19372111442037E-3</v>
      </c>
      <c r="T30">
        <f t="shared" si="17"/>
        <v>-6.4245830470891184E-3</v>
      </c>
      <c r="U30">
        <f t="shared" si="18"/>
        <v>1.4998439641180502E-2</v>
      </c>
      <c r="V30">
        <f t="shared" si="19"/>
        <v>-0.4768679030254403</v>
      </c>
      <c r="W30">
        <f t="shared" si="20"/>
        <v>4.4177963278739713E-2</v>
      </c>
      <c r="X30">
        <f t="shared" si="25"/>
        <v>-0.24664215935150646</v>
      </c>
      <c r="Y30">
        <f t="shared" si="21"/>
        <v>2.2459410339058625E-3</v>
      </c>
      <c r="Z30" s="33">
        <f t="shared" si="26"/>
        <v>-0.25745664412467056</v>
      </c>
      <c r="AA30">
        <f t="shared" si="22"/>
        <v>3.0292206144412262E-3</v>
      </c>
      <c r="AC30" t="str">
        <f>AC2</f>
        <v>Piecewise linear</v>
      </c>
      <c r="AD30" t="s">
        <v>766</v>
      </c>
      <c r="AE30" s="21">
        <f>AD2</f>
        <v>0.13179100261299873</v>
      </c>
      <c r="AF30" s="21" t="s">
        <v>766</v>
      </c>
      <c r="AG30" s="21">
        <f>regressionsenum!$AA2</f>
        <v>0.41892242523483003</v>
      </c>
      <c r="AH30" s="21" t="s">
        <v>766</v>
      </c>
      <c r="AI30" s="21">
        <f>regressionselic!$AA2</f>
        <v>8.1532613048905134E-2</v>
      </c>
      <c r="AJ30" s="21" t="s">
        <v>766</v>
      </c>
      <c r="AK30" s="21">
        <f>regressionsectric!$AA2</f>
        <v>0.14288689321863102</v>
      </c>
      <c r="AL30" s="21" t="s">
        <v>766</v>
      </c>
      <c r="AM30" s="21">
        <f>regressionscge!$AA2</f>
        <v>0.11744814908182744</v>
      </c>
      <c r="AN30" s="39" t="s">
        <v>767</v>
      </c>
    </row>
    <row r="31" spans="1:64" ht="15" thickBot="1" x14ac:dyDescent="0.4">
      <c r="A31">
        <f>Table1!A24</f>
        <v>0</v>
      </c>
      <c r="B31">
        <f>Table1!C24</f>
        <v>1</v>
      </c>
      <c r="C31">
        <f>Table1!E24</f>
        <v>-0.30947656699459297</v>
      </c>
      <c r="D31">
        <v>0.5</v>
      </c>
      <c r="E31">
        <v>2005</v>
      </c>
      <c r="F31" s="5">
        <f>Table1!M24</f>
        <v>-0.99317507887269996</v>
      </c>
      <c r="G31" s="5">
        <f t="shared" si="23"/>
        <v>-1.7929756559219072</v>
      </c>
      <c r="H31" s="5">
        <f t="shared" si="24"/>
        <v>0.63968096304824495</v>
      </c>
      <c r="J31">
        <f t="shared" si="7"/>
        <v>-0.53506987904904835</v>
      </c>
      <c r="K31">
        <f t="shared" si="8"/>
        <v>2.5446171221849442E-2</v>
      </c>
      <c r="L31">
        <f t="shared" si="9"/>
        <v>-0.79477983613196934</v>
      </c>
      <c r="M31">
        <f t="shared" si="10"/>
        <v>0.11775963151771238</v>
      </c>
      <c r="N31">
        <f t="shared" si="11"/>
        <v>-0.17424486337852776</v>
      </c>
      <c r="O31">
        <f t="shared" si="12"/>
        <v>9.1438068314516514E-3</v>
      </c>
      <c r="P31">
        <f t="shared" si="13"/>
        <v>-0.18360290132577989</v>
      </c>
      <c r="Q31">
        <f t="shared" si="14"/>
        <v>7.9220898544520666E-3</v>
      </c>
      <c r="R31" s="24">
        <f t="shared" si="15"/>
        <v>-0.18977310820449733</v>
      </c>
      <c r="S31">
        <f t="shared" si="16"/>
        <v>7.1644590231560628E-3</v>
      </c>
      <c r="T31">
        <f t="shared" si="17"/>
        <v>-1.3427796931533009E-2</v>
      </c>
      <c r="U31">
        <f t="shared" si="18"/>
        <v>4.3822437127925273E-2</v>
      </c>
      <c r="V31">
        <f t="shared" si="19"/>
        <v>-0.79477983837573385</v>
      </c>
      <c r="W31">
        <f t="shared" si="20"/>
        <v>0.11775963260661863</v>
      </c>
      <c r="X31">
        <f t="shared" si="25"/>
        <v>-0.41834367992897836</v>
      </c>
      <c r="Y31">
        <f t="shared" si="21"/>
        <v>5.9260241393341113E-3</v>
      </c>
      <c r="Z31" s="33">
        <f t="shared" si="26"/>
        <v>-0.46248069388622703</v>
      </c>
      <c r="AA31">
        <f t="shared" si="22"/>
        <v>1.1705131422935628E-2</v>
      </c>
      <c r="AC31" t="str">
        <f>AC6</f>
        <v>T^2+T^6</v>
      </c>
      <c r="AD31" t="s">
        <v>766</v>
      </c>
      <c r="AE31" s="21">
        <f>AD6</f>
        <v>0.11760769911204765</v>
      </c>
      <c r="AF31" s="21" t="s">
        <v>766</v>
      </c>
      <c r="AG31" s="21">
        <f>regressionsenum!$AA6</f>
        <v>0.17903146578025633</v>
      </c>
      <c r="AH31" s="21" t="s">
        <v>766</v>
      </c>
      <c r="AI31" s="21">
        <f>regressionselic!$AA6</f>
        <v>0.10029765285902004</v>
      </c>
      <c r="AJ31" s="21" t="s">
        <v>766</v>
      </c>
      <c r="AK31" s="21">
        <f>regressionsectric!$AA6</f>
        <v>0.12812369063052659</v>
      </c>
      <c r="AL31" s="21" t="s">
        <v>766</v>
      </c>
      <c r="AM31" s="21">
        <f>regressionscge!$AA6</f>
        <v>0.23567601895685511</v>
      </c>
      <c r="AN31" s="39" t="s">
        <v>767</v>
      </c>
      <c r="AT31" s="2"/>
      <c r="AU31" s="2"/>
    </row>
    <row r="32" spans="1:64" x14ac:dyDescent="0.35">
      <c r="A32" t="str">
        <f>Table1!A25</f>
        <v>Hope 2006</v>
      </c>
      <c r="B32">
        <f>Table1!C25</f>
        <v>2.5</v>
      </c>
      <c r="C32">
        <f>Table1!E25</f>
        <v>-0.9804776851232514</v>
      </c>
      <c r="D32">
        <v>1</v>
      </c>
      <c r="E32">
        <v>2006</v>
      </c>
      <c r="F32" s="5">
        <f>Table1!M25</f>
        <v>-0.9804776851232514</v>
      </c>
      <c r="G32" s="5">
        <f t="shared" si="23"/>
        <v>-1.8341679200820522</v>
      </c>
      <c r="H32" s="5">
        <f t="shared" si="24"/>
        <v>0.72878701726401252</v>
      </c>
      <c r="J32">
        <f t="shared" si="7"/>
        <v>-1.6441746687345788</v>
      </c>
      <c r="K32">
        <f t="shared" si="8"/>
        <v>0.44049368605477468</v>
      </c>
      <c r="L32">
        <f t="shared" si="9"/>
        <v>-1.9869495903299232</v>
      </c>
      <c r="M32">
        <f t="shared" si="10"/>
        <v>1.0129856959703476</v>
      </c>
      <c r="N32">
        <f t="shared" si="11"/>
        <v>-1.0890303961157985</v>
      </c>
      <c r="O32">
        <f t="shared" si="12"/>
        <v>1.1783691063831467E-2</v>
      </c>
      <c r="P32">
        <f t="shared" si="13"/>
        <v>-1.1469228310703414</v>
      </c>
      <c r="Q32">
        <f t="shared" si="14"/>
        <v>2.7703986609348103E-2</v>
      </c>
      <c r="R32" s="24">
        <f t="shared" si="15"/>
        <v>-1.1834634745228021</v>
      </c>
      <c r="S32">
        <f t="shared" si="16"/>
        <v>4.1203230698158747E-2</v>
      </c>
      <c r="T32">
        <f t="shared" si="17"/>
        <v>-8.7387444600447534E-2</v>
      </c>
      <c r="U32">
        <f t="shared" si="18"/>
        <v>0.79761017771707965</v>
      </c>
      <c r="V32">
        <f t="shared" si="19"/>
        <v>-1.9869495959393346</v>
      </c>
      <c r="W32">
        <f t="shared" si="20"/>
        <v>1.0129857072617781</v>
      </c>
      <c r="X32">
        <f t="shared" si="25"/>
        <v>-1.2024359346677713</v>
      </c>
      <c r="Y32">
        <f t="shared" si="21"/>
        <v>4.9265464540867381E-2</v>
      </c>
      <c r="Z32" s="33">
        <f t="shared" si="26"/>
        <v>-1.484197346791621</v>
      </c>
      <c r="AA32">
        <f t="shared" si="22"/>
        <v>0.25373349755129671</v>
      </c>
      <c r="AC32" t="str">
        <f>AC7</f>
        <v>T^2+T^7</v>
      </c>
      <c r="AD32" t="s">
        <v>766</v>
      </c>
      <c r="AE32" s="21">
        <f>AD7</f>
        <v>0.11609119514932272</v>
      </c>
      <c r="AF32" s="21" t="s">
        <v>766</v>
      </c>
      <c r="AG32" s="21">
        <f>regressionsenum!$AA7</f>
        <v>0.19480378025387163</v>
      </c>
      <c r="AH32" s="21" t="s">
        <v>766</v>
      </c>
      <c r="AI32" s="21">
        <f>regressionselic!$AA7</f>
        <v>9.5591392018661972E-2</v>
      </c>
      <c r="AJ32" s="21" t="s">
        <v>766</v>
      </c>
      <c r="AK32" s="21">
        <f>regressionsectric!$AA7</f>
        <v>0.13254812208726077</v>
      </c>
      <c r="AL32" s="21" t="s">
        <v>766</v>
      </c>
      <c r="AM32" s="21">
        <f>regressionscge!$AA7</f>
        <v>0.27126684433129028</v>
      </c>
      <c r="AN32" s="39" t="s">
        <v>767</v>
      </c>
    </row>
    <row r="33" spans="1:54" ht="15" thickBot="1" x14ac:dyDescent="0.4">
      <c r="A33" t="str">
        <f>Table1!A26</f>
        <v>Nordhaus 2006</v>
      </c>
      <c r="B33">
        <f>Table1!C26</f>
        <v>3</v>
      </c>
      <c r="C33">
        <f>Table1!E26</f>
        <v>-0.93</v>
      </c>
      <c r="D33">
        <v>0.5</v>
      </c>
      <c r="E33">
        <v>2006</v>
      </c>
      <c r="F33" s="5">
        <f>Table1!M26</f>
        <v>-0.71927221541380837</v>
      </c>
      <c r="G33" s="5">
        <f t="shared" si="23"/>
        <v>-1.8341679200820522</v>
      </c>
      <c r="H33" s="5">
        <f t="shared" si="24"/>
        <v>1.2429924322877002</v>
      </c>
      <c r="J33">
        <f t="shared" si="7"/>
        <v>-2.0956095909262777</v>
      </c>
      <c r="K33">
        <f t="shared" si="8"/>
        <v>0.67932285922966207</v>
      </c>
      <c r="L33">
        <f t="shared" si="9"/>
        <v>-2.3843395083959082</v>
      </c>
      <c r="M33">
        <f t="shared" si="10"/>
        <v>1.0575517028406258</v>
      </c>
      <c r="N33">
        <f t="shared" si="11"/>
        <v>-1.56820377040675</v>
      </c>
      <c r="O33">
        <f t="shared" si="12"/>
        <v>0.20365202628069579</v>
      </c>
      <c r="P33">
        <f t="shared" si="13"/>
        <v>-1.6502798366921252</v>
      </c>
      <c r="Q33">
        <f t="shared" si="14"/>
        <v>0.25940152157261726</v>
      </c>
      <c r="R33" s="24">
        <f t="shared" si="15"/>
        <v>-1.7000329651781108</v>
      </c>
      <c r="S33">
        <f t="shared" si="16"/>
        <v>0.29647538373049676</v>
      </c>
      <c r="T33">
        <f t="shared" si="17"/>
        <v>-0.14914707813890357</v>
      </c>
      <c r="U33">
        <f t="shared" si="18"/>
        <v>0.30486564278950579</v>
      </c>
      <c r="V33">
        <f t="shared" si="19"/>
        <v>-2.3843395151272015</v>
      </c>
      <c r="W33">
        <f t="shared" si="20"/>
        <v>1.0575517126302116</v>
      </c>
      <c r="X33">
        <f t="shared" si="25"/>
        <v>-1.5478907500015633</v>
      </c>
      <c r="Y33">
        <f t="shared" si="21"/>
        <v>0.19089448946874715</v>
      </c>
      <c r="Z33" s="33">
        <f t="shared" si="26"/>
        <v>-1.9190280160093458</v>
      </c>
      <c r="AA33">
        <f t="shared" si="22"/>
        <v>0.48908820822569132</v>
      </c>
      <c r="AC33" t="str">
        <f>AC8</f>
        <v>Quadratic</v>
      </c>
      <c r="AD33" t="s">
        <v>766</v>
      </c>
      <c r="AE33" s="21">
        <f>AD8</f>
        <v>0.11297088131851339</v>
      </c>
      <c r="AF33" s="21" t="s">
        <v>766</v>
      </c>
      <c r="AG33" s="21">
        <f>regressionsenum!$AA8</f>
        <v>6.2430173749496644E-2</v>
      </c>
      <c r="AH33" s="21" t="s">
        <v>766</v>
      </c>
      <c r="AI33" s="21">
        <f>regressionselic!$AA8</f>
        <v>0.12666988210101554</v>
      </c>
      <c r="AJ33" s="21" t="s">
        <v>766</v>
      </c>
      <c r="AK33" s="21">
        <f>regressionsectric!$AA8</f>
        <v>0.10377879912567443</v>
      </c>
      <c r="AL33" s="21" t="s">
        <v>766</v>
      </c>
      <c r="AM33" s="21">
        <f>regressionscge!$AA8</f>
        <v>9.8737207162418336E-2</v>
      </c>
      <c r="AN33" s="39" t="s">
        <v>767</v>
      </c>
    </row>
    <row r="34" spans="1:54" x14ac:dyDescent="0.35">
      <c r="A34">
        <f>Table1!A27</f>
        <v>0</v>
      </c>
      <c r="B34">
        <f>Table1!C27</f>
        <v>3</v>
      </c>
      <c r="C34">
        <f>Table1!E27</f>
        <v>-1.05</v>
      </c>
      <c r="D34">
        <v>0.5</v>
      </c>
      <c r="E34">
        <v>2006</v>
      </c>
      <c r="F34" s="5">
        <f>Table1!M27</f>
        <v>-0.81208153353171908</v>
      </c>
      <c r="G34" s="5">
        <f t="shared" si="23"/>
        <v>-1.8341679200820522</v>
      </c>
      <c r="H34" s="5">
        <f t="shared" si="24"/>
        <v>1.0446605815715171</v>
      </c>
      <c r="J34">
        <f t="shared" si="7"/>
        <v>-2.0956095909262777</v>
      </c>
      <c r="K34">
        <f t="shared" si="8"/>
        <v>0.5466497083185089</v>
      </c>
      <c r="L34">
        <f t="shared" si="9"/>
        <v>-2.3843395083959082</v>
      </c>
      <c r="M34">
        <f t="shared" si="10"/>
        <v>0.89023096183311701</v>
      </c>
      <c r="N34">
        <f t="shared" si="11"/>
        <v>-1.56820377040675</v>
      </c>
      <c r="O34">
        <f t="shared" si="12"/>
        <v>0.13426757383188578</v>
      </c>
      <c r="P34">
        <f t="shared" si="13"/>
        <v>-1.6502798366921252</v>
      </c>
      <c r="Q34">
        <f t="shared" si="14"/>
        <v>0.18016794116956222</v>
      </c>
      <c r="R34" s="24">
        <f t="shared" si="15"/>
        <v>-1.7000329651781108</v>
      </c>
      <c r="S34">
        <f t="shared" si="16"/>
        <v>0.21127142790912345</v>
      </c>
      <c r="T34">
        <f t="shared" si="17"/>
        <v>-0.14914707813890357</v>
      </c>
      <c r="U34">
        <f t="shared" si="18"/>
        <v>0.40576799341283737</v>
      </c>
      <c r="V34">
        <f t="shared" si="19"/>
        <v>-2.3843395151272015</v>
      </c>
      <c r="W34">
        <f t="shared" si="20"/>
        <v>0.89023097081494762</v>
      </c>
      <c r="X34">
        <f t="shared" si="25"/>
        <v>-1.5478907500015633</v>
      </c>
      <c r="Y34">
        <f t="shared" si="21"/>
        <v>0.12394759946855957</v>
      </c>
      <c r="Z34" s="33">
        <f t="shared" si="26"/>
        <v>-1.9190280160093458</v>
      </c>
      <c r="AA34">
        <f t="shared" si="22"/>
        <v>0.37760484630456986</v>
      </c>
      <c r="AC34" t="str">
        <f>AC5</f>
        <v>Exponential</v>
      </c>
      <c r="AD34" t="s">
        <v>766</v>
      </c>
      <c r="AE34" s="21">
        <f>AD5</f>
        <v>9.9767198691121019E-4</v>
      </c>
      <c r="AF34" s="21" t="s">
        <v>766</v>
      </c>
      <c r="AG34" s="21">
        <f>regressionsenum!$AA5</f>
        <v>2.503111574834865E-2</v>
      </c>
      <c r="AH34" s="21" t="s">
        <v>766</v>
      </c>
      <c r="AI34" s="21">
        <f>regressionselic!$AA5</f>
        <v>3.6964696900215262E-2</v>
      </c>
      <c r="AJ34" s="21" t="s">
        <v>766</v>
      </c>
      <c r="AK34" s="21">
        <f>regressionsectric!$AA5</f>
        <v>0.14341978454547596</v>
      </c>
      <c r="AL34" s="21" t="s">
        <v>766</v>
      </c>
      <c r="AM34" s="21">
        <f>regressionscge!$AA5</f>
        <v>1.1727266966887692E-2</v>
      </c>
      <c r="AN34" s="39" t="s">
        <v>767</v>
      </c>
      <c r="AT34" s="3"/>
      <c r="AU34" s="3"/>
      <c r="AV34" s="3"/>
      <c r="AW34" s="3"/>
      <c r="AX34" s="3"/>
      <c r="AY34" s="3"/>
    </row>
    <row r="35" spans="1:54" x14ac:dyDescent="0.35">
      <c r="A35" t="str">
        <f>Table1!A28</f>
        <v>Nordhaus 2008</v>
      </c>
      <c r="B35">
        <f>Table1!C28</f>
        <v>3</v>
      </c>
      <c r="C35">
        <f>Table1!E28</f>
        <v>-2.5</v>
      </c>
      <c r="D35">
        <v>1</v>
      </c>
      <c r="E35">
        <v>2008</v>
      </c>
      <c r="F35" s="5">
        <f>Table1!M28</f>
        <v>-1.9335274607898072</v>
      </c>
      <c r="G35" s="5">
        <f t="shared" si="23"/>
        <v>-1.9165524484023564</v>
      </c>
      <c r="H35" s="5">
        <f t="shared" si="24"/>
        <v>2.8815104555410828E-4</v>
      </c>
      <c r="J35">
        <f t="shared" si="7"/>
        <v>-2.0956095909262777</v>
      </c>
      <c r="K35">
        <f t="shared" si="8"/>
        <v>0.16353160295081243</v>
      </c>
      <c r="L35">
        <f t="shared" si="9"/>
        <v>-2.3843395083959082</v>
      </c>
      <c r="M35">
        <f t="shared" si="10"/>
        <v>1.3377349318100178E-2</v>
      </c>
      <c r="N35">
        <f t="shared" si="11"/>
        <v>-1.56820377040675</v>
      </c>
      <c r="O35">
        <f t="shared" si="12"/>
        <v>0.86824421348419678</v>
      </c>
      <c r="P35">
        <f t="shared" si="13"/>
        <v>-1.6502798366921252</v>
      </c>
      <c r="Q35">
        <f t="shared" si="14"/>
        <v>0.72202435593196146</v>
      </c>
      <c r="R35" s="24">
        <f t="shared" si="15"/>
        <v>-1.7000329651781108</v>
      </c>
      <c r="S35">
        <f t="shared" si="16"/>
        <v>0.63994725680172571</v>
      </c>
      <c r="T35">
        <f t="shared" si="17"/>
        <v>-0.14914707813890357</v>
      </c>
      <c r="U35">
        <f t="shared" si="18"/>
        <v>5.5265094602228544</v>
      </c>
      <c r="V35">
        <f t="shared" si="19"/>
        <v>-2.3843395151272015</v>
      </c>
      <c r="W35">
        <f t="shared" si="20"/>
        <v>1.3377347761010839E-2</v>
      </c>
      <c r="X35">
        <f t="shared" si="25"/>
        <v>-1.5478907500015633</v>
      </c>
      <c r="Y35">
        <f t="shared" si="21"/>
        <v>0.90651202393258568</v>
      </c>
      <c r="Z35" s="33">
        <f t="shared" si="26"/>
        <v>-1.9190280160093458</v>
      </c>
      <c r="AA35">
        <f t="shared" si="22"/>
        <v>0.33752844618203698</v>
      </c>
    </row>
    <row r="36" spans="1:54" x14ac:dyDescent="0.35">
      <c r="A36" t="str">
        <f>Table1!A29</f>
        <v>Maddison and Rehdanz 2011</v>
      </c>
      <c r="B36">
        <f>Table1!C29</f>
        <v>3.2</v>
      </c>
      <c r="C36">
        <f>Table1!E29</f>
        <v>-5.1135252093739076</v>
      </c>
      <c r="D36">
        <v>1</v>
      </c>
      <c r="E36">
        <v>2011</v>
      </c>
      <c r="F36" s="5">
        <f>Table1!M29</f>
        <v>-3.6021692302144768</v>
      </c>
      <c r="G36" s="5">
        <f t="shared" si="23"/>
        <v>-2.0401292408827914</v>
      </c>
      <c r="H36" s="5">
        <f t="shared" si="24"/>
        <v>2.4399689282713317</v>
      </c>
      <c r="J36">
        <f t="shared" si="7"/>
        <v>-2.2876262253911372</v>
      </c>
      <c r="K36">
        <f t="shared" si="8"/>
        <v>7.9857050676748544</v>
      </c>
      <c r="L36">
        <f t="shared" si="9"/>
        <v>-2.5432954756223021</v>
      </c>
      <c r="M36">
        <f t="shared" si="10"/>
        <v>6.6060808842608489</v>
      </c>
      <c r="N36">
        <f t="shared" si="11"/>
        <v>-1.7842674009961246</v>
      </c>
      <c r="O36">
        <f t="shared" si="12"/>
        <v>11.083957554644439</v>
      </c>
      <c r="P36">
        <f t="shared" si="13"/>
        <v>-1.8767178749972948</v>
      </c>
      <c r="Q36">
        <f t="shared" si="14"/>
        <v>10.476921719874234</v>
      </c>
      <c r="R36" s="24">
        <f t="shared" si="15"/>
        <v>-1.9315707097256622</v>
      </c>
      <c r="S36">
        <f t="shared" si="16"/>
        <v>10.124834437831717</v>
      </c>
      <c r="T36">
        <f t="shared" si="17"/>
        <v>-0.18389884100405846</v>
      </c>
      <c r="U36">
        <f t="shared" si="18"/>
        <v>24.301216131727308</v>
      </c>
      <c r="V36">
        <f t="shared" si="19"/>
        <v>-2.5432954828023484</v>
      </c>
      <c r="W36">
        <f t="shared" si="20"/>
        <v>6.6060808473521124</v>
      </c>
      <c r="X36">
        <f t="shared" si="25"/>
        <v>-1.7031975345340957</v>
      </c>
      <c r="Y36">
        <f t="shared" si="21"/>
        <v>11.63033484977832</v>
      </c>
      <c r="Z36" s="33">
        <f t="shared" si="26"/>
        <v>-2.1069194875258361</v>
      </c>
      <c r="AA36">
        <f t="shared" si="22"/>
        <v>9.0396779666495632</v>
      </c>
    </row>
    <row r="37" spans="1:54" ht="15" thickBot="1" x14ac:dyDescent="0.4">
      <c r="A37" t="str">
        <f>Table1!A30</f>
        <v>Bosello et al.  2012</v>
      </c>
      <c r="B37">
        <f>Table1!C30</f>
        <v>1.92</v>
      </c>
      <c r="C37">
        <f>Table1!E30</f>
        <v>-0.5</v>
      </c>
      <c r="D37">
        <v>1</v>
      </c>
      <c r="E37">
        <v>2012</v>
      </c>
      <c r="F37" s="5">
        <f>Table1!M30</f>
        <v>-0.72326874195369129</v>
      </c>
      <c r="G37" s="5">
        <f t="shared" si="23"/>
        <v>-2.0813215050429505</v>
      </c>
      <c r="H37" s="5">
        <f t="shared" si="24"/>
        <v>1.8443073073343714</v>
      </c>
      <c r="J37">
        <f t="shared" si="7"/>
        <v>-1.1717079141667495</v>
      </c>
      <c r="K37">
        <f t="shared" si="8"/>
        <v>0.45119152195424528</v>
      </c>
      <c r="L37">
        <f t="shared" si="9"/>
        <v>-1.5259772853733811</v>
      </c>
      <c r="M37">
        <f t="shared" si="10"/>
        <v>1.0526293901021322</v>
      </c>
      <c r="N37">
        <f t="shared" si="11"/>
        <v>-0.64233626435860469</v>
      </c>
      <c r="O37">
        <f t="shared" si="12"/>
        <v>2.0259612151562599E-2</v>
      </c>
      <c r="P37">
        <f t="shared" si="13"/>
        <v>-0.67674258390931652</v>
      </c>
      <c r="Q37">
        <f t="shared" si="14"/>
        <v>3.1237940966941789E-2</v>
      </c>
      <c r="R37" s="24">
        <f t="shared" si="15"/>
        <v>-0.69906875215039921</v>
      </c>
      <c r="S37">
        <f t="shared" si="16"/>
        <v>3.9628368082717066E-2</v>
      </c>
      <c r="T37">
        <f t="shared" si="17"/>
        <v>-4.5488840641828621E-2</v>
      </c>
      <c r="U37">
        <f t="shared" si="18"/>
        <v>0.20658039398110906</v>
      </c>
      <c r="V37">
        <f t="shared" si="19"/>
        <v>-1.525977289681409</v>
      </c>
      <c r="W37">
        <f t="shared" si="20"/>
        <v>1.0526293989420099</v>
      </c>
      <c r="X37">
        <f t="shared" si="25"/>
        <v>-0.86346684571880084</v>
      </c>
      <c r="Y37">
        <f t="shared" si="21"/>
        <v>0.13210814793677456</v>
      </c>
      <c r="Z37" s="33">
        <f t="shared" si="26"/>
        <v>-1.040218991128208</v>
      </c>
      <c r="AA37">
        <f t="shared" si="22"/>
        <v>0.29183655837557892</v>
      </c>
      <c r="AT37" s="2"/>
      <c r="AU37" s="2"/>
      <c r="AV37" s="2"/>
      <c r="AW37" s="2"/>
      <c r="AX37" s="2"/>
      <c r="AY37" s="2"/>
    </row>
    <row r="38" spans="1:54" ht="15" thickBot="1" x14ac:dyDescent="0.4">
      <c r="A38" t="str">
        <f>Table1!A31</f>
        <v>Roson and van der Mensbrugghe 2012</v>
      </c>
      <c r="B38">
        <f>Table1!C31</f>
        <v>2.9099999999999997</v>
      </c>
      <c r="C38">
        <f>Table1!E31</f>
        <v>-1.8</v>
      </c>
      <c r="D38">
        <v>0.5</v>
      </c>
      <c r="E38">
        <v>2012</v>
      </c>
      <c r="F38" s="5">
        <f>Table1!M31</f>
        <v>-1.4613799139492396</v>
      </c>
      <c r="G38" s="5">
        <f t="shared" si="23"/>
        <v>-2.0813215050429505</v>
      </c>
      <c r="H38" s="5">
        <f t="shared" si="24"/>
        <v>0.3843275763678019</v>
      </c>
      <c r="J38">
        <f t="shared" si="7"/>
        <v>-2.0113353452160299</v>
      </c>
      <c r="K38">
        <f t="shared" si="8"/>
        <v>2.2331314068789247E-2</v>
      </c>
      <c r="L38">
        <f t="shared" si="9"/>
        <v>-2.3128093231440308</v>
      </c>
      <c r="M38">
        <f t="shared" si="10"/>
        <v>0.13148670095171947</v>
      </c>
      <c r="N38">
        <f t="shared" si="11"/>
        <v>-1.4755229275757107</v>
      </c>
      <c r="O38">
        <f t="shared" si="12"/>
        <v>5.2642685264518763E-2</v>
      </c>
      <c r="P38">
        <f t="shared" si="13"/>
        <v>-1.5530347539725724</v>
      </c>
      <c r="Q38">
        <f t="shared" si="14"/>
        <v>3.0495916372693933E-2</v>
      </c>
      <c r="R38" s="24">
        <f t="shared" si="15"/>
        <v>-1.6004270388606314</v>
      </c>
      <c r="S38">
        <f t="shared" si="16"/>
        <v>1.991468340896797E-2</v>
      </c>
      <c r="T38">
        <f t="shared" si="17"/>
        <v>-0.13563756694584325</v>
      </c>
      <c r="U38">
        <f t="shared" si="18"/>
        <v>1.3850511542809765</v>
      </c>
      <c r="V38">
        <f t="shared" si="19"/>
        <v>-2.3128093296733852</v>
      </c>
      <c r="W38">
        <f t="shared" si="20"/>
        <v>0.13148670430003329</v>
      </c>
      <c r="X38">
        <f t="shared" si="25"/>
        <v>-1.4814098799834214</v>
      </c>
      <c r="Y38">
        <f t="shared" si="21"/>
        <v>5.0749832286088981E-2</v>
      </c>
      <c r="Z38" s="33">
        <f t="shared" si="26"/>
        <v>-1.8371068790765488</v>
      </c>
      <c r="AA38">
        <f t="shared" si="22"/>
        <v>6.8846023740080562E-4</v>
      </c>
    </row>
    <row r="39" spans="1:54" x14ac:dyDescent="0.35">
      <c r="A39">
        <f>Table1!A32</f>
        <v>0</v>
      </c>
      <c r="B39">
        <f>Table1!C32</f>
        <v>5.4</v>
      </c>
      <c r="C39">
        <f>Table1!E32</f>
        <v>-4.5999999999999996</v>
      </c>
      <c r="D39">
        <v>0.5</v>
      </c>
      <c r="E39">
        <v>2012</v>
      </c>
      <c r="F39" s="5">
        <f>Table1!M32</f>
        <v>-1.4405050440365976</v>
      </c>
      <c r="G39" s="5">
        <f t="shared" si="23"/>
        <v>-2.0813215050429505</v>
      </c>
      <c r="H39" s="5">
        <f t="shared" si="24"/>
        <v>0.41064573669670662</v>
      </c>
      <c r="J39">
        <f t="shared" si="7"/>
        <v>-4.831361163830227</v>
      </c>
      <c r="K39">
        <f t="shared" si="8"/>
        <v>2.6763994064438641E-2</v>
      </c>
      <c r="L39">
        <f t="shared" si="9"/>
        <v>-4.291811115112635</v>
      </c>
      <c r="M39">
        <f t="shared" si="10"/>
        <v>4.7490194384058639E-2</v>
      </c>
      <c r="N39">
        <f t="shared" si="11"/>
        <v>-5.0809802161178705</v>
      </c>
      <c r="O39">
        <f t="shared" si="12"/>
        <v>0.1156709841483969</v>
      </c>
      <c r="P39">
        <f t="shared" si="13"/>
        <v>-5.2219470961217151</v>
      </c>
      <c r="Q39">
        <f t="shared" si="14"/>
        <v>0.19340909518711721</v>
      </c>
      <c r="R39" s="24">
        <f t="shared" si="15"/>
        <v>-5.2611882886448251</v>
      </c>
      <c r="S39">
        <f t="shared" si="16"/>
        <v>0.21858497652053652</v>
      </c>
      <c r="T39">
        <f t="shared" si="17"/>
        <v>-1.7224023150212302</v>
      </c>
      <c r="U39">
        <f t="shared" si="18"/>
        <v>4.1402842182975865</v>
      </c>
      <c r="V39">
        <f t="shared" si="19"/>
        <v>-4.2918111272289634</v>
      </c>
      <c r="W39">
        <f t="shared" si="20"/>
        <v>4.7490190649940978E-2</v>
      </c>
      <c r="X39">
        <f t="shared" si="25"/>
        <v>-4.4473781512046706</v>
      </c>
      <c r="Y39">
        <f t="shared" si="21"/>
        <v>1.1646714364852139E-2</v>
      </c>
      <c r="Z39" s="33">
        <f t="shared" si="26"/>
        <v>-4.7395236993477772</v>
      </c>
      <c r="AA39">
        <f t="shared" si="22"/>
        <v>9.7334313398445074E-3</v>
      </c>
      <c r="AT39" s="3"/>
      <c r="AU39" s="3"/>
      <c r="AV39" s="3"/>
      <c r="AW39" s="3"/>
      <c r="AX39" s="3"/>
      <c r="AY39" s="3"/>
      <c r="AZ39" s="3"/>
      <c r="BA39" s="3"/>
      <c r="BB39" s="3"/>
    </row>
    <row r="40" spans="1:54" x14ac:dyDescent="0.35">
      <c r="A40" t="str">
        <f>Table1!A33</f>
        <v>Nordhaus 2013</v>
      </c>
      <c r="B40">
        <f>Table1!C33</f>
        <v>2.9</v>
      </c>
      <c r="C40">
        <f>Table1!E33</f>
        <v>-2</v>
      </c>
      <c r="D40">
        <v>1</v>
      </c>
      <c r="E40">
        <v>2013</v>
      </c>
      <c r="F40" s="5">
        <f>Table1!M33</f>
        <v>-1.6237554599435993</v>
      </c>
      <c r="G40" s="5">
        <f t="shared" si="23"/>
        <v>-2.1225137692030955</v>
      </c>
      <c r="H40" s="5">
        <f t="shared" si="24"/>
        <v>0.24875985105539133</v>
      </c>
      <c r="J40">
        <f t="shared" si="7"/>
        <v>-2.0020532734627436</v>
      </c>
      <c r="K40">
        <f t="shared" si="8"/>
        <v>4.2159319128072718E-6</v>
      </c>
      <c r="L40">
        <f t="shared" si="9"/>
        <v>-2.3048615247827109</v>
      </c>
      <c r="M40">
        <f t="shared" si="10"/>
        <v>9.2940549292839444E-2</v>
      </c>
      <c r="N40">
        <f t="shared" si="11"/>
        <v>-1.4653993010134185</v>
      </c>
      <c r="O40">
        <f t="shared" si="12"/>
        <v>0.28579790735694149</v>
      </c>
      <c r="P40">
        <f t="shared" si="13"/>
        <v>-1.5424088261982221</v>
      </c>
      <c r="Q40">
        <f t="shared" si="14"/>
        <v>0.20938968234128894</v>
      </c>
      <c r="R40" s="24">
        <f t="shared" si="15"/>
        <v>-1.5895372140989179</v>
      </c>
      <c r="S40">
        <f t="shared" si="16"/>
        <v>0.16847969860967757</v>
      </c>
      <c r="T40">
        <f t="shared" si="17"/>
        <v>-0.13421019338854395</v>
      </c>
      <c r="U40">
        <f t="shared" si="18"/>
        <v>3.4811716024552144</v>
      </c>
      <c r="V40">
        <f t="shared" si="19"/>
        <v>-2.3048615312896281</v>
      </c>
      <c r="W40">
        <f t="shared" si="20"/>
        <v>9.2940553260256908E-2</v>
      </c>
      <c r="X40">
        <f t="shared" si="25"/>
        <v>-1.4741474406155572</v>
      </c>
      <c r="Y40">
        <f t="shared" si="21"/>
        <v>0.27652091421116887</v>
      </c>
      <c r="Z40" s="33">
        <f t="shared" si="26"/>
        <v>-1.8281045186978759</v>
      </c>
      <c r="AA40">
        <f t="shared" si="22"/>
        <v>2.9548056492088883E-2</v>
      </c>
    </row>
    <row r="41" spans="1:54" ht="15" thickBot="1" x14ac:dyDescent="0.4">
      <c r="A41" t="str">
        <f>Table1!A34</f>
        <v>Sartori and Roson 2016</v>
      </c>
      <c r="B41">
        <f>Table1!C34</f>
        <v>3</v>
      </c>
      <c r="C41">
        <f>Table1!E34</f>
        <v>-0.71756668095998166</v>
      </c>
      <c r="D41">
        <v>1</v>
      </c>
      <c r="E41">
        <v>2016</v>
      </c>
      <c r="F41" s="5">
        <f>Table1!M34</f>
        <v>-0.55497395303356922</v>
      </c>
      <c r="G41" s="5">
        <f t="shared" si="23"/>
        <v>-2.2460905616835447</v>
      </c>
      <c r="H41" s="5">
        <f t="shared" si="24"/>
        <v>2.8598753840517941</v>
      </c>
      <c r="J41">
        <f t="shared" si="7"/>
        <v>-2.0956095909262777</v>
      </c>
      <c r="K41">
        <f t="shared" si="8"/>
        <v>1.8990022617083773</v>
      </c>
      <c r="L41">
        <f t="shared" si="9"/>
        <v>-2.3843395083959082</v>
      </c>
      <c r="M41">
        <f t="shared" si="10"/>
        <v>2.778131658278753</v>
      </c>
      <c r="N41">
        <f t="shared" si="11"/>
        <v>-1.56820377040675</v>
      </c>
      <c r="O41">
        <f t="shared" si="12"/>
        <v>0.72358345794246925</v>
      </c>
      <c r="P41">
        <f t="shared" si="13"/>
        <v>-1.6502798366921252</v>
      </c>
      <c r="Q41">
        <f t="shared" si="14"/>
        <v>0.86995383087581379</v>
      </c>
      <c r="R41" s="24">
        <f t="shared" si="15"/>
        <v>-1.7000329651781108</v>
      </c>
      <c r="S41">
        <f t="shared" si="16"/>
        <v>0.96523999962537765</v>
      </c>
      <c r="T41">
        <f t="shared" si="17"/>
        <v>-0.14914707813890357</v>
      </c>
      <c r="U41">
        <f t="shared" si="18"/>
        <v>0.32310084487127211</v>
      </c>
      <c r="V41">
        <f t="shared" si="19"/>
        <v>-2.3843395151272015</v>
      </c>
      <c r="W41">
        <f t="shared" si="20"/>
        <v>2.7781316807178267</v>
      </c>
      <c r="X41">
        <f t="shared" si="25"/>
        <v>-1.5478907500015633</v>
      </c>
      <c r="Y41">
        <f t="shared" si="21"/>
        <v>0.68943805962976923</v>
      </c>
      <c r="Z41" s="33">
        <f t="shared" si="26"/>
        <v>-1.9190280160093458</v>
      </c>
      <c r="AA41">
        <f t="shared" si="22"/>
        <v>1.4435093396186005</v>
      </c>
      <c r="AT41" s="2"/>
      <c r="AU41" s="2"/>
      <c r="AV41" s="2"/>
      <c r="AW41" s="2"/>
      <c r="AX41" s="2"/>
      <c r="AY41" s="2"/>
      <c r="AZ41" s="2"/>
      <c r="BA41" s="2"/>
      <c r="BB41" s="2"/>
    </row>
    <row r="42" spans="1:54" x14ac:dyDescent="0.35">
      <c r="A42" t="str">
        <f>Table1!A35</f>
        <v>Kompas et al. 2018</v>
      </c>
      <c r="B42">
        <f>Table1!C35</f>
        <v>1</v>
      </c>
      <c r="C42">
        <f>Table1!E35</f>
        <v>-0.4658664448796927</v>
      </c>
      <c r="D42">
        <v>0.25</v>
      </c>
      <c r="E42">
        <v>2018</v>
      </c>
      <c r="F42" s="5">
        <f>Table1!M35</f>
        <v>-1.4950629303885776</v>
      </c>
      <c r="G42" s="5">
        <f t="shared" si="23"/>
        <v>-2.3284750900038347</v>
      </c>
      <c r="H42" s="5">
        <f t="shared" si="24"/>
        <v>0.69457582779456672</v>
      </c>
      <c r="J42">
        <f t="shared" ref="J42:J60" si="36">J$1*B42+J$2*B42^2</f>
        <v>-0.53506987904904835</v>
      </c>
      <c r="K42">
        <f t="shared" ref="K42:K61" si="37">$D42*(J42-$C42)^2</f>
        <v>1.1972788252080852E-3</v>
      </c>
      <c r="L42">
        <f t="shared" ref="L42:L60" si="38">IF(B42&lt;=L$2,B42*L$1,L$1*L$2+L$3*(B42-L$2))</f>
        <v>-0.79477983613196934</v>
      </c>
      <c r="M42">
        <f t="shared" ref="M42:M61" si="39">$D42*(L42-$C42)^2</f>
        <v>2.7046004736268302E-2</v>
      </c>
      <c r="N42">
        <f t="shared" ref="N42:N60" si="40">N$1*B42^2</f>
        <v>-0.17424486337852776</v>
      </c>
      <c r="O42">
        <f t="shared" ref="O42:O61" si="41">$D42*(N42-$C42)^2</f>
        <v>2.1260786699310141E-2</v>
      </c>
      <c r="P42">
        <f t="shared" ref="P42:P60" si="42">P$1*B42^2+P$2*B42^7</f>
        <v>-0.18360290132577989</v>
      </c>
      <c r="Q42">
        <f t="shared" ref="Q42:Q61" si="43">$D42*(P42-$C42)^2</f>
        <v>1.991817700490291E-2</v>
      </c>
      <c r="R42" s="24">
        <f t="shared" ref="R42:R60" si="44">R$1*B42^2+R$2*B42^6</f>
        <v>-0.18977310820449733</v>
      </c>
      <c r="S42">
        <f t="shared" ref="S42:S61" si="45">$D42*(R42-$C42)^2</f>
        <v>1.9056882639110696E-2</v>
      </c>
      <c r="T42">
        <f t="shared" ref="T42:T60" si="46">T$2+T$1*EXP(B42)</f>
        <v>-1.3427796931533009E-2</v>
      </c>
      <c r="U42">
        <f t="shared" ref="U42:U61" si="47">$D42*(T42-$C42)^2</f>
        <v>5.1175182539289696E-2</v>
      </c>
      <c r="V42">
        <f t="shared" ref="V42:V60" si="48">V$1*B42</f>
        <v>-0.79477983837573385</v>
      </c>
      <c r="W42">
        <f t="shared" ref="W42:W61" si="49">$D42*(V42-$C42)^2</f>
        <v>2.7046005105270401E-2</v>
      </c>
      <c r="X42">
        <f t="shared" si="25"/>
        <v>-0.41834367992897836</v>
      </c>
      <c r="Y42">
        <f t="shared" ref="Y42:Y61" si="50">$D42*(X42-$C42)^2</f>
        <v>5.6460329714021077E-4</v>
      </c>
      <c r="Z42" s="33">
        <f t="shared" si="26"/>
        <v>-0.46248069388622703</v>
      </c>
      <c r="AA42">
        <f t="shared" ref="AA42:AA61" si="51">$D42*(Z42-$C42)^2</f>
        <v>2.8658274474384322E-6</v>
      </c>
    </row>
    <row r="43" spans="1:54" x14ac:dyDescent="0.35">
      <c r="A43">
        <f>Table1!A36</f>
        <v>0</v>
      </c>
      <c r="B43">
        <f>Table1!C36</f>
        <v>2</v>
      </c>
      <c r="C43">
        <f>Table1!E36</f>
        <v>-1.0740738140966928</v>
      </c>
      <c r="D43">
        <v>0.25</v>
      </c>
      <c r="E43">
        <v>2018</v>
      </c>
      <c r="F43" s="5">
        <f>Table1!M36</f>
        <v>-1.4522557617485055</v>
      </c>
      <c r="G43" s="5">
        <f t="shared" si="23"/>
        <v>-2.3284750900038347</v>
      </c>
      <c r="H43" s="5">
        <f t="shared" si="24"/>
        <v>0.76776031120822041</v>
      </c>
      <c r="J43">
        <f t="shared" si="36"/>
        <v>-1.2336064093578076</v>
      </c>
      <c r="K43">
        <f t="shared" si="37"/>
        <v>6.3626622376866714E-3</v>
      </c>
      <c r="L43">
        <f t="shared" si="38"/>
        <v>-1.5895596722639387</v>
      </c>
      <c r="M43">
        <f t="shared" si="39"/>
        <v>6.6431417492605491E-2</v>
      </c>
      <c r="N43">
        <f t="shared" si="40"/>
        <v>-0.69697945351411106</v>
      </c>
      <c r="O43">
        <f t="shared" si="41"/>
        <v>3.5550039195796544E-2</v>
      </c>
      <c r="P43">
        <f t="shared" si="42"/>
        <v>-0.7342894114878088</v>
      </c>
      <c r="Q43">
        <f t="shared" si="43"/>
        <v>2.8863360064069043E-2</v>
      </c>
      <c r="R43" s="24">
        <f t="shared" si="44"/>
        <v>-0.75843201542945893</v>
      </c>
      <c r="S43">
        <f t="shared" si="45"/>
        <v>2.4907436266471648E-2</v>
      </c>
      <c r="T43">
        <f t="shared" si="46"/>
        <v>-4.9928333326757314E-2</v>
      </c>
      <c r="U43">
        <f t="shared" si="47"/>
        <v>0.26221849144537057</v>
      </c>
      <c r="V43">
        <f t="shared" si="48"/>
        <v>-1.5895596767514677</v>
      </c>
      <c r="W43">
        <f t="shared" si="49"/>
        <v>6.6431418649234367E-2</v>
      </c>
      <c r="X43">
        <f t="shared" si="25"/>
        <v>-0.90695189895616823</v>
      </c>
      <c r="Y43">
        <f t="shared" si="50"/>
        <v>6.9824336300591721E-3</v>
      </c>
      <c r="Z43" s="33">
        <f t="shared" si="26"/>
        <v>-1.0976974904347001</v>
      </c>
      <c r="AA43">
        <f t="shared" si="51"/>
        <v>1.3951952093073182E-4</v>
      </c>
    </row>
    <row r="44" spans="1:54" x14ac:dyDescent="0.35">
      <c r="A44">
        <f>Table1!A37</f>
        <v>0</v>
      </c>
      <c r="B44">
        <f>Table1!C37</f>
        <v>3</v>
      </c>
      <c r="C44">
        <f>Table1!E37</f>
        <v>-1.8369485050307706</v>
      </c>
      <c r="D44">
        <v>0.25</v>
      </c>
      <c r="E44">
        <v>2018</v>
      </c>
      <c r="F44" s="5">
        <f>Table1!M37</f>
        <v>-1.4207161514135112</v>
      </c>
      <c r="G44" s="5">
        <f t="shared" si="23"/>
        <v>-2.3284750900038347</v>
      </c>
      <c r="H44" s="5">
        <f t="shared" si="24"/>
        <v>0.82402629059063082</v>
      </c>
      <c r="J44">
        <f t="shared" si="36"/>
        <v>-2.0956095909262777</v>
      </c>
      <c r="K44">
        <f t="shared" si="37"/>
        <v>1.6726389339160735E-2</v>
      </c>
      <c r="L44">
        <f t="shared" si="38"/>
        <v>-2.3843395083959082</v>
      </c>
      <c r="M44">
        <f t="shared" si="39"/>
        <v>7.4909227641273043E-2</v>
      </c>
      <c r="N44">
        <f t="shared" si="40"/>
        <v>-1.56820377040675</v>
      </c>
      <c r="O44">
        <f t="shared" si="41"/>
        <v>1.8055933097033815E-2</v>
      </c>
      <c r="P44">
        <f t="shared" si="42"/>
        <v>-1.6502798366921252</v>
      </c>
      <c r="Q44">
        <f t="shared" si="43"/>
        <v>8.7112979348307959E-3</v>
      </c>
      <c r="R44" s="24">
        <f t="shared" si="44"/>
        <v>-1.7000329651781108</v>
      </c>
      <c r="S44">
        <f t="shared" si="45"/>
        <v>4.6864662632863192E-3</v>
      </c>
      <c r="T44">
        <f t="shared" si="46"/>
        <v>-0.14914707813890357</v>
      </c>
      <c r="U44">
        <f t="shared" si="47"/>
        <v>0.71216841415455567</v>
      </c>
      <c r="V44">
        <f t="shared" si="48"/>
        <v>-2.3843395151272015</v>
      </c>
      <c r="W44">
        <f t="shared" si="49"/>
        <v>7.4909229483597753E-2</v>
      </c>
      <c r="X44">
        <f t="shared" si="25"/>
        <v>-1.5478907500015633</v>
      </c>
      <c r="Y44">
        <f t="shared" si="50"/>
        <v>2.0888596435631301E-2</v>
      </c>
      <c r="Z44" s="33">
        <f t="shared" si="26"/>
        <v>-1.9190280160093458</v>
      </c>
      <c r="AA44">
        <f t="shared" si="51"/>
        <v>1.6842615306205135E-3</v>
      </c>
    </row>
    <row r="45" spans="1:54" x14ac:dyDescent="0.35">
      <c r="A45">
        <f>Table1!A38</f>
        <v>0</v>
      </c>
      <c r="B45">
        <f>Table1!C38</f>
        <v>4</v>
      </c>
      <c r="C45">
        <f>Table1!E38</f>
        <v>-2.7931051587285425</v>
      </c>
      <c r="D45">
        <v>0.25</v>
      </c>
      <c r="E45">
        <v>2018</v>
      </c>
      <c r="F45" s="5">
        <f>Table1!M38</f>
        <v>-1.4093799049414413</v>
      </c>
      <c r="G45" s="5">
        <f t="shared" si="23"/>
        <v>-2.3284750900038347</v>
      </c>
      <c r="H45" s="5">
        <f t="shared" si="24"/>
        <v>0.84473595920487521</v>
      </c>
      <c r="J45">
        <f t="shared" si="36"/>
        <v>-3.1210794237544586</v>
      </c>
      <c r="K45">
        <f t="shared" si="37"/>
        <v>2.6891779629822463E-2</v>
      </c>
      <c r="L45">
        <f t="shared" si="38"/>
        <v>-3.1791193445278774</v>
      </c>
      <c r="M45">
        <f t="shared" si="39"/>
        <v>3.7251737909580862E-2</v>
      </c>
      <c r="N45">
        <f t="shared" si="40"/>
        <v>-2.7879178140564442</v>
      </c>
      <c r="O45">
        <f t="shared" si="41"/>
        <v>6.7271361867865219E-6</v>
      </c>
      <c r="P45">
        <f t="shared" si="42"/>
        <v>-2.9215168375914584</v>
      </c>
      <c r="Q45">
        <f t="shared" si="43"/>
        <v>4.1223898170981632E-3</v>
      </c>
      <c r="R45" s="24">
        <f t="shared" si="44"/>
        <v>-2.9914613488518866</v>
      </c>
      <c r="S45">
        <f t="shared" si="45"/>
        <v>9.8362945400620634E-3</v>
      </c>
      <c r="T45">
        <f t="shared" si="46"/>
        <v>-0.41885158920427584</v>
      </c>
      <c r="U45">
        <f t="shared" si="47"/>
        <v>1.4092700030996805</v>
      </c>
      <c r="V45">
        <f t="shared" si="48"/>
        <v>-3.1791193535029354</v>
      </c>
      <c r="W45">
        <f t="shared" si="49"/>
        <v>3.725173964183074E-2</v>
      </c>
      <c r="X45">
        <f t="shared" si="25"/>
        <v>-2.4488116094800945</v>
      </c>
      <c r="Y45">
        <f t="shared" si="50"/>
        <v>2.9634512013523375E-2</v>
      </c>
      <c r="Z45" s="33">
        <f t="shared" si="26"/>
        <v>-2.9413781559962957</v>
      </c>
      <c r="AA45">
        <f t="shared" si="51"/>
        <v>5.4962204296907886E-3</v>
      </c>
    </row>
    <row r="46" spans="1:54" x14ac:dyDescent="0.35">
      <c r="A46" t="str">
        <f>Table1!A39</f>
        <v>Dellink et al. 2019</v>
      </c>
      <c r="B46">
        <f>Table1!C39</f>
        <v>2.5</v>
      </c>
      <c r="C46">
        <f>Table1!E39</f>
        <v>-2</v>
      </c>
      <c r="D46">
        <v>1</v>
      </c>
      <c r="E46">
        <v>2019</v>
      </c>
      <c r="F46" s="5">
        <f>Table1!M39</f>
        <v>-2</v>
      </c>
      <c r="G46" s="5">
        <f t="shared" si="23"/>
        <v>-2.3696673541639797</v>
      </c>
      <c r="H46" s="5">
        <f t="shared" si="24"/>
        <v>0.13665395273459718</v>
      </c>
      <c r="J46">
        <f t="shared" si="36"/>
        <v>-1.6441746687345788</v>
      </c>
      <c r="K46">
        <f t="shared" si="37"/>
        <v>0.1266116663701467</v>
      </c>
      <c r="L46">
        <f t="shared" si="38"/>
        <v>-1.9869495903299232</v>
      </c>
      <c r="M46">
        <f t="shared" si="39"/>
        <v>1.7031319255683293E-4</v>
      </c>
      <c r="N46">
        <f t="shared" si="40"/>
        <v>-1.0890303961157985</v>
      </c>
      <c r="O46">
        <f t="shared" si="41"/>
        <v>0.82986561920093893</v>
      </c>
      <c r="P46">
        <f t="shared" si="42"/>
        <v>-1.1469228310703414</v>
      </c>
      <c r="Q46">
        <f t="shared" si="43"/>
        <v>0.72774065614904127</v>
      </c>
      <c r="R46" s="24">
        <f t="shared" si="44"/>
        <v>-1.1834634745228021</v>
      </c>
      <c r="S46">
        <f t="shared" si="45"/>
        <v>0.66673189743837469</v>
      </c>
      <c r="T46">
        <f t="shared" si="46"/>
        <v>-8.7387444600447534E-2</v>
      </c>
      <c r="U46">
        <f t="shared" si="47"/>
        <v>3.6580867870720066</v>
      </c>
      <c r="V46">
        <f t="shared" si="48"/>
        <v>-1.9869495959393346</v>
      </c>
      <c r="W46">
        <f t="shared" si="49"/>
        <v>1.7031304614663136E-4</v>
      </c>
      <c r="X46">
        <f t="shared" si="25"/>
        <v>-1.2024359346677713</v>
      </c>
      <c r="Y46">
        <f t="shared" si="50"/>
        <v>0.63610843830927155</v>
      </c>
      <c r="Z46" s="33">
        <f t="shared" si="26"/>
        <v>-1.484197346791621</v>
      </c>
      <c r="AA46">
        <f t="shared" si="51"/>
        <v>0.26605237705680335</v>
      </c>
    </row>
    <row r="47" spans="1:54" x14ac:dyDescent="0.35">
      <c r="A47" t="str">
        <f>Table1!A40</f>
        <v>Takakura</v>
      </c>
      <c r="B47">
        <f>Table1!C40</f>
        <v>2</v>
      </c>
      <c r="C47">
        <f>Table1!E40</f>
        <v>-1.0517705037403</v>
      </c>
      <c r="D47">
        <f>1/3</f>
        <v>0.33333333333333331</v>
      </c>
      <c r="E47">
        <v>2019</v>
      </c>
      <c r="F47" s="5">
        <f>Table1!M40</f>
        <v>-1.4220994442347257</v>
      </c>
      <c r="G47" s="5">
        <f t="shared" si="23"/>
        <v>-2.3696673541639797</v>
      </c>
      <c r="H47" s="5">
        <f t="shared" si="24"/>
        <v>0.8978849439276948</v>
      </c>
      <c r="J47">
        <f t="shared" si="36"/>
        <v>-1.2336064093578076</v>
      </c>
      <c r="K47">
        <f t="shared" si="37"/>
        <v>1.1021432190579713E-2</v>
      </c>
      <c r="L47">
        <f t="shared" si="38"/>
        <v>-1.5895596722639387</v>
      </c>
      <c r="M47">
        <f t="shared" si="39"/>
        <v>9.6405729927115547E-2</v>
      </c>
      <c r="N47">
        <f t="shared" si="40"/>
        <v>-0.69697945351411106</v>
      </c>
      <c r="O47">
        <f t="shared" si="41"/>
        <v>4.1958896440200712E-2</v>
      </c>
      <c r="P47">
        <f t="shared" si="42"/>
        <v>-0.7342894114878088</v>
      </c>
      <c r="Q47">
        <f t="shared" si="43"/>
        <v>3.3598081312611612E-2</v>
      </c>
      <c r="R47" s="24">
        <f t="shared" si="44"/>
        <v>-0.75843201542945893</v>
      </c>
      <c r="S47">
        <f t="shared" si="45"/>
        <v>2.8682489574829818E-2</v>
      </c>
      <c r="T47">
        <f t="shared" si="46"/>
        <v>-4.9928333326757314E-2</v>
      </c>
      <c r="U47">
        <f t="shared" si="47"/>
        <v>0.3345625781396393</v>
      </c>
      <c r="V47">
        <f t="shared" si="48"/>
        <v>-1.5895596767514677</v>
      </c>
      <c r="W47">
        <f t="shared" si="49"/>
        <v>9.6405731536011868E-2</v>
      </c>
      <c r="X47">
        <f t="shared" si="25"/>
        <v>-0.90695189895616823</v>
      </c>
      <c r="Y47">
        <f t="shared" si="50"/>
        <v>6.990809430540851E-3</v>
      </c>
      <c r="Z47" s="33">
        <f t="shared" si="26"/>
        <v>-1.0976974904347001</v>
      </c>
      <c r="AA47">
        <f t="shared" si="51"/>
        <v>7.0309603560920119E-4</v>
      </c>
    </row>
    <row r="48" spans="1:54" x14ac:dyDescent="0.35">
      <c r="A48">
        <f>Table1!A41</f>
        <v>0</v>
      </c>
      <c r="B48">
        <f>Table1!C41</f>
        <v>4</v>
      </c>
      <c r="C48">
        <f>Table1!E41</f>
        <v>-4.6911160007283899</v>
      </c>
      <c r="D48">
        <f>1/3</f>
        <v>0.33333333333333331</v>
      </c>
      <c r="E48">
        <v>2019</v>
      </c>
      <c r="F48" s="5">
        <f>Table1!M41</f>
        <v>-2.3671019340301251</v>
      </c>
      <c r="G48" s="5">
        <f t="shared" si="23"/>
        <v>-2.3696673541639797</v>
      </c>
      <c r="H48" s="5">
        <f t="shared" si="24"/>
        <v>6.5813804631861611E-6</v>
      </c>
      <c r="J48">
        <f t="shared" si="36"/>
        <v>-3.1210794237544586</v>
      </c>
      <c r="K48">
        <f t="shared" si="37"/>
        <v>0.82167161767867303</v>
      </c>
      <c r="L48">
        <f t="shared" si="38"/>
        <v>-3.1791193445278774</v>
      </c>
      <c r="M48">
        <f t="shared" si="39"/>
        <v>0.76204462945384366</v>
      </c>
      <c r="N48">
        <f t="shared" si="40"/>
        <v>-2.7879178140564442</v>
      </c>
      <c r="O48">
        <f t="shared" si="41"/>
        <v>1.2073877792504606</v>
      </c>
      <c r="P48">
        <f t="shared" si="42"/>
        <v>-2.9215168375914584</v>
      </c>
      <c r="Q48">
        <f t="shared" si="43"/>
        <v>1.0438270660583093</v>
      </c>
      <c r="R48" s="24">
        <f t="shared" si="44"/>
        <v>-2.9914613488518866</v>
      </c>
      <c r="S48">
        <f t="shared" si="45"/>
        <v>0.96294197854847907</v>
      </c>
      <c r="T48">
        <f t="shared" si="46"/>
        <v>-0.41885158920427584</v>
      </c>
      <c r="U48">
        <f t="shared" si="47"/>
        <v>6.0840810673251617</v>
      </c>
      <c r="V48">
        <f t="shared" si="48"/>
        <v>-3.1791193535029354</v>
      </c>
      <c r="W48">
        <f t="shared" si="49"/>
        <v>0.76204462040700505</v>
      </c>
      <c r="X48">
        <f t="shared" si="25"/>
        <v>-2.4488116094800945</v>
      </c>
      <c r="Y48">
        <f t="shared" si="50"/>
        <v>1.6759763276704629</v>
      </c>
      <c r="Z48" s="33">
        <f t="shared" si="26"/>
        <v>-2.9413781559962957</v>
      </c>
      <c r="AA48">
        <f t="shared" si="51"/>
        <v>1.0205275084292378</v>
      </c>
    </row>
    <row r="49" spans="1:29" x14ac:dyDescent="0.35">
      <c r="A49">
        <f>Table1!A42</f>
        <v>0</v>
      </c>
      <c r="B49">
        <f>Table1!C42</f>
        <v>6</v>
      </c>
      <c r="C49">
        <f>Table1!E42</f>
        <v>-9.49637530496768</v>
      </c>
      <c r="D49">
        <f>1/3</f>
        <v>0.33333333333333331</v>
      </c>
      <c r="E49">
        <v>2019</v>
      </c>
      <c r="F49" s="5">
        <f>Table1!M42</f>
        <v>-2.4949401508079627</v>
      </c>
      <c r="G49" s="5">
        <f t="shared" si="23"/>
        <v>-2.3696673541639797</v>
      </c>
      <c r="H49" s="5">
        <f t="shared" si="24"/>
        <v>1.569327357900473E-2</v>
      </c>
      <c r="J49">
        <f t="shared" si="36"/>
        <v>-5.6624190431899528</v>
      </c>
      <c r="K49">
        <f t="shared" si="37"/>
        <v>4.8997402057415478</v>
      </c>
      <c r="L49">
        <f t="shared" si="38"/>
        <v>-4.7686790167918165</v>
      </c>
      <c r="M49">
        <f t="shared" si="39"/>
        <v>7.4503707310772791</v>
      </c>
      <c r="N49">
        <f t="shared" si="40"/>
        <v>-6.2728150816269999</v>
      </c>
      <c r="O49">
        <f t="shared" si="41"/>
        <v>3.463780171168072</v>
      </c>
      <c r="P49">
        <f t="shared" si="42"/>
        <v>-6.3338814726838812</v>
      </c>
      <c r="Q49">
        <f t="shared" si="43"/>
        <v>3.3337890797443555</v>
      </c>
      <c r="R49" s="24">
        <f t="shared" si="44"/>
        <v>-6.3186875844737411</v>
      </c>
      <c r="S49">
        <f t="shared" si="45"/>
        <v>3.3658997496593219</v>
      </c>
      <c r="T49">
        <f t="shared" si="46"/>
        <v>-3.1448462230834076</v>
      </c>
      <c r="U49">
        <f t="shared" si="47"/>
        <v>13.447307226007226</v>
      </c>
      <c r="V49">
        <f t="shared" si="48"/>
        <v>-4.7686790302544031</v>
      </c>
      <c r="W49">
        <f t="shared" si="49"/>
        <v>7.4503706886459327</v>
      </c>
      <c r="X49">
        <f t="shared" si="25"/>
        <v>-5.7049514507431969</v>
      </c>
      <c r="Y49">
        <f t="shared" si="50"/>
        <v>4.7916316141274784</v>
      </c>
      <c r="Z49" s="33">
        <f t="shared" si="26"/>
        <v>-5.649231716923615</v>
      </c>
      <c r="AA49">
        <f t="shared" si="51"/>
        <v>4.9335045956761867</v>
      </c>
    </row>
    <row r="50" spans="1:29" x14ac:dyDescent="0.35">
      <c r="A50" t="str">
        <f>Table1!A43</f>
        <v>Howard &amp; Sylvan 2020</v>
      </c>
      <c r="B50">
        <f>Table1!C43</f>
        <v>3</v>
      </c>
      <c r="C50">
        <f>Table1!E43</f>
        <v>-9.1999999999999993</v>
      </c>
      <c r="D50">
        <v>1</v>
      </c>
      <c r="E50">
        <v>2000</v>
      </c>
      <c r="F50" s="5">
        <f>Table1!M43</f>
        <v>-7.1153810557064894</v>
      </c>
      <c r="G50" s="5">
        <f t="shared" si="23"/>
        <v>-1.5870143351211681</v>
      </c>
      <c r="H50" s="5">
        <f t="shared" si="24"/>
        <v>30.562838597275299</v>
      </c>
      <c r="J50">
        <f t="shared" si="36"/>
        <v>-2.0956095909262777</v>
      </c>
      <c r="K50">
        <f t="shared" si="37"/>
        <v>50.472363084538671</v>
      </c>
      <c r="L50">
        <f t="shared" si="38"/>
        <v>-2.3843395083959082</v>
      </c>
      <c r="M50">
        <f t="shared" si="39"/>
        <v>46.453227936812922</v>
      </c>
      <c r="N50">
        <f t="shared" si="40"/>
        <v>-1.56820377040675</v>
      </c>
      <c r="O50">
        <f t="shared" si="41"/>
        <v>58.244313690033728</v>
      </c>
      <c r="P50">
        <f t="shared" si="42"/>
        <v>-1.6502798366921252</v>
      </c>
      <c r="Q50">
        <f t="shared" si="43"/>
        <v>56.998274544257477</v>
      </c>
      <c r="R50" s="24">
        <f t="shared" si="44"/>
        <v>-1.7000329651781108</v>
      </c>
      <c r="S50">
        <f t="shared" si="45"/>
        <v>56.249505523415024</v>
      </c>
      <c r="T50">
        <f t="shared" si="46"/>
        <v>-0.14914707813890357</v>
      </c>
      <c r="U50">
        <f t="shared" si="47"/>
        <v>81.917938613161525</v>
      </c>
      <c r="V50">
        <f t="shared" si="48"/>
        <v>-2.3843395151272015</v>
      </c>
      <c r="W50">
        <f t="shared" si="49"/>
        <v>46.453227845056496</v>
      </c>
      <c r="X50">
        <f t="shared" si="25"/>
        <v>-1.5478907500015633</v>
      </c>
      <c r="Y50">
        <f t="shared" si="50"/>
        <v>58.554775973911617</v>
      </c>
      <c r="Z50" s="33">
        <f t="shared" si="26"/>
        <v>-1.9190280160093458</v>
      </c>
      <c r="AA50">
        <f t="shared" si="51"/>
        <v>53.012553031656793</v>
      </c>
    </row>
    <row r="51" spans="1:29" x14ac:dyDescent="0.35">
      <c r="A51" t="str">
        <f>Table1!A44</f>
        <v>Howard &amp; Sylvan 2021</v>
      </c>
      <c r="B51">
        <f>Table1!C44</f>
        <v>1.2</v>
      </c>
      <c r="C51">
        <f>Table1!E44</f>
        <v>-2.2000000000000002</v>
      </c>
      <c r="D51">
        <v>0.25</v>
      </c>
      <c r="E51">
        <v>2021</v>
      </c>
      <c r="F51" s="5">
        <f>Table1!M44</f>
        <v>-5.6757015263144268</v>
      </c>
      <c r="G51" s="5">
        <f t="shared" si="23"/>
        <v>-2.4520518824842839</v>
      </c>
      <c r="H51" s="5">
        <f t="shared" si="24"/>
        <v>10.391917026166208</v>
      </c>
      <c r="J51">
        <f t="shared" si="36"/>
        <v>-0.66169985301002332</v>
      </c>
      <c r="K51">
        <f t="shared" si="37"/>
        <v>0.59159183555734607</v>
      </c>
      <c r="L51">
        <f t="shared" si="38"/>
        <v>-0.95373580335836317</v>
      </c>
      <c r="M51">
        <f t="shared" si="39"/>
        <v>0.38829361195770623</v>
      </c>
      <c r="N51">
        <f t="shared" si="40"/>
        <v>-0.25091260326507997</v>
      </c>
      <c r="O51">
        <f t="shared" si="41"/>
        <v>0.94973542002772715</v>
      </c>
      <c r="P51">
        <f t="shared" si="42"/>
        <v>-0.26438606594590641</v>
      </c>
      <c r="Q51">
        <f t="shared" si="43"/>
        <v>0.93665032542609128</v>
      </c>
      <c r="R51" s="24">
        <f t="shared" si="44"/>
        <v>-0.27325625923587632</v>
      </c>
      <c r="S51">
        <f t="shared" si="45"/>
        <v>0.92808536064343239</v>
      </c>
      <c r="T51">
        <f t="shared" si="46"/>
        <v>-1.8130936601860343E-2</v>
      </c>
      <c r="U51">
        <f t="shared" si="47"/>
        <v>1.1901381524534691</v>
      </c>
      <c r="V51">
        <f t="shared" si="48"/>
        <v>-0.9537358060508806</v>
      </c>
      <c r="W51">
        <f t="shared" si="49"/>
        <v>0.3882936102799121</v>
      </c>
      <c r="X51">
        <f t="shared" si="25"/>
        <v>-0.50806664978675842</v>
      </c>
      <c r="Y51">
        <f t="shared" si="50"/>
        <v>0.71565961539095091</v>
      </c>
      <c r="Z51" s="33">
        <f t="shared" si="26"/>
        <v>-0.57530054175732526</v>
      </c>
      <c r="AA51">
        <f t="shared" si="51"/>
        <v>0.6599120824035104</v>
      </c>
    </row>
    <row r="52" spans="1:29" x14ac:dyDescent="0.35">
      <c r="A52">
        <f>Table1!A45</f>
        <v>0</v>
      </c>
      <c r="B52">
        <f>Table1!C45</f>
        <v>3</v>
      </c>
      <c r="C52">
        <f>Table1!E45</f>
        <v>-8.5</v>
      </c>
      <c r="D52">
        <v>0.25</v>
      </c>
      <c r="E52">
        <v>2021</v>
      </c>
      <c r="F52" s="5">
        <f>Table1!M45</f>
        <v>-6.5739933666853441</v>
      </c>
      <c r="G52" s="5">
        <f t="shared" si="23"/>
        <v>-2.4520518824842839</v>
      </c>
      <c r="H52" s="5">
        <f t="shared" si="24"/>
        <v>16.990401599177638</v>
      </c>
      <c r="J52">
        <f t="shared" si="36"/>
        <v>-2.0956095909262777</v>
      </c>
      <c r="K52">
        <f t="shared" si="37"/>
        <v>10.254054127958868</v>
      </c>
      <c r="L52">
        <f t="shared" si="38"/>
        <v>-2.3843395083959082</v>
      </c>
      <c r="M52">
        <f t="shared" si="39"/>
        <v>9.3503258121418007</v>
      </c>
      <c r="N52">
        <f t="shared" si="40"/>
        <v>-1.56820377040675</v>
      </c>
      <c r="O52">
        <f t="shared" si="41"/>
        <v>12.012449742150798</v>
      </c>
      <c r="P52">
        <f t="shared" si="42"/>
        <v>-1.6502798366921252</v>
      </c>
      <c r="Q52">
        <f t="shared" si="43"/>
        <v>11.729666578906617</v>
      </c>
      <c r="R52" s="24">
        <f t="shared" si="44"/>
        <v>-1.7000329651781108</v>
      </c>
      <c r="S52">
        <f t="shared" si="45"/>
        <v>11.559887918666098</v>
      </c>
      <c r="T52">
        <f t="shared" si="46"/>
        <v>-0.14914707813890357</v>
      </c>
      <c r="U52">
        <f t="shared" si="47"/>
        <v>17.434186130638999</v>
      </c>
      <c r="V52">
        <f t="shared" si="48"/>
        <v>-2.3843395151272015</v>
      </c>
      <c r="W52">
        <f t="shared" si="49"/>
        <v>9.350325791558646</v>
      </c>
      <c r="X52">
        <f t="shared" si="25"/>
        <v>-1.5478907500015633</v>
      </c>
      <c r="Y52">
        <f t="shared" si="50"/>
        <v>12.082955755978455</v>
      </c>
      <c r="Z52" s="33">
        <f t="shared" si="26"/>
        <v>-1.9190280160093458</v>
      </c>
      <c r="AA52">
        <f t="shared" si="51"/>
        <v>10.827298063517471</v>
      </c>
      <c r="AC52">
        <f>(100/10)^(1/7)</f>
        <v>1.3894954943731377</v>
      </c>
    </row>
    <row r="53" spans="1:29" x14ac:dyDescent="0.35">
      <c r="A53">
        <f>Table1!A46</f>
        <v>0</v>
      </c>
      <c r="B53">
        <f>Table1!C46</f>
        <v>5</v>
      </c>
      <c r="C53">
        <f>Table1!E46</f>
        <v>-16.100000000000001</v>
      </c>
      <c r="D53">
        <v>0.25</v>
      </c>
      <c r="E53">
        <v>2021</v>
      </c>
      <c r="F53" s="5">
        <f>Table1!M46</f>
        <v>-5.7163922622699133</v>
      </c>
      <c r="G53" s="5">
        <f t="shared" si="23"/>
        <v>-2.4520518824842839</v>
      </c>
      <c r="H53" s="5">
        <f t="shared" si="24"/>
        <v>10.655918115098988</v>
      </c>
      <c r="J53">
        <f t="shared" si="36"/>
        <v>-4.3100159078423506</v>
      </c>
      <c r="K53">
        <f t="shared" si="37"/>
        <v>34.750931223332614</v>
      </c>
      <c r="L53">
        <f t="shared" si="38"/>
        <v>-3.9738991806598465</v>
      </c>
      <c r="M53">
        <f t="shared" si="39"/>
        <v>36.760580270200499</v>
      </c>
      <c r="N53">
        <f t="shared" si="40"/>
        <v>-4.3561215844631942</v>
      </c>
      <c r="O53">
        <f t="shared" si="41"/>
        <v>34.47967005972783</v>
      </c>
      <c r="P53">
        <f t="shared" si="42"/>
        <v>-4.513110138178611</v>
      </c>
      <c r="Q53">
        <f t="shared" si="43"/>
        <v>33.564004167494829</v>
      </c>
      <c r="R53" s="24">
        <f t="shared" si="44"/>
        <v>-4.5726191840945152</v>
      </c>
      <c r="S53">
        <f t="shared" si="45"/>
        <v>33.22012711872646</v>
      </c>
      <c r="T53">
        <f t="shared" si="46"/>
        <v>-1.1519844606867089</v>
      </c>
      <c r="U53">
        <f t="shared" si="47"/>
        <v>55.860792140887916</v>
      </c>
      <c r="V53">
        <f t="shared" si="48"/>
        <v>-3.9738991918786692</v>
      </c>
      <c r="W53">
        <f t="shared" si="49"/>
        <v>36.760580202180208</v>
      </c>
      <c r="X53">
        <f t="shared" si="25"/>
        <v>-3.761032142728479</v>
      </c>
      <c r="Y53">
        <f t="shared" si="50"/>
        <v>38.06253194569495</v>
      </c>
      <c r="Z53" s="33">
        <f t="shared" si="26"/>
        <v>-4.1801850165293715</v>
      </c>
      <c r="AA53">
        <f t="shared" si="51"/>
        <v>35.520497310042735</v>
      </c>
    </row>
    <row r="54" spans="1:29" x14ac:dyDescent="0.35">
      <c r="A54">
        <f>Table1!A47</f>
        <v>0</v>
      </c>
      <c r="B54">
        <f>Table1!C47</f>
        <v>7</v>
      </c>
      <c r="C54">
        <f>Table1!E47</f>
        <v>-25</v>
      </c>
      <c r="D54">
        <v>0.25</v>
      </c>
      <c r="E54">
        <v>2021</v>
      </c>
      <c r="F54" s="5">
        <f>Table1!M47</f>
        <v>-5.0429501736957842</v>
      </c>
      <c r="G54" s="5">
        <f t="shared" si="23"/>
        <v>-2.4520518824842839</v>
      </c>
      <c r="H54" s="5">
        <f t="shared" si="24"/>
        <v>6.7127539554026727</v>
      </c>
      <c r="J54">
        <f t="shared" si="36"/>
        <v>-7.1782888297972667</v>
      </c>
      <c r="K54">
        <f t="shared" si="37"/>
        <v>79.403347258532207</v>
      </c>
      <c r="L54">
        <f t="shared" si="38"/>
        <v>-5.5634588529237856</v>
      </c>
      <c r="M54">
        <f t="shared" si="39"/>
        <v>94.44478294049668</v>
      </c>
      <c r="N54">
        <f t="shared" si="40"/>
        <v>-8.5379983055478608</v>
      </c>
      <c r="O54">
        <f t="shared" si="41"/>
        <v>67.749374947036287</v>
      </c>
      <c r="P54">
        <f t="shared" si="42"/>
        <v>-8.1850431831445505</v>
      </c>
      <c r="Q54">
        <f t="shared" si="43"/>
        <v>70.685693188178391</v>
      </c>
      <c r="R54" s="24">
        <f t="shared" si="44"/>
        <v>-8.0044642205006777</v>
      </c>
      <c r="S54">
        <f t="shared" si="45"/>
        <v>72.212059108060387</v>
      </c>
      <c r="T54">
        <f t="shared" si="46"/>
        <v>-8.5620061384372192</v>
      </c>
      <c r="U54">
        <f t="shared" si="47"/>
        <v>67.551910548193916</v>
      </c>
      <c r="V54">
        <f t="shared" si="48"/>
        <v>-5.5634588686301374</v>
      </c>
      <c r="W54">
        <f t="shared" si="49"/>
        <v>94.444782787858131</v>
      </c>
      <c r="X54">
        <f t="shared" si="25"/>
        <v>-8.6070680580028789</v>
      </c>
      <c r="Y54">
        <f t="shared" si="50"/>
        <v>67.182054413737362</v>
      </c>
      <c r="Z54" s="33">
        <f t="shared" si="26"/>
        <v>-7.3577831213426101</v>
      </c>
      <c r="AA54">
        <f t="shared" si="51"/>
        <v>77.81195409839593</v>
      </c>
      <c r="AC54">
        <f>2^(1/20)</f>
        <v>1.0352649238413776</v>
      </c>
    </row>
    <row r="55" spans="1:29" x14ac:dyDescent="0.35">
      <c r="A55" t="str">
        <f>Table1!A48</f>
        <v>Conte et al. 2021</v>
      </c>
      <c r="B55">
        <f>Table1!C48</f>
        <v>3.7</v>
      </c>
      <c r="C55">
        <f>Table1!E48</f>
        <v>-3.7</v>
      </c>
      <c r="D55">
        <v>1</v>
      </c>
      <c r="E55">
        <v>2021</v>
      </c>
      <c r="F55" s="5">
        <f>Table1!M48</f>
        <v>-2.1019091244336758</v>
      </c>
      <c r="G55" s="5">
        <f t="shared" si="23"/>
        <v>-2.4520518824842839</v>
      </c>
      <c r="H55" s="5">
        <f t="shared" si="24"/>
        <v>0.12259995101528662</v>
      </c>
      <c r="J55">
        <f t="shared" si="36"/>
        <v>-2.796274475523735</v>
      </c>
      <c r="K55">
        <f t="shared" si="37"/>
        <v>0.81671982358990058</v>
      </c>
      <c r="L55">
        <f t="shared" si="38"/>
        <v>-2.9406853936882866</v>
      </c>
      <c r="M55">
        <f t="shared" si="39"/>
        <v>0.57655867135831251</v>
      </c>
      <c r="N55">
        <f t="shared" si="40"/>
        <v>-2.3854121796520453</v>
      </c>
      <c r="O55">
        <f t="shared" si="41"/>
        <v>1.7281411374071869</v>
      </c>
      <c r="P55">
        <f t="shared" si="42"/>
        <v>-2.5041822998530101</v>
      </c>
      <c r="Q55">
        <f t="shared" si="43"/>
        <v>1.4299799719848367</v>
      </c>
      <c r="R55" s="24">
        <f t="shared" si="44"/>
        <v>-2.569903697641795</v>
      </c>
      <c r="S55">
        <f t="shared" si="45"/>
        <v>1.2771176526036878</v>
      </c>
      <c r="T55">
        <f t="shared" si="46"/>
        <v>-0.30826747025450879</v>
      </c>
      <c r="U55">
        <f t="shared" si="47"/>
        <v>11.503849553333749</v>
      </c>
      <c r="V55">
        <f t="shared" si="48"/>
        <v>-2.9406854019902156</v>
      </c>
      <c r="W55">
        <f t="shared" si="49"/>
        <v>0.57655865875076084</v>
      </c>
      <c r="X55">
        <f t="shared" si="25"/>
        <v>-2.1433065896267234</v>
      </c>
      <c r="Y55">
        <f t="shared" si="50"/>
        <v>2.4232943738995831</v>
      </c>
      <c r="Z55" s="33">
        <f t="shared" si="26"/>
        <v>-2.6126392046604763</v>
      </c>
      <c r="AA55">
        <f t="shared" si="51"/>
        <v>1.182353499241402</v>
      </c>
    </row>
    <row r="56" spans="1:29" x14ac:dyDescent="0.35">
      <c r="A56" t="str">
        <f>Table1!A49</f>
        <v>Desmet and Rossi-Hansberg 2015</v>
      </c>
      <c r="B56">
        <f>Table1!C49</f>
        <v>4.6487373814138984</v>
      </c>
      <c r="C56">
        <f>Table1!E49</f>
        <v>5.1295273109904338</v>
      </c>
      <c r="D56">
        <v>1</v>
      </c>
      <c r="E56">
        <v>2015</v>
      </c>
      <c r="F56" s="5">
        <f>Table1!M49</f>
        <v>2.0814052358742905</v>
      </c>
      <c r="G56" s="5">
        <f t="shared" si="23"/>
        <v>-2.2048982975233855</v>
      </c>
      <c r="H56" s="5">
        <f t="shared" si="24"/>
        <v>18.372397980417407</v>
      </c>
      <c r="J56">
        <f t="shared" si="36"/>
        <v>-3.8737618044232125</v>
      </c>
      <c r="K56">
        <f t="shared" si="37"/>
        <v>81.059214895725859</v>
      </c>
      <c r="L56">
        <f t="shared" si="38"/>
        <v>-3.6947227342206985</v>
      </c>
      <c r="M56">
        <f t="shared" si="39"/>
        <v>77.867388860408667</v>
      </c>
      <c r="N56">
        <f t="shared" si="40"/>
        <v>-3.7655637915161493</v>
      </c>
      <c r="O56">
        <f t="shared" si="41"/>
        <v>79.122645721891786</v>
      </c>
      <c r="P56">
        <f t="shared" si="42"/>
        <v>-3.9215842045699874</v>
      </c>
      <c r="Q56">
        <f t="shared" si="43"/>
        <v>81.922619667110467</v>
      </c>
      <c r="R56" s="24">
        <f t="shared" si="44"/>
        <v>-3.9902882175460959</v>
      </c>
      <c r="S56">
        <f t="shared" si="45"/>
        <v>83.17103527453601</v>
      </c>
      <c r="T56">
        <f t="shared" si="46"/>
        <v>-0.80845068260568009</v>
      </c>
      <c r="U56">
        <f t="shared" si="47"/>
        <v>35.259582652431732</v>
      </c>
      <c r="V56">
        <f t="shared" si="48"/>
        <v>-3.6947227446513704</v>
      </c>
      <c r="W56">
        <f t="shared" si="49"/>
        <v>77.867389044494402</v>
      </c>
      <c r="X56">
        <f t="shared" si="25"/>
        <v>-3.2412474509449529</v>
      </c>
      <c r="Y56">
        <f t="shared" si="50"/>
        <v>70.069870115054428</v>
      </c>
      <c r="Z56" s="33">
        <f t="shared" si="26"/>
        <v>-3.7194464888562413</v>
      </c>
      <c r="AA56">
        <f t="shared" si="51"/>
        <v>78.304337310372901</v>
      </c>
      <c r="AC56">
        <f>(1000/200)^(1/50)</f>
        <v>1.032712419896443</v>
      </c>
    </row>
    <row r="57" spans="1:29" x14ac:dyDescent="0.35">
      <c r="A57">
        <f>Table1!A50</f>
        <v>0</v>
      </c>
      <c r="B57">
        <f>Table1!C50</f>
        <v>9.2982230505350998</v>
      </c>
      <c r="C57">
        <f>Table1!E50</f>
        <v>-4.8593007850505128</v>
      </c>
      <c r="D57">
        <v>0</v>
      </c>
      <c r="E57">
        <v>2015</v>
      </c>
      <c r="F57" s="5">
        <f>Table1!M50</f>
        <v>-0.59095334529418708</v>
      </c>
      <c r="G57" s="5">
        <f t="shared" si="23"/>
        <v>-2.2048982975233855</v>
      </c>
      <c r="H57" s="5">
        <f t="shared" si="24"/>
        <v>2.6048183088261094</v>
      </c>
      <c r="J57">
        <f t="shared" si="36"/>
        <v>-11.281638593055774</v>
      </c>
      <c r="K57">
        <f t="shared" si="37"/>
        <v>0</v>
      </c>
      <c r="L57">
        <f t="shared" si="38"/>
        <v>-7.390040192422787</v>
      </c>
      <c r="M57">
        <f t="shared" si="39"/>
        <v>0</v>
      </c>
      <c r="N57">
        <f t="shared" si="40"/>
        <v>-15.064679771504226</v>
      </c>
      <c r="O57">
        <f t="shared" si="41"/>
        <v>0</v>
      </c>
      <c r="P57">
        <f t="shared" si="42"/>
        <v>-9.9523933970398701</v>
      </c>
      <c r="Q57">
        <f t="shared" si="43"/>
        <v>0</v>
      </c>
      <c r="R57" s="24">
        <f t="shared" si="44"/>
        <v>-9.2949235273572661</v>
      </c>
      <c r="S57">
        <f t="shared" si="45"/>
        <v>0</v>
      </c>
      <c r="T57">
        <f t="shared" si="46"/>
        <v>-85.317388271099674</v>
      </c>
      <c r="U57">
        <f t="shared" si="47"/>
        <v>0</v>
      </c>
      <c r="V57">
        <f t="shared" si="48"/>
        <v>-7.3900402132858094</v>
      </c>
      <c r="W57">
        <f t="shared" si="49"/>
        <v>0</v>
      </c>
      <c r="X57">
        <f t="shared" si="25"/>
        <v>-21.995347669792753</v>
      </c>
      <c r="Y57">
        <f t="shared" si="50"/>
        <v>0</v>
      </c>
      <c r="Z57" s="33">
        <f t="shared" si="26"/>
        <v>-12.20004160737078</v>
      </c>
      <c r="AA57">
        <f t="shared" si="51"/>
        <v>0</v>
      </c>
    </row>
    <row r="58" spans="1:29" x14ac:dyDescent="0.35">
      <c r="A58">
        <f>Table1!A51</f>
        <v>0</v>
      </c>
      <c r="B58">
        <f>Table1!C51</f>
        <v>13.606208917250999</v>
      </c>
      <c r="C58">
        <f>Table1!E51</f>
        <v>-24.061208104792932</v>
      </c>
      <c r="D58">
        <v>0</v>
      </c>
      <c r="E58">
        <v>2015</v>
      </c>
      <c r="F58" s="5">
        <f>Table1!M51</f>
        <v>-1.1510359566511486</v>
      </c>
      <c r="G58" s="5">
        <f t="shared" si="23"/>
        <v>-2.2048982975233855</v>
      </c>
      <c r="H58" s="5">
        <f t="shared" si="24"/>
        <v>1.1106258335087109</v>
      </c>
      <c r="J58">
        <f t="shared" si="36"/>
        <v>-21.299394247408411</v>
      </c>
      <c r="K58">
        <f t="shared" si="37"/>
        <v>0</v>
      </c>
      <c r="L58">
        <f t="shared" si="38"/>
        <v>-23.923880078798547</v>
      </c>
      <c r="M58">
        <f t="shared" si="39"/>
        <v>0</v>
      </c>
      <c r="N58">
        <f t="shared" si="40"/>
        <v>-32.257763564462941</v>
      </c>
      <c r="O58">
        <f t="shared" si="41"/>
        <v>0</v>
      </c>
      <c r="P58">
        <f t="shared" si="42"/>
        <v>51.081775580567999</v>
      </c>
      <c r="Q58">
        <f t="shared" si="43"/>
        <v>0</v>
      </c>
      <c r="R58" s="24">
        <f t="shared" si="44"/>
        <v>34.703192665330036</v>
      </c>
      <c r="S58">
        <f t="shared" si="45"/>
        <v>0</v>
      </c>
      <c r="T58">
        <f t="shared" si="46"/>
        <v>-6338.8618163408519</v>
      </c>
      <c r="U58">
        <f t="shared" si="47"/>
        <v>0</v>
      </c>
      <c r="V58">
        <f t="shared" si="48"/>
        <v>-10.813940524159218</v>
      </c>
      <c r="W58">
        <f t="shared" si="49"/>
        <v>0</v>
      </c>
      <c r="X58">
        <f t="shared" si="25"/>
        <v>-127.06980859955196</v>
      </c>
      <c r="Y58">
        <f t="shared" si="50"/>
        <v>0</v>
      </c>
      <c r="Z58" s="33">
        <f t="shared" si="26"/>
        <v>-31.095868325050361</v>
      </c>
      <c r="AA58">
        <f t="shared" si="51"/>
        <v>0</v>
      </c>
    </row>
    <row r="59" spans="1:29" x14ac:dyDescent="0.35">
      <c r="A59">
        <f>Table1!A52</f>
        <v>0</v>
      </c>
      <c r="B59">
        <f>Table1!C52</f>
        <v>16.682700289727595</v>
      </c>
      <c r="C59">
        <f>Table1!E52</f>
        <v>-78.907648460775576</v>
      </c>
      <c r="D59">
        <v>0</v>
      </c>
      <c r="E59">
        <v>2015</v>
      </c>
      <c r="F59" s="5">
        <f>Table1!M52</f>
        <v>-0.6367627620812939</v>
      </c>
      <c r="G59" s="5">
        <f t="shared" si="23"/>
        <v>-2.2048982975233855</v>
      </c>
      <c r="H59" s="5">
        <f t="shared" si="24"/>
        <v>2.4590490575162551</v>
      </c>
      <c r="J59">
        <f t="shared" si="36"/>
        <v>-30.310283137838464</v>
      </c>
      <c r="K59">
        <f t="shared" si="37"/>
        <v>0</v>
      </c>
      <c r="L59">
        <f t="shared" si="38"/>
        <v>-78.769735196149938</v>
      </c>
      <c r="M59">
        <f t="shared" si="39"/>
        <v>0</v>
      </c>
      <c r="N59">
        <f t="shared" si="40"/>
        <v>-48.494521614829083</v>
      </c>
      <c r="O59">
        <f t="shared" si="41"/>
        <v>0</v>
      </c>
      <c r="P59">
        <f t="shared" si="42"/>
        <v>303.29932552134562</v>
      </c>
      <c r="Q59">
        <f t="shared" si="43"/>
        <v>0</v>
      </c>
      <c r="R59" s="24">
        <f t="shared" si="44"/>
        <v>184.46300591581803</v>
      </c>
      <c r="S59">
        <f t="shared" si="45"/>
        <v>0</v>
      </c>
      <c r="T59">
        <f t="shared" si="46"/>
        <v>-137440.59350788381</v>
      </c>
      <c r="U59">
        <f t="shared" si="47"/>
        <v>0</v>
      </c>
      <c r="V59">
        <f t="shared" si="48"/>
        <v>-13.259073839940507</v>
      </c>
      <c r="W59">
        <f t="shared" si="49"/>
        <v>0</v>
      </c>
      <c r="X59">
        <f t="shared" si="25"/>
        <v>-444.48742358412971</v>
      </c>
      <c r="Y59">
        <f t="shared" si="50"/>
        <v>0</v>
      </c>
      <c r="Z59" s="33">
        <f t="shared" si="26"/>
        <v>-181.36693558704116</v>
      </c>
      <c r="AA59">
        <f t="shared" si="51"/>
        <v>0</v>
      </c>
    </row>
    <row r="60" spans="1:29" x14ac:dyDescent="0.35">
      <c r="A60" t="str">
        <f>Table1!A53</f>
        <v>Cruz and Rossi-Hansberg 2021</v>
      </c>
      <c r="B60">
        <f>Table1!C53</f>
        <v>7.2</v>
      </c>
      <c r="C60">
        <f>Table1!E53</f>
        <v>-5</v>
      </c>
      <c r="D60">
        <v>1</v>
      </c>
      <c r="E60">
        <v>2021</v>
      </c>
      <c r="F60" s="5">
        <f>Table1!M53</f>
        <v>-0.96019996837483579</v>
      </c>
      <c r="G60" s="5">
        <f t="shared" si="23"/>
        <v>-2.4520518824842839</v>
      </c>
      <c r="H60" s="5">
        <f t="shared" si="24"/>
        <v>2.2256221336320245</v>
      </c>
      <c r="J60">
        <f t="shared" si="36"/>
        <v>-7.501078785269895</v>
      </c>
      <c r="K60">
        <f t="shared" si="37"/>
        <v>6.2553950901271334</v>
      </c>
      <c r="L60">
        <f t="shared" si="38"/>
        <v>-5.7224148201501794</v>
      </c>
      <c r="M60">
        <f t="shared" si="39"/>
        <v>0.52188317237261606</v>
      </c>
      <c r="N60">
        <f t="shared" si="40"/>
        <v>-9.0328537175428796</v>
      </c>
      <c r="O60">
        <f t="shared" si="41"/>
        <v>16.263909107099423</v>
      </c>
      <c r="P60">
        <f t="shared" si="42"/>
        <v>-8.529574785675397</v>
      </c>
      <c r="Q60">
        <f t="shared" si="43"/>
        <v>12.457898167675525</v>
      </c>
      <c r="R60" s="24">
        <f t="shared" si="44"/>
        <v>-8.304984630488466</v>
      </c>
      <c r="S60">
        <f t="shared" si="45"/>
        <v>10.922923407764982</v>
      </c>
      <c r="T60">
        <f t="shared" si="46"/>
        <v>-10.459388101265198</v>
      </c>
      <c r="U60">
        <f t="shared" si="47"/>
        <v>29.804918440236019</v>
      </c>
      <c r="V60">
        <f t="shared" si="48"/>
        <v>-5.7224148363052842</v>
      </c>
      <c r="W60">
        <f t="shared" si="49"/>
        <v>0.52188319571399067</v>
      </c>
      <c r="X60">
        <f t="shared" si="25"/>
        <v>-9.3417299692588429</v>
      </c>
      <c r="Y60">
        <f t="shared" si="50"/>
        <v>18.850619125960392</v>
      </c>
      <c r="Z60" s="33">
        <f t="shared" si="26"/>
        <v>-7.7285846473400159</v>
      </c>
      <c r="AA60">
        <f t="shared" si="51"/>
        <v>7.4451741776996387</v>
      </c>
    </row>
    <row r="61" spans="1:29" x14ac:dyDescent="0.35">
      <c r="A61" t="str">
        <f>Table1!A54</f>
        <v>Kalkuhl and Wenz 2020</v>
      </c>
      <c r="B61">
        <f>Table1!C54</f>
        <v>1</v>
      </c>
      <c r="C61">
        <f>Table1!E54</f>
        <v>-2.2999999999999998</v>
      </c>
      <c r="D61">
        <v>1</v>
      </c>
      <c r="E61">
        <v>2020</v>
      </c>
      <c r="F61" s="5">
        <f>Table1!M54</f>
        <v>-7.3811814044296282</v>
      </c>
      <c r="G61" s="5">
        <f t="shared" si="23"/>
        <v>-2.4108596183241389</v>
      </c>
      <c r="H61" s="5">
        <f t="shared" si="24"/>
        <v>24.704098657434862</v>
      </c>
      <c r="J61">
        <f t="shared" ref="J61" si="52">J$1*B61+J$2*B61^2</f>
        <v>-0.53506987904904835</v>
      </c>
      <c r="K61">
        <f t="shared" si="37"/>
        <v>3.1149783318399407</v>
      </c>
      <c r="L61">
        <f t="shared" ref="L61" si="53">IF(B61&lt;=L$2,B61*L$1,L$1*L$2+L$3*(B61-L$2))</f>
        <v>-0.79477983613196934</v>
      </c>
      <c r="M61">
        <f t="shared" si="39"/>
        <v>2.2656877417149004</v>
      </c>
      <c r="N61">
        <f t="shared" ref="N61" si="54">N$1*B61^2</f>
        <v>-0.17424486337852776</v>
      </c>
      <c r="O61">
        <f t="shared" si="41"/>
        <v>4.5188349008725739</v>
      </c>
      <c r="P61">
        <f t="shared" ref="P61" si="55">P$1*B61^2+P$2*B61^7</f>
        <v>-0.18360290132577989</v>
      </c>
      <c r="Q61">
        <f t="shared" si="43"/>
        <v>4.4791366792766558</v>
      </c>
      <c r="R61" s="24">
        <f t="shared" ref="R61" si="56">R$1*B61^2+R$2*B61^6</f>
        <v>-0.18977310820449733</v>
      </c>
      <c r="S61">
        <f t="shared" si="45"/>
        <v>4.4530575348569066</v>
      </c>
      <c r="T61">
        <f t="shared" ref="T61" si="57">T$2+T$1*EXP(B61)</f>
        <v>-1.3427796931533009E-2</v>
      </c>
      <c r="U61">
        <f t="shared" si="47"/>
        <v>5.2284124398453828</v>
      </c>
      <c r="V61">
        <f t="shared" ref="V61" si="58">V$1*B61</f>
        <v>-0.79477983837573385</v>
      </c>
      <c r="W61">
        <f t="shared" si="49"/>
        <v>2.2656877349601814</v>
      </c>
      <c r="X61">
        <f t="shared" ref="X61" si="59">(1-EXP(-2*X$1*B61))/2/EXP(-X$1*B61)</f>
        <v>-0.41834367992897836</v>
      </c>
      <c r="Y61">
        <f t="shared" si="50"/>
        <v>3.5406305068632182</v>
      </c>
      <c r="Z61" s="33">
        <f t="shared" ref="Z61" si="60">J61*K$5+L61*M$5+N61*O$5+P61*Q$5+R61*S$5+T61*U$5+V61*W$5+X61*Y$5</f>
        <v>-0.46248069388622703</v>
      </c>
      <c r="AA61">
        <f t="shared" si="51"/>
        <v>3.3764772003408416</v>
      </c>
    </row>
    <row r="62" spans="1:29" x14ac:dyDescent="0.35">
      <c r="A62" t="str">
        <f>Table1!A55</f>
        <v>Newell, Prest and Sexton</v>
      </c>
      <c r="B62">
        <f>Table1!C55</f>
        <v>4.3</v>
      </c>
      <c r="C62">
        <f>Table1!E55</f>
        <v>5.63</v>
      </c>
      <c r="D62">
        <f>1/9</f>
        <v>0.1111111111111111</v>
      </c>
      <c r="E62">
        <v>2021</v>
      </c>
      <c r="F62" s="5">
        <f>Table1!M55</f>
        <v>2.5401291223940698</v>
      </c>
      <c r="G62" s="5">
        <f t="shared" si="23"/>
        <v>-2.4520518824842839</v>
      </c>
      <c r="H62" s="5">
        <f t="shared" si="24"/>
        <v>24.921871185468255</v>
      </c>
      <c r="J62">
        <f t="shared" ref="J62:J70" si="61">J$1*B62+J$2*B62^2</f>
        <v>-3.4605963705985561</v>
      </c>
      <c r="K62">
        <f t="shared" ref="K62:K70" si="62">$D62*(J62-$C62)^2</f>
        <v>9.1821047081266265</v>
      </c>
      <c r="L62">
        <f t="shared" ref="L62:L70" si="63">IF(B62&lt;=L$2,B62*L$1,L$1*L$2+L$3*(B62-L$2))</f>
        <v>-3.4175532953674681</v>
      </c>
      <c r="M62">
        <f t="shared" ref="M62:M70" si="64">$D62*(L62-$C62)^2</f>
        <v>9.0953578480571924</v>
      </c>
      <c r="N62">
        <f t="shared" ref="N62:N70" si="65">N$1*B62^2</f>
        <v>-3.2217875238689779</v>
      </c>
      <c r="O62">
        <f t="shared" ref="O62:O70" si="66">$D62*(N62-$C62)^2</f>
        <v>8.7060158186358336</v>
      </c>
      <c r="P62">
        <f t="shared" ref="P62:P70" si="67">P$1*B62^2+P$2*B62^7</f>
        <v>-3.3680499362175538</v>
      </c>
      <c r="Q62">
        <f t="shared" ref="Q62:Q70" si="68">$D62*(P62-$C62)^2</f>
        <v>8.996100294962746</v>
      </c>
      <c r="R62" s="24">
        <f t="shared" ref="R62:R70" si="69">R$1*B62^2+R$2*B62^6</f>
        <v>-3.4395293213801628</v>
      </c>
      <c r="S62">
        <f t="shared" ref="S62:S70" si="70">$D62*(R62-$C62)^2</f>
        <v>9.1395957901527236</v>
      </c>
      <c r="T62">
        <f t="shared" ref="T62:T70" si="71">T$2+T$1*EXP(B62)</f>
        <v>-0.56812453614665137</v>
      </c>
      <c r="U62">
        <f t="shared" ref="U62:U70" si="72">$D62*(T62-$C62)^2</f>
        <v>4.268527529509238</v>
      </c>
      <c r="V62">
        <f t="shared" ref="V62:V70" si="73">V$1*B62</f>
        <v>-3.4175533050156552</v>
      </c>
      <c r="W62">
        <f t="shared" ref="W62:W70" si="74">$D62*(V62-$C62)^2</f>
        <v>9.0953578674555207</v>
      </c>
      <c r="X62">
        <f t="shared" ref="X62:X70" si="75">(1-EXP(-2*X$1*B62))/2/EXP(-X$1*B62)</f>
        <v>-2.7908721723163459</v>
      </c>
      <c r="Y62">
        <f t="shared" ref="Y62:Y70" si="76">$D62*(X62-$C62)^2</f>
        <v>7.8790097936102006</v>
      </c>
      <c r="Z62" s="33">
        <f t="shared" ref="Z62:Z70" si="77">J62*K$5+L62*M$5+N62*O$5+P62*Q$5+R62*S$5+T62*U$5+V62*W$5+X62*Y$5</f>
        <v>-3.2896087796360813</v>
      </c>
      <c r="AA62">
        <f t="shared" ref="AA62:AA70" si="78">$D62*(Z62-$C62)^2</f>
        <v>8.8399356424178972</v>
      </c>
    </row>
    <row r="63" spans="1:29" x14ac:dyDescent="0.35">
      <c r="A63">
        <f>Table1!A56</f>
        <v>0</v>
      </c>
      <c r="B63">
        <f>Table1!C56</f>
        <v>4.3</v>
      </c>
      <c r="C63">
        <f>Table1!E56</f>
        <v>3.61</v>
      </c>
      <c r="D63">
        <f t="shared" ref="D63:D70" si="79">1/9</f>
        <v>0.1111111111111111</v>
      </c>
      <c r="E63">
        <v>2021</v>
      </c>
      <c r="F63" s="5">
        <f>Table1!M56</f>
        <v>1.6287506450874945</v>
      </c>
      <c r="G63" s="5">
        <f t="shared" si="23"/>
        <v>-2.4520518824842839</v>
      </c>
      <c r="H63" s="5">
        <f t="shared" si="24"/>
        <v>16.652949269036217</v>
      </c>
      <c r="J63">
        <f t="shared" si="61"/>
        <v>-3.4605963705985561</v>
      </c>
      <c r="K63">
        <f t="shared" si="62"/>
        <v>5.5548147817690534</v>
      </c>
      <c r="L63">
        <f t="shared" si="63"/>
        <v>-3.4175532953674681</v>
      </c>
      <c r="M63">
        <f t="shared" si="64"/>
        <v>5.4873894799144631</v>
      </c>
      <c r="N63">
        <f t="shared" si="65"/>
        <v>-3.2217875238689779</v>
      </c>
      <c r="O63">
        <f t="shared" si="66"/>
        <v>5.1859245301435353</v>
      </c>
      <c r="P63">
        <f t="shared" si="67"/>
        <v>-3.3680499362175538</v>
      </c>
      <c r="Q63">
        <f t="shared" si="68"/>
        <v>5.4103534347050886</v>
      </c>
      <c r="R63" s="24">
        <f t="shared" si="69"/>
        <v>-3.4395293213801628</v>
      </c>
      <c r="S63">
        <f t="shared" si="70"/>
        <v>5.5217626281109622</v>
      </c>
      <c r="T63">
        <f t="shared" si="71"/>
        <v>-0.56812453614665137</v>
      </c>
      <c r="U63">
        <f t="shared" si="72"/>
        <v>1.9396360710611853</v>
      </c>
      <c r="V63">
        <f t="shared" si="73"/>
        <v>-3.4175533050156552</v>
      </c>
      <c r="W63">
        <f t="shared" si="74"/>
        <v>5.4873894949818274</v>
      </c>
      <c r="X63">
        <f t="shared" si="75"/>
        <v>-2.7908721723163459</v>
      </c>
      <c r="Y63">
        <f t="shared" si="76"/>
        <v>4.5523516184815307</v>
      </c>
      <c r="Z63" s="33">
        <f t="shared" si="77"/>
        <v>-3.2896087796360813</v>
      </c>
      <c r="AA63">
        <f t="shared" si="78"/>
        <v>5.2894001457812534</v>
      </c>
    </row>
    <row r="64" spans="1:29" x14ac:dyDescent="0.35">
      <c r="A64">
        <f>Table1!A57</f>
        <v>0</v>
      </c>
      <c r="B64">
        <f>Table1!C57</f>
        <v>4.3</v>
      </c>
      <c r="C64">
        <f>Table1!E57</f>
        <v>-1.71</v>
      </c>
      <c r="D64">
        <f t="shared" si="79"/>
        <v>0.1111111111111111</v>
      </c>
      <c r="E64">
        <v>2021</v>
      </c>
      <c r="F64" s="5">
        <f>Table1!M57</f>
        <v>-0.77151346346249727</v>
      </c>
      <c r="G64" s="5">
        <f t="shared" si="23"/>
        <v>-2.4520518824842839</v>
      </c>
      <c r="H64" s="5">
        <f t="shared" si="24"/>
        <v>2.8242093778082458</v>
      </c>
      <c r="J64">
        <f t="shared" si="61"/>
        <v>-3.4605963705985561</v>
      </c>
      <c r="K64">
        <f t="shared" si="62"/>
        <v>0.34050973919475963</v>
      </c>
      <c r="L64">
        <f t="shared" si="63"/>
        <v>-3.4175532953674681</v>
      </c>
      <c r="M64">
        <f t="shared" si="64"/>
        <v>0.32397091739114442</v>
      </c>
      <c r="N64">
        <f t="shared" si="65"/>
        <v>-3.2217875238689779</v>
      </c>
      <c r="O64">
        <f t="shared" si="66"/>
        <v>0.25394461303621058</v>
      </c>
      <c r="P64">
        <f t="shared" si="67"/>
        <v>-3.3680499362175538</v>
      </c>
      <c r="Q64">
        <f t="shared" si="68"/>
        <v>0.30545884344344826</v>
      </c>
      <c r="R64" s="24">
        <f t="shared" si="69"/>
        <v>-3.4395293213801628</v>
      </c>
      <c r="S64">
        <f t="shared" si="70"/>
        <v>0.33236351927930291</v>
      </c>
      <c r="T64">
        <f t="shared" si="71"/>
        <v>-0.56812453614665137</v>
      </c>
      <c r="U64">
        <f t="shared" si="72"/>
        <v>0.1448755083278111</v>
      </c>
      <c r="V64">
        <f t="shared" si="73"/>
        <v>-3.4175533050156552</v>
      </c>
      <c r="W64">
        <f t="shared" si="74"/>
        <v>0.3239709210522097</v>
      </c>
      <c r="X64">
        <f t="shared" si="75"/>
        <v>-2.7908721723163459</v>
      </c>
      <c r="Y64">
        <f t="shared" si="76"/>
        <v>0.1298094058764285</v>
      </c>
      <c r="Z64" s="33">
        <f t="shared" si="77"/>
        <v>-3.2896087796360813</v>
      </c>
      <c r="AA64">
        <f t="shared" si="78"/>
        <v>0.27724043296704337</v>
      </c>
    </row>
    <row r="65" spans="1:27" x14ac:dyDescent="0.35">
      <c r="A65">
        <f>Table1!A58</f>
        <v>0</v>
      </c>
      <c r="B65">
        <f>Table1!C58</f>
        <v>4.3</v>
      </c>
      <c r="C65">
        <f>Table1!E58</f>
        <v>-1.63</v>
      </c>
      <c r="D65">
        <f t="shared" si="79"/>
        <v>0.1111111111111111</v>
      </c>
      <c r="E65">
        <v>2021</v>
      </c>
      <c r="F65" s="5">
        <f>Table1!M58</f>
        <v>-0.73541926634144483</v>
      </c>
      <c r="G65" s="5">
        <f t="shared" si="23"/>
        <v>-2.4520518824842839</v>
      </c>
      <c r="H65" s="5">
        <f t="shared" si="24"/>
        <v>2.9468275388054082</v>
      </c>
      <c r="J65">
        <f t="shared" si="61"/>
        <v>-3.4605963705985561</v>
      </c>
      <c r="K65">
        <f t="shared" si="62"/>
        <v>0.37234256356095624</v>
      </c>
      <c r="L65">
        <f t="shared" si="63"/>
        <v>-3.4175532953674681</v>
      </c>
      <c r="M65">
        <f t="shared" si="64"/>
        <v>0.35503853153101056</v>
      </c>
      <c r="N65">
        <f t="shared" si="65"/>
        <v>-3.2217875238689779</v>
      </c>
      <c r="O65">
        <f t="shared" si="66"/>
        <v>0.28153194679388133</v>
      </c>
      <c r="P65">
        <f t="shared" si="67"/>
        <v>-3.3680499362175538</v>
      </c>
      <c r="Q65">
        <f t="shared" si="68"/>
        <v>0.33564639786509365</v>
      </c>
      <c r="R65" s="24">
        <f t="shared" si="69"/>
        <v>-3.4395293213801628</v>
      </c>
      <c r="S65">
        <f t="shared" si="70"/>
        <v>0.36382181832606136</v>
      </c>
      <c r="T65">
        <f t="shared" si="71"/>
        <v>-0.56812453614665137</v>
      </c>
      <c r="U65">
        <f t="shared" si="72"/>
        <v>0.12528661119264045</v>
      </c>
      <c r="V65">
        <f t="shared" si="73"/>
        <v>-3.4175533050156552</v>
      </c>
      <c r="W65">
        <f t="shared" si="74"/>
        <v>0.35503853536359919</v>
      </c>
      <c r="X65">
        <f t="shared" si="75"/>
        <v>-2.7908721723163459</v>
      </c>
      <c r="Y65">
        <f t="shared" si="76"/>
        <v>0.14973602227316354</v>
      </c>
      <c r="Z65" s="33">
        <f t="shared" si="77"/>
        <v>-3.2896087796360813</v>
      </c>
      <c r="AA65">
        <f t="shared" si="78"/>
        <v>0.30603347793835145</v>
      </c>
    </row>
    <row r="66" spans="1:27" x14ac:dyDescent="0.35">
      <c r="A66">
        <f>Table1!A59</f>
        <v>0</v>
      </c>
      <c r="B66">
        <f>Table1!C59</f>
        <v>4.3</v>
      </c>
      <c r="C66">
        <f>Table1!E59</f>
        <v>-2.17</v>
      </c>
      <c r="D66">
        <f t="shared" si="79"/>
        <v>0.1111111111111111</v>
      </c>
      <c r="E66">
        <v>2021</v>
      </c>
      <c r="F66" s="5">
        <f>Table1!M59</f>
        <v>-0.97905509690854919</v>
      </c>
      <c r="G66" s="5">
        <f t="shared" si="23"/>
        <v>-2.4520518824842839</v>
      </c>
      <c r="H66" s="5">
        <f t="shared" si="24"/>
        <v>2.1697195303164469</v>
      </c>
      <c r="J66">
        <f t="shared" si="61"/>
        <v>-3.4605963705985561</v>
      </c>
      <c r="K66">
        <f t="shared" si="62"/>
        <v>0.18507099908912952</v>
      </c>
      <c r="L66">
        <f t="shared" si="63"/>
        <v>-3.4175532953674681</v>
      </c>
      <c r="M66">
        <f t="shared" si="64"/>
        <v>0.17293213608691435</v>
      </c>
      <c r="N66">
        <f t="shared" si="65"/>
        <v>-3.2217875238689779</v>
      </c>
      <c r="O66">
        <f t="shared" si="66"/>
        <v>0.12291744392960401</v>
      </c>
      <c r="P66">
        <f t="shared" si="67"/>
        <v>-3.3680499362175538</v>
      </c>
      <c r="Q66">
        <f t="shared" si="68"/>
        <v>0.15948040551898718</v>
      </c>
      <c r="R66" s="24">
        <f t="shared" si="69"/>
        <v>-3.4395293213801628</v>
      </c>
      <c r="S66">
        <f t="shared" si="70"/>
        <v>0.17907829976044187</v>
      </c>
      <c r="T66">
        <f t="shared" si="71"/>
        <v>-0.56812453614665137</v>
      </c>
      <c r="U66">
        <f t="shared" si="72"/>
        <v>0.2851116668550423</v>
      </c>
      <c r="V66">
        <f t="shared" si="73"/>
        <v>-3.4175533050156552</v>
      </c>
      <c r="W66">
        <f t="shared" si="74"/>
        <v>0.17293213876172051</v>
      </c>
      <c r="X66">
        <f t="shared" si="75"/>
        <v>-2.7908721723163459</v>
      </c>
      <c r="Y66">
        <f t="shared" si="76"/>
        <v>4.2831361595202039E-2</v>
      </c>
      <c r="Z66" s="33">
        <f t="shared" si="77"/>
        <v>-3.2896087796360813</v>
      </c>
      <c r="AA66">
        <f t="shared" si="78"/>
        <v>0.13928042438202171</v>
      </c>
    </row>
    <row r="67" spans="1:27" x14ac:dyDescent="0.35">
      <c r="A67">
        <f>Table1!A60</f>
        <v>0</v>
      </c>
      <c r="B67">
        <f>Table1!C60</f>
        <v>4.3</v>
      </c>
      <c r="C67">
        <f>Table1!E60</f>
        <v>-0.64</v>
      </c>
      <c r="D67">
        <f t="shared" si="79"/>
        <v>0.1111111111111111</v>
      </c>
      <c r="E67">
        <v>2021</v>
      </c>
      <c r="F67" s="5">
        <f>Table1!M60</f>
        <v>-0.28875357696842002</v>
      </c>
      <c r="G67" s="5">
        <f t="shared" si="23"/>
        <v>-2.4520518824842839</v>
      </c>
      <c r="H67" s="5">
        <f t="shared" si="24"/>
        <v>4.6798595586478076</v>
      </c>
      <c r="J67">
        <f t="shared" si="61"/>
        <v>-3.4605963705985561</v>
      </c>
      <c r="K67">
        <f t="shared" si="62"/>
        <v>0.88397376509263836</v>
      </c>
      <c r="L67">
        <f t="shared" si="63"/>
        <v>-3.4175532953674681</v>
      </c>
      <c r="M67">
        <f t="shared" si="64"/>
        <v>0.85720025651185328</v>
      </c>
      <c r="N67">
        <f t="shared" si="65"/>
        <v>-3.2217875238689779</v>
      </c>
      <c r="O67">
        <f t="shared" si="66"/>
        <v>0.74062520204505633</v>
      </c>
      <c r="P67">
        <f t="shared" si="67"/>
        <v>-3.3680499362175538</v>
      </c>
      <c r="Q67">
        <f t="shared" si="68"/>
        <v>0.82691738383295532</v>
      </c>
      <c r="R67" s="24">
        <f t="shared" si="69"/>
        <v>-3.4395293213801628</v>
      </c>
      <c r="S67">
        <f t="shared" si="70"/>
        <v>0.87081826902969706</v>
      </c>
      <c r="T67">
        <f t="shared" si="71"/>
        <v>-0.56812453614665137</v>
      </c>
      <c r="U67">
        <f t="shared" si="72"/>
        <v>5.7400914490378081E-4</v>
      </c>
      <c r="V67">
        <f t="shared" si="73"/>
        <v>-3.4175533050156552</v>
      </c>
      <c r="W67">
        <f t="shared" si="74"/>
        <v>0.85720026246704317</v>
      </c>
      <c r="X67">
        <f t="shared" si="75"/>
        <v>-2.7908721723163459</v>
      </c>
      <c r="Y67">
        <f t="shared" si="76"/>
        <v>0.51402790018275957</v>
      </c>
      <c r="Z67" s="33">
        <f t="shared" si="77"/>
        <v>-3.2896087796360813</v>
      </c>
      <c r="AA67">
        <f t="shared" si="78"/>
        <v>0.78004740945828921</v>
      </c>
    </row>
    <row r="68" spans="1:27" x14ac:dyDescent="0.35">
      <c r="A68">
        <f>Table1!A61</f>
        <v>0</v>
      </c>
      <c r="B68">
        <f>Table1!C61</f>
        <v>4.3</v>
      </c>
      <c r="C68">
        <f>Table1!E61</f>
        <v>-1.82</v>
      </c>
      <c r="D68">
        <f t="shared" si="79"/>
        <v>0.1111111111111111</v>
      </c>
      <c r="E68">
        <v>2021</v>
      </c>
      <c r="F68" s="5">
        <f>Table1!M61</f>
        <v>-0.82114298450394463</v>
      </c>
      <c r="G68" s="5">
        <f t="shared" si="23"/>
        <v>-2.4520518824842839</v>
      </c>
      <c r="H68" s="5">
        <f t="shared" si="24"/>
        <v>2.6598638335114444</v>
      </c>
      <c r="J68">
        <f t="shared" si="61"/>
        <v>-3.4605963705985561</v>
      </c>
      <c r="K68">
        <f t="shared" si="62"/>
        <v>0.29906182791346159</v>
      </c>
      <c r="L68">
        <f t="shared" si="63"/>
        <v>-3.4175532953674681</v>
      </c>
      <c r="M68">
        <f t="shared" si="64"/>
        <v>0.28357517017105072</v>
      </c>
      <c r="N68">
        <f t="shared" si="65"/>
        <v>-3.2217875238689779</v>
      </c>
      <c r="O68">
        <f t="shared" si="66"/>
        <v>0.21833425134163556</v>
      </c>
      <c r="P68">
        <f t="shared" si="67"/>
        <v>-3.3680499362175538</v>
      </c>
      <c r="Q68">
        <f t="shared" si="68"/>
        <v>0.26627317833590797</v>
      </c>
      <c r="R68" s="24">
        <f t="shared" si="69"/>
        <v>-3.4395293213801628</v>
      </c>
      <c r="S68">
        <f t="shared" si="70"/>
        <v>0.29143058031223223</v>
      </c>
      <c r="T68">
        <f t="shared" si="71"/>
        <v>-0.56812453614665137</v>
      </c>
      <c r="U68">
        <f t="shared" si="72"/>
        <v>0.174132464110893</v>
      </c>
      <c r="V68">
        <f t="shared" si="73"/>
        <v>-3.4175533050156552</v>
      </c>
      <c r="W68">
        <f t="shared" si="74"/>
        <v>0.28357517359627143</v>
      </c>
      <c r="X68">
        <f t="shared" si="75"/>
        <v>-2.7908721723163459</v>
      </c>
      <c r="Y68">
        <f t="shared" si="76"/>
        <v>0.10473253055314002</v>
      </c>
      <c r="Z68" s="33">
        <f t="shared" si="77"/>
        <v>-3.2896087796360813</v>
      </c>
      <c r="AA68">
        <f t="shared" si="78"/>
        <v>0.23997221835371688</v>
      </c>
    </row>
    <row r="69" spans="1:27" x14ac:dyDescent="0.35">
      <c r="A69">
        <f>Table1!A62</f>
        <v>0</v>
      </c>
      <c r="B69">
        <f>Table1!C62</f>
        <v>4.3</v>
      </c>
      <c r="C69">
        <f>Table1!E62</f>
        <v>-1.75</v>
      </c>
      <c r="D69">
        <f t="shared" si="79"/>
        <v>0.1111111111111111</v>
      </c>
      <c r="E69">
        <v>2021</v>
      </c>
      <c r="F69" s="5">
        <f>Table1!M62</f>
        <v>-0.7895605620230236</v>
      </c>
      <c r="G69" s="5">
        <f t="shared" si="23"/>
        <v>-2.4520518824842839</v>
      </c>
      <c r="H69" s="5">
        <f t="shared" si="24"/>
        <v>2.763877390609025</v>
      </c>
      <c r="J69">
        <f t="shared" si="61"/>
        <v>-3.4605963705985561</v>
      </c>
      <c r="K69">
        <f t="shared" si="62"/>
        <v>0.32512666034499471</v>
      </c>
      <c r="L69">
        <f t="shared" si="63"/>
        <v>-3.4175532953674681</v>
      </c>
      <c r="M69">
        <f t="shared" si="64"/>
        <v>0.30897044365454468</v>
      </c>
      <c r="N69">
        <f t="shared" si="65"/>
        <v>-3.2217875238689779</v>
      </c>
      <c r="O69">
        <f t="shared" si="66"/>
        <v>0.24068427949070859</v>
      </c>
      <c r="P69">
        <f t="shared" si="67"/>
        <v>-3.3680499362175538</v>
      </c>
      <c r="Q69">
        <f t="shared" si="68"/>
        <v>0.29089839956595887</v>
      </c>
      <c r="R69" s="24">
        <f t="shared" si="69"/>
        <v>-3.4395293213801628</v>
      </c>
      <c r="S69">
        <f t="shared" si="70"/>
        <v>0.31716770308925701</v>
      </c>
      <c r="T69">
        <f t="shared" si="71"/>
        <v>-0.56812453614665137</v>
      </c>
      <c r="U69">
        <f t="shared" si="72"/>
        <v>0.15520329022872975</v>
      </c>
      <c r="V69">
        <f t="shared" si="73"/>
        <v>-3.4175533050156552</v>
      </c>
      <c r="W69">
        <f t="shared" si="74"/>
        <v>0.30897044722984829</v>
      </c>
      <c r="X69">
        <f t="shared" si="75"/>
        <v>-2.7908721723163459</v>
      </c>
      <c r="Y69">
        <f t="shared" si="76"/>
        <v>0.12037943101139431</v>
      </c>
      <c r="Z69" s="33">
        <f t="shared" si="77"/>
        <v>-3.2896087796360813</v>
      </c>
      <c r="AA69">
        <f t="shared" si="78"/>
        <v>0.26337724381472261</v>
      </c>
    </row>
    <row r="70" spans="1:27" x14ac:dyDescent="0.35">
      <c r="A70">
        <f>Table1!A63</f>
        <v>0</v>
      </c>
      <c r="B70">
        <f>Table1!C63</f>
        <v>4.3</v>
      </c>
      <c r="C70">
        <f>Table1!E63</f>
        <v>-2.16</v>
      </c>
      <c r="D70">
        <f t="shared" si="79"/>
        <v>0.1111111111111111</v>
      </c>
      <c r="E70">
        <v>2021</v>
      </c>
      <c r="F70" s="5">
        <f>Table1!M63</f>
        <v>-0.97454332226841778</v>
      </c>
      <c r="G70" s="5">
        <f t="shared" si="23"/>
        <v>-2.4520518824842839</v>
      </c>
      <c r="H70" s="5">
        <f t="shared" si="24"/>
        <v>2.1830315455111613</v>
      </c>
      <c r="J70">
        <f t="shared" si="61"/>
        <v>-3.4605963705985561</v>
      </c>
      <c r="K70">
        <f t="shared" si="62"/>
        <v>0.18795010213490401</v>
      </c>
      <c r="L70">
        <f t="shared" si="63"/>
        <v>-3.4175532953674681</v>
      </c>
      <c r="M70">
        <f t="shared" si="64"/>
        <v>0.17571558785439756</v>
      </c>
      <c r="N70">
        <f t="shared" si="65"/>
        <v>-3.2217875238689779</v>
      </c>
      <c r="O70">
        <f t="shared" si="66"/>
        <v>0.12526586064931278</v>
      </c>
      <c r="P70">
        <f t="shared" si="67"/>
        <v>-3.3680499362175538</v>
      </c>
      <c r="Q70">
        <f t="shared" si="68"/>
        <v>0.16215384982169281</v>
      </c>
      <c r="R70" s="24">
        <f t="shared" si="69"/>
        <v>-3.4395293213801628</v>
      </c>
      <c r="S70">
        <f t="shared" si="70"/>
        <v>0.18191058714128661</v>
      </c>
      <c r="T70">
        <f t="shared" si="71"/>
        <v>-0.56812453614665137</v>
      </c>
      <c r="U70">
        <f t="shared" si="72"/>
        <v>0.28156305471314602</v>
      </c>
      <c r="V70">
        <f t="shared" si="73"/>
        <v>-3.4175533050156552</v>
      </c>
      <c r="W70">
        <f t="shared" si="74"/>
        <v>0.17571559055064412</v>
      </c>
      <c r="X70">
        <f t="shared" si="75"/>
        <v>-2.7908721723163459</v>
      </c>
      <c r="Y70">
        <f t="shared" si="76"/>
        <v>4.4222188644793888E-2</v>
      </c>
      <c r="Z70" s="33">
        <f t="shared" si="77"/>
        <v>-3.2896087796360813</v>
      </c>
      <c r="AA70">
        <f t="shared" si="78"/>
        <v>0.14177955500343517</v>
      </c>
    </row>
    <row r="71" spans="1:27" x14ac:dyDescent="0.35">
      <c r="A71" t="str">
        <f>Table1!A64</f>
        <v>Schauer 1995</v>
      </c>
      <c r="B71">
        <f>Table1!C64</f>
        <v>2.5</v>
      </c>
      <c r="C71">
        <f>Table1!E64</f>
        <v>-5.22</v>
      </c>
      <c r="D71">
        <v>1</v>
      </c>
      <c r="E71">
        <v>1995</v>
      </c>
      <c r="F71" s="5">
        <f>Table1!M64</f>
        <v>-5.22</v>
      </c>
      <c r="G71" s="5">
        <f t="shared" si="23"/>
        <v>-1.3810530143204289</v>
      </c>
      <c r="H71" s="5">
        <f t="shared" si="24"/>
        <v>14.737513958858264</v>
      </c>
      <c r="J71">
        <f t="shared" ref="J71:J78" si="80">J$1*B71+J$2*B71^2</f>
        <v>-1.6441746687345788</v>
      </c>
      <c r="K71">
        <f t="shared" ref="K71:K78" si="81">$D71*(J71-$C71)^2</f>
        <v>12.786526799719457</v>
      </c>
      <c r="L71">
        <f t="shared" ref="L71:L78" si="82">IF(B71&lt;=L$2,B71*L$1,L$1*L$2+L$3*(B71-L$2))</f>
        <v>-1.9869495903299232</v>
      </c>
      <c r="M71">
        <f t="shared" ref="M71:M78" si="83">$D71*(L71-$C71)^2</f>
        <v>10.452614951467849</v>
      </c>
      <c r="N71">
        <f t="shared" ref="N71:N78" si="84">N$1*B71^2</f>
        <v>-1.0890303961157985</v>
      </c>
      <c r="O71">
        <f t="shared" ref="O71:O78" si="85">$D71*(N71-$C71)^2</f>
        <v>17.064909868215199</v>
      </c>
      <c r="P71">
        <f t="shared" ref="P71:P78" si="86">P$1*B71^2+P$2*B71^7</f>
        <v>-1.1469228310703414</v>
      </c>
      <c r="Q71">
        <f t="shared" ref="Q71:Q78" si="87">$D71*(P71-$C71)^2</f>
        <v>16.589957624056041</v>
      </c>
      <c r="R71" s="24">
        <f t="shared" ref="R71:R78" si="88">R$1*B71^2+R$2*B71^6</f>
        <v>-1.1834634745228021</v>
      </c>
      <c r="S71">
        <f t="shared" ref="S71:S78" si="89">$D71*(R71-$C71)^2</f>
        <v>16.293627121511527</v>
      </c>
      <c r="T71">
        <f t="shared" ref="T71:T78" si="90">T$2+T$1*EXP(B71)</f>
        <v>-8.7387444600447534E-2</v>
      </c>
      <c r="U71">
        <f t="shared" ref="U71:U78" si="91">$D71*(T71-$C71)^2</f>
        <v>26.343711643845118</v>
      </c>
      <c r="V71">
        <f t="shared" ref="V71:V78" si="92">V$1*B71</f>
        <v>-1.9869495959393346</v>
      </c>
      <c r="W71">
        <f t="shared" ref="W71:W78" si="93">$D71*(V71-$C71)^2</f>
        <v>10.452614915196831</v>
      </c>
      <c r="X71">
        <f t="shared" ref="X71:X78" si="94">(1-EXP(-2*X$1*B71))/2/EXP(-X$1*B71)</f>
        <v>-1.2024359346677713</v>
      </c>
      <c r="Y71">
        <f t="shared" ref="Y71:Y78" si="95">$D71*(X71-$C71)^2</f>
        <v>16.140821019048825</v>
      </c>
      <c r="Z71" s="33">
        <f t="shared" ref="Z71:Z78" si="96">J71*K$5+L71*M$5+N71*O$5+P71*Q$5+R71*S$5+T71*U$5+V71*W$5+X71*Y$5</f>
        <v>-1.484197346791621</v>
      </c>
      <c r="AA71">
        <f t="shared" ref="AA71:AA78" si="97">$D71*(Z71-$C71)^2</f>
        <v>13.95622146371876</v>
      </c>
    </row>
    <row r="72" spans="1:27" x14ac:dyDescent="0.35">
      <c r="A72" t="str">
        <f>Table1!A65</f>
        <v>Horowitz 2009</v>
      </c>
      <c r="B72">
        <f>Table1!C65</f>
        <v>1</v>
      </c>
      <c r="C72">
        <f>Table1!E65</f>
        <v>-3.8</v>
      </c>
      <c r="D72">
        <v>1</v>
      </c>
      <c r="E72">
        <v>2009</v>
      </c>
      <c r="F72" s="5">
        <f>Table1!M65</f>
        <v>-12.194995363840254</v>
      </c>
      <c r="G72" s="5">
        <f t="shared" si="23"/>
        <v>-1.9577447125625014</v>
      </c>
      <c r="H72" s="5">
        <f t="shared" si="24"/>
        <v>104.80130089708678</v>
      </c>
      <c r="J72">
        <f t="shared" si="80"/>
        <v>-0.53506987904904835</v>
      </c>
      <c r="K72">
        <f t="shared" si="81"/>
        <v>10.659768694692795</v>
      </c>
      <c r="L72">
        <f t="shared" si="82"/>
        <v>-0.79477983613196934</v>
      </c>
      <c r="M72">
        <f t="shared" si="83"/>
        <v>9.0313482333189938</v>
      </c>
      <c r="N72">
        <f t="shared" si="84"/>
        <v>-0.17424486337852776</v>
      </c>
      <c r="O72">
        <f t="shared" si="85"/>
        <v>13.14610031073699</v>
      </c>
      <c r="P72">
        <f t="shared" si="86"/>
        <v>-0.18360290132577989</v>
      </c>
      <c r="Q72">
        <f t="shared" si="87"/>
        <v>13.078327975299317</v>
      </c>
      <c r="R72" s="24">
        <f t="shared" si="88"/>
        <v>-0.18977310820449733</v>
      </c>
      <c r="S72">
        <f t="shared" si="89"/>
        <v>13.033738210243413</v>
      </c>
      <c r="T72">
        <f t="shared" si="90"/>
        <v>-1.3427796931533009E-2</v>
      </c>
      <c r="U72">
        <f t="shared" si="91"/>
        <v>14.338129049050783</v>
      </c>
      <c r="V72">
        <f t="shared" si="92"/>
        <v>-0.79477983837573385</v>
      </c>
      <c r="W72">
        <f t="shared" si="93"/>
        <v>9.0313482198329798</v>
      </c>
      <c r="X72">
        <f t="shared" si="94"/>
        <v>-0.41834367992897836</v>
      </c>
      <c r="Y72">
        <f t="shared" si="95"/>
        <v>11.435599467076285</v>
      </c>
      <c r="Z72" s="33">
        <f t="shared" si="96"/>
        <v>-0.46248069388622703</v>
      </c>
      <c r="AA72">
        <f t="shared" si="97"/>
        <v>11.139035118682161</v>
      </c>
    </row>
    <row r="73" spans="1:27" x14ac:dyDescent="0.35">
      <c r="A73" t="str">
        <f>Table1!A66</f>
        <v>Eboli 2010</v>
      </c>
      <c r="B73">
        <f>Table1!C66</f>
        <v>3.03</v>
      </c>
      <c r="C73">
        <f>Table1!E66</f>
        <v>-1.35</v>
      </c>
      <c r="D73">
        <v>1</v>
      </c>
      <c r="E73">
        <v>2010</v>
      </c>
      <c r="F73" s="5">
        <f>Table1!M66</f>
        <v>-1.044104828826496</v>
      </c>
      <c r="G73" s="5">
        <f t="shared" si="23"/>
        <v>-1.9989369767226464</v>
      </c>
      <c r="H73" s="5">
        <f t="shared" si="24"/>
        <v>0.91170443065597595</v>
      </c>
      <c r="J73">
        <f t="shared" si="80"/>
        <v>-2.1239952461352942</v>
      </c>
      <c r="K73">
        <f t="shared" si="81"/>
        <v>0.59906864104003454</v>
      </c>
      <c r="L73">
        <f t="shared" si="82"/>
        <v>-2.408182903479867</v>
      </c>
      <c r="M73">
        <f t="shared" si="83"/>
        <v>1.1197510572170812</v>
      </c>
      <c r="N73">
        <f t="shared" si="84"/>
        <v>-1.5997246661919255</v>
      </c>
      <c r="O73">
        <f t="shared" si="85"/>
        <v>6.2362408904668598E-2</v>
      </c>
      <c r="P73">
        <f t="shared" si="86"/>
        <v>-1.6833383177251664</v>
      </c>
      <c r="Q73">
        <f t="shared" si="87"/>
        <v>0.11111443406384393</v>
      </c>
      <c r="R73" s="24">
        <f t="shared" si="88"/>
        <v>-1.7338712695377272</v>
      </c>
      <c r="S73">
        <f t="shared" si="89"/>
        <v>0.14735715157650633</v>
      </c>
      <c r="T73">
        <f t="shared" si="90"/>
        <v>-0.15392727487590979</v>
      </c>
      <c r="U73">
        <f t="shared" si="91"/>
        <v>1.4305899637857677</v>
      </c>
      <c r="V73">
        <f t="shared" si="92"/>
        <v>-2.4081829102784735</v>
      </c>
      <c r="W73">
        <f t="shared" si="93"/>
        <v>1.1197510716054198</v>
      </c>
      <c r="X73">
        <f t="shared" si="94"/>
        <v>-1.5705081672353516</v>
      </c>
      <c r="Y73">
        <f t="shared" si="95"/>
        <v>4.8623851817493742E-2</v>
      </c>
      <c r="Z73" s="33">
        <f t="shared" si="96"/>
        <v>-1.9466962320239802</v>
      </c>
      <c r="AA73">
        <f t="shared" si="97"/>
        <v>0.35604639331161553</v>
      </c>
    </row>
    <row r="74" spans="1:27" x14ac:dyDescent="0.35">
      <c r="A74" t="str">
        <f>Table1!A67</f>
        <v>Ng and Zhao 2011</v>
      </c>
      <c r="B74">
        <f>Table1!C67</f>
        <v>1</v>
      </c>
      <c r="C74">
        <f>Table1!E67</f>
        <v>-1.35</v>
      </c>
      <c r="D74">
        <v>0.5</v>
      </c>
      <c r="E74">
        <v>2011</v>
      </c>
      <c r="F74" s="5">
        <f>Table1!M67</f>
        <v>-4.3324325634695651</v>
      </c>
      <c r="G74" s="5">
        <f t="shared" si="23"/>
        <v>-2.0401292408827914</v>
      </c>
      <c r="H74" s="5">
        <f t="shared" si="24"/>
        <v>5.2546545227423627</v>
      </c>
      <c r="J74">
        <f t="shared" si="80"/>
        <v>-0.53506987904904835</v>
      </c>
      <c r="K74">
        <f t="shared" si="81"/>
        <v>0.33205555101656642</v>
      </c>
      <c r="L74">
        <f t="shared" si="82"/>
        <v>-0.79477983613196934</v>
      </c>
      <c r="M74">
        <f t="shared" si="83"/>
        <v>0.15413471518282146</v>
      </c>
      <c r="N74">
        <f t="shared" si="84"/>
        <v>-0.17424486337852776</v>
      </c>
      <c r="O74">
        <f t="shared" si="85"/>
        <v>0.6912000706458884</v>
      </c>
      <c r="P74">
        <f t="shared" si="86"/>
        <v>-0.18360290132577989</v>
      </c>
      <c r="Q74">
        <f t="shared" si="87"/>
        <v>0.68024109589781934</v>
      </c>
      <c r="R74" s="24">
        <f t="shared" si="88"/>
        <v>-0.18977310820449733</v>
      </c>
      <c r="S74">
        <f t="shared" si="89"/>
        <v>0.67306322022272658</v>
      </c>
      <c r="T74">
        <f t="shared" si="90"/>
        <v>-1.3427796931533009E-2</v>
      </c>
      <c r="U74">
        <f t="shared" si="91"/>
        <v>0.8932126270076477</v>
      </c>
      <c r="V74">
        <f t="shared" si="92"/>
        <v>-0.79477983837573385</v>
      </c>
      <c r="W74">
        <f t="shared" si="93"/>
        <v>0.15413471393703818</v>
      </c>
      <c r="X74">
        <f t="shared" si="94"/>
        <v>-0.41834367992897836</v>
      </c>
      <c r="Y74">
        <f t="shared" si="95"/>
        <v>0.43399174936413903</v>
      </c>
      <c r="Z74" s="33">
        <f t="shared" si="96"/>
        <v>-0.46248069388622703</v>
      </c>
      <c r="AA74">
        <f t="shared" si="97"/>
        <v>0.39384525936233661</v>
      </c>
    </row>
    <row r="75" spans="1:27" x14ac:dyDescent="0.35">
      <c r="A75">
        <f>Table1!A68</f>
        <v>0</v>
      </c>
      <c r="B75">
        <f>Table1!C68</f>
        <v>1</v>
      </c>
      <c r="C75">
        <f>Table1!E68</f>
        <v>-1.61</v>
      </c>
      <c r="D75">
        <v>0.5</v>
      </c>
      <c r="E75">
        <v>2011</v>
      </c>
      <c r="F75" s="5">
        <f>Table1!M68</f>
        <v>-5.1668269831007407</v>
      </c>
      <c r="G75" s="5">
        <f t="shared" ref="G75:G78" si="98">G$1+G$2*E75</f>
        <v>-2.0401292408827914</v>
      </c>
      <c r="H75" s="5">
        <f t="shared" ref="H75:H78" si="99">(F75-G75)^2</f>
        <v>9.7762387711908225</v>
      </c>
      <c r="J75">
        <f t="shared" si="80"/>
        <v>-0.53506987904904835</v>
      </c>
      <c r="K75">
        <f t="shared" si="81"/>
        <v>0.57773738246381379</v>
      </c>
      <c r="L75">
        <f t="shared" si="82"/>
        <v>-0.79477983613196934</v>
      </c>
      <c r="M75">
        <f t="shared" si="83"/>
        <v>0.33229195778850945</v>
      </c>
      <c r="N75">
        <f t="shared" si="84"/>
        <v>-0.17424486337852776</v>
      </c>
      <c r="O75">
        <f t="shared" si="85"/>
        <v>1.0306964061674713</v>
      </c>
      <c r="P75">
        <f t="shared" si="86"/>
        <v>-0.18360290132577989</v>
      </c>
      <c r="Q75">
        <f t="shared" si="87"/>
        <v>1.0173043415531167</v>
      </c>
      <c r="R75" s="24">
        <f t="shared" si="88"/>
        <v>-0.18977310820449733</v>
      </c>
      <c r="S75">
        <f t="shared" si="89"/>
        <v>1.0085222120895574</v>
      </c>
      <c r="T75">
        <f t="shared" si="90"/>
        <v>-1.3427796931533009E-2</v>
      </c>
      <c r="U75">
        <f t="shared" si="91"/>
        <v>1.2745213998054492</v>
      </c>
      <c r="V75">
        <f t="shared" si="92"/>
        <v>-0.79477983837573385</v>
      </c>
      <c r="W75">
        <f t="shared" si="93"/>
        <v>0.33229195595934741</v>
      </c>
      <c r="X75">
        <f t="shared" si="94"/>
        <v>-0.41834367992897836</v>
      </c>
      <c r="Y75">
        <f t="shared" si="95"/>
        <v>0.71002239258260469</v>
      </c>
      <c r="Z75" s="33">
        <f t="shared" si="96"/>
        <v>-0.46248069388622703</v>
      </c>
      <c r="AA75">
        <f t="shared" si="97"/>
        <v>0.65840027895191744</v>
      </c>
    </row>
    <row r="76" spans="1:27" ht="15" thickBot="1" x14ac:dyDescent="0.4">
      <c r="A76" t="str">
        <f>Table1!A69</f>
        <v>Hope 2011</v>
      </c>
      <c r="B76">
        <f>Table1!C69</f>
        <v>3</v>
      </c>
      <c r="C76">
        <f>Table1!E69</f>
        <v>-0.7</v>
      </c>
      <c r="D76">
        <v>1</v>
      </c>
      <c r="E76">
        <v>2011</v>
      </c>
      <c r="F76" s="5">
        <f>Table1!M69</f>
        <v>-0.54138768902114598</v>
      </c>
      <c r="G76" s="5">
        <f t="shared" si="98"/>
        <v>-2.0401292408827914</v>
      </c>
      <c r="H76" s="5">
        <f t="shared" si="99"/>
        <v>2.2462262392766532</v>
      </c>
      <c r="J76">
        <f t="shared" si="80"/>
        <v>-2.0956095909262777</v>
      </c>
      <c r="K76">
        <f t="shared" si="81"/>
        <v>1.9477261302854125</v>
      </c>
      <c r="L76">
        <f t="shared" si="82"/>
        <v>-2.3843395083959082</v>
      </c>
      <c r="M76">
        <f t="shared" si="83"/>
        <v>2.8369995795433702</v>
      </c>
      <c r="N76">
        <f t="shared" si="84"/>
        <v>-1.56820377040675</v>
      </c>
      <c r="O76">
        <f t="shared" si="85"/>
        <v>0.75377778694849673</v>
      </c>
      <c r="P76">
        <f t="shared" si="86"/>
        <v>-1.6502798366921252</v>
      </c>
      <c r="Q76">
        <f t="shared" si="87"/>
        <v>0.90303176802361218</v>
      </c>
      <c r="R76" s="24">
        <f t="shared" si="88"/>
        <v>-1.7000329651781108</v>
      </c>
      <c r="S76">
        <f t="shared" si="89"/>
        <v>1.0000659314429245</v>
      </c>
      <c r="T76">
        <f t="shared" si="90"/>
        <v>-0.14914707813890357</v>
      </c>
      <c r="U76">
        <f t="shared" si="91"/>
        <v>0.30343894152290712</v>
      </c>
      <c r="V76">
        <f t="shared" si="92"/>
        <v>-2.3843395151272015</v>
      </c>
      <c r="W76">
        <f t="shared" si="93"/>
        <v>2.8369996022189365</v>
      </c>
      <c r="X76">
        <f t="shared" si="94"/>
        <v>-1.5478907500015633</v>
      </c>
      <c r="Y76">
        <f t="shared" si="95"/>
        <v>0.71891872393821354</v>
      </c>
      <c r="Z76" s="33">
        <f t="shared" si="96"/>
        <v>-1.9190280160093458</v>
      </c>
      <c r="AA76">
        <f t="shared" si="97"/>
        <v>1.486029303815682</v>
      </c>
    </row>
    <row r="77" spans="1:27" ht="15" thickBot="1" x14ac:dyDescent="0.4">
      <c r="A77" t="str">
        <f>Table1!A70</f>
        <v>McCallum 2013</v>
      </c>
      <c r="B77">
        <f>Table1!C70</f>
        <v>2</v>
      </c>
      <c r="C77">
        <f>Table1!E70</f>
        <v>-0.7</v>
      </c>
      <c r="D77">
        <v>0.5</v>
      </c>
      <c r="E77" s="69">
        <v>2013</v>
      </c>
      <c r="F77" s="5">
        <f>Table1!M70</f>
        <v>-0.94647036347209279</v>
      </c>
      <c r="G77" s="5">
        <f t="shared" si="98"/>
        <v>-2.1225137692030955</v>
      </c>
      <c r="H77" s="5">
        <f t="shared" si="99"/>
        <v>1.3830780921633758</v>
      </c>
      <c r="J77">
        <f t="shared" si="80"/>
        <v>-1.2336064093578076</v>
      </c>
      <c r="K77">
        <f t="shared" si="81"/>
        <v>0.1423679000538661</v>
      </c>
      <c r="L77">
        <f t="shared" si="82"/>
        <v>-1.5895596722639387</v>
      </c>
      <c r="M77">
        <f t="shared" si="83"/>
        <v>0.39565820525916306</v>
      </c>
      <c r="N77">
        <f t="shared" si="84"/>
        <v>-0.69697945351411106</v>
      </c>
      <c r="O77">
        <f t="shared" si="85"/>
        <v>4.5618505367078837E-6</v>
      </c>
      <c r="P77">
        <f t="shared" si="86"/>
        <v>-0.7342894114878088</v>
      </c>
      <c r="Q77">
        <f t="shared" si="87"/>
        <v>5.8788187009013845E-4</v>
      </c>
      <c r="R77" s="24">
        <f t="shared" si="88"/>
        <v>-0.75843201542945893</v>
      </c>
      <c r="S77">
        <f t="shared" si="89"/>
        <v>1.7071502135742656E-3</v>
      </c>
      <c r="T77">
        <f t="shared" si="90"/>
        <v>-4.9928333326757314E-2</v>
      </c>
      <c r="U77">
        <f t="shared" si="91"/>
        <v>0.21129658590566378</v>
      </c>
      <c r="V77">
        <f t="shared" si="92"/>
        <v>-1.5895596767514677</v>
      </c>
      <c r="W77">
        <f t="shared" si="93"/>
        <v>0.39565820925108791</v>
      </c>
      <c r="X77">
        <f t="shared" si="94"/>
        <v>-0.90695189895616823</v>
      </c>
      <c r="Y77">
        <f t="shared" si="95"/>
        <v>2.1414544240782044E-2</v>
      </c>
      <c r="Z77" s="33">
        <f t="shared" si="96"/>
        <v>-1.0976974904347001</v>
      </c>
      <c r="AA77">
        <f t="shared" si="97"/>
        <v>7.9081646949029208E-2</v>
      </c>
    </row>
    <row r="78" spans="1:27" x14ac:dyDescent="0.35">
      <c r="A78">
        <f>Table1!A71</f>
        <v>0</v>
      </c>
      <c r="B78">
        <f>Table1!C71</f>
        <v>4</v>
      </c>
      <c r="C78">
        <f>Table1!E71</f>
        <v>-1.8</v>
      </c>
      <c r="D78">
        <v>0.5</v>
      </c>
      <c r="E78" s="69">
        <v>2013</v>
      </c>
      <c r="F78" s="5">
        <f>Table1!M71</f>
        <v>-0.9082664936430167</v>
      </c>
      <c r="G78" s="5">
        <f t="shared" si="98"/>
        <v>-2.1225137692030955</v>
      </c>
      <c r="H78" s="5">
        <f t="shared" si="99"/>
        <v>1.474396446205074</v>
      </c>
      <c r="J78">
        <f t="shared" si="80"/>
        <v>-3.1210794237544586</v>
      </c>
      <c r="K78">
        <f t="shared" si="81"/>
        <v>0.87262542193370607</v>
      </c>
      <c r="L78">
        <f t="shared" si="82"/>
        <v>-3.1791193445278774</v>
      </c>
      <c r="M78">
        <f t="shared" si="83"/>
        <v>0.95098508322550102</v>
      </c>
      <c r="N78">
        <f t="shared" si="84"/>
        <v>-2.7879178140564442</v>
      </c>
      <c r="O78">
        <f t="shared" si="85"/>
        <v>0.4879908036650315</v>
      </c>
      <c r="P78">
        <f t="shared" si="86"/>
        <v>-2.9215168375914584</v>
      </c>
      <c r="Q78">
        <f t="shared" si="87"/>
        <v>0.62890000850057282</v>
      </c>
      <c r="R78" s="24">
        <f t="shared" si="88"/>
        <v>-2.9914613488518866</v>
      </c>
      <c r="S78">
        <f t="shared" si="89"/>
        <v>0.70979007290397855</v>
      </c>
      <c r="T78">
        <f t="shared" si="90"/>
        <v>-0.41885158920427584</v>
      </c>
      <c r="U78">
        <f t="shared" si="91"/>
        <v>0.95378546632177719</v>
      </c>
      <c r="V78">
        <f t="shared" si="92"/>
        <v>-3.1791193535029354</v>
      </c>
      <c r="W78">
        <f t="shared" si="93"/>
        <v>0.95098509560317723</v>
      </c>
      <c r="X78">
        <f t="shared" si="94"/>
        <v>-2.4488116094800945</v>
      </c>
      <c r="Y78">
        <f t="shared" si="95"/>
        <v>0.21047825229807526</v>
      </c>
      <c r="Z78" s="33">
        <f t="shared" si="96"/>
        <v>-2.9413781559962957</v>
      </c>
      <c r="AA78">
        <f t="shared" si="97"/>
        <v>0.65137204749275213</v>
      </c>
    </row>
    <row r="79" spans="1:27" x14ac:dyDescent="0.35">
      <c r="R79" s="24"/>
      <c r="Z79" s="33"/>
    </row>
    <row r="80" spans="1:27" ht="15" thickBot="1" x14ac:dyDescent="0.4">
      <c r="E80" s="2"/>
      <c r="F80" s="5"/>
      <c r="G80" s="5"/>
      <c r="H80" s="5"/>
      <c r="R80" s="24"/>
      <c r="Z80" s="33"/>
    </row>
    <row r="81" spans="2:18" x14ac:dyDescent="0.35">
      <c r="B81">
        <v>-14</v>
      </c>
      <c r="C81">
        <f>SUMIF(F$10:F$78,"&lt;"&amp;B81,D$10:D$78)</f>
        <v>0</v>
      </c>
      <c r="D81">
        <f>C81</f>
        <v>0</v>
      </c>
      <c r="E81">
        <f>D81/C$92</f>
        <v>0</v>
      </c>
    </row>
    <row r="82" spans="2:18" ht="15" thickBot="1" x14ac:dyDescent="0.4">
      <c r="B82">
        <f>2+B81</f>
        <v>-12</v>
      </c>
      <c r="C82">
        <f t="shared" ref="C82:C92" si="100">SUMIF(F$10:F$78,"&lt;"&amp;B82,D$10:D$78)</f>
        <v>1</v>
      </c>
      <c r="D82">
        <f>C82-C81</f>
        <v>1</v>
      </c>
      <c r="E82">
        <f t="shared" ref="E82:E92" si="101">D82/C$92</f>
        <v>2.5641025641025626E-2</v>
      </c>
      <c r="F82" t="s">
        <v>1046</v>
      </c>
    </row>
    <row r="83" spans="2:18" x14ac:dyDescent="0.35">
      <c r="B83">
        <f t="shared" ref="B83:B92" si="102">2+B82</f>
        <v>-10</v>
      </c>
      <c r="C83">
        <f t="shared" si="100"/>
        <v>1</v>
      </c>
      <c r="D83">
        <f t="shared" ref="D83:D92" si="103">C83-C82</f>
        <v>0</v>
      </c>
      <c r="E83">
        <f t="shared" si="101"/>
        <v>0</v>
      </c>
      <c r="F83" t="s">
        <v>1039</v>
      </c>
      <c r="J83" s="4"/>
      <c r="K83" s="4"/>
    </row>
    <row r="84" spans="2:18" x14ac:dyDescent="0.35">
      <c r="B84">
        <f t="shared" si="102"/>
        <v>-8</v>
      </c>
      <c r="C84">
        <f t="shared" si="100"/>
        <v>1</v>
      </c>
      <c r="D84">
        <f t="shared" si="103"/>
        <v>0</v>
      </c>
      <c r="E84">
        <f t="shared" si="101"/>
        <v>0</v>
      </c>
      <c r="F84" t="s">
        <v>1040</v>
      </c>
    </row>
    <row r="85" spans="2:18" x14ac:dyDescent="0.35">
      <c r="B85">
        <f t="shared" si="102"/>
        <v>-6</v>
      </c>
      <c r="C85">
        <f t="shared" si="100"/>
        <v>3.25</v>
      </c>
      <c r="D85">
        <f t="shared" si="103"/>
        <v>2.25</v>
      </c>
      <c r="E85">
        <f t="shared" si="101"/>
        <v>5.7692307692307661E-2</v>
      </c>
      <c r="F85" t="s">
        <v>1041</v>
      </c>
    </row>
    <row r="86" spans="2:18" x14ac:dyDescent="0.35">
      <c r="B86">
        <f t="shared" si="102"/>
        <v>-4</v>
      </c>
      <c r="C86">
        <f t="shared" si="100"/>
        <v>6</v>
      </c>
      <c r="D86">
        <f t="shared" si="103"/>
        <v>2.75</v>
      </c>
      <c r="E86">
        <f t="shared" si="101"/>
        <v>7.051282051282047E-2</v>
      </c>
      <c r="F86" t="s">
        <v>1042</v>
      </c>
    </row>
    <row r="87" spans="2:18" x14ac:dyDescent="0.35">
      <c r="B87">
        <f t="shared" si="102"/>
        <v>-2</v>
      </c>
      <c r="C87">
        <f t="shared" si="100"/>
        <v>11.166666666666668</v>
      </c>
      <c r="D87">
        <f t="shared" si="103"/>
        <v>5.1666666666666679</v>
      </c>
      <c r="E87">
        <f t="shared" si="101"/>
        <v>0.13247863247863242</v>
      </c>
      <c r="F87" t="s">
        <v>1043</v>
      </c>
    </row>
    <row r="88" spans="2:18" ht="15" thickBot="1" x14ac:dyDescent="0.4">
      <c r="B88">
        <f t="shared" si="102"/>
        <v>0</v>
      </c>
      <c r="C88">
        <f t="shared" si="100"/>
        <v>34.444444444444436</v>
      </c>
      <c r="D88">
        <f t="shared" si="103"/>
        <v>23.277777777777768</v>
      </c>
      <c r="E88">
        <f t="shared" si="101"/>
        <v>0.59686609686609626</v>
      </c>
      <c r="F88" t="s">
        <v>1044</v>
      </c>
      <c r="J88" s="2"/>
      <c r="K88" s="2"/>
    </row>
    <row r="89" spans="2:18" x14ac:dyDescent="0.35">
      <c r="B89">
        <f t="shared" si="102"/>
        <v>2</v>
      </c>
      <c r="C89">
        <f t="shared" si="100"/>
        <v>35.888888888888879</v>
      </c>
      <c r="D89">
        <f t="shared" si="103"/>
        <v>1.4444444444444429</v>
      </c>
      <c r="E89">
        <f t="shared" si="101"/>
        <v>3.7037037037036979E-2</v>
      </c>
      <c r="F89" t="s">
        <v>1044</v>
      </c>
    </row>
    <row r="90" spans="2:18" ht="15" thickBot="1" x14ac:dyDescent="0.4">
      <c r="B90">
        <f t="shared" si="102"/>
        <v>4</v>
      </c>
      <c r="C90">
        <f t="shared" si="100"/>
        <v>37.999999999999986</v>
      </c>
      <c r="D90">
        <f t="shared" si="103"/>
        <v>2.1111111111111072</v>
      </c>
      <c r="E90">
        <f t="shared" si="101"/>
        <v>5.4131054131053999E-2</v>
      </c>
      <c r="F90" t="s">
        <v>1043</v>
      </c>
    </row>
    <row r="91" spans="2:18" x14ac:dyDescent="0.35">
      <c r="B91">
        <f t="shared" si="102"/>
        <v>6</v>
      </c>
      <c r="C91">
        <f t="shared" si="100"/>
        <v>37.999999999999986</v>
      </c>
      <c r="D91">
        <f t="shared" si="103"/>
        <v>0</v>
      </c>
      <c r="E91">
        <f t="shared" si="101"/>
        <v>0</v>
      </c>
      <c r="F91" t="s">
        <v>1042</v>
      </c>
      <c r="J91" s="3"/>
      <c r="K91" s="3"/>
      <c r="L91" s="3"/>
      <c r="M91" s="3"/>
      <c r="N91" s="3"/>
      <c r="O91" s="3"/>
    </row>
    <row r="92" spans="2:18" x14ac:dyDescent="0.35">
      <c r="B92">
        <f t="shared" si="102"/>
        <v>8</v>
      </c>
      <c r="C92">
        <f t="shared" si="100"/>
        <v>39.000000000000021</v>
      </c>
      <c r="D92">
        <f t="shared" si="103"/>
        <v>1.0000000000000355</v>
      </c>
      <c r="E92">
        <f t="shared" si="101"/>
        <v>2.5641025641026539E-2</v>
      </c>
      <c r="F92" t="s">
        <v>1045</v>
      </c>
    </row>
    <row r="94" spans="2:18" ht="15" thickBot="1" x14ac:dyDescent="0.4">
      <c r="J94" s="2"/>
      <c r="K94" s="2"/>
      <c r="L94" s="2"/>
      <c r="M94" s="2"/>
      <c r="N94" s="2"/>
      <c r="O94" s="2"/>
    </row>
    <row r="95" spans="2:18" ht="15" thickBot="1" x14ac:dyDescent="0.4"/>
    <row r="96" spans="2:18" ht="15" thickBot="1" x14ac:dyDescent="0.4">
      <c r="J96" s="3"/>
      <c r="K96" s="3"/>
      <c r="L96" s="3"/>
      <c r="M96" s="3"/>
      <c r="N96" s="3"/>
      <c r="O96" s="3"/>
      <c r="P96" s="3"/>
      <c r="Q96" s="3"/>
      <c r="R96" s="3"/>
    </row>
    <row r="97" spans="5:18" x14ac:dyDescent="0.35">
      <c r="E97" s="3"/>
      <c r="F97" s="14"/>
      <c r="G97" s="14"/>
      <c r="H97" s="14"/>
    </row>
    <row r="98" spans="5:18" ht="15" thickBot="1" x14ac:dyDescent="0.4">
      <c r="J98" s="2"/>
      <c r="K98" s="2"/>
      <c r="L98" s="2"/>
      <c r="M98" s="2"/>
      <c r="N98" s="2"/>
      <c r="O98" s="2"/>
      <c r="P98" s="2"/>
      <c r="Q98" s="2"/>
      <c r="R98" s="2"/>
    </row>
    <row r="99" spans="5:18" ht="15" thickBot="1" x14ac:dyDescent="0.4">
      <c r="E99" s="2"/>
    </row>
    <row r="104" spans="5:18" ht="15" thickBot="1" x14ac:dyDescent="0.4">
      <c r="J104" s="2"/>
      <c r="K104" s="2"/>
    </row>
    <row r="106" spans="5:18" ht="15" thickBot="1" x14ac:dyDescent="0.4"/>
    <row r="107" spans="5:18" x14ac:dyDescent="0.35">
      <c r="J107" s="3"/>
      <c r="K107" s="3"/>
      <c r="L107" s="3"/>
      <c r="M107" s="3"/>
      <c r="N107" s="3"/>
      <c r="O107" s="3"/>
    </row>
    <row r="110" spans="5:18" ht="15" thickBot="1" x14ac:dyDescent="0.4">
      <c r="J110" s="2"/>
      <c r="K110" s="2"/>
      <c r="L110" s="2"/>
      <c r="M110" s="2"/>
      <c r="N110" s="2"/>
      <c r="O110" s="2"/>
    </row>
    <row r="111" spans="5:18" ht="15" thickBot="1" x14ac:dyDescent="0.4"/>
    <row r="112" spans="5:18" x14ac:dyDescent="0.35">
      <c r="E112" s="3"/>
      <c r="F112" s="14"/>
      <c r="G112" s="14"/>
      <c r="H112" s="14"/>
      <c r="J112" s="3"/>
      <c r="K112" s="3"/>
      <c r="L112" s="3"/>
      <c r="M112" s="3"/>
      <c r="N112" s="3"/>
      <c r="O112" s="3"/>
      <c r="P112" s="3"/>
      <c r="Q112" s="3"/>
      <c r="R112" s="3"/>
    </row>
    <row r="115" spans="5:18" ht="15" thickBot="1" x14ac:dyDescent="0.4">
      <c r="E115" s="2"/>
      <c r="J115" s="2"/>
      <c r="K115" s="2"/>
      <c r="L115" s="2"/>
      <c r="M115" s="2"/>
      <c r="N115" s="2"/>
      <c r="O115" s="2"/>
      <c r="P115" s="2"/>
      <c r="Q115" s="2"/>
      <c r="R115" s="2"/>
    </row>
    <row r="131" spans="5:8" ht="15" thickBot="1" x14ac:dyDescent="0.4"/>
    <row r="132" spans="5:8" x14ac:dyDescent="0.35">
      <c r="E132" s="3"/>
      <c r="F132" s="14"/>
      <c r="G132" s="14"/>
      <c r="H132" s="14"/>
    </row>
    <row r="134" spans="5:8" ht="15" thickBot="1" x14ac:dyDescent="0.4">
      <c r="E134" s="2"/>
    </row>
    <row r="150" spans="5:8" ht="15" thickBot="1" x14ac:dyDescent="0.4"/>
    <row r="151" spans="5:8" x14ac:dyDescent="0.35">
      <c r="E151" s="3"/>
      <c r="F151" s="14"/>
      <c r="G151" s="14"/>
      <c r="H151" s="14"/>
    </row>
    <row r="153" spans="5:8" ht="15" thickBot="1" x14ac:dyDescent="0.4">
      <c r="E153" s="2"/>
    </row>
    <row r="1048550" spans="16384:16384" x14ac:dyDescent="0.35">
      <c r="XFD1048550">
        <f>solver_pre</f>
        <v>9.9999999999999995E-7</v>
      </c>
    </row>
    <row r="1048551" spans="16384:16384" x14ac:dyDescent="0.35">
      <c r="XFD1048551">
        <f>solver_scl</f>
        <v>1</v>
      </c>
    </row>
    <row r="1048552" spans="16384:16384" x14ac:dyDescent="0.35">
      <c r="XFD1048552">
        <f>solver_rlx</f>
        <v>2</v>
      </c>
    </row>
    <row r="1048553" spans="16384:16384" x14ac:dyDescent="0.35">
      <c r="XFD1048553">
        <f>solver_tol</f>
        <v>0.01</v>
      </c>
    </row>
    <row r="1048554" spans="16384:16384" x14ac:dyDescent="0.35">
      <c r="XFD1048554">
        <f>solver_cvg</f>
        <v>1E-4</v>
      </c>
    </row>
    <row r="1048555" spans="16384:16384" x14ac:dyDescent="0.35">
      <c r="XFD1048555" t="e" cm="1">
        <f t="array" ref="XFD1048555">AREAS(solver_adj1)</f>
        <v>#NAME?</v>
      </c>
    </row>
    <row r="1048556" spans="16384:16384" x14ac:dyDescent="0.35">
      <c r="XFD1048556">
        <f>solver_ssz</f>
        <v>100</v>
      </c>
    </row>
    <row r="1048557" spans="16384:16384" x14ac:dyDescent="0.35">
      <c r="XFD1048557">
        <f>solver_rsd</f>
        <v>0</v>
      </c>
    </row>
    <row r="1048558" spans="16384:16384" x14ac:dyDescent="0.35">
      <c r="XFD1048558">
        <f>solver_mrt</f>
        <v>7.4999999999999997E-2</v>
      </c>
    </row>
    <row r="1048559" spans="16384:16384" x14ac:dyDescent="0.35">
      <c r="XFD1048559">
        <f>solver_mni</f>
        <v>30</v>
      </c>
    </row>
    <row r="1048560" spans="16384:16384" x14ac:dyDescent="0.35">
      <c r="XFD1048560">
        <f>solver_rbv</f>
        <v>1</v>
      </c>
    </row>
    <row r="1048561" spans="16384:16384" x14ac:dyDescent="0.35">
      <c r="XFD1048561">
        <f>solver_neg</f>
        <v>2</v>
      </c>
    </row>
    <row r="1048562" spans="16384:16384" x14ac:dyDescent="0.35">
      <c r="XFD1048562" t="e" cm="1">
        <f t="array" ref="XFD1048562">solver_ntr</f>
        <v>#NAME?</v>
      </c>
    </row>
    <row r="1048563" spans="16384:16384" x14ac:dyDescent="0.35">
      <c r="XFD1048563" t="e" cm="1">
        <f t="array" ref="XFD1048563">solver_acc</f>
        <v>#NAME?</v>
      </c>
    </row>
    <row r="1048564" spans="16384:16384" x14ac:dyDescent="0.35">
      <c r="XFD1048564" t="e" cm="1">
        <f t="array" ref="XFD1048564">solver_res</f>
        <v>#NAME?</v>
      </c>
    </row>
    <row r="1048565" spans="16384:16384" x14ac:dyDescent="0.35">
      <c r="XFD1048565" t="e" cm="1">
        <f t="array" ref="XFD1048565">solver_ars</f>
        <v>#NAME?</v>
      </c>
    </row>
    <row r="1048566" spans="16384:16384" x14ac:dyDescent="0.35">
      <c r="XFD1048566" t="e" cm="1">
        <f t="array" ref="XFD1048566">solver_sta</f>
        <v>#NAME?</v>
      </c>
    </row>
    <row r="1048567" spans="16384:16384" x14ac:dyDescent="0.35">
      <c r="XFD1048567" t="e" cm="1">
        <f t="array" ref="XFD1048567">solver_met</f>
        <v>#NAME?</v>
      </c>
    </row>
    <row r="1048568" spans="16384:16384" x14ac:dyDescent="0.35">
      <c r="XFD1048568" t="e" cm="1">
        <f t="array" ref="XFD1048568">solver_soc</f>
        <v>#NAME?</v>
      </c>
    </row>
    <row r="1048569" spans="16384:16384" x14ac:dyDescent="0.35">
      <c r="XFD1048569" t="e" cm="1">
        <f t="array" ref="XFD1048569">solver_lpt</f>
        <v>#NAME?</v>
      </c>
    </row>
    <row r="1048570" spans="16384:16384" x14ac:dyDescent="0.35">
      <c r="XFD1048570" t="e" cm="1">
        <f t="array" ref="XFD1048570">solver_lpp</f>
        <v>#NAME?</v>
      </c>
    </row>
    <row r="1048571" spans="16384:16384" x14ac:dyDescent="0.35">
      <c r="XFD1048571" t="e" cm="1">
        <f t="array" ref="XFD1048571">solver_gap</f>
        <v>#NAME?</v>
      </c>
    </row>
    <row r="1048572" spans="16384:16384" x14ac:dyDescent="0.35">
      <c r="XFD1048572" t="e" cm="1">
        <f t="array" ref="XFD1048572">solver_ips</f>
        <v>#NAME?</v>
      </c>
    </row>
    <row r="1048573" spans="16384:16384" x14ac:dyDescent="0.35">
      <c r="XFD1048573" t="e" cm="1">
        <f t="array" ref="XFD1048573">solver_fea</f>
        <v>#NAME?</v>
      </c>
    </row>
    <row r="1048574" spans="16384:16384" x14ac:dyDescent="0.35">
      <c r="XFD1048574" t="e" cm="1">
        <f t="array" ref="XFD1048574">solver_ipi</f>
        <v>#NAME?</v>
      </c>
    </row>
    <row r="1048575" spans="16384:16384" x14ac:dyDescent="0.35">
      <c r="XFD1048575" t="e" cm="1">
        <f t="array" ref="XFD1048575">solver_ipd</f>
        <v>#NAME?</v>
      </c>
    </row>
  </sheetData>
  <hyperlinks>
    <hyperlink ref="AN30" r:id="rId1" xr:uid="{2AD3E1C2-EB0E-43CD-B23E-8C57B1226A44}"/>
    <hyperlink ref="AN27" r:id="rId2" xr:uid="{3A01982A-B480-4E44-98CF-62ADA5425A87}"/>
    <hyperlink ref="AN29" r:id="rId3" xr:uid="{665A5580-4A06-49B9-A863-74C65B144F8F}"/>
    <hyperlink ref="AN34" r:id="rId4" xr:uid="{AC0CA16E-AAE8-4CEE-8DF6-82F59E1A1658}"/>
    <hyperlink ref="AN31" r:id="rId5" xr:uid="{95077DAA-A9D9-420A-ACD2-4AC2E471D33C}"/>
    <hyperlink ref="AN32" r:id="rId6" xr:uid="{439F284F-975E-4E7C-BCC9-1B9ED058C3ED}"/>
    <hyperlink ref="AN33" r:id="rId7" xr:uid="{08B38727-5878-4F1D-B086-C31D2598003D}"/>
    <hyperlink ref="AN28" r:id="rId8" xr:uid="{A3B1DB53-95D1-41F8-956C-5855FBCBC12C}"/>
    <hyperlink ref="AN26" r:id="rId9" xr:uid="{3ABCADD0-6A2C-4DFD-8CEE-5DF562ACFC6D}"/>
  </hyperlinks>
  <pageMargins left="0.7" right="0.7" top="0.75" bottom="0.75" header="0.3" footer="0.3"/>
  <pageSetup paperSize="9" orientation="portrait" r:id="rId10"/>
  <extLst>
    <ext xmlns:x15="http://schemas.microsoft.com/office/spreadsheetml/2010/11/main" uri="{F7C9EE02-42E1-4005-9D12-6889AFFD525C}">
      <x15:webExtensions xmlns:xm="http://schemas.microsoft.com/office/excel/2006/main">
        <x15:webExtension appRef="{33022CAD-1AB7-49B8-83FA-929AD171C3BB}">
          <xm:f>regressions!$G$1:$G$2</xm:f>
        </x15:webExtension>
      </x15:webExtens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3DD56-EC0C-47D7-8AED-35F65B06D1A2}">
  <dimension ref="A1:XFD1048575"/>
  <sheetViews>
    <sheetView topLeftCell="AD1" zoomScaleNormal="100" workbookViewId="0"/>
  </sheetViews>
  <sheetFormatPr defaultRowHeight="14.5" x14ac:dyDescent="0.35"/>
  <cols>
    <col min="1" max="1" width="33" customWidth="1"/>
    <col min="5" max="5" width="12" bestFit="1" customWidth="1"/>
    <col min="6" max="8" width="12" customWidth="1"/>
    <col min="9" max="9" width="11.81640625" customWidth="1"/>
    <col min="22" max="22" width="12" bestFit="1" customWidth="1"/>
    <col min="29" max="29" width="19.81640625" customWidth="1"/>
    <col min="30" max="30" width="10.54296875" customWidth="1"/>
  </cols>
  <sheetData>
    <row r="1" spans="1:64" ht="16" thickBot="1" x14ac:dyDescent="0.4">
      <c r="A1">
        <v>4.3</v>
      </c>
      <c r="J1">
        <v>-0.55523668863153353</v>
      </c>
      <c r="L1">
        <v>-1.0003485838209094</v>
      </c>
      <c r="N1" s="2">
        <v>-0.22057728326096321</v>
      </c>
      <c r="P1">
        <v>-0.25382536848245651</v>
      </c>
      <c r="R1">
        <v>-0.28166622729448171</v>
      </c>
      <c r="T1">
        <v>-8.781088635042008E-3</v>
      </c>
      <c r="V1" s="2">
        <v>-1.0003485914311587</v>
      </c>
      <c r="X1">
        <v>-0.43587635586726819</v>
      </c>
      <c r="AC1" s="23" t="s">
        <v>560</v>
      </c>
      <c r="AD1" s="23" t="s">
        <v>561</v>
      </c>
      <c r="AG1" t="s">
        <v>722</v>
      </c>
      <c r="AH1" t="s">
        <v>33</v>
      </c>
      <c r="AI1" t="s">
        <v>13</v>
      </c>
      <c r="AJ1" t="s">
        <v>23</v>
      </c>
      <c r="AK1" t="s">
        <v>15</v>
      </c>
      <c r="AL1" t="s">
        <v>16</v>
      </c>
      <c r="AM1" t="s">
        <v>25</v>
      </c>
      <c r="AN1" t="s">
        <v>24</v>
      </c>
      <c r="AO1">
        <v>1.3263846812995779</v>
      </c>
      <c r="AP1">
        <f>SUM(AP4:AP24)</f>
        <v>175.61071256807008</v>
      </c>
      <c r="AR1">
        <v>0.78648062125587459</v>
      </c>
      <c r="AS1">
        <f>SUM(AS4:AS24)</f>
        <v>251.64480849554383</v>
      </c>
    </row>
    <row r="2" spans="1:64" ht="16" thickBot="1" x14ac:dyDescent="0.4">
      <c r="G2" s="2"/>
      <c r="J2" s="2">
        <v>-0.10561538679750519</v>
      </c>
      <c r="L2">
        <v>12.836513107050566</v>
      </c>
      <c r="P2" s="2">
        <v>4.8077963117093907E-6</v>
      </c>
      <c r="R2" s="70">
        <v>4.7345385900097713E-5</v>
      </c>
      <c r="T2">
        <f>-T1</f>
        <v>8.781088635042008E-3</v>
      </c>
      <c r="AC2" s="23" t="s">
        <v>556</v>
      </c>
      <c r="AD2" s="35">
        <f>M5</f>
        <v>0.1126093839088998</v>
      </c>
      <c r="AE2" s="24">
        <f t="shared" ref="AE2:AE5" si="0">AD2</f>
        <v>0.1126093839088998</v>
      </c>
      <c r="AG2">
        <f>SUM(AG4:AG24)</f>
        <v>14</v>
      </c>
    </row>
    <row r="3" spans="1:64" ht="15.5" x14ac:dyDescent="0.35">
      <c r="L3">
        <v>-17.827404168275013</v>
      </c>
      <c r="AC3" s="23" t="s">
        <v>557</v>
      </c>
      <c r="AD3" s="35">
        <f>K5</f>
        <v>0.18356924537526911</v>
      </c>
      <c r="AE3" s="24">
        <f t="shared" si="0"/>
        <v>0.18356924537526911</v>
      </c>
      <c r="AT3" s="4"/>
      <c r="AU3" s="4"/>
      <c r="BD3" s="4"/>
      <c r="BE3" s="4"/>
    </row>
    <row r="4" spans="1:64" ht="15.5" x14ac:dyDescent="0.35">
      <c r="AC4" s="23" t="s">
        <v>555</v>
      </c>
      <c r="AD4" s="35">
        <f>W5</f>
        <v>0.11889441917325808</v>
      </c>
      <c r="AE4" s="24">
        <f t="shared" si="0"/>
        <v>0.11889441917325808</v>
      </c>
      <c r="AG4">
        <v>1</v>
      </c>
      <c r="AH4">
        <f>Table1!C4</f>
        <v>2.5</v>
      </c>
      <c r="AI4">
        <f>Table1!E4</f>
        <v>-3</v>
      </c>
      <c r="AJ4">
        <f>Table1!G4</f>
        <v>0</v>
      </c>
      <c r="AK4">
        <f>Table1!I4</f>
        <v>-12</v>
      </c>
      <c r="AL4">
        <f>Table1!K4</f>
        <v>5</v>
      </c>
      <c r="AM4">
        <f>(AI4-AK4)/2</f>
        <v>4.5</v>
      </c>
      <c r="AN4">
        <f>(AL4-AI4)/2</f>
        <v>4</v>
      </c>
      <c r="AO4">
        <f t="shared" ref="AO4:AO24" si="1">AO$1*AH4</f>
        <v>3.3159617032489446</v>
      </c>
      <c r="AP4">
        <f>AG4*(AO4-AM4)^2</f>
        <v>1.4019466881731404</v>
      </c>
      <c r="AR4">
        <f t="shared" ref="AR4:AR24" si="2">AR$1*AH4</f>
        <v>1.9662015531396864</v>
      </c>
      <c r="AS4">
        <f t="shared" ref="AS4:AS24" si="3">AG4*(AR4-AN4)^2</f>
        <v>4.1363361224514241</v>
      </c>
    </row>
    <row r="5" spans="1:64" ht="15.5" x14ac:dyDescent="0.35">
      <c r="I5" t="s">
        <v>721</v>
      </c>
      <c r="K5">
        <f>EXP(K8)/$H8</f>
        <v>0.18356924537526911</v>
      </c>
      <c r="M5">
        <f>EXP(M8)/$H8</f>
        <v>0.1126093839088998</v>
      </c>
      <c r="O5">
        <f>EXP(O8)/$H8</f>
        <v>0.10131151368891428</v>
      </c>
      <c r="Q5">
        <f>EXP(Q8)/$H8</f>
        <v>0.21125062646662732</v>
      </c>
      <c r="S5">
        <f>EXP(S8)/$H8</f>
        <v>0.2295117115762868</v>
      </c>
      <c r="U5">
        <f>EXP(U8)/$H8</f>
        <v>6.0018144861791955E-5</v>
      </c>
      <c r="W5">
        <f>EXP(W8)/$H8</f>
        <v>0.11889441917325808</v>
      </c>
      <c r="Y5">
        <f>EXP(Y8)/$H8</f>
        <v>4.2793081665882762E-2</v>
      </c>
      <c r="AC5" s="23" t="s">
        <v>559</v>
      </c>
      <c r="AD5" s="35">
        <f>U5</f>
        <v>6.0018144861791955E-5</v>
      </c>
      <c r="AE5" s="24">
        <f t="shared" si="0"/>
        <v>6.0018144861791955E-5</v>
      </c>
      <c r="AG5">
        <v>1</v>
      </c>
      <c r="AH5">
        <f>Table1!C7</f>
        <v>3</v>
      </c>
      <c r="AI5">
        <f>Table1!E7</f>
        <v>-3.6</v>
      </c>
      <c r="AJ5">
        <f>Table1!G7</f>
        <v>0</v>
      </c>
      <c r="AK5">
        <f>Table1!I7</f>
        <v>-21</v>
      </c>
      <c r="AL5">
        <f>Table1!K7</f>
        <v>0</v>
      </c>
      <c r="AM5">
        <f>(AI5-AK5)/2</f>
        <v>8.6999999999999993</v>
      </c>
      <c r="AN5">
        <f>(AL5-AI5)/2</f>
        <v>1.8</v>
      </c>
      <c r="AO5">
        <f t="shared" si="1"/>
        <v>3.9791540438987338</v>
      </c>
      <c r="AP5">
        <f t="shared" ref="AP5:AP24" si="4">AG5*(AO5-AM5)^2</f>
        <v>22.286386541237672</v>
      </c>
      <c r="AR5">
        <f t="shared" si="2"/>
        <v>2.359441863767624</v>
      </c>
      <c r="AS5">
        <f t="shared" si="3"/>
        <v>0.31297519893579273</v>
      </c>
    </row>
    <row r="6" spans="1:64" ht="15.5" x14ac:dyDescent="0.35">
      <c r="I6" t="s">
        <v>720</v>
      </c>
      <c r="K6">
        <v>2</v>
      </c>
      <c r="M6">
        <v>3</v>
      </c>
      <c r="O6">
        <v>1</v>
      </c>
      <c r="Q6">
        <v>2</v>
      </c>
      <c r="S6">
        <v>2</v>
      </c>
      <c r="U6">
        <v>1</v>
      </c>
      <c r="W6">
        <v>1</v>
      </c>
      <c r="Y6">
        <v>1</v>
      </c>
      <c r="AA6">
        <f>SUM(K6:Y6)</f>
        <v>13</v>
      </c>
      <c r="AC6" s="23" t="s">
        <v>543</v>
      </c>
      <c r="AD6" s="35">
        <f>S5</f>
        <v>0.2295117115762868</v>
      </c>
      <c r="AE6" s="24">
        <f>AD6</f>
        <v>0.2295117115762868</v>
      </c>
      <c r="AG6">
        <v>1</v>
      </c>
      <c r="AH6">
        <f>Table1!C13</f>
        <v>2.5</v>
      </c>
      <c r="AI6">
        <f>Table1!E13</f>
        <v>-2.8909238132996098</v>
      </c>
      <c r="AJ6">
        <f>Table1!G13</f>
        <v>0</v>
      </c>
      <c r="AK6">
        <f>Table1!I13</f>
        <v>-13.071417387190749</v>
      </c>
      <c r="AL6">
        <f>Table1!K13</f>
        <v>-0.50357654687015618</v>
      </c>
      <c r="AM6">
        <f>(AI6-AK6)/2</f>
        <v>5.0902467869455696</v>
      </c>
      <c r="AN6">
        <f>(AL6-AI6)/2</f>
        <v>1.1936736332147269</v>
      </c>
      <c r="AO6">
        <f t="shared" si="1"/>
        <v>3.3159617032489446</v>
      </c>
      <c r="AP6">
        <f t="shared" si="4"/>
        <v>3.1480875582283399</v>
      </c>
      <c r="AR6">
        <f t="shared" si="2"/>
        <v>1.9662015531396864</v>
      </c>
      <c r="AS6">
        <f t="shared" si="3"/>
        <v>0.5967993870635846</v>
      </c>
    </row>
    <row r="7" spans="1:64" ht="15.5" x14ac:dyDescent="0.35">
      <c r="H7">
        <f>SUM(D10:D78)</f>
        <v>39.000000000000021</v>
      </c>
      <c r="I7" t="s">
        <v>719</v>
      </c>
      <c r="K7" s="5">
        <f>SQRT(K9/($H7-K6))</f>
        <v>3.8286253230105691</v>
      </c>
      <c r="L7" s="5"/>
      <c r="M7" s="5">
        <f>SQRT(M9/($H7-M6))</f>
        <v>3.9269233187077544</v>
      </c>
      <c r="N7" s="5"/>
      <c r="O7" s="5">
        <f>SQRT(O9/($H7-O6))</f>
        <v>3.8379029865074203</v>
      </c>
      <c r="P7" s="5"/>
      <c r="Q7" s="5">
        <f>SQRT(Q9/($H7-Q6))</f>
        <v>3.8148618402507761</v>
      </c>
      <c r="R7" s="5"/>
      <c r="S7" s="5">
        <f>SQRT(S9/($H7-S6))</f>
        <v>3.8067605641288078</v>
      </c>
      <c r="T7" s="5"/>
      <c r="U7" s="5">
        <f>SQRT(U9/($H7-U6))</f>
        <v>4.6435190266916546</v>
      </c>
      <c r="V7" s="5"/>
      <c r="W7" s="5">
        <f>SQRT(W9/($H7-W6))</f>
        <v>3.8221864885938142</v>
      </c>
      <c r="X7" s="5"/>
      <c r="Y7" s="5">
        <f>SQRT(Y9/($H7-Y6))</f>
        <v>3.923657135672947</v>
      </c>
      <c r="AA7" s="5">
        <f>SQRT(AA9/($H7-AA6))</f>
        <v>4.5511043091264813</v>
      </c>
      <c r="AC7" s="23" t="s">
        <v>542</v>
      </c>
      <c r="AD7" s="35">
        <f>Q5</f>
        <v>0.21125062646662732</v>
      </c>
      <c r="AE7" s="24">
        <f>AD7</f>
        <v>0.21125062646662732</v>
      </c>
      <c r="AG7">
        <v>1</v>
      </c>
      <c r="AH7">
        <f>Table1!C21</f>
        <v>1</v>
      </c>
      <c r="AI7">
        <f>Table1!E21</f>
        <v>2.2999999999999998</v>
      </c>
      <c r="AJ7">
        <f>Table1!G21</f>
        <v>1</v>
      </c>
      <c r="AM7">
        <f>AJ7</f>
        <v>1</v>
      </c>
      <c r="AN7">
        <f>AJ7</f>
        <v>1</v>
      </c>
      <c r="AO7">
        <f t="shared" si="1"/>
        <v>1.3263846812995779</v>
      </c>
      <c r="AP7">
        <f t="shared" si="4"/>
        <v>0.10652696018702702</v>
      </c>
      <c r="AR7">
        <f t="shared" si="2"/>
        <v>0.78648062125587459</v>
      </c>
      <c r="AS7">
        <f t="shared" si="3"/>
        <v>4.5590525099277274E-2</v>
      </c>
    </row>
    <row r="8" spans="1:64" ht="16" thickBot="1" x14ac:dyDescent="0.4">
      <c r="H8">
        <f>EXP(K8)+EXP(M8)+EXP(O8)+EXP(Q8)+EXP(S8)+EXP(U8)+EXP(W8)+EXP(Y8)</f>
        <v>9.1850247294157709E-31</v>
      </c>
      <c r="I8" t="s">
        <v>718</v>
      </c>
      <c r="J8" t="s">
        <v>539</v>
      </c>
      <c r="K8">
        <f>-K9/2/K7^2-$H7*LN(K7)</f>
        <v>-70.857726795458461</v>
      </c>
      <c r="L8" t="s">
        <v>324</v>
      </c>
      <c r="M8">
        <f>-M9/2/M7^2-$H7*LN(M7)</f>
        <v>-71.34639370008631</v>
      </c>
      <c r="N8" t="s">
        <v>540</v>
      </c>
      <c r="O8">
        <f>-O9/2/O7^2-$H7*LN(O7)</f>
        <v>-71.452118686650465</v>
      </c>
      <c r="P8" t="s">
        <v>542</v>
      </c>
      <c r="Q8">
        <f>-Q9/2/Q7^2-$H7*LN(Q7)</f>
        <v>-70.717273519008998</v>
      </c>
      <c r="R8" t="s">
        <v>543</v>
      </c>
      <c r="S8">
        <f>-S9/2/S7^2-$H7*LN(S7)</f>
        <v>-70.634364691732316</v>
      </c>
      <c r="T8" t="s">
        <v>541</v>
      </c>
      <c r="U8">
        <f>-U9/2/U7^2-$H7*LN(U7)</f>
        <v>-78.883427098879224</v>
      </c>
      <c r="V8" t="s">
        <v>544</v>
      </c>
      <c r="W8">
        <f>-W9/2/W7^2-$H7*LN(W7)</f>
        <v>-71.292082885315921</v>
      </c>
      <c r="X8" t="s">
        <v>723</v>
      </c>
      <c r="Y8">
        <f>-Y9/2/Y7^2-$H7*LN(Y7)</f>
        <v>-72.313942304562815</v>
      </c>
      <c r="AA8">
        <f>-AA9/2/AA7^2-$H7*LN(AA7)</f>
        <v>-72.099426443871437</v>
      </c>
      <c r="AC8" s="23" t="s">
        <v>558</v>
      </c>
      <c r="AD8" s="35">
        <f>O5</f>
        <v>0.10131151368891428</v>
      </c>
      <c r="AE8" s="24">
        <f>AD8</f>
        <v>0.10131151368891428</v>
      </c>
      <c r="AG8">
        <v>1</v>
      </c>
      <c r="AH8">
        <f>Table1!C25</f>
        <v>2.5</v>
      </c>
      <c r="AI8">
        <f>Table1!E25</f>
        <v>-0.9804776851232514</v>
      </c>
      <c r="AJ8">
        <f>Table1!G25</f>
        <v>0</v>
      </c>
      <c r="AK8">
        <f>Table1!I25</f>
        <v>-3.0412246519557202</v>
      </c>
      <c r="AL8">
        <f>Table1!K25</f>
        <v>4.6418105858271858E-2</v>
      </c>
      <c r="AM8">
        <f>(AI8-AK8)/2</f>
        <v>1.0303734834162344</v>
      </c>
      <c r="AN8">
        <f>(AL8-AI8)/2</f>
        <v>0.51344789549076164</v>
      </c>
      <c r="AO8">
        <f t="shared" si="1"/>
        <v>3.3159617032489446</v>
      </c>
      <c r="AP8">
        <f t="shared" si="4"/>
        <v>5.2239135106380559</v>
      </c>
      <c r="AR8">
        <f t="shared" si="2"/>
        <v>1.9662015531396864</v>
      </c>
      <c r="AS8">
        <f t="shared" si="3"/>
        <v>2.1104931898123289</v>
      </c>
      <c r="AU8" s="2"/>
      <c r="BD8" s="2"/>
      <c r="BE8" s="2"/>
    </row>
    <row r="9" spans="1:64" ht="15.5" x14ac:dyDescent="0.35">
      <c r="B9" t="s">
        <v>544</v>
      </c>
      <c r="C9" t="s">
        <v>624</v>
      </c>
      <c r="D9" t="s">
        <v>623</v>
      </c>
      <c r="E9" t="s">
        <v>80</v>
      </c>
      <c r="I9" t="s">
        <v>717</v>
      </c>
      <c r="K9">
        <f>SUM(K10:K78)</f>
        <v>542.35975896791831</v>
      </c>
      <c r="M9">
        <f>SUM(M10:M78)</f>
        <v>555.14616303638638</v>
      </c>
      <c r="O9">
        <f>SUM(O10:O78)</f>
        <v>559.72097468601828</v>
      </c>
      <c r="Q9">
        <f>SUM(Q10:Q78)</f>
        <v>538.46732182745723</v>
      </c>
      <c r="S9">
        <f>SUM(S10:S78)</f>
        <v>536.18276172643266</v>
      </c>
      <c r="U9">
        <f>SUM(U10:U78)</f>
        <v>819.36622014740215</v>
      </c>
      <c r="W9">
        <f>SUM(W10:W78)</f>
        <v>555.1461630363865</v>
      </c>
      <c r="Y9">
        <f>SUM(Y10:Y78)</f>
        <v>585.01324209605525</v>
      </c>
      <c r="AA9">
        <f>SUM(AA10:AA78)</f>
        <v>538.52631124629079</v>
      </c>
      <c r="AC9" s="23" t="s">
        <v>724</v>
      </c>
      <c r="AD9" s="11">
        <f>Y5</f>
        <v>4.2793081665882762E-2</v>
      </c>
      <c r="AE9" s="24">
        <f>AD9</f>
        <v>4.2793081665882762E-2</v>
      </c>
      <c r="AG9">
        <v>0.5</v>
      </c>
      <c r="AH9">
        <f>Table1!C26</f>
        <v>3</v>
      </c>
      <c r="AI9">
        <f>Table1!E26</f>
        <v>-0.93</v>
      </c>
      <c r="AJ9">
        <f>Table1!G26</f>
        <v>0.13</v>
      </c>
      <c r="AM9">
        <f>AJ9</f>
        <v>0.13</v>
      </c>
      <c r="AN9">
        <f>AJ9</f>
        <v>0.13</v>
      </c>
      <c r="AO9">
        <f t="shared" si="1"/>
        <v>3.9791540438987338</v>
      </c>
      <c r="AP9">
        <f t="shared" si="4"/>
        <v>7.4079934268309886</v>
      </c>
      <c r="AR9">
        <f t="shared" si="2"/>
        <v>2.359441863767624</v>
      </c>
      <c r="AS9">
        <f t="shared" si="3"/>
        <v>2.4852055119598289</v>
      </c>
    </row>
    <row r="10" spans="1:64" ht="15" thickBot="1" x14ac:dyDescent="0.4">
      <c r="A10" t="str">
        <f>Table1!A3</f>
        <v>d'Arge 1979</v>
      </c>
      <c r="B10">
        <f>Table1!C3</f>
        <v>-1</v>
      </c>
      <c r="C10">
        <f>Table1!E3</f>
        <v>-0.59642907312262095</v>
      </c>
      <c r="D10">
        <v>1</v>
      </c>
      <c r="E10">
        <v>1979</v>
      </c>
      <c r="F10" s="5"/>
      <c r="G10" s="5"/>
      <c r="H10" s="5"/>
      <c r="J10">
        <f t="shared" ref="J10:J73" si="5">J$1*B10+J$2*B10^2</f>
        <v>0.44962130183402832</v>
      </c>
      <c r="K10">
        <f t="shared" ref="K10:K73" si="6">$D10*(J10-$C10)^2</f>
        <v>1.0942213869469464</v>
      </c>
      <c r="L10">
        <f t="shared" ref="L10:L73" si="7">IF(B10&lt;=L$2,B10*L$1,L$1*L$2+L$3*(B10-L$2))</f>
        <v>1.0003485838209094</v>
      </c>
      <c r="M10">
        <f t="shared" ref="M10:M73" si="8">$D10*(L10-$C10)^2</f>
        <v>2.5496988857140708</v>
      </c>
      <c r="N10">
        <f t="shared" ref="N10:N73" si="9">N$1*B10^2</f>
        <v>-0.22057728326096321</v>
      </c>
      <c r="O10">
        <f t="shared" ref="O10:O73" si="10">$D10*(N10-$C10)^2</f>
        <v>0.14126456794221173</v>
      </c>
      <c r="P10">
        <f t="shared" ref="P10:P73" si="11">P$1*B10^2+P$2*B10^7</f>
        <v>-0.25383017627876825</v>
      </c>
      <c r="Q10">
        <f t="shared" ref="Q10:Q73" si="12">$D10*(P10-$C10)^2</f>
        <v>0.11737400411862482</v>
      </c>
      <c r="R10" s="24">
        <f t="shared" ref="R10:R73" si="13">R$1*B10^2+R$2*B10^6</f>
        <v>-0.28161888190858159</v>
      </c>
      <c r="S10">
        <f t="shared" ref="S10:S73" si="14">$D10*(R10-$C10)^2</f>
        <v>9.9105456492220023E-2</v>
      </c>
      <c r="T10">
        <f t="shared" ref="T10:T73" si="15">T$2+T$1*EXP(B10)</f>
        <v>5.5507066551058505E-3</v>
      </c>
      <c r="U10">
        <f t="shared" ref="U10:U73" si="16">$D10*(T10-$C10)^2</f>
        <v>0.36237965526124044</v>
      </c>
      <c r="V10">
        <f t="shared" ref="V10:V73" si="17">V$1*B10</f>
        <v>1.0003485914311587</v>
      </c>
      <c r="W10">
        <f t="shared" ref="W10:W73" si="18">$D10*(V10-$C10)^2</f>
        <v>2.5496989100178231</v>
      </c>
      <c r="X10">
        <f>(1-EXP(-2*X$1*B10))/2/EXP(-X$1*B10)</f>
        <v>0.44980995423266756</v>
      </c>
      <c r="Y10">
        <f t="shared" ref="Y10:Y73" si="19">$D10*(X10-$C10)^2</f>
        <v>1.0946161023613403</v>
      </c>
      <c r="Z10" s="33">
        <f>J10*K$5+L10*M$5+N10*O$5+P10*Q$5+R10*S$5+T10*U$5+V10*W$5+X10*Y$5</f>
        <v>0.19276659899162824</v>
      </c>
      <c r="AA10">
        <f t="shared" ref="AA10:AA73" si="20">$D10*(Z10-$C10)^2</f>
        <v>0.62282980888386164</v>
      </c>
      <c r="AG10">
        <v>0.5</v>
      </c>
      <c r="AH10">
        <f>Table1!C27</f>
        <v>3</v>
      </c>
      <c r="AI10">
        <f>Table1!E27</f>
        <v>-1.05</v>
      </c>
      <c r="AJ10">
        <f>Table1!G27</f>
        <v>0.13</v>
      </c>
      <c r="AM10">
        <f>AJ10</f>
        <v>0.13</v>
      </c>
      <c r="AN10">
        <f>AJ10</f>
        <v>0.13</v>
      </c>
      <c r="AO10">
        <f t="shared" si="1"/>
        <v>3.9791540438987338</v>
      </c>
      <c r="AP10">
        <f t="shared" si="4"/>
        <v>7.4079934268309886</v>
      </c>
      <c r="AR10">
        <f t="shared" si="2"/>
        <v>2.359441863767624</v>
      </c>
      <c r="AS10">
        <f t="shared" si="3"/>
        <v>2.4852055119598289</v>
      </c>
    </row>
    <row r="11" spans="1:64" x14ac:dyDescent="0.35">
      <c r="A11" t="str">
        <f>Table1!A4</f>
        <v>Nordhaus 1982</v>
      </c>
      <c r="B11">
        <f>Table1!C4</f>
        <v>2.5</v>
      </c>
      <c r="C11">
        <f>Table1!E4</f>
        <v>-3</v>
      </c>
      <c r="D11">
        <v>1</v>
      </c>
      <c r="E11">
        <v>1982</v>
      </c>
      <c r="F11" s="5"/>
      <c r="G11" s="5"/>
      <c r="H11" s="5"/>
      <c r="J11">
        <f t="shared" si="5"/>
        <v>-2.0481878890632412</v>
      </c>
      <c r="K11">
        <f t="shared" si="6"/>
        <v>0.90594629452588882</v>
      </c>
      <c r="L11">
        <f t="shared" si="7"/>
        <v>-2.5008714595522736</v>
      </c>
      <c r="M11">
        <f t="shared" si="8"/>
        <v>0.2491292998894776</v>
      </c>
      <c r="N11">
        <f t="shared" si="9"/>
        <v>-1.37860802038102</v>
      </c>
      <c r="O11">
        <f t="shared" si="10"/>
        <v>2.6289119515727548</v>
      </c>
      <c r="P11">
        <f t="shared" si="11"/>
        <v>-1.5834741070243195</v>
      </c>
      <c r="Q11">
        <f t="shared" si="12"/>
        <v>2.0065456054705493</v>
      </c>
      <c r="R11" s="24">
        <f t="shared" si="13"/>
        <v>-1.7488549884859947</v>
      </c>
      <c r="S11">
        <f t="shared" si="14"/>
        <v>1.5653638398363803</v>
      </c>
      <c r="T11">
        <f t="shared" si="15"/>
        <v>-9.8194470629759154E-2</v>
      </c>
      <c r="U11">
        <f t="shared" si="16"/>
        <v>8.4204753302837041</v>
      </c>
      <c r="V11">
        <f t="shared" si="17"/>
        <v>-2.5008714785778969</v>
      </c>
      <c r="W11">
        <f t="shared" si="18"/>
        <v>0.2491292808970148</v>
      </c>
      <c r="X11">
        <f t="shared" ref="X11:X74" si="21">(1-EXP(-2*X$1*B11))/2/EXP(-X$1*B11)</f>
        <v>-1.3185171990173605</v>
      </c>
      <c r="Y11">
        <f t="shared" si="19"/>
        <v>2.8273844100004228</v>
      </c>
      <c r="Z11" s="33">
        <f t="shared" ref="Z11:Z74" si="22">J11*K$5+L11*M$5+N11*O$5+P11*Q$5+R11*S$5+T11*U$5+V11*W$5+X11*Y$5</f>
        <v>-1.8869363331127047</v>
      </c>
      <c r="AA11">
        <f t="shared" si="20"/>
        <v>1.2389107265445918</v>
      </c>
      <c r="AG11">
        <v>0.5</v>
      </c>
      <c r="AH11">
        <f>Table1!C14</f>
        <v>2.4900000000000002</v>
      </c>
      <c r="AI11">
        <f>Table1!E14</f>
        <v>0.03</v>
      </c>
      <c r="AJ11">
        <f>Table1!G14</f>
        <v>5.2456722354448461E-2</v>
      </c>
      <c r="AM11">
        <f>AJ11</f>
        <v>5.2456722354448461E-2</v>
      </c>
      <c r="AN11">
        <f>AJ11</f>
        <v>5.2456722354448461E-2</v>
      </c>
      <c r="AO11">
        <f t="shared" si="1"/>
        <v>3.302697856435949</v>
      </c>
      <c r="AP11">
        <f t="shared" si="4"/>
        <v>5.2820337148376995</v>
      </c>
      <c r="AR11">
        <f t="shared" si="2"/>
        <v>1.958336746927128</v>
      </c>
      <c r="AS11">
        <f t="shared" si="3"/>
        <v>1.8161893340325785</v>
      </c>
      <c r="AU11" s="3"/>
      <c r="AV11" s="3"/>
      <c r="AW11" s="3"/>
      <c r="AX11" s="3"/>
      <c r="AY11" s="3"/>
      <c r="BD11" s="3"/>
      <c r="BE11" s="3"/>
      <c r="BF11" s="3"/>
      <c r="BG11" s="3"/>
      <c r="BH11" s="3"/>
      <c r="BI11" s="3"/>
    </row>
    <row r="12" spans="1:64" x14ac:dyDescent="0.35">
      <c r="A12" t="str">
        <f>Table1!A5</f>
        <v>Nordhaus 1991</v>
      </c>
      <c r="B12">
        <f>Table1!C5</f>
        <v>3</v>
      </c>
      <c r="C12">
        <f>Table1!E5</f>
        <v>-1</v>
      </c>
      <c r="D12">
        <v>1</v>
      </c>
      <c r="E12">
        <v>1991</v>
      </c>
      <c r="F12" s="5"/>
      <c r="G12" s="5"/>
      <c r="H12" s="5"/>
      <c r="J12">
        <f t="shared" si="5"/>
        <v>-2.6162485470721473</v>
      </c>
      <c r="K12">
        <f t="shared" si="6"/>
        <v>2.612259365912827</v>
      </c>
      <c r="L12">
        <f t="shared" si="7"/>
        <v>-3.001045751462728</v>
      </c>
      <c r="M12">
        <f t="shared" si="8"/>
        <v>4.0041840994470341</v>
      </c>
      <c r="N12">
        <f t="shared" si="9"/>
        <v>-1.9851955493486688</v>
      </c>
      <c r="O12">
        <f t="shared" si="10"/>
        <v>0.97061027045642534</v>
      </c>
      <c r="P12">
        <f t="shared" si="11"/>
        <v>-2.2739136658084003</v>
      </c>
      <c r="Q12">
        <f t="shared" si="12"/>
        <v>1.6228560279333966</v>
      </c>
      <c r="R12" s="24">
        <f t="shared" si="13"/>
        <v>-2.5004812593291641</v>
      </c>
      <c r="S12">
        <f t="shared" si="14"/>
        <v>2.2514440095980341</v>
      </c>
      <c r="T12">
        <f t="shared" si="15"/>
        <v>-0.16759179136987784</v>
      </c>
      <c r="U12">
        <f t="shared" si="16"/>
        <v>0.6929034257948089</v>
      </c>
      <c r="V12">
        <f t="shared" si="17"/>
        <v>-3.001045774293476</v>
      </c>
      <c r="W12">
        <f t="shared" si="18"/>
        <v>4.0041841908177771</v>
      </c>
      <c r="X12">
        <f t="shared" si="21"/>
        <v>-1.713468246489855</v>
      </c>
      <c r="Y12">
        <f t="shared" si="19"/>
        <v>0.50903693874930844</v>
      </c>
      <c r="Z12" s="33">
        <f t="shared" si="22"/>
        <v>-2.5037295101532746</v>
      </c>
      <c r="AA12">
        <f t="shared" si="20"/>
        <v>2.2612024397058073</v>
      </c>
      <c r="AG12">
        <v>0.5</v>
      </c>
      <c r="AH12">
        <f>Table1!C15</f>
        <v>2.4900000000000002</v>
      </c>
      <c r="AI12">
        <f>Table1!E15</f>
        <v>0.1</v>
      </c>
      <c r="AJ12">
        <f>Table1!G15</f>
        <v>1.3758216049095459E-2</v>
      </c>
      <c r="AM12">
        <f>AJ12</f>
        <v>1.3758216049095459E-2</v>
      </c>
      <c r="AN12">
        <f>AJ12</f>
        <v>1.3758216049095459E-2</v>
      </c>
      <c r="AO12">
        <f t="shared" si="1"/>
        <v>3.302697856435949</v>
      </c>
      <c r="AP12">
        <f t="shared" si="4"/>
        <v>5.408561979054002</v>
      </c>
      <c r="AR12">
        <f t="shared" si="2"/>
        <v>1.958336746927128</v>
      </c>
      <c r="AS12">
        <f t="shared" si="3"/>
        <v>1.8906928313758837</v>
      </c>
    </row>
    <row r="13" spans="1:64" x14ac:dyDescent="0.35">
      <c r="A13" t="str">
        <f>Table1!A6</f>
        <v>Nordhaus 1994b</v>
      </c>
      <c r="B13">
        <f>Table1!C6</f>
        <v>3</v>
      </c>
      <c r="C13">
        <f>Table1!E6</f>
        <v>-1.33</v>
      </c>
      <c r="D13">
        <v>1</v>
      </c>
      <c r="E13">
        <v>1994</v>
      </c>
      <c r="F13" s="5"/>
      <c r="G13" s="5"/>
      <c r="H13" s="5"/>
      <c r="J13">
        <f t="shared" si="5"/>
        <v>-2.6162485470721473</v>
      </c>
      <c r="K13">
        <f t="shared" si="6"/>
        <v>1.6544353248452097</v>
      </c>
      <c r="L13">
        <f t="shared" si="7"/>
        <v>-3.001045751462728</v>
      </c>
      <c r="M13">
        <f t="shared" si="8"/>
        <v>2.7923939034816332</v>
      </c>
      <c r="N13">
        <f t="shared" si="9"/>
        <v>-1.9851955493486688</v>
      </c>
      <c r="O13">
        <f t="shared" si="10"/>
        <v>0.42928120788630381</v>
      </c>
      <c r="P13">
        <f t="shared" si="11"/>
        <v>-2.2739136658084003</v>
      </c>
      <c r="Q13">
        <f t="shared" si="12"/>
        <v>0.89097300849985217</v>
      </c>
      <c r="R13" s="24">
        <f t="shared" si="13"/>
        <v>-2.5004812593291641</v>
      </c>
      <c r="S13">
        <f t="shared" si="14"/>
        <v>1.3700263784407858</v>
      </c>
      <c r="T13">
        <f t="shared" si="15"/>
        <v>-0.16759179136987784</v>
      </c>
      <c r="U13">
        <f t="shared" si="16"/>
        <v>1.3511928434906897</v>
      </c>
      <c r="V13">
        <f t="shared" si="17"/>
        <v>-3.001045774293476</v>
      </c>
      <c r="W13">
        <f t="shared" si="18"/>
        <v>2.7923939797840824</v>
      </c>
      <c r="X13">
        <f t="shared" si="21"/>
        <v>-1.713468246489855</v>
      </c>
      <c r="Y13">
        <f t="shared" si="19"/>
        <v>0.1470478960660041</v>
      </c>
      <c r="Z13" s="33">
        <f t="shared" si="22"/>
        <v>-2.5037295101532746</v>
      </c>
      <c r="AA13">
        <f t="shared" si="20"/>
        <v>1.3776409630046458</v>
      </c>
      <c r="AG13">
        <f>1/3</f>
        <v>0.33333333333333331</v>
      </c>
      <c r="AH13">
        <f>Table1!C40</f>
        <v>2</v>
      </c>
      <c r="AI13">
        <f>Table1!E40</f>
        <v>-1.0517705037403</v>
      </c>
      <c r="AJ13">
        <f>Table1!G40</f>
        <v>0.58185612208306359</v>
      </c>
      <c r="AM13">
        <f t="shared" ref="AM13:AM22" si="23">AJ13</f>
        <v>0.58185612208306359</v>
      </c>
      <c r="AN13">
        <f t="shared" ref="AN13:AN22" si="24">AJ13</f>
        <v>0.58185612208306359</v>
      </c>
      <c r="AO13">
        <f t="shared" si="1"/>
        <v>2.6527693625991557</v>
      </c>
      <c r="AP13">
        <f t="shared" si="4"/>
        <v>1.4295605499149542</v>
      </c>
      <c r="AR13">
        <f t="shared" si="2"/>
        <v>1.5729612425117492</v>
      </c>
      <c r="AS13">
        <f t="shared" si="3"/>
        <v>0.32742978657998645</v>
      </c>
    </row>
    <row r="14" spans="1:64" ht="15" thickBot="1" x14ac:dyDescent="0.4">
      <c r="A14" t="str">
        <f>Table1!A7</f>
        <v>Nordhaus 1994a</v>
      </c>
      <c r="B14">
        <f>Table1!C7</f>
        <v>3</v>
      </c>
      <c r="C14">
        <f>Table1!E7</f>
        <v>-3.6</v>
      </c>
      <c r="D14">
        <v>0.5</v>
      </c>
      <c r="E14">
        <v>1994</v>
      </c>
      <c r="F14" s="5"/>
      <c r="G14" s="5"/>
      <c r="H14" s="5"/>
      <c r="J14">
        <f t="shared" si="5"/>
        <v>-2.6162485470721473</v>
      </c>
      <c r="K14">
        <f t="shared" si="6"/>
        <v>0.48388346056883069</v>
      </c>
      <c r="L14">
        <f t="shared" si="7"/>
        <v>-3.001045751462728</v>
      </c>
      <c r="M14">
        <f t="shared" si="8"/>
        <v>0.17937309592042414</v>
      </c>
      <c r="N14">
        <f t="shared" si="9"/>
        <v>-1.9851955493486688</v>
      </c>
      <c r="O14">
        <f t="shared" si="10"/>
        <v>1.3037967069216738</v>
      </c>
      <c r="P14">
        <f t="shared" si="11"/>
        <v>-2.2739136658084003</v>
      </c>
      <c r="Q14">
        <f t="shared" si="12"/>
        <v>0.87925248286485769</v>
      </c>
      <c r="R14" s="24">
        <f t="shared" si="13"/>
        <v>-2.5004812593291641</v>
      </c>
      <c r="S14">
        <f t="shared" si="14"/>
        <v>0.60447073054319056</v>
      </c>
      <c r="T14">
        <f t="shared" si="15"/>
        <v>-0.16759179136987784</v>
      </c>
      <c r="U14">
        <f t="shared" si="16"/>
        <v>5.8907130553357225</v>
      </c>
      <c r="V14">
        <f t="shared" si="17"/>
        <v>-3.001045774293476</v>
      </c>
      <c r="W14">
        <f t="shared" si="18"/>
        <v>0.17937308224585091</v>
      </c>
      <c r="X14">
        <f t="shared" si="21"/>
        <v>-1.713468246489855</v>
      </c>
      <c r="Y14">
        <f t="shared" si="19"/>
        <v>1.7795010285010315</v>
      </c>
      <c r="Z14" s="33">
        <f t="shared" si="22"/>
        <v>-2.5037295101532746</v>
      </c>
      <c r="AA14">
        <f t="shared" si="20"/>
        <v>0.60090449345438968</v>
      </c>
      <c r="AG14">
        <f>1/3</f>
        <v>0.33333333333333331</v>
      </c>
      <c r="AH14">
        <f>Table1!C41</f>
        <v>4</v>
      </c>
      <c r="AI14">
        <f>Table1!E41</f>
        <v>-4.6911160007283899</v>
      </c>
      <c r="AJ14">
        <f>Table1!G41</f>
        <v>0.70640391035611572</v>
      </c>
      <c r="AM14">
        <f t="shared" si="23"/>
        <v>0.70640391035611572</v>
      </c>
      <c r="AN14">
        <f t="shared" si="24"/>
        <v>0.70640391035611572</v>
      </c>
      <c r="AO14">
        <f t="shared" si="1"/>
        <v>5.3055387251983115</v>
      </c>
      <c r="AP14">
        <f t="shared" si="4"/>
        <v>7.0506803483645193</v>
      </c>
      <c r="AR14">
        <f t="shared" si="2"/>
        <v>3.1459224850234984</v>
      </c>
      <c r="AS14">
        <f t="shared" si="3"/>
        <v>1.9837502920490593</v>
      </c>
      <c r="AU14" s="2"/>
      <c r="AV14" s="2"/>
      <c r="AW14" s="2"/>
      <c r="AX14" s="2"/>
      <c r="AY14" s="2"/>
      <c r="BD14" s="2"/>
      <c r="BE14" s="2"/>
      <c r="BF14" s="2"/>
      <c r="BG14" s="2"/>
      <c r="BH14" s="2"/>
      <c r="BI14" s="2"/>
    </row>
    <row r="15" spans="1:64" ht="15" thickBot="1" x14ac:dyDescent="0.4">
      <c r="A15">
        <f>Table1!A8</f>
        <v>0</v>
      </c>
      <c r="B15">
        <f>Table1!C8</f>
        <v>6</v>
      </c>
      <c r="C15">
        <f>Table1!E8</f>
        <v>-6.7</v>
      </c>
      <c r="D15">
        <v>0.5</v>
      </c>
      <c r="E15">
        <v>1994</v>
      </c>
      <c r="F15" s="5"/>
      <c r="G15" s="5"/>
      <c r="H15" s="5"/>
      <c r="J15">
        <f t="shared" si="5"/>
        <v>-7.1335740564993877</v>
      </c>
      <c r="K15">
        <f t="shared" si="6"/>
        <v>9.3993231234667046E-2</v>
      </c>
      <c r="L15">
        <f t="shared" si="7"/>
        <v>-6.002091502925456</v>
      </c>
      <c r="M15">
        <f t="shared" si="8"/>
        <v>0.24353813514442452</v>
      </c>
      <c r="N15">
        <f t="shared" si="9"/>
        <v>-7.9407821973946753</v>
      </c>
      <c r="O15">
        <f t="shared" si="10"/>
        <v>0.76977023068577921</v>
      </c>
      <c r="P15">
        <f t="shared" si="11"/>
        <v>-7.7918379970537543</v>
      </c>
      <c r="Q15">
        <f t="shared" si="12"/>
        <v>0.59605510590517685</v>
      </c>
      <c r="R15" s="24">
        <f t="shared" si="13"/>
        <v>-7.9310378580463832</v>
      </c>
      <c r="S15">
        <f t="shared" si="14"/>
        <v>0.75772710397171328</v>
      </c>
      <c r="T15">
        <f t="shared" si="15"/>
        <v>-3.5337629049527237</v>
      </c>
      <c r="U15">
        <f t="shared" si="16"/>
        <v>5.0125286710267076</v>
      </c>
      <c r="V15">
        <f t="shared" si="17"/>
        <v>-6.0020915485869519</v>
      </c>
      <c r="W15">
        <f t="shared" si="18"/>
        <v>0.24353810327687955</v>
      </c>
      <c r="X15">
        <f t="shared" si="21"/>
        <v>-6.7987979595065742</v>
      </c>
      <c r="Y15">
        <f t="shared" si="19"/>
        <v>4.8805184013313175E-3</v>
      </c>
      <c r="Z15" s="33">
        <f t="shared" si="22"/>
        <v>-7.2609548232610415</v>
      </c>
      <c r="AA15">
        <f t="shared" si="20"/>
        <v>0.15733515686991303</v>
      </c>
      <c r="AG15">
        <f>1/3</f>
        <v>0.33333333333333331</v>
      </c>
      <c r="AH15">
        <f>Table1!C42</f>
        <v>6</v>
      </c>
      <c r="AI15">
        <f>Table1!E42</f>
        <v>-9.49637530496768</v>
      </c>
      <c r="AJ15">
        <f>Table1!G42</f>
        <v>1.1160602606516015</v>
      </c>
      <c r="AM15">
        <f t="shared" si="23"/>
        <v>1.1160602606516015</v>
      </c>
      <c r="AN15">
        <f t="shared" si="24"/>
        <v>1.1160602606516015</v>
      </c>
      <c r="AO15">
        <f t="shared" si="1"/>
        <v>7.9583080877974677</v>
      </c>
      <c r="AP15">
        <f t="shared" si="4"/>
        <v>15.60545177602744</v>
      </c>
      <c r="AR15">
        <f t="shared" si="2"/>
        <v>4.718883727535248</v>
      </c>
      <c r="AS15">
        <f t="shared" si="3"/>
        <v>4.3267789778424985</v>
      </c>
    </row>
    <row r="16" spans="1:64" x14ac:dyDescent="0.35">
      <c r="A16" t="str">
        <f>Table1!A9</f>
        <v>Fankhauser 1995</v>
      </c>
      <c r="B16">
        <f>Table1!C9</f>
        <v>2.5</v>
      </c>
      <c r="C16">
        <f>Table1!E9</f>
        <v>-1.4</v>
      </c>
      <c r="D16">
        <v>1</v>
      </c>
      <c r="E16">
        <v>1995</v>
      </c>
      <c r="F16" s="5"/>
      <c r="G16" s="5"/>
      <c r="H16" s="5"/>
      <c r="J16">
        <f t="shared" si="5"/>
        <v>-2.0481878890632412</v>
      </c>
      <c r="K16">
        <f t="shared" si="6"/>
        <v>0.42014753952826084</v>
      </c>
      <c r="L16">
        <f t="shared" si="7"/>
        <v>-2.5008714595522736</v>
      </c>
      <c r="M16">
        <f t="shared" si="8"/>
        <v>1.2119179704567535</v>
      </c>
      <c r="N16">
        <f t="shared" si="9"/>
        <v>-1.37860802038102</v>
      </c>
      <c r="O16">
        <f t="shared" si="10"/>
        <v>4.5761679201885029E-4</v>
      </c>
      <c r="P16">
        <f t="shared" si="11"/>
        <v>-1.5834741070243195</v>
      </c>
      <c r="Q16">
        <f t="shared" si="12"/>
        <v>3.3662747948371465E-2</v>
      </c>
      <c r="R16" s="24">
        <f t="shared" si="13"/>
        <v>-1.7488549884859947</v>
      </c>
      <c r="S16">
        <f t="shared" si="14"/>
        <v>0.12169980299156359</v>
      </c>
      <c r="T16">
        <f t="shared" si="15"/>
        <v>-9.8194470629759154E-2</v>
      </c>
      <c r="U16">
        <f t="shared" si="16"/>
        <v>1.694697636298933</v>
      </c>
      <c r="V16">
        <f t="shared" si="17"/>
        <v>-2.5008714785778969</v>
      </c>
      <c r="W16">
        <f t="shared" si="18"/>
        <v>1.2119180123462852</v>
      </c>
      <c r="X16">
        <f t="shared" si="21"/>
        <v>-1.3185171990173605</v>
      </c>
      <c r="Y16">
        <f t="shared" si="19"/>
        <v>6.6394468559764176E-3</v>
      </c>
      <c r="Z16" s="33">
        <f t="shared" si="22"/>
        <v>-1.8869363331127047</v>
      </c>
      <c r="AA16">
        <f t="shared" si="20"/>
        <v>0.237106992505247</v>
      </c>
      <c r="AG16">
        <v>1</v>
      </c>
      <c r="AH16">
        <f>Table1!C43</f>
        <v>3</v>
      </c>
      <c r="AI16">
        <f>Table1!E43</f>
        <v>-9.1999999999999993</v>
      </c>
      <c r="AJ16">
        <f>Table1!G43</f>
        <v>10.3</v>
      </c>
      <c r="AK16">
        <f>Table1!I43</f>
        <v>-20</v>
      </c>
      <c r="AL16">
        <f>Table1!K43</f>
        <v>-2</v>
      </c>
      <c r="AM16">
        <f>(AI16-AK16)/2</f>
        <v>5.4</v>
      </c>
      <c r="AN16">
        <f>(AL16-AI16)/2</f>
        <v>3.5999999999999996</v>
      </c>
      <c r="AO16">
        <f t="shared" si="1"/>
        <v>3.9791540438987338</v>
      </c>
      <c r="AP16">
        <f t="shared" si="4"/>
        <v>2.018803230969322</v>
      </c>
      <c r="AR16">
        <f t="shared" si="2"/>
        <v>2.359441863767624</v>
      </c>
      <c r="AS16">
        <f t="shared" si="3"/>
        <v>1.5389844893723454</v>
      </c>
      <c r="AU16" s="3"/>
      <c r="AV16" s="3"/>
      <c r="AW16" s="3"/>
      <c r="AX16" s="3"/>
      <c r="AY16" s="3"/>
      <c r="AZ16" s="3"/>
      <c r="BA16" s="3"/>
      <c r="BB16" s="3"/>
      <c r="BD16" s="3"/>
      <c r="BE16" s="3"/>
      <c r="BF16" s="3"/>
      <c r="BG16" s="3"/>
      <c r="BH16" s="3"/>
      <c r="BI16" s="3"/>
      <c r="BJ16" s="3"/>
      <c r="BK16" s="3"/>
      <c r="BL16" s="3"/>
    </row>
    <row r="17" spans="1:64" x14ac:dyDescent="0.35">
      <c r="A17" t="str">
        <f>Table1!A10</f>
        <v>Berz undated</v>
      </c>
      <c r="B17">
        <f>Table1!C10</f>
        <v>2.5</v>
      </c>
      <c r="C17">
        <f>Table1!E10</f>
        <v>-1.5</v>
      </c>
      <c r="D17">
        <v>1</v>
      </c>
      <c r="E17">
        <v>1995</v>
      </c>
      <c r="F17" s="5"/>
      <c r="G17" s="5"/>
      <c r="H17" s="5"/>
      <c r="J17">
        <f t="shared" si="5"/>
        <v>-2.0481878890632412</v>
      </c>
      <c r="K17">
        <f t="shared" si="6"/>
        <v>0.30050996171561245</v>
      </c>
      <c r="L17">
        <f t="shared" si="7"/>
        <v>-2.5008714595522736</v>
      </c>
      <c r="M17">
        <f t="shared" si="8"/>
        <v>1.0017436785462985</v>
      </c>
      <c r="N17">
        <f t="shared" si="9"/>
        <v>-1.37860802038102</v>
      </c>
      <c r="O17">
        <f t="shared" si="10"/>
        <v>1.4736012715814846E-2</v>
      </c>
      <c r="P17">
        <f t="shared" si="11"/>
        <v>-1.5834741070243195</v>
      </c>
      <c r="Q17">
        <f t="shared" si="12"/>
        <v>6.9679265435075386E-3</v>
      </c>
      <c r="R17" s="24">
        <f t="shared" si="13"/>
        <v>-1.7488549884859947</v>
      </c>
      <c r="S17">
        <f t="shared" si="14"/>
        <v>6.1928805294364578E-2</v>
      </c>
      <c r="T17">
        <f t="shared" si="15"/>
        <v>-9.8194470629759154E-2</v>
      </c>
      <c r="U17">
        <f t="shared" si="16"/>
        <v>1.9650587421729815</v>
      </c>
      <c r="V17">
        <f t="shared" si="17"/>
        <v>-2.5008714785778969</v>
      </c>
      <c r="W17">
        <f t="shared" si="18"/>
        <v>1.0017437166307055</v>
      </c>
      <c r="X17">
        <f t="shared" si="21"/>
        <v>-1.3185171990173605</v>
      </c>
      <c r="Y17">
        <f t="shared" si="19"/>
        <v>3.2936007052504324E-2</v>
      </c>
      <c r="Z17" s="33">
        <f t="shared" si="22"/>
        <v>-1.8869363331127047</v>
      </c>
      <c r="AA17">
        <f t="shared" si="20"/>
        <v>0.14971972588270599</v>
      </c>
      <c r="AG17">
        <v>0.25</v>
      </c>
      <c r="AH17">
        <f>Table1!C44</f>
        <v>1.2</v>
      </c>
      <c r="AI17">
        <f>Table1!E44</f>
        <v>-2.2000000000000002</v>
      </c>
      <c r="AJ17">
        <f>Table1!G44</f>
        <v>2.9</v>
      </c>
      <c r="AM17">
        <f t="shared" si="23"/>
        <v>2.9</v>
      </c>
      <c r="AN17">
        <f t="shared" si="24"/>
        <v>2.9</v>
      </c>
      <c r="AO17">
        <f t="shared" si="1"/>
        <v>1.5916616175594933</v>
      </c>
      <c r="AP17">
        <f t="shared" si="4"/>
        <v>0.42793733074176032</v>
      </c>
      <c r="AR17">
        <f t="shared" si="2"/>
        <v>0.94377674550704949</v>
      </c>
      <c r="AS17">
        <f t="shared" si="3"/>
        <v>0.95670235535474757</v>
      </c>
    </row>
    <row r="18" spans="1:64" ht="15" thickBot="1" x14ac:dyDescent="0.4">
      <c r="A18" t="str">
        <f>Table1!A11</f>
        <v>Tol 1995</v>
      </c>
      <c r="B18">
        <f>Table1!C11</f>
        <v>2.5</v>
      </c>
      <c r="C18">
        <f>Table1!E11</f>
        <v>-1.9</v>
      </c>
      <c r="D18">
        <v>1</v>
      </c>
      <c r="E18">
        <v>1995</v>
      </c>
      <c r="F18" s="5"/>
      <c r="G18" s="5"/>
      <c r="H18" s="5"/>
      <c r="J18">
        <f t="shared" si="5"/>
        <v>-2.0481878890632412</v>
      </c>
      <c r="K18">
        <f t="shared" si="6"/>
        <v>2.1959650465019517E-2</v>
      </c>
      <c r="L18">
        <f t="shared" si="7"/>
        <v>-2.5008714595522736</v>
      </c>
      <c r="M18">
        <f t="shared" si="8"/>
        <v>0.3610465109044797</v>
      </c>
      <c r="N18">
        <f t="shared" si="9"/>
        <v>-1.37860802038102</v>
      </c>
      <c r="O18">
        <f t="shared" si="10"/>
        <v>0.27184959641099871</v>
      </c>
      <c r="P18">
        <f t="shared" si="11"/>
        <v>-1.5834741070243195</v>
      </c>
      <c r="Q18">
        <f t="shared" si="12"/>
        <v>0.10018864092405191</v>
      </c>
      <c r="R18" s="24">
        <f t="shared" si="13"/>
        <v>-1.7488549884859947</v>
      </c>
      <c r="S18">
        <f t="shared" si="14"/>
        <v>2.2844814505568755E-2</v>
      </c>
      <c r="T18">
        <f t="shared" si="15"/>
        <v>-9.8194470629759154E-2</v>
      </c>
      <c r="U18">
        <f t="shared" si="16"/>
        <v>3.2465031656691741</v>
      </c>
      <c r="V18">
        <f t="shared" si="17"/>
        <v>-2.5008714785778969</v>
      </c>
      <c r="W18">
        <f t="shared" si="18"/>
        <v>0.36104653376838813</v>
      </c>
      <c r="X18">
        <f t="shared" si="21"/>
        <v>-1.3185171990173605</v>
      </c>
      <c r="Y18">
        <f t="shared" si="19"/>
        <v>0.33812224783861577</v>
      </c>
      <c r="Z18" s="33">
        <f t="shared" si="22"/>
        <v>-1.8869363331127047</v>
      </c>
      <c r="AA18">
        <f t="shared" si="20"/>
        <v>1.7065939254221334E-4</v>
      </c>
      <c r="AG18">
        <v>0.25</v>
      </c>
      <c r="AH18">
        <f>Table1!C45</f>
        <v>3</v>
      </c>
      <c r="AI18">
        <f>Table1!E45</f>
        <v>-8.5</v>
      </c>
      <c r="AJ18">
        <f>Table1!G45</f>
        <v>6.7</v>
      </c>
      <c r="AM18">
        <f t="shared" si="23"/>
        <v>6.7</v>
      </c>
      <c r="AN18">
        <f t="shared" si="24"/>
        <v>6.7</v>
      </c>
      <c r="AO18">
        <f t="shared" si="1"/>
        <v>3.9791540438987338</v>
      </c>
      <c r="AP18">
        <f t="shared" si="4"/>
        <v>1.8507506792081536</v>
      </c>
      <c r="AR18">
        <f t="shared" si="2"/>
        <v>2.359441863767624</v>
      </c>
      <c r="AS18">
        <f t="shared" si="3"/>
        <v>4.7101112335032695</v>
      </c>
      <c r="AU18" s="2"/>
      <c r="AV18" s="2"/>
      <c r="AW18" s="2"/>
      <c r="AX18" s="2"/>
      <c r="AY18" s="2"/>
      <c r="AZ18" s="2"/>
      <c r="BA18" s="2"/>
      <c r="BB18" s="2"/>
      <c r="BD18" s="2"/>
      <c r="BE18" s="2"/>
      <c r="BF18" s="2"/>
      <c r="BG18" s="2"/>
      <c r="BH18" s="2"/>
      <c r="BI18" s="2"/>
      <c r="BJ18" s="2"/>
      <c r="BK18" s="2"/>
      <c r="BL18" s="2"/>
    </row>
    <row r="19" spans="1:64" x14ac:dyDescent="0.35">
      <c r="A19" t="str">
        <f>Table1!A12</f>
        <v>Nordhaus and Yang 1996</v>
      </c>
      <c r="B19">
        <f>Table1!C12</f>
        <v>2.5</v>
      </c>
      <c r="C19">
        <f>Table1!E12</f>
        <v>-1.435622202473182</v>
      </c>
      <c r="D19">
        <v>1</v>
      </c>
      <c r="E19">
        <v>1996</v>
      </c>
      <c r="F19" s="5"/>
      <c r="G19" s="5"/>
      <c r="H19" s="5"/>
      <c r="J19">
        <f t="shared" si="5"/>
        <v>-2.0481878890632412</v>
      </c>
      <c r="K19">
        <f t="shared" si="6"/>
        <v>0.37523672038755074</v>
      </c>
      <c r="L19">
        <f t="shared" si="7"/>
        <v>-2.5008714595522736</v>
      </c>
      <c r="M19">
        <f t="shared" si="8"/>
        <v>1.1347559797075568</v>
      </c>
      <c r="N19">
        <f t="shared" si="9"/>
        <v>-1.37860802038102</v>
      </c>
      <c r="O19">
        <f t="shared" si="10"/>
        <v>3.2506169596381962E-3</v>
      </c>
      <c r="P19">
        <f t="shared" si="11"/>
        <v>-1.5834741070243195</v>
      </c>
      <c r="Q19">
        <f t="shared" si="12"/>
        <v>2.1860185679398673E-2</v>
      </c>
      <c r="R19" s="24">
        <f t="shared" si="13"/>
        <v>-1.7488549884859947</v>
      </c>
      <c r="S19">
        <f t="shared" si="14"/>
        <v>9.8114778233348562E-2</v>
      </c>
      <c r="T19">
        <f t="shared" si="15"/>
        <v>-9.8194470629759154E-2</v>
      </c>
      <c r="U19">
        <f t="shared" si="16"/>
        <v>1.7887129379038427</v>
      </c>
      <c r="V19">
        <f t="shared" si="17"/>
        <v>-2.5008714785778969</v>
      </c>
      <c r="W19">
        <f t="shared" si="18"/>
        <v>1.1347560202416194</v>
      </c>
      <c r="X19">
        <f t="shared" si="21"/>
        <v>-1.3185171990173605</v>
      </c>
      <c r="Y19">
        <f t="shared" si="19"/>
        <v>1.3713581834387947E-2</v>
      </c>
      <c r="Z19" s="33">
        <f t="shared" si="22"/>
        <v>-1.8869363331127047</v>
      </c>
      <c r="AA19">
        <f t="shared" si="20"/>
        <v>0.20368444451490822</v>
      </c>
      <c r="AG19">
        <v>0.25</v>
      </c>
      <c r="AH19">
        <f>Table1!C46</f>
        <v>5</v>
      </c>
      <c r="AI19">
        <f>Table1!E46</f>
        <v>-16.100000000000001</v>
      </c>
      <c r="AJ19">
        <f>Table1!G46</f>
        <v>13.3</v>
      </c>
      <c r="AM19">
        <f t="shared" si="23"/>
        <v>13.3</v>
      </c>
      <c r="AN19">
        <f t="shared" si="24"/>
        <v>13.3</v>
      </c>
      <c r="AO19">
        <f t="shared" si="1"/>
        <v>6.6319234064978891</v>
      </c>
      <c r="AP19">
        <f t="shared" si="4"/>
        <v>11.115811364202681</v>
      </c>
      <c r="AR19">
        <f t="shared" si="2"/>
        <v>3.9324031062793727</v>
      </c>
      <c r="AS19">
        <f t="shared" si="3"/>
        <v>21.937967890811084</v>
      </c>
    </row>
    <row r="20" spans="1:64" x14ac:dyDescent="0.35">
      <c r="A20" t="str">
        <f>Table1!A13</f>
        <v>Plambeck and Hope 1996</v>
      </c>
      <c r="B20">
        <f>Table1!C13</f>
        <v>2.5</v>
      </c>
      <c r="C20">
        <f>Table1!E13</f>
        <v>-2.8909238132996098</v>
      </c>
      <c r="D20">
        <v>1</v>
      </c>
      <c r="E20">
        <v>1996</v>
      </c>
      <c r="F20" s="5"/>
      <c r="G20" s="5"/>
      <c r="H20" s="5"/>
      <c r="J20">
        <f t="shared" si="5"/>
        <v>-2.0481878890632412</v>
      </c>
      <c r="K20">
        <f t="shared" si="6"/>
        <v>0.71020383799852638</v>
      </c>
      <c r="L20">
        <f t="shared" si="7"/>
        <v>-2.5008714595522736</v>
      </c>
      <c r="M20">
        <f t="shared" si="8"/>
        <v>0.15214083866383707</v>
      </c>
      <c r="N20">
        <f t="shared" si="9"/>
        <v>-1.37860802038102</v>
      </c>
      <c r="O20">
        <f t="shared" si="10"/>
        <v>2.2870990575109826</v>
      </c>
      <c r="P20">
        <f t="shared" si="11"/>
        <v>-1.5834741070243195</v>
      </c>
      <c r="Q20">
        <f t="shared" si="12"/>
        <v>1.709424734439343</v>
      </c>
      <c r="R20" s="24">
        <f t="shared" si="13"/>
        <v>-1.7488549884859947</v>
      </c>
      <c r="S20">
        <f t="shared" si="14"/>
        <v>1.3043212006111518</v>
      </c>
      <c r="T20">
        <f t="shared" si="15"/>
        <v>-9.8194470629759154E-2</v>
      </c>
      <c r="U20">
        <f t="shared" si="16"/>
        <v>7.799337181409177</v>
      </c>
      <c r="V20">
        <f t="shared" si="17"/>
        <v>-2.5008714785778969</v>
      </c>
      <c r="W20">
        <f t="shared" si="18"/>
        <v>0.15214082382185912</v>
      </c>
      <c r="X20">
        <f t="shared" si="21"/>
        <v>-1.3185171990173605</v>
      </c>
      <c r="Y20">
        <f t="shared" si="19"/>
        <v>2.4724625606385664</v>
      </c>
      <c r="Z20" s="33">
        <f t="shared" si="22"/>
        <v>-1.8869363331127047</v>
      </c>
      <c r="AA20">
        <f t="shared" si="20"/>
        <v>1.0079908603720511</v>
      </c>
      <c r="AG20">
        <v>0.25</v>
      </c>
      <c r="AH20">
        <f>Table1!C47</f>
        <v>7</v>
      </c>
      <c r="AI20">
        <f>Table1!E47</f>
        <v>-25</v>
      </c>
      <c r="AJ20">
        <f>Table1!G47</f>
        <v>20.7</v>
      </c>
      <c r="AM20">
        <f t="shared" si="23"/>
        <v>20.7</v>
      </c>
      <c r="AN20">
        <f t="shared" si="24"/>
        <v>20.7</v>
      </c>
      <c r="AO20">
        <f t="shared" si="1"/>
        <v>9.2846927690970453</v>
      </c>
      <c r="AP20">
        <f t="shared" si="4"/>
        <v>32.577309793976319</v>
      </c>
      <c r="AR20">
        <f t="shared" si="2"/>
        <v>5.5053643487911224</v>
      </c>
      <c r="AS20">
        <f t="shared" si="3"/>
        <v>57.719238143246955</v>
      </c>
    </row>
    <row r="21" spans="1:64" x14ac:dyDescent="0.35">
      <c r="A21" t="str">
        <f>Table1!A14</f>
        <v>Mendelsohn et al. 2000, 2006</v>
      </c>
      <c r="B21">
        <f>Table1!C14</f>
        <v>2.4900000000000002</v>
      </c>
      <c r="C21">
        <f>Table1!E14</f>
        <v>0.03</v>
      </c>
      <c r="D21">
        <f>1/6</f>
        <v>0.16666666666666666</v>
      </c>
      <c r="E21">
        <v>2000</v>
      </c>
      <c r="F21" s="5"/>
      <c r="G21" s="5"/>
      <c r="H21" s="5"/>
      <c r="J21">
        <f t="shared" si="5"/>
        <v>-2.0373653143757307</v>
      </c>
      <c r="K21">
        <f t="shared" si="6"/>
        <v>0.71233322384731035</v>
      </c>
      <c r="L21">
        <f t="shared" si="7"/>
        <v>-2.4908679737140647</v>
      </c>
      <c r="M21">
        <f t="shared" si="8"/>
        <v>1.0591292234828755</v>
      </c>
      <c r="N21">
        <f t="shared" si="9"/>
        <v>-1.3676012139462981</v>
      </c>
      <c r="O21">
        <f t="shared" si="10"/>
        <v>0.32554819220402764</v>
      </c>
      <c r="P21">
        <f t="shared" si="11"/>
        <v>-1.5708894061978707</v>
      </c>
      <c r="Q21">
        <f t="shared" si="12"/>
        <v>0.42714114847942852</v>
      </c>
      <c r="R21" s="24">
        <f t="shared" si="13"/>
        <v>-1.7350744987219211</v>
      </c>
      <c r="S21">
        <f t="shared" si="14"/>
        <v>0.5192479976730735</v>
      </c>
      <c r="T21">
        <f t="shared" si="15"/>
        <v>-9.7130046030298678E-2</v>
      </c>
      <c r="U21">
        <f t="shared" si="16"/>
        <v>2.693674767277643E-3</v>
      </c>
      <c r="V21">
        <f t="shared" si="17"/>
        <v>-2.4908679926635853</v>
      </c>
      <c r="W21">
        <f t="shared" si="18"/>
        <v>1.0591292394059555</v>
      </c>
      <c r="X21">
        <f t="shared" si="21"/>
        <v>-1.3113166553458653</v>
      </c>
      <c r="Y21">
        <f t="shared" si="19"/>
        <v>0.29985506165136977</v>
      </c>
      <c r="Z21" s="33">
        <f t="shared" si="22"/>
        <v>-1.8753891729350891</v>
      </c>
      <c r="AA21">
        <f t="shared" si="20"/>
        <v>0.60508465005637713</v>
      </c>
      <c r="AG21">
        <v>1</v>
      </c>
      <c r="AH21">
        <f>Table1!C54*A1</f>
        <v>4.3</v>
      </c>
      <c r="AI21">
        <f>Table1!E54*A1</f>
        <v>-9.8899999999999988</v>
      </c>
      <c r="AJ21">
        <f>Table1!G54*A1</f>
        <v>5.6760000000000002</v>
      </c>
      <c r="AM21">
        <f t="shared" si="23"/>
        <v>5.6760000000000002</v>
      </c>
      <c r="AN21">
        <f t="shared" si="24"/>
        <v>5.6760000000000002</v>
      </c>
      <c r="AO21">
        <f t="shared" si="1"/>
        <v>5.7034541295881844</v>
      </c>
      <c r="AP21">
        <f t="shared" si="4"/>
        <v>7.537292314448151E-4</v>
      </c>
      <c r="AR21">
        <f t="shared" si="2"/>
        <v>3.3818666714002608</v>
      </c>
      <c r="AS21">
        <f t="shared" si="3"/>
        <v>5.2630477293921203</v>
      </c>
    </row>
    <row r="22" spans="1:64" x14ac:dyDescent="0.35">
      <c r="A22">
        <f>Table1!A15</f>
        <v>0</v>
      </c>
      <c r="B22">
        <f>Table1!C15</f>
        <v>2.4900000000000002</v>
      </c>
      <c r="C22">
        <f>Table1!E15</f>
        <v>0.1</v>
      </c>
      <c r="D22">
        <f t="shared" ref="D22:D26" si="25">1/6</f>
        <v>0.16666666666666666</v>
      </c>
      <c r="E22">
        <v>2000</v>
      </c>
      <c r="F22" s="5"/>
      <c r="G22" s="5"/>
      <c r="H22" s="5"/>
      <c r="J22">
        <f t="shared" si="5"/>
        <v>-2.0373653143757307</v>
      </c>
      <c r="K22">
        <f t="shared" si="6"/>
        <v>0.76138841451607775</v>
      </c>
      <c r="L22">
        <f t="shared" si="7"/>
        <v>-2.4908679737140647</v>
      </c>
      <c r="M22">
        <f t="shared" si="8"/>
        <v>1.1187661428695372</v>
      </c>
      <c r="N22">
        <f t="shared" si="9"/>
        <v>-1.3676012139462981</v>
      </c>
      <c r="O22">
        <f t="shared" si="10"/>
        <v>0.35897555386277463</v>
      </c>
      <c r="P22">
        <f t="shared" si="11"/>
        <v>-1.5708894061978707</v>
      </c>
      <c r="Q22">
        <f t="shared" si="12"/>
        <v>0.46531190129071215</v>
      </c>
      <c r="R22" s="24">
        <f t="shared" si="13"/>
        <v>-1.7350744987219211</v>
      </c>
      <c r="S22">
        <f t="shared" si="14"/>
        <v>0.56124973597658501</v>
      </c>
      <c r="T22">
        <f t="shared" si="15"/>
        <v>-9.7130046030298678E-2</v>
      </c>
      <c r="U22">
        <f t="shared" si="16"/>
        <v>6.4767091746512802E-3</v>
      </c>
      <c r="V22">
        <f t="shared" si="17"/>
        <v>-2.4908679926635853</v>
      </c>
      <c r="W22">
        <f t="shared" si="18"/>
        <v>1.1187661592347726</v>
      </c>
      <c r="X22">
        <f t="shared" si="21"/>
        <v>-1.3113166553458653</v>
      </c>
      <c r="Y22">
        <f t="shared" si="19"/>
        <v>0.33196911694277331</v>
      </c>
      <c r="Z22" s="33">
        <f t="shared" si="22"/>
        <v>-1.8753891729350891</v>
      </c>
      <c r="AA22">
        <f t="shared" si="20"/>
        <v>0.65036039742486262</v>
      </c>
      <c r="AG22">
        <v>1</v>
      </c>
      <c r="AH22">
        <f>Table1!C64</f>
        <v>2.5</v>
      </c>
      <c r="AI22" s="5">
        <f>Table1!E65</f>
        <v>-3.8</v>
      </c>
      <c r="AJ22">
        <f>Table1!G64</f>
        <v>8.44</v>
      </c>
      <c r="AM22">
        <f t="shared" si="23"/>
        <v>8.44</v>
      </c>
      <c r="AN22">
        <f t="shared" si="24"/>
        <v>8.44</v>
      </c>
      <c r="AO22">
        <f t="shared" si="1"/>
        <v>3.3159617032489446</v>
      </c>
      <c r="AP22">
        <f t="shared" si="4"/>
        <v>26.255768466571446</v>
      </c>
      <c r="AR22">
        <f t="shared" si="2"/>
        <v>1.9662015531396864</v>
      </c>
      <c r="AS22">
        <f t="shared" si="3"/>
        <v>41.910066330570999</v>
      </c>
    </row>
    <row r="23" spans="1:64" x14ac:dyDescent="0.35">
      <c r="A23">
        <f>Table1!A16</f>
        <v>0</v>
      </c>
      <c r="B23">
        <f>Table1!C16</f>
        <v>4</v>
      </c>
      <c r="C23">
        <f>Table1!E16</f>
        <v>-0.01</v>
      </c>
      <c r="D23">
        <f t="shared" si="25"/>
        <v>0.16666666666666666</v>
      </c>
      <c r="E23">
        <v>2000</v>
      </c>
      <c r="F23" s="5"/>
      <c r="G23" s="5"/>
      <c r="H23" s="5"/>
      <c r="J23">
        <f t="shared" si="5"/>
        <v>-3.910792943286217</v>
      </c>
      <c r="K23">
        <f t="shared" si="6"/>
        <v>2.536030931065258</v>
      </c>
      <c r="L23">
        <f t="shared" si="7"/>
        <v>-4.0013943352836376</v>
      </c>
      <c r="M23">
        <f t="shared" si="8"/>
        <v>2.655204789955719</v>
      </c>
      <c r="N23">
        <f t="shared" si="9"/>
        <v>-3.5292365321754113</v>
      </c>
      <c r="O23">
        <f t="shared" si="10"/>
        <v>2.0641709615663357</v>
      </c>
      <c r="P23">
        <f t="shared" si="11"/>
        <v>-3.9824349609482574</v>
      </c>
      <c r="Q23">
        <f t="shared" si="12"/>
        <v>2.6300399198273308</v>
      </c>
      <c r="R23" s="24">
        <f t="shared" si="13"/>
        <v>-4.3127329360649069</v>
      </c>
      <c r="S23">
        <f t="shared" si="14"/>
        <v>3.0855851198496227</v>
      </c>
      <c r="T23">
        <f t="shared" si="15"/>
        <v>-0.47065010611531927</v>
      </c>
      <c r="U23">
        <f t="shared" si="16"/>
        <v>3.5366420044009146E-2</v>
      </c>
      <c r="V23">
        <f t="shared" si="17"/>
        <v>-4.0013943657246349</v>
      </c>
      <c r="W23">
        <f t="shared" si="18"/>
        <v>2.6552048304563938</v>
      </c>
      <c r="X23">
        <f t="shared" si="21"/>
        <v>-2.7712219324958651</v>
      </c>
      <c r="Y23">
        <f t="shared" si="19"/>
        <v>1.2707244267493669</v>
      </c>
      <c r="Z23" s="33">
        <f t="shared" si="22"/>
        <v>-3.9515235866361418</v>
      </c>
      <c r="AA23">
        <f t="shared" si="20"/>
        <v>2.5892680306681726</v>
      </c>
      <c r="AG23">
        <v>1</v>
      </c>
      <c r="AH23">
        <f>Table1!C65*A1</f>
        <v>4.3</v>
      </c>
      <c r="AI23" s="5">
        <f>Table1!E66*A1</f>
        <v>-5.8049999999999997</v>
      </c>
      <c r="AK23">
        <f>Table1!I65*A1</f>
        <v>-11.61</v>
      </c>
      <c r="AL23">
        <f>Table1!K65*A1</f>
        <v>-18.059999999999999</v>
      </c>
      <c r="AM23">
        <f>(AI23-AK23)/2</f>
        <v>2.9024999999999999</v>
      </c>
      <c r="AN23">
        <f>(AL23-AI23)/2</f>
        <v>-6.1274999999999995</v>
      </c>
      <c r="AO23">
        <f t="shared" si="1"/>
        <v>5.7034541295881844</v>
      </c>
      <c r="AP23">
        <f t="shared" si="4"/>
        <v>7.8453440360571047</v>
      </c>
      <c r="AR23">
        <f t="shared" si="2"/>
        <v>3.3818666714002608</v>
      </c>
      <c r="AS23">
        <f t="shared" si="3"/>
        <v>90.428054491138056</v>
      </c>
    </row>
    <row r="24" spans="1:64" x14ac:dyDescent="0.35">
      <c r="A24">
        <f>Table1!A17</f>
        <v>0</v>
      </c>
      <c r="B24">
        <f>Table1!C17</f>
        <v>4</v>
      </c>
      <c r="C24">
        <f>Table1!E17</f>
        <v>-0.04</v>
      </c>
      <c r="D24">
        <f t="shared" si="25"/>
        <v>0.16666666666666666</v>
      </c>
      <c r="E24">
        <v>2000</v>
      </c>
      <c r="F24" s="5"/>
      <c r="G24" s="5"/>
      <c r="H24" s="5"/>
      <c r="J24">
        <f t="shared" si="5"/>
        <v>-3.910792943286217</v>
      </c>
      <c r="K24">
        <f t="shared" si="6"/>
        <v>2.4971730016323956</v>
      </c>
      <c r="L24">
        <f t="shared" si="7"/>
        <v>-4.0013943352836376</v>
      </c>
      <c r="M24">
        <f t="shared" si="8"/>
        <v>2.615440846602882</v>
      </c>
      <c r="N24">
        <f t="shared" si="9"/>
        <v>-3.5292365321754113</v>
      </c>
      <c r="O24">
        <f t="shared" si="10"/>
        <v>2.0291285962445818</v>
      </c>
      <c r="P24">
        <f t="shared" si="11"/>
        <v>-3.9824349609482574</v>
      </c>
      <c r="Q24">
        <f t="shared" si="12"/>
        <v>2.5904655702178481</v>
      </c>
      <c r="R24" s="24">
        <f t="shared" si="13"/>
        <v>-4.3127329360649069</v>
      </c>
      <c r="S24">
        <f t="shared" si="14"/>
        <v>3.042707790488973</v>
      </c>
      <c r="T24">
        <f t="shared" si="15"/>
        <v>-0.47065010611531927</v>
      </c>
      <c r="U24">
        <f t="shared" si="16"/>
        <v>3.0909918982855961E-2</v>
      </c>
      <c r="V24">
        <f t="shared" si="17"/>
        <v>-4.0013943657246349</v>
      </c>
      <c r="W24">
        <f t="shared" si="18"/>
        <v>2.615440886799147</v>
      </c>
      <c r="X24">
        <f t="shared" si="21"/>
        <v>-2.7712219324958651</v>
      </c>
      <c r="Y24">
        <f t="shared" si="19"/>
        <v>1.243262207424408</v>
      </c>
      <c r="Z24" s="33">
        <f t="shared" si="22"/>
        <v>-3.9515235866361418</v>
      </c>
      <c r="AA24">
        <f t="shared" si="20"/>
        <v>2.5500027948018111</v>
      </c>
      <c r="AG24">
        <v>1</v>
      </c>
      <c r="AH24">
        <f>Table1!C69</f>
        <v>3</v>
      </c>
      <c r="AI24" s="5">
        <f>Table1!E69</f>
        <v>-0.7</v>
      </c>
      <c r="AK24">
        <f>Table1!I69</f>
        <v>-1.8</v>
      </c>
      <c r="AL24">
        <f>Table1!K69</f>
        <v>-0.3</v>
      </c>
      <c r="AM24">
        <f>(AI24-AK24)/2</f>
        <v>0.55000000000000004</v>
      </c>
      <c r="AN24">
        <f>(AL24-AI24)/2</f>
        <v>0.19999999999999998</v>
      </c>
      <c r="AO24">
        <f t="shared" si="1"/>
        <v>3.9791540438987338</v>
      </c>
      <c r="AP24">
        <f t="shared" si="4"/>
        <v>11.759097456787041</v>
      </c>
      <c r="AR24">
        <f t="shared" si="2"/>
        <v>2.359441863767624</v>
      </c>
      <c r="AS24">
        <f t="shared" si="3"/>
        <v>4.6631891629921887</v>
      </c>
    </row>
    <row r="25" spans="1:64" ht="15" thickBot="1" x14ac:dyDescent="0.4">
      <c r="A25">
        <f>Table1!A18</f>
        <v>0</v>
      </c>
      <c r="B25">
        <f>Table1!C18</f>
        <v>5.2</v>
      </c>
      <c r="C25">
        <f>Table1!E18</f>
        <v>-0.01</v>
      </c>
      <c r="D25">
        <f t="shared" si="25"/>
        <v>0.16666666666666666</v>
      </c>
      <c r="E25">
        <v>2000</v>
      </c>
      <c r="F25" s="5"/>
      <c r="G25" s="5"/>
      <c r="H25" s="5"/>
      <c r="J25">
        <f t="shared" si="5"/>
        <v>-5.7430708398885155</v>
      </c>
      <c r="K25">
        <f t="shared" si="6"/>
        <v>5.4780168758633341</v>
      </c>
      <c r="L25">
        <f t="shared" si="7"/>
        <v>-5.2018126358687287</v>
      </c>
      <c r="M25">
        <f t="shared" si="8"/>
        <v>4.4924864076610325</v>
      </c>
      <c r="N25">
        <f t="shared" si="9"/>
        <v>-5.9644097393764461</v>
      </c>
      <c r="O25">
        <f t="shared" si="10"/>
        <v>5.9091658907301801</v>
      </c>
      <c r="P25">
        <f t="shared" si="11"/>
        <v>-6.3691620298069331</v>
      </c>
      <c r="Q25">
        <f t="shared" si="12"/>
        <v>6.7398236202230395</v>
      </c>
      <c r="R25" s="24">
        <f t="shared" si="13"/>
        <v>-6.6802076420205045</v>
      </c>
      <c r="S25">
        <f t="shared" si="14"/>
        <v>7.4152783312781239</v>
      </c>
      <c r="T25">
        <f t="shared" si="15"/>
        <v>-1.5829865343434344</v>
      </c>
      <c r="U25">
        <f t="shared" si="16"/>
        <v>0.41238110620429469</v>
      </c>
      <c r="V25">
        <f t="shared" si="17"/>
        <v>-5.2018126754420253</v>
      </c>
      <c r="W25">
        <f t="shared" si="18"/>
        <v>4.4924864761467465</v>
      </c>
      <c r="X25">
        <f t="shared" si="21"/>
        <v>-4.7712319688956555</v>
      </c>
      <c r="Y25">
        <f t="shared" si="19"/>
        <v>3.7782216436056668</v>
      </c>
      <c r="Z25" s="33">
        <f t="shared" si="22"/>
        <v>-5.9457000576778993</v>
      </c>
      <c r="AA25">
        <f t="shared" si="20"/>
        <v>5.872089195786236</v>
      </c>
    </row>
    <row r="26" spans="1:64" x14ac:dyDescent="0.35">
      <c r="A26">
        <f>Table1!A19</f>
        <v>0</v>
      </c>
      <c r="B26">
        <f>Table1!C19</f>
        <v>5.2</v>
      </c>
      <c r="C26">
        <f>Table1!E19</f>
        <v>-0.13</v>
      </c>
      <c r="D26">
        <f t="shared" si="25"/>
        <v>0.16666666666666666</v>
      </c>
      <c r="E26">
        <v>2000</v>
      </c>
      <c r="F26" s="5"/>
      <c r="G26" s="5"/>
      <c r="H26" s="5"/>
      <c r="J26">
        <f t="shared" si="5"/>
        <v>-5.7430708398885155</v>
      </c>
      <c r="K26">
        <f t="shared" si="6"/>
        <v>5.2510940422677939</v>
      </c>
      <c r="L26">
        <f t="shared" si="7"/>
        <v>-5.2018126358687287</v>
      </c>
      <c r="M26">
        <f t="shared" si="8"/>
        <v>4.2872139022262834</v>
      </c>
      <c r="N26">
        <f t="shared" si="9"/>
        <v>-5.9644097393764461</v>
      </c>
      <c r="O26">
        <f t="shared" si="10"/>
        <v>5.6733895011551221</v>
      </c>
      <c r="P26">
        <f t="shared" si="11"/>
        <v>-6.3691620298069331</v>
      </c>
      <c r="Q26">
        <f t="shared" si="12"/>
        <v>6.487857139030762</v>
      </c>
      <c r="R26" s="24">
        <f t="shared" si="13"/>
        <v>-6.6802076420205045</v>
      </c>
      <c r="S26">
        <f t="shared" si="14"/>
        <v>7.1508700255973032</v>
      </c>
      <c r="T26">
        <f t="shared" si="15"/>
        <v>-1.5829865343434344</v>
      </c>
      <c r="U26">
        <f t="shared" si="16"/>
        <v>0.35186164483055743</v>
      </c>
      <c r="V26">
        <f t="shared" si="17"/>
        <v>-5.2018126754420253</v>
      </c>
      <c r="W26">
        <f t="shared" si="18"/>
        <v>4.2872139691290654</v>
      </c>
      <c r="X26">
        <f t="shared" si="21"/>
        <v>-4.7712319688956555</v>
      </c>
      <c r="Y26">
        <f t="shared" si="19"/>
        <v>3.5901723648498405</v>
      </c>
      <c r="Z26" s="33">
        <f t="shared" si="22"/>
        <v>-5.9457000576778993</v>
      </c>
      <c r="AA26">
        <f t="shared" si="20"/>
        <v>5.6370611934791199</v>
      </c>
      <c r="AN26" s="39"/>
      <c r="AT26" s="4"/>
      <c r="AU26" s="4"/>
    </row>
    <row r="27" spans="1:64" x14ac:dyDescent="0.35">
      <c r="A27" t="str">
        <f>Table1!A20</f>
        <v>Nordhaus and Boyer 2000</v>
      </c>
      <c r="B27">
        <f>Table1!C20</f>
        <v>2.5</v>
      </c>
      <c r="C27">
        <f>Table1!E20</f>
        <v>-1.5</v>
      </c>
      <c r="D27">
        <v>1</v>
      </c>
      <c r="E27">
        <v>2000</v>
      </c>
      <c r="F27" s="5"/>
      <c r="G27" s="5"/>
      <c r="H27" s="5"/>
      <c r="J27">
        <f t="shared" si="5"/>
        <v>-2.0481878890632412</v>
      </c>
      <c r="K27">
        <f t="shared" si="6"/>
        <v>0.30050996171561245</v>
      </c>
      <c r="L27">
        <f t="shared" si="7"/>
        <v>-2.5008714595522736</v>
      </c>
      <c r="M27">
        <f t="shared" si="8"/>
        <v>1.0017436785462985</v>
      </c>
      <c r="N27">
        <f t="shared" si="9"/>
        <v>-1.37860802038102</v>
      </c>
      <c r="O27">
        <f t="shared" si="10"/>
        <v>1.4736012715814846E-2</v>
      </c>
      <c r="P27">
        <f t="shared" si="11"/>
        <v>-1.5834741070243195</v>
      </c>
      <c r="Q27">
        <f t="shared" si="12"/>
        <v>6.9679265435075386E-3</v>
      </c>
      <c r="R27" s="24">
        <f t="shared" si="13"/>
        <v>-1.7488549884859947</v>
      </c>
      <c r="S27">
        <f t="shared" si="14"/>
        <v>6.1928805294364578E-2</v>
      </c>
      <c r="T27">
        <f t="shared" si="15"/>
        <v>-9.8194470629759154E-2</v>
      </c>
      <c r="U27">
        <f t="shared" si="16"/>
        <v>1.9650587421729815</v>
      </c>
      <c r="V27">
        <f t="shared" si="17"/>
        <v>-2.5008714785778969</v>
      </c>
      <c r="W27">
        <f t="shared" si="18"/>
        <v>1.0017437166307055</v>
      </c>
      <c r="X27">
        <f t="shared" si="21"/>
        <v>-1.3185171990173605</v>
      </c>
      <c r="Y27">
        <f t="shared" si="19"/>
        <v>3.2936007052504324E-2</v>
      </c>
      <c r="Z27" s="33">
        <f t="shared" si="22"/>
        <v>-1.8869363331127047</v>
      </c>
      <c r="AA27">
        <f t="shared" si="20"/>
        <v>0.14971972588270599</v>
      </c>
      <c r="AE27" s="21"/>
      <c r="AF27" s="21"/>
      <c r="AG27" s="21"/>
      <c r="AH27" s="21"/>
      <c r="AI27" s="21"/>
      <c r="AJ27" s="21"/>
      <c r="AK27" s="21"/>
      <c r="AL27" s="21"/>
      <c r="AM27" s="21"/>
      <c r="AN27" s="39"/>
    </row>
    <row r="28" spans="1:64" x14ac:dyDescent="0.35">
      <c r="A28" t="str">
        <f>Table1!A21</f>
        <v>Tol 2002</v>
      </c>
      <c r="B28">
        <f>Table1!C21</f>
        <v>1</v>
      </c>
      <c r="C28">
        <f>Table1!E21</f>
        <v>2.2999999999999998</v>
      </c>
      <c r="D28">
        <v>1</v>
      </c>
      <c r="E28">
        <v>2002</v>
      </c>
      <c r="F28" s="5"/>
      <c r="G28" s="5"/>
      <c r="H28" s="5"/>
      <c r="J28">
        <f t="shared" si="5"/>
        <v>-0.66085207542903868</v>
      </c>
      <c r="K28">
        <f t="shared" si="6"/>
        <v>8.7666450125724449</v>
      </c>
      <c r="L28">
        <f t="shared" si="7"/>
        <v>-1.0003485838209094</v>
      </c>
      <c r="M28">
        <f t="shared" si="8"/>
        <v>10.892300774728682</v>
      </c>
      <c r="N28">
        <f t="shared" si="9"/>
        <v>-0.22057728326096321</v>
      </c>
      <c r="O28">
        <f t="shared" si="10"/>
        <v>6.3533098408912165</v>
      </c>
      <c r="P28">
        <f t="shared" si="11"/>
        <v>-0.25382056068614478</v>
      </c>
      <c r="Q28">
        <f t="shared" si="12"/>
        <v>6.5219994561832939</v>
      </c>
      <c r="R28" s="24">
        <f t="shared" si="13"/>
        <v>-0.28161888190858159</v>
      </c>
      <c r="S28">
        <f t="shared" si="14"/>
        <v>6.664756051426914</v>
      </c>
      <c r="T28">
        <f t="shared" si="15"/>
        <v>-1.5088385035680923E-2</v>
      </c>
      <c r="U28">
        <f t="shared" si="16"/>
        <v>5.3596342305271172</v>
      </c>
      <c r="V28">
        <f t="shared" si="17"/>
        <v>-1.0003485914311587</v>
      </c>
      <c r="W28">
        <f t="shared" si="18"/>
        <v>10.892300824961634</v>
      </c>
      <c r="X28">
        <f t="shared" si="21"/>
        <v>-0.44980995423266756</v>
      </c>
      <c r="Y28">
        <f t="shared" si="19"/>
        <v>7.561454784397065</v>
      </c>
      <c r="Z28" s="33">
        <f t="shared" si="22"/>
        <v>-0.51274788144753491</v>
      </c>
      <c r="AA28">
        <f t="shared" si="20"/>
        <v>7.9115506445875958</v>
      </c>
      <c r="AE28" s="21"/>
      <c r="AF28" s="21"/>
      <c r="AG28" s="21"/>
      <c r="AH28" s="21"/>
      <c r="AI28" s="21"/>
      <c r="AJ28" s="21"/>
      <c r="AK28" s="21"/>
      <c r="AL28" s="21"/>
      <c r="AM28" s="21"/>
      <c r="AN28" s="39"/>
    </row>
    <row r="29" spans="1:64" x14ac:dyDescent="0.35">
      <c r="A29" t="str">
        <f>Table1!A22</f>
        <v>Maddison 2003</v>
      </c>
      <c r="B29">
        <f>Table1!C22</f>
        <v>2.5</v>
      </c>
      <c r="C29">
        <f>Table1!E22</f>
        <v>3.3000365094043249E-2</v>
      </c>
      <c r="D29">
        <v>1</v>
      </c>
      <c r="E29">
        <v>2003</v>
      </c>
      <c r="F29" s="5"/>
      <c r="G29" s="5"/>
      <c r="H29" s="5"/>
      <c r="J29">
        <f t="shared" si="5"/>
        <v>-2.0481878890632412</v>
      </c>
      <c r="K29">
        <f t="shared" si="6"/>
        <v>4.331344549242246</v>
      </c>
      <c r="L29">
        <f t="shared" si="7"/>
        <v>-2.5008714595522736</v>
      </c>
      <c r="M29">
        <f t="shared" si="8"/>
        <v>6.4205064237364562</v>
      </c>
      <c r="N29">
        <f t="shared" si="9"/>
        <v>-1.37860802038102</v>
      </c>
      <c r="O29">
        <f t="shared" si="10"/>
        <v>1.9926382339435145</v>
      </c>
      <c r="P29">
        <f t="shared" si="11"/>
        <v>-1.5834741070243195</v>
      </c>
      <c r="Q29">
        <f t="shared" si="12"/>
        <v>2.6129897190103399</v>
      </c>
      <c r="R29" s="24">
        <f t="shared" si="13"/>
        <v>-1.7488549884859947</v>
      </c>
      <c r="S29">
        <f t="shared" si="14"/>
        <v>3.1750085010818418</v>
      </c>
      <c r="T29">
        <f t="shared" si="15"/>
        <v>-9.8194470629759154E-2</v>
      </c>
      <c r="U29">
        <f t="shared" si="16"/>
        <v>1.7212084920595502E-2</v>
      </c>
      <c r="V29">
        <f t="shared" si="17"/>
        <v>-2.5008714785778969</v>
      </c>
      <c r="W29">
        <f t="shared" si="18"/>
        <v>6.4205065201534381</v>
      </c>
      <c r="X29">
        <f t="shared" si="21"/>
        <v>-1.3185171990173605</v>
      </c>
      <c r="Y29">
        <f t="shared" si="19"/>
        <v>1.826599726101622</v>
      </c>
      <c r="Z29" s="33">
        <f t="shared" si="22"/>
        <v>-1.8869363331127047</v>
      </c>
      <c r="AA29">
        <f t="shared" si="20"/>
        <v>3.6861569251210287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39"/>
    </row>
    <row r="30" spans="1:64" x14ac:dyDescent="0.35">
      <c r="A30" t="str">
        <f>Table1!A23</f>
        <v>Rehdanz and Maddison 2005</v>
      </c>
      <c r="B30">
        <f>Table1!C23</f>
        <v>0.6</v>
      </c>
      <c r="C30">
        <f>Table1!E23</f>
        <v>-0.17962065483383896</v>
      </c>
      <c r="D30">
        <v>0.5</v>
      </c>
      <c r="E30">
        <v>2005</v>
      </c>
      <c r="F30" s="5"/>
      <c r="G30" s="5"/>
      <c r="H30" s="5"/>
      <c r="J30">
        <f t="shared" si="5"/>
        <v>-0.371163552426022</v>
      </c>
      <c r="K30">
        <f t="shared" si="6"/>
        <v>1.834434080900476E-2</v>
      </c>
      <c r="L30">
        <f t="shared" si="7"/>
        <v>-0.60020915029254562</v>
      </c>
      <c r="M30">
        <f t="shared" si="8"/>
        <v>8.8447341256109271E-2</v>
      </c>
      <c r="N30">
        <f t="shared" si="9"/>
        <v>-7.9407821973946746E-2</v>
      </c>
      <c r="O30">
        <f t="shared" si="10"/>
        <v>5.0213059349023467E-3</v>
      </c>
      <c r="P30">
        <f t="shared" si="11"/>
        <v>-9.1376998066157511E-2</v>
      </c>
      <c r="Q30">
        <f t="shared" si="12"/>
        <v>3.8934714798661862E-3</v>
      </c>
      <c r="R30" s="24">
        <f t="shared" si="13"/>
        <v>-0.10139763287968886</v>
      </c>
      <c r="S30">
        <f t="shared" si="14"/>
        <v>3.0594205818197241E-3</v>
      </c>
      <c r="T30">
        <f t="shared" si="15"/>
        <v>-7.2190980547634682E-3</v>
      </c>
      <c r="U30">
        <f t="shared" si="16"/>
        <v>1.4861148389924394E-2</v>
      </c>
      <c r="V30">
        <f t="shared" si="17"/>
        <v>-0.60020915485869519</v>
      </c>
      <c r="W30">
        <f t="shared" si="18"/>
        <v>8.8447343176579263E-2</v>
      </c>
      <c r="X30">
        <f t="shared" si="21"/>
        <v>-0.26451723431652668</v>
      </c>
      <c r="Y30">
        <f t="shared" si="19"/>
        <v>3.6037146039301568E-3</v>
      </c>
      <c r="Z30" s="33">
        <f t="shared" si="22"/>
        <v>-0.26902517459802411</v>
      </c>
      <c r="AA30">
        <f t="shared" si="20"/>
        <v>3.9965840771322867E-3</v>
      </c>
      <c r="AE30" s="21"/>
      <c r="AF30" s="21"/>
      <c r="AG30" s="21"/>
      <c r="AH30" s="21"/>
      <c r="AI30" s="21"/>
      <c r="AJ30" s="21"/>
      <c r="AK30" s="21"/>
      <c r="AL30" s="21"/>
      <c r="AM30" s="21"/>
      <c r="AN30" s="39"/>
    </row>
    <row r="31" spans="1:64" ht="15" thickBot="1" x14ac:dyDescent="0.4">
      <c r="A31">
        <f>Table1!A24</f>
        <v>0</v>
      </c>
      <c r="B31">
        <f>Table1!C24</f>
        <v>1</v>
      </c>
      <c r="C31">
        <f>Table1!E24</f>
        <v>-0.30947656699459297</v>
      </c>
      <c r="D31">
        <v>0.5</v>
      </c>
      <c r="E31">
        <v>2005</v>
      </c>
      <c r="F31" s="5"/>
      <c r="G31" s="5"/>
      <c r="H31" s="5"/>
      <c r="J31">
        <f t="shared" si="5"/>
        <v>-0.66085207542903868</v>
      </c>
      <c r="K31">
        <f t="shared" si="6"/>
        <v>6.1732373963782609E-2</v>
      </c>
      <c r="L31">
        <f t="shared" si="7"/>
        <v>-1.0003485838209094</v>
      </c>
      <c r="M31">
        <f t="shared" si="8"/>
        <v>0.23865207181683107</v>
      </c>
      <c r="N31">
        <f t="shared" si="9"/>
        <v>-0.22057728326096321</v>
      </c>
      <c r="O31">
        <f t="shared" si="10"/>
        <v>3.9515413241762044E-3</v>
      </c>
      <c r="P31">
        <f t="shared" si="11"/>
        <v>-0.25382056068614478</v>
      </c>
      <c r="Q31">
        <f t="shared" si="12"/>
        <v>1.5487955191030125E-3</v>
      </c>
      <c r="R31" s="24">
        <f t="shared" si="13"/>
        <v>-0.28161888190858159</v>
      </c>
      <c r="S31">
        <f t="shared" si="14"/>
        <v>3.880253091756906E-4</v>
      </c>
      <c r="T31">
        <f t="shared" si="15"/>
        <v>-1.5088385035680923E-2</v>
      </c>
      <c r="U31">
        <f t="shared" si="16"/>
        <v>4.3332200838536748E-2</v>
      </c>
      <c r="V31">
        <f t="shared" si="17"/>
        <v>-1.0003485914311587</v>
      </c>
      <c r="W31">
        <f t="shared" si="18"/>
        <v>0.23865207707453939</v>
      </c>
      <c r="X31">
        <f t="shared" si="21"/>
        <v>-0.44980995423266756</v>
      </c>
      <c r="Y31">
        <f t="shared" si="19"/>
        <v>9.8467297868556989E-3</v>
      </c>
      <c r="Z31" s="33">
        <f t="shared" si="22"/>
        <v>-0.51274788144753491</v>
      </c>
      <c r="AA31">
        <f t="shared" si="20"/>
        <v>2.0659613639713401E-2</v>
      </c>
      <c r="AE31" s="21"/>
      <c r="AF31" s="21"/>
      <c r="AG31" s="21"/>
      <c r="AH31" s="21"/>
      <c r="AI31" s="21"/>
      <c r="AJ31" s="21"/>
      <c r="AK31" s="21"/>
      <c r="AL31" s="21"/>
      <c r="AM31" s="21"/>
      <c r="AN31" s="39"/>
      <c r="AT31" s="2"/>
      <c r="AU31" s="2"/>
    </row>
    <row r="32" spans="1:64" x14ac:dyDescent="0.35">
      <c r="A32" t="str">
        <f>Table1!A25</f>
        <v>Hope 2006</v>
      </c>
      <c r="B32">
        <f>Table1!C25</f>
        <v>2.5</v>
      </c>
      <c r="C32">
        <f>Table1!E25</f>
        <v>-0.9804776851232514</v>
      </c>
      <c r="D32">
        <v>1</v>
      </c>
      <c r="E32">
        <v>2006</v>
      </c>
      <c r="F32" s="5"/>
      <c r="G32" s="5"/>
      <c r="H32" s="5"/>
      <c r="J32">
        <f t="shared" si="5"/>
        <v>-2.0481878890632412</v>
      </c>
      <c r="K32">
        <f t="shared" si="6"/>
        <v>1.1400050795975745</v>
      </c>
      <c r="L32">
        <f t="shared" si="7"/>
        <v>-2.5008714595522736</v>
      </c>
      <c r="M32">
        <f t="shared" si="8"/>
        <v>2.3115972293225284</v>
      </c>
      <c r="N32">
        <f t="shared" si="9"/>
        <v>-1.37860802038102</v>
      </c>
      <c r="O32">
        <f t="shared" si="10"/>
        <v>0.15850776385246326</v>
      </c>
      <c r="P32">
        <f t="shared" si="11"/>
        <v>-1.5834741070243195</v>
      </c>
      <c r="Q32">
        <f t="shared" si="12"/>
        <v>0.36360468482549085</v>
      </c>
      <c r="R32" s="24">
        <f t="shared" si="13"/>
        <v>-1.7488549884859947</v>
      </c>
      <c r="S32">
        <f t="shared" si="14"/>
        <v>0.59040368032300128</v>
      </c>
      <c r="T32">
        <f t="shared" si="15"/>
        <v>-9.8194470629759154E-2</v>
      </c>
      <c r="U32">
        <f t="shared" si="16"/>
        <v>0.7784236705769696</v>
      </c>
      <c r="V32">
        <f t="shared" si="17"/>
        <v>-2.5008714785778969</v>
      </c>
      <c r="W32">
        <f t="shared" si="18"/>
        <v>2.3115972871754069</v>
      </c>
      <c r="X32">
        <f t="shared" si="21"/>
        <v>-1.3185171990173605</v>
      </c>
      <c r="Y32">
        <f t="shared" si="19"/>
        <v>0.1142707129537656</v>
      </c>
      <c r="Z32" s="33">
        <f t="shared" si="22"/>
        <v>-1.8869363331127047</v>
      </c>
      <c r="AA32">
        <f t="shared" si="20"/>
        <v>0.82166728051486759</v>
      </c>
      <c r="AE32" s="21"/>
      <c r="AF32" s="21"/>
      <c r="AG32" s="21"/>
      <c r="AH32" s="21"/>
      <c r="AI32" s="21"/>
      <c r="AJ32" s="21"/>
      <c r="AK32" s="21"/>
      <c r="AL32" s="21"/>
      <c r="AM32" s="21"/>
      <c r="AN32" s="39"/>
    </row>
    <row r="33" spans="1:54" ht="15" thickBot="1" x14ac:dyDescent="0.4">
      <c r="A33" t="str">
        <f>Table1!A26</f>
        <v>Nordhaus 2006</v>
      </c>
      <c r="B33">
        <f>Table1!C26</f>
        <v>3</v>
      </c>
      <c r="C33">
        <f>Table1!E26</f>
        <v>-0.93</v>
      </c>
      <c r="D33">
        <v>0.5</v>
      </c>
      <c r="E33">
        <v>2006</v>
      </c>
      <c r="F33" s="5"/>
      <c r="G33" s="5"/>
      <c r="H33" s="5"/>
      <c r="J33">
        <f t="shared" si="5"/>
        <v>-2.6162485470721473</v>
      </c>
      <c r="K33">
        <f t="shared" si="6"/>
        <v>1.4217170812514635</v>
      </c>
      <c r="L33">
        <f t="shared" si="7"/>
        <v>-3.001045751462728</v>
      </c>
      <c r="M33">
        <f t="shared" si="8"/>
        <v>2.1446152523259077</v>
      </c>
      <c r="N33">
        <f t="shared" si="9"/>
        <v>-1.9851955493486688</v>
      </c>
      <c r="O33">
        <f t="shared" si="10"/>
        <v>0.55671882368261927</v>
      </c>
      <c r="P33">
        <f t="shared" si="11"/>
        <v>-2.2739136658084003</v>
      </c>
      <c r="Q33">
        <f t="shared" si="12"/>
        <v>0.90305197057328601</v>
      </c>
      <c r="R33" s="24">
        <f t="shared" si="13"/>
        <v>-2.5004812593291641</v>
      </c>
      <c r="S33">
        <f t="shared" si="14"/>
        <v>1.2332056929520583</v>
      </c>
      <c r="T33">
        <f t="shared" si="15"/>
        <v>-0.16759179136987784</v>
      </c>
      <c r="U33">
        <f t="shared" si="16"/>
        <v>0.29063313829329601</v>
      </c>
      <c r="V33">
        <f t="shared" si="17"/>
        <v>-3.001045774293476</v>
      </c>
      <c r="W33">
        <f t="shared" si="18"/>
        <v>2.1446152996094314</v>
      </c>
      <c r="X33">
        <f t="shared" si="21"/>
        <v>-1.713468246489855</v>
      </c>
      <c r="Y33">
        <f t="shared" si="19"/>
        <v>0.30691124662894403</v>
      </c>
      <c r="Z33" s="33">
        <f t="shared" si="22"/>
        <v>-2.5037295101532746</v>
      </c>
      <c r="AA33">
        <f t="shared" si="20"/>
        <v>1.2383122855636326</v>
      </c>
      <c r="AE33" s="21"/>
      <c r="AF33" s="21"/>
      <c r="AG33" s="21"/>
      <c r="AH33" s="21"/>
      <c r="AI33" s="21"/>
      <c r="AJ33" s="21"/>
      <c r="AK33" s="21"/>
      <c r="AL33" s="21"/>
      <c r="AM33" s="21"/>
      <c r="AN33" s="39"/>
    </row>
    <row r="34" spans="1:54" x14ac:dyDescent="0.35">
      <c r="A34">
        <f>Table1!A27</f>
        <v>0</v>
      </c>
      <c r="B34">
        <f>Table1!C27</f>
        <v>3</v>
      </c>
      <c r="C34">
        <f>Table1!E27</f>
        <v>-1.05</v>
      </c>
      <c r="D34">
        <v>0.5</v>
      </c>
      <c r="E34">
        <v>2006</v>
      </c>
      <c r="F34" s="5"/>
      <c r="G34" s="5"/>
      <c r="H34" s="5"/>
      <c r="J34">
        <f t="shared" si="5"/>
        <v>-2.6162485470721473</v>
      </c>
      <c r="K34">
        <f t="shared" si="6"/>
        <v>1.226567255602806</v>
      </c>
      <c r="L34">
        <f t="shared" si="7"/>
        <v>-3.001045751462728</v>
      </c>
      <c r="M34">
        <f t="shared" si="8"/>
        <v>1.9032897621503804</v>
      </c>
      <c r="N34">
        <f t="shared" si="9"/>
        <v>-1.9851955493486688</v>
      </c>
      <c r="O34">
        <f t="shared" si="10"/>
        <v>0.43729535776077921</v>
      </c>
      <c r="P34">
        <f t="shared" si="11"/>
        <v>-2.2739136658084003</v>
      </c>
      <c r="Q34">
        <f t="shared" si="12"/>
        <v>0.74898233067627817</v>
      </c>
      <c r="R34" s="24">
        <f t="shared" si="13"/>
        <v>-2.5004812593291641</v>
      </c>
      <c r="S34">
        <f t="shared" si="14"/>
        <v>1.0519479418325588</v>
      </c>
      <c r="T34">
        <f t="shared" si="15"/>
        <v>-0.16759179136987784</v>
      </c>
      <c r="U34">
        <f t="shared" si="16"/>
        <v>0.38932212332891059</v>
      </c>
      <c r="V34">
        <f t="shared" si="17"/>
        <v>-3.001045774293476</v>
      </c>
      <c r="W34">
        <f t="shared" si="18"/>
        <v>1.9032898066942145</v>
      </c>
      <c r="X34">
        <f t="shared" si="21"/>
        <v>-1.713468246489855</v>
      </c>
      <c r="Y34">
        <f t="shared" si="19"/>
        <v>0.22009505705016144</v>
      </c>
      <c r="Z34" s="33">
        <f t="shared" si="22"/>
        <v>-2.5037295101532746</v>
      </c>
      <c r="AA34">
        <f t="shared" si="20"/>
        <v>1.0566647443452397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39"/>
      <c r="AT34" s="3"/>
      <c r="AU34" s="3"/>
      <c r="AV34" s="3"/>
      <c r="AW34" s="3"/>
      <c r="AX34" s="3"/>
      <c r="AY34" s="3"/>
    </row>
    <row r="35" spans="1:54" x14ac:dyDescent="0.35">
      <c r="A35" t="str">
        <f>Table1!A28</f>
        <v>Nordhaus 2008</v>
      </c>
      <c r="B35">
        <f>Table1!C28</f>
        <v>3</v>
      </c>
      <c r="C35">
        <f>Table1!E28</f>
        <v>-2.5</v>
      </c>
      <c r="D35">
        <v>1</v>
      </c>
      <c r="E35">
        <v>2008</v>
      </c>
      <c r="F35" s="5"/>
      <c r="G35" s="5"/>
      <c r="H35" s="5"/>
      <c r="J35">
        <f t="shared" si="5"/>
        <v>-2.6162485470721473</v>
      </c>
      <c r="K35">
        <f t="shared" si="6"/>
        <v>1.3513724696385239E-2</v>
      </c>
      <c r="L35">
        <f t="shared" si="7"/>
        <v>-3.001045751462728</v>
      </c>
      <c r="M35">
        <f t="shared" si="8"/>
        <v>0.25104684505884978</v>
      </c>
      <c r="N35">
        <f t="shared" si="9"/>
        <v>-1.9851955493486688</v>
      </c>
      <c r="O35">
        <f t="shared" si="10"/>
        <v>0.26502362241041888</v>
      </c>
      <c r="P35">
        <f t="shared" si="11"/>
        <v>-2.2739136658084003</v>
      </c>
      <c r="Q35">
        <f t="shared" si="12"/>
        <v>5.111503050819572E-2</v>
      </c>
      <c r="R35" s="24">
        <f t="shared" si="13"/>
        <v>-2.5004812593291641</v>
      </c>
      <c r="S35">
        <f t="shared" si="14"/>
        <v>2.3161054190747621E-7</v>
      </c>
      <c r="T35">
        <f t="shared" si="15"/>
        <v>-0.16759179136987784</v>
      </c>
      <c r="U35">
        <f t="shared" si="16"/>
        <v>5.4401280516851749</v>
      </c>
      <c r="V35">
        <f t="shared" si="17"/>
        <v>-3.001045774293476</v>
      </c>
      <c r="W35">
        <f t="shared" si="18"/>
        <v>0.25104686793734887</v>
      </c>
      <c r="X35">
        <f t="shared" si="21"/>
        <v>-1.713468246489855</v>
      </c>
      <c r="Y35">
        <f t="shared" si="19"/>
        <v>0.61863219927974356</v>
      </c>
      <c r="Z35" s="33">
        <f t="shared" si="22"/>
        <v>-2.5037295101532746</v>
      </c>
      <c r="AA35">
        <f t="shared" si="20"/>
        <v>1.3909245983378381E-5</v>
      </c>
    </row>
    <row r="36" spans="1:54" x14ac:dyDescent="0.35">
      <c r="A36" t="str">
        <f>Table1!A29</f>
        <v>Maddison and Rehdanz 2011</v>
      </c>
      <c r="B36">
        <f>Table1!C29</f>
        <v>3.2</v>
      </c>
      <c r="C36">
        <f>Table1!E29</f>
        <v>-5.1135252093739076</v>
      </c>
      <c r="D36">
        <v>1</v>
      </c>
      <c r="E36">
        <v>2011</v>
      </c>
      <c r="F36" s="5"/>
      <c r="G36" s="5"/>
      <c r="H36" s="5"/>
      <c r="J36">
        <f t="shared" si="5"/>
        <v>-2.8582589644273604</v>
      </c>
      <c r="K36">
        <f t="shared" si="6"/>
        <v>5.0862258355952994</v>
      </c>
      <c r="L36">
        <f t="shared" si="7"/>
        <v>-3.2011154682269103</v>
      </c>
      <c r="M36">
        <f t="shared" si="8"/>
        <v>3.6573110180339254</v>
      </c>
      <c r="N36">
        <f t="shared" si="9"/>
        <v>-2.2587113805922638</v>
      </c>
      <c r="O36">
        <f t="shared" si="10"/>
        <v>8.149961997002908</v>
      </c>
      <c r="P36">
        <f t="shared" si="11"/>
        <v>-2.5826523109206585</v>
      </c>
      <c r="Q36">
        <f t="shared" si="12"/>
        <v>6.4053176281251503</v>
      </c>
      <c r="R36" s="24">
        <f t="shared" si="13"/>
        <v>-2.8334254464811384</v>
      </c>
      <c r="S36">
        <f t="shared" si="14"/>
        <v>5.1988549287436623</v>
      </c>
      <c r="T36">
        <f t="shared" si="15"/>
        <v>-0.20664123346761978</v>
      </c>
      <c r="U36">
        <f t="shared" si="16"/>
        <v>24.077510353005898</v>
      </c>
      <c r="V36">
        <f t="shared" si="17"/>
        <v>-3.2011154925797083</v>
      </c>
      <c r="W36">
        <f t="shared" si="18"/>
        <v>3.6573109248888698</v>
      </c>
      <c r="X36">
        <f t="shared" si="21"/>
        <v>-1.8931518146848416</v>
      </c>
      <c r="Y36">
        <f t="shared" si="19"/>
        <v>10.370804801221178</v>
      </c>
      <c r="Z36" s="33">
        <f t="shared" si="22"/>
        <v>-2.7715097629446426</v>
      </c>
      <c r="AA36">
        <f t="shared" si="20"/>
        <v>5.4850363513132701</v>
      </c>
    </row>
    <row r="37" spans="1:54" ht="15" thickBot="1" x14ac:dyDescent="0.4">
      <c r="A37" t="str">
        <f>Table1!A30</f>
        <v>Bosello et al.  2012</v>
      </c>
      <c r="B37">
        <f>Table1!C30</f>
        <v>1.92</v>
      </c>
      <c r="C37">
        <f>Table1!E30</f>
        <v>-0.5</v>
      </c>
      <c r="D37">
        <v>1</v>
      </c>
      <c r="E37">
        <v>2012</v>
      </c>
      <c r="F37" s="5"/>
      <c r="G37" s="5"/>
      <c r="H37" s="5"/>
      <c r="J37">
        <f t="shared" si="5"/>
        <v>-1.4553950040628676</v>
      </c>
      <c r="K37">
        <f t="shared" si="6"/>
        <v>0.91277961378828676</v>
      </c>
      <c r="L37">
        <f t="shared" si="7"/>
        <v>-1.9206692809361461</v>
      </c>
      <c r="M37">
        <f t="shared" si="8"/>
        <v>2.0183012057956264</v>
      </c>
      <c r="N37">
        <f t="shared" si="9"/>
        <v>-0.81313609701321476</v>
      </c>
      <c r="O37">
        <f t="shared" si="10"/>
        <v>9.8054215252669455E-2</v>
      </c>
      <c r="P37">
        <f t="shared" si="11"/>
        <v>-0.9352393991527751</v>
      </c>
      <c r="Q37">
        <f t="shared" si="12"/>
        <v>0.18943333457486869</v>
      </c>
      <c r="R37" s="24">
        <f t="shared" si="13"/>
        <v>-1.0359625422427317</v>
      </c>
      <c r="S37">
        <f t="shared" si="14"/>
        <v>0.28725584668729193</v>
      </c>
      <c r="T37">
        <f t="shared" si="15"/>
        <v>-5.1114352259740523E-2</v>
      </c>
      <c r="U37">
        <f t="shared" si="16"/>
        <v>0.20149832474719231</v>
      </c>
      <c r="V37">
        <f t="shared" si="17"/>
        <v>-1.9206692955478246</v>
      </c>
      <c r="W37">
        <f t="shared" si="18"/>
        <v>2.0183012473123521</v>
      </c>
      <c r="X37">
        <f t="shared" si="21"/>
        <v>-0.93804937467811933</v>
      </c>
      <c r="Y37">
        <f t="shared" si="19"/>
        <v>0.19188725465589138</v>
      </c>
      <c r="Z37" s="33">
        <f t="shared" si="22"/>
        <v>-1.2696685926314764</v>
      </c>
      <c r="AA37">
        <f t="shared" si="20"/>
        <v>0.59238974248331755</v>
      </c>
      <c r="AT37" s="2"/>
      <c r="AU37" s="2"/>
      <c r="AV37" s="2"/>
      <c r="AW37" s="2"/>
      <c r="AX37" s="2"/>
      <c r="AY37" s="2"/>
    </row>
    <row r="38" spans="1:54" ht="15" thickBot="1" x14ac:dyDescent="0.4">
      <c r="A38" t="str">
        <f>Table1!A31</f>
        <v>Roson and van der Mensbrugghe 2012</v>
      </c>
      <c r="B38">
        <f>Table1!C31</f>
        <v>2.9099999999999997</v>
      </c>
      <c r="C38">
        <f>Table1!E31</f>
        <v>-1.8</v>
      </c>
      <c r="D38">
        <v>0.5</v>
      </c>
      <c r="E38">
        <v>2012</v>
      </c>
      <c r="F38" s="5"/>
      <c r="G38" s="5"/>
      <c r="H38" s="5"/>
      <c r="J38">
        <f t="shared" si="5"/>
        <v>-2.5101004208577162</v>
      </c>
      <c r="K38">
        <f t="shared" si="6"/>
        <v>0.25212130385115283</v>
      </c>
      <c r="L38">
        <f t="shared" si="7"/>
        <v>-2.9110143789188463</v>
      </c>
      <c r="M38">
        <f t="shared" si="8"/>
        <v>0.61717647508221485</v>
      </c>
      <c r="N38">
        <f t="shared" si="9"/>
        <v>-1.8678704923821621</v>
      </c>
      <c r="O38">
        <f t="shared" si="10"/>
        <v>2.303201868098557E-3</v>
      </c>
      <c r="P38">
        <f t="shared" si="11"/>
        <v>-2.1409229455961842</v>
      </c>
      <c r="Q38">
        <f t="shared" si="12"/>
        <v>5.8114227416989385E-2</v>
      </c>
      <c r="R38" s="24">
        <f t="shared" si="13"/>
        <v>-2.3564279285907581</v>
      </c>
      <c r="S38">
        <f t="shared" si="14"/>
        <v>0.15480601985790088</v>
      </c>
      <c r="T38">
        <f t="shared" si="15"/>
        <v>-0.15241158663755444</v>
      </c>
      <c r="U38">
        <f t="shared" si="16"/>
        <v>1.3572737899230904</v>
      </c>
      <c r="V38">
        <f t="shared" si="17"/>
        <v>-2.9110144010646715</v>
      </c>
      <c r="W38">
        <f t="shared" si="18"/>
        <v>0.61717649968654531</v>
      </c>
      <c r="X38">
        <f t="shared" si="21"/>
        <v>-1.6369395959974329</v>
      </c>
      <c r="Y38">
        <f t="shared" si="19"/>
        <v>1.3294347676740211E-2</v>
      </c>
      <c r="Z38" s="33">
        <f t="shared" si="22"/>
        <v>-2.387082887055985</v>
      </c>
      <c r="AA38">
        <f t="shared" si="20"/>
        <v>0.17233315813699521</v>
      </c>
    </row>
    <row r="39" spans="1:54" x14ac:dyDescent="0.35">
      <c r="A39">
        <f>Table1!A32</f>
        <v>0</v>
      </c>
      <c r="B39">
        <f>Table1!C32</f>
        <v>5.4</v>
      </c>
      <c r="C39">
        <f>Table1!E32</f>
        <v>-4.5999999999999996</v>
      </c>
      <c r="D39">
        <v>0.5</v>
      </c>
      <c r="E39">
        <v>2012</v>
      </c>
      <c r="F39" s="5"/>
      <c r="G39" s="5"/>
      <c r="H39" s="5"/>
      <c r="J39">
        <f t="shared" si="5"/>
        <v>-6.0780227976255325</v>
      </c>
      <c r="K39">
        <f t="shared" si="6"/>
        <v>1.0922756951504036</v>
      </c>
      <c r="L39">
        <f t="shared" si="7"/>
        <v>-5.4018823526329109</v>
      </c>
      <c r="M39">
        <f t="shared" si="8"/>
        <v>0.32150765373204637</v>
      </c>
      <c r="N39">
        <f t="shared" si="9"/>
        <v>-6.4320335798896879</v>
      </c>
      <c r="O39">
        <f t="shared" si="10"/>
        <v>1.6781735189217135</v>
      </c>
      <c r="P39">
        <f t="shared" si="11"/>
        <v>-6.757819776326853</v>
      </c>
      <c r="Q39">
        <f t="shared" si="12"/>
        <v>2.3280930935536359</v>
      </c>
      <c r="R39" s="24">
        <f t="shared" si="13"/>
        <v>-7.0394625442392762</v>
      </c>
      <c r="S39">
        <f t="shared" si="14"/>
        <v>2.9754887523731823</v>
      </c>
      <c r="T39">
        <f t="shared" si="15"/>
        <v>-1.9354082764209266</v>
      </c>
      <c r="U39">
        <f t="shared" si="16"/>
        <v>3.550024526683047</v>
      </c>
      <c r="V39">
        <f t="shared" si="17"/>
        <v>-5.4018823937282576</v>
      </c>
      <c r="W39">
        <f t="shared" si="18"/>
        <v>0.32150768668568047</v>
      </c>
      <c r="X39">
        <f t="shared" si="21"/>
        <v>-5.2148822454185249</v>
      </c>
      <c r="Y39">
        <f t="shared" si="19"/>
        <v>0.18904008786546372</v>
      </c>
      <c r="Z39" s="33">
        <f t="shared" si="22"/>
        <v>-6.2844432295568593</v>
      </c>
      <c r="AA39">
        <f t="shared" si="20"/>
        <v>1.4186744967999716</v>
      </c>
      <c r="AT39" s="3"/>
      <c r="AU39" s="3"/>
      <c r="AV39" s="3"/>
      <c r="AW39" s="3"/>
      <c r="AX39" s="3"/>
      <c r="AY39" s="3"/>
      <c r="AZ39" s="3"/>
      <c r="BA39" s="3"/>
      <c r="BB39" s="3"/>
    </row>
    <row r="40" spans="1:54" x14ac:dyDescent="0.35">
      <c r="A40" t="str">
        <f>Table1!A33</f>
        <v>Nordhaus 2013</v>
      </c>
      <c r="B40">
        <f>Table1!C33</f>
        <v>2.9</v>
      </c>
      <c r="C40">
        <f>Table1!E33</f>
        <v>-2</v>
      </c>
      <c r="D40">
        <v>1</v>
      </c>
      <c r="E40">
        <v>2013</v>
      </c>
      <c r="F40" s="5"/>
      <c r="G40" s="5"/>
      <c r="H40" s="5"/>
      <c r="J40">
        <f t="shared" si="5"/>
        <v>-2.4984117999984656</v>
      </c>
      <c r="K40">
        <f t="shared" si="6"/>
        <v>0.24841432237771049</v>
      </c>
      <c r="L40">
        <f t="shared" si="7"/>
        <v>-2.9010108930806373</v>
      </c>
      <c r="M40">
        <f t="shared" si="8"/>
        <v>0.81182062944996769</v>
      </c>
      <c r="N40">
        <f t="shared" si="9"/>
        <v>-1.8550549522247006</v>
      </c>
      <c r="O40">
        <f t="shared" si="10"/>
        <v>2.1009066874583818E-2</v>
      </c>
      <c r="P40">
        <f t="shared" si="11"/>
        <v>-2.1263779597678738</v>
      </c>
      <c r="Q40">
        <f t="shared" si="12"/>
        <v>1.597138871509033E-2</v>
      </c>
      <c r="R40" s="24">
        <f t="shared" si="13"/>
        <v>-2.3406508318714687</v>
      </c>
      <c r="S40">
        <f t="shared" si="14"/>
        <v>0.11604298925472364</v>
      </c>
      <c r="T40">
        <f t="shared" si="15"/>
        <v>-0.15080769272017577</v>
      </c>
      <c r="U40">
        <f t="shared" si="16"/>
        <v>3.4195121893028797</v>
      </c>
      <c r="V40">
        <f t="shared" si="17"/>
        <v>-2.9010109151503602</v>
      </c>
      <c r="W40">
        <f t="shared" si="18"/>
        <v>0.81182066922008966</v>
      </c>
      <c r="X40">
        <f t="shared" si="21"/>
        <v>-1.628594048355507</v>
      </c>
      <c r="Y40">
        <f t="shared" si="19"/>
        <v>0.13794238091695146</v>
      </c>
      <c r="Z40" s="33">
        <f t="shared" si="22"/>
        <v>-2.3742721151441573</v>
      </c>
      <c r="AA40">
        <f t="shared" si="20"/>
        <v>0.14007961617448131</v>
      </c>
    </row>
    <row r="41" spans="1:54" ht="15" thickBot="1" x14ac:dyDescent="0.4">
      <c r="A41" t="str">
        <f>Table1!A34</f>
        <v>Sartori and Roson 2016</v>
      </c>
      <c r="B41">
        <f>Table1!C34</f>
        <v>3</v>
      </c>
      <c r="C41">
        <f>Table1!E34</f>
        <v>-0.71756668095998166</v>
      </c>
      <c r="D41">
        <v>1</v>
      </c>
      <c r="E41">
        <v>2016</v>
      </c>
      <c r="F41" s="5"/>
      <c r="G41" s="5"/>
      <c r="H41" s="5"/>
      <c r="J41">
        <f t="shared" si="5"/>
        <v>-2.6162485470721473</v>
      </c>
      <c r="K41">
        <f t="shared" si="6"/>
        <v>3.6049928287031756</v>
      </c>
      <c r="L41">
        <f t="shared" si="7"/>
        <v>-3.001045751462728</v>
      </c>
      <c r="M41">
        <f t="shared" si="8"/>
        <v>5.2142766654240873</v>
      </c>
      <c r="N41">
        <f t="shared" si="9"/>
        <v>-1.9851955493486688</v>
      </c>
      <c r="O41">
        <f t="shared" si="10"/>
        <v>1.6068829479723836</v>
      </c>
      <c r="P41">
        <f t="shared" si="11"/>
        <v>-2.2739136658084003</v>
      </c>
      <c r="Q41">
        <f t="shared" si="12"/>
        <v>2.4222159372467638</v>
      </c>
      <c r="R41" s="24">
        <f t="shared" si="13"/>
        <v>-2.5004812593291641</v>
      </c>
      <c r="S41">
        <f t="shared" si="14"/>
        <v>3.1787843937613598</v>
      </c>
      <c r="T41">
        <f t="shared" si="15"/>
        <v>-0.16759179136987784</v>
      </c>
      <c r="U41">
        <f t="shared" si="16"/>
        <v>0.30247237917964681</v>
      </c>
      <c r="V41">
        <f t="shared" si="17"/>
        <v>-3.001045774293476</v>
      </c>
      <c r="W41">
        <f t="shared" si="18"/>
        <v>5.2142767696911578</v>
      </c>
      <c r="X41">
        <f t="shared" si="21"/>
        <v>-1.713468246489855</v>
      </c>
      <c r="Y41">
        <f t="shared" si="19"/>
        <v>0.99181992822485254</v>
      </c>
      <c r="Z41" s="33">
        <f t="shared" si="22"/>
        <v>-2.5037295101532746</v>
      </c>
      <c r="AA41">
        <f t="shared" si="20"/>
        <v>3.1903776523917884</v>
      </c>
      <c r="AT41" s="2"/>
      <c r="AU41" s="2"/>
      <c r="AV41" s="2"/>
      <c r="AW41" s="2"/>
      <c r="AX41" s="2"/>
      <c r="AY41" s="2"/>
      <c r="AZ41" s="2"/>
      <c r="BA41" s="2"/>
      <c r="BB41" s="2"/>
    </row>
    <row r="42" spans="1:54" x14ac:dyDescent="0.35">
      <c r="A42" t="str">
        <f>Table1!A35</f>
        <v>Kompas et al. 2018</v>
      </c>
      <c r="B42">
        <f>Table1!C35</f>
        <v>1</v>
      </c>
      <c r="C42">
        <f>Table1!E35</f>
        <v>-0.4658664448796927</v>
      </c>
      <c r="D42">
        <v>0.25</v>
      </c>
      <c r="E42">
        <v>2018</v>
      </c>
      <c r="F42" s="5"/>
      <c r="G42" s="5"/>
      <c r="H42" s="5"/>
      <c r="J42">
        <f t="shared" si="5"/>
        <v>-0.66085207542903868</v>
      </c>
      <c r="K42">
        <f t="shared" si="6"/>
        <v>9.504849030181511E-3</v>
      </c>
      <c r="L42">
        <f t="shared" si="7"/>
        <v>-1.0003485838209094</v>
      </c>
      <c r="M42">
        <f t="shared" si="8"/>
        <v>7.1417789211794508E-2</v>
      </c>
      <c r="N42">
        <f t="shared" si="9"/>
        <v>-0.22057728326096321</v>
      </c>
      <c r="O42">
        <f t="shared" si="10"/>
        <v>1.5041693201904799E-2</v>
      </c>
      <c r="P42">
        <f t="shared" si="11"/>
        <v>-0.25382056068614478</v>
      </c>
      <c r="Q42">
        <f t="shared" si="12"/>
        <v>1.1240864250855884E-2</v>
      </c>
      <c r="R42" s="24">
        <f t="shared" si="13"/>
        <v>-0.28161888190858159</v>
      </c>
      <c r="S42">
        <f t="shared" si="14"/>
        <v>8.4867911151983878E-3</v>
      </c>
      <c r="T42">
        <f t="shared" si="15"/>
        <v>-1.5088385035680923E-2</v>
      </c>
      <c r="U42">
        <f t="shared" si="16"/>
        <v>5.0800214809182863E-2</v>
      </c>
      <c r="V42">
        <f t="shared" si="17"/>
        <v>-1.0003485914311587</v>
      </c>
      <c r="W42">
        <f t="shared" si="18"/>
        <v>7.1417791245565687E-2</v>
      </c>
      <c r="X42">
        <f t="shared" si="21"/>
        <v>-0.44980995423266756</v>
      </c>
      <c r="Y42">
        <f t="shared" si="19"/>
        <v>6.4452722974501405E-5</v>
      </c>
      <c r="Z42" s="33">
        <f t="shared" si="22"/>
        <v>-0.51274788144753491</v>
      </c>
      <c r="AA42">
        <f t="shared" si="20"/>
        <v>5.4946727366615331E-4</v>
      </c>
    </row>
    <row r="43" spans="1:54" x14ac:dyDescent="0.35">
      <c r="A43">
        <f>Table1!A36</f>
        <v>0</v>
      </c>
      <c r="B43">
        <f>Table1!C36</f>
        <v>2</v>
      </c>
      <c r="C43">
        <f>Table1!E36</f>
        <v>-1.0740738140966928</v>
      </c>
      <c r="D43">
        <v>0.25</v>
      </c>
      <c r="E43">
        <v>2018</v>
      </c>
      <c r="F43" s="5"/>
      <c r="G43" s="5"/>
      <c r="H43" s="5"/>
      <c r="J43">
        <f t="shared" si="5"/>
        <v>-1.5329349244530879</v>
      </c>
      <c r="K43">
        <f t="shared" si="6"/>
        <v>5.2638379649375948E-2</v>
      </c>
      <c r="L43">
        <f t="shared" si="7"/>
        <v>-2.0006971676418188</v>
      </c>
      <c r="M43">
        <f t="shared" si="8"/>
        <v>0.21465770983380392</v>
      </c>
      <c r="N43">
        <f t="shared" si="9"/>
        <v>-0.88230913304385283</v>
      </c>
      <c r="O43">
        <f t="shared" si="10"/>
        <v>9.193423224824358E-3</v>
      </c>
      <c r="P43">
        <f t="shared" si="11"/>
        <v>-1.0146860760019272</v>
      </c>
      <c r="Q43">
        <f t="shared" si="12"/>
        <v>8.8172585900311851E-4</v>
      </c>
      <c r="R43" s="24">
        <f t="shared" si="13"/>
        <v>-1.1236348044803206</v>
      </c>
      <c r="S43">
        <f t="shared" si="14"/>
        <v>6.1407294195151235E-4</v>
      </c>
      <c r="T43">
        <f t="shared" si="15"/>
        <v>-5.6102867898965764E-2</v>
      </c>
      <c r="U43">
        <f t="shared" si="16"/>
        <v>0.25906621182567396</v>
      </c>
      <c r="V43">
        <f t="shared" si="17"/>
        <v>-2.0006971828623175</v>
      </c>
      <c r="W43">
        <f t="shared" si="18"/>
        <v>0.21465771688563873</v>
      </c>
      <c r="X43">
        <f t="shared" si="21"/>
        <v>-0.98644009876906646</v>
      </c>
      <c r="Y43">
        <f t="shared" si="19"/>
        <v>1.9199170155308619E-3</v>
      </c>
      <c r="Z43" s="33">
        <f t="shared" si="22"/>
        <v>-1.3484133813164045</v>
      </c>
      <c r="AA43">
        <f t="shared" si="20"/>
        <v>1.8815549535574686E-2</v>
      </c>
    </row>
    <row r="44" spans="1:54" x14ac:dyDescent="0.35">
      <c r="A44">
        <f>Table1!A37</f>
        <v>0</v>
      </c>
      <c r="B44">
        <f>Table1!C37</f>
        <v>3</v>
      </c>
      <c r="C44">
        <f>Table1!E37</f>
        <v>-1.8369485050307706</v>
      </c>
      <c r="D44">
        <v>0.25</v>
      </c>
      <c r="E44">
        <v>2018</v>
      </c>
      <c r="F44" s="5"/>
      <c r="G44" s="5"/>
      <c r="H44" s="5"/>
      <c r="J44">
        <f t="shared" si="5"/>
        <v>-2.6162485470721473</v>
      </c>
      <c r="K44">
        <f t="shared" si="6"/>
        <v>0.15182713888142288</v>
      </c>
      <c r="L44">
        <f t="shared" si="7"/>
        <v>-3.001045751462728</v>
      </c>
      <c r="M44">
        <f t="shared" si="8"/>
        <v>0.33878059978761638</v>
      </c>
      <c r="N44">
        <f t="shared" si="9"/>
        <v>-1.9851955493486688</v>
      </c>
      <c r="O44">
        <f t="shared" si="10"/>
        <v>5.4942965372482225E-3</v>
      </c>
      <c r="P44">
        <f t="shared" si="11"/>
        <v>-2.2739136658084003</v>
      </c>
      <c r="Q44">
        <f t="shared" si="12"/>
        <v>4.7734637933354945E-2</v>
      </c>
      <c r="R44" s="24">
        <f t="shared" si="13"/>
        <v>-2.5004812593291641</v>
      </c>
      <c r="S44">
        <f t="shared" si="14"/>
        <v>0.11006892900670306</v>
      </c>
      <c r="T44">
        <f t="shared" si="15"/>
        <v>-0.16759179136987784</v>
      </c>
      <c r="U44">
        <f t="shared" si="16"/>
        <v>0.69668795936117389</v>
      </c>
      <c r="V44">
        <f t="shared" si="17"/>
        <v>-3.001045774293476</v>
      </c>
      <c r="W44">
        <f t="shared" si="18"/>
        <v>0.33878061307622193</v>
      </c>
      <c r="X44">
        <f t="shared" si="21"/>
        <v>-1.713468246489855</v>
      </c>
      <c r="Y44">
        <f t="shared" si="19"/>
        <v>3.8118435623328401E-3</v>
      </c>
      <c r="Z44" s="33">
        <f t="shared" si="22"/>
        <v>-2.5037295101532746</v>
      </c>
      <c r="AA44">
        <f t="shared" si="20"/>
        <v>0.1111492271980442</v>
      </c>
    </row>
    <row r="45" spans="1:54" x14ac:dyDescent="0.35">
      <c r="A45">
        <f>Table1!A38</f>
        <v>0</v>
      </c>
      <c r="B45">
        <f>Table1!C38</f>
        <v>4</v>
      </c>
      <c r="C45">
        <f>Table1!E38</f>
        <v>-2.7931051587285425</v>
      </c>
      <c r="D45">
        <v>0.25</v>
      </c>
      <c r="E45">
        <v>2018</v>
      </c>
      <c r="F45" s="5"/>
      <c r="G45" s="5"/>
      <c r="H45" s="5"/>
      <c r="J45">
        <f t="shared" si="5"/>
        <v>-3.910792943286217</v>
      </c>
      <c r="K45">
        <f t="shared" si="6"/>
        <v>0.31230649593736065</v>
      </c>
      <c r="L45">
        <f t="shared" si="7"/>
        <v>-4.0013943352836376</v>
      </c>
      <c r="M45">
        <f t="shared" si="8"/>
        <v>0.36499068354504749</v>
      </c>
      <c r="N45">
        <f t="shared" si="9"/>
        <v>-3.5292365321754113</v>
      </c>
      <c r="O45">
        <f t="shared" si="10"/>
        <v>0.13547234974319336</v>
      </c>
      <c r="P45">
        <f t="shared" si="11"/>
        <v>-3.9824349609482574</v>
      </c>
      <c r="Q45">
        <f t="shared" si="12"/>
        <v>0.3536263446119966</v>
      </c>
      <c r="R45" s="24">
        <f t="shared" si="13"/>
        <v>-4.3127329360649069</v>
      </c>
      <c r="S45">
        <f t="shared" si="14"/>
        <v>0.57731714541306478</v>
      </c>
      <c r="T45">
        <f t="shared" si="15"/>
        <v>-0.47065010611531927</v>
      </c>
      <c r="U45">
        <f t="shared" si="16"/>
        <v>1.3484493678521725</v>
      </c>
      <c r="V45">
        <f t="shared" si="17"/>
        <v>-4.0013943657246349</v>
      </c>
      <c r="W45">
        <f t="shared" si="18"/>
        <v>0.36499070193581146</v>
      </c>
      <c r="X45">
        <f t="shared" si="21"/>
        <v>-2.7712219324958651</v>
      </c>
      <c r="Y45">
        <f t="shared" si="19"/>
        <v>1.1971889758763458E-4</v>
      </c>
      <c r="Z45" s="33">
        <f t="shared" si="22"/>
        <v>-3.9515235866361418</v>
      </c>
      <c r="AA45">
        <f t="shared" si="20"/>
        <v>0.33548331352897848</v>
      </c>
    </row>
    <row r="46" spans="1:54" x14ac:dyDescent="0.35">
      <c r="A46" t="str">
        <f>Table1!A39</f>
        <v>Dellink et al. 2019</v>
      </c>
      <c r="B46">
        <f>Table1!C39</f>
        <v>2.5</v>
      </c>
      <c r="C46">
        <f>Table1!E39</f>
        <v>-2</v>
      </c>
      <c r="D46">
        <v>1</v>
      </c>
      <c r="E46">
        <v>2019</v>
      </c>
      <c r="F46" s="5"/>
      <c r="G46" s="5"/>
      <c r="H46" s="5"/>
      <c r="J46">
        <f t="shared" si="5"/>
        <v>-2.0481878890632412</v>
      </c>
      <c r="K46">
        <f t="shared" si="6"/>
        <v>2.3220726523712435E-3</v>
      </c>
      <c r="L46">
        <f t="shared" si="7"/>
        <v>-2.5008714595522736</v>
      </c>
      <c r="M46">
        <f t="shared" si="8"/>
        <v>0.2508722189940249</v>
      </c>
      <c r="N46">
        <f t="shared" si="9"/>
        <v>-1.37860802038102</v>
      </c>
      <c r="O46">
        <f t="shared" si="10"/>
        <v>0.38612799233479483</v>
      </c>
      <c r="P46">
        <f t="shared" si="11"/>
        <v>-1.5834741070243195</v>
      </c>
      <c r="Q46">
        <f t="shared" si="12"/>
        <v>0.17349381951918807</v>
      </c>
      <c r="R46" s="24">
        <f t="shared" si="13"/>
        <v>-1.7488549884859947</v>
      </c>
      <c r="S46">
        <f t="shared" si="14"/>
        <v>6.3073816808369834E-2</v>
      </c>
      <c r="T46">
        <f t="shared" si="15"/>
        <v>-9.8194470629759154E-2</v>
      </c>
      <c r="U46">
        <f t="shared" si="16"/>
        <v>3.6168642715432222</v>
      </c>
      <c r="V46">
        <f t="shared" si="17"/>
        <v>-2.5008714785778969</v>
      </c>
      <c r="W46">
        <f t="shared" si="18"/>
        <v>0.25087223805280867</v>
      </c>
      <c r="X46">
        <f t="shared" si="21"/>
        <v>-1.3185171990173605</v>
      </c>
      <c r="Y46">
        <f t="shared" si="19"/>
        <v>0.46441880803514379</v>
      </c>
      <c r="Z46" s="33">
        <f t="shared" si="22"/>
        <v>-1.8869363331127047</v>
      </c>
      <c r="AA46">
        <f t="shared" si="20"/>
        <v>1.2783392770001276E-2</v>
      </c>
    </row>
    <row r="47" spans="1:54" x14ac:dyDescent="0.35">
      <c r="A47" t="str">
        <f>Table1!A40</f>
        <v>Takakura</v>
      </c>
      <c r="B47">
        <f>Table1!C40</f>
        <v>2</v>
      </c>
      <c r="C47">
        <f>Table1!E40</f>
        <v>-1.0517705037403</v>
      </c>
      <c r="D47">
        <f>1/3</f>
        <v>0.33333333333333331</v>
      </c>
      <c r="E47">
        <v>2019</v>
      </c>
      <c r="F47" s="5"/>
      <c r="G47" s="5"/>
      <c r="H47" s="5"/>
      <c r="J47">
        <f t="shared" si="5"/>
        <v>-1.5329349244530879</v>
      </c>
      <c r="K47">
        <f t="shared" si="6"/>
        <v>7.7173066586624234E-2</v>
      </c>
      <c r="L47">
        <f t="shared" si="7"/>
        <v>-2.0006971676418188</v>
      </c>
      <c r="M47">
        <f t="shared" si="8"/>
        <v>0.30015393782108868</v>
      </c>
      <c r="N47">
        <f t="shared" si="9"/>
        <v>-0.88230913304385283</v>
      </c>
      <c r="O47">
        <f t="shared" si="10"/>
        <v>9.5723853861062278E-3</v>
      </c>
      <c r="P47">
        <f t="shared" si="11"/>
        <v>-1.0146860760019272</v>
      </c>
      <c r="Q47">
        <f t="shared" si="12"/>
        <v>4.5841826022753222E-4</v>
      </c>
      <c r="R47" s="24">
        <f t="shared" si="13"/>
        <v>-1.1236348044803206</v>
      </c>
      <c r="S47">
        <f t="shared" si="14"/>
        <v>1.7214925736173748E-3</v>
      </c>
      <c r="T47">
        <f t="shared" si="15"/>
        <v>-5.6102867898965764E-2</v>
      </c>
      <c r="U47">
        <f t="shared" si="16"/>
        <v>0.3304513470206239</v>
      </c>
      <c r="V47">
        <f t="shared" si="17"/>
        <v>-2.0006971828623175</v>
      </c>
      <c r="W47">
        <f t="shared" si="18"/>
        <v>0.30015394744984675</v>
      </c>
      <c r="X47">
        <f t="shared" si="21"/>
        <v>-0.98644009876906646</v>
      </c>
      <c r="Y47">
        <f t="shared" si="19"/>
        <v>1.4226872712351255E-3</v>
      </c>
      <c r="Z47" s="33">
        <f t="shared" si="22"/>
        <v>-1.3484133813164045</v>
      </c>
      <c r="AA47">
        <f t="shared" si="20"/>
        <v>2.933233227221058E-2</v>
      </c>
    </row>
    <row r="48" spans="1:54" x14ac:dyDescent="0.35">
      <c r="A48">
        <f>Table1!A41</f>
        <v>0</v>
      </c>
      <c r="B48">
        <f>Table1!C41</f>
        <v>4</v>
      </c>
      <c r="C48">
        <f>Table1!E41</f>
        <v>-4.6911160007283899</v>
      </c>
      <c r="D48">
        <f>1/3</f>
        <v>0.33333333333333331</v>
      </c>
      <c r="E48">
        <v>2019</v>
      </c>
      <c r="F48" s="5"/>
      <c r="G48" s="5"/>
      <c r="H48" s="5"/>
      <c r="J48">
        <f t="shared" si="5"/>
        <v>-3.910792943286217</v>
      </c>
      <c r="K48">
        <f t="shared" si="6"/>
        <v>0.20296802465863353</v>
      </c>
      <c r="L48">
        <f t="shared" si="7"/>
        <v>-4.0013943352836376</v>
      </c>
      <c r="M48">
        <f t="shared" si="8"/>
        <v>0.1585719919279609</v>
      </c>
      <c r="N48">
        <f t="shared" si="9"/>
        <v>-3.5292365321754113</v>
      </c>
      <c r="O48">
        <f t="shared" si="10"/>
        <v>0.44998796648165063</v>
      </c>
      <c r="P48">
        <f t="shared" si="11"/>
        <v>-3.9824349609482574</v>
      </c>
      <c r="Q48">
        <f t="shared" si="12"/>
        <v>0.16740960538128319</v>
      </c>
      <c r="R48" s="24">
        <f t="shared" si="13"/>
        <v>-4.3127329360649069</v>
      </c>
      <c r="S48">
        <f t="shared" si="14"/>
        <v>4.7724581208043161E-2</v>
      </c>
      <c r="T48">
        <f t="shared" si="15"/>
        <v>-0.47065010611531927</v>
      </c>
      <c r="U48">
        <f t="shared" si="16"/>
        <v>5.9374441225307013</v>
      </c>
      <c r="V48">
        <f t="shared" si="17"/>
        <v>-4.0013943657246349</v>
      </c>
      <c r="W48">
        <f t="shared" si="18"/>
        <v>0.15857197793075098</v>
      </c>
      <c r="X48">
        <f t="shared" si="21"/>
        <v>-2.7712219324958651</v>
      </c>
      <c r="Y48">
        <f t="shared" si="19"/>
        <v>1.2286644110781446</v>
      </c>
      <c r="Z48" s="33">
        <f t="shared" si="22"/>
        <v>-3.9515235866361418</v>
      </c>
      <c r="AA48">
        <f t="shared" si="20"/>
        <v>0.18233231299426644</v>
      </c>
    </row>
    <row r="49" spans="1:29" x14ac:dyDescent="0.35">
      <c r="A49">
        <f>Table1!A42</f>
        <v>0</v>
      </c>
      <c r="B49">
        <f>Table1!C42</f>
        <v>6</v>
      </c>
      <c r="C49">
        <f>Table1!E42</f>
        <v>-9.49637530496768</v>
      </c>
      <c r="D49">
        <f>1/3</f>
        <v>0.33333333333333331</v>
      </c>
      <c r="E49">
        <v>2019</v>
      </c>
      <c r="F49" s="5"/>
      <c r="G49" s="5"/>
      <c r="H49" s="5"/>
      <c r="J49">
        <f t="shared" si="5"/>
        <v>-7.1335740564993877</v>
      </c>
      <c r="K49">
        <f t="shared" si="6"/>
        <v>1.8609432465877735</v>
      </c>
      <c r="L49">
        <f t="shared" si="7"/>
        <v>-6.002091502925456</v>
      </c>
      <c r="M49">
        <f t="shared" si="8"/>
        <v>4.0700064297382195</v>
      </c>
      <c r="N49">
        <f t="shared" si="9"/>
        <v>-7.9407821973946753</v>
      </c>
      <c r="O49">
        <f t="shared" si="10"/>
        <v>0.80662330544287919</v>
      </c>
      <c r="P49">
        <f t="shared" si="11"/>
        <v>-7.7918379970537543</v>
      </c>
      <c r="Q49">
        <f t="shared" si="12"/>
        <v>0.96848247802348431</v>
      </c>
      <c r="R49" s="24">
        <f t="shared" si="13"/>
        <v>-7.9310378580463832</v>
      </c>
      <c r="S49">
        <f t="shared" si="14"/>
        <v>0.81676044091136124</v>
      </c>
      <c r="T49">
        <f t="shared" si="15"/>
        <v>-3.5337629049527237</v>
      </c>
      <c r="U49">
        <f t="shared" si="16"/>
        <v>11.850915544270705</v>
      </c>
      <c r="V49">
        <f t="shared" si="17"/>
        <v>-6.0020915485869519</v>
      </c>
      <c r="W49">
        <f t="shared" si="18"/>
        <v>4.0700063233687374</v>
      </c>
      <c r="X49">
        <f t="shared" si="21"/>
        <v>-6.7987979595065742</v>
      </c>
      <c r="Y49">
        <f t="shared" si="19"/>
        <v>2.4256411782483287</v>
      </c>
      <c r="Z49" s="33">
        <f t="shared" si="22"/>
        <v>-7.2609548232610415</v>
      </c>
      <c r="AA49">
        <f t="shared" si="20"/>
        <v>1.6657015766778465</v>
      </c>
    </row>
    <row r="50" spans="1:29" x14ac:dyDescent="0.35">
      <c r="A50" t="str">
        <f>Table1!A43</f>
        <v>Howard &amp; Sylvan 2020</v>
      </c>
      <c r="B50">
        <f>Table1!C43</f>
        <v>3</v>
      </c>
      <c r="C50">
        <f>Table1!E43</f>
        <v>-9.1999999999999993</v>
      </c>
      <c r="D50">
        <v>1</v>
      </c>
      <c r="E50">
        <v>2000</v>
      </c>
      <c r="F50" s="5"/>
      <c r="G50" s="5"/>
      <c r="H50" s="5"/>
      <c r="J50">
        <f t="shared" si="5"/>
        <v>-2.6162485470721473</v>
      </c>
      <c r="K50">
        <f t="shared" si="6"/>
        <v>43.345783193929606</v>
      </c>
      <c r="L50">
        <f t="shared" si="7"/>
        <v>-3.001045751462728</v>
      </c>
      <c r="M50">
        <f t="shared" si="8"/>
        <v>38.427033775458284</v>
      </c>
      <c r="N50">
        <f t="shared" si="9"/>
        <v>-1.9851955493486688</v>
      </c>
      <c r="O50">
        <f t="shared" si="10"/>
        <v>52.053403261138243</v>
      </c>
      <c r="P50">
        <f t="shared" si="11"/>
        <v>-2.2739136658084003</v>
      </c>
      <c r="Q50">
        <f t="shared" si="12"/>
        <v>47.970671908675619</v>
      </c>
      <c r="R50" s="24">
        <f t="shared" si="13"/>
        <v>-2.5004812593291641</v>
      </c>
      <c r="S50">
        <f t="shared" si="14"/>
        <v>44.883551356599732</v>
      </c>
      <c r="T50">
        <f t="shared" si="15"/>
        <v>-0.16759179136987784</v>
      </c>
      <c r="U50">
        <f t="shared" si="16"/>
        <v>81.584398047328804</v>
      </c>
      <c r="V50">
        <f t="shared" si="17"/>
        <v>-3.001045774293476</v>
      </c>
      <c r="W50">
        <f t="shared" si="18"/>
        <v>38.42703349240476</v>
      </c>
      <c r="X50">
        <f t="shared" si="21"/>
        <v>-1.713468246489855</v>
      </c>
      <c r="Y50">
        <f t="shared" si="19"/>
        <v>56.048157696315677</v>
      </c>
      <c r="Z50" s="33">
        <f t="shared" si="22"/>
        <v>-2.5037295101532746</v>
      </c>
      <c r="AA50">
        <f t="shared" si="20"/>
        <v>44.840038473192102</v>
      </c>
    </row>
    <row r="51" spans="1:29" x14ac:dyDescent="0.35">
      <c r="A51" t="str">
        <f>Table1!A44</f>
        <v>Howard &amp; Sylvan 2021</v>
      </c>
      <c r="B51">
        <f>Table1!C44</f>
        <v>1.2</v>
      </c>
      <c r="C51">
        <f>Table1!E44</f>
        <v>-2.2000000000000002</v>
      </c>
      <c r="D51">
        <v>0.25</v>
      </c>
      <c r="E51">
        <v>2021</v>
      </c>
      <c r="F51" s="5"/>
      <c r="G51" s="5"/>
      <c r="H51" s="5"/>
      <c r="J51">
        <f t="shared" si="5"/>
        <v>-0.81837018334624767</v>
      </c>
      <c r="K51">
        <f t="shared" si="6"/>
        <v>0.47722523756667035</v>
      </c>
      <c r="L51">
        <f t="shared" si="7"/>
        <v>-1.2004183005850912</v>
      </c>
      <c r="M51">
        <f t="shared" si="8"/>
        <v>0.24979089345129935</v>
      </c>
      <c r="N51">
        <f t="shared" si="9"/>
        <v>-0.31763128789578698</v>
      </c>
      <c r="O51">
        <f t="shared" si="10"/>
        <v>0.88582799207721852</v>
      </c>
      <c r="P51">
        <f t="shared" si="11"/>
        <v>-0.36549130341130293</v>
      </c>
      <c r="Q51">
        <f t="shared" si="12"/>
        <v>0.84135553946489017</v>
      </c>
      <c r="R51" s="24">
        <f t="shared" si="13"/>
        <v>-0.40545799473928212</v>
      </c>
      <c r="S51">
        <f t="shared" si="14"/>
        <v>0.80509525216128963</v>
      </c>
      <c r="T51">
        <f t="shared" si="15"/>
        <v>-2.0373152342210533E-2</v>
      </c>
      <c r="U51">
        <f t="shared" si="16"/>
        <v>1.1876932987576583</v>
      </c>
      <c r="V51">
        <f t="shared" si="17"/>
        <v>-1.2004183097173904</v>
      </c>
      <c r="W51">
        <f t="shared" si="18"/>
        <v>0.2497908888870598</v>
      </c>
      <c r="X51">
        <f t="shared" si="21"/>
        <v>-0.54722967611011231</v>
      </c>
      <c r="Y51">
        <f t="shared" si="19"/>
        <v>0.68291243588277117</v>
      </c>
      <c r="Z51" s="33">
        <f t="shared" si="22"/>
        <v>-0.65399519866404865</v>
      </c>
      <c r="AA51">
        <f t="shared" si="20"/>
        <v>0.59753271143845377</v>
      </c>
    </row>
    <row r="52" spans="1:29" x14ac:dyDescent="0.35">
      <c r="A52">
        <f>Table1!A45</f>
        <v>0</v>
      </c>
      <c r="B52">
        <f>Table1!C45</f>
        <v>3</v>
      </c>
      <c r="C52">
        <f>Table1!E45</f>
        <v>-8.5</v>
      </c>
      <c r="D52">
        <v>0.25</v>
      </c>
      <c r="E52">
        <v>2021</v>
      </c>
      <c r="F52" s="5"/>
      <c r="G52" s="5"/>
      <c r="H52" s="5"/>
      <c r="J52">
        <f t="shared" si="5"/>
        <v>-2.6162485470721473</v>
      </c>
      <c r="K52">
        <f t="shared" si="6"/>
        <v>8.6546327899576543</v>
      </c>
      <c r="L52">
        <f t="shared" si="7"/>
        <v>-3.001045751462728</v>
      </c>
      <c r="M52">
        <f t="shared" si="8"/>
        <v>7.5596244568765281</v>
      </c>
      <c r="N52">
        <f t="shared" si="9"/>
        <v>-1.9851955493486688</v>
      </c>
      <c r="O52">
        <f t="shared" si="10"/>
        <v>10.610669257556598</v>
      </c>
      <c r="P52">
        <f t="shared" si="11"/>
        <v>-2.2739136658084003</v>
      </c>
      <c r="Q52">
        <f t="shared" si="12"/>
        <v>9.691037760201846</v>
      </c>
      <c r="R52" s="24">
        <f t="shared" si="13"/>
        <v>-2.5004812593291641</v>
      </c>
      <c r="S52">
        <f t="shared" si="14"/>
        <v>8.9985562799151424</v>
      </c>
      <c r="T52">
        <f t="shared" si="15"/>
        <v>-0.16759179136987784</v>
      </c>
      <c r="U52">
        <f t="shared" si="16"/>
        <v>17.357256638811659</v>
      </c>
      <c r="V52">
        <f t="shared" si="17"/>
        <v>-3.001045774293476</v>
      </c>
      <c r="W52">
        <f t="shared" si="18"/>
        <v>7.559624394103909</v>
      </c>
      <c r="X52">
        <f t="shared" si="21"/>
        <v>-1.713468246489855</v>
      </c>
      <c r="Y52">
        <f t="shared" si="19"/>
        <v>11.514253310350371</v>
      </c>
      <c r="Z52" s="33">
        <f t="shared" si="22"/>
        <v>-2.5037295101532746</v>
      </c>
      <c r="AA52">
        <f t="shared" si="20"/>
        <v>8.988814946851674</v>
      </c>
      <c r="AC52">
        <f>(100/10)^(1/7)</f>
        <v>1.3894954943731377</v>
      </c>
    </row>
    <row r="53" spans="1:29" x14ac:dyDescent="0.35">
      <c r="A53">
        <f>Table1!A46</f>
        <v>0</v>
      </c>
      <c r="B53">
        <f>Table1!C46</f>
        <v>5</v>
      </c>
      <c r="C53">
        <f>Table1!E46</f>
        <v>-16.100000000000001</v>
      </c>
      <c r="D53">
        <v>0.25</v>
      </c>
      <c r="E53">
        <v>2021</v>
      </c>
      <c r="F53" s="5"/>
      <c r="G53" s="5"/>
      <c r="H53" s="5"/>
      <c r="J53">
        <f t="shared" si="5"/>
        <v>-5.4165681130952974</v>
      </c>
      <c r="K53">
        <f t="shared" si="6"/>
        <v>28.533929220533047</v>
      </c>
      <c r="L53">
        <f t="shared" si="7"/>
        <v>-5.0017429191045473</v>
      </c>
      <c r="M53">
        <f t="shared" si="8"/>
        <v>30.792827558411521</v>
      </c>
      <c r="N53">
        <f t="shared" si="9"/>
        <v>-5.5144320815240802</v>
      </c>
      <c r="O53">
        <f t="shared" si="10"/>
        <v>28.013562039166658</v>
      </c>
      <c r="P53">
        <f t="shared" si="11"/>
        <v>-5.9700251252091165</v>
      </c>
      <c r="Q53">
        <f t="shared" si="12"/>
        <v>25.654097740973654</v>
      </c>
      <c r="R53" s="24">
        <f t="shared" si="13"/>
        <v>-6.3018840276730161</v>
      </c>
      <c r="S53">
        <f t="shared" si="14"/>
        <v>24.000769151792301</v>
      </c>
      <c r="T53">
        <f t="shared" si="15"/>
        <v>-1.2944480160512748</v>
      </c>
      <c r="U53">
        <f t="shared" si="16"/>
        <v>54.801092387352014</v>
      </c>
      <c r="V53">
        <f t="shared" si="17"/>
        <v>-5.0017429571557939</v>
      </c>
      <c r="W53">
        <f t="shared" si="18"/>
        <v>30.79282734726026</v>
      </c>
      <c r="X53">
        <f t="shared" si="21"/>
        <v>-4.3638637713521202</v>
      </c>
      <c r="Y53">
        <f t="shared" si="19"/>
        <v>34.434223394345331</v>
      </c>
      <c r="Z53" s="33">
        <f t="shared" si="22"/>
        <v>-5.6052619008778324</v>
      </c>
      <c r="AA53">
        <f t="shared" si="20"/>
        <v>27.534881942291605</v>
      </c>
    </row>
    <row r="54" spans="1:29" x14ac:dyDescent="0.35">
      <c r="A54">
        <f>Table1!A47</f>
        <v>0</v>
      </c>
      <c r="B54">
        <f>Table1!C47</f>
        <v>7</v>
      </c>
      <c r="C54">
        <f>Table1!E47</f>
        <v>-25</v>
      </c>
      <c r="D54">
        <v>0.25</v>
      </c>
      <c r="E54">
        <v>2021</v>
      </c>
      <c r="F54" s="5"/>
      <c r="G54" s="5"/>
      <c r="H54" s="5"/>
      <c r="J54">
        <f t="shared" si="5"/>
        <v>-9.0618107734984896</v>
      </c>
      <c r="K54">
        <f t="shared" si="6"/>
        <v>63.5064689549422</v>
      </c>
      <c r="L54">
        <f t="shared" si="7"/>
        <v>-7.0024400867463656</v>
      </c>
      <c r="M54">
        <f t="shared" si="8"/>
        <v>80.978040707788551</v>
      </c>
      <c r="N54">
        <f t="shared" si="9"/>
        <v>-10.808286879787197</v>
      </c>
      <c r="O54">
        <f t="shared" si="10"/>
        <v>50.351180321605057</v>
      </c>
      <c r="P54">
        <f t="shared" si="11"/>
        <v>-8.4780160577062826</v>
      </c>
      <c r="Q54">
        <f t="shared" si="12"/>
        <v>68.243988347352854</v>
      </c>
      <c r="R54" s="24">
        <f t="shared" si="13"/>
        <v>-8.2315078316690098</v>
      </c>
      <c r="S54">
        <f t="shared" si="14"/>
        <v>70.295582399844434</v>
      </c>
      <c r="T54">
        <f t="shared" si="15"/>
        <v>-9.6208518756513168</v>
      </c>
      <c r="U54">
        <f t="shared" si="16"/>
        <v>59.129549257664408</v>
      </c>
      <c r="V54">
        <f t="shared" si="17"/>
        <v>-7.0024401400181109</v>
      </c>
      <c r="W54">
        <f t="shared" si="18"/>
        <v>80.978040228407849</v>
      </c>
      <c r="X54">
        <f t="shared" si="21"/>
        <v>-10.546003979634889</v>
      </c>
      <c r="Y54">
        <f t="shared" si="19"/>
        <v>52.229500239182613</v>
      </c>
      <c r="Z54" s="33">
        <f t="shared" si="22"/>
        <v>-8.5116522767856768</v>
      </c>
      <c r="AA54">
        <f t="shared" si="20"/>
        <v>67.966402660406757</v>
      </c>
      <c r="AC54">
        <f>2^(1/20)</f>
        <v>1.0352649238413776</v>
      </c>
    </row>
    <row r="55" spans="1:29" x14ac:dyDescent="0.35">
      <c r="A55" t="str">
        <f>Table1!A48</f>
        <v>Conte et al. 2021</v>
      </c>
      <c r="B55">
        <f>Table1!C48</f>
        <v>3.7</v>
      </c>
      <c r="C55">
        <f>Table1!E48</f>
        <v>-3.7</v>
      </c>
      <c r="D55">
        <v>1</v>
      </c>
      <c r="E55">
        <v>2021</v>
      </c>
      <c r="F55" s="5"/>
      <c r="G55" s="5"/>
      <c r="H55" s="5"/>
      <c r="J55">
        <f t="shared" si="5"/>
        <v>-3.5002503931945204</v>
      </c>
      <c r="K55">
        <f t="shared" si="6"/>
        <v>3.9899905418943789E-2</v>
      </c>
      <c r="L55">
        <f t="shared" si="7"/>
        <v>-3.7012897601373651</v>
      </c>
      <c r="M55">
        <f t="shared" si="8"/>
        <v>1.6634812119355925E-6</v>
      </c>
      <c r="N55">
        <f t="shared" si="9"/>
        <v>-3.0197030078425864</v>
      </c>
      <c r="O55">
        <f t="shared" si="10"/>
        <v>0.46280399753842433</v>
      </c>
      <c r="P55">
        <f t="shared" si="11"/>
        <v>-3.4292279816504614</v>
      </c>
      <c r="Q55">
        <f t="shared" si="12"/>
        <v>7.3317485921082975E-2</v>
      </c>
      <c r="R55" s="24">
        <f t="shared" si="13"/>
        <v>-3.7345353447132781</v>
      </c>
      <c r="S55">
        <f t="shared" si="14"/>
        <v>1.1926900344649321E-3</v>
      </c>
      <c r="T55">
        <f t="shared" si="15"/>
        <v>-0.34639027599923089</v>
      </c>
      <c r="U55">
        <f t="shared" si="16"/>
        <v>11.246698180912515</v>
      </c>
      <c r="V55">
        <f t="shared" si="17"/>
        <v>-3.7012897882952873</v>
      </c>
      <c r="W55">
        <f t="shared" si="18"/>
        <v>1.6635538466597117E-6</v>
      </c>
      <c r="X55">
        <f t="shared" si="21"/>
        <v>-2.4086050912556627</v>
      </c>
      <c r="Y55">
        <f t="shared" si="19"/>
        <v>1.6677008103307958</v>
      </c>
      <c r="Z55" s="33">
        <f t="shared" si="22"/>
        <v>-3.4899702474479337</v>
      </c>
      <c r="AA55">
        <f t="shared" si="20"/>
        <v>4.4112496957082269E-2</v>
      </c>
    </row>
    <row r="56" spans="1:29" x14ac:dyDescent="0.35">
      <c r="A56" t="str">
        <f>Table1!A49</f>
        <v>Desmet and Rossi-Hansberg 2015</v>
      </c>
      <c r="B56">
        <f>Table1!C49</f>
        <v>4.6487373814138984</v>
      </c>
      <c r="C56">
        <f>Table1!E49</f>
        <v>5.1295273109904338</v>
      </c>
      <c r="D56">
        <v>1</v>
      </c>
      <c r="E56">
        <v>2015</v>
      </c>
      <c r="F56" s="5"/>
      <c r="G56" s="5"/>
      <c r="H56" s="5"/>
      <c r="J56">
        <f t="shared" si="5"/>
        <v>-4.863578246237342</v>
      </c>
      <c r="K56">
        <f t="shared" si="6"/>
        <v>99.862158677896645</v>
      </c>
      <c r="L56">
        <f t="shared" si="7"/>
        <v>-4.6503578560527163</v>
      </c>
      <c r="M56">
        <f t="shared" si="8"/>
        <v>95.646153880550642</v>
      </c>
      <c r="N56">
        <f t="shared" si="9"/>
        <v>-4.766842562664829</v>
      </c>
      <c r="O56">
        <f t="shared" si="10"/>
        <v>97.938136676191505</v>
      </c>
      <c r="P56">
        <f t="shared" si="11"/>
        <v>-5.2597838333400677</v>
      </c>
      <c r="Q56">
        <f t="shared" si="12"/>
        <v>107.93778605370997</v>
      </c>
      <c r="R56" s="24">
        <f t="shared" si="13"/>
        <v>-5.6091752655661926</v>
      </c>
      <c r="S56">
        <f t="shared" si="14"/>
        <v>115.31973302774392</v>
      </c>
      <c r="T56">
        <f t="shared" si="15"/>
        <v>-0.90843012027297165</v>
      </c>
      <c r="U56">
        <f t="shared" si="16"/>
        <v>36.456929941748989</v>
      </c>
      <c r="V56">
        <f t="shared" si="17"/>
        <v>-4.6503578914307662</v>
      </c>
      <c r="W56">
        <f t="shared" si="18"/>
        <v>95.646154572537156</v>
      </c>
      <c r="X56">
        <f t="shared" si="21"/>
        <v>-3.7269743720343227</v>
      </c>
      <c r="Y56">
        <f t="shared" si="19"/>
        <v>78.437622061420342</v>
      </c>
      <c r="Z56" s="33">
        <f t="shared" si="22"/>
        <v>-5.0103622441643969</v>
      </c>
      <c r="AA56">
        <f t="shared" si="20"/>
        <v>102.81736019073803</v>
      </c>
      <c r="AC56">
        <f>(1000/200)^(1/50)</f>
        <v>1.032712419896443</v>
      </c>
    </row>
    <row r="57" spans="1:29" x14ac:dyDescent="0.35">
      <c r="A57">
        <f>Table1!A50</f>
        <v>0</v>
      </c>
      <c r="B57">
        <f>Table1!C50</f>
        <v>9.2982230505350998</v>
      </c>
      <c r="C57">
        <f>Table1!E50</f>
        <v>-4.8593007850505128</v>
      </c>
      <c r="D57">
        <v>0</v>
      </c>
      <c r="E57">
        <v>2015</v>
      </c>
      <c r="F57" s="5"/>
      <c r="G57" s="5"/>
      <c r="H57" s="5"/>
      <c r="J57">
        <f t="shared" si="5"/>
        <v>-14.293898992724506</v>
      </c>
      <c r="K57">
        <f t="shared" si="6"/>
        <v>0</v>
      </c>
      <c r="L57">
        <f t="shared" si="7"/>
        <v>-9.3014642606537237</v>
      </c>
      <c r="M57">
        <f t="shared" si="8"/>
        <v>0</v>
      </c>
      <c r="N57">
        <f t="shared" si="9"/>
        <v>-19.070439568574823</v>
      </c>
      <c r="O57">
        <f t="shared" si="10"/>
        <v>0</v>
      </c>
      <c r="P57">
        <f t="shared" si="11"/>
        <v>6.9449151467383317</v>
      </c>
      <c r="Q57">
        <f t="shared" si="12"/>
        <v>0</v>
      </c>
      <c r="R57" s="24">
        <f t="shared" si="13"/>
        <v>6.2448961078965866</v>
      </c>
      <c r="S57">
        <f t="shared" si="14"/>
        <v>0</v>
      </c>
      <c r="T57">
        <f t="shared" si="15"/>
        <v>-95.868414680149044</v>
      </c>
      <c r="U57">
        <f t="shared" si="16"/>
        <v>0</v>
      </c>
      <c r="V57">
        <f t="shared" si="17"/>
        <v>-9.3014643314155183</v>
      </c>
      <c r="W57">
        <f t="shared" si="18"/>
        <v>0</v>
      </c>
      <c r="X57">
        <f t="shared" si="21"/>
        <v>-28.772686587127254</v>
      </c>
      <c r="Y57">
        <f t="shared" si="19"/>
        <v>0</v>
      </c>
      <c r="Z57" s="33">
        <f t="shared" si="22"/>
        <v>-5.0459310113815796</v>
      </c>
      <c r="AA57">
        <f t="shared" si="20"/>
        <v>0</v>
      </c>
    </row>
    <row r="58" spans="1:29" x14ac:dyDescent="0.35">
      <c r="A58">
        <f>Table1!A51</f>
        <v>0</v>
      </c>
      <c r="B58">
        <f>Table1!C51</f>
        <v>13.606208917250999</v>
      </c>
      <c r="C58">
        <f>Table1!E51</f>
        <v>-24.061208104792932</v>
      </c>
      <c r="D58">
        <v>0</v>
      </c>
      <c r="E58">
        <v>2015</v>
      </c>
      <c r="F58" s="5"/>
      <c r="G58" s="5"/>
      <c r="H58" s="5"/>
      <c r="J58">
        <f t="shared" si="5"/>
        <v>-27.107128993411997</v>
      </c>
      <c r="K58">
        <f t="shared" si="6"/>
        <v>0</v>
      </c>
      <c r="L58">
        <f t="shared" si="7"/>
        <v>-26.562666002907598</v>
      </c>
      <c r="M58">
        <f t="shared" si="8"/>
        <v>0</v>
      </c>
      <c r="N58">
        <f t="shared" si="9"/>
        <v>-40.835234469244874</v>
      </c>
      <c r="O58">
        <f t="shared" si="10"/>
        <v>0</v>
      </c>
      <c r="P58">
        <f t="shared" si="11"/>
        <v>368.06492310854384</v>
      </c>
      <c r="Q58">
        <f t="shared" si="12"/>
        <v>0</v>
      </c>
      <c r="R58" s="24">
        <f t="shared" si="13"/>
        <v>248.25581070638509</v>
      </c>
      <c r="S58">
        <f t="shared" si="14"/>
        <v>0</v>
      </c>
      <c r="T58">
        <f t="shared" si="15"/>
        <v>-7122.7758552353389</v>
      </c>
      <c r="U58">
        <f t="shared" si="16"/>
        <v>0</v>
      </c>
      <c r="V58">
        <f t="shared" si="17"/>
        <v>-13.610951925090108</v>
      </c>
      <c r="W58">
        <f t="shared" si="18"/>
        <v>0</v>
      </c>
      <c r="X58">
        <f t="shared" si="21"/>
        <v>-188.19346836566115</v>
      </c>
      <c r="Y58">
        <f t="shared" si="19"/>
        <v>0</v>
      </c>
      <c r="Z58" s="33">
        <f t="shared" si="22"/>
        <v>112.52810105057128</v>
      </c>
      <c r="AA58">
        <f t="shared" si="20"/>
        <v>0</v>
      </c>
    </row>
    <row r="59" spans="1:29" x14ac:dyDescent="0.35">
      <c r="A59">
        <f>Table1!A52</f>
        <v>0</v>
      </c>
      <c r="B59">
        <f>Table1!C52</f>
        <v>16.682700289727595</v>
      </c>
      <c r="C59">
        <f>Table1!E52</f>
        <v>-78.907648460775576</v>
      </c>
      <c r="D59">
        <v>0</v>
      </c>
      <c r="E59">
        <v>2015</v>
      </c>
      <c r="F59" s="5"/>
      <c r="G59" s="5"/>
      <c r="H59" s="5"/>
      <c r="J59">
        <f t="shared" si="5"/>
        <v>-38.656928438057648</v>
      </c>
      <c r="K59">
        <f t="shared" si="6"/>
        <v>0</v>
      </c>
      <c r="L59">
        <f t="shared" si="7"/>
        <v>-81.408521120258982</v>
      </c>
      <c r="M59">
        <f t="shared" si="8"/>
        <v>0</v>
      </c>
      <c r="N59">
        <f t="shared" si="9"/>
        <v>-61.389412711704793</v>
      </c>
      <c r="O59">
        <f t="shared" si="10"/>
        <v>0</v>
      </c>
      <c r="P59">
        <f t="shared" si="11"/>
        <v>1658.4189393000765</v>
      </c>
      <c r="Q59">
        <f t="shared" si="12"/>
        <v>0</v>
      </c>
      <c r="R59" s="24">
        <f t="shared" si="13"/>
        <v>942.25620147554127</v>
      </c>
      <c r="S59">
        <f t="shared" si="14"/>
        <v>0</v>
      </c>
      <c r="T59">
        <f t="shared" si="15"/>
        <v>-154437.58979625141</v>
      </c>
      <c r="U59">
        <f t="shared" si="16"/>
        <v>0</v>
      </c>
      <c r="V59">
        <f t="shared" si="17"/>
        <v>-16.688515736097184</v>
      </c>
      <c r="W59">
        <f t="shared" si="18"/>
        <v>0</v>
      </c>
      <c r="X59">
        <f t="shared" si="21"/>
        <v>-719.4211603555691</v>
      </c>
      <c r="Y59">
        <f t="shared" si="19"/>
        <v>0</v>
      </c>
      <c r="Z59" s="33">
        <f t="shared" si="22"/>
        <v>502.07835500973493</v>
      </c>
      <c r="AA59">
        <f t="shared" si="20"/>
        <v>0</v>
      </c>
    </row>
    <row r="60" spans="1:29" x14ac:dyDescent="0.35">
      <c r="A60" t="str">
        <f>Table1!A53</f>
        <v>Cruz and Rossi-Hansberg 2021</v>
      </c>
      <c r="B60">
        <f>Table1!C53</f>
        <v>7.2</v>
      </c>
      <c r="C60">
        <f>Table1!E53</f>
        <v>-5</v>
      </c>
      <c r="D60">
        <v>1</v>
      </c>
      <c r="E60">
        <v>2021</v>
      </c>
      <c r="F60" s="5"/>
      <c r="G60" s="5"/>
      <c r="H60" s="5"/>
      <c r="J60">
        <f t="shared" si="5"/>
        <v>-9.4728058097297101</v>
      </c>
      <c r="K60">
        <f t="shared" si="6"/>
        <v>20.005991811551848</v>
      </c>
      <c r="L60">
        <f t="shared" si="7"/>
        <v>-7.2025098035105479</v>
      </c>
      <c r="M60">
        <f t="shared" si="8"/>
        <v>4.8510494345600721</v>
      </c>
      <c r="N60">
        <f t="shared" si="9"/>
        <v>-11.434726364248334</v>
      </c>
      <c r="O60">
        <f t="shared" si="10"/>
        <v>41.405703382752584</v>
      </c>
      <c r="P60">
        <f t="shared" si="11"/>
        <v>-8.3357926815105365</v>
      </c>
      <c r="Q60">
        <f t="shared" si="12"/>
        <v>11.127512814019257</v>
      </c>
      <c r="R60" s="24">
        <f t="shared" si="13"/>
        <v>-8.0056988409660157</v>
      </c>
      <c r="S60">
        <f t="shared" si="14"/>
        <v>9.0342255225844497</v>
      </c>
      <c r="T60">
        <f t="shared" si="15"/>
        <v>-11.752879174014412</v>
      </c>
      <c r="U60">
        <f t="shared" si="16"/>
        <v>45.601377138837563</v>
      </c>
      <c r="V60">
        <f t="shared" si="17"/>
        <v>-7.2025098583043432</v>
      </c>
      <c r="W60">
        <f t="shared" si="18"/>
        <v>4.8510496759278183</v>
      </c>
      <c r="X60">
        <f t="shared" si="21"/>
        <v>-11.510746398423468</v>
      </c>
      <c r="Y60">
        <f t="shared" si="19"/>
        <v>42.389818664584155</v>
      </c>
      <c r="Z60" s="33">
        <f t="shared" si="22"/>
        <v>-8.6564224345102208</v>
      </c>
      <c r="AA60">
        <f t="shared" si="20"/>
        <v>13.36942501958965</v>
      </c>
    </row>
    <row r="61" spans="1:29" x14ac:dyDescent="0.35">
      <c r="A61" t="str">
        <f>Table1!A54</f>
        <v>Kalkuhl and Wenz 2020</v>
      </c>
      <c r="B61">
        <f>Table1!C54*A1</f>
        <v>4.3</v>
      </c>
      <c r="C61">
        <f>Table1!E54*A1</f>
        <v>-9.8899999999999988</v>
      </c>
      <c r="D61">
        <v>1</v>
      </c>
      <c r="E61">
        <v>2020</v>
      </c>
      <c r="F61" s="5"/>
      <c r="G61" s="5"/>
      <c r="H61" s="5"/>
      <c r="J61">
        <f t="shared" si="5"/>
        <v>-4.3403462630014644</v>
      </c>
      <c r="K61">
        <f t="shared" si="6"/>
        <v>30.798656600581797</v>
      </c>
      <c r="L61">
        <f t="shared" si="7"/>
        <v>-4.3014989104299106</v>
      </c>
      <c r="M61">
        <f t="shared" si="8"/>
        <v>31.231344428126064</v>
      </c>
      <c r="N61">
        <f t="shared" si="9"/>
        <v>-4.0784739674952091</v>
      </c>
      <c r="O61">
        <f t="shared" si="10"/>
        <v>33.773834826480865</v>
      </c>
      <c r="P61">
        <f t="shared" si="11"/>
        <v>-4.5625462116472004</v>
      </c>
      <c r="Q61">
        <f t="shared" si="12"/>
        <v>28.381763867034582</v>
      </c>
      <c r="R61" s="24">
        <f t="shared" si="13"/>
        <v>-4.9087211697054434</v>
      </c>
      <c r="S61">
        <f t="shared" si="14"/>
        <v>24.813138785140694</v>
      </c>
      <c r="T61">
        <f t="shared" si="15"/>
        <v>-0.6383833322254191</v>
      </c>
      <c r="U61">
        <f t="shared" si="16"/>
        <v>85.592410967444408</v>
      </c>
      <c r="V61">
        <f t="shared" si="17"/>
        <v>-4.3014989431539821</v>
      </c>
      <c r="W61">
        <f t="shared" si="18"/>
        <v>31.231344062369047</v>
      </c>
      <c r="X61">
        <f t="shared" si="21"/>
        <v>-3.1812912830032389</v>
      </c>
      <c r="Y61">
        <f t="shared" si="19"/>
        <v>45.006772649508321</v>
      </c>
      <c r="Z61" s="33">
        <f t="shared" si="22"/>
        <v>-4.4323891350263986</v>
      </c>
      <c r="AA61">
        <f t="shared" si="20"/>
        <v>29.785516353477888</v>
      </c>
    </row>
    <row r="62" spans="1:29" x14ac:dyDescent="0.35">
      <c r="A62" t="str">
        <f>Table1!A55</f>
        <v>Newell, Prest and Sexton</v>
      </c>
      <c r="B62">
        <f>Table1!C55</f>
        <v>4.3</v>
      </c>
      <c r="C62">
        <f>Table1!E55</f>
        <v>5.63</v>
      </c>
      <c r="D62">
        <f>1/9</f>
        <v>0.1111111111111111</v>
      </c>
      <c r="E62">
        <v>2021</v>
      </c>
      <c r="F62" s="5"/>
      <c r="G62" s="5"/>
      <c r="H62" s="5"/>
      <c r="J62">
        <f t="shared" si="5"/>
        <v>-4.3403462630014644</v>
      </c>
      <c r="K62">
        <f t="shared" si="6"/>
        <v>11.045311622683027</v>
      </c>
      <c r="L62">
        <f t="shared" si="7"/>
        <v>-4.3014989104299106</v>
      </c>
      <c r="M62">
        <f t="shared" si="8"/>
        <v>10.959407845318944</v>
      </c>
      <c r="N62">
        <f t="shared" si="9"/>
        <v>-4.0784739674952091</v>
      </c>
      <c r="O62">
        <f t="shared" si="10"/>
        <v>10.472718530836906</v>
      </c>
      <c r="P62">
        <f t="shared" si="11"/>
        <v>-4.5625462116472004</v>
      </c>
      <c r="Q62">
        <f t="shared" si="12"/>
        <v>11.543110919618188</v>
      </c>
      <c r="R62" s="24">
        <f t="shared" si="13"/>
        <v>-4.9087211697054434</v>
      </c>
      <c r="S62">
        <f t="shared" si="14"/>
        <v>12.340515988088628</v>
      </c>
      <c r="T62">
        <f t="shared" si="15"/>
        <v>-0.6383833322254191</v>
      </c>
      <c r="U62">
        <f t="shared" si="16"/>
        <v>4.3658477333023828</v>
      </c>
      <c r="V62">
        <f t="shared" si="17"/>
        <v>-4.3014989431539821</v>
      </c>
      <c r="W62">
        <f t="shared" si="18"/>
        <v>10.959407917540963</v>
      </c>
      <c r="X62">
        <f t="shared" si="21"/>
        <v>-3.1812912830032389</v>
      </c>
      <c r="Y62">
        <f t="shared" si="19"/>
        <v>8.6265393415476517</v>
      </c>
      <c r="Z62" s="33">
        <f t="shared" si="22"/>
        <v>-4.4323891350263986</v>
      </c>
      <c r="AA62">
        <f t="shared" si="20"/>
        <v>11.250186122744145</v>
      </c>
    </row>
    <row r="63" spans="1:29" x14ac:dyDescent="0.35">
      <c r="A63">
        <f>Table1!A56</f>
        <v>0</v>
      </c>
      <c r="B63">
        <f>Table1!C56</f>
        <v>4.3</v>
      </c>
      <c r="C63">
        <f>Table1!E56</f>
        <v>3.61</v>
      </c>
      <c r="D63">
        <f t="shared" ref="D63:D70" si="26">1/9</f>
        <v>0.1111111111111111</v>
      </c>
      <c r="E63">
        <v>2021</v>
      </c>
      <c r="F63" s="5"/>
      <c r="G63" s="5"/>
      <c r="H63" s="5"/>
      <c r="J63">
        <f t="shared" si="5"/>
        <v>-4.3403462630014644</v>
      </c>
      <c r="K63">
        <f t="shared" si="6"/>
        <v>7.0231117446245932</v>
      </c>
      <c r="L63">
        <f t="shared" si="7"/>
        <v>-4.3014989104299106</v>
      </c>
      <c r="M63">
        <f t="shared" si="8"/>
        <v>6.9546461121926288</v>
      </c>
      <c r="N63">
        <f t="shared" si="9"/>
        <v>-4.0784739674952091</v>
      </c>
      <c r="O63">
        <f t="shared" si="10"/>
        <v>6.5680702165390583</v>
      </c>
      <c r="P63">
        <f t="shared" si="11"/>
        <v>-4.5625462116472004</v>
      </c>
      <c r="Q63">
        <f t="shared" si="12"/>
        <v>7.4211679535009987</v>
      </c>
      <c r="R63" s="24">
        <f t="shared" si="13"/>
        <v>-4.9087211697054434</v>
      </c>
      <c r="S63">
        <f t="shared" si="14"/>
        <v>8.0631789296875205</v>
      </c>
      <c r="T63">
        <f t="shared" si="15"/>
        <v>-0.6383833322254191</v>
      </c>
      <c r="U63">
        <f t="shared" si="16"/>
        <v>2.0054178819478614</v>
      </c>
      <c r="V63">
        <f t="shared" si="17"/>
        <v>-4.3014989431539821</v>
      </c>
      <c r="W63">
        <f t="shared" si="18"/>
        <v>6.9546461697251729</v>
      </c>
      <c r="X63">
        <f t="shared" si="21"/>
        <v>-3.1812912830032389</v>
      </c>
      <c r="Y63">
        <f t="shared" si="19"/>
        <v>5.1246263656217526</v>
      </c>
      <c r="Z63" s="33">
        <f t="shared" si="22"/>
        <v>-4.4323891350263986</v>
      </c>
      <c r="AA63">
        <f t="shared" si="20"/>
        <v>7.1866692221322959</v>
      </c>
    </row>
    <row r="64" spans="1:29" x14ac:dyDescent="0.35">
      <c r="A64">
        <f>Table1!A57</f>
        <v>0</v>
      </c>
      <c r="B64">
        <f>Table1!C57</f>
        <v>4.3</v>
      </c>
      <c r="C64">
        <f>Table1!E57</f>
        <v>-1.71</v>
      </c>
      <c r="D64">
        <f t="shared" si="26"/>
        <v>0.1111111111111111</v>
      </c>
      <c r="E64">
        <v>2021</v>
      </c>
      <c r="F64" s="5"/>
      <c r="G64" s="5"/>
      <c r="H64" s="5"/>
      <c r="J64">
        <f t="shared" si="5"/>
        <v>-4.3403462630014644</v>
      </c>
      <c r="K64">
        <f t="shared" si="6"/>
        <v>0.76874682925397431</v>
      </c>
      <c r="L64">
        <f t="shared" si="7"/>
        <v>-4.3014989104299106</v>
      </c>
      <c r="M64">
        <f t="shared" si="8"/>
        <v>0.74620740030660149</v>
      </c>
      <c r="N64">
        <f t="shared" si="9"/>
        <v>-4.0784739674952091</v>
      </c>
      <c r="O64">
        <f t="shared" si="10"/>
        <v>0.62329654830027736</v>
      </c>
      <c r="P64">
        <f t="shared" si="11"/>
        <v>-4.5625462116472004</v>
      </c>
      <c r="Q64">
        <f t="shared" si="12"/>
        <v>0.90411332106475495</v>
      </c>
      <c r="R64" s="24">
        <f t="shared" si="13"/>
        <v>-4.9087211697054434</v>
      </c>
      <c r="S64">
        <f t="shared" si="14"/>
        <v>1.1368685690579732</v>
      </c>
      <c r="T64">
        <f t="shared" si="15"/>
        <v>-0.6383833322254191</v>
      </c>
      <c r="U64">
        <f t="shared" si="16"/>
        <v>0.12759580918358848</v>
      </c>
      <c r="V64">
        <f t="shared" si="17"/>
        <v>-4.3014989431539821</v>
      </c>
      <c r="W64">
        <f t="shared" si="18"/>
        <v>0.74620741915202282</v>
      </c>
      <c r="X64">
        <f t="shared" si="21"/>
        <v>-3.1812912830032389</v>
      </c>
      <c r="Y64">
        <f t="shared" si="19"/>
        <v>0.24052200438236854</v>
      </c>
      <c r="Z64" s="33">
        <f t="shared" si="22"/>
        <v>-4.4323891350263986</v>
      </c>
      <c r="AA64">
        <f t="shared" si="20"/>
        <v>0.82348917805664257</v>
      </c>
    </row>
    <row r="65" spans="1:27" x14ac:dyDescent="0.35">
      <c r="A65">
        <f>Table1!A58</f>
        <v>0</v>
      </c>
      <c r="B65">
        <f>Table1!C58</f>
        <v>4.3</v>
      </c>
      <c r="C65">
        <f>Table1!E58</f>
        <v>-1.63</v>
      </c>
      <c r="D65">
        <f t="shared" si="26"/>
        <v>0.1111111111111111</v>
      </c>
      <c r="E65">
        <v>2021</v>
      </c>
      <c r="F65" s="5"/>
      <c r="G65" s="5"/>
      <c r="H65" s="5"/>
      <c r="J65">
        <f t="shared" si="5"/>
        <v>-4.3403462630014644</v>
      </c>
      <c r="K65">
        <f t="shared" si="6"/>
        <v>0.81621965170733368</v>
      </c>
      <c r="L65">
        <f t="shared" si="7"/>
        <v>-4.3014989104299106</v>
      </c>
      <c r="M65">
        <f t="shared" si="8"/>
        <v>0.79298960315868883</v>
      </c>
      <c r="N65">
        <f t="shared" si="9"/>
        <v>-4.0784739674952091</v>
      </c>
      <c r="O65">
        <f t="shared" si="10"/>
        <v>0.66611386327797006</v>
      </c>
      <c r="P65">
        <f t="shared" si="11"/>
        <v>-4.5625462116472004</v>
      </c>
      <c r="Q65">
        <f t="shared" si="12"/>
        <v>0.95553636482737181</v>
      </c>
      <c r="R65" s="24">
        <f t="shared" si="13"/>
        <v>-4.9087211697054434</v>
      </c>
      <c r="S65">
        <f t="shared" si="14"/>
        <v>1.1944458342971811</v>
      </c>
      <c r="T65">
        <f t="shared" si="15"/>
        <v>-0.6383833322254191</v>
      </c>
      <c r="U65">
        <f t="shared" si="16"/>
        <v>0.10925595731204037</v>
      </c>
      <c r="V65">
        <f t="shared" si="17"/>
        <v>-4.3014989431539821</v>
      </c>
      <c r="W65">
        <f t="shared" si="18"/>
        <v>0.79298962258587147</v>
      </c>
      <c r="X65">
        <f t="shared" si="21"/>
        <v>-3.1812912830032389</v>
      </c>
      <c r="Y65">
        <f t="shared" si="19"/>
        <v>0.2673894049690928</v>
      </c>
      <c r="Z65" s="33">
        <f t="shared" si="22"/>
        <v>-4.4323891350263986</v>
      </c>
      <c r="AA65">
        <f t="shared" si="20"/>
        <v>0.87259831823488965</v>
      </c>
    </row>
    <row r="66" spans="1:27" x14ac:dyDescent="0.35">
      <c r="A66">
        <f>Table1!A59</f>
        <v>0</v>
      </c>
      <c r="B66">
        <f>Table1!C59</f>
        <v>4.3</v>
      </c>
      <c r="C66">
        <f>Table1!E59</f>
        <v>-2.17</v>
      </c>
      <c r="D66">
        <f t="shared" si="26"/>
        <v>0.1111111111111111</v>
      </c>
      <c r="E66">
        <v>2021</v>
      </c>
      <c r="F66" s="5"/>
      <c r="G66" s="5"/>
      <c r="H66" s="5"/>
      <c r="J66">
        <f t="shared" si="5"/>
        <v>-4.3403462630014644</v>
      </c>
      <c r="K66">
        <f t="shared" si="6"/>
        <v>0.52337810014715802</v>
      </c>
      <c r="L66">
        <f t="shared" si="7"/>
        <v>-4.3014989104299106</v>
      </c>
      <c r="M66">
        <f t="shared" si="8"/>
        <v>0.5048097339070996</v>
      </c>
      <c r="N66">
        <f t="shared" si="9"/>
        <v>-4.0784739674952091</v>
      </c>
      <c r="O66">
        <f t="shared" si="10"/>
        <v>0.40469698717854496</v>
      </c>
      <c r="P66">
        <f t="shared" si="11"/>
        <v>-4.5625462116472004</v>
      </c>
      <c r="Q66">
        <f t="shared" si="12"/>
        <v>0.63603081942970785</v>
      </c>
      <c r="R66" s="24">
        <f t="shared" si="13"/>
        <v>-4.9087211697054434</v>
      </c>
      <c r="S66">
        <f t="shared" si="14"/>
        <v>0.83339929393252798</v>
      </c>
      <c r="T66">
        <f t="shared" si="15"/>
        <v>-0.6383833322254191</v>
      </c>
      <c r="U66">
        <f t="shared" si="16"/>
        <v>0.26064995744499003</v>
      </c>
      <c r="V66">
        <f t="shared" si="17"/>
        <v>-4.3014989431539821</v>
      </c>
      <c r="W66">
        <f t="shared" si="18"/>
        <v>0.50480974940739365</v>
      </c>
      <c r="X66">
        <f t="shared" si="21"/>
        <v>-3.1812912830032389</v>
      </c>
      <c r="Y66">
        <f t="shared" si="19"/>
        <v>0.11363445100870415</v>
      </c>
      <c r="Z66" s="33">
        <f t="shared" si="22"/>
        <v>-4.4323891350263986</v>
      </c>
      <c r="AA66">
        <f t="shared" si="20"/>
        <v>0.56871162203172176</v>
      </c>
    </row>
    <row r="67" spans="1:27" x14ac:dyDescent="0.35">
      <c r="A67">
        <f>Table1!A60</f>
        <v>0</v>
      </c>
      <c r="B67">
        <f>Table1!C60</f>
        <v>4.3</v>
      </c>
      <c r="C67">
        <f>Table1!E60</f>
        <v>-0.64</v>
      </c>
      <c r="D67">
        <f t="shared" si="26"/>
        <v>0.1111111111111111</v>
      </c>
      <c r="E67">
        <v>2021</v>
      </c>
      <c r="F67" s="5"/>
      <c r="G67" s="5"/>
      <c r="H67" s="5"/>
      <c r="J67">
        <f t="shared" si="5"/>
        <v>-4.3403462630014644</v>
      </c>
      <c r="K67">
        <f t="shared" si="6"/>
        <v>1.5213958295676557</v>
      </c>
      <c r="L67">
        <f t="shared" si="7"/>
        <v>-4.3014989104299106</v>
      </c>
      <c r="M67">
        <f t="shared" si="8"/>
        <v>1.4896193634532688</v>
      </c>
      <c r="N67">
        <f t="shared" si="9"/>
        <v>-4.0784739674952091</v>
      </c>
      <c r="O67">
        <f t="shared" si="10"/>
        <v>1.3136781361269159</v>
      </c>
      <c r="P67">
        <f t="shared" si="11"/>
        <v>-4.5625462116472004</v>
      </c>
      <c r="Q67">
        <f t="shared" si="12"/>
        <v>1.7095965313897559</v>
      </c>
      <c r="R67" s="24">
        <f t="shared" si="13"/>
        <v>-4.9087211697054434</v>
      </c>
      <c r="S67">
        <f t="shared" si="14"/>
        <v>2.0246644916323793</v>
      </c>
      <c r="T67">
        <f t="shared" si="15"/>
        <v>-0.6383833322254191</v>
      </c>
      <c r="U67">
        <f t="shared" si="16"/>
        <v>2.9040163259648997E-7</v>
      </c>
      <c r="V67">
        <f t="shared" si="17"/>
        <v>-4.3014989431539821</v>
      </c>
      <c r="W67">
        <f t="shared" si="18"/>
        <v>1.4896193900797474</v>
      </c>
      <c r="X67">
        <f t="shared" si="21"/>
        <v>-3.1812912830032389</v>
      </c>
      <c r="Y67">
        <f t="shared" si="19"/>
        <v>0.7175734872298053</v>
      </c>
      <c r="Z67" s="33">
        <f t="shared" si="22"/>
        <v>-4.4323891350263986</v>
      </c>
      <c r="AA67">
        <f t="shared" si="20"/>
        <v>1.5980239279406971</v>
      </c>
    </row>
    <row r="68" spans="1:27" x14ac:dyDescent="0.35">
      <c r="A68">
        <f>Table1!A61</f>
        <v>0</v>
      </c>
      <c r="B68">
        <f>Table1!C61</f>
        <v>4.3</v>
      </c>
      <c r="C68">
        <f>Table1!E61</f>
        <v>-1.82</v>
      </c>
      <c r="D68">
        <f t="shared" si="26"/>
        <v>0.1111111111111111</v>
      </c>
      <c r="E68">
        <v>2021</v>
      </c>
      <c r="F68" s="5"/>
      <c r="G68" s="5"/>
      <c r="H68" s="5"/>
      <c r="J68">
        <f t="shared" si="5"/>
        <v>-4.3403462630014644</v>
      </c>
      <c r="K68">
        <f t="shared" si="6"/>
        <v>0.7057939206028272</v>
      </c>
      <c r="L68">
        <f t="shared" si="7"/>
        <v>-4.3014989104299106</v>
      </c>
      <c r="M68">
        <f t="shared" si="8"/>
        <v>0.68420409360720347</v>
      </c>
      <c r="N68">
        <f t="shared" si="9"/>
        <v>-4.0784739674952091</v>
      </c>
      <c r="O68">
        <f t="shared" si="10"/>
        <v>0.56674496242817207</v>
      </c>
      <c r="P68">
        <f t="shared" si="11"/>
        <v>-4.5625462116472004</v>
      </c>
      <c r="Q68">
        <f t="shared" si="12"/>
        <v>0.83572885811337871</v>
      </c>
      <c r="R68" s="24">
        <f t="shared" si="13"/>
        <v>-4.9087211697054434</v>
      </c>
      <c r="S68">
        <f t="shared" si="14"/>
        <v>1.0600220515762846</v>
      </c>
      <c r="T68">
        <f t="shared" si="15"/>
        <v>-0.6383833322254191</v>
      </c>
      <c r="U68">
        <f t="shared" si="16"/>
        <v>0.15513532772918939</v>
      </c>
      <c r="V68">
        <f t="shared" si="17"/>
        <v>-4.3014989431539821</v>
      </c>
      <c r="W68">
        <f t="shared" si="18"/>
        <v>0.68420411165270312</v>
      </c>
      <c r="X68">
        <f t="shared" si="21"/>
        <v>-3.1812912830032389</v>
      </c>
      <c r="Y68">
        <f t="shared" si="19"/>
        <v>0.20590155079784489</v>
      </c>
      <c r="Z68" s="33">
        <f t="shared" si="22"/>
        <v>-4.4323891350263986</v>
      </c>
      <c r="AA68">
        <f t="shared" si="20"/>
        <v>0.75828633253377487</v>
      </c>
    </row>
    <row r="69" spans="1:27" x14ac:dyDescent="0.35">
      <c r="A69">
        <f>Table1!A62</f>
        <v>0</v>
      </c>
      <c r="B69">
        <f>Table1!C62</f>
        <v>4.3</v>
      </c>
      <c r="C69">
        <f>Table1!E62</f>
        <v>-1.75</v>
      </c>
      <c r="D69">
        <f t="shared" si="26"/>
        <v>0.1111111111111111</v>
      </c>
      <c r="E69">
        <v>2021</v>
      </c>
      <c r="F69" s="5"/>
      <c r="G69" s="5"/>
      <c r="H69" s="5"/>
      <c r="J69">
        <f t="shared" si="5"/>
        <v>-4.3403462630014644</v>
      </c>
      <c r="K69">
        <f t="shared" si="6"/>
        <v>0.74554375136062789</v>
      </c>
      <c r="L69">
        <f t="shared" si="7"/>
        <v>-4.3014989104299106</v>
      </c>
      <c r="M69">
        <f t="shared" si="8"/>
        <v>0.72334963221389115</v>
      </c>
      <c r="N69">
        <f t="shared" si="9"/>
        <v>-4.0784739674952091</v>
      </c>
      <c r="O69">
        <f t="shared" si="10"/>
        <v>0.6024212241447644</v>
      </c>
      <c r="P69">
        <f t="shared" si="11"/>
        <v>-4.5625462116472004</v>
      </c>
      <c r="Q69">
        <f t="shared" si="12"/>
        <v>0.87893513251677979</v>
      </c>
      <c r="R69" s="24">
        <f t="shared" si="13"/>
        <v>-4.9087211697054434</v>
      </c>
      <c r="S69">
        <f t="shared" si="14"/>
        <v>1.1086132697717026</v>
      </c>
      <c r="T69">
        <f t="shared" si="15"/>
        <v>-0.6383833322254191</v>
      </c>
      <c r="U69">
        <f t="shared" si="16"/>
        <v>0.13729906845269588</v>
      </c>
      <c r="V69">
        <f t="shared" si="17"/>
        <v>-4.3014989431539821</v>
      </c>
      <c r="W69">
        <f t="shared" si="18"/>
        <v>0.72334965076843194</v>
      </c>
      <c r="X69">
        <f t="shared" si="21"/>
        <v>-3.1812912830032389</v>
      </c>
      <c r="Y69">
        <f t="shared" si="19"/>
        <v>0.22762163742233976</v>
      </c>
      <c r="Z69" s="33">
        <f t="shared" si="22"/>
        <v>-4.4323891350263986</v>
      </c>
      <c r="AA69">
        <f t="shared" si="20"/>
        <v>0.7994679413008523</v>
      </c>
    </row>
    <row r="70" spans="1:27" x14ac:dyDescent="0.35">
      <c r="A70">
        <f>Table1!A63</f>
        <v>0</v>
      </c>
      <c r="B70">
        <f>Table1!C63</f>
        <v>4.3</v>
      </c>
      <c r="C70">
        <f>Table1!E63</f>
        <v>-2.16</v>
      </c>
      <c r="D70">
        <f t="shared" si="26"/>
        <v>0.1111111111111111</v>
      </c>
      <c r="E70">
        <v>2021</v>
      </c>
      <c r="F70" s="5"/>
      <c r="G70" s="5"/>
      <c r="H70" s="5"/>
      <c r="J70">
        <f t="shared" si="5"/>
        <v>-4.3403462630014644</v>
      </c>
      <c r="K70">
        <f t="shared" si="6"/>
        <v>0.52821220295382787</v>
      </c>
      <c r="L70">
        <f t="shared" si="7"/>
        <v>-4.3014989104299106</v>
      </c>
      <c r="M70">
        <f t="shared" si="8"/>
        <v>0.50955750926361032</v>
      </c>
      <c r="N70">
        <f t="shared" si="9"/>
        <v>-4.0784739674952091</v>
      </c>
      <c r="O70">
        <f t="shared" si="10"/>
        <v>0.4089491515507564</v>
      </c>
      <c r="P70">
        <f t="shared" si="11"/>
        <v>-4.5625462116472004</v>
      </c>
      <c r="Q70">
        <f t="shared" si="12"/>
        <v>0.6413586999000348</v>
      </c>
      <c r="R70" s="24">
        <f t="shared" si="13"/>
        <v>-4.9087211697054434</v>
      </c>
      <c r="S70">
        <f t="shared" si="14"/>
        <v>0.83949645208742885</v>
      </c>
      <c r="T70">
        <f t="shared" si="15"/>
        <v>-0.6383833322254191</v>
      </c>
      <c r="U70">
        <f t="shared" si="16"/>
        <v>0.25725747596104664</v>
      </c>
      <c r="V70">
        <f t="shared" si="17"/>
        <v>-4.3014989431539821</v>
      </c>
      <c r="W70">
        <f t="shared" si="18"/>
        <v>0.50955752483662453</v>
      </c>
      <c r="X70">
        <f t="shared" si="21"/>
        <v>-3.1812912830032389</v>
      </c>
      <c r="Y70">
        <f t="shared" si="19"/>
        <v>0.11589287608204461</v>
      </c>
      <c r="Z70" s="33">
        <f t="shared" si="22"/>
        <v>-4.4323891350263986</v>
      </c>
      <c r="AA70">
        <f t="shared" si="20"/>
        <v>0.57375026455400258</v>
      </c>
    </row>
    <row r="71" spans="1:27" x14ac:dyDescent="0.35">
      <c r="A71" t="str">
        <f>Table1!A64</f>
        <v>Schauer 1995</v>
      </c>
      <c r="B71">
        <f>Table1!C64</f>
        <v>2.5</v>
      </c>
      <c r="C71">
        <f>Table1!E64</f>
        <v>-5.22</v>
      </c>
      <c r="D71">
        <v>1</v>
      </c>
      <c r="E71">
        <v>1995</v>
      </c>
      <c r="F71" s="5"/>
      <c r="G71" s="5"/>
      <c r="H71" s="5"/>
      <c r="J71">
        <f t="shared" si="5"/>
        <v>-2.0481878890632412</v>
      </c>
      <c r="K71">
        <f t="shared" si="6"/>
        <v>10.060392067085097</v>
      </c>
      <c r="L71">
        <f t="shared" si="7"/>
        <v>-2.5008714595522736</v>
      </c>
      <c r="M71">
        <f t="shared" si="8"/>
        <v>7.3936600194773812</v>
      </c>
      <c r="N71">
        <f t="shared" si="9"/>
        <v>-1.37860802038102</v>
      </c>
      <c r="O71">
        <f t="shared" si="10"/>
        <v>14.756292341081021</v>
      </c>
      <c r="P71">
        <f t="shared" si="11"/>
        <v>-1.5834741070243195</v>
      </c>
      <c r="Q71">
        <f t="shared" si="12"/>
        <v>13.224320570282568</v>
      </c>
      <c r="R71" s="24">
        <f t="shared" si="13"/>
        <v>-1.7488549884859947</v>
      </c>
      <c r="S71">
        <f t="shared" si="14"/>
        <v>12.04884769095856</v>
      </c>
      <c r="T71">
        <f t="shared" si="15"/>
        <v>-9.8194470629759154E-2</v>
      </c>
      <c r="U71">
        <f t="shared" si="16"/>
        <v>26.232891880687568</v>
      </c>
      <c r="V71">
        <f t="shared" si="17"/>
        <v>-2.5008714785778969</v>
      </c>
      <c r="W71">
        <f t="shared" si="18"/>
        <v>7.3936599160111509</v>
      </c>
      <c r="X71">
        <f t="shared" si="21"/>
        <v>-1.3185171990173605</v>
      </c>
      <c r="Y71">
        <f t="shared" si="19"/>
        <v>15.221568046363338</v>
      </c>
      <c r="Z71" s="33">
        <f t="shared" si="22"/>
        <v>-1.8869363331127047</v>
      </c>
      <c r="AA71">
        <f t="shared" si="20"/>
        <v>11.10931340752418</v>
      </c>
    </row>
    <row r="72" spans="1:27" x14ac:dyDescent="0.35">
      <c r="A72" t="str">
        <f>Table1!A65</f>
        <v>Horowitz 2009</v>
      </c>
      <c r="B72">
        <f>Table1!C65*A1</f>
        <v>4.3</v>
      </c>
      <c r="C72">
        <f>Table1!E65*A1</f>
        <v>-16.34</v>
      </c>
      <c r="D72">
        <v>1</v>
      </c>
      <c r="E72">
        <v>2009</v>
      </c>
      <c r="F72" s="5"/>
      <c r="G72" s="5"/>
      <c r="H72" s="5"/>
      <c r="J72">
        <f t="shared" si="5"/>
        <v>-4.3403462630014644</v>
      </c>
      <c r="K72">
        <f t="shared" si="6"/>
        <v>143.99168980786291</v>
      </c>
      <c r="L72">
        <f t="shared" si="7"/>
        <v>-4.3014989104299106</v>
      </c>
      <c r="M72">
        <f t="shared" si="8"/>
        <v>144.92550848358024</v>
      </c>
      <c r="N72">
        <f t="shared" si="9"/>
        <v>-4.0784739674952091</v>
      </c>
      <c r="O72">
        <f t="shared" si="10"/>
        <v>150.34502064579266</v>
      </c>
      <c r="P72">
        <f t="shared" si="11"/>
        <v>-4.5625462116472004</v>
      </c>
      <c r="Q72">
        <f t="shared" si="12"/>
        <v>138.70841773678572</v>
      </c>
      <c r="R72" s="24">
        <f t="shared" si="13"/>
        <v>-4.9087211697054434</v>
      </c>
      <c r="S72">
        <f t="shared" si="14"/>
        <v>130.67413569594046</v>
      </c>
      <c r="T72">
        <f t="shared" si="15"/>
        <v>-0.6383833322254191</v>
      </c>
      <c r="U72">
        <f t="shared" si="16"/>
        <v>246.54076598173651</v>
      </c>
      <c r="V72">
        <f t="shared" si="17"/>
        <v>-4.3014989431539821</v>
      </c>
      <c r="W72">
        <f t="shared" si="18"/>
        <v>144.92550769568268</v>
      </c>
      <c r="X72">
        <f t="shared" si="21"/>
        <v>-3.1812912830032389</v>
      </c>
      <c r="Y72">
        <f t="shared" si="19"/>
        <v>173.15161509876654</v>
      </c>
      <c r="Z72" s="33">
        <f t="shared" si="22"/>
        <v>-4.4323891350263986</v>
      </c>
      <c r="AA72">
        <f t="shared" si="20"/>
        <v>141.79119651163737</v>
      </c>
    </row>
    <row r="73" spans="1:27" x14ac:dyDescent="0.35">
      <c r="A73" t="str">
        <f>Table1!A66</f>
        <v>Eboli 2010</v>
      </c>
      <c r="B73">
        <f>Table1!C66</f>
        <v>3.03</v>
      </c>
      <c r="C73">
        <f>Table1!E66</f>
        <v>-1.35</v>
      </c>
      <c r="D73">
        <v>1</v>
      </c>
      <c r="E73">
        <v>2010</v>
      </c>
      <c r="F73" s="5"/>
      <c r="G73" s="5"/>
      <c r="H73" s="5"/>
      <c r="J73">
        <f t="shared" si="5"/>
        <v>-2.652011471202762</v>
      </c>
      <c r="K73">
        <f t="shared" si="6"/>
        <v>1.6952338711435806</v>
      </c>
      <c r="L73">
        <f t="shared" si="7"/>
        <v>-3.0310562089773554</v>
      </c>
      <c r="M73">
        <f t="shared" si="8"/>
        <v>2.8259499777413177</v>
      </c>
      <c r="N73">
        <f t="shared" si="9"/>
        <v>-2.0250979798905768</v>
      </c>
      <c r="O73">
        <f t="shared" si="10"/>
        <v>0.45575728245233754</v>
      </c>
      <c r="P73">
        <f t="shared" si="11"/>
        <v>-2.3190721969483454</v>
      </c>
      <c r="Q73">
        <f t="shared" si="12"/>
        <v>0.93910092289829261</v>
      </c>
      <c r="R73" s="24">
        <f t="shared" si="13"/>
        <v>-2.5493113249942958</v>
      </c>
      <c r="S73">
        <f t="shared" si="14"/>
        <v>1.4383476542595732</v>
      </c>
      <c r="T73">
        <f t="shared" si="15"/>
        <v>-0.1729631452324672</v>
      </c>
      <c r="U73">
        <f t="shared" si="16"/>
        <v>1.3854157574810464</v>
      </c>
      <c r="V73">
        <f t="shared" si="17"/>
        <v>-3.0310562320364109</v>
      </c>
      <c r="W73">
        <f t="shared" si="18"/>
        <v>2.8259500552684553</v>
      </c>
      <c r="X73">
        <f t="shared" si="21"/>
        <v>-1.7395579098304099</v>
      </c>
      <c r="Y73">
        <f t="shared" si="19"/>
        <v>0.15175536511143772</v>
      </c>
      <c r="Z73" s="33">
        <f t="shared" si="22"/>
        <v>-2.5431482132739029</v>
      </c>
      <c r="AA73">
        <f t="shared" si="20"/>
        <v>1.4236026588387067</v>
      </c>
    </row>
    <row r="74" spans="1:27" x14ac:dyDescent="0.35">
      <c r="A74" t="str">
        <f>Table1!A67</f>
        <v>Ng and Zhao 2011</v>
      </c>
      <c r="B74">
        <f>Table1!C67*A1</f>
        <v>4.3</v>
      </c>
      <c r="C74">
        <f>Table1!E67*A1</f>
        <v>-5.8049999999999997</v>
      </c>
      <c r="D74">
        <v>0.5</v>
      </c>
      <c r="E74">
        <v>2011</v>
      </c>
      <c r="F74" s="5"/>
      <c r="G74" s="5"/>
      <c r="H74" s="5"/>
      <c r="J74">
        <f t="shared" ref="J74:J78" si="27">J$1*B74+J$2*B74^2</f>
        <v>-4.3403462630014644</v>
      </c>
      <c r="K74">
        <f t="shared" ref="K74:K78" si="28">$D74*(J74-$C74)^2</f>
        <v>1.0726052846518872</v>
      </c>
      <c r="L74">
        <f t="shared" ref="L74:L78" si="29">IF(B74&lt;=L$2,B74*L$1,L$1*L$2+L$3*(B74-L$2))</f>
        <v>-4.3014989104299106</v>
      </c>
      <c r="M74">
        <f t="shared" ref="M74:M78" si="30">$D74*(L74-$C74)^2</f>
        <v>1.1302577631692226</v>
      </c>
      <c r="N74">
        <f t="shared" ref="N74:N78" si="31">N$1*B74^2</f>
        <v>-4.0784739674952091</v>
      </c>
      <c r="O74">
        <f t="shared" ref="O74:O78" si="32">$D74*(N74-$C74)^2</f>
        <v>1.4904460704583666</v>
      </c>
      <c r="P74">
        <f t="shared" ref="P74:P78" si="33">P$1*B74^2+P$2*B74^7</f>
        <v>-4.5625462116472004</v>
      </c>
      <c r="Q74">
        <f t="shared" ref="Q74:Q78" si="34">$D74*(P74-$C74)^2</f>
        <v>0.7718457080961113</v>
      </c>
      <c r="R74" s="24">
        <f t="shared" ref="R74:R78" si="35">R$1*B74^2+R$2*B74^6</f>
        <v>-4.9087211697054434</v>
      </c>
      <c r="S74">
        <f t="shared" ref="S74:S78" si="36">$D74*(R74-$C74)^2</f>
        <v>0.40165787081708909</v>
      </c>
      <c r="T74">
        <f t="shared" ref="T74:T78" si="37">T$2+T$1*EXP(B74)</f>
        <v>-0.6383833322254191</v>
      </c>
      <c r="U74">
        <f t="shared" ref="U74:U78" si="38">$D74*(T74-$C74)^2</f>
        <v>13.346963895863057</v>
      </c>
      <c r="V74">
        <f t="shared" ref="V74:V78" si="39">V$1*B74</f>
        <v>-4.3014989431539821</v>
      </c>
      <c r="W74">
        <f t="shared" ref="W74:W78" si="40">$D74*(V74-$C74)^2</f>
        <v>1.1302577139685459</v>
      </c>
      <c r="X74">
        <f t="shared" si="21"/>
        <v>-3.1812912830032389</v>
      </c>
      <c r="Y74">
        <f t="shared" ref="Y74:Y78" si="41">$D74*(X74-$C74)^2</f>
        <v>3.4419237158223943</v>
      </c>
      <c r="Z74" s="33">
        <f t="shared" si="22"/>
        <v>-4.4323891350263986</v>
      </c>
      <c r="AA74">
        <f t="shared" ref="AA74:AA78" si="42">$D74*(Z74-$C74)^2</f>
        <v>0.94203029332178867</v>
      </c>
    </row>
    <row r="75" spans="1:27" x14ac:dyDescent="0.35">
      <c r="A75">
        <f>Table1!A68</f>
        <v>0</v>
      </c>
      <c r="B75">
        <f>Table1!C68*A1</f>
        <v>4.3</v>
      </c>
      <c r="C75">
        <f>Table1!E68*A1</f>
        <v>-6.923</v>
      </c>
      <c r="D75">
        <v>0.5</v>
      </c>
      <c r="E75">
        <v>2011</v>
      </c>
      <c r="F75" s="5"/>
      <c r="G75" s="5"/>
      <c r="H75" s="5"/>
      <c r="J75">
        <f t="shared" si="27"/>
        <v>-4.3403462630014644</v>
      </c>
      <c r="K75">
        <f t="shared" si="28"/>
        <v>3.3350501626162505</v>
      </c>
      <c r="L75">
        <f t="shared" si="29"/>
        <v>-4.3014989104299106</v>
      </c>
      <c r="M75">
        <f t="shared" si="30"/>
        <v>3.4361339813085832</v>
      </c>
      <c r="N75">
        <f t="shared" si="31"/>
        <v>-4.0784739674952091</v>
      </c>
      <c r="O75">
        <f t="shared" si="32"/>
        <v>4.0456641747987234</v>
      </c>
      <c r="P75">
        <f t="shared" si="33"/>
        <v>-4.5625462116472004</v>
      </c>
      <c r="Q75">
        <f t="shared" si="34"/>
        <v>2.7858710434745415</v>
      </c>
      <c r="R75" s="24">
        <f t="shared" si="35"/>
        <v>-4.9087211697054434</v>
      </c>
      <c r="S75">
        <f t="shared" si="36"/>
        <v>2.0286596030864037</v>
      </c>
      <c r="T75">
        <f t="shared" si="37"/>
        <v>-0.6383833322254191</v>
      </c>
      <c r="U75">
        <f t="shared" si="38"/>
        <v>19.74820333043504</v>
      </c>
      <c r="V75">
        <f t="shared" si="39"/>
        <v>-4.3014989431539821</v>
      </c>
      <c r="W75">
        <f t="shared" si="40"/>
        <v>3.4361338955223948</v>
      </c>
      <c r="X75">
        <f t="shared" ref="X75:X78" si="43">(1-EXP(-2*X$1*B75))/2/EXP(-X$1*B75)</f>
        <v>-3.1812912830032389</v>
      </c>
      <c r="Y75">
        <f t="shared" si="41"/>
        <v>7.0001920614247739</v>
      </c>
      <c r="Z75" s="33">
        <f t="shared" ref="Z75:Z78" si="44">J75*K$5+L75*M$5+N75*O$5+P75*Q$5+R75*S$5+T75*U$5+V75*W$5+X75*Y$5</f>
        <v>-4.4323891350263986</v>
      </c>
      <c r="AA75">
        <f t="shared" si="42"/>
        <v>3.1015712403622753</v>
      </c>
    </row>
    <row r="76" spans="1:27" ht="15" thickBot="1" x14ac:dyDescent="0.4">
      <c r="A76" t="str">
        <f>Table1!A69</f>
        <v>Hope 2011</v>
      </c>
      <c r="B76">
        <f>Table1!C69</f>
        <v>3</v>
      </c>
      <c r="C76">
        <f>Table1!E69</f>
        <v>-0.7</v>
      </c>
      <c r="D76">
        <v>1</v>
      </c>
      <c r="E76">
        <v>2011</v>
      </c>
      <c r="F76" s="5"/>
      <c r="G76" s="5"/>
      <c r="H76" s="5"/>
      <c r="J76">
        <f t="shared" si="27"/>
        <v>-2.6162485470721473</v>
      </c>
      <c r="K76">
        <f t="shared" si="28"/>
        <v>3.6720084941561155</v>
      </c>
      <c r="L76">
        <f t="shared" si="29"/>
        <v>-3.001045751462728</v>
      </c>
      <c r="M76">
        <f t="shared" si="30"/>
        <v>5.2948115503246695</v>
      </c>
      <c r="N76">
        <f t="shared" si="31"/>
        <v>-1.9851955493486688</v>
      </c>
      <c r="O76">
        <f t="shared" si="32"/>
        <v>1.6517276000656267</v>
      </c>
      <c r="P76">
        <f t="shared" si="33"/>
        <v>-2.2739136658084003</v>
      </c>
      <c r="Q76">
        <f t="shared" si="34"/>
        <v>2.4772042274184369</v>
      </c>
      <c r="R76" s="24">
        <f t="shared" si="35"/>
        <v>-2.5004812593291641</v>
      </c>
      <c r="S76">
        <f t="shared" si="36"/>
        <v>3.241732765195533</v>
      </c>
      <c r="T76">
        <f t="shared" si="37"/>
        <v>-0.16759179136987784</v>
      </c>
      <c r="U76">
        <f t="shared" si="38"/>
        <v>0.28345850061673555</v>
      </c>
      <c r="V76">
        <f t="shared" si="39"/>
        <v>-3.001045774293476</v>
      </c>
      <c r="W76">
        <f t="shared" si="40"/>
        <v>5.2948116553938611</v>
      </c>
      <c r="X76">
        <f t="shared" si="43"/>
        <v>-1.713468246489855</v>
      </c>
      <c r="Y76">
        <f t="shared" si="41"/>
        <v>1.0271178866432216</v>
      </c>
      <c r="Z76" s="33">
        <f t="shared" si="44"/>
        <v>-2.5037295101532746</v>
      </c>
      <c r="AA76">
        <f t="shared" si="42"/>
        <v>3.253440145797772</v>
      </c>
    </row>
    <row r="77" spans="1:27" ht="15" thickBot="1" x14ac:dyDescent="0.4">
      <c r="A77" t="str">
        <f>Table1!A70</f>
        <v>McCallum 2013</v>
      </c>
      <c r="B77">
        <f>Table1!C70</f>
        <v>2</v>
      </c>
      <c r="C77">
        <f>Table1!E70</f>
        <v>-0.7</v>
      </c>
      <c r="D77">
        <v>0.5</v>
      </c>
      <c r="E77" s="69">
        <v>2013</v>
      </c>
      <c r="F77" s="5"/>
      <c r="G77" s="5"/>
      <c r="H77" s="5"/>
      <c r="J77">
        <f t="shared" si="27"/>
        <v>-1.5329349244530879</v>
      </c>
      <c r="K77">
        <f t="shared" si="28"/>
        <v>0.34689029418683565</v>
      </c>
      <c r="L77">
        <f t="shared" si="29"/>
        <v>-2.0006971676418188</v>
      </c>
      <c r="M77">
        <f t="shared" si="30"/>
        <v>0.84590656095572492</v>
      </c>
      <c r="N77">
        <f t="shared" si="31"/>
        <v>-0.88230913304385283</v>
      </c>
      <c r="O77">
        <f t="shared" si="32"/>
        <v>1.6618309995600624E-2</v>
      </c>
      <c r="P77">
        <f t="shared" si="33"/>
        <v>-1.0146860760019272</v>
      </c>
      <c r="Q77">
        <f t="shared" si="34"/>
        <v>4.951366321474536E-2</v>
      </c>
      <c r="R77" s="24">
        <f t="shared" si="35"/>
        <v>-1.1236348044803206</v>
      </c>
      <c r="S77">
        <f t="shared" si="36"/>
        <v>8.9733223783539748E-2</v>
      </c>
      <c r="T77">
        <f t="shared" si="37"/>
        <v>-5.6102867898965764E-2</v>
      </c>
      <c r="U77">
        <f t="shared" si="38"/>
        <v>0.20730175836396833</v>
      </c>
      <c r="V77">
        <f t="shared" si="39"/>
        <v>-2.0006971828623175</v>
      </c>
      <c r="W77">
        <f t="shared" si="40"/>
        <v>0.84590658075298453</v>
      </c>
      <c r="X77">
        <f t="shared" si="43"/>
        <v>-0.98644009876906646</v>
      </c>
      <c r="Y77">
        <f t="shared" si="41"/>
        <v>4.1023965091416287E-2</v>
      </c>
      <c r="Z77" s="33">
        <f t="shared" si="44"/>
        <v>-1.3484133813164045</v>
      </c>
      <c r="AA77">
        <f t="shared" si="42"/>
        <v>0.21021995653508654</v>
      </c>
    </row>
    <row r="78" spans="1:27" x14ac:dyDescent="0.35">
      <c r="A78">
        <f>Table1!A71</f>
        <v>0</v>
      </c>
      <c r="B78">
        <f>Table1!C71</f>
        <v>4</v>
      </c>
      <c r="C78">
        <f>Table1!E71</f>
        <v>-1.8</v>
      </c>
      <c r="D78">
        <v>0.5</v>
      </c>
      <c r="E78" s="69">
        <v>2013</v>
      </c>
      <c r="F78" s="5"/>
      <c r="G78" s="5"/>
      <c r="H78" s="5"/>
      <c r="J78">
        <f t="shared" si="27"/>
        <v>-3.910792943286217</v>
      </c>
      <c r="K78">
        <f t="shared" si="28"/>
        <v>2.2277234247134459</v>
      </c>
      <c r="L78">
        <f t="shared" si="29"/>
        <v>-4.0013943352836376</v>
      </c>
      <c r="M78">
        <f t="shared" si="30"/>
        <v>2.4230685097094447</v>
      </c>
      <c r="N78">
        <f t="shared" si="31"/>
        <v>-3.5292365321754113</v>
      </c>
      <c r="O78">
        <f t="shared" si="32"/>
        <v>1.4951294921050211</v>
      </c>
      <c r="P78">
        <f t="shared" si="33"/>
        <v>-3.9824349609482574</v>
      </c>
      <c r="Q78">
        <f t="shared" si="34"/>
        <v>2.3815111793846113</v>
      </c>
      <c r="R78" s="24">
        <f t="shared" si="35"/>
        <v>-4.3127329360649069</v>
      </c>
      <c r="S78">
        <f t="shared" si="36"/>
        <v>3.1569134039926845</v>
      </c>
      <c r="T78">
        <f t="shared" si="37"/>
        <v>-0.47065010611531927</v>
      </c>
      <c r="U78">
        <f t="shared" si="38"/>
        <v>0.88358557018560613</v>
      </c>
      <c r="V78">
        <f t="shared" si="39"/>
        <v>-4.0013943657246349</v>
      </c>
      <c r="W78">
        <f t="shared" si="40"/>
        <v>2.4230685767220841</v>
      </c>
      <c r="X78">
        <f t="shared" si="43"/>
        <v>-2.7712219324958651</v>
      </c>
      <c r="Y78">
        <f t="shared" si="41"/>
        <v>0.47163602108050134</v>
      </c>
      <c r="Z78" s="33">
        <f t="shared" si="44"/>
        <v>-3.9515235866361418</v>
      </c>
      <c r="AA78">
        <f t="shared" si="42"/>
        <v>2.314526871925823</v>
      </c>
    </row>
    <row r="79" spans="1:27" x14ac:dyDescent="0.35">
      <c r="R79" s="24"/>
      <c r="Z79" s="33"/>
    </row>
    <row r="80" spans="1:27" ht="15" thickBot="1" x14ac:dyDescent="0.4">
      <c r="E80" s="2"/>
      <c r="F80" s="5"/>
      <c r="G80" s="5"/>
      <c r="H80" s="5"/>
      <c r="R80" s="24"/>
      <c r="Z80" s="33"/>
    </row>
    <row r="82" spans="10:18" ht="15" thickBot="1" x14ac:dyDescent="0.4"/>
    <row r="83" spans="10:18" x14ac:dyDescent="0.35">
      <c r="J83" s="4"/>
      <c r="K83" s="4"/>
    </row>
    <row r="88" spans="10:18" ht="15" thickBot="1" x14ac:dyDescent="0.4">
      <c r="J88" s="2"/>
      <c r="K88" s="2"/>
    </row>
    <row r="90" spans="10:18" ht="15" thickBot="1" x14ac:dyDescent="0.4"/>
    <row r="91" spans="10:18" x14ac:dyDescent="0.35">
      <c r="J91" s="3"/>
      <c r="K91" s="3"/>
      <c r="L91" s="3"/>
      <c r="M91" s="3"/>
      <c r="N91" s="3"/>
      <c r="O91" s="3"/>
    </row>
    <row r="94" spans="10:18" ht="15" thickBot="1" x14ac:dyDescent="0.4">
      <c r="J94" s="2"/>
      <c r="K94" s="2"/>
      <c r="L94" s="2"/>
      <c r="M94" s="2"/>
      <c r="N94" s="2"/>
      <c r="O94" s="2"/>
    </row>
    <row r="95" spans="10:18" ht="15" thickBot="1" x14ac:dyDescent="0.4"/>
    <row r="96" spans="10:18" ht="15" thickBot="1" x14ac:dyDescent="0.4">
      <c r="J96" s="3"/>
      <c r="K96" s="3"/>
      <c r="L96" s="3"/>
      <c r="M96" s="3"/>
      <c r="N96" s="3"/>
      <c r="O96" s="3"/>
      <c r="P96" s="3"/>
      <c r="Q96" s="3"/>
      <c r="R96" s="3"/>
    </row>
    <row r="97" spans="5:18" x14ac:dyDescent="0.35">
      <c r="E97" s="3"/>
      <c r="F97" s="14"/>
      <c r="G97" s="14"/>
      <c r="H97" s="14"/>
    </row>
    <row r="98" spans="5:18" ht="15" thickBot="1" x14ac:dyDescent="0.4">
      <c r="J98" s="2"/>
      <c r="K98" s="2"/>
      <c r="L98" s="2"/>
      <c r="M98" s="2"/>
      <c r="N98" s="2"/>
      <c r="O98" s="2"/>
      <c r="P98" s="2"/>
      <c r="Q98" s="2"/>
      <c r="R98" s="2"/>
    </row>
    <row r="99" spans="5:18" ht="15" thickBot="1" x14ac:dyDescent="0.4">
      <c r="E99" s="2"/>
    </row>
    <row r="104" spans="5:18" ht="15" thickBot="1" x14ac:dyDescent="0.4">
      <c r="J104" s="2"/>
      <c r="K104" s="2"/>
    </row>
    <row r="106" spans="5:18" ht="15" thickBot="1" x14ac:dyDescent="0.4"/>
    <row r="107" spans="5:18" x14ac:dyDescent="0.35">
      <c r="J107" s="3"/>
      <c r="K107" s="3"/>
      <c r="L107" s="3"/>
      <c r="M107" s="3"/>
      <c r="N107" s="3"/>
      <c r="O107" s="3"/>
    </row>
    <row r="110" spans="5:18" ht="15" thickBot="1" x14ac:dyDescent="0.4">
      <c r="J110" s="2"/>
      <c r="K110" s="2"/>
      <c r="L110" s="2"/>
      <c r="M110" s="2"/>
      <c r="N110" s="2"/>
      <c r="O110" s="2"/>
    </row>
    <row r="111" spans="5:18" ht="15" thickBot="1" x14ac:dyDescent="0.4"/>
    <row r="112" spans="5:18" x14ac:dyDescent="0.35">
      <c r="E112" s="3"/>
      <c r="F112" s="14"/>
      <c r="G112" s="14"/>
      <c r="H112" s="14"/>
      <c r="J112" s="3"/>
      <c r="K112" s="3"/>
      <c r="L112" s="3"/>
      <c r="M112" s="3"/>
      <c r="N112" s="3"/>
      <c r="O112" s="3"/>
      <c r="P112" s="3"/>
      <c r="Q112" s="3"/>
      <c r="R112" s="3"/>
    </row>
    <row r="115" spans="5:18" ht="15" thickBot="1" x14ac:dyDescent="0.4">
      <c r="E115" s="2"/>
      <c r="J115" s="2"/>
      <c r="K115" s="2"/>
      <c r="L115" s="2"/>
      <c r="M115" s="2"/>
      <c r="N115" s="2"/>
      <c r="O115" s="2"/>
      <c r="P115" s="2"/>
      <c r="Q115" s="2"/>
      <c r="R115" s="2"/>
    </row>
    <row r="131" spans="5:8" ht="15" thickBot="1" x14ac:dyDescent="0.4"/>
    <row r="132" spans="5:8" x14ac:dyDescent="0.35">
      <c r="E132" s="3"/>
      <c r="F132" s="14"/>
      <c r="G132" s="14"/>
      <c r="H132" s="14"/>
    </row>
    <row r="134" spans="5:8" ht="15" thickBot="1" x14ac:dyDescent="0.4">
      <c r="E134" s="2"/>
    </row>
    <row r="150" spans="5:8" ht="15" thickBot="1" x14ac:dyDescent="0.4"/>
    <row r="151" spans="5:8" x14ac:dyDescent="0.35">
      <c r="E151" s="3"/>
      <c r="F151" s="14"/>
      <c r="G151" s="14"/>
      <c r="H151" s="14"/>
    </row>
    <row r="153" spans="5:8" ht="15" thickBot="1" x14ac:dyDescent="0.4">
      <c r="E153" s="2"/>
    </row>
    <row r="1048550" spans="16384:16384" x14ac:dyDescent="0.35">
      <c r="XFD1048550">
        <f>solver_pre</f>
        <v>9.9999999999999995E-7</v>
      </c>
    </row>
    <row r="1048551" spans="16384:16384" x14ac:dyDescent="0.35">
      <c r="XFD1048551">
        <f>solver_scl</f>
        <v>1</v>
      </c>
    </row>
    <row r="1048552" spans="16384:16384" x14ac:dyDescent="0.35">
      <c r="XFD1048552">
        <f>solver_rlx</f>
        <v>2</v>
      </c>
    </row>
    <row r="1048553" spans="16384:16384" x14ac:dyDescent="0.35">
      <c r="XFD1048553">
        <f>solver_tol</f>
        <v>0.01</v>
      </c>
    </row>
    <row r="1048554" spans="16384:16384" x14ac:dyDescent="0.35">
      <c r="XFD1048554">
        <f>solver_cvg</f>
        <v>1E-4</v>
      </c>
    </row>
    <row r="1048555" spans="16384:16384" x14ac:dyDescent="0.35">
      <c r="XFD1048555" t="e" cm="1">
        <f t="array" ref="XFD1048555">AREAS(solver_adj1)</f>
        <v>#NAME?</v>
      </c>
    </row>
    <row r="1048556" spans="16384:16384" x14ac:dyDescent="0.35">
      <c r="XFD1048556">
        <f>solver_ssz</f>
        <v>100</v>
      </c>
    </row>
    <row r="1048557" spans="16384:16384" x14ac:dyDescent="0.35">
      <c r="XFD1048557">
        <f>solver_rsd</f>
        <v>0</v>
      </c>
    </row>
    <row r="1048558" spans="16384:16384" x14ac:dyDescent="0.35">
      <c r="XFD1048558">
        <f>solver_mrt</f>
        <v>7.4999999999999997E-2</v>
      </c>
    </row>
    <row r="1048559" spans="16384:16384" x14ac:dyDescent="0.35">
      <c r="XFD1048559">
        <f>solver_mni</f>
        <v>30</v>
      </c>
    </row>
    <row r="1048560" spans="16384:16384" x14ac:dyDescent="0.35">
      <c r="XFD1048560">
        <f>solver_rbv</f>
        <v>1</v>
      </c>
    </row>
    <row r="1048561" spans="16384:16384" x14ac:dyDescent="0.35">
      <c r="XFD1048561">
        <f>solver_neg</f>
        <v>2</v>
      </c>
    </row>
    <row r="1048562" spans="16384:16384" x14ac:dyDescent="0.35">
      <c r="XFD1048562" t="e" cm="1">
        <f t="array" ref="XFD1048562">solver_ntr</f>
        <v>#NAME?</v>
      </c>
    </row>
    <row r="1048563" spans="16384:16384" x14ac:dyDescent="0.35">
      <c r="XFD1048563" t="e" cm="1">
        <f t="array" ref="XFD1048563">solver_acc</f>
        <v>#NAME?</v>
      </c>
    </row>
    <row r="1048564" spans="16384:16384" x14ac:dyDescent="0.35">
      <c r="XFD1048564" t="e" cm="1">
        <f t="array" ref="XFD1048564">solver_res</f>
        <v>#NAME?</v>
      </c>
    </row>
    <row r="1048565" spans="16384:16384" x14ac:dyDescent="0.35">
      <c r="XFD1048565" t="e" cm="1">
        <f t="array" ref="XFD1048565">solver_ars</f>
        <v>#NAME?</v>
      </c>
    </row>
    <row r="1048566" spans="16384:16384" x14ac:dyDescent="0.35">
      <c r="XFD1048566" t="e" cm="1">
        <f t="array" ref="XFD1048566">solver_sta</f>
        <v>#NAME?</v>
      </c>
    </row>
    <row r="1048567" spans="16384:16384" x14ac:dyDescent="0.35">
      <c r="XFD1048567" t="e" cm="1">
        <f t="array" ref="XFD1048567">solver_met</f>
        <v>#NAME?</v>
      </c>
    </row>
    <row r="1048568" spans="16384:16384" x14ac:dyDescent="0.35">
      <c r="XFD1048568" t="e" cm="1">
        <f t="array" ref="XFD1048568">solver_soc</f>
        <v>#NAME?</v>
      </c>
    </row>
    <row r="1048569" spans="16384:16384" x14ac:dyDescent="0.35">
      <c r="XFD1048569" t="e" cm="1">
        <f t="array" ref="XFD1048569">solver_lpt</f>
        <v>#NAME?</v>
      </c>
    </row>
    <row r="1048570" spans="16384:16384" x14ac:dyDescent="0.35">
      <c r="XFD1048570" t="e" cm="1">
        <f t="array" ref="XFD1048570">solver_lpp</f>
        <v>#NAME?</v>
      </c>
    </row>
    <row r="1048571" spans="16384:16384" x14ac:dyDescent="0.35">
      <c r="XFD1048571" t="e" cm="1">
        <f t="array" ref="XFD1048571">solver_gap</f>
        <v>#NAME?</v>
      </c>
    </row>
    <row r="1048572" spans="16384:16384" x14ac:dyDescent="0.35">
      <c r="XFD1048572" t="e" cm="1">
        <f t="array" ref="XFD1048572">solver_ips</f>
        <v>#NAME?</v>
      </c>
    </row>
    <row r="1048573" spans="16384:16384" x14ac:dyDescent="0.35">
      <c r="XFD1048573" t="e" cm="1">
        <f t="array" ref="XFD1048573">solver_fea</f>
        <v>#NAME?</v>
      </c>
    </row>
    <row r="1048574" spans="16384:16384" x14ac:dyDescent="0.35">
      <c r="XFD1048574" t="e" cm="1">
        <f t="array" ref="XFD1048574">solver_ipi</f>
        <v>#NAME?</v>
      </c>
    </row>
    <row r="1048575" spans="16384:16384" x14ac:dyDescent="0.35">
      <c r="XFD1048575" t="e" cm="1">
        <f t="array" ref="XFD1048575">solver_ipd</f>
        <v>#NAME?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BD7B1-6D2F-4A58-9D12-D5B123F93F7C}">
  <dimension ref="A1:XFD1048575"/>
  <sheetViews>
    <sheetView topLeftCell="AD1" zoomScaleNormal="100" workbookViewId="0">
      <selection activeCell="AI1" sqref="AI1"/>
    </sheetView>
  </sheetViews>
  <sheetFormatPr defaultRowHeight="14.5" x14ac:dyDescent="0.35"/>
  <cols>
    <col min="1" max="1" width="33" customWidth="1"/>
    <col min="5" max="5" width="12" bestFit="1" customWidth="1"/>
    <col min="6" max="8" width="12" customWidth="1"/>
    <col min="9" max="9" width="11.81640625" customWidth="1"/>
    <col min="22" max="22" width="12" bestFit="1" customWidth="1"/>
    <col min="29" max="29" width="19.81640625" customWidth="1"/>
    <col min="30" max="30" width="10.54296875" customWidth="1"/>
  </cols>
  <sheetData>
    <row r="1" spans="1:64" ht="16" thickBot="1" x14ac:dyDescent="0.4">
      <c r="J1">
        <v>-0.5499562849591515</v>
      </c>
      <c r="L1">
        <v>-0.87556870760442795</v>
      </c>
      <c r="N1" s="2">
        <v>-0.17039230628455246</v>
      </c>
      <c r="P1">
        <v>-0.18191641181637555</v>
      </c>
      <c r="R1">
        <v>-0.11983488082009211</v>
      </c>
      <c r="T1">
        <v>-3.8889526625505632E-3</v>
      </c>
      <c r="V1" s="2">
        <v>-0.8755687076233083</v>
      </c>
      <c r="X1">
        <v>-0.39256768551788868</v>
      </c>
      <c r="AC1" s="23" t="s">
        <v>560</v>
      </c>
      <c r="AD1" s="23" t="s">
        <v>561</v>
      </c>
      <c r="AG1" t="s">
        <v>722</v>
      </c>
      <c r="AH1" t="s">
        <v>33</v>
      </c>
      <c r="AI1" t="s">
        <v>13</v>
      </c>
      <c r="AJ1" t="s">
        <v>23</v>
      </c>
      <c r="AK1" t="s">
        <v>15</v>
      </c>
      <c r="AL1" t="s">
        <v>16</v>
      </c>
      <c r="AM1" t="s">
        <v>25</v>
      </c>
      <c r="AN1" t="s">
        <v>24</v>
      </c>
      <c r="AO1">
        <v>1.5799115833760182</v>
      </c>
      <c r="AP1">
        <f>SUM(AP4:AP24)</f>
        <v>333.20811161817863</v>
      </c>
      <c r="AR1">
        <v>1.1145073302846631</v>
      </c>
      <c r="AS1">
        <f>SUM(AS4:AS24)</f>
        <v>394.71696582856367</v>
      </c>
    </row>
    <row r="2" spans="1:64" ht="16" thickBot="1" x14ac:dyDescent="0.4">
      <c r="G2" s="2"/>
      <c r="J2" s="2">
        <v>-6.9003216090145453E-2</v>
      </c>
      <c r="L2">
        <v>12.836513107050566</v>
      </c>
      <c r="P2" s="2">
        <v>6.2898926575149584E-7</v>
      </c>
      <c r="R2" s="2">
        <v>-1.3486500885731545E-6</v>
      </c>
      <c r="T2">
        <f>-T1</f>
        <v>3.8889526625505632E-3</v>
      </c>
      <c r="AC2" s="23" t="s">
        <v>556</v>
      </c>
      <c r="AD2" s="35">
        <f>M5</f>
        <v>0.13465936454277994</v>
      </c>
      <c r="AE2" s="24">
        <f t="shared" ref="AE2:AE5" si="0">AD2</f>
        <v>0.13465936454277994</v>
      </c>
      <c r="AG2">
        <f>SUM(AG4:AG24)</f>
        <v>14</v>
      </c>
      <c r="BA2">
        <v>1950</v>
      </c>
      <c r="BB2">
        <v>0.10726962690000003</v>
      </c>
    </row>
    <row r="3" spans="1:64" ht="15.5" x14ac:dyDescent="0.35">
      <c r="L3">
        <v>-17.827404168275013</v>
      </c>
      <c r="AC3" s="23" t="s">
        <v>557</v>
      </c>
      <c r="AD3" s="35">
        <f>K5</f>
        <v>0.18265306528361699</v>
      </c>
      <c r="AE3" s="24">
        <f t="shared" si="0"/>
        <v>0.18265306528361699</v>
      </c>
      <c r="AT3" s="4"/>
      <c r="AU3" s="4"/>
      <c r="BA3">
        <v>1951</v>
      </c>
      <c r="BB3">
        <v>0.27273744690000001</v>
      </c>
      <c r="BD3" s="4"/>
      <c r="BE3" s="4"/>
    </row>
    <row r="4" spans="1:64" ht="15.5" x14ac:dyDescent="0.35">
      <c r="AC4" s="23" t="s">
        <v>555</v>
      </c>
      <c r="AD4" s="35">
        <f>W5</f>
        <v>0.14217506905557528</v>
      </c>
      <c r="AE4" s="24">
        <f t="shared" si="0"/>
        <v>0.14217506905557528</v>
      </c>
      <c r="AG4">
        <v>1</v>
      </c>
      <c r="AH4" s="1">
        <f>F11</f>
        <v>2.8</v>
      </c>
      <c r="AI4" s="5">
        <f>G11</f>
        <v>-3.5326814048578141</v>
      </c>
      <c r="AJ4">
        <f>Table1!G4</f>
        <v>0</v>
      </c>
      <c r="AK4">
        <f>regressions!AK4*$AI4/regressions!$AI4</f>
        <v>-14.130725619431255</v>
      </c>
      <c r="AL4">
        <f>regressions!AL4*$AI4/regressions!$AI4</f>
        <v>5.8878023414296905</v>
      </c>
      <c r="AM4">
        <f>(AI4-AK4)/2</f>
        <v>5.2990221072867207</v>
      </c>
      <c r="AN4">
        <f>(AL4-AI4)/2</f>
        <v>4.7102418731437528</v>
      </c>
      <c r="AO4">
        <f t="shared" ref="AO4:AO24" si="1">AO$1*AH4</f>
        <v>4.4237524334528509</v>
      </c>
      <c r="AP4">
        <f>AG4*(AO4-AM4)^2</f>
        <v>0.76609700193324903</v>
      </c>
      <c r="AR4">
        <f t="shared" ref="AR4:AR24" si="2">AR$1*AH4</f>
        <v>3.1206205247970566</v>
      </c>
      <c r="AS4">
        <f t="shared" ref="AS4:AS24" si="3">AG4*(AR4-AN4)^2</f>
        <v>2.5268960311195681</v>
      </c>
      <c r="BA4">
        <v>1952</v>
      </c>
      <c r="BB4">
        <v>0.3492459819</v>
      </c>
    </row>
    <row r="5" spans="1:64" ht="15.5" x14ac:dyDescent="0.35">
      <c r="I5" t="s">
        <v>721</v>
      </c>
      <c r="K5">
        <f>EXP(K8)/$H8</f>
        <v>0.18265306528361699</v>
      </c>
      <c r="M5">
        <f>EXP(M8)/$H8</f>
        <v>0.13465936454277994</v>
      </c>
      <c r="O5">
        <f>EXP(O8)/$H8</f>
        <v>9.5866107399486117E-2</v>
      </c>
      <c r="Q5">
        <f>EXP(Q8)/$H8</f>
        <v>9.7498939422077199E-2</v>
      </c>
      <c r="S5">
        <f>EXP(S8)/$H8</f>
        <v>0.23397365078672366</v>
      </c>
      <c r="U5">
        <f>EXP(U8)/$H8</f>
        <v>4.4889835954814141E-4</v>
      </c>
      <c r="W5">
        <f>EXP(W8)/$H8</f>
        <v>0.14217506905557528</v>
      </c>
      <c r="Y5">
        <f>EXP(Y8)/$H8</f>
        <v>0.11272490515019257</v>
      </c>
      <c r="AC5" s="23" t="s">
        <v>559</v>
      </c>
      <c r="AD5" s="35">
        <f>U5</f>
        <v>4.4889835954814141E-4</v>
      </c>
      <c r="AE5" s="24">
        <f t="shared" si="0"/>
        <v>4.4889835954814141E-4</v>
      </c>
      <c r="AG5">
        <v>1</v>
      </c>
      <c r="AH5" s="1">
        <f>F14</f>
        <v>3.4</v>
      </c>
      <c r="AI5" s="5">
        <f>G14</f>
        <v>-4.3400732358327838</v>
      </c>
      <c r="AJ5">
        <f>Table1!G7</f>
        <v>0</v>
      </c>
      <c r="AK5">
        <f>regressions!AK5*$AI5/regressions!$AI5</f>
        <v>-25.317093875691238</v>
      </c>
      <c r="AL5">
        <f>regressions!AL5*$AI5/regressions!$AI5</f>
        <v>0</v>
      </c>
      <c r="AM5">
        <f>(AI5-AK5)/2</f>
        <v>10.488510319929228</v>
      </c>
      <c r="AN5">
        <f>(AL5-AI5)/2</f>
        <v>2.1700366179163919</v>
      </c>
      <c r="AO5">
        <f t="shared" si="1"/>
        <v>5.3716993834784619</v>
      </c>
      <c r="AP5">
        <f t="shared" ref="AP5:AP24" si="4">AG5*(AO5-AM5)^2</f>
        <v>26.181754159382162</v>
      </c>
      <c r="AR5">
        <f t="shared" si="2"/>
        <v>3.7893249229678543</v>
      </c>
      <c r="AS5">
        <f t="shared" si="3"/>
        <v>2.6220946148764379</v>
      </c>
      <c r="BA5">
        <v>1953</v>
      </c>
      <c r="BB5">
        <v>0.41152215690000005</v>
      </c>
    </row>
    <row r="6" spans="1:64" ht="15.5" x14ac:dyDescent="0.35">
      <c r="I6" t="s">
        <v>720</v>
      </c>
      <c r="K6">
        <v>2</v>
      </c>
      <c r="M6">
        <v>3</v>
      </c>
      <c r="O6">
        <v>1</v>
      </c>
      <c r="Q6">
        <v>2</v>
      </c>
      <c r="S6">
        <v>2</v>
      </c>
      <c r="U6">
        <v>1</v>
      </c>
      <c r="W6">
        <v>1</v>
      </c>
      <c r="Y6">
        <v>1</v>
      </c>
      <c r="AA6">
        <f>SUM(K6:Y6)</f>
        <v>13</v>
      </c>
      <c r="AC6" s="23" t="s">
        <v>543</v>
      </c>
      <c r="AD6" s="35">
        <f>S5</f>
        <v>0.23397365078672366</v>
      </c>
      <c r="AE6" s="24">
        <f>AD6</f>
        <v>0.23397365078672366</v>
      </c>
      <c r="AG6">
        <v>1</v>
      </c>
      <c r="AH6" s="1">
        <f>F20</f>
        <v>2.9</v>
      </c>
      <c r="AI6" s="1">
        <f>G20</f>
        <v>-3.5833907237175069</v>
      </c>
      <c r="AJ6">
        <f>Table1!G13</f>
        <v>0</v>
      </c>
      <c r="AK6">
        <f>regressions!AK6*$AI6/regressions!$AI6</f>
        <v>-16.202431760952344</v>
      </c>
      <c r="AL6">
        <f>regressions!AL6*$AI6/regressions!$AI6</f>
        <v>-0.62419892161620094</v>
      </c>
      <c r="AM6">
        <f>(AI6-AK6)/2</f>
        <v>6.3095205186174184</v>
      </c>
      <c r="AN6">
        <f>(AL6-AI6)/2</f>
        <v>1.479595901050653</v>
      </c>
      <c r="AO6">
        <f t="shared" si="1"/>
        <v>4.5817435917904525</v>
      </c>
      <c r="AP6">
        <f t="shared" si="4"/>
        <v>2.9852131088756342</v>
      </c>
      <c r="AR6">
        <f t="shared" si="2"/>
        <v>3.2320712578255231</v>
      </c>
      <c r="AS6">
        <f t="shared" si="3"/>
        <v>3.071169876103208</v>
      </c>
      <c r="BA6">
        <v>1954</v>
      </c>
      <c r="BB6">
        <v>0.21714120690000002</v>
      </c>
    </row>
    <row r="7" spans="1:64" ht="15.5" x14ac:dyDescent="0.35">
      <c r="H7">
        <f>SUM(D10:D78)</f>
        <v>39.000000000000021</v>
      </c>
      <c r="I7" t="s">
        <v>719</v>
      </c>
      <c r="K7" s="5">
        <f>SQRT(K9/($H7-K6))</f>
        <v>4.0994765244793747</v>
      </c>
      <c r="L7" s="5"/>
      <c r="M7" s="5">
        <f>SQRT(M9/($H7-M6))</f>
        <v>4.1849561084906401</v>
      </c>
      <c r="N7" s="5"/>
      <c r="O7" s="5">
        <f>SQRT(O9/($H7-O6))</f>
        <v>4.1147081361961844</v>
      </c>
      <c r="P7" s="5"/>
      <c r="Q7" s="5">
        <f>SQRT(Q9/($H7-Q6))</f>
        <v>4.1659959322713735</v>
      </c>
      <c r="R7" s="5"/>
      <c r="S7" s="5">
        <f>SQRT(S9/($H7-S6))</f>
        <v>4.0735304610541574</v>
      </c>
      <c r="T7" s="5"/>
      <c r="U7" s="5">
        <f>SQRT(U9/($H7-U6))</f>
        <v>4.7213939847923561</v>
      </c>
      <c r="V7" s="5"/>
      <c r="W7" s="5">
        <f>SQRT(W9/($H7-W6))</f>
        <v>4.0733371637353031</v>
      </c>
      <c r="X7" s="5"/>
      <c r="Y7" s="5">
        <f>SQRT(Y9/($H7-Y6))</f>
        <v>4.0976519438121395</v>
      </c>
      <c r="AA7" s="5">
        <f>SQRT(AA9/($H7-AA6))</f>
        <v>3.795907144273154</v>
      </c>
      <c r="AC7" s="23" t="s">
        <v>542</v>
      </c>
      <c r="AD7" s="35">
        <f>Q5</f>
        <v>9.7498939422077199E-2</v>
      </c>
      <c r="AE7" s="24">
        <f>AD7</f>
        <v>9.7498939422077199E-2</v>
      </c>
      <c r="AG7">
        <v>1</v>
      </c>
      <c r="AH7" s="1">
        <f>F28</f>
        <v>1.5</v>
      </c>
      <c r="AI7" s="1">
        <f>G28</f>
        <v>3.4569909036648365</v>
      </c>
      <c r="AJ7">
        <f>regressions!AJ7*$AI7/regressions!$AI7</f>
        <v>1.5030395233325378</v>
      </c>
      <c r="AM7">
        <f>AJ7</f>
        <v>1.5030395233325378</v>
      </c>
      <c r="AN7">
        <f>AJ7</f>
        <v>1.5030395233325378</v>
      </c>
      <c r="AO7">
        <f t="shared" si="1"/>
        <v>2.3698673750640271</v>
      </c>
      <c r="AP7">
        <f t="shared" si="4"/>
        <v>0.75139052453742894</v>
      </c>
      <c r="AR7">
        <f t="shared" si="2"/>
        <v>1.6717609954269945</v>
      </c>
      <c r="AS7">
        <f t="shared" si="3"/>
        <v>2.8466935145720552E-2</v>
      </c>
      <c r="BA7">
        <v>1955</v>
      </c>
      <c r="BB7">
        <v>0.13658148690000002</v>
      </c>
    </row>
    <row r="8" spans="1:64" ht="16" thickBot="1" x14ac:dyDescent="0.4">
      <c r="H8">
        <f>EXP(K8)+EXP(M8)+EXP(O8)+EXP(Q8)+EXP(S8)+EXP(U8)+EXP(W8)+EXP(Y8)</f>
        <v>6.4197390079492888E-32</v>
      </c>
      <c r="I8" t="s">
        <v>718</v>
      </c>
      <c r="J8" t="s">
        <v>539</v>
      </c>
      <c r="K8">
        <f>-K9/2/K7^2-$H7*LN(K7)</f>
        <v>-73.523512255502055</v>
      </c>
      <c r="L8" t="s">
        <v>324</v>
      </c>
      <c r="M8">
        <f>-M9/2/M7^2-$H7*LN(M7)</f>
        <v>-73.828352426752829</v>
      </c>
      <c r="N8" t="s">
        <v>540</v>
      </c>
      <c r="O8">
        <f>-O9/2/O7^2-$H7*LN(O7)</f>
        <v>-74.168148287524019</v>
      </c>
      <c r="P8" t="s">
        <v>542</v>
      </c>
      <c r="Q8">
        <f>-Q9/2/Q7^2-$H7*LN(Q7)</f>
        <v>-74.15125929066113</v>
      </c>
      <c r="R8" t="s">
        <v>543</v>
      </c>
      <c r="S8">
        <f>-S9/2/S7^2-$H7*LN(S7)</f>
        <v>-73.27589228534157</v>
      </c>
      <c r="T8" t="s">
        <v>541</v>
      </c>
      <c r="U8">
        <f>-U9/2/U7^2-$H7*LN(U7)</f>
        <v>-79.532059578465919</v>
      </c>
      <c r="V8" t="s">
        <v>544</v>
      </c>
      <c r="W8">
        <f>-W9/2/W7^2-$H7*LN(W7)</f>
        <v>-73.774041611982454</v>
      </c>
      <c r="X8" t="s">
        <v>723</v>
      </c>
      <c r="Y8">
        <f>-Y9/2/Y7^2-$H7*LN(Y7)</f>
        <v>-74.006150408003236</v>
      </c>
      <c r="AA8">
        <f>-AA9/2/AA7^2-$H7*LN(AA7)</f>
        <v>-65.023013340297723</v>
      </c>
      <c r="AC8" s="23" t="s">
        <v>558</v>
      </c>
      <c r="AD8" s="35">
        <f>O5</f>
        <v>9.5866107399486117E-2</v>
      </c>
      <c r="AE8" s="24">
        <f>AD8</f>
        <v>9.5866107399486117E-2</v>
      </c>
      <c r="AG8">
        <v>1</v>
      </c>
      <c r="AH8" s="1">
        <f t="shared" ref="AH8:AI10" si="5">F32</f>
        <v>3.1</v>
      </c>
      <c r="AI8" s="1">
        <f t="shared" si="5"/>
        <v>-1.3410137732593201</v>
      </c>
      <c r="AJ8">
        <f>Table1!G25</f>
        <v>0</v>
      </c>
      <c r="AK8">
        <f>regressions!AK8*$AI8/regressions!$AI8</f>
        <v>-4.1595277564483633</v>
      </c>
      <c r="AL8">
        <f>regressions!AL8*$AI8/regressions!$AI8</f>
        <v>6.3486727162716472E-2</v>
      </c>
      <c r="AM8">
        <f>(AI8-AK8)/2</f>
        <v>1.4092569915945217</v>
      </c>
      <c r="AN8">
        <f>(AL8-AI8)/2</f>
        <v>0.70225025021101828</v>
      </c>
      <c r="AO8">
        <f t="shared" si="1"/>
        <v>4.8977259084656568</v>
      </c>
      <c r="AP8">
        <f t="shared" si="4"/>
        <v>12.169415383976071</v>
      </c>
      <c r="AR8">
        <f t="shared" si="2"/>
        <v>3.4549727238824555</v>
      </c>
      <c r="AS8">
        <f t="shared" si="3"/>
        <v>7.5774810170557956</v>
      </c>
      <c r="AU8" s="2"/>
      <c r="BA8">
        <v>1956</v>
      </c>
      <c r="BB8">
        <v>7.0725816900000016E-2</v>
      </c>
      <c r="BD8" s="2"/>
      <c r="BE8" s="2"/>
    </row>
    <row r="9" spans="1:64" ht="15.5" x14ac:dyDescent="0.35">
      <c r="B9" t="s">
        <v>544</v>
      </c>
      <c r="C9" t="s">
        <v>624</v>
      </c>
      <c r="D9" t="s">
        <v>623</v>
      </c>
      <c r="E9" t="s">
        <v>80</v>
      </c>
      <c r="F9" t="s">
        <v>1112</v>
      </c>
      <c r="G9" t="s">
        <v>1113</v>
      </c>
      <c r="I9" t="s">
        <v>717</v>
      </c>
      <c r="K9">
        <f>SUM(K10:K78)</f>
        <v>621.81118766602765</v>
      </c>
      <c r="M9">
        <f>SUM(M10:M78)</f>
        <v>630.49887467975282</v>
      </c>
      <c r="O9">
        <f>SUM(O10:O78)</f>
        <v>643.37127575100544</v>
      </c>
      <c r="Q9">
        <f>SUM(Q10:Q78)</f>
        <v>642.15431798496058</v>
      </c>
      <c r="S9">
        <f>SUM(S10:S78)</f>
        <v>613.96506543403575</v>
      </c>
      <c r="U9">
        <f>SUM(U10:U78)</f>
        <v>847.07932406607131</v>
      </c>
      <c r="W9">
        <f>SUM(W10:W78)</f>
        <v>630.49887467975259</v>
      </c>
      <c r="Y9">
        <f>SUM(Y10:Y78)</f>
        <v>638.04855519984187</v>
      </c>
      <c r="AA9">
        <f>SUM(AA10:AA78)</f>
        <v>374.63168724654355</v>
      </c>
      <c r="AC9" s="23" t="s">
        <v>724</v>
      </c>
      <c r="AD9" s="11">
        <f>Y5</f>
        <v>0.11272490515019257</v>
      </c>
      <c r="AE9" s="24">
        <f>AD9</f>
        <v>0.11272490515019257</v>
      </c>
      <c r="AG9">
        <v>0.5</v>
      </c>
      <c r="AH9" s="1">
        <f t="shared" si="5"/>
        <v>3.6</v>
      </c>
      <c r="AI9" s="1">
        <f t="shared" si="5"/>
        <v>-1.223023971670363</v>
      </c>
      <c r="AJ9">
        <f>regressions!AJ9*$AI9/regressions!$AI9</f>
        <v>0.1709603401259647</v>
      </c>
      <c r="AM9">
        <f>AJ9</f>
        <v>0.1709603401259647</v>
      </c>
      <c r="AN9">
        <f>AJ9</f>
        <v>0.1709603401259647</v>
      </c>
      <c r="AO9">
        <f t="shared" si="1"/>
        <v>5.6876817001536661</v>
      </c>
      <c r="AP9">
        <f t="shared" si="4"/>
        <v>15.217107282092945</v>
      </c>
      <c r="AR9">
        <f t="shared" si="2"/>
        <v>4.0122263890247876</v>
      </c>
      <c r="AS9">
        <f t="shared" si="3"/>
        <v>7.3776624292113864</v>
      </c>
      <c r="BA9">
        <v>1957</v>
      </c>
      <c r="BB9">
        <v>0.29855649090000003</v>
      </c>
    </row>
    <row r="10" spans="1:64" ht="15" thickBot="1" x14ac:dyDescent="0.4">
      <c r="A10" t="str">
        <f>Table1!A3</f>
        <v>d'Arge 1979</v>
      </c>
      <c r="B10">
        <f>ROUND(Table1!C3,1)</f>
        <v>-1</v>
      </c>
      <c r="C10">
        <f>Table1!E3</f>
        <v>-0.59642907312262095</v>
      </c>
      <c r="D10">
        <v>1</v>
      </c>
      <c r="E10">
        <v>1979</v>
      </c>
      <c r="F10" s="1">
        <f>ROUND(LOOKUP(E10,BA$31:BA$73,BC$31:BC$73)+B10,1)</f>
        <v>-0.8</v>
      </c>
      <c r="G10" s="5">
        <f>C10*LOOKUP(F10,graph!A$3:A$203,graph!B$3:B$203)/LOOKUP(B10,graph!A$3:A$203,graph!B$3:B$203)</f>
        <v>-0.51330669983313593</v>
      </c>
      <c r="H10" s="5"/>
      <c r="J10">
        <f>J$1*F10+J$2*F10^2</f>
        <v>0.39580296966962814</v>
      </c>
      <c r="K10">
        <f>$D10*(J10-$G10)^2</f>
        <v>0.82648039118342487</v>
      </c>
      <c r="L10">
        <f>IF(F10&lt;=L$2,F10*L$1,L$1*L$2+L$3*(F10-L$2))</f>
        <v>0.70045496608354241</v>
      </c>
      <c r="M10">
        <f>$D10*(L10-$G10)^2</f>
        <v>1.4732173816488303</v>
      </c>
      <c r="N10">
        <f>N$1*F10^2</f>
        <v>-0.1090510760221136</v>
      </c>
      <c r="O10">
        <f>$D10*(N10-$G10)^2</f>
        <v>0.16342260938283878</v>
      </c>
      <c r="P10">
        <f>P$1*F10^2+P$2*F10^7</f>
        <v>-0.11642663547109003</v>
      </c>
      <c r="Q10">
        <f>$D10*(P10-$G10)^2</f>
        <v>0.15751378548802172</v>
      </c>
      <c r="R10" s="24">
        <f>R$1*F10^2+R$2*10^6</f>
        <v>-1.4253444122980135</v>
      </c>
      <c r="S10">
        <f>$D10*(R10-$G10)^2</f>
        <v>0.83181278895816657</v>
      </c>
      <c r="T10">
        <f>T$2+T$1*EXP(F10)</f>
        <v>2.1415335911858079E-3</v>
      </c>
      <c r="U10">
        <f>$D10*(T10-$G10)^2</f>
        <v>0.26568688134025409</v>
      </c>
      <c r="V10">
        <f>V$1*F10</f>
        <v>0.70045496609864666</v>
      </c>
      <c r="W10">
        <f>$D10*(V10-$G10)^2</f>
        <v>1.4732173816854959</v>
      </c>
      <c r="X10">
        <f>(1-EXP(-2*X$1*F10))/2/EXP(-X$1*F10)</f>
        <v>0.31924219448973662</v>
      </c>
      <c r="Y10">
        <f>$D10*(X10-$G10)^2</f>
        <v>0.69313766143823752</v>
      </c>
      <c r="Z10" s="33">
        <f>J10*K$5+L10*M$5+N10*O$5+P10*Q$5+R10*S$5+T10*U$5+V10*W$5+X10*Y$5</f>
        <v>-5.3106624536433826E-2</v>
      </c>
      <c r="AA10">
        <f t="shared" ref="AA10:AA73" si="6">$D10*(Z10-$C10)^2</f>
        <v>0.29519928313769001</v>
      </c>
      <c r="AG10">
        <v>0.5</v>
      </c>
      <c r="AH10" s="1">
        <f t="shared" si="5"/>
        <v>3.6</v>
      </c>
      <c r="AI10" s="1">
        <f t="shared" si="5"/>
        <v>-1.3808335164020229</v>
      </c>
      <c r="AJ10">
        <f>regressions!AJ10*$AI10/regressions!$AI10</f>
        <v>0.17096034012596475</v>
      </c>
      <c r="AM10">
        <f>AJ10</f>
        <v>0.17096034012596475</v>
      </c>
      <c r="AN10">
        <f>AJ10</f>
        <v>0.17096034012596475</v>
      </c>
      <c r="AO10">
        <f t="shared" si="1"/>
        <v>5.6876817001536661</v>
      </c>
      <c r="AP10">
        <f t="shared" si="4"/>
        <v>15.217107282092945</v>
      </c>
      <c r="AR10">
        <f t="shared" si="2"/>
        <v>4.0122263890247876</v>
      </c>
      <c r="AS10">
        <f t="shared" si="3"/>
        <v>7.3776624292113864</v>
      </c>
      <c r="BA10">
        <v>1958</v>
      </c>
      <c r="BB10">
        <v>0.31625886390000002</v>
      </c>
    </row>
    <row r="11" spans="1:64" x14ac:dyDescent="0.35">
      <c r="A11" t="str">
        <f>Table1!A4</f>
        <v>Nordhaus 1982</v>
      </c>
      <c r="B11">
        <f>ROUND(Table1!C4,1)</f>
        <v>2.5</v>
      </c>
      <c r="C11">
        <f>Table1!E4</f>
        <v>-3</v>
      </c>
      <c r="D11">
        <v>1</v>
      </c>
      <c r="E11">
        <v>1982</v>
      </c>
      <c r="F11" s="1">
        <f t="shared" ref="F11:F74" si="7">ROUND(LOOKUP(E11,BA$31:BA$73,BC$31:BC$73)+B11,1)</f>
        <v>2.8</v>
      </c>
      <c r="G11" s="5">
        <f>C11*LOOKUP(F11,graph!A$3:A$203,graph!B$3:B$203)/LOOKUP(B11,graph!A$3:A$203,graph!B$3:B$203)</f>
        <v>-3.5326814048578141</v>
      </c>
      <c r="H11" s="5"/>
      <c r="J11">
        <f t="shared" ref="J11:J74" si="8">J$1*F11+J$2*F11^2</f>
        <v>-2.0808628120323642</v>
      </c>
      <c r="K11">
        <f t="shared" ref="K11:M74" si="9">$D11*(J11-$G11)^2</f>
        <v>2.1077772264736696</v>
      </c>
      <c r="L11">
        <f t="shared" ref="L11:L74" si="10">IF(F11&lt;=L$2,F11*L$1,L$1*L$2+L$3*(F11-L$2))</f>
        <v>-2.4515923812923983</v>
      </c>
      <c r="M11">
        <f t="shared" si="9"/>
        <v>1.1687534768736241</v>
      </c>
      <c r="N11">
        <f t="shared" ref="N11:N74" si="11">N$1*F11^2</f>
        <v>-1.3358756812708912</v>
      </c>
      <c r="O11">
        <f t="shared" ref="O11" si="12">$D11*(N11-$G11)^2</f>
        <v>4.8259553871842646</v>
      </c>
      <c r="P11">
        <f t="shared" ref="P11:P74" si="13">P$1*F11^2+P$2*F11^7</f>
        <v>-1.4253759779206241</v>
      </c>
      <c r="Q11">
        <f t="shared" ref="Q11" si="14">$D11*(P11-$G11)^2</f>
        <v>4.4407361623989319</v>
      </c>
      <c r="R11" s="24">
        <f t="shared" ref="R11:R74" si="15">R$1*F11^2+R$2*10^6</f>
        <v>-2.2881555542026764</v>
      </c>
      <c r="S11">
        <f t="shared" ref="S11" si="16">$D11*(R11-$G11)^2</f>
        <v>1.5488445929488943</v>
      </c>
      <c r="T11">
        <f t="shared" ref="T11:T74" si="17">T$2+T$1*EXP(F11)</f>
        <v>-6.0063500182610828E-2</v>
      </c>
      <c r="U11">
        <f t="shared" ref="U11" si="18">$D11*(T11-$G11)^2</f>
        <v>12.059075111870799</v>
      </c>
      <c r="V11">
        <f t="shared" ref="V11:V74" si="19">V$1*F11</f>
        <v>-2.4515923813452631</v>
      </c>
      <c r="W11">
        <f t="shared" ref="W11" si="20">$D11*(V11-$G11)^2</f>
        <v>1.1687534767593211</v>
      </c>
      <c r="X11">
        <f t="shared" ref="X11:X74" si="21">(1-EXP(-2*X$1*F11))/2/EXP(-X$1*F11)</f>
        <v>-1.3342956068203127</v>
      </c>
      <c r="Y11">
        <f t="shared" ref="Y11" si="22">$D11*(X11-$G11)^2</f>
        <v>4.8329001170129819</v>
      </c>
      <c r="Z11" s="33">
        <f t="shared" ref="Z11:Z74" si="23">J11*K$5+L11*M$5+N11*O$5+P11*Q$5+R11*S$5+T11*U$5+V11*W$5+X11*Y$5</f>
        <v>-2.0116024237196406</v>
      </c>
      <c r="AA11">
        <f t="shared" si="6"/>
        <v>0.97692976879688886</v>
      </c>
      <c r="AG11">
        <v>0.5</v>
      </c>
      <c r="AH11" s="1">
        <f>F21</f>
        <v>3</v>
      </c>
      <c r="AI11" s="1">
        <f t="shared" ref="AI11:AI12" si="24">G21</f>
        <v>3.9087373279356033E-2</v>
      </c>
      <c r="AJ11">
        <f>regressions!AJ11*$AI11/regressions!$AI11</f>
        <v>6.8346516255995568E-2</v>
      </c>
      <c r="AM11">
        <f>AJ11</f>
        <v>6.8346516255995568E-2</v>
      </c>
      <c r="AN11">
        <f>AJ11</f>
        <v>6.8346516255995568E-2</v>
      </c>
      <c r="AO11">
        <f t="shared" si="1"/>
        <v>4.7397347501280542</v>
      </c>
      <c r="AP11">
        <f t="shared" si="4"/>
        <v>10.910934015779157</v>
      </c>
      <c r="AR11">
        <f t="shared" si="2"/>
        <v>3.343521990853989</v>
      </c>
      <c r="AS11">
        <f t="shared" si="3"/>
        <v>5.363387194704095</v>
      </c>
      <c r="AU11" s="3"/>
      <c r="AV11" s="3"/>
      <c r="AW11" s="3"/>
      <c r="AX11" s="3"/>
      <c r="AY11" s="3"/>
      <c r="BA11">
        <v>1959</v>
      </c>
      <c r="BB11">
        <v>0.28588659189999999</v>
      </c>
      <c r="BD11" s="3"/>
      <c r="BE11" s="3"/>
      <c r="BF11" s="3"/>
      <c r="BG11" s="3"/>
      <c r="BH11" s="3"/>
      <c r="BI11" s="3"/>
    </row>
    <row r="12" spans="1:64" x14ac:dyDescent="0.35">
      <c r="A12" t="str">
        <f>Table1!A5</f>
        <v>Nordhaus 1991</v>
      </c>
      <c r="B12">
        <f>ROUND(Table1!C5,1)</f>
        <v>3</v>
      </c>
      <c r="C12">
        <f>Table1!E5</f>
        <v>-1</v>
      </c>
      <c r="D12">
        <v>1</v>
      </c>
      <c r="E12">
        <v>1991</v>
      </c>
      <c r="F12" s="1">
        <f t="shared" si="7"/>
        <v>3.4</v>
      </c>
      <c r="G12" s="5">
        <f>C12*LOOKUP(F12,graph!A$3:A$203,graph!B$3:B$203)/LOOKUP(B12,graph!A$3:A$203,graph!B$3:B$203)</f>
        <v>-1.2055758988424399</v>
      </c>
      <c r="H12" s="5"/>
      <c r="J12">
        <f t="shared" si="8"/>
        <v>-2.6675285468631964</v>
      </c>
      <c r="K12">
        <f t="shared" si="9"/>
        <v>2.1373055450549021</v>
      </c>
      <c r="L12">
        <f t="shared" si="10"/>
        <v>-2.9769336058550548</v>
      </c>
      <c r="M12">
        <f t="shared" si="9"/>
        <v>3.1377081261929889</v>
      </c>
      <c r="N12">
        <f t="shared" si="11"/>
        <v>-1.9697350606494262</v>
      </c>
      <c r="O12">
        <f t="shared" ref="O12" si="25">$D12*(N12-$G12)^2</f>
        <v>0.58393922457355585</v>
      </c>
      <c r="P12">
        <f t="shared" si="13"/>
        <v>-2.099650058253113</v>
      </c>
      <c r="Q12">
        <f t="shared" ref="Q12" si="26">$D12*(P12-$G12)^2</f>
        <v>0.79936860252590181</v>
      </c>
      <c r="R12" s="24">
        <f t="shared" si="15"/>
        <v>-2.7339413108534192</v>
      </c>
      <c r="S12">
        <f t="shared" ref="S12" si="27">$D12*(R12-$G12)^2</f>
        <v>2.3359008326314905</v>
      </c>
      <c r="T12">
        <f t="shared" si="17"/>
        <v>-0.11264001399770551</v>
      </c>
      <c r="U12">
        <f t="shared" ref="U12" si="28">$D12*(T12-$G12)^2</f>
        <v>1.1945088483813424</v>
      </c>
      <c r="V12">
        <f t="shared" si="19"/>
        <v>-2.9769336059192479</v>
      </c>
      <c r="W12">
        <f t="shared" ref="W12" si="29">$D12*(V12-$G12)^2</f>
        <v>3.137708126420407</v>
      </c>
      <c r="X12">
        <f t="shared" si="21"/>
        <v>-1.7678706897156469</v>
      </c>
      <c r="Y12">
        <f t="shared" ref="Y12" si="30">$D12*(X12-$G12)^2</f>
        <v>0.31617543184314356</v>
      </c>
      <c r="Z12" s="33">
        <f t="shared" si="23"/>
        <v>-2.5438983304424885</v>
      </c>
      <c r="AA12">
        <f t="shared" si="6"/>
        <v>2.3836220547431033</v>
      </c>
      <c r="AG12">
        <v>0.5</v>
      </c>
      <c r="AH12" s="1">
        <f t="shared" ref="AH12" si="31">F22</f>
        <v>3</v>
      </c>
      <c r="AI12" s="1">
        <f t="shared" si="24"/>
        <v>0.1302912442645201</v>
      </c>
      <c r="AJ12">
        <f>regressions!AJ12*$AI12/regressions!$AI12</f>
        <v>1.7925750878967368E-2</v>
      </c>
      <c r="AM12">
        <f>AJ12</f>
        <v>1.7925750878967368E-2</v>
      </c>
      <c r="AN12">
        <f>AJ12</f>
        <v>1.7925750878967368E-2</v>
      </c>
      <c r="AO12">
        <f t="shared" si="1"/>
        <v>4.7397347501280542</v>
      </c>
      <c r="AP12">
        <f t="shared" si="4"/>
        <v>11.147740112694834</v>
      </c>
      <c r="AR12">
        <f t="shared" si="2"/>
        <v>3.343521990853989</v>
      </c>
      <c r="AS12">
        <f t="shared" si="3"/>
        <v>5.5297951756680011</v>
      </c>
      <c r="BA12">
        <v>1960</v>
      </c>
      <c r="BB12">
        <v>0.21840439290000002</v>
      </c>
    </row>
    <row r="13" spans="1:64" x14ac:dyDescent="0.35">
      <c r="A13" t="str">
        <f>Table1!A6</f>
        <v>Nordhaus 1994b</v>
      </c>
      <c r="B13">
        <f>ROUND(Table1!C6,1)</f>
        <v>3</v>
      </c>
      <c r="C13">
        <f>Table1!E6</f>
        <v>-1.33</v>
      </c>
      <c r="D13">
        <v>1</v>
      </c>
      <c r="E13">
        <v>1994</v>
      </c>
      <c r="F13" s="1">
        <f t="shared" si="7"/>
        <v>3.4</v>
      </c>
      <c r="G13" s="5">
        <f>C13*LOOKUP(F13,graph!A$3:A$203,graph!B$3:B$203)/LOOKUP(B13,graph!A$3:A$203,graph!B$3:B$203)</f>
        <v>-1.6034159454604451</v>
      </c>
      <c r="H13" s="5"/>
      <c r="J13">
        <f t="shared" si="8"/>
        <v>-2.6675285468631964</v>
      </c>
      <c r="K13">
        <f t="shared" si="9"/>
        <v>1.1323356284641308</v>
      </c>
      <c r="L13">
        <f t="shared" si="10"/>
        <v>-2.9769336058550548</v>
      </c>
      <c r="M13">
        <f t="shared" si="9"/>
        <v>1.8865507634158825</v>
      </c>
      <c r="N13">
        <f t="shared" si="11"/>
        <v>-1.9697350606494262</v>
      </c>
      <c r="O13">
        <f t="shared" ref="O13" si="32">$D13*(N13-$G13)^2</f>
        <v>0.13418969415283799</v>
      </c>
      <c r="P13">
        <f t="shared" si="13"/>
        <v>-2.099650058253113</v>
      </c>
      <c r="Q13">
        <f t="shared" ref="Q13" si="33">$D13*(P13-$G13)^2</f>
        <v>0.24624829469912629</v>
      </c>
      <c r="R13" s="24">
        <f t="shared" si="15"/>
        <v>-2.7339413108534192</v>
      </c>
      <c r="S13">
        <f t="shared" ref="S13" si="34">$D13*(R13-$G13)^2</f>
        <v>1.2780876017969176</v>
      </c>
      <c r="T13">
        <f t="shared" si="17"/>
        <v>-0.11264001399770551</v>
      </c>
      <c r="U13">
        <f t="shared" ref="U13" si="35">$D13*(T13-$G13)^2</f>
        <v>2.222412877828599</v>
      </c>
      <c r="V13">
        <f t="shared" si="19"/>
        <v>-2.9769336059192479</v>
      </c>
      <c r="W13">
        <f t="shared" ref="W13" si="36">$D13*(V13-$G13)^2</f>
        <v>1.8865507635922232</v>
      </c>
      <c r="X13">
        <f t="shared" si="21"/>
        <v>-1.7678706897156469</v>
      </c>
      <c r="Y13">
        <f t="shared" ref="Y13" si="37">$D13*(X13-$G13)^2</f>
        <v>2.7045362908043828E-2</v>
      </c>
      <c r="Z13" s="33">
        <f t="shared" si="23"/>
        <v>-2.5438983304424885</v>
      </c>
      <c r="AA13">
        <f t="shared" si="6"/>
        <v>1.4735491566510608</v>
      </c>
      <c r="AG13">
        <f>1/3</f>
        <v>0.33333333333333331</v>
      </c>
      <c r="AH13" s="1">
        <f>F47</f>
        <v>2.9</v>
      </c>
      <c r="AI13" s="1">
        <f t="shared" ref="AI13:AI15" si="38">G47</f>
        <v>-1.7827988173768825</v>
      </c>
      <c r="AJ13">
        <f>regressions!AJ13*$AI13/regressions!$AI13</f>
        <v>0.98627257813774916</v>
      </c>
      <c r="AM13">
        <f t="shared" ref="AM13:AM22" si="39">AJ13</f>
        <v>0.98627257813774916</v>
      </c>
      <c r="AN13">
        <f t="shared" ref="AN13:AN22" si="40">AJ13</f>
        <v>0.98627257813774916</v>
      </c>
      <c r="AO13">
        <f t="shared" si="1"/>
        <v>4.5817435917904525</v>
      </c>
      <c r="AP13">
        <f t="shared" si="4"/>
        <v>4.309137270005599</v>
      </c>
      <c r="AR13">
        <f t="shared" si="2"/>
        <v>3.2320712578255231</v>
      </c>
      <c r="AS13">
        <f t="shared" si="3"/>
        <v>1.6812039032291159</v>
      </c>
      <c r="BA13">
        <v>1961</v>
      </c>
      <c r="BB13">
        <v>0.31389402890000001</v>
      </c>
    </row>
    <row r="14" spans="1:64" ht="15" thickBot="1" x14ac:dyDescent="0.4">
      <c r="A14" t="str">
        <f>Table1!A7</f>
        <v>Nordhaus 1994a</v>
      </c>
      <c r="B14">
        <f>ROUND(Table1!C7,1)</f>
        <v>3</v>
      </c>
      <c r="C14">
        <f>Table1!E7</f>
        <v>-3.6</v>
      </c>
      <c r="D14">
        <v>0.5</v>
      </c>
      <c r="E14">
        <v>1994</v>
      </c>
      <c r="F14" s="1">
        <f t="shared" si="7"/>
        <v>3.4</v>
      </c>
      <c r="G14" s="5">
        <f>C14*LOOKUP(F14,graph!A$3:A$203,graph!B$3:B$203)/LOOKUP(B14,graph!A$3:A$203,graph!B$3:B$203)</f>
        <v>-4.3400732358327838</v>
      </c>
      <c r="H14" s="5"/>
      <c r="J14">
        <f t="shared" si="8"/>
        <v>-2.6675285468631964</v>
      </c>
      <c r="K14">
        <f t="shared" si="9"/>
        <v>1.398702868300187</v>
      </c>
      <c r="L14">
        <f t="shared" si="10"/>
        <v>-2.9769336058550548</v>
      </c>
      <c r="M14">
        <f t="shared" si="9"/>
        <v>0.92907482540790998</v>
      </c>
      <c r="N14">
        <f t="shared" si="11"/>
        <v>-1.9697350606494262</v>
      </c>
      <c r="O14">
        <f t="shared" ref="O14" si="41">$D14*(N14-$G14)^2</f>
        <v>2.8092515323657854</v>
      </c>
      <c r="P14">
        <f t="shared" si="13"/>
        <v>-2.099650058253113</v>
      </c>
      <c r="Q14">
        <f t="shared" ref="Q14" si="42">$D14*(P14-$G14)^2</f>
        <v>2.5097480073180947</v>
      </c>
      <c r="R14" s="24">
        <f t="shared" si="15"/>
        <v>-2.7339413108534192</v>
      </c>
      <c r="S14">
        <f t="shared" ref="S14" si="43">$D14*(R14-$G14)^2</f>
        <v>1.2898298802189596</v>
      </c>
      <c r="T14">
        <f t="shared" si="17"/>
        <v>-0.11264001399770551</v>
      </c>
      <c r="U14">
        <f t="shared" ref="U14" si="44">$D14*(T14-$G14)^2</f>
        <v>8.9355958225374525</v>
      </c>
      <c r="V14">
        <f t="shared" si="19"/>
        <v>-2.9769336059192479</v>
      </c>
      <c r="W14">
        <f t="shared" ref="W14" si="45">$D14*(V14-$G14)^2</f>
        <v>0.92907482532040575</v>
      </c>
      <c r="X14">
        <f t="shared" si="21"/>
        <v>-1.7678706897156469</v>
      </c>
      <c r="Y14">
        <f t="shared" ref="Y14" si="46">$D14*(X14-$G14)^2</f>
        <v>3.3081129691257414</v>
      </c>
      <c r="Z14" s="33">
        <f t="shared" si="23"/>
        <v>-2.5438983304424885</v>
      </c>
      <c r="AA14">
        <f t="shared" si="6"/>
        <v>0.55767536822108177</v>
      </c>
      <c r="AG14">
        <f>1/3</f>
        <v>0.33333333333333331</v>
      </c>
      <c r="AH14" s="1">
        <f t="shared" ref="AH14:AH15" si="47">F48</f>
        <v>4.9000000000000004</v>
      </c>
      <c r="AI14" s="1">
        <f t="shared" si="38"/>
        <v>-6.7078668207188601</v>
      </c>
      <c r="AJ14">
        <f>regressions!AJ14*$AI14/regressions!$AI14</f>
        <v>1.0100929824732765</v>
      </c>
      <c r="AM14">
        <f t="shared" si="39"/>
        <v>1.0100929824732765</v>
      </c>
      <c r="AN14">
        <f t="shared" si="40"/>
        <v>1.0100929824732765</v>
      </c>
      <c r="AO14">
        <f t="shared" si="1"/>
        <v>7.7415667585424899</v>
      </c>
      <c r="AP14">
        <f t="shared" si="4"/>
        <v>15.104246399302506</v>
      </c>
      <c r="AR14">
        <f t="shared" si="2"/>
        <v>5.4610859183948497</v>
      </c>
      <c r="AS14">
        <f t="shared" si="3"/>
        <v>6.6037793718745821</v>
      </c>
      <c r="AU14" s="2"/>
      <c r="AV14" s="2"/>
      <c r="AW14" s="2"/>
      <c r="AX14" s="2"/>
      <c r="AY14" s="2"/>
      <c r="BA14">
        <v>1962</v>
      </c>
      <c r="BB14">
        <v>0.26983697690000003</v>
      </c>
      <c r="BD14" s="2"/>
      <c r="BE14" s="2"/>
      <c r="BF14" s="2"/>
      <c r="BG14" s="2"/>
      <c r="BH14" s="2"/>
      <c r="BI14" s="2"/>
    </row>
    <row r="15" spans="1:64" ht="15" thickBot="1" x14ac:dyDescent="0.4">
      <c r="A15">
        <f>Table1!A8</f>
        <v>0</v>
      </c>
      <c r="B15">
        <f>ROUND(Table1!C8,1)</f>
        <v>6</v>
      </c>
      <c r="C15">
        <f>Table1!E8</f>
        <v>-6.7</v>
      </c>
      <c r="D15">
        <v>0.5</v>
      </c>
      <c r="E15">
        <v>1994</v>
      </c>
      <c r="F15" s="1">
        <f t="shared" si="7"/>
        <v>6.4</v>
      </c>
      <c r="G15" s="5">
        <f>C15*LOOKUP(F15,graph!A$3:A$203,graph!B$3:B$203)/LOOKUP(B15,graph!A$3:A$203,graph!B$3:B$203)</f>
        <v>-7.4760903023004985</v>
      </c>
      <c r="H15" s="5"/>
      <c r="J15">
        <f t="shared" si="8"/>
        <v>-6.3460919547909285</v>
      </c>
      <c r="K15">
        <f t="shared" si="9"/>
        <v>0.63844813268717959</v>
      </c>
      <c r="L15">
        <f t="shared" si="10"/>
        <v>-5.6036397286683393</v>
      </c>
      <c r="M15">
        <f t="shared" si="9"/>
        <v>1.7530355753477012</v>
      </c>
      <c r="N15">
        <f t="shared" si="11"/>
        <v>-6.9792688654152704</v>
      </c>
      <c r="O15">
        <f t="shared" ref="O15" si="48">$D15*(N15-$G15)^2</f>
        <v>0.12341577007435138</v>
      </c>
      <c r="P15">
        <f t="shared" si="13"/>
        <v>-7.17466382342272</v>
      </c>
      <c r="Q15">
        <f t="shared" ref="Q15" si="49">$D15*(P15-$G15)^2</f>
        <v>4.542896108432793E-2</v>
      </c>
      <c r="R15" s="24">
        <f t="shared" si="15"/>
        <v>-6.2570868069641277</v>
      </c>
      <c r="S15">
        <f t="shared" ref="S15" si="50">$D15*(R15-$G15)^2</f>
        <v>0.74298476082114473</v>
      </c>
      <c r="T15">
        <f t="shared" si="17"/>
        <v>-2.3366579098129283</v>
      </c>
      <c r="U15">
        <f t="shared" ref="U15" si="51">$D15*(T15-$G15)^2</f>
        <v>13.206882658475257</v>
      </c>
      <c r="V15">
        <f t="shared" si="19"/>
        <v>-5.6036397287891733</v>
      </c>
      <c r="W15">
        <f t="shared" ref="W15" si="52">$D15*(V15-$G15)^2</f>
        <v>1.7530355751214455</v>
      </c>
      <c r="X15">
        <f t="shared" si="21"/>
        <v>-6.1269179880450011</v>
      </c>
      <c r="Y15">
        <f t="shared" ref="Y15" si="53">$D15*(X15-$G15)^2</f>
        <v>0.91013296677676736</v>
      </c>
      <c r="Z15" s="33">
        <f t="shared" si="23"/>
        <v>-6.2347096451047967</v>
      </c>
      <c r="AA15">
        <f t="shared" si="6"/>
        <v>0.10824755717925218</v>
      </c>
      <c r="AG15">
        <f>1/3</f>
        <v>0.33333333333333331</v>
      </c>
      <c r="AH15" s="1">
        <f t="shared" si="47"/>
        <v>6.9</v>
      </c>
      <c r="AI15" s="1">
        <f t="shared" si="38"/>
        <v>-12.062912987595432</v>
      </c>
      <c r="AJ15">
        <f>regressions!AJ15*$AI15/regressions!$AI15</f>
        <v>1.4176922647645049</v>
      </c>
      <c r="AM15">
        <f t="shared" si="39"/>
        <v>1.4176922647645049</v>
      </c>
      <c r="AN15">
        <f t="shared" si="40"/>
        <v>1.4176922647645049</v>
      </c>
      <c r="AO15">
        <f t="shared" si="1"/>
        <v>10.901389925294525</v>
      </c>
      <c r="AP15">
        <f t="shared" si="4"/>
        <v>29.980173772114199</v>
      </c>
      <c r="AR15">
        <f t="shared" si="2"/>
        <v>7.6901005789641754</v>
      </c>
      <c r="AS15">
        <f t="shared" si="3"/>
        <v>13.114368686680383</v>
      </c>
      <c r="BA15">
        <v>1963</v>
      </c>
      <c r="BB15">
        <v>0.29708552690000001</v>
      </c>
    </row>
    <row r="16" spans="1:64" x14ac:dyDescent="0.35">
      <c r="A16" t="str">
        <f>Table1!A9</f>
        <v>Fankhauser 1995</v>
      </c>
      <c r="B16">
        <f>ROUND(Table1!C9,1)</f>
        <v>2.5</v>
      </c>
      <c r="C16">
        <f>Table1!E9</f>
        <v>-1.4</v>
      </c>
      <c r="D16">
        <v>1</v>
      </c>
      <c r="E16">
        <v>1995</v>
      </c>
      <c r="F16" s="1">
        <f t="shared" si="7"/>
        <v>2.9</v>
      </c>
      <c r="G16" s="5">
        <f>C16*LOOKUP(F16,graph!A$3:A$203,graph!B$3:B$203)/LOOKUP(B16,graph!A$3:A$203,graph!B$3:B$203)</f>
        <v>-1.7353439029161242</v>
      </c>
      <c r="H16" s="5"/>
      <c r="J16">
        <f t="shared" si="8"/>
        <v>-2.1751902736996627</v>
      </c>
      <c r="K16">
        <f t="shared" si="9"/>
        <v>0.19346482989145003</v>
      </c>
      <c r="L16">
        <f t="shared" si="10"/>
        <v>-2.5391492520528409</v>
      </c>
      <c r="M16">
        <f t="shared" si="9"/>
        <v>0.64610303930079915</v>
      </c>
      <c r="N16">
        <f t="shared" si="11"/>
        <v>-1.4329992958530862</v>
      </c>
      <c r="O16">
        <f t="shared" ref="O16" si="54">$D16*(N16-$G16)^2</f>
        <v>9.141226142010285E-2</v>
      </c>
      <c r="P16">
        <f t="shared" si="13"/>
        <v>-1.5288320246723281</v>
      </c>
      <c r="Q16">
        <f t="shared" ref="Q16" si="55">$D16*(P16-$G16)^2</f>
        <v>4.2647155855780432E-2</v>
      </c>
      <c r="R16" s="24">
        <f t="shared" si="15"/>
        <v>-2.3564614362701288</v>
      </c>
      <c r="S16">
        <f t="shared" ref="S16" si="56">$D16*(R16-$G16)^2</f>
        <v>0.38578699023976309</v>
      </c>
      <c r="T16">
        <f t="shared" si="17"/>
        <v>-6.6789438361526024E-2</v>
      </c>
      <c r="U16">
        <f t="shared" ref="U16" si="57">$D16*(T16-$G16)^2</f>
        <v>2.7840740011850817</v>
      </c>
      <c r="V16">
        <f t="shared" si="19"/>
        <v>-2.539149252107594</v>
      </c>
      <c r="W16">
        <f t="shared" ref="W16" si="58">$D16*(V16-$G16)^2</f>
        <v>0.64610303938882074</v>
      </c>
      <c r="X16">
        <f t="shared" si="21"/>
        <v>-1.4007988625287731</v>
      </c>
      <c r="Y16">
        <f t="shared" ref="Y16" si="59">$D16*(X16-$G16)^2</f>
        <v>0.11192038404777438</v>
      </c>
      <c r="Z16" s="33">
        <f t="shared" si="23"/>
        <v>-2.0959494672121899</v>
      </c>
      <c r="AA16">
        <f t="shared" si="6"/>
        <v>0.48434566091293108</v>
      </c>
      <c r="AG16">
        <v>1</v>
      </c>
      <c r="AH16" s="1">
        <f>F50</f>
        <v>3.5</v>
      </c>
      <c r="AI16" s="1">
        <f>G50</f>
        <v>-11.589800442017166</v>
      </c>
      <c r="AJ16">
        <f>regressions!AJ16*$AI16/regressions!$AI16</f>
        <v>12.975537451388787</v>
      </c>
      <c r="AK16">
        <f>regressions!AK16*$AI16/regressions!$AI16</f>
        <v>-25.195218352211231</v>
      </c>
      <c r="AL16">
        <f>regressions!AL16*$AI16/regressions!$AI16</f>
        <v>-2.5195218352211235</v>
      </c>
      <c r="AM16">
        <f>(AI16-AK16)/2</f>
        <v>6.8027089550970326</v>
      </c>
      <c r="AN16">
        <f>(AL16-AI16)/2</f>
        <v>4.5351393033980214</v>
      </c>
      <c r="AO16">
        <f t="shared" si="1"/>
        <v>5.5296905418160636</v>
      </c>
      <c r="AP16">
        <f t="shared" si="4"/>
        <v>1.620575880552396</v>
      </c>
      <c r="AR16">
        <f t="shared" si="2"/>
        <v>3.9007756559963207</v>
      </c>
      <c r="AS16">
        <f t="shared" si="3"/>
        <v>0.40241723714478927</v>
      </c>
      <c r="AU16" s="3"/>
      <c r="AV16" s="3"/>
      <c r="AW16" s="3"/>
      <c r="AX16" s="3"/>
      <c r="AY16" s="3"/>
      <c r="AZ16" s="3"/>
      <c r="BA16">
        <v>1964</v>
      </c>
      <c r="BB16">
        <v>2.8024666899999995E-2</v>
      </c>
      <c r="BD16" s="3"/>
      <c r="BE16" s="3"/>
      <c r="BF16" s="3"/>
      <c r="BG16" s="3"/>
      <c r="BH16" s="3"/>
      <c r="BI16" s="3"/>
      <c r="BJ16" s="3"/>
      <c r="BK16" s="3"/>
      <c r="BL16" s="3"/>
    </row>
    <row r="17" spans="1:64" x14ac:dyDescent="0.35">
      <c r="A17" t="str">
        <f>Table1!A10</f>
        <v>Berz undated</v>
      </c>
      <c r="B17">
        <f>ROUND(Table1!C10,1)</f>
        <v>2.5</v>
      </c>
      <c r="C17">
        <f>Table1!E10</f>
        <v>-1.5</v>
      </c>
      <c r="D17">
        <v>1</v>
      </c>
      <c r="E17">
        <v>1995</v>
      </c>
      <c r="F17" s="1">
        <f t="shared" si="7"/>
        <v>2.9</v>
      </c>
      <c r="G17" s="5">
        <f>C17*LOOKUP(F17,graph!A$3:A$203,graph!B$3:B$203)/LOOKUP(B17,graph!A$3:A$203,graph!B$3:B$203)</f>
        <v>-1.8592970388387045</v>
      </c>
      <c r="H17" s="5"/>
      <c r="J17">
        <f t="shared" si="8"/>
        <v>-2.1751902736996627</v>
      </c>
      <c r="K17">
        <f t="shared" si="9"/>
        <v>9.9788535830920511E-2</v>
      </c>
      <c r="L17">
        <f t="shared" si="10"/>
        <v>-2.5391492520528409</v>
      </c>
      <c r="M17">
        <f t="shared" si="9"/>
        <v>0.46219903181215966</v>
      </c>
      <c r="N17">
        <f t="shared" si="11"/>
        <v>-1.4329992958530862</v>
      </c>
      <c r="O17">
        <f t="shared" ref="O17" si="60">$D17*(N17-$G17)^2</f>
        <v>0.18172976567463225</v>
      </c>
      <c r="P17">
        <f t="shared" si="13"/>
        <v>-1.5288320246723281</v>
      </c>
      <c r="Q17">
        <f t="shared" ref="Q17" si="61">$D17*(P17-$G17)^2</f>
        <v>0.10920712558798329</v>
      </c>
      <c r="R17" s="24">
        <f t="shared" si="15"/>
        <v>-2.3564614362701288</v>
      </c>
      <c r="S17">
        <f t="shared" ref="S17" si="62">$D17*(R17-$G17)^2</f>
        <v>0.24717243807335129</v>
      </c>
      <c r="T17">
        <f t="shared" si="17"/>
        <v>-6.6789438361526024E-2</v>
      </c>
      <c r="U17">
        <f t="shared" ref="U17" si="63">$D17*(T17-$G17)^2</f>
        <v>3.2130834977684524</v>
      </c>
      <c r="V17">
        <f t="shared" si="19"/>
        <v>-2.539149252107594</v>
      </c>
      <c r="W17">
        <f t="shared" ref="W17" si="64">$D17*(V17-$G17)^2</f>
        <v>0.46219903188660771</v>
      </c>
      <c r="X17">
        <f t="shared" si="21"/>
        <v>-1.4007988625287731</v>
      </c>
      <c r="Y17">
        <f t="shared" ref="Y17" si="65">$D17*(X17-$G17)^2</f>
        <v>0.21022057767953292</v>
      </c>
      <c r="Z17" s="33">
        <f t="shared" si="23"/>
        <v>-2.0959494672121899</v>
      </c>
      <c r="AA17">
        <f t="shared" si="6"/>
        <v>0.35515576747049299</v>
      </c>
      <c r="AG17">
        <v>0.25</v>
      </c>
      <c r="AH17" s="1">
        <f>F51</f>
        <v>2.1</v>
      </c>
      <c r="AI17" s="1">
        <f>G51</f>
        <v>-4.1976919951780873</v>
      </c>
      <c r="AJ17">
        <f>regressions!AJ17*$AI17/regressions!$AI17</f>
        <v>5.5333212663711144</v>
      </c>
      <c r="AM17">
        <f t="shared" si="39"/>
        <v>5.5333212663711144</v>
      </c>
      <c r="AN17">
        <f t="shared" si="40"/>
        <v>5.5333212663711144</v>
      </c>
      <c r="AO17">
        <f t="shared" si="1"/>
        <v>3.3178143250896386</v>
      </c>
      <c r="AP17">
        <f t="shared" si="4"/>
        <v>1.2271177517166003</v>
      </c>
      <c r="AR17">
        <f t="shared" si="2"/>
        <v>2.3404653935977926</v>
      </c>
      <c r="AS17">
        <f t="shared" si="3"/>
        <v>2.5485821560757729</v>
      </c>
      <c r="BA17">
        <v>1965</v>
      </c>
      <c r="BB17">
        <v>0.1295035169</v>
      </c>
    </row>
    <row r="18" spans="1:64" ht="15" thickBot="1" x14ac:dyDescent="0.4">
      <c r="A18" t="str">
        <f>Table1!A11</f>
        <v>Tol 1995</v>
      </c>
      <c r="B18">
        <f>ROUND(Table1!C11,1)</f>
        <v>2.5</v>
      </c>
      <c r="C18">
        <f>Table1!E11</f>
        <v>-1.9</v>
      </c>
      <c r="D18">
        <v>1</v>
      </c>
      <c r="E18">
        <v>1995</v>
      </c>
      <c r="F18" s="1">
        <f t="shared" si="7"/>
        <v>2.9</v>
      </c>
      <c r="G18" s="5">
        <f>C18*LOOKUP(F18,graph!A$3:A$203,graph!B$3:B$203)/LOOKUP(B18,graph!A$3:A$203,graph!B$3:B$203)</f>
        <v>-2.3551095825290256</v>
      </c>
      <c r="H18" s="5"/>
      <c r="J18">
        <f t="shared" si="8"/>
        <v>-2.1751902736996627</v>
      </c>
      <c r="K18">
        <f t="shared" si="9"/>
        <v>3.2370957689635667E-2</v>
      </c>
      <c r="L18">
        <f t="shared" si="10"/>
        <v>-2.5391492520528409</v>
      </c>
      <c r="M18">
        <f t="shared" si="9"/>
        <v>3.3870599958435166E-2</v>
      </c>
      <c r="N18">
        <f t="shared" si="11"/>
        <v>-1.4329992958530862</v>
      </c>
      <c r="O18">
        <f t="shared" ref="O18" si="66">$D18*(N18-$G18)^2</f>
        <v>0.85028738079358313</v>
      </c>
      <c r="P18">
        <f t="shared" si="13"/>
        <v>-1.5288320246723281</v>
      </c>
      <c r="Q18">
        <f t="shared" ref="Q18" si="67">$D18*(P18-$G18)^2</f>
        <v>0.68273460261762797</v>
      </c>
      <c r="R18" s="24">
        <f t="shared" si="15"/>
        <v>-2.3564614362701288</v>
      </c>
      <c r="S18">
        <f t="shared" ref="S18" si="68">$D18*(R18-$G18)^2</f>
        <v>1.8275085373348482E-6</v>
      </c>
      <c r="T18">
        <f t="shared" si="17"/>
        <v>-6.6789438361526024E-2</v>
      </c>
      <c r="U18">
        <f t="shared" ref="U18" si="69">$D18*(T18-$G18)^2</f>
        <v>5.2364090822027656</v>
      </c>
      <c r="V18">
        <f t="shared" si="19"/>
        <v>-2.539149252107594</v>
      </c>
      <c r="W18">
        <f t="shared" ref="W18" si="70">$D18*(V18-$G18)^2</f>
        <v>3.3870599978588649E-2</v>
      </c>
      <c r="X18">
        <f t="shared" si="21"/>
        <v>-1.4007988625287731</v>
      </c>
      <c r="Y18">
        <f t="shared" ref="Y18" si="71">$D18*(X18-$G18)^2</f>
        <v>0.9107089503074004</v>
      </c>
      <c r="Z18" s="33">
        <f t="shared" si="23"/>
        <v>-2.0959494672121899</v>
      </c>
      <c r="AA18">
        <f t="shared" si="6"/>
        <v>3.8396193700741113E-2</v>
      </c>
      <c r="AG18">
        <v>0.25</v>
      </c>
      <c r="AH18" s="1">
        <f t="shared" ref="AH18:AI18" si="72">F52</f>
        <v>3.9</v>
      </c>
      <c r="AI18" s="1">
        <f t="shared" si="72"/>
        <v>-12.647345181665047</v>
      </c>
      <c r="AJ18">
        <f>regressions!AJ18*$AI18/regressions!$AI18</f>
        <v>9.9690838490771547</v>
      </c>
      <c r="AM18">
        <f t="shared" si="39"/>
        <v>9.9690838490771547</v>
      </c>
      <c r="AN18">
        <f t="shared" si="40"/>
        <v>9.9690838490771547</v>
      </c>
      <c r="AO18">
        <f t="shared" si="1"/>
        <v>6.1616551751664712</v>
      </c>
      <c r="AP18">
        <f t="shared" si="4"/>
        <v>3.6241282767293166</v>
      </c>
      <c r="AR18">
        <f t="shared" si="2"/>
        <v>4.3465785881101864</v>
      </c>
      <c r="AS18">
        <f t="shared" si="3"/>
        <v>7.9031413524003096</v>
      </c>
      <c r="AU18" s="2"/>
      <c r="AV18" s="2"/>
      <c r="AW18" s="2"/>
      <c r="AX18" s="2"/>
      <c r="AY18" s="2"/>
      <c r="AZ18" s="2"/>
      <c r="BA18">
        <v>1966</v>
      </c>
      <c r="BB18">
        <v>0.18500683690000003</v>
      </c>
      <c r="BD18" s="2"/>
      <c r="BE18" s="2"/>
      <c r="BF18" s="2"/>
      <c r="BG18" s="2"/>
      <c r="BH18" s="2"/>
      <c r="BI18" s="2"/>
      <c r="BJ18" s="2"/>
      <c r="BK18" s="2"/>
      <c r="BL18" s="2"/>
    </row>
    <row r="19" spans="1:64" x14ac:dyDescent="0.35">
      <c r="A19" t="str">
        <f>Table1!A12</f>
        <v>Nordhaus and Yang 1996</v>
      </c>
      <c r="B19">
        <f>ROUND(Table1!C12,1)</f>
        <v>2.5</v>
      </c>
      <c r="C19">
        <f>Table1!E12</f>
        <v>-1.435622202473182</v>
      </c>
      <c r="D19">
        <v>1</v>
      </c>
      <c r="E19">
        <v>1996</v>
      </c>
      <c r="F19" s="1">
        <f t="shared" si="7"/>
        <v>2.9</v>
      </c>
      <c r="G19" s="5">
        <f>C19*LOOKUP(F19,graph!A$3:A$203,graph!B$3:B$203)/LOOKUP(B19,graph!A$3:A$203,graph!B$3:B$203)</f>
        <v>-1.7794987399663242</v>
      </c>
      <c r="H19" s="5"/>
      <c r="J19">
        <f t="shared" si="8"/>
        <v>-2.1751902736996627</v>
      </c>
      <c r="K19">
        <f t="shared" si="9"/>
        <v>0.15657178986824172</v>
      </c>
      <c r="L19">
        <f t="shared" si="10"/>
        <v>-2.5391492520528409</v>
      </c>
      <c r="M19">
        <f t="shared" si="9"/>
        <v>0.57706890051330706</v>
      </c>
      <c r="N19">
        <f t="shared" si="11"/>
        <v>-1.4329992958530862</v>
      </c>
      <c r="O19">
        <f t="shared" ref="O19" si="73">$D19*(N19-$G19)^2</f>
        <v>0.120061864770783</v>
      </c>
      <c r="P19">
        <f t="shared" si="13"/>
        <v>-1.5288320246723281</v>
      </c>
      <c r="Q19">
        <f t="shared" ref="Q19" si="74">$D19*(P19-$G19)^2</f>
        <v>6.2833802156281288E-2</v>
      </c>
      <c r="R19" s="24">
        <f t="shared" si="15"/>
        <v>-2.3564614362701288</v>
      </c>
      <c r="S19">
        <f t="shared" ref="S19" si="75">$D19*(R19-$G19)^2</f>
        <v>0.33288595292615625</v>
      </c>
      <c r="T19">
        <f t="shared" si="17"/>
        <v>-6.6789438361526024E-2</v>
      </c>
      <c r="U19">
        <f t="shared" ref="U19" si="76">$D19*(T19-$G19)^2</f>
        <v>2.9333731518035959</v>
      </c>
      <c r="V19">
        <f t="shared" si="19"/>
        <v>-2.539149252107594</v>
      </c>
      <c r="W19">
        <f t="shared" ref="W19" si="77">$D19*(V19-$G19)^2</f>
        <v>0.57706890059649341</v>
      </c>
      <c r="X19">
        <f t="shared" si="21"/>
        <v>-1.4007988625287731</v>
      </c>
      <c r="Y19">
        <f t="shared" ref="Y19" si="78">$D19*(X19-$G19)^2</f>
        <v>0.14341359717121629</v>
      </c>
      <c r="Z19" s="33">
        <f t="shared" si="23"/>
        <v>-2.0959494672121899</v>
      </c>
      <c r="AA19">
        <f t="shared" si="6"/>
        <v>0.43603209655769987</v>
      </c>
      <c r="AG19">
        <v>0.25</v>
      </c>
      <c r="AH19" s="1">
        <f t="shared" ref="AH19:AI19" si="79">F53</f>
        <v>5.9</v>
      </c>
      <c r="AI19" s="1">
        <f t="shared" si="79"/>
        <v>-21.151128024556453</v>
      </c>
      <c r="AJ19">
        <f>regressions!AJ19*$AI19/regressions!$AI19</f>
        <v>17.472670976807503</v>
      </c>
      <c r="AM19">
        <f t="shared" si="39"/>
        <v>17.472670976807503</v>
      </c>
      <c r="AN19">
        <f t="shared" si="40"/>
        <v>17.472670976807503</v>
      </c>
      <c r="AO19">
        <f t="shared" si="1"/>
        <v>9.3214783419185085</v>
      </c>
      <c r="AP19">
        <f t="shared" si="4"/>
        <v>16.610485342767149</v>
      </c>
      <c r="AR19">
        <f t="shared" si="2"/>
        <v>6.575593248679513</v>
      </c>
      <c r="AS19">
        <f t="shared" si="3"/>
        <v>29.686575753215767</v>
      </c>
      <c r="BA19">
        <v>1967</v>
      </c>
      <c r="BB19">
        <v>0.2163751069</v>
      </c>
    </row>
    <row r="20" spans="1:64" x14ac:dyDescent="0.35">
      <c r="A20" t="str">
        <f>Table1!A13</f>
        <v>Plambeck and Hope 1996</v>
      </c>
      <c r="B20">
        <f>ROUND(Table1!C13,1)</f>
        <v>2.5</v>
      </c>
      <c r="C20">
        <f>Table1!E13</f>
        <v>-2.8909238132996098</v>
      </c>
      <c r="D20">
        <v>1</v>
      </c>
      <c r="E20">
        <v>1996</v>
      </c>
      <c r="F20" s="1">
        <f t="shared" si="7"/>
        <v>2.9</v>
      </c>
      <c r="G20" s="5">
        <f>C20*LOOKUP(F20,graph!A$3:A$203,graph!B$3:B$203)/LOOKUP(B20,graph!A$3:A$203,graph!B$3:B$203)</f>
        <v>-3.5833907237175069</v>
      </c>
      <c r="H20" s="5"/>
      <c r="J20">
        <f t="shared" si="8"/>
        <v>-2.1751902736996627</v>
      </c>
      <c r="K20">
        <f t="shared" si="9"/>
        <v>1.983028507430459</v>
      </c>
      <c r="L20">
        <f t="shared" si="10"/>
        <v>-2.5391492520528409</v>
      </c>
      <c r="M20">
        <f t="shared" si="9"/>
        <v>1.0904402511443874</v>
      </c>
      <c r="N20">
        <f t="shared" si="11"/>
        <v>-1.4329992958530862</v>
      </c>
      <c r="O20">
        <f t="shared" ref="O20" si="80">$D20*(N20-$G20)^2</f>
        <v>4.6241832930327824</v>
      </c>
      <c r="P20">
        <f t="shared" si="13"/>
        <v>-1.5288320246723281</v>
      </c>
      <c r="Q20">
        <f t="shared" ref="Q20" si="81">$D20*(P20-$G20)^2</f>
        <v>4.2212114478222169</v>
      </c>
      <c r="R20" s="24">
        <f t="shared" si="15"/>
        <v>-2.3564614362701288</v>
      </c>
      <c r="S20">
        <f t="shared" ref="S20" si="82">$D20*(R20-$G20)^2</f>
        <v>1.5053554763961308</v>
      </c>
      <c r="T20">
        <f t="shared" si="17"/>
        <v>-6.6789438361526024E-2</v>
      </c>
      <c r="U20">
        <f t="shared" ref="U20" si="83">$D20*(T20-$G20)^2</f>
        <v>12.366484600167336</v>
      </c>
      <c r="V20">
        <f t="shared" si="19"/>
        <v>-2.539149252107594</v>
      </c>
      <c r="W20">
        <f t="shared" ref="W20" si="84">$D20*(V20-$G20)^2</f>
        <v>1.0904402510300364</v>
      </c>
      <c r="X20">
        <f t="shared" si="21"/>
        <v>-1.4007988625287731</v>
      </c>
      <c r="Y20">
        <f t="shared" ref="Y20" si="85">$D20*(X20-$G20)^2</f>
        <v>4.7637072325273024</v>
      </c>
      <c r="Z20" s="33">
        <f t="shared" si="23"/>
        <v>-2.0959494672121899</v>
      </c>
      <c r="AA20">
        <f t="shared" si="6"/>
        <v>0.63198421093712087</v>
      </c>
      <c r="AG20">
        <v>0.25</v>
      </c>
      <c r="AH20" s="1">
        <f t="shared" ref="AH20:AI20" si="86">F54</f>
        <v>7.9</v>
      </c>
      <c r="AI20" s="1">
        <f t="shared" si="86"/>
        <v>-30.928363003201166</v>
      </c>
      <c r="AJ20">
        <f>regressions!AJ20*$AI20/regressions!$AI20</f>
        <v>25.608684566650563</v>
      </c>
      <c r="AM20">
        <f t="shared" si="39"/>
        <v>25.608684566650563</v>
      </c>
      <c r="AN20">
        <f t="shared" si="40"/>
        <v>25.608684566650563</v>
      </c>
      <c r="AO20">
        <f t="shared" si="1"/>
        <v>12.481301508670544</v>
      </c>
      <c r="AP20">
        <f t="shared" si="4"/>
        <v>43.082046487735212</v>
      </c>
      <c r="AR20">
        <f t="shared" si="2"/>
        <v>8.8046079092488387</v>
      </c>
      <c r="AS20">
        <f t="shared" si="3"/>
        <v>70.594248076958365</v>
      </c>
      <c r="BA20">
        <v>1968</v>
      </c>
      <c r="BB20">
        <v>0.1652591169</v>
      </c>
    </row>
    <row r="21" spans="1:64" x14ac:dyDescent="0.35">
      <c r="A21" t="str">
        <f>Table1!A14</f>
        <v>Mendelsohn et al. 2000, 2006</v>
      </c>
      <c r="B21">
        <f>ROUND(Table1!C14,1)</f>
        <v>2.5</v>
      </c>
      <c r="C21">
        <f>Table1!E14</f>
        <v>0.03</v>
      </c>
      <c r="D21">
        <f>1/6</f>
        <v>0.16666666666666666</v>
      </c>
      <c r="E21">
        <v>2000</v>
      </c>
      <c r="F21" s="1">
        <f t="shared" si="7"/>
        <v>3</v>
      </c>
      <c r="G21" s="5">
        <f>C21*LOOKUP(F21,graph!A$3:A$203,graph!B$3:B$203)/LOOKUP(B21,graph!A$3:A$203,graph!B$3:B$203)</f>
        <v>3.9087373279356033E-2</v>
      </c>
      <c r="H21" s="5"/>
      <c r="J21">
        <f t="shared" si="8"/>
        <v>-2.2708977996887638</v>
      </c>
      <c r="K21">
        <f t="shared" si="9"/>
        <v>0.88933858322209247</v>
      </c>
      <c r="L21">
        <f t="shared" si="10"/>
        <v>-2.626706122813284</v>
      </c>
      <c r="M21">
        <f t="shared" si="9"/>
        <v>1.18440916063497</v>
      </c>
      <c r="N21">
        <f t="shared" si="11"/>
        <v>-1.5335307565609722</v>
      </c>
      <c r="O21">
        <f t="shared" ref="O21" si="87">$D21*(N21-$G21)^2</f>
        <v>0.41218796371708183</v>
      </c>
      <c r="P21">
        <f t="shared" si="13"/>
        <v>-1.6358721068231816</v>
      </c>
      <c r="Q21">
        <f t="shared" ref="Q21" si="88">$D21*(P21-$G21)^2</f>
        <v>0.46758154333089386</v>
      </c>
      <c r="R21" s="24">
        <f t="shared" si="15"/>
        <v>-2.4271640159539833</v>
      </c>
      <c r="S21">
        <f t="shared" ref="S21" si="89">$D21*(R21-$G21)^2</f>
        <v>1.0137326524825627</v>
      </c>
      <c r="T21">
        <f t="shared" si="17"/>
        <v>-7.4222749633637772E-2</v>
      </c>
      <c r="U21">
        <f t="shared" ref="U21" si="90">$D21*(T21-$G21)^2</f>
        <v>2.1398639924262936E-3</v>
      </c>
      <c r="V21">
        <f t="shared" si="19"/>
        <v>-2.6267061228699249</v>
      </c>
      <c r="W21">
        <f t="shared" ref="W21" si="91">$D21*(V21-$G21)^2</f>
        <v>1.1844091606853011</v>
      </c>
      <c r="X21">
        <f t="shared" si="21"/>
        <v>-1.469461158039586</v>
      </c>
      <c r="Y21">
        <f t="shared" ref="Y21" si="92">$D21*(X21-$G21)^2</f>
        <v>0.37928644522408944</v>
      </c>
      <c r="Z21" s="33">
        <f t="shared" si="23"/>
        <v>-2.1820291794630577</v>
      </c>
      <c r="AA21">
        <f t="shared" si="6"/>
        <v>0.81551218179933449</v>
      </c>
      <c r="AG21">
        <v>1</v>
      </c>
      <c r="AH21" s="1">
        <f>F61</f>
        <v>1.9</v>
      </c>
      <c r="AI21" s="1">
        <f>G61</f>
        <v>-4.7554401947112108</v>
      </c>
      <c r="AJ21">
        <f>regressions!AJ21*$AI21/regressions!$AI21</f>
        <v>2.7292091552255648</v>
      </c>
      <c r="AM21">
        <f t="shared" si="39"/>
        <v>2.7292091552255648</v>
      </c>
      <c r="AN21">
        <f t="shared" si="40"/>
        <v>2.7292091552255648</v>
      </c>
      <c r="AO21">
        <f t="shared" si="1"/>
        <v>3.0018320084144343</v>
      </c>
      <c r="AP21">
        <f t="shared" si="4"/>
        <v>7.4323220080839872E-2</v>
      </c>
      <c r="AR21">
        <f t="shared" si="2"/>
        <v>2.1175639275408598</v>
      </c>
      <c r="AS21">
        <f t="shared" si="3"/>
        <v>0.37410988454947475</v>
      </c>
      <c r="BA21">
        <v>1969</v>
      </c>
      <c r="BB21">
        <v>0.30252470390000002</v>
      </c>
    </row>
    <row r="22" spans="1:64" x14ac:dyDescent="0.35">
      <c r="A22">
        <f>Table1!A15</f>
        <v>0</v>
      </c>
      <c r="B22">
        <f>ROUND(Table1!C15,1)</f>
        <v>2.5</v>
      </c>
      <c r="C22">
        <f>Table1!E15</f>
        <v>0.1</v>
      </c>
      <c r="D22">
        <f t="shared" ref="D22:D26" si="93">1/6</f>
        <v>0.16666666666666666</v>
      </c>
      <c r="E22">
        <v>2000</v>
      </c>
      <c r="F22" s="1">
        <f t="shared" si="7"/>
        <v>3</v>
      </c>
      <c r="G22" s="5">
        <f>C22*LOOKUP(F22,graph!A$3:A$203,graph!B$3:B$203)/LOOKUP(B22,graph!A$3:A$203,graph!B$3:B$203)</f>
        <v>0.1302912442645201</v>
      </c>
      <c r="H22" s="5"/>
      <c r="J22">
        <f t="shared" si="8"/>
        <v>-2.2708977996887638</v>
      </c>
      <c r="K22">
        <f t="shared" si="9"/>
        <v>0.96095147080021448</v>
      </c>
      <c r="L22">
        <f t="shared" si="10"/>
        <v>-2.626706122813284</v>
      </c>
      <c r="M22">
        <f t="shared" si="9"/>
        <v>1.2668390803456571</v>
      </c>
      <c r="N22">
        <f t="shared" si="11"/>
        <v>-1.5335307565609722</v>
      </c>
      <c r="O22">
        <f t="shared" ref="O22" si="94">$D22*(N22-$G22)^2</f>
        <v>0.46138394173849068</v>
      </c>
      <c r="P22">
        <f t="shared" si="13"/>
        <v>-1.6358721068231816</v>
      </c>
      <c r="Q22">
        <f t="shared" ref="Q22" si="95">$D22*(P22-$G22)^2</f>
        <v>0.51988883045422329</v>
      </c>
      <c r="R22" s="24">
        <f t="shared" si="15"/>
        <v>-2.4271640159539833</v>
      </c>
      <c r="S22">
        <f t="shared" ref="S22" si="96">$D22*(R22-$G22)^2</f>
        <v>1.0900962346698824</v>
      </c>
      <c r="T22">
        <f t="shared" si="17"/>
        <v>-7.4222749633637772E-2</v>
      </c>
      <c r="U22">
        <f t="shared" ref="U22" si="97">$D22*(T22-$G22)^2</f>
        <v>6.9709956166959597E-3</v>
      </c>
      <c r="V22">
        <f t="shared" si="19"/>
        <v>-2.6267061228699249</v>
      </c>
      <c r="W22">
        <f t="shared" ref="W22" si="98">$D22*(V22-$G22)^2</f>
        <v>1.2668390803977099</v>
      </c>
      <c r="X22">
        <f t="shared" si="21"/>
        <v>-1.469461158039586</v>
      </c>
      <c r="Y22">
        <f t="shared" ref="Y22" si="99">$D22*(X22-$G22)^2</f>
        <v>0.42653462477962645</v>
      </c>
      <c r="Z22" s="33">
        <f t="shared" si="23"/>
        <v>-2.1820291794630577</v>
      </c>
      <c r="AA22">
        <f t="shared" si="6"/>
        <v>0.86794286265347287</v>
      </c>
      <c r="AG22">
        <v>1</v>
      </c>
      <c r="AH22" s="1">
        <f>F71</f>
        <v>2.9</v>
      </c>
      <c r="AI22" s="1">
        <f>G71</f>
        <v>-6.4703536951586926</v>
      </c>
      <c r="AJ22">
        <f>regressions!AJ22*$AI22/regressions!$AI22</f>
        <v>14.370996101878781</v>
      </c>
      <c r="AM22">
        <f t="shared" si="39"/>
        <v>14.370996101878781</v>
      </c>
      <c r="AN22">
        <f t="shared" si="40"/>
        <v>14.370996101878781</v>
      </c>
      <c r="AO22">
        <f t="shared" si="1"/>
        <v>4.5817435917904525</v>
      </c>
      <c r="AP22">
        <f t="shared" si="4"/>
        <v>95.829464706270642</v>
      </c>
      <c r="AR22">
        <f t="shared" si="2"/>
        <v>3.2320712578255231</v>
      </c>
      <c r="AS22">
        <f t="shared" si="3"/>
        <v>124.07564668146688</v>
      </c>
      <c r="BA22">
        <v>1970</v>
      </c>
      <c r="BB22">
        <v>0.24878484690000002</v>
      </c>
    </row>
    <row r="23" spans="1:64" x14ac:dyDescent="0.35">
      <c r="A23">
        <f>Table1!A16</f>
        <v>0</v>
      </c>
      <c r="B23">
        <f>ROUND(Table1!C16,1)</f>
        <v>4</v>
      </c>
      <c r="C23">
        <f>Table1!E16</f>
        <v>-0.01</v>
      </c>
      <c r="D23">
        <f t="shared" si="93"/>
        <v>0.16666666666666666</v>
      </c>
      <c r="E23">
        <v>2000</v>
      </c>
      <c r="F23" s="1">
        <f t="shared" si="7"/>
        <v>4.5</v>
      </c>
      <c r="G23" s="5">
        <f>C23*LOOKUP(F23,graph!A$3:A$203,graph!B$3:B$203)/LOOKUP(B23,graph!A$3:A$203,graph!B$3:B$203)</f>
        <v>-1.2484893668300249E-2</v>
      </c>
      <c r="H23" s="5"/>
      <c r="J23">
        <f t="shared" si="8"/>
        <v>-3.8721184081416271</v>
      </c>
      <c r="K23">
        <f t="shared" si="9"/>
        <v>2.4827951443409537</v>
      </c>
      <c r="L23">
        <f t="shared" si="10"/>
        <v>-3.9400591842199257</v>
      </c>
      <c r="M23">
        <f t="shared" si="9"/>
        <v>2.5709733013003504</v>
      </c>
      <c r="N23">
        <f t="shared" si="11"/>
        <v>-3.4504442022621871</v>
      </c>
      <c r="O23">
        <f t="shared" ref="O23" si="100">$D23*(N23-$G23)^2</f>
        <v>1.969927367924559</v>
      </c>
      <c r="P23">
        <f t="shared" si="13"/>
        <v>-3.6603039317861192</v>
      </c>
      <c r="Q23">
        <f t="shared" ref="Q23" si="101">$D23*(P23-$G23)^2</f>
        <v>2.2177639558091347</v>
      </c>
      <c r="R23" s="24">
        <f t="shared" si="15"/>
        <v>-3.7753064251800197</v>
      </c>
      <c r="S23">
        <f t="shared" ref="S23" si="102">$D23*(R23-$G23)^2</f>
        <v>2.3598043130013666</v>
      </c>
      <c r="T23">
        <f t="shared" si="17"/>
        <v>-0.34618340978377737</v>
      </c>
      <c r="U23">
        <f t="shared" ref="U23" si="103">$D23*(T23-$G23)^2</f>
        <v>1.8559116609611889E-2</v>
      </c>
      <c r="V23">
        <f t="shared" si="19"/>
        <v>-3.9400591843048876</v>
      </c>
      <c r="W23">
        <f t="shared" ref="W23" si="104">$D23*(V23-$G23)^2</f>
        <v>2.5709733014115814</v>
      </c>
      <c r="X23">
        <f t="shared" si="21"/>
        <v>-2.8398698857149127</v>
      </c>
      <c r="Y23">
        <f t="shared" ref="Y23" si="105">$D23*(X23-$G23)^2</f>
        <v>1.3323509822084036</v>
      </c>
      <c r="Z23" s="33">
        <f t="shared" si="23"/>
        <v>-3.6892564465981952</v>
      </c>
      <c r="AA23">
        <f t="shared" si="6"/>
        <v>2.2561546666390631</v>
      </c>
      <c r="AG23">
        <v>1</v>
      </c>
      <c r="AH23" s="1">
        <f>F72</f>
        <v>1.7</v>
      </c>
      <c r="AI23" s="1">
        <f>G72</f>
        <v>-6.7545322636381711</v>
      </c>
      <c r="AK23">
        <f>regressions!AK23*$AI23/regressions!$AI23</f>
        <v>-13.509064527276342</v>
      </c>
      <c r="AL23">
        <f>regressions!AL23*$AI23/regressions!$AI23</f>
        <v>-21.014100375763199</v>
      </c>
      <c r="AM23">
        <f>(AI23-AK23)/2</f>
        <v>3.3772661318190855</v>
      </c>
      <c r="AN23">
        <f>(AL23-AI23)/2</f>
        <v>-7.1297840560625136</v>
      </c>
      <c r="AO23">
        <f t="shared" si="1"/>
        <v>2.6858496917392309</v>
      </c>
      <c r="AP23">
        <f t="shared" si="4"/>
        <v>0.47805669361269915</v>
      </c>
      <c r="AR23">
        <f t="shared" si="2"/>
        <v>1.8946624614839271</v>
      </c>
      <c r="AS23">
        <f t="shared" si="3"/>
        <v>81.440634948056072</v>
      </c>
      <c r="BA23">
        <v>1971</v>
      </c>
      <c r="BB23">
        <v>0.12795867690000001</v>
      </c>
    </row>
    <row r="24" spans="1:64" x14ac:dyDescent="0.35">
      <c r="A24">
        <f>Table1!A17</f>
        <v>0</v>
      </c>
      <c r="B24">
        <f>ROUND(Table1!C17,1)</f>
        <v>4</v>
      </c>
      <c r="C24">
        <f>Table1!E17</f>
        <v>-0.04</v>
      </c>
      <c r="D24">
        <f t="shared" si="93"/>
        <v>0.16666666666666666</v>
      </c>
      <c r="E24">
        <v>2000</v>
      </c>
      <c r="F24" s="1">
        <f t="shared" si="7"/>
        <v>4.5</v>
      </c>
      <c r="G24" s="5">
        <f>C24*LOOKUP(F24,graph!A$3:A$203,graph!B$3:B$203)/LOOKUP(B24,graph!A$3:A$203,graph!B$3:B$203)</f>
        <v>-4.9939574673200995E-2</v>
      </c>
      <c r="H24" s="5"/>
      <c r="J24">
        <f t="shared" si="8"/>
        <v>-3.8721184081416271</v>
      </c>
      <c r="K24">
        <f t="shared" si="9"/>
        <v>2.4348418391690094</v>
      </c>
      <c r="L24">
        <f t="shared" si="10"/>
        <v>-3.9400591842199257</v>
      </c>
      <c r="M24">
        <f t="shared" si="9"/>
        <v>2.5221717627633264</v>
      </c>
      <c r="N24">
        <f t="shared" si="11"/>
        <v>-3.4504442022621871</v>
      </c>
      <c r="O24">
        <f t="shared" ref="O24" si="106">$D24*(N24-$G24)^2</f>
        <v>1.9272386203756844</v>
      </c>
      <c r="P24">
        <f t="shared" si="13"/>
        <v>-3.6603039317861192</v>
      </c>
      <c r="Q24">
        <f t="shared" ref="Q24" si="107">$D24*(P24-$G24)^2</f>
        <v>2.1724551318518954</v>
      </c>
      <c r="R24" s="24">
        <f t="shared" si="15"/>
        <v>-3.7753064251800197</v>
      </c>
      <c r="S24">
        <f t="shared" ref="S24" si="108">$D24*(R24-$G24)^2</f>
        <v>2.3130596951425151</v>
      </c>
      <c r="T24">
        <f t="shared" si="17"/>
        <v>-0.34618340978377737</v>
      </c>
      <c r="U24">
        <f t="shared" ref="U24" si="109">$D24*(T24-$G24)^2</f>
        <v>1.4626734973503728E-2</v>
      </c>
      <c r="V24">
        <f t="shared" si="19"/>
        <v>-3.9400591843048876</v>
      </c>
      <c r="W24">
        <f t="shared" ref="W24" si="110">$D24*(V24-$G24)^2</f>
        <v>2.522171762873497</v>
      </c>
      <c r="X24">
        <f t="shared" si="21"/>
        <v>-2.8398698857149127</v>
      </c>
      <c r="Y24">
        <f t="shared" ref="Y24" si="111">$D24*(X24-$G24)^2</f>
        <v>1.2972851900782167</v>
      </c>
      <c r="Z24" s="33">
        <f t="shared" si="23"/>
        <v>-3.6892564465981952</v>
      </c>
      <c r="AA24">
        <f t="shared" si="6"/>
        <v>2.2195121021730806</v>
      </c>
      <c r="AG24">
        <v>1</v>
      </c>
      <c r="AH24" s="1">
        <f>F76</f>
        <v>3.7</v>
      </c>
      <c r="AI24" s="1">
        <f>G76</f>
        <v>-0.96007825640586453</v>
      </c>
      <c r="AK24">
        <f>regressions!AK24*$AI24/regressions!$AI24</f>
        <v>-2.4687726593293662</v>
      </c>
      <c r="AL24">
        <f>regressions!AL24*$AI24/regressions!$AI24</f>
        <v>-0.41146210988822762</v>
      </c>
      <c r="AM24">
        <f>(AI24-AK24)/2</f>
        <v>0.75434720146175083</v>
      </c>
      <c r="AN24">
        <f>(AL24-AI24)/2</f>
        <v>0.27430807325881845</v>
      </c>
      <c r="AO24">
        <f t="shared" si="1"/>
        <v>5.8456728584912678</v>
      </c>
      <c r="AP24">
        <f t="shared" si="4"/>
        <v>25.921596945927046</v>
      </c>
      <c r="AR24">
        <f t="shared" si="2"/>
        <v>4.1236771220532535</v>
      </c>
      <c r="AS24">
        <f t="shared" si="3"/>
        <v>14.817642073816574</v>
      </c>
      <c r="BA24">
        <v>1972</v>
      </c>
      <c r="BB24">
        <v>0.24006431690000002</v>
      </c>
    </row>
    <row r="25" spans="1:64" ht="15" thickBot="1" x14ac:dyDescent="0.4">
      <c r="A25">
        <f>Table1!A18</f>
        <v>0</v>
      </c>
      <c r="B25">
        <f>ROUND(Table1!C18,1)</f>
        <v>5.2</v>
      </c>
      <c r="C25">
        <f>Table1!E18</f>
        <v>-0.01</v>
      </c>
      <c r="D25">
        <f t="shared" si="93"/>
        <v>0.16666666666666666</v>
      </c>
      <c r="E25">
        <v>2000</v>
      </c>
      <c r="F25" s="1">
        <f t="shared" si="7"/>
        <v>5.7</v>
      </c>
      <c r="G25" s="5">
        <f>C25*LOOKUP(F25,graph!A$3:A$203,graph!B$3:B$203)/LOOKUP(B25,graph!A$3:A$203,graph!B$3:B$203)</f>
        <v>-1.1635122335053613E-2</v>
      </c>
      <c r="H25" s="5"/>
      <c r="J25">
        <f t="shared" si="8"/>
        <v>-5.3766653150359893</v>
      </c>
      <c r="K25">
        <f t="shared" si="9"/>
        <v>4.797258161432107</v>
      </c>
      <c r="L25">
        <f t="shared" si="10"/>
        <v>-4.9907416333452392</v>
      </c>
      <c r="M25">
        <f t="shared" si="9"/>
        <v>4.1319169413306707</v>
      </c>
      <c r="N25">
        <f t="shared" si="11"/>
        <v>-5.5360460311851094</v>
      </c>
      <c r="O25">
        <f t="shared" ref="O25" si="112">$D25*(N25-$G25)^2</f>
        <v>5.0865193149702499</v>
      </c>
      <c r="P25">
        <f t="shared" si="13"/>
        <v>-5.787503266027751</v>
      </c>
      <c r="Q25">
        <f t="shared" ref="Q25" si="113">$D25*(P25-$G25)^2</f>
        <v>5.5601088022206877</v>
      </c>
      <c r="R25" s="24">
        <f t="shared" si="15"/>
        <v>-5.242085366417947</v>
      </c>
      <c r="S25">
        <f t="shared" ref="S25" si="114">$D25*(R25-$G25)^2</f>
        <v>4.5596016259711334</v>
      </c>
      <c r="T25">
        <f t="shared" si="17"/>
        <v>-1.1583922220778653</v>
      </c>
      <c r="U25">
        <f t="shared" ref="U25" si="115">$D25*(T25-$G25)^2</f>
        <v>0.21917530763509077</v>
      </c>
      <c r="V25">
        <f t="shared" si="19"/>
        <v>-4.9907416334528572</v>
      </c>
      <c r="W25">
        <f t="shared" ref="W25" si="116">$D25*(V25-$G25)^2</f>
        <v>4.1319169415092851</v>
      </c>
      <c r="X25">
        <f t="shared" si="21"/>
        <v>-4.632219691986303</v>
      </c>
      <c r="Y25">
        <f t="shared" ref="Y25" si="117">$D25*(X25-$G25)^2</f>
        <v>3.5583002942165374</v>
      </c>
      <c r="Z25" s="33">
        <f t="shared" si="23"/>
        <v>-5.2078645245458732</v>
      </c>
      <c r="AA25">
        <f t="shared" si="6"/>
        <v>4.5029659359220826</v>
      </c>
      <c r="BA25">
        <v>1973</v>
      </c>
      <c r="BB25">
        <v>0.3838247769</v>
      </c>
    </row>
    <row r="26" spans="1:64" x14ac:dyDescent="0.35">
      <c r="A26">
        <f>Table1!A19</f>
        <v>0</v>
      </c>
      <c r="B26">
        <f>ROUND(Table1!C19,1)</f>
        <v>5.2</v>
      </c>
      <c r="C26">
        <f>Table1!E19</f>
        <v>-0.13</v>
      </c>
      <c r="D26">
        <f t="shared" si="93"/>
        <v>0.16666666666666666</v>
      </c>
      <c r="E26">
        <v>2000</v>
      </c>
      <c r="F26" s="1">
        <f t="shared" si="7"/>
        <v>5.7</v>
      </c>
      <c r="G26" s="5">
        <f>C26*LOOKUP(F26,graph!A$3:A$203,graph!B$3:B$203)/LOOKUP(B26,graph!A$3:A$203,graph!B$3:B$203)</f>
        <v>-0.15125659035569697</v>
      </c>
      <c r="H26" s="5"/>
      <c r="J26">
        <f t="shared" si="8"/>
        <v>-5.3766653150359893</v>
      </c>
      <c r="K26">
        <f t="shared" si="9"/>
        <v>4.5508160566608193</v>
      </c>
      <c r="L26">
        <f t="shared" si="10"/>
        <v>-4.9907416333452392</v>
      </c>
      <c r="M26">
        <f t="shared" si="9"/>
        <v>3.903435913553249</v>
      </c>
      <c r="N26">
        <f t="shared" si="11"/>
        <v>-5.5360460311851094</v>
      </c>
      <c r="O26">
        <f t="shared" ref="O26" si="118">$D26*(N26-$G26)^2</f>
        <v>4.8326595536779893</v>
      </c>
      <c r="P26">
        <f t="shared" si="13"/>
        <v>-5.787503266027751</v>
      </c>
      <c r="Q26">
        <f t="shared" ref="Q26" si="119">$D26*(P26-$G26)^2</f>
        <v>5.2945460981707129</v>
      </c>
      <c r="R26" s="24">
        <f t="shared" si="15"/>
        <v>-5.242085366417947</v>
      </c>
      <c r="S26">
        <f t="shared" ref="S26" si="120">$D26*(R26-$G26)^2</f>
        <v>4.3194229378639113</v>
      </c>
      <c r="T26">
        <f t="shared" si="17"/>
        <v>-1.1583922220778653</v>
      </c>
      <c r="U26">
        <f t="shared" ref="U26" si="121">$D26*(T26-$G26)^2</f>
        <v>0.16905369678073515</v>
      </c>
      <c r="V26">
        <f t="shared" si="19"/>
        <v>-4.9907416334528572</v>
      </c>
      <c r="W26">
        <f t="shared" ref="W26" si="122">$D26*(V26-$G26)^2</f>
        <v>3.9034359137268542</v>
      </c>
      <c r="X26">
        <f t="shared" si="21"/>
        <v>-4.632219691986303</v>
      </c>
      <c r="Y26">
        <f t="shared" ref="Y26" si="123">$D26*(X26-$G26)^2</f>
        <v>3.3465050530291638</v>
      </c>
      <c r="Z26" s="33">
        <f t="shared" si="23"/>
        <v>-5.2078645245458732</v>
      </c>
      <c r="AA26">
        <f t="shared" si="6"/>
        <v>4.2974513549402475</v>
      </c>
      <c r="AN26" s="39"/>
      <c r="AT26" s="4"/>
      <c r="AU26" s="4"/>
      <c r="BA26">
        <v>1974</v>
      </c>
      <c r="BB26">
        <v>0.1613540769</v>
      </c>
    </row>
    <row r="27" spans="1:64" x14ac:dyDescent="0.35">
      <c r="A27" t="str">
        <f>Table1!A20</f>
        <v>Nordhaus and Boyer 2000</v>
      </c>
      <c r="B27">
        <f>ROUND(Table1!C20,1)</f>
        <v>2.5</v>
      </c>
      <c r="C27">
        <f>Table1!E20</f>
        <v>-1.5</v>
      </c>
      <c r="D27">
        <v>1</v>
      </c>
      <c r="E27">
        <v>2000</v>
      </c>
      <c r="F27" s="1">
        <f t="shared" si="7"/>
        <v>3</v>
      </c>
      <c r="G27" s="5">
        <f>C27*LOOKUP(F27,graph!A$3:A$203,graph!B$3:B$203)/LOOKUP(B27,graph!A$3:A$203,graph!B$3:B$203)</f>
        <v>-1.9543686639678013</v>
      </c>
      <c r="H27" s="5"/>
      <c r="J27">
        <f t="shared" si="8"/>
        <v>-2.2708977996887638</v>
      </c>
      <c r="K27">
        <f t="shared" si="9"/>
        <v>0.10019069376025952</v>
      </c>
      <c r="L27">
        <f t="shared" si="10"/>
        <v>-2.626706122813284</v>
      </c>
      <c r="M27">
        <f t="shared" si="9"/>
        <v>0.45203765856680111</v>
      </c>
      <c r="N27">
        <f t="shared" si="11"/>
        <v>-1.5335307565609722</v>
      </c>
      <c r="O27">
        <f t="shared" ref="O27" si="124">$D27*(N27-$G27)^2</f>
        <v>0.17710454431055889</v>
      </c>
      <c r="P27">
        <f t="shared" si="13"/>
        <v>-1.6358721068231816</v>
      </c>
      <c r="Q27">
        <f t="shared" ref="Q27" si="125">$D27*(P27-$G27)^2</f>
        <v>0.10144005691297597</v>
      </c>
      <c r="R27" s="24">
        <f t="shared" si="15"/>
        <v>-2.4271640159539833</v>
      </c>
      <c r="S27">
        <f t="shared" ref="S27" si="126">$D27*(R27-$G27)^2</f>
        <v>0.22353544485973778</v>
      </c>
      <c r="T27">
        <f t="shared" si="17"/>
        <v>-7.4222749633637772E-2</v>
      </c>
      <c r="U27">
        <f t="shared" ref="U27" si="127">$D27*(T27-$G27)^2</f>
        <v>3.5349486591874473</v>
      </c>
      <c r="V27">
        <f t="shared" si="19"/>
        <v>-2.6267061228699249</v>
      </c>
      <c r="W27">
        <f t="shared" ref="W27" si="128">$D27*(V27-$G27)^2</f>
        <v>0.45203765864296475</v>
      </c>
      <c r="X27">
        <f t="shared" si="21"/>
        <v>-1.469461158039586</v>
      </c>
      <c r="Y27">
        <f t="shared" ref="Y27" si="129">$D27*(X27-$G27)^2</f>
        <v>0.23513528930552216</v>
      </c>
      <c r="Z27" s="33">
        <f t="shared" si="23"/>
        <v>-2.1820291794630577</v>
      </c>
      <c r="AA27">
        <f t="shared" si="6"/>
        <v>0.46516380163905185</v>
      </c>
      <c r="AE27" s="21"/>
      <c r="AF27" s="21"/>
      <c r="AG27" s="21"/>
      <c r="AH27" s="21"/>
      <c r="AI27" s="21"/>
      <c r="AJ27" s="21"/>
      <c r="AK27" s="21"/>
      <c r="AL27" s="21"/>
      <c r="AM27" s="21"/>
      <c r="AN27" s="39"/>
      <c r="BA27">
        <v>1975</v>
      </c>
      <c r="BB27">
        <v>0.22313717690000001</v>
      </c>
    </row>
    <row r="28" spans="1:64" x14ac:dyDescent="0.35">
      <c r="A28" t="str">
        <f>Table1!A21</f>
        <v>Tol 2002</v>
      </c>
      <c r="B28">
        <f>ROUND(Table1!C21,1)</f>
        <v>1</v>
      </c>
      <c r="C28">
        <f>Table1!E21</f>
        <v>2.2999999999999998</v>
      </c>
      <c r="D28">
        <v>1</v>
      </c>
      <c r="E28">
        <v>2002</v>
      </c>
      <c r="F28" s="1">
        <f t="shared" si="7"/>
        <v>1.5</v>
      </c>
      <c r="G28" s="5">
        <f>C28*LOOKUP(F28,graph!A$3:A$203,graph!B$3:B$203)/LOOKUP(B28,graph!A$3:A$203,graph!B$3:B$203)</f>
        <v>3.4569909036648365</v>
      </c>
      <c r="H28" s="5"/>
      <c r="J28">
        <f t="shared" si="8"/>
        <v>-0.98019166364155452</v>
      </c>
      <c r="K28">
        <f t="shared" si="9"/>
        <v>19.688589135607735</v>
      </c>
      <c r="L28">
        <f t="shared" si="10"/>
        <v>-1.313353061406642</v>
      </c>
      <c r="M28">
        <f t="shared" si="9"/>
        <v>22.756181545093874</v>
      </c>
      <c r="N28">
        <f t="shared" si="11"/>
        <v>-0.38338268914024304</v>
      </c>
      <c r="O28">
        <f t="shared" ref="O28" si="130">$D28*(N28-$G28)^2</f>
        <v>14.748469332314595</v>
      </c>
      <c r="P28">
        <f t="shared" si="13"/>
        <v>-0.40930117971556224</v>
      </c>
      <c r="Q28">
        <f t="shared" ref="Q28" si="131">$D28*(P28-$G28)^2</f>
        <v>14.948214474009944</v>
      </c>
      <c r="R28" s="24">
        <f t="shared" si="15"/>
        <v>-1.6182785704183618</v>
      </c>
      <c r="S28">
        <f t="shared" ref="S28" si="132">$D28*(R28-$G28)^2</f>
        <v>25.75836023456074</v>
      </c>
      <c r="T28">
        <f t="shared" si="17"/>
        <v>-1.3540123980264409E-2</v>
      </c>
      <c r="U28">
        <f t="shared" ref="U28" si="133">$D28*(T28-$G28)^2</f>
        <v>12.044585613847362</v>
      </c>
      <c r="V28">
        <f t="shared" si="19"/>
        <v>-1.3133530614349624</v>
      </c>
      <c r="W28">
        <f t="shared" ref="W28" si="134">$D28*(V28-$G28)^2</f>
        <v>22.756181545364068</v>
      </c>
      <c r="X28">
        <f t="shared" si="21"/>
        <v>-0.62347674765785666</v>
      </c>
      <c r="Y28">
        <f t="shared" ref="Y28" si="135">$D28*(X28-$G28)^2</f>
        <v>16.650216253490935</v>
      </c>
      <c r="Z28" s="33">
        <f t="shared" si="23"/>
        <v>-1.068198180274702</v>
      </c>
      <c r="AA28">
        <f t="shared" si="6"/>
        <v>11.344758981605812</v>
      </c>
      <c r="AE28" s="21"/>
      <c r="AF28" s="21"/>
      <c r="AG28" s="21"/>
      <c r="AH28" s="21"/>
      <c r="AI28" s="21"/>
      <c r="AJ28" s="21"/>
      <c r="AK28" s="21"/>
      <c r="AL28" s="21"/>
      <c r="AM28" s="21"/>
      <c r="AN28" s="39"/>
      <c r="BA28">
        <v>1976</v>
      </c>
      <c r="BB28">
        <v>0.1180297569</v>
      </c>
    </row>
    <row r="29" spans="1:64" x14ac:dyDescent="0.35">
      <c r="A29" t="str">
        <f>Table1!A22</f>
        <v>Maddison 2003</v>
      </c>
      <c r="B29">
        <f>ROUND(Table1!C22,1)</f>
        <v>2.5</v>
      </c>
      <c r="C29">
        <f>Table1!E22</f>
        <v>3.3000365094043249E-2</v>
      </c>
      <c r="D29">
        <v>1</v>
      </c>
      <c r="E29">
        <v>2003</v>
      </c>
      <c r="F29" s="1">
        <f t="shared" si="7"/>
        <v>3</v>
      </c>
      <c r="G29" s="5">
        <f>C29*LOOKUP(F29,graph!A$3:A$203,graph!B$3:B$203)/LOOKUP(B29,graph!A$3:A$203,graph!B$3:B$203)</f>
        <v>4.299658629286332E-2</v>
      </c>
      <c r="H29" s="5"/>
      <c r="J29">
        <f t="shared" si="8"/>
        <v>-2.2708977996887638</v>
      </c>
      <c r="K29">
        <f t="shared" si="9"/>
        <v>5.3541072294772905</v>
      </c>
      <c r="L29">
        <f t="shared" si="10"/>
        <v>-2.626706122813284</v>
      </c>
      <c r="M29">
        <f t="shared" si="9"/>
        <v>7.1273125550087011</v>
      </c>
      <c r="N29">
        <f t="shared" si="11"/>
        <v>-1.5335307565609722</v>
      </c>
      <c r="O29">
        <f t="shared" ref="O29" si="136">$D29*(N29-$G29)^2</f>
        <v>2.4854384627657753</v>
      </c>
      <c r="P29">
        <f t="shared" si="13"/>
        <v>-1.6358721068231816</v>
      </c>
      <c r="Q29">
        <f t="shared" ref="Q29" si="137">$D29*(P29-$G29)^2</f>
        <v>2.818600088725177</v>
      </c>
      <c r="R29" s="24">
        <f t="shared" si="15"/>
        <v>-2.4271640159539833</v>
      </c>
      <c r="S29">
        <f t="shared" ref="S29" si="138">$D29*(R29-$G29)^2</f>
        <v>6.1016934008925032</v>
      </c>
      <c r="T29">
        <f t="shared" si="17"/>
        <v>-7.4222749633637772E-2</v>
      </c>
      <c r="U29">
        <f t="shared" ref="U29" si="139">$D29*(T29-$G29)^2</f>
        <v>1.3740372715049909E-2</v>
      </c>
      <c r="V29">
        <f t="shared" si="19"/>
        <v>-2.6267061228699249</v>
      </c>
      <c r="W29">
        <f t="shared" ref="W29" si="140">$D29*(V29-$G29)^2</f>
        <v>7.1273125553111303</v>
      </c>
      <c r="X29">
        <f t="shared" si="21"/>
        <v>-1.469461158039586</v>
      </c>
      <c r="Y29">
        <f t="shared" ref="Y29" si="141">$D29*(X29-$G29)^2</f>
        <v>2.2875284283912007</v>
      </c>
      <c r="Z29" s="33">
        <f t="shared" si="23"/>
        <v>-2.1820291794630577</v>
      </c>
      <c r="AA29">
        <f t="shared" si="6"/>
        <v>4.9063558832608392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39"/>
      <c r="BA29">
        <v>1977</v>
      </c>
      <c r="BB29">
        <v>0.43697993690000003</v>
      </c>
    </row>
    <row r="30" spans="1:64" x14ac:dyDescent="0.35">
      <c r="A30" t="str">
        <f>Table1!A23</f>
        <v>Rehdanz and Maddison 2005</v>
      </c>
      <c r="B30">
        <f>ROUND(Table1!C23,1)</f>
        <v>0.6</v>
      </c>
      <c r="C30">
        <f>Table1!E23</f>
        <v>-0.17962065483383896</v>
      </c>
      <c r="D30">
        <v>0.5</v>
      </c>
      <c r="E30">
        <v>2005</v>
      </c>
      <c r="F30" s="1">
        <f t="shared" si="7"/>
        <v>1.2</v>
      </c>
      <c r="G30" s="5">
        <f>C30*LOOKUP(F30,graph!A$3:A$203,graph!B$3:B$203)/LOOKUP(B30,graph!A$3:A$203,graph!B$3:B$203)</f>
        <v>-0.40137189074318003</v>
      </c>
      <c r="H30" s="5"/>
      <c r="J30">
        <f t="shared" si="8"/>
        <v>-0.75931217312079125</v>
      </c>
      <c r="K30">
        <f t="shared" si="9"/>
        <v>6.4060622874282033E-2</v>
      </c>
      <c r="L30">
        <f t="shared" si="10"/>
        <v>-1.0506824491253135</v>
      </c>
      <c r="M30">
        <f t="shared" si="9"/>
        <v>0.21080210061325899</v>
      </c>
      <c r="N30">
        <f t="shared" si="11"/>
        <v>-0.24536492104975552</v>
      </c>
      <c r="O30">
        <f t="shared" ref="O30" si="142">$D30*(N30-$G30)^2</f>
        <v>1.2169087296462537E-2</v>
      </c>
      <c r="P30">
        <f t="shared" si="13"/>
        <v>-0.26195737923332035</v>
      </c>
      <c r="Q30">
        <f t="shared" ref="Q30" si="143">$D30*(P30-$G30)^2</f>
        <v>9.7182030097663977E-3</v>
      </c>
      <c r="R30" s="24">
        <f t="shared" si="15"/>
        <v>-1.5212123169540872</v>
      </c>
      <c r="S30">
        <f t="shared" ref="S30" si="144">$D30*(R30-$G30)^2</f>
        <v>0.62702129008811314</v>
      </c>
      <c r="T30">
        <f t="shared" si="17"/>
        <v>-9.0228248841049165E-3</v>
      </c>
      <c r="U30">
        <f t="shared" ref="U30" si="145">$D30*(T30-$G30)^2</f>
        <v>7.6968894740244417E-2</v>
      </c>
      <c r="V30">
        <f t="shared" si="19"/>
        <v>-1.0506824491479698</v>
      </c>
      <c r="W30">
        <f t="shared" ref="W30" si="146">$D30*(V30-$G30)^2</f>
        <v>0.21080210062796997</v>
      </c>
      <c r="X30">
        <f t="shared" si="21"/>
        <v>-0.48869910590686577</v>
      </c>
      <c r="Y30">
        <f t="shared" ref="Y30" si="147">$D30*(X30-$G30)^2</f>
        <v>3.8130212541223328E-3</v>
      </c>
      <c r="Z30" s="33">
        <f t="shared" si="23"/>
        <v>-0.88963473325979747</v>
      </c>
      <c r="AA30">
        <f t="shared" si="6"/>
        <v>0.2520599957815316</v>
      </c>
      <c r="AE30" s="21"/>
      <c r="AF30" s="21"/>
      <c r="AG30" s="21"/>
      <c r="AH30" s="21"/>
      <c r="AI30" s="21"/>
      <c r="AJ30" s="21"/>
      <c r="AK30" s="21"/>
      <c r="AL30" s="21"/>
      <c r="AM30" s="21"/>
      <c r="AN30" s="39"/>
      <c r="BA30">
        <v>1978</v>
      </c>
      <c r="BB30">
        <v>0.33914718920000003</v>
      </c>
    </row>
    <row r="31" spans="1:64" ht="15" thickBot="1" x14ac:dyDescent="0.4">
      <c r="A31">
        <f>Table1!A24</f>
        <v>0</v>
      </c>
      <c r="B31">
        <f>ROUND(Table1!C24,1)</f>
        <v>1</v>
      </c>
      <c r="C31">
        <f>Table1!E24</f>
        <v>-0.30947656699459297</v>
      </c>
      <c r="D31">
        <v>0.5</v>
      </c>
      <c r="E31">
        <v>2005</v>
      </c>
      <c r="F31" s="1">
        <f t="shared" si="7"/>
        <v>1.6</v>
      </c>
      <c r="G31" s="5">
        <f>C31*LOOKUP(F31,graph!A$3:A$203,graph!B$3:B$203)/LOOKUP(B31,graph!A$3:A$203,graph!B$3:B$203)</f>
        <v>-0.50702719489607606</v>
      </c>
      <c r="H31" s="5"/>
      <c r="J31">
        <f t="shared" si="8"/>
        <v>-1.0565782891254147</v>
      </c>
      <c r="K31">
        <f t="shared" si="9"/>
        <v>0.15100320258433175</v>
      </c>
      <c r="L31">
        <f t="shared" si="10"/>
        <v>-1.4009099321670848</v>
      </c>
      <c r="M31">
        <f t="shared" si="9"/>
        <v>0.39951317399555564</v>
      </c>
      <c r="N31">
        <f t="shared" si="11"/>
        <v>-0.4362043040884544</v>
      </c>
      <c r="O31">
        <f t="shared" ref="O31" si="148">$D31*(N31-$G31)^2</f>
        <v>2.5079409311741505E-3</v>
      </c>
      <c r="P31">
        <f t="shared" si="13"/>
        <v>-0.46568912994788436</v>
      </c>
      <c r="Q31">
        <f t="shared" ref="Q31" si="149">$D31*(P31-$G31)^2</f>
        <v>8.5441780683045759E-4</v>
      </c>
      <c r="R31" s="24">
        <f t="shared" si="15"/>
        <v>-1.6554273834725903</v>
      </c>
      <c r="S31">
        <f t="shared" ref="S31" si="150">$D31*(R31-$G31)^2</f>
        <v>0.65941149656128673</v>
      </c>
      <c r="T31">
        <f t="shared" si="17"/>
        <v>-1.5373155972000091E-2</v>
      </c>
      <c r="U31">
        <f t="shared" ref="U31" si="151">$D31*(T31-$G31)^2</f>
        <v>0.12086184699517842</v>
      </c>
      <c r="V31">
        <f t="shared" si="19"/>
        <v>-1.4009099321972933</v>
      </c>
      <c r="W31">
        <f t="shared" ref="W31" si="152">$D31*(V31-$G31)^2</f>
        <v>0.39951317402255848</v>
      </c>
      <c r="X31">
        <f t="shared" si="21"/>
        <v>-0.67023089732738117</v>
      </c>
      <c r="Y31">
        <f t="shared" ref="Y31" si="153">$D31*(X31-$G31)^2</f>
        <v>1.3317724243642992E-2</v>
      </c>
      <c r="Z31" s="33">
        <f t="shared" si="23"/>
        <v>-1.1309137795909774</v>
      </c>
      <c r="AA31">
        <f t="shared" si="6"/>
        <v>0.33737954711905888</v>
      </c>
      <c r="AE31" s="21"/>
      <c r="AF31" s="21"/>
      <c r="AG31" s="21"/>
      <c r="AH31" s="21"/>
      <c r="AI31" s="21"/>
      <c r="AJ31" s="21"/>
      <c r="AK31" s="21"/>
      <c r="AL31" s="21"/>
      <c r="AM31" s="21"/>
      <c r="AN31" s="39"/>
      <c r="AT31" s="2"/>
      <c r="AU31" s="2"/>
      <c r="BA31">
        <v>1979</v>
      </c>
      <c r="BB31">
        <v>0.4247495469</v>
      </c>
      <c r="BC31">
        <f t="shared" ref="BC31:BC73" si="154">AVERAGE(BB2:BB31)</f>
        <v>0.24319569484333334</v>
      </c>
    </row>
    <row r="32" spans="1:64" x14ac:dyDescent="0.35">
      <c r="A32" t="str">
        <f>Table1!A25</f>
        <v>Hope 2006</v>
      </c>
      <c r="B32">
        <f>ROUND(Table1!C25,1)</f>
        <v>2.5</v>
      </c>
      <c r="C32">
        <f>Table1!E25</f>
        <v>-0.9804776851232514</v>
      </c>
      <c r="D32">
        <v>1</v>
      </c>
      <c r="E32">
        <v>2006</v>
      </c>
      <c r="F32" s="1">
        <f t="shared" si="7"/>
        <v>3.1</v>
      </c>
      <c r="G32" s="5">
        <f>C32*LOOKUP(F32,graph!A$3:A$203,graph!B$3:B$203)/LOOKUP(B32,graph!A$3:A$203,graph!B$3:B$203)</f>
        <v>-1.3410137732593201</v>
      </c>
      <c r="H32" s="5"/>
      <c r="J32">
        <f t="shared" si="8"/>
        <v>-2.3679853899996677</v>
      </c>
      <c r="K32">
        <f t="shared" si="9"/>
        <v>1.0546707015902832</v>
      </c>
      <c r="L32">
        <f t="shared" si="10"/>
        <v>-2.7142629935737266</v>
      </c>
      <c r="M32">
        <f t="shared" si="9"/>
        <v>1.8858134210941251</v>
      </c>
      <c r="N32">
        <f t="shared" si="11"/>
        <v>-1.6374700633945494</v>
      </c>
      <c r="O32">
        <f t="shared" ref="O32" si="155">$D32*(N32-$G32)^2</f>
        <v>8.7886331960743205E-2</v>
      </c>
      <c r="P32">
        <f t="shared" si="13"/>
        <v>-1.7464862036605111</v>
      </c>
      <c r="Q32">
        <f t="shared" ref="Q32" si="156">$D32*(P32-$G32)^2</f>
        <v>0.16440789181544865</v>
      </c>
      <c r="R32" s="24">
        <f t="shared" si="15"/>
        <v>-2.5002632932542399</v>
      </c>
      <c r="S32">
        <f t="shared" ref="S32" si="157">$D32*(R32-$G32)^2</f>
        <v>1.3438594496084519</v>
      </c>
      <c r="T32">
        <f t="shared" si="17"/>
        <v>-8.243782907657958E-2</v>
      </c>
      <c r="U32">
        <f t="shared" ref="U32" si="158">$D32*(T32-$G32)^2</f>
        <v>1.5840134072754772</v>
      </c>
      <c r="V32">
        <f t="shared" si="19"/>
        <v>-2.7142629936322558</v>
      </c>
      <c r="W32">
        <f t="shared" ref="W32" si="159">$D32*(V32-$G32)^2</f>
        <v>1.8858134212548754</v>
      </c>
      <c r="X32">
        <f t="shared" si="21"/>
        <v>-1.5403883219858947</v>
      </c>
      <c r="Y32">
        <f t="shared" ref="Y32" si="160">$D32*(X32-$G32)^2</f>
        <v>3.9750210679925256E-2</v>
      </c>
      <c r="Z32" s="33">
        <f t="shared" si="23"/>
        <v>-2.269852546381848</v>
      </c>
      <c r="AA32">
        <f t="shared" si="6"/>
        <v>1.6624875328456248</v>
      </c>
      <c r="AE32" s="21"/>
      <c r="AF32" s="21"/>
      <c r="AG32" s="21"/>
      <c r="AH32" s="21"/>
      <c r="AI32" s="21"/>
      <c r="AJ32" s="21"/>
      <c r="AK32" s="21"/>
      <c r="AL32" s="21"/>
      <c r="AM32" s="21"/>
      <c r="AN32" s="39"/>
      <c r="BA32">
        <v>1980</v>
      </c>
      <c r="BB32">
        <v>0.52996348690000006</v>
      </c>
      <c r="BC32">
        <f t="shared" si="154"/>
        <v>0.25728549017666663</v>
      </c>
    </row>
    <row r="33" spans="1:55" ht="15" thickBot="1" x14ac:dyDescent="0.4">
      <c r="A33" t="str">
        <f>Table1!A26</f>
        <v>Nordhaus 2006</v>
      </c>
      <c r="B33">
        <f>ROUND(Table1!C26,1)</f>
        <v>3</v>
      </c>
      <c r="C33">
        <f>Table1!E26</f>
        <v>-0.93</v>
      </c>
      <c r="D33">
        <v>0.5</v>
      </c>
      <c r="E33">
        <v>2006</v>
      </c>
      <c r="F33" s="1">
        <f t="shared" si="7"/>
        <v>3.6</v>
      </c>
      <c r="G33" s="5">
        <f>C33*LOOKUP(F33,graph!A$3:A$203,graph!B$3:B$203)/LOOKUP(B33,graph!A$3:A$203,graph!B$3:B$203)</f>
        <v>-1.223023971670363</v>
      </c>
      <c r="H33" s="5"/>
      <c r="J33">
        <f t="shared" si="8"/>
        <v>-2.8741243063812307</v>
      </c>
      <c r="K33">
        <f t="shared" si="9"/>
        <v>1.3630661576411698</v>
      </c>
      <c r="L33">
        <f t="shared" si="10"/>
        <v>-3.1520473473759405</v>
      </c>
      <c r="M33">
        <f t="shared" si="9"/>
        <v>1.8605655920092707</v>
      </c>
      <c r="N33">
        <f t="shared" si="11"/>
        <v>-2.2082842894477999</v>
      </c>
      <c r="O33">
        <f t="shared" ref="O33" si="161">$D33*(N33-$G33)^2</f>
        <v>0.48536894689344789</v>
      </c>
      <c r="P33">
        <f t="shared" si="13"/>
        <v>-2.3527076753366298</v>
      </c>
      <c r="Q33">
        <f t="shared" ref="Q33" si="162">$D33*(P33-$G33)^2</f>
        <v>0.63809263516456682</v>
      </c>
      <c r="R33" s="24">
        <f t="shared" si="15"/>
        <v>-2.901710144001548</v>
      </c>
      <c r="S33">
        <f t="shared" ref="S33" si="163">$D33*(R33-$G33)^2</f>
        <v>1.4089936325879624</v>
      </c>
      <c r="T33">
        <f t="shared" si="17"/>
        <v>-0.13843984862184067</v>
      </c>
      <c r="U33">
        <f t="shared" ref="U33" si="164">$D33*(T33-$G33)^2</f>
        <v>0.58816135998446628</v>
      </c>
      <c r="V33">
        <f t="shared" si="19"/>
        <v>-3.1520473474439101</v>
      </c>
      <c r="W33">
        <f t="shared" ref="W33" si="165">$D33*(V33-$G33)^2</f>
        <v>1.8605655921403859</v>
      </c>
      <c r="X33">
        <f t="shared" si="21"/>
        <v>-1.9329551237269107</v>
      </c>
      <c r="Y33">
        <f t="shared" ref="Y33" si="166">$D33*(X33-$G33)^2</f>
        <v>0.25200112033016853</v>
      </c>
      <c r="Z33" s="33">
        <f t="shared" si="23"/>
        <v>-2.7355270229582138</v>
      </c>
      <c r="AA33">
        <f t="shared" si="6"/>
        <v>1.6299639153161749</v>
      </c>
      <c r="AE33" s="21"/>
      <c r="AF33" s="21"/>
      <c r="AG33" s="21"/>
      <c r="AH33" s="21"/>
      <c r="AI33" s="21"/>
      <c r="AJ33" s="21"/>
      <c r="AK33" s="21"/>
      <c r="AL33" s="21"/>
      <c r="AM33" s="21"/>
      <c r="AN33" s="39"/>
      <c r="BA33">
        <v>1981</v>
      </c>
      <c r="BB33">
        <v>0.58390345690000001</v>
      </c>
      <c r="BC33">
        <f t="shared" si="154"/>
        <v>0.26765769051000005</v>
      </c>
    </row>
    <row r="34" spans="1:55" x14ac:dyDescent="0.35">
      <c r="A34">
        <f>Table1!A27</f>
        <v>0</v>
      </c>
      <c r="B34">
        <f>ROUND(Table1!C27,1)</f>
        <v>3</v>
      </c>
      <c r="C34">
        <f>Table1!E27</f>
        <v>-1.05</v>
      </c>
      <c r="D34">
        <v>0.5</v>
      </c>
      <c r="E34">
        <v>2006</v>
      </c>
      <c r="F34" s="1">
        <f t="shared" si="7"/>
        <v>3.6</v>
      </c>
      <c r="G34" s="5">
        <f>C34*LOOKUP(F34,graph!A$3:A$203,graph!B$3:B$203)/LOOKUP(B34,graph!A$3:A$203,graph!B$3:B$203)</f>
        <v>-1.3808335164020229</v>
      </c>
      <c r="H34" s="5"/>
      <c r="J34">
        <f t="shared" si="8"/>
        <v>-2.8741243063812307</v>
      </c>
      <c r="K34">
        <f t="shared" si="9"/>
        <v>1.1149586917183634</v>
      </c>
      <c r="L34">
        <f t="shared" si="10"/>
        <v>-3.1520473473759405</v>
      </c>
      <c r="M34">
        <f t="shared" si="9"/>
        <v>1.5685992175166508</v>
      </c>
      <c r="N34">
        <f t="shared" si="11"/>
        <v>-2.2082842894477999</v>
      </c>
      <c r="O34">
        <f t="shared" ref="O34" si="167">$D34*(N34-$G34)^2</f>
        <v>0.34233739090702697</v>
      </c>
      <c r="P34">
        <f t="shared" si="13"/>
        <v>-2.3527076753366298</v>
      </c>
      <c r="Q34">
        <f t="shared" ref="Q34" si="168">$D34*(P34-$G34)^2</f>
        <v>0.47226969040242484</v>
      </c>
      <c r="R34" s="24">
        <f t="shared" si="15"/>
        <v>-2.901710144001548</v>
      </c>
      <c r="S34">
        <f t="shared" ref="S34" si="169">$D34*(R34-$G34)^2</f>
        <v>1.1565328581892522</v>
      </c>
      <c r="T34">
        <f t="shared" si="17"/>
        <v>-0.13843984862184067</v>
      </c>
      <c r="U34">
        <f t="shared" ref="U34" si="170">$D34*(T34-$G34)^2</f>
        <v>0.77177101287014682</v>
      </c>
      <c r="V34">
        <f t="shared" si="19"/>
        <v>-3.1520473474439101</v>
      </c>
      <c r="W34">
        <f t="shared" ref="W34" si="171">$D34*(V34-$G34)^2</f>
        <v>1.5685992176370396</v>
      </c>
      <c r="X34">
        <f t="shared" si="21"/>
        <v>-1.9329551237269107</v>
      </c>
      <c r="Y34">
        <f t="shared" ref="Y34" si="172">$D34*(X34-$G34)^2</f>
        <v>0.15241913463750881</v>
      </c>
      <c r="Z34" s="33">
        <f t="shared" si="23"/>
        <v>-2.7355270229582138</v>
      </c>
      <c r="AA34">
        <f t="shared" si="6"/>
        <v>1.4205006725611895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39"/>
      <c r="AT34" s="3"/>
      <c r="AU34" s="3"/>
      <c r="AV34" s="3"/>
      <c r="AW34" s="3"/>
      <c r="AX34" s="3"/>
      <c r="AY34" s="3"/>
      <c r="BA34">
        <v>1982</v>
      </c>
      <c r="BB34">
        <v>0.3681547449</v>
      </c>
      <c r="BC34">
        <f t="shared" si="154"/>
        <v>0.26828798261000003</v>
      </c>
    </row>
    <row r="35" spans="1:55" x14ac:dyDescent="0.35">
      <c r="A35" t="str">
        <f>Table1!A28</f>
        <v>Nordhaus 2008</v>
      </c>
      <c r="B35">
        <f>ROUND(Table1!C28,1)</f>
        <v>3</v>
      </c>
      <c r="C35">
        <f>Table1!E28</f>
        <v>-2.5</v>
      </c>
      <c r="D35">
        <v>1</v>
      </c>
      <c r="E35">
        <v>2008</v>
      </c>
      <c r="F35" s="1">
        <f t="shared" si="7"/>
        <v>3.7</v>
      </c>
      <c r="G35" s="5">
        <f>C35*LOOKUP(F35,graph!A$3:A$203,graph!B$3:B$203)/LOOKUP(B35,graph!A$3:A$203,graph!B$3:B$203)</f>
        <v>-3.4288509157352305</v>
      </c>
      <c r="H35" s="5"/>
      <c r="J35">
        <f t="shared" si="8"/>
        <v>-2.9794922826229522</v>
      </c>
      <c r="K35">
        <f t="shared" si="9"/>
        <v>0.20192318115253513</v>
      </c>
      <c r="L35">
        <f t="shared" si="10"/>
        <v>-3.2396042181363836</v>
      </c>
      <c r="M35">
        <f t="shared" si="9"/>
        <v>3.5814312552069419E-2</v>
      </c>
      <c r="N35">
        <f t="shared" si="11"/>
        <v>-2.3326706730355236</v>
      </c>
      <c r="O35">
        <f t="shared" ref="O35" si="173">$D35*(N35-$G35)^2</f>
        <v>1.2016111244851884</v>
      </c>
      <c r="P35">
        <f t="shared" si="13"/>
        <v>-2.484464564596752</v>
      </c>
      <c r="Q35">
        <f t="shared" ref="Q35" si="174">$D35*(P35-$G35)^2</f>
        <v>0.89186558021664952</v>
      </c>
      <c r="R35" s="24">
        <f t="shared" si="15"/>
        <v>-2.989189607000216</v>
      </c>
      <c r="S35">
        <f t="shared" ref="S35" si="175">$D35*(R35-$G35)^2</f>
        <v>0.19330206639858577</v>
      </c>
      <c r="T35">
        <f t="shared" si="17"/>
        <v>-0.15340869932152654</v>
      </c>
      <c r="U35">
        <f t="shared" ref="U35" si="176">$D35*(T35-$G35)^2</f>
        <v>10.728521713065117</v>
      </c>
      <c r="V35">
        <f t="shared" si="19"/>
        <v>-3.239604218206241</v>
      </c>
      <c r="W35">
        <f t="shared" ref="W35" si="177">$D35*(V35-$G35)^2</f>
        <v>3.5814312525628833E-2</v>
      </c>
      <c r="X35">
        <f t="shared" si="21"/>
        <v>-2.0199015036337267</v>
      </c>
      <c r="Y35">
        <f t="shared" ref="Y35" si="178">$D35*(X35-$G35)^2</f>
        <v>1.9851384458611732</v>
      </c>
      <c r="Z35" s="33">
        <f t="shared" si="23"/>
        <v>-2.8340577901461756</v>
      </c>
      <c r="AA35">
        <f t="shared" si="6"/>
        <v>0.11159460715734633</v>
      </c>
      <c r="BA35">
        <v>1983</v>
      </c>
      <c r="BB35">
        <v>0.55773002690000006</v>
      </c>
      <c r="BC35">
        <f t="shared" si="154"/>
        <v>0.27316157827666671</v>
      </c>
    </row>
    <row r="36" spans="1:55" x14ac:dyDescent="0.35">
      <c r="A36" t="str">
        <f>Table1!A29</f>
        <v>Maddison and Rehdanz 2011</v>
      </c>
      <c r="B36">
        <f>ROUND(Table1!C29,1)</f>
        <v>3.2</v>
      </c>
      <c r="C36">
        <f>Table1!E29</f>
        <v>-5.1135252093739076</v>
      </c>
      <c r="D36">
        <v>1</v>
      </c>
      <c r="E36">
        <v>2011</v>
      </c>
      <c r="F36" s="1">
        <f t="shared" si="7"/>
        <v>3.9</v>
      </c>
      <c r="G36" s="5">
        <f>C36*LOOKUP(F36,graph!A$3:A$203,graph!B$3:B$203)/LOOKUP(B36,graph!A$3:A$203,graph!B$3:B$203)</f>
        <v>-6.9132503231571176</v>
      </c>
      <c r="H36" s="5"/>
      <c r="J36">
        <f t="shared" si="8"/>
        <v>-3.1943684280718028</v>
      </c>
      <c r="K36">
        <f t="shared" si="9"/>
        <v>13.830082549593342</v>
      </c>
      <c r="L36">
        <f t="shared" si="10"/>
        <v>-3.4147179596572688</v>
      </c>
      <c r="M36">
        <f t="shared" si="9"/>
        <v>12.239728698455838</v>
      </c>
      <c r="N36">
        <f t="shared" si="11"/>
        <v>-2.5916669785880426</v>
      </c>
      <c r="O36">
        <f t="shared" ref="O36" si="179">$D36*(N36-$G36)^2</f>
        <v>18.676082604056834</v>
      </c>
      <c r="P36">
        <f t="shared" si="13"/>
        <v>-2.7583169407141357</v>
      </c>
      <c r="Q36">
        <f t="shared" ref="Q36" si="180">$D36*(P36-$G36)^2</f>
        <v>17.263471412539079</v>
      </c>
      <c r="R36" s="24">
        <f t="shared" si="15"/>
        <v>-3.1713386258467553</v>
      </c>
      <c r="S36">
        <f t="shared" ref="S36" si="181">$D36*(R36-$G36)^2</f>
        <v>14.001903150468117</v>
      </c>
      <c r="T36">
        <f t="shared" si="17"/>
        <v>-0.18823483332291965</v>
      </c>
      <c r="U36">
        <f t="shared" ref="U36" si="182">$D36*(T36-$G36)^2</f>
        <v>45.225833338509901</v>
      </c>
      <c r="V36">
        <f t="shared" si="19"/>
        <v>-3.4147179597309023</v>
      </c>
      <c r="W36">
        <f t="shared" ref="W36" si="183">$D36*(V36-$G36)^2</f>
        <v>12.23972869794062</v>
      </c>
      <c r="X36">
        <f t="shared" si="21"/>
        <v>-2.2032728445104426</v>
      </c>
      <c r="Y36">
        <f t="shared" ref="Y36" si="184">$D36*(X36-$G36)^2</f>
        <v>22.183887849358886</v>
      </c>
      <c r="Z36" s="33">
        <f t="shared" si="23"/>
        <v>-3.0366165954210835</v>
      </c>
      <c r="AA36">
        <f t="shared" si="6"/>
        <v>4.3135493907114411</v>
      </c>
      <c r="BA36">
        <v>1984</v>
      </c>
      <c r="BB36">
        <v>0.38189612690000002</v>
      </c>
      <c r="BC36">
        <f t="shared" si="154"/>
        <v>0.27865340894333335</v>
      </c>
    </row>
    <row r="37" spans="1:55" ht="15" thickBot="1" x14ac:dyDescent="0.4">
      <c r="A37" t="str">
        <f>Table1!A30</f>
        <v>Bosello et al.  2012</v>
      </c>
      <c r="B37">
        <f>ROUND(Table1!C30,1)</f>
        <v>1.9</v>
      </c>
      <c r="C37">
        <f>Table1!E30</f>
        <v>-0.5</v>
      </c>
      <c r="D37">
        <v>1</v>
      </c>
      <c r="E37">
        <v>2012</v>
      </c>
      <c r="F37" s="1">
        <f t="shared" si="7"/>
        <v>2.6</v>
      </c>
      <c r="G37" s="5">
        <f>C37*LOOKUP(F37,graph!A$3:A$203,graph!B$3:B$203)/LOOKUP(B37,graph!A$3:A$203,graph!B$3:B$203)</f>
        <v>-0.77607761870695491</v>
      </c>
      <c r="H37" s="5"/>
      <c r="J37">
        <f t="shared" si="8"/>
        <v>-1.8963480816631773</v>
      </c>
      <c r="K37">
        <f t="shared" si="9"/>
        <v>1.2550059101721487</v>
      </c>
      <c r="L37">
        <f t="shared" si="10"/>
        <v>-2.2764786397715127</v>
      </c>
      <c r="M37">
        <f t="shared" si="9"/>
        <v>2.2512032240115674</v>
      </c>
      <c r="N37">
        <f t="shared" si="11"/>
        <v>-1.1518519904835747</v>
      </c>
      <c r="O37">
        <f t="shared" ref="O37" si="185">$D37*(N37-$G37)^2</f>
        <v>0.14120637848411324</v>
      </c>
      <c r="P37">
        <f t="shared" si="13"/>
        <v>-1.229249751640173</v>
      </c>
      <c r="Q37">
        <f t="shared" ref="Q37" si="186">$D37*(P37-$G37)^2</f>
        <v>0.20536498206724232</v>
      </c>
      <c r="R37" s="24">
        <f t="shared" si="15"/>
        <v>-2.1587338829169771</v>
      </c>
      <c r="S37">
        <f t="shared" ref="S37" si="187">$D37*(R37-$G37)^2</f>
        <v>1.9117383449592147</v>
      </c>
      <c r="T37">
        <f t="shared" si="17"/>
        <v>-4.8470887216552551E-2</v>
      </c>
      <c r="U37">
        <f t="shared" ref="U37" si="188">$D37*(T37-$G37)^2</f>
        <v>0.52941155571014642</v>
      </c>
      <c r="V37">
        <f t="shared" si="19"/>
        <v>-2.2764786398206018</v>
      </c>
      <c r="W37">
        <f t="shared" ref="W37" si="189">$D37*(V37-$G37)^2</f>
        <v>2.2512032241588744</v>
      </c>
      <c r="X37">
        <f t="shared" si="21"/>
        <v>-1.2073593808457828</v>
      </c>
      <c r="Y37">
        <f t="shared" ref="Y37" si="190">$D37*(X37-$G37)^2</f>
        <v>0.18600395835357247</v>
      </c>
      <c r="Z37" s="33">
        <f t="shared" si="23"/>
        <v>-1.8480636563580235</v>
      </c>
      <c r="AA37">
        <f t="shared" si="6"/>
        <v>1.8172756215933632</v>
      </c>
      <c r="AT37" s="2"/>
      <c r="AU37" s="2"/>
      <c r="AV37" s="2"/>
      <c r="AW37" s="2"/>
      <c r="AX37" s="2"/>
      <c r="AY37" s="2"/>
      <c r="BA37">
        <v>1985</v>
      </c>
      <c r="BB37">
        <v>0.38362119690000002</v>
      </c>
      <c r="BC37">
        <f t="shared" si="154"/>
        <v>0.28688806594333338</v>
      </c>
    </row>
    <row r="38" spans="1:55" ht="15" thickBot="1" x14ac:dyDescent="0.4">
      <c r="A38" t="str">
        <f>Table1!A31</f>
        <v>Roson and van der Mensbrugghe 2012</v>
      </c>
      <c r="B38">
        <f>ROUND(Table1!C31,1)</f>
        <v>2.9</v>
      </c>
      <c r="C38">
        <f>Table1!E31</f>
        <v>-1.8</v>
      </c>
      <c r="D38">
        <v>0.5</v>
      </c>
      <c r="E38">
        <v>2012</v>
      </c>
      <c r="F38" s="1">
        <f t="shared" si="7"/>
        <v>3.6</v>
      </c>
      <c r="G38" s="5">
        <f>C38*LOOKUP(F38,graph!A$3:A$203,graph!B$3:B$203)/LOOKUP(B38,graph!A$3:A$203,graph!B$3:B$203)</f>
        <v>-2.4881825441771417</v>
      </c>
      <c r="H38" s="5"/>
      <c r="J38">
        <f t="shared" si="8"/>
        <v>-2.8741243063812307</v>
      </c>
      <c r="K38">
        <f t="shared" si="9"/>
        <v>7.4475521906598813E-2</v>
      </c>
      <c r="L38">
        <f t="shared" si="10"/>
        <v>-3.1520473473759405</v>
      </c>
      <c r="M38">
        <f t="shared" si="9"/>
        <v>0.22035823846308994</v>
      </c>
      <c r="N38">
        <f t="shared" si="11"/>
        <v>-2.2082842894477999</v>
      </c>
      <c r="O38">
        <f t="shared" ref="O38" si="191">$D38*(N38-$G38)^2</f>
        <v>3.9171516500265763E-2</v>
      </c>
      <c r="P38">
        <f t="shared" si="13"/>
        <v>-2.3527076753366298</v>
      </c>
      <c r="Q38">
        <f t="shared" ref="Q38" si="192">$D38*(P38-$G38)^2</f>
        <v>9.1767200436769451E-3</v>
      </c>
      <c r="R38" s="24">
        <f t="shared" si="15"/>
        <v>-2.901710144001548</v>
      </c>
      <c r="S38">
        <f t="shared" ref="S38" si="193">$D38*(R38-$G38)^2</f>
        <v>8.5502537908267173E-2</v>
      </c>
      <c r="T38">
        <f t="shared" si="17"/>
        <v>-0.13843984862184067</v>
      </c>
      <c r="U38">
        <f t="shared" ref="U38" si="194">$D38*(T38-$G38)^2</f>
        <v>2.7606453676577458</v>
      </c>
      <c r="V38">
        <f t="shared" si="19"/>
        <v>-3.1520473474439101</v>
      </c>
      <c r="W38">
        <f t="shared" ref="W38" si="195">$D38*(V38-$G38)^2</f>
        <v>0.22035823850821259</v>
      </c>
      <c r="X38">
        <f t="shared" si="21"/>
        <v>-1.9329551237269107</v>
      </c>
      <c r="Y38">
        <f t="shared" ref="Y38" si="196">$D38*(X38-$G38)^2</f>
        <v>0.15413874420990878</v>
      </c>
      <c r="Z38" s="33">
        <f t="shared" si="23"/>
        <v>-2.7355270229582138</v>
      </c>
      <c r="AA38">
        <f t="shared" si="6"/>
        <v>0.43760540534252912</v>
      </c>
      <c r="BA38">
        <v>1986</v>
      </c>
      <c r="BB38">
        <v>0.4295783869</v>
      </c>
      <c r="BC38">
        <f t="shared" si="154"/>
        <v>0.29884981827666668</v>
      </c>
    </row>
    <row r="39" spans="1:55" x14ac:dyDescent="0.35">
      <c r="A39">
        <f>Table1!A32</f>
        <v>0</v>
      </c>
      <c r="B39">
        <f>ROUND(Table1!C32,1)</f>
        <v>5.4</v>
      </c>
      <c r="C39">
        <f>Table1!E32</f>
        <v>-4.5999999999999996</v>
      </c>
      <c r="D39">
        <v>0.5</v>
      </c>
      <c r="E39">
        <v>2012</v>
      </c>
      <c r="F39" s="1">
        <f t="shared" si="7"/>
        <v>6.1</v>
      </c>
      <c r="G39" s="5">
        <f>C39*LOOKUP(F39,graph!A$3:A$203,graph!B$3:B$203)/LOOKUP(B39,graph!A$3:A$203,graph!B$3:B$203)</f>
        <v>-5.6381969020358174</v>
      </c>
      <c r="H39" s="5"/>
      <c r="J39">
        <f t="shared" si="8"/>
        <v>-5.9223430089651359</v>
      </c>
      <c r="K39">
        <f t="shared" si="9"/>
        <v>4.0369505041543859E-2</v>
      </c>
      <c r="L39">
        <f t="shared" si="10"/>
        <v>-5.3409691163870106</v>
      </c>
      <c r="M39">
        <f t="shared" si="9"/>
        <v>4.4172178280846526E-2</v>
      </c>
      <c r="N39">
        <f t="shared" si="11"/>
        <v>-6.3402977168481955</v>
      </c>
      <c r="O39">
        <f t="shared" ref="O39" si="197">$D39*(N39-$G39)^2</f>
        <v>0.24647277708010268</v>
      </c>
      <c r="P39">
        <f t="shared" si="13"/>
        <v>-6.5714345327998709</v>
      </c>
      <c r="Q39">
        <f t="shared" ref="Q39" si="198">$D39*(P39-$G39)^2</f>
        <v>0.43546623773705195</v>
      </c>
      <c r="R39" s="24">
        <f t="shared" si="15"/>
        <v>-5.8077060038887813</v>
      </c>
      <c r="S39">
        <f t="shared" ref="S39" si="199">$D39*(R39-$G39)^2</f>
        <v>1.4366667805499257E-2</v>
      </c>
      <c r="T39">
        <f t="shared" si="17"/>
        <v>-1.73003080941871</v>
      </c>
      <c r="U39">
        <f t="shared" ref="U39" si="200">$D39*(T39-$G39)^2</f>
        <v>7.6368811037410342</v>
      </c>
      <c r="V39">
        <f t="shared" si="19"/>
        <v>-5.3409691165021806</v>
      </c>
      <c r="W39">
        <f t="shared" ref="W39" si="201">$D39*(V39-$G39)^2</f>
        <v>4.417217824661477E-2</v>
      </c>
      <c r="X39">
        <f t="shared" si="21"/>
        <v>-5.4366488407265754</v>
      </c>
      <c r="Y39">
        <f t="shared" ref="Y39" si="202">$D39*(X39-$G39)^2</f>
        <v>2.031081050875698E-2</v>
      </c>
      <c r="Z39" s="33">
        <f t="shared" si="23"/>
        <v>-5.7812983330878041</v>
      </c>
      <c r="AA39">
        <f t="shared" si="6"/>
        <v>0.69773287587801269</v>
      </c>
      <c r="AT39" s="3"/>
      <c r="AU39" s="3"/>
      <c r="AV39" s="3"/>
      <c r="AW39" s="3"/>
      <c r="AX39" s="3"/>
      <c r="AY39" s="3"/>
      <c r="AZ39" s="3"/>
      <c r="BA39">
        <v>1987</v>
      </c>
      <c r="BB39">
        <v>0.57691781689999999</v>
      </c>
      <c r="BC39">
        <f t="shared" si="154"/>
        <v>0.30812852914333339</v>
      </c>
    </row>
    <row r="40" spans="1:55" x14ac:dyDescent="0.35">
      <c r="A40" t="str">
        <f>Table1!A33</f>
        <v>Nordhaus 2013</v>
      </c>
      <c r="B40">
        <f>ROUND(Table1!C33,1)</f>
        <v>2.9</v>
      </c>
      <c r="C40">
        <f>Table1!E33</f>
        <v>-2</v>
      </c>
      <c r="D40">
        <v>1</v>
      </c>
      <c r="E40">
        <v>2013</v>
      </c>
      <c r="F40" s="1">
        <f t="shared" si="7"/>
        <v>3.6</v>
      </c>
      <c r="G40" s="5">
        <f>C40*LOOKUP(F40,graph!A$3:A$203,graph!B$3:B$203)/LOOKUP(B40,graph!A$3:A$203,graph!B$3:B$203)</f>
        <v>-2.7646472713079349</v>
      </c>
      <c r="H40" s="5"/>
      <c r="J40">
        <f t="shared" si="8"/>
        <v>-2.8741243063812307</v>
      </c>
      <c r="K40">
        <f t="shared" si="9"/>
        <v>1.1985221208439653E-2</v>
      </c>
      <c r="L40">
        <f t="shared" si="10"/>
        <v>-3.1520473473759405</v>
      </c>
      <c r="M40">
        <f t="shared" si="9"/>
        <v>0.15007881893749656</v>
      </c>
      <c r="N40">
        <f t="shared" si="11"/>
        <v>-2.2082842894477999</v>
      </c>
      <c r="O40">
        <f t="shared" ref="O40" si="203">$D40*(N40-$G40)^2</f>
        <v>0.30953976758430091</v>
      </c>
      <c r="P40">
        <f t="shared" si="13"/>
        <v>-2.3527076753366298</v>
      </c>
      <c r="Q40">
        <f t="shared" ref="Q40" si="204">$D40*(P40-$G40)^2</f>
        <v>0.16969423072900203</v>
      </c>
      <c r="R40" s="24">
        <f t="shared" si="15"/>
        <v>-2.901710144001548</v>
      </c>
      <c r="S40">
        <f t="shared" ref="S40" si="205">$D40*(R40-$G40)^2</f>
        <v>1.8786231071025609E-2</v>
      </c>
      <c r="T40">
        <f t="shared" si="17"/>
        <v>-0.13843984862184067</v>
      </c>
      <c r="U40">
        <f t="shared" ref="U40" si="206">$D40*(T40-$G40)^2</f>
        <v>6.896965426971537</v>
      </c>
      <c r="V40">
        <f t="shared" si="19"/>
        <v>-3.1520473474439101</v>
      </c>
      <c r="W40">
        <f t="shared" ref="W40" si="207">$D40*(V40-$G40)^2</f>
        <v>0.15007881899015943</v>
      </c>
      <c r="X40">
        <f t="shared" si="21"/>
        <v>-1.9329551237269107</v>
      </c>
      <c r="Y40">
        <f t="shared" ref="Y40" si="208">$D40*(X40-$G40)^2</f>
        <v>0.6917118283479361</v>
      </c>
      <c r="Z40" s="33">
        <f t="shared" si="23"/>
        <v>-2.7355270229582138</v>
      </c>
      <c r="AA40">
        <f t="shared" si="6"/>
        <v>0.54100000150177274</v>
      </c>
      <c r="BA40">
        <v>1988</v>
      </c>
      <c r="BB40">
        <v>0.61604314690000006</v>
      </c>
      <c r="BC40">
        <f t="shared" si="154"/>
        <v>0.31812133857666669</v>
      </c>
    </row>
    <row r="41" spans="1:55" ht="15" thickBot="1" x14ac:dyDescent="0.4">
      <c r="A41" t="str">
        <f>Table1!A34</f>
        <v>Sartori and Roson 2016</v>
      </c>
      <c r="B41">
        <f>ROUND(Table1!C34,1)</f>
        <v>3</v>
      </c>
      <c r="C41">
        <f>Table1!E34</f>
        <v>-0.71756668095998166</v>
      </c>
      <c r="D41">
        <v>1</v>
      </c>
      <c r="E41">
        <v>2016</v>
      </c>
      <c r="F41" s="1">
        <f t="shared" si="7"/>
        <v>3.8</v>
      </c>
      <c r="G41" s="5">
        <f>C41*LOOKUP(F41,graph!A$3:A$203,graph!B$3:B$203)/LOOKUP(B41,graph!A$3:A$203,graph!B$3:B$203)</f>
        <v>-1.0255118476319329</v>
      </c>
      <c r="H41" s="5"/>
      <c r="J41">
        <f t="shared" si="8"/>
        <v>-3.0862403231864759</v>
      </c>
      <c r="K41">
        <f t="shared" si="9"/>
        <v>4.2466018499613503</v>
      </c>
      <c r="L41">
        <f t="shared" si="10"/>
        <v>-3.3271610888968262</v>
      </c>
      <c r="M41">
        <f t="shared" si="9"/>
        <v>5.2975892298152587</v>
      </c>
      <c r="N41">
        <f t="shared" si="11"/>
        <v>-2.4604649027489374</v>
      </c>
      <c r="O41">
        <f t="shared" ref="O41" si="209">$D41*(N41-$G41)^2</f>
        <v>2.0590902703896248</v>
      </c>
      <c r="P41">
        <f t="shared" si="13"/>
        <v>-2.6196763692999561</v>
      </c>
      <c r="Q41">
        <f t="shared" ref="Q41" si="210">$D41*(P41-$G41)^2</f>
        <v>2.541360522145037</v>
      </c>
      <c r="R41" s="24">
        <f t="shared" si="15"/>
        <v>-3.0790657676152846</v>
      </c>
      <c r="S41">
        <f t="shared" ref="S41" si="211">$D41*(R41-$G41)^2</f>
        <v>4.2170837022789902</v>
      </c>
      <c r="T41">
        <f t="shared" si="17"/>
        <v>-0.16995183779183559</v>
      </c>
      <c r="U41">
        <f t="shared" ref="U41" si="212">$D41*(T41-$G41)^2</f>
        <v>0.73198293043758733</v>
      </c>
      <c r="V41">
        <f t="shared" si="19"/>
        <v>-3.3271610889685714</v>
      </c>
      <c r="W41">
        <f t="shared" ref="W41" si="213">$D41*(V41-$G41)^2</f>
        <v>5.2975892301455234</v>
      </c>
      <c r="X41">
        <f t="shared" si="21"/>
        <v>-2.1099611411679113</v>
      </c>
      <c r="Y41">
        <f t="shared" ref="Y41" si="214">$D41*(X41-$G41)^2</f>
        <v>1.1760302702506826</v>
      </c>
      <c r="Z41" s="33">
        <f t="shared" si="23"/>
        <v>-2.934416590304076</v>
      </c>
      <c r="AA41">
        <f t="shared" si="6"/>
        <v>4.914423520558918</v>
      </c>
      <c r="AT41" s="2"/>
      <c r="AU41" s="2"/>
      <c r="AV41" s="2"/>
      <c r="AW41" s="2"/>
      <c r="AX41" s="2"/>
      <c r="AY41" s="2"/>
      <c r="AZ41" s="2"/>
      <c r="BA41">
        <v>1989</v>
      </c>
      <c r="BB41">
        <v>0.51314168690000006</v>
      </c>
      <c r="BC41">
        <f t="shared" si="154"/>
        <v>0.32569650840999992</v>
      </c>
    </row>
    <row r="42" spans="1:55" x14ac:dyDescent="0.35">
      <c r="A42" t="str">
        <f>Table1!A35</f>
        <v>Kompas et al. 2018</v>
      </c>
      <c r="B42">
        <f>ROUND(Table1!C35,1)</f>
        <v>1</v>
      </c>
      <c r="C42">
        <f>Table1!E35</f>
        <v>-0.4658664448796927</v>
      </c>
      <c r="D42">
        <v>0.25</v>
      </c>
      <c r="E42">
        <v>2018</v>
      </c>
      <c r="F42" s="1">
        <f t="shared" si="7"/>
        <v>1.8</v>
      </c>
      <c r="G42" s="5">
        <f>C42*LOOKUP(F42,graph!A$3:A$203,graph!B$3:B$203)/LOOKUP(B42,graph!A$3:A$203,graph!B$3:B$203)</f>
        <v>-0.89473390452109747</v>
      </c>
      <c r="H42" s="5"/>
      <c r="J42">
        <f t="shared" si="8"/>
        <v>-1.213491733058544</v>
      </c>
      <c r="K42">
        <f t="shared" si="9"/>
        <v>2.5401638313477037E-2</v>
      </c>
      <c r="L42">
        <f t="shared" si="10"/>
        <v>-1.5760236736879703</v>
      </c>
      <c r="M42">
        <f t="shared" si="9"/>
        <v>0.1160389373928627</v>
      </c>
      <c r="N42">
        <f t="shared" si="11"/>
        <v>-0.55207107236194997</v>
      </c>
      <c r="O42">
        <f t="shared" ref="O42" si="215">$D42*(N42-$G42)^2</f>
        <v>2.9354454135832021E-2</v>
      </c>
      <c r="P42">
        <f t="shared" si="13"/>
        <v>-0.58937066630221624</v>
      </c>
      <c r="Q42">
        <f t="shared" ref="Q42" si="216">$D42*(P42-$G42)^2</f>
        <v>2.33116768138803E-2</v>
      </c>
      <c r="R42" s="24">
        <f t="shared" si="15"/>
        <v>-1.7369151024302529</v>
      </c>
      <c r="S42">
        <f t="shared" ref="S42" si="217">$D42*(R42-$G42)^2</f>
        <v>0.17731729252792502</v>
      </c>
      <c r="T42">
        <f t="shared" si="17"/>
        <v>-1.9637839951670427E-2</v>
      </c>
      <c r="U42">
        <f t="shared" ref="U42" si="218">$D42*(T42-$G42)^2</f>
        <v>0.1914482805562247</v>
      </c>
      <c r="V42">
        <f t="shared" si="19"/>
        <v>-1.5760236737219551</v>
      </c>
      <c r="W42">
        <f t="shared" ref="W42" si="219">$D42*(V42-$G42)^2</f>
        <v>0.11603893740443945</v>
      </c>
      <c r="X42">
        <f t="shared" si="21"/>
        <v>-0.76691191480286514</v>
      </c>
      <c r="Y42">
        <f t="shared" ref="Y42" si="220">$D42*(X42-$G42)^2</f>
        <v>4.0846152638819733E-3</v>
      </c>
      <c r="Z42" s="33">
        <f t="shared" si="23"/>
        <v>-1.2611847812645083</v>
      </c>
      <c r="AA42">
        <f t="shared" si="6"/>
        <v>0.15813281404747764</v>
      </c>
      <c r="BA42">
        <v>1990</v>
      </c>
      <c r="BB42">
        <v>0.69445388690000009</v>
      </c>
      <c r="BC42">
        <f t="shared" si="154"/>
        <v>0.34156482487666662</v>
      </c>
    </row>
    <row r="43" spans="1:55" x14ac:dyDescent="0.35">
      <c r="A43">
        <f>Table1!A36</f>
        <v>0</v>
      </c>
      <c r="B43">
        <f>ROUND(Table1!C36,1)</f>
        <v>2</v>
      </c>
      <c r="C43">
        <f>Table1!E36</f>
        <v>-1.0740738140966928</v>
      </c>
      <c r="D43">
        <v>0.25</v>
      </c>
      <c r="E43">
        <v>2018</v>
      </c>
      <c r="F43" s="1">
        <f t="shared" si="7"/>
        <v>2.8</v>
      </c>
      <c r="G43" s="5">
        <f>C43*LOOKUP(F43,graph!A$3:A$203,graph!B$3:B$203)/LOOKUP(B43,graph!A$3:A$203,graph!B$3:B$203)</f>
        <v>-1.7295820835422517</v>
      </c>
      <c r="H43" s="5"/>
      <c r="J43">
        <f t="shared" si="8"/>
        <v>-2.0808628120323642</v>
      </c>
      <c r="K43">
        <f t="shared" si="9"/>
        <v>3.0849537552136031E-2</v>
      </c>
      <c r="L43">
        <f t="shared" si="10"/>
        <v>-2.4515923812923983</v>
      </c>
      <c r="M43">
        <f t="shared" si="9"/>
        <v>0.13032471751431382</v>
      </c>
      <c r="N43">
        <f t="shared" si="11"/>
        <v>-1.3358756812708912</v>
      </c>
      <c r="O43">
        <f t="shared" ref="O43" si="221">$D43*(N43-$G43)^2</f>
        <v>3.8751182797364593E-2</v>
      </c>
      <c r="P43">
        <f t="shared" si="13"/>
        <v>-1.4253759779206241</v>
      </c>
      <c r="Q43">
        <f t="shared" ref="Q43" si="222">$D43*(P43-$G43)^2</f>
        <v>2.3135338674369219E-2</v>
      </c>
      <c r="R43" s="24">
        <f t="shared" si="15"/>
        <v>-2.2881555542026764</v>
      </c>
      <c r="S43">
        <f t="shared" ref="S43" si="223">$D43*(R43-$G43)^2</f>
        <v>7.8001080531408057E-2</v>
      </c>
      <c r="T43">
        <f t="shared" si="17"/>
        <v>-6.0063500182610828E-2</v>
      </c>
      <c r="U43">
        <f t="shared" ref="U43" si="224">$D43*(T43-$G43)^2</f>
        <v>0.69682307504579555</v>
      </c>
      <c r="V43">
        <f t="shared" si="19"/>
        <v>-2.4515923813452631</v>
      </c>
      <c r="W43">
        <f t="shared" ref="W43" si="225">$D43*(V43-$G43)^2</f>
        <v>0.1303247175333983</v>
      </c>
      <c r="X43">
        <f t="shared" si="21"/>
        <v>-1.3342956068203127</v>
      </c>
      <c r="Y43">
        <f t="shared" ref="Y43" si="226">$D43*(X43-$G43)^2</f>
        <v>3.9062849669811016E-2</v>
      </c>
      <c r="Z43" s="33">
        <f t="shared" si="23"/>
        <v>-2.0116024237196406</v>
      </c>
      <c r="AA43">
        <f t="shared" si="6"/>
        <v>0.21973997346538443</v>
      </c>
      <c r="BA43">
        <v>1991</v>
      </c>
      <c r="BB43">
        <v>0.67278795690000004</v>
      </c>
      <c r="BC43">
        <f t="shared" si="154"/>
        <v>0.35352795581000002</v>
      </c>
    </row>
    <row r="44" spans="1:55" x14ac:dyDescent="0.35">
      <c r="A44">
        <f>Table1!A37</f>
        <v>0</v>
      </c>
      <c r="B44">
        <f>ROUND(Table1!C37,1)</f>
        <v>3</v>
      </c>
      <c r="C44">
        <f>Table1!E37</f>
        <v>-1.8369485050307706</v>
      </c>
      <c r="D44">
        <v>0.25</v>
      </c>
      <c r="E44">
        <v>2018</v>
      </c>
      <c r="F44" s="1">
        <f t="shared" si="7"/>
        <v>3.8</v>
      </c>
      <c r="G44" s="5">
        <f>C44*LOOKUP(F44,graph!A$3:A$203,graph!B$3:B$203)/LOOKUP(B44,graph!A$3:A$203,graph!B$3:B$203)</f>
        <v>-2.6252786052978423</v>
      </c>
      <c r="H44" s="5"/>
      <c r="J44">
        <f t="shared" si="8"/>
        <v>-3.0862403231864759</v>
      </c>
      <c r="K44">
        <f t="shared" si="9"/>
        <v>5.3121426339710058E-2</v>
      </c>
      <c r="L44">
        <f t="shared" si="10"/>
        <v>-3.3271610888968262</v>
      </c>
      <c r="M44">
        <f t="shared" si="9"/>
        <v>0.12315975519576947</v>
      </c>
      <c r="N44">
        <f t="shared" si="11"/>
        <v>-2.4604649027489374</v>
      </c>
      <c r="O44">
        <f t="shared" ref="O44" si="227">$D44*(N44-$G44)^2</f>
        <v>6.7908891369697277E-3</v>
      </c>
      <c r="P44">
        <f t="shared" si="13"/>
        <v>-2.6196763692999561</v>
      </c>
      <c r="Q44">
        <f t="shared" ref="Q44" si="228">$D44*(P44-$G44)^2</f>
        <v>7.8462620440030778E-6</v>
      </c>
      <c r="R44" s="24">
        <f t="shared" si="15"/>
        <v>-3.0790657676152846</v>
      </c>
      <c r="S44">
        <f t="shared" ref="S44" si="229">$D44*(R44-$G44)^2</f>
        <v>5.1480697171029183E-2</v>
      </c>
      <c r="T44">
        <f t="shared" si="17"/>
        <v>-0.16995183779183559</v>
      </c>
      <c r="U44">
        <f t="shared" ref="U44" si="230">$D44*(T44-$G44)^2</f>
        <v>1.507157383807874</v>
      </c>
      <c r="V44">
        <f t="shared" si="19"/>
        <v>-3.3271610889685714</v>
      </c>
      <c r="W44">
        <f t="shared" ref="W44" si="231">$D44*(V44-$G44)^2</f>
        <v>0.12315975522094784</v>
      </c>
      <c r="X44">
        <f t="shared" si="21"/>
        <v>-2.1099611411679113</v>
      </c>
      <c r="Y44">
        <f t="shared" ref="Y44" si="232">$D44*(X44-$G44)^2</f>
        <v>6.6388022209325673E-2</v>
      </c>
      <c r="Z44" s="33">
        <f t="shared" si="23"/>
        <v>-2.934416590304076</v>
      </c>
      <c r="AA44">
        <f t="shared" si="6"/>
        <v>0.30110904954836382</v>
      </c>
      <c r="BA44">
        <v>1992</v>
      </c>
      <c r="BB44">
        <v>0.45878821190000002</v>
      </c>
      <c r="BC44">
        <f t="shared" si="154"/>
        <v>0.35982633031000005</v>
      </c>
    </row>
    <row r="45" spans="1:55" x14ac:dyDescent="0.35">
      <c r="A45">
        <f>Table1!A38</f>
        <v>0</v>
      </c>
      <c r="B45">
        <f>ROUND(Table1!C38,1)</f>
        <v>4</v>
      </c>
      <c r="C45">
        <f>Table1!E38</f>
        <v>-2.7931051587285425</v>
      </c>
      <c r="D45">
        <v>0.25</v>
      </c>
      <c r="E45">
        <v>2018</v>
      </c>
      <c r="F45" s="1">
        <f t="shared" si="7"/>
        <v>4.8</v>
      </c>
      <c r="G45" s="5">
        <f>C45*LOOKUP(F45,graph!A$3:A$203,graph!B$3:B$203)/LOOKUP(B45,graph!A$3:A$203,graph!B$3:B$203)</f>
        <v>-3.8638404691418691</v>
      </c>
      <c r="H45" s="5"/>
      <c r="J45">
        <f t="shared" si="8"/>
        <v>-4.2296242665208785</v>
      </c>
      <c r="K45">
        <f t="shared" si="9"/>
        <v>3.3449446606252063E-2</v>
      </c>
      <c r="L45">
        <f t="shared" si="10"/>
        <v>-4.202729796501254</v>
      </c>
      <c r="M45">
        <f t="shared" si="9"/>
        <v>2.871149404952409E-2</v>
      </c>
      <c r="N45">
        <f t="shared" si="11"/>
        <v>-3.9258387367960883</v>
      </c>
      <c r="O45">
        <f t="shared" ref="O45" si="233">$D45*(N45-$G45)^2</f>
        <v>9.6094629803105162E-4</v>
      </c>
      <c r="P45">
        <f t="shared" si="13"/>
        <v>-4.154428159694131</v>
      </c>
      <c r="Q45">
        <f t="shared" ref="Q45" si="234">$D45*(P45-$G45)^2</f>
        <v>2.1110301475124289E-2</v>
      </c>
      <c r="R45" s="24">
        <f t="shared" si="15"/>
        <v>-4.1096457426680768</v>
      </c>
      <c r="S45">
        <f t="shared" ref="S45" si="235">$D45*(R45-$G45)^2</f>
        <v>1.510505812332345E-2</v>
      </c>
      <c r="T45">
        <f t="shared" si="17"/>
        <v>-0.46865930907456393</v>
      </c>
      <c r="U45">
        <f t="shared" ref="U45" si="236">$D45*(T45-$G45)^2</f>
        <v>2.8818137774189929</v>
      </c>
      <c r="V45">
        <f t="shared" si="19"/>
        <v>-4.2027297965918793</v>
      </c>
      <c r="W45">
        <f t="shared" ref="W45" si="237">$D45*(V45-$G45)^2</f>
        <v>2.871149406488006E-2</v>
      </c>
      <c r="X45">
        <f t="shared" si="21"/>
        <v>-3.2149889183956692</v>
      </c>
      <c r="Y45">
        <f t="shared" ref="Y45" si="238">$D45*(X45-$G45)^2</f>
        <v>0.10525208372643709</v>
      </c>
      <c r="Z45" s="33">
        <f t="shared" si="23"/>
        <v>-4.0415898966546635</v>
      </c>
      <c r="AA45">
        <f t="shared" si="6"/>
        <v>0.38967853520861379</v>
      </c>
      <c r="BA45">
        <v>1993</v>
      </c>
      <c r="BB45">
        <v>0.49954987690000002</v>
      </c>
      <c r="BC45">
        <f t="shared" si="154"/>
        <v>0.36657514197666669</v>
      </c>
    </row>
    <row r="46" spans="1:55" x14ac:dyDescent="0.35">
      <c r="A46" t="str">
        <f>Table1!A39</f>
        <v>Dellink et al. 2019</v>
      </c>
      <c r="B46">
        <f>ROUND(Table1!C39,1)</f>
        <v>2.5</v>
      </c>
      <c r="C46">
        <f>Table1!E39</f>
        <v>-2</v>
      </c>
      <c r="D46">
        <v>1</v>
      </c>
      <c r="E46">
        <v>2019</v>
      </c>
      <c r="F46" s="1">
        <f t="shared" si="7"/>
        <v>3.4</v>
      </c>
      <c r="G46" s="5">
        <f>C46*LOOKUP(F46,graph!A$3:A$203,graph!B$3:B$203)/LOOKUP(B46,graph!A$3:A$203,graph!B$3:B$203)</f>
        <v>-3.1415196783099741</v>
      </c>
      <c r="H46" s="5"/>
      <c r="J46">
        <f t="shared" si="8"/>
        <v>-2.6675285468631964</v>
      </c>
      <c r="K46">
        <f t="shared" si="9"/>
        <v>0.22466759269019654</v>
      </c>
      <c r="L46">
        <f t="shared" si="10"/>
        <v>-2.9769336058550548</v>
      </c>
      <c r="M46">
        <f t="shared" si="9"/>
        <v>2.7088575246135945E-2</v>
      </c>
      <c r="N46">
        <f t="shared" si="11"/>
        <v>-1.9697350606494262</v>
      </c>
      <c r="O46">
        <f t="shared" ref="O46" si="239">$D46*(N46-$G46)^2</f>
        <v>1.3730791901858765</v>
      </c>
      <c r="P46">
        <f t="shared" si="13"/>
        <v>-2.099650058253113</v>
      </c>
      <c r="Q46">
        <f t="shared" ref="Q46" si="240">$D46*(P46-$G46)^2</f>
        <v>1.0854923051974281</v>
      </c>
      <c r="R46" s="24">
        <f t="shared" si="15"/>
        <v>-2.7339413108534192</v>
      </c>
      <c r="S46">
        <f t="shared" ref="S46" si="241">$D46*(R46-$G46)^2</f>
        <v>0.16612012561855052</v>
      </c>
      <c r="T46">
        <f t="shared" si="17"/>
        <v>-0.11264001399770551</v>
      </c>
      <c r="U46">
        <f t="shared" ref="U46" si="242">$D46*(T46-$G46)^2</f>
        <v>9.1741120208844009</v>
      </c>
      <c r="V46">
        <f t="shared" si="19"/>
        <v>-2.9769336059192479</v>
      </c>
      <c r="W46">
        <f t="shared" ref="W46" si="243">$D46*(V46-$G46)^2</f>
        <v>2.7088575225005365E-2</v>
      </c>
      <c r="X46">
        <f t="shared" si="21"/>
        <v>-1.7678706897156469</v>
      </c>
      <c r="Y46">
        <f t="shared" ref="Y46" si="244">$D46*(X46-$G46)^2</f>
        <v>1.8869115438662183</v>
      </c>
      <c r="Z46" s="33">
        <f t="shared" si="23"/>
        <v>-2.5438983304424885</v>
      </c>
      <c r="AA46">
        <f t="shared" si="6"/>
        <v>0.2958253938581264</v>
      </c>
      <c r="BA46">
        <v>1994</v>
      </c>
      <c r="BB46">
        <v>0.56744118690000001</v>
      </c>
      <c r="BC46">
        <f t="shared" si="154"/>
        <v>0.38455569264333339</v>
      </c>
    </row>
    <row r="47" spans="1:55" x14ac:dyDescent="0.35">
      <c r="A47" t="str">
        <f>Table1!A40</f>
        <v>Takakura</v>
      </c>
      <c r="B47">
        <f>ROUND(Table1!C40,1)</f>
        <v>2</v>
      </c>
      <c r="C47">
        <f>Table1!E40</f>
        <v>-1.0517705037403</v>
      </c>
      <c r="D47">
        <f>1/3</f>
        <v>0.33333333333333331</v>
      </c>
      <c r="E47">
        <v>2019</v>
      </c>
      <c r="F47" s="1">
        <f t="shared" si="7"/>
        <v>2.9</v>
      </c>
      <c r="G47" s="5">
        <f>C47*LOOKUP(F47,graph!A$3:A$203,graph!B$3:B$203)/LOOKUP(B47,graph!A$3:A$203,graph!B$3:B$203)</f>
        <v>-1.7827988173768825</v>
      </c>
      <c r="H47" s="5"/>
      <c r="J47">
        <f t="shared" si="8"/>
        <v>-2.1751902736996627</v>
      </c>
      <c r="K47">
        <f t="shared" si="9"/>
        <v>5.1323684998370762E-2</v>
      </c>
      <c r="L47">
        <f t="shared" si="10"/>
        <v>-2.5391492520528409</v>
      </c>
      <c r="M47">
        <f t="shared" si="9"/>
        <v>0.19068866001150375</v>
      </c>
      <c r="N47">
        <f t="shared" si="11"/>
        <v>-1.4329992958530862</v>
      </c>
      <c r="O47">
        <f t="shared" ref="O47" si="245">$D47*(N47-$G47)^2</f>
        <v>4.0786568419425615E-2</v>
      </c>
      <c r="P47">
        <f t="shared" si="13"/>
        <v>-1.5288320246723281</v>
      </c>
      <c r="Q47">
        <f t="shared" ref="Q47" si="246">$D47*(P47-$G47)^2</f>
        <v>2.1499710598879361E-2</v>
      </c>
      <c r="R47" s="24">
        <f t="shared" si="15"/>
        <v>-2.3564614362701288</v>
      </c>
      <c r="S47">
        <f t="shared" ref="S47" si="247">$D47*(R47-$G47)^2</f>
        <v>0.10969626677181932</v>
      </c>
      <c r="T47">
        <f t="shared" si="17"/>
        <v>-6.6789438361526024E-2</v>
      </c>
      <c r="U47">
        <f t="shared" ref="U47" si="248">$D47*(T47-$G47)^2</f>
        <v>0.98156272962288993</v>
      </c>
      <c r="V47">
        <f t="shared" si="19"/>
        <v>-2.539149252107594</v>
      </c>
      <c r="W47">
        <f t="shared" ref="W47" si="249">$D47*(V47-$G47)^2</f>
        <v>0.19068866003911211</v>
      </c>
      <c r="X47">
        <f t="shared" si="21"/>
        <v>-1.4007988625287731</v>
      </c>
      <c r="Y47">
        <f t="shared" ref="Y47" si="250">$D47*(X47-$G47)^2</f>
        <v>4.8641321834652543E-2</v>
      </c>
      <c r="Z47" s="33">
        <f t="shared" si="23"/>
        <v>-2.0959494672121899</v>
      </c>
      <c r="AA47">
        <f t="shared" si="6"/>
        <v>0.36343656925241008</v>
      </c>
      <c r="BA47">
        <v>1995</v>
      </c>
      <c r="BB47">
        <v>0.71075757690000008</v>
      </c>
      <c r="BC47">
        <f t="shared" si="154"/>
        <v>0.40393082797666668</v>
      </c>
    </row>
    <row r="48" spans="1:55" x14ac:dyDescent="0.35">
      <c r="A48">
        <f>Table1!A41</f>
        <v>0</v>
      </c>
      <c r="B48">
        <f>ROUND(Table1!C41,1)</f>
        <v>4</v>
      </c>
      <c r="C48">
        <f>Table1!E41</f>
        <v>-4.6911160007283899</v>
      </c>
      <c r="D48">
        <f>1/3</f>
        <v>0.33333333333333331</v>
      </c>
      <c r="E48">
        <v>2019</v>
      </c>
      <c r="F48" s="1">
        <f t="shared" si="7"/>
        <v>4.9000000000000004</v>
      </c>
      <c r="G48" s="5">
        <f>C48*LOOKUP(F48,graph!A$3:A$203,graph!B$3:B$203)/LOOKUP(B48,graph!A$3:A$203,graph!B$3:B$203)</f>
        <v>-6.7078668207188601</v>
      </c>
      <c r="H48" s="5"/>
      <c r="J48">
        <f t="shared" si="8"/>
        <v>-4.3515530146242352</v>
      </c>
      <c r="K48">
        <f t="shared" si="9"/>
        <v>1.8507382509307124</v>
      </c>
      <c r="L48">
        <f t="shared" si="10"/>
        <v>-4.2902866672616975</v>
      </c>
      <c r="M48">
        <f t="shared" si="9"/>
        <v>1.9482312661299859</v>
      </c>
      <c r="N48">
        <f t="shared" si="11"/>
        <v>-4.0911192738921054</v>
      </c>
      <c r="O48">
        <f t="shared" ref="O48" si="251">$D48*(N48-$G48)^2</f>
        <v>2.2824559079412792</v>
      </c>
      <c r="P48">
        <f t="shared" si="13"/>
        <v>-4.3251535444504761</v>
      </c>
      <c r="Q48">
        <f t="shared" ref="Q48" si="252">$D48*(P48-$G48)^2</f>
        <v>1.8924408523018723</v>
      </c>
      <c r="R48" s="24">
        <f t="shared" si="15"/>
        <v>-4.2258855770635666</v>
      </c>
      <c r="S48">
        <f t="shared" ref="S48" si="253">$D48*(R48-$G48)^2</f>
        <v>2.0534102979522255</v>
      </c>
      <c r="T48">
        <f t="shared" si="17"/>
        <v>-0.51835764359650804</v>
      </c>
      <c r="U48">
        <f t="shared" ref="U48" si="254">$D48*(T48-$G48)^2</f>
        <v>12.770007951227271</v>
      </c>
      <c r="V48">
        <f t="shared" si="19"/>
        <v>-4.290286667354211</v>
      </c>
      <c r="W48">
        <f t="shared" ref="W48" si="255">$D48*(V48-$G48)^2</f>
        <v>1.94823126598088</v>
      </c>
      <c r="X48">
        <f t="shared" si="21"/>
        <v>-3.3496749072449314</v>
      </c>
      <c r="Y48">
        <f t="shared" ref="Y48" si="256">$D48*(X48-$G48)^2</f>
        <v>3.7591509759072288</v>
      </c>
      <c r="Z48" s="33">
        <f t="shared" si="23"/>
        <v>-4.1629914918725666</v>
      </c>
      <c r="AA48">
        <f t="shared" si="6"/>
        <v>9.2971832284734851E-2</v>
      </c>
      <c r="BA48">
        <v>1996</v>
      </c>
      <c r="BB48">
        <v>0.61058081689999999</v>
      </c>
      <c r="BC48">
        <f t="shared" si="154"/>
        <v>0.4181166273100001</v>
      </c>
    </row>
    <row r="49" spans="1:55" x14ac:dyDescent="0.35">
      <c r="A49">
        <f>Table1!A42</f>
        <v>0</v>
      </c>
      <c r="B49">
        <f>ROUND(Table1!C42,1)</f>
        <v>6</v>
      </c>
      <c r="C49">
        <f>Table1!E42</f>
        <v>-9.49637530496768</v>
      </c>
      <c r="D49">
        <f>1/3</f>
        <v>0.33333333333333331</v>
      </c>
      <c r="E49">
        <v>2019</v>
      </c>
      <c r="F49" s="1">
        <f t="shared" si="7"/>
        <v>6.9</v>
      </c>
      <c r="G49" s="5">
        <f>C49*LOOKUP(F49,graph!A$3:A$203,graph!B$3:B$203)/LOOKUP(B49,graph!A$3:A$203,graph!B$3:B$203)</f>
        <v>-12.062912987595432</v>
      </c>
      <c r="H49" s="5"/>
      <c r="J49">
        <f t="shared" si="8"/>
        <v>-7.0799414842699715</v>
      </c>
      <c r="K49">
        <f t="shared" si="9"/>
        <v>8.2766683343178649</v>
      </c>
      <c r="L49">
        <f t="shared" si="10"/>
        <v>-6.0414240824705532</v>
      </c>
      <c r="M49">
        <f t="shared" si="9"/>
        <v>12.086109544847336</v>
      </c>
      <c r="N49">
        <f t="shared" si="11"/>
        <v>-8.1123777022075441</v>
      </c>
      <c r="O49">
        <f t="shared" ref="O49" si="257">$D49*(N49-$G49)^2</f>
        <v>5.2022430136982534</v>
      </c>
      <c r="P49">
        <f t="shared" si="13"/>
        <v>-8.1926727400904191</v>
      </c>
      <c r="Q49">
        <f t="shared" ref="Q49" si="258">$D49*(P49-$G49)^2</f>
        <v>4.992919857802554</v>
      </c>
      <c r="R49" s="24">
        <f t="shared" si="15"/>
        <v>-7.0539887644177401</v>
      </c>
      <c r="S49">
        <f t="shared" ref="S49" si="259">$D49*(R49-$G49)^2</f>
        <v>8.3631072911787463</v>
      </c>
      <c r="T49">
        <f t="shared" si="17"/>
        <v>-3.8550204445712191</v>
      </c>
      <c r="U49">
        <f t="shared" ref="U49" si="260">$D49*(T49-$G49)^2</f>
        <v>22.456499999277497</v>
      </c>
      <c r="V49">
        <f t="shared" si="19"/>
        <v>-6.0414240826008276</v>
      </c>
      <c r="W49">
        <f t="shared" ref="W49" si="261">$D49*(V49-$G49)^2</f>
        <v>12.086109544324373</v>
      </c>
      <c r="X49">
        <f t="shared" si="21"/>
        <v>-7.4716917720228277</v>
      </c>
      <c r="Y49">
        <f t="shared" ref="Y49" si="262">$D49*(X49-$G49)^2</f>
        <v>7.0264374167746597</v>
      </c>
      <c r="Z49" s="33">
        <f t="shared" si="23"/>
        <v>-7.0365499658889643</v>
      </c>
      <c r="AA49">
        <f t="shared" si="6"/>
        <v>2.0169135662579061</v>
      </c>
      <c r="BA49">
        <v>1997</v>
      </c>
      <c r="BB49">
        <v>0.75619991689999999</v>
      </c>
      <c r="BC49">
        <f t="shared" si="154"/>
        <v>0.43611078764333339</v>
      </c>
    </row>
    <row r="50" spans="1:55" x14ac:dyDescent="0.35">
      <c r="A50" t="str">
        <f>Table1!A43</f>
        <v>Howard &amp; Sylvan 2020</v>
      </c>
      <c r="B50">
        <f>ROUND(Table1!C43,1)</f>
        <v>3</v>
      </c>
      <c r="C50">
        <f>Table1!E43</f>
        <v>-9.1999999999999993</v>
      </c>
      <c r="D50">
        <v>1</v>
      </c>
      <c r="E50">
        <v>2000</v>
      </c>
      <c r="F50" s="1">
        <f t="shared" si="7"/>
        <v>3.5</v>
      </c>
      <c r="G50" s="5">
        <f>C50*LOOKUP(F50,graph!A$3:A$203,graph!B$3:B$203)/LOOKUP(B50,graph!A$3:A$203,graph!B$3:B$203)</f>
        <v>-11.589800442017166</v>
      </c>
      <c r="H50" s="5"/>
      <c r="J50">
        <f t="shared" si="8"/>
        <v>-2.770136394461312</v>
      </c>
      <c r="K50">
        <f t="shared" si="9"/>
        <v>77.786473911749312</v>
      </c>
      <c r="L50">
        <f t="shared" si="10"/>
        <v>-3.0644904766154979</v>
      </c>
      <c r="M50">
        <f t="shared" si="9"/>
        <v>72.680910006176987</v>
      </c>
      <c r="N50">
        <f t="shared" si="11"/>
        <v>-2.0873057519857676</v>
      </c>
      <c r="O50">
        <f t="shared" ref="O50" si="263">$D50*(N50-$G50)^2</f>
        <v>90.297405334074909</v>
      </c>
      <c r="P50">
        <f t="shared" si="13"/>
        <v>-2.2244291720405633</v>
      </c>
      <c r="Q50">
        <f t="shared" ref="Q50" si="264">$D50*(P50-$G50)^2</f>
        <v>87.710179024503162</v>
      </c>
      <c r="R50" s="24">
        <f t="shared" si="15"/>
        <v>-2.816627378619283</v>
      </c>
      <c r="S50">
        <f t="shared" ref="S50" si="265">$D50*(R50-$G50)^2</f>
        <v>76.968565600330209</v>
      </c>
      <c r="T50">
        <f t="shared" si="17"/>
        <v>-0.12489547240377118</v>
      </c>
      <c r="U50">
        <f t="shared" ref="U50" si="266">$D50*(T50-$G50)^2</f>
        <v>131.4440459622659</v>
      </c>
      <c r="V50">
        <f t="shared" si="19"/>
        <v>-3.0644904766815788</v>
      </c>
      <c r="W50">
        <f t="shared" ref="W50" si="267">$D50*(V50-$G50)^2</f>
        <v>72.680910005050279</v>
      </c>
      <c r="X50">
        <f t="shared" si="21"/>
        <v>-1.8489879917049437</v>
      </c>
      <c r="Y50">
        <f t="shared" ref="Y50" si="268">$D50*(X50-$G50)^2</f>
        <v>94.883427192157612</v>
      </c>
      <c r="Z50" s="33">
        <f t="shared" si="23"/>
        <v>-2.6388114036046377</v>
      </c>
      <c r="AA50">
        <f t="shared" si="6"/>
        <v>43.049195797468528</v>
      </c>
      <c r="BA50">
        <v>1998</v>
      </c>
      <c r="BB50">
        <v>0.91120787690000005</v>
      </c>
      <c r="BC50">
        <f t="shared" si="154"/>
        <v>0.4609757463100001</v>
      </c>
    </row>
    <row r="51" spans="1:55" x14ac:dyDescent="0.35">
      <c r="A51" t="str">
        <f>Table1!A44</f>
        <v>Howard &amp; Sylvan 2021</v>
      </c>
      <c r="B51">
        <f>ROUND(Table1!C44,1)</f>
        <v>1.2</v>
      </c>
      <c r="C51">
        <f>Table1!E44</f>
        <v>-2.2000000000000002</v>
      </c>
      <c r="D51">
        <v>0.25</v>
      </c>
      <c r="E51">
        <v>2021</v>
      </c>
      <c r="F51" s="1">
        <f t="shared" si="7"/>
        <v>2.1</v>
      </c>
      <c r="G51" s="5">
        <f>C51*LOOKUP(F51,graph!A$3:A$203,graph!B$3:B$203)/LOOKUP(B51,graph!A$3:A$203,graph!B$3:B$203)</f>
        <v>-4.1976919951780873</v>
      </c>
      <c r="H51" s="5"/>
      <c r="J51">
        <f t="shared" si="8"/>
        <v>-1.4592123813717597</v>
      </c>
      <c r="K51">
        <f t="shared" si="9"/>
        <v>1.8748176488082131</v>
      </c>
      <c r="L51">
        <f t="shared" si="10"/>
        <v>-1.8386942859692987</v>
      </c>
      <c r="M51">
        <f t="shared" si="9"/>
        <v>1.3912175480130782</v>
      </c>
      <c r="N51">
        <f t="shared" si="11"/>
        <v>-0.75143007071487633</v>
      </c>
      <c r="O51">
        <f t="shared" ref="O51" si="269">$D51*(N51-$G51)^2</f>
        <v>2.9691803130012189</v>
      </c>
      <c r="P51">
        <f t="shared" si="13"/>
        <v>-0.80213808957432053</v>
      </c>
      <c r="Q51">
        <f t="shared" ref="Q51" si="270">$D51*(P51-$G51)^2</f>
        <v>2.8824465814652482</v>
      </c>
      <c r="R51" s="24">
        <f t="shared" si="15"/>
        <v>-1.8771219129897607</v>
      </c>
      <c r="S51">
        <f t="shared" ref="S51" si="271">$D51*(R51-$G51)^2</f>
        <v>1.3462613765868841</v>
      </c>
      <c r="T51">
        <f t="shared" si="17"/>
        <v>-2.7868895561769705E-2</v>
      </c>
      <c r="U51">
        <f t="shared" ref="U51" si="272">$D51*(T51-$G51)^2</f>
        <v>4.3468561705234592</v>
      </c>
      <c r="V51">
        <f t="shared" si="19"/>
        <v>-1.8386942860089475</v>
      </c>
      <c r="W51">
        <f t="shared" ref="W51" si="273">$D51*(V51-$G51)^2</f>
        <v>1.3912175479663125</v>
      </c>
      <c r="X51">
        <f t="shared" si="21"/>
        <v>-0.92099633134221304</v>
      </c>
      <c r="Y51">
        <f t="shared" ref="Y51" si="274">$D51*(X51-$G51)^2</f>
        <v>2.6841836183502052</v>
      </c>
      <c r="Z51" s="33">
        <f t="shared" si="23"/>
        <v>-1.4688165957954409</v>
      </c>
      <c r="AA51">
        <f t="shared" si="6"/>
        <v>0.13365729264604198</v>
      </c>
      <c r="BA51">
        <v>1999</v>
      </c>
      <c r="BB51">
        <v>0.6583763869</v>
      </c>
      <c r="BC51">
        <f t="shared" si="154"/>
        <v>0.47283746907666674</v>
      </c>
    </row>
    <row r="52" spans="1:55" x14ac:dyDescent="0.35">
      <c r="A52">
        <f>Table1!A45</f>
        <v>0</v>
      </c>
      <c r="B52">
        <f>ROUND(Table1!C45,1)</f>
        <v>3</v>
      </c>
      <c r="C52">
        <f>Table1!E45</f>
        <v>-8.5</v>
      </c>
      <c r="D52">
        <v>0.25</v>
      </c>
      <c r="E52">
        <v>2021</v>
      </c>
      <c r="F52" s="1">
        <f t="shared" si="7"/>
        <v>3.9</v>
      </c>
      <c r="G52" s="5">
        <f>C52*LOOKUP(F52,graph!A$3:A$203,graph!B$3:B$203)/LOOKUP(B52,graph!A$3:A$203,graph!B$3:B$203)</f>
        <v>-12.647345181665047</v>
      </c>
      <c r="H52" s="5"/>
      <c r="J52">
        <f t="shared" si="8"/>
        <v>-3.1943684280718028</v>
      </c>
      <c r="K52">
        <f t="shared" si="9"/>
        <v>22.339692375993568</v>
      </c>
      <c r="L52">
        <f t="shared" si="10"/>
        <v>-3.4147179596572688</v>
      </c>
      <c r="M52">
        <f t="shared" si="9"/>
        <v>21.310351355139765</v>
      </c>
      <c r="N52">
        <f t="shared" si="11"/>
        <v>-2.5916669785880426</v>
      </c>
      <c r="O52">
        <f t="shared" ref="O52" si="275">$D52*(N52-$G52)^2</f>
        <v>25.279166030959495</v>
      </c>
      <c r="P52">
        <f t="shared" si="13"/>
        <v>-2.7583169407141357</v>
      </c>
      <c r="Q52">
        <f t="shared" ref="Q52" si="276">$D52*(P52-$G52)^2</f>
        <v>24.448219887581164</v>
      </c>
      <c r="R52" s="24">
        <f t="shared" si="15"/>
        <v>-3.1713386258467553</v>
      </c>
      <c r="S52">
        <f t="shared" ref="S52" si="277">$D52*(R52-$G52)^2</f>
        <v>22.448675061477807</v>
      </c>
      <c r="T52">
        <f t="shared" si="17"/>
        <v>-0.18823483332291965</v>
      </c>
      <c r="U52">
        <f t="shared" ref="U52" si="278">$D52*(T52-$G52)^2</f>
        <v>38.807357668041469</v>
      </c>
      <c r="V52">
        <f t="shared" si="19"/>
        <v>-3.4147179597309023</v>
      </c>
      <c r="W52">
        <f t="shared" ref="W52" si="279">$D52*(V52-$G52)^2</f>
        <v>21.310351354799852</v>
      </c>
      <c r="X52">
        <f t="shared" si="21"/>
        <v>-2.2032728445104426</v>
      </c>
      <c r="Y52">
        <f t="shared" ref="Y52" si="280">$D52*(X52-$G52)^2</f>
        <v>27.269661745929511</v>
      </c>
      <c r="Z52" s="33">
        <f t="shared" si="23"/>
        <v>-3.0366165954210835</v>
      </c>
      <c r="AA52">
        <f t="shared" si="6"/>
        <v>7.4621395563570783</v>
      </c>
      <c r="AC52">
        <f>(100/10)^(1/7)</f>
        <v>1.3894954943731377</v>
      </c>
      <c r="BA52">
        <v>2000</v>
      </c>
      <c r="BB52">
        <v>0.66497621689999997</v>
      </c>
      <c r="BC52">
        <f t="shared" si="154"/>
        <v>0.48671051474333343</v>
      </c>
    </row>
    <row r="53" spans="1:55" x14ac:dyDescent="0.35">
      <c r="A53">
        <f>Table1!A46</f>
        <v>0</v>
      </c>
      <c r="B53">
        <f>ROUND(Table1!C46,1)</f>
        <v>5</v>
      </c>
      <c r="C53">
        <f>Table1!E46</f>
        <v>-16.100000000000001</v>
      </c>
      <c r="D53">
        <v>0.25</v>
      </c>
      <c r="E53">
        <v>2021</v>
      </c>
      <c r="F53" s="1">
        <f t="shared" si="7"/>
        <v>5.9</v>
      </c>
      <c r="G53" s="5">
        <f>C53*LOOKUP(F53,graph!A$3:A$203,graph!B$3:B$203)/LOOKUP(B53,graph!A$3:A$203,graph!B$3:B$203)</f>
        <v>-21.151128024556453</v>
      </c>
      <c r="H53" s="5"/>
      <c r="J53">
        <f t="shared" si="8"/>
        <v>-5.6467440333569581</v>
      </c>
      <c r="K53">
        <f t="shared" si="9"/>
        <v>60.096480736640792</v>
      </c>
      <c r="L53">
        <f t="shared" si="10"/>
        <v>-5.1658553748661253</v>
      </c>
      <c r="M53">
        <f t="shared" si="9"/>
        <v>63.882235421234398</v>
      </c>
      <c r="N53">
        <f t="shared" si="11"/>
        <v>-5.9313561817652714</v>
      </c>
      <c r="O53">
        <f t="shared" ref="O53" si="281">$D53*(N53-$G53)^2</f>
        <v>57.910363736654823</v>
      </c>
      <c r="P53">
        <f t="shared" si="13"/>
        <v>-6.1759767883132657</v>
      </c>
      <c r="Q53">
        <f t="shared" ref="Q53" si="282">$D53*(P53-$G53)^2</f>
        <v>56.063788637088962</v>
      </c>
      <c r="R53" s="24">
        <f t="shared" si="15"/>
        <v>-5.520102289920561</v>
      </c>
      <c r="S53">
        <f t="shared" ref="S53" si="283">$D53*(R53-$G53)^2</f>
        <v>61.082241379212377</v>
      </c>
      <c r="T53">
        <f t="shared" si="17"/>
        <v>-1.415724479923036</v>
      </c>
      <c r="U53">
        <f t="shared" ref="U53" si="284">$D53*(T53-$G53)^2</f>
        <v>97.371538267382306</v>
      </c>
      <c r="V53">
        <f t="shared" si="19"/>
        <v>-5.1658553749775189</v>
      </c>
      <c r="W53">
        <f t="shared" ref="W53" si="285">$D53*(V53-$G53)^2</f>
        <v>63.882235420344081</v>
      </c>
      <c r="X53">
        <f t="shared" si="21"/>
        <v>-5.0189569504888727</v>
      </c>
      <c r="Y53">
        <f t="shared" ref="Y53" si="286">$D53*(X53-$G53)^2</f>
        <v>65.061735890745666</v>
      </c>
      <c r="Z53" s="33">
        <f t="shared" si="23"/>
        <v>-5.490204416916403</v>
      </c>
      <c r="AA53">
        <f t="shared" si="6"/>
        <v>28.141940578705064</v>
      </c>
      <c r="BA53">
        <v>2001</v>
      </c>
      <c r="BB53">
        <v>0.8231717569</v>
      </c>
      <c r="BC53">
        <f t="shared" si="154"/>
        <v>0.50988428407666675</v>
      </c>
    </row>
    <row r="54" spans="1:55" x14ac:dyDescent="0.35">
      <c r="A54">
        <f>Table1!A47</f>
        <v>0</v>
      </c>
      <c r="B54">
        <f>ROUND(Table1!C47,1)</f>
        <v>7</v>
      </c>
      <c r="C54">
        <f>Table1!E47</f>
        <v>-25</v>
      </c>
      <c r="D54">
        <v>0.25</v>
      </c>
      <c r="E54">
        <v>2021</v>
      </c>
      <c r="F54" s="1">
        <f t="shared" si="7"/>
        <v>7.9</v>
      </c>
      <c r="G54" s="5">
        <f>C54*LOOKUP(F54,graph!A$3:A$203,graph!B$3:B$203)/LOOKUP(B54,graph!A$3:A$203,graph!B$3:B$203)</f>
        <v>-30.928363003201166</v>
      </c>
      <c r="H54" s="5"/>
      <c r="J54">
        <f t="shared" si="8"/>
        <v>-8.6511453673632754</v>
      </c>
      <c r="K54">
        <f t="shared" si="9"/>
        <v>124.06860639862171</v>
      </c>
      <c r="L54">
        <f t="shared" si="10"/>
        <v>-6.916992790074981</v>
      </c>
      <c r="M54">
        <f t="shared" si="9"/>
        <v>144.13647487795086</v>
      </c>
      <c r="N54">
        <f t="shared" si="11"/>
        <v>-10.63418383521892</v>
      </c>
      <c r="O54">
        <f t="shared" ref="O54" si="287">$D54*(N54-$G54)^2</f>
        <v>102.96342702554115</v>
      </c>
      <c r="P54">
        <f t="shared" si="13"/>
        <v>-10.145498000183728</v>
      </c>
      <c r="Q54">
        <f t="shared" ref="Q54" si="288">$D54*(P54-$G54)^2</f>
        <v>107.98186943341176</v>
      </c>
      <c r="R54" s="24">
        <f t="shared" si="15"/>
        <v>-8.8275450005551033</v>
      </c>
      <c r="S54">
        <f t="shared" ref="S54" si="289">$D54*(R54-$G54)^2</f>
        <v>122.1115390965211</v>
      </c>
      <c r="T54">
        <f t="shared" si="17"/>
        <v>-10.485714339507853</v>
      </c>
      <c r="U54">
        <f t="shared" ref="U54" si="290">$D54*(T54-$G54)^2</f>
        <v>104.47547109680049</v>
      </c>
      <c r="V54">
        <f t="shared" si="19"/>
        <v>-6.9169927902241355</v>
      </c>
      <c r="W54">
        <f t="shared" ref="W54" si="291">$D54*(V54-$G54)^2</f>
        <v>144.13647487616015</v>
      </c>
      <c r="X54">
        <f t="shared" si="21"/>
        <v>-11.090748149024154</v>
      </c>
      <c r="Y54">
        <f t="shared" ref="Y54" si="292">$D54*(X54-$G54)^2</f>
        <v>98.382740775666107</v>
      </c>
      <c r="Z54" s="33">
        <f t="shared" si="23"/>
        <v>-8.8239765897813651</v>
      </c>
      <c r="AA54">
        <f t="shared" si="6"/>
        <v>65.415933341985308</v>
      </c>
      <c r="AC54">
        <f>2^(1/20)</f>
        <v>1.0352649238413776</v>
      </c>
      <c r="BA54">
        <v>2002</v>
      </c>
      <c r="BB54">
        <v>0.87735791689999998</v>
      </c>
      <c r="BC54">
        <f t="shared" si="154"/>
        <v>0.5311274040766667</v>
      </c>
    </row>
    <row r="55" spans="1:55" x14ac:dyDescent="0.35">
      <c r="A55" t="str">
        <f>Table1!A48</f>
        <v>Conte et al. 2021</v>
      </c>
      <c r="B55">
        <f>ROUND(Table1!C48,1)</f>
        <v>3.7</v>
      </c>
      <c r="C55">
        <f>Table1!E48</f>
        <v>-3.7</v>
      </c>
      <c r="D55">
        <v>1</v>
      </c>
      <c r="E55">
        <v>2021</v>
      </c>
      <c r="F55" s="1">
        <f t="shared" si="7"/>
        <v>4.5999999999999996</v>
      </c>
      <c r="G55" s="5">
        <f>C55*LOOKUP(F55,graph!A$3:A$203,graph!B$3:B$203)/LOOKUP(B55,graph!A$3:A$203,graph!B$3:B$203)</f>
        <v>-5.3976467983670684</v>
      </c>
      <c r="H55" s="5"/>
      <c r="J55">
        <f t="shared" si="8"/>
        <v>-3.9899069632795743</v>
      </c>
      <c r="K55">
        <f t="shared" si="9"/>
        <v>1.9817314432921651</v>
      </c>
      <c r="L55">
        <f t="shared" si="10"/>
        <v>-4.0276160549803679</v>
      </c>
      <c r="M55">
        <f t="shared" si="9"/>
        <v>1.8769842378247152</v>
      </c>
      <c r="N55">
        <f t="shared" si="11"/>
        <v>-3.6055012009811294</v>
      </c>
      <c r="O55">
        <f t="shared" ref="O55" si="293">$D55*(N55-$G55)^2</f>
        <v>3.2117858422298045</v>
      </c>
      <c r="P55">
        <f t="shared" si="13"/>
        <v>-3.8219388112131232</v>
      </c>
      <c r="Q55">
        <f t="shared" ref="Q55" si="294">$D55*(P55-$G55)^2</f>
        <v>2.4828556607807375</v>
      </c>
      <c r="R55" s="24">
        <f t="shared" si="15"/>
        <v>-3.8843561667263033</v>
      </c>
      <c r="S55">
        <f t="shared" ref="S55" si="295">$D55*(R55-$G55)^2</f>
        <v>2.2900485358117058</v>
      </c>
      <c r="T55">
        <f t="shared" si="17"/>
        <v>-0.38300084153516845</v>
      </c>
      <c r="U55">
        <f t="shared" ref="U55" si="296">$D55*(T55-$G55)^2</f>
        <v>25.146674072370519</v>
      </c>
      <c r="V55">
        <f t="shared" si="19"/>
        <v>-4.0276160550672175</v>
      </c>
      <c r="W55">
        <f t="shared" ref="W55" si="297">$D55*(V55-$G55)^2</f>
        <v>1.8769842375867418</v>
      </c>
      <c r="X55">
        <f t="shared" si="21"/>
        <v>-2.9602826959368906</v>
      </c>
      <c r="Y55">
        <f t="shared" ref="Y55" si="298">$D55*(X55-$G55)^2</f>
        <v>5.9407437678152659</v>
      </c>
      <c r="Z55" s="33">
        <f t="shared" si="23"/>
        <v>-3.8047384002271185</v>
      </c>
      <c r="AA55">
        <f t="shared" si="6"/>
        <v>1.0970132482136023E-2</v>
      </c>
      <c r="BA55">
        <v>2003</v>
      </c>
      <c r="BB55">
        <v>0.87806161690000006</v>
      </c>
      <c r="BC55">
        <f t="shared" si="154"/>
        <v>0.54760196541000006</v>
      </c>
    </row>
    <row r="56" spans="1:55" x14ac:dyDescent="0.35">
      <c r="A56" t="str">
        <f>Table1!A49</f>
        <v>Desmet and Rossi-Hansberg 2015</v>
      </c>
      <c r="B56">
        <f>ROUND(Table1!C49,1)</f>
        <v>4.5999999999999996</v>
      </c>
      <c r="C56">
        <f>Table1!E49</f>
        <v>5.1295273109904338</v>
      </c>
      <c r="D56">
        <v>1</v>
      </c>
      <c r="E56">
        <v>2015</v>
      </c>
      <c r="F56" s="1">
        <f t="shared" si="7"/>
        <v>5.4</v>
      </c>
      <c r="G56" s="5">
        <f>C56*LOOKUP(F56,graph!A$3:A$203,graph!B$3:B$203)/LOOKUP(B56,graph!A$3:A$203,graph!B$3:B$203)</f>
        <v>6.6466022626287211</v>
      </c>
      <c r="H56" s="5"/>
      <c r="J56">
        <f t="shared" si="8"/>
        <v>-4.9818977199680603</v>
      </c>
      <c r="K56">
        <f t="shared" si="9"/>
        <v>135.22201184525338</v>
      </c>
      <c r="L56">
        <f t="shared" si="10"/>
        <v>-4.7280710210639114</v>
      </c>
      <c r="M56">
        <f t="shared" si="9"/>
        <v>129.38319231075096</v>
      </c>
      <c r="N56">
        <f t="shared" si="11"/>
        <v>-4.9686396512575506</v>
      </c>
      <c r="O56">
        <f t="shared" ref="O56" si="299">$D56*(N56-$G56)^2</f>
        <v>134.91384471810045</v>
      </c>
      <c r="P56">
        <f t="shared" si="13"/>
        <v>-5.2204656100931111</v>
      </c>
      <c r="Q56">
        <f t="shared" ref="Q56" si="300">$D56*(P56-$G56)^2</f>
        <v>140.82729989578669</v>
      </c>
      <c r="R56" s="24">
        <f t="shared" si="15"/>
        <v>-4.8430352132870409</v>
      </c>
      <c r="S56">
        <f t="shared" ref="S56" si="301">$D56*(R56-$G56)^2</f>
        <v>132.01176932796793</v>
      </c>
      <c r="T56">
        <f t="shared" si="17"/>
        <v>-0.85715011914050132</v>
      </c>
      <c r="U56">
        <f t="shared" ref="U56" si="302">$D56*(T56-$G56)^2</f>
        <v>56.306299806907283</v>
      </c>
      <c r="V56">
        <f t="shared" si="19"/>
        <v>-4.7280710211658654</v>
      </c>
      <c r="W56">
        <f t="shared" ref="W56" si="303">$D56*(V56-$G56)^2</f>
        <v>129.38319231307031</v>
      </c>
      <c r="X56">
        <f t="shared" si="21"/>
        <v>-4.1049846331892672</v>
      </c>
      <c r="Y56">
        <f t="shared" ref="Y56" si="304">$D56*(X56-$G56)^2</f>
        <v>115.59662077832509</v>
      </c>
      <c r="Z56" s="33">
        <f t="shared" si="23"/>
        <v>-4.8004271617785106</v>
      </c>
      <c r="AA56">
        <f t="shared" si="6"/>
        <v>98.603995831263958</v>
      </c>
      <c r="AC56">
        <f>(1000/200)^(1/50)</f>
        <v>1.032712419896443</v>
      </c>
      <c r="BA56">
        <v>2004</v>
      </c>
      <c r="BB56">
        <v>0.80126213690000003</v>
      </c>
      <c r="BC56">
        <f t="shared" si="154"/>
        <v>0.56893223407666682</v>
      </c>
    </row>
    <row r="57" spans="1:55" x14ac:dyDescent="0.35">
      <c r="A57">
        <f>Table1!A50</f>
        <v>0</v>
      </c>
      <c r="B57">
        <f>ROUND(Table1!C50,1)</f>
        <v>9.3000000000000007</v>
      </c>
      <c r="C57">
        <f>Table1!E50</f>
        <v>-4.8593007850505128</v>
      </c>
      <c r="D57">
        <v>0</v>
      </c>
      <c r="E57">
        <v>2015</v>
      </c>
      <c r="F57" s="1">
        <f t="shared" si="7"/>
        <v>10.1</v>
      </c>
      <c r="G57" s="5">
        <f>C57*LOOKUP(F57,graph!A$3:A$203,graph!B$3:B$203)/LOOKUP(B57,graph!A$3:A$203,graph!B$3:B$203)</f>
        <v>-5.6537914019024447</v>
      </c>
      <c r="H57" s="5"/>
      <c r="J57">
        <f t="shared" si="8"/>
        <v>-12.593576551443167</v>
      </c>
      <c r="K57">
        <f t="shared" si="9"/>
        <v>0</v>
      </c>
      <c r="L57">
        <f t="shared" si="10"/>
        <v>-8.8432439468047228</v>
      </c>
      <c r="M57">
        <f t="shared" si="9"/>
        <v>0</v>
      </c>
      <c r="N57">
        <f t="shared" si="11"/>
        <v>-17.381719164087194</v>
      </c>
      <c r="O57">
        <f t="shared" ref="O57" si="305">$D57*(N57-$G57)^2</f>
        <v>0</v>
      </c>
      <c r="P57">
        <f t="shared" si="13"/>
        <v>-11.813676890308372</v>
      </c>
      <c r="Q57">
        <f t="shared" ref="Q57" si="306">$D57*(P57-$G57)^2</f>
        <v>0</v>
      </c>
      <c r="R57" s="24">
        <f t="shared" si="15"/>
        <v>-13.57300628103075</v>
      </c>
      <c r="S57">
        <f t="shared" ref="S57" si="307">$D57*(R57-$G57)^2</f>
        <v>0</v>
      </c>
      <c r="T57">
        <f t="shared" si="17"/>
        <v>-94.664922362883871</v>
      </c>
      <c r="U57">
        <f t="shared" ref="U57" si="308">$D57*(T57-$G57)^2</f>
        <v>0</v>
      </c>
      <c r="V57">
        <f t="shared" si="19"/>
        <v>-8.8432439469954129</v>
      </c>
      <c r="W57">
        <f t="shared" ref="W57" si="309">$D57*(V57-$G57)^2</f>
        <v>0</v>
      </c>
      <c r="X57">
        <f t="shared" si="21"/>
        <v>-26.348900417650434</v>
      </c>
      <c r="Y57">
        <f t="shared" ref="Y57" si="310">$D57*(X57-$G57)^2</f>
        <v>0</v>
      </c>
      <c r="Z57" s="33">
        <f t="shared" si="23"/>
        <v>-13.754906573340975</v>
      </c>
      <c r="AA57">
        <f t="shared" si="6"/>
        <v>0</v>
      </c>
      <c r="BA57">
        <v>2005</v>
      </c>
      <c r="BB57">
        <v>0.94075396690000002</v>
      </c>
      <c r="BC57">
        <f t="shared" si="154"/>
        <v>0.59285279374333344</v>
      </c>
    </row>
    <row r="58" spans="1:55" x14ac:dyDescent="0.35">
      <c r="A58">
        <f>Table1!A51</f>
        <v>0</v>
      </c>
      <c r="B58">
        <f>ROUND(Table1!C51,1)</f>
        <v>13.6</v>
      </c>
      <c r="C58">
        <f>Table1!E51</f>
        <v>-24.061208104792932</v>
      </c>
      <c r="D58">
        <v>0</v>
      </c>
      <c r="E58">
        <v>2015</v>
      </c>
      <c r="F58" s="1">
        <f t="shared" si="7"/>
        <v>14.4</v>
      </c>
      <c r="G58" s="5">
        <f>C58*LOOKUP(F58,graph!A$3:A$203,graph!B$3:B$203)/LOOKUP(B58,graph!A$3:A$203,graph!B$3:B$203)</f>
        <v>-33.226047001482158</v>
      </c>
      <c r="H58" s="5"/>
      <c r="J58">
        <f t="shared" si="8"/>
        <v>-22.227877391864343</v>
      </c>
      <c r="K58">
        <f t="shared" si="9"/>
        <v>0</v>
      </c>
      <c r="L58">
        <f t="shared" si="10"/>
        <v>-39.112161943697664</v>
      </c>
      <c r="M58">
        <f t="shared" si="9"/>
        <v>0</v>
      </c>
      <c r="N58">
        <f t="shared" si="11"/>
        <v>-35.332548631164798</v>
      </c>
      <c r="O58">
        <f t="shared" ref="O58" si="311">$D58*(N58-$G58)^2</f>
        <v>0</v>
      </c>
      <c r="P58">
        <f t="shared" si="13"/>
        <v>43.034906075894177</v>
      </c>
      <c r="Q58">
        <f t="shared" ref="Q58" si="312">$D58*(P58-$G58)^2</f>
        <v>0</v>
      </c>
      <c r="R58" s="24">
        <f t="shared" si="15"/>
        <v>-26.197610975427455</v>
      </c>
      <c r="S58">
        <f t="shared" ref="S58" si="313">$D58*(R58-$G58)^2</f>
        <v>0</v>
      </c>
      <c r="T58">
        <f t="shared" si="17"/>
        <v>-6977.0679747890736</v>
      </c>
      <c r="U58">
        <f t="shared" ref="U58" si="314">$D58*(T58-$G58)^2</f>
        <v>0</v>
      </c>
      <c r="V58">
        <f t="shared" si="19"/>
        <v>-12.608189389775641</v>
      </c>
      <c r="W58">
        <f t="shared" ref="W58" si="315">$D58*(V58-$G58)^2</f>
        <v>0</v>
      </c>
      <c r="X58">
        <f t="shared" si="21"/>
        <v>-142.56744575645604</v>
      </c>
      <c r="Y58">
        <f t="shared" ref="Y58" si="316">$D58*(X58-$G58)^2</f>
        <v>0</v>
      </c>
      <c r="Z58" s="33">
        <f t="shared" si="23"/>
        <v>-35.643162062558133</v>
      </c>
      <c r="AA58">
        <f t="shared" si="6"/>
        <v>0</v>
      </c>
      <c r="BA58">
        <v>2006</v>
      </c>
      <c r="BB58">
        <v>0.90644411690000004</v>
      </c>
      <c r="BC58">
        <f t="shared" si="154"/>
        <v>0.61913327241000016</v>
      </c>
    </row>
    <row r="59" spans="1:55" x14ac:dyDescent="0.35">
      <c r="A59">
        <f>Table1!A52</f>
        <v>0</v>
      </c>
      <c r="B59">
        <f>ROUND(Table1!C52,1)</f>
        <v>16.7</v>
      </c>
      <c r="C59">
        <f>Table1!E52</f>
        <v>-78.907648460775576</v>
      </c>
      <c r="D59">
        <v>0</v>
      </c>
      <c r="E59">
        <v>2015</v>
      </c>
      <c r="F59" s="1">
        <f t="shared" si="7"/>
        <v>17.5</v>
      </c>
      <c r="G59" s="5">
        <f>C59*LOOKUP(F59,graph!A$3:A$203,graph!B$3:B$203)/LOOKUP(B59,graph!A$3:A$203,graph!B$3:B$203)</f>
        <v>-156.11519675735502</v>
      </c>
      <c r="H59" s="5"/>
      <c r="J59">
        <f t="shared" si="8"/>
        <v>-30.756469914392195</v>
      </c>
      <c r="K59">
        <f t="shared" si="9"/>
        <v>0</v>
      </c>
      <c r="L59">
        <f t="shared" si="10"/>
        <v>-94.377114865350208</v>
      </c>
      <c r="M59">
        <f t="shared" si="9"/>
        <v>0</v>
      </c>
      <c r="N59">
        <f t="shared" si="11"/>
        <v>-52.18264379964419</v>
      </c>
      <c r="O59">
        <f t="shared" ref="O59" si="317">$D59*(N59-$G59)^2</f>
        <v>0</v>
      </c>
      <c r="P59">
        <f t="shared" si="13"/>
        <v>260.45002935290501</v>
      </c>
      <c r="Q59">
        <f t="shared" ref="Q59" si="318">$D59*(P59-$G59)^2</f>
        <v>0</v>
      </c>
      <c r="R59" s="24">
        <f t="shared" si="15"/>
        <v>-38.048082339726363</v>
      </c>
      <c r="S59">
        <f t="shared" ref="S59" si="319">$D59*(R59-$G59)^2</f>
        <v>0</v>
      </c>
      <c r="T59">
        <f t="shared" si="17"/>
        <v>-154876.69742950355</v>
      </c>
      <c r="U59">
        <f t="shared" ref="U59" si="320">$D59*(T59-$G59)^2</f>
        <v>0</v>
      </c>
      <c r="V59">
        <f t="shared" si="19"/>
        <v>-15.322452383407896</v>
      </c>
      <c r="W59">
        <f t="shared" ref="W59" si="321">$D59*(V59-$G59)^2</f>
        <v>0</v>
      </c>
      <c r="X59">
        <f t="shared" si="21"/>
        <v>-481.44222644603724</v>
      </c>
      <c r="Y59">
        <f t="shared" ref="Y59" si="322">$D59*(X59-$G59)^2</f>
        <v>0</v>
      </c>
      <c r="Z59" s="33">
        <f t="shared" si="23"/>
        <v>-132.81061529878127</v>
      </c>
      <c r="AA59">
        <f t="shared" si="6"/>
        <v>0</v>
      </c>
      <c r="BA59">
        <v>2007</v>
      </c>
      <c r="BB59">
        <v>0.9255927169</v>
      </c>
      <c r="BC59">
        <f t="shared" si="154"/>
        <v>0.63542036507666677</v>
      </c>
    </row>
    <row r="60" spans="1:55" x14ac:dyDescent="0.35">
      <c r="A60" t="str">
        <f>Table1!A53</f>
        <v>Cruz and Rossi-Hansberg 2021</v>
      </c>
      <c r="B60">
        <f>ROUND(Table1!C53,1)</f>
        <v>7.2</v>
      </c>
      <c r="C60">
        <f>Table1!E53</f>
        <v>-5</v>
      </c>
      <c r="D60">
        <v>1</v>
      </c>
      <c r="E60">
        <v>2021</v>
      </c>
      <c r="F60" s="1">
        <f t="shared" si="7"/>
        <v>8.1</v>
      </c>
      <c r="G60" s="5">
        <f>C60*LOOKUP(F60,graph!A$3:A$203,graph!B$3:B$203)/LOOKUP(B60,graph!A$3:A$203,graph!B$3:B$203)</f>
        <v>-6.1568811468589448</v>
      </c>
      <c r="H60" s="5"/>
      <c r="J60">
        <f t="shared" si="8"/>
        <v>-8.9819469158435687</v>
      </c>
      <c r="K60">
        <f t="shared" si="9"/>
        <v>7.9809965990886846</v>
      </c>
      <c r="L60">
        <f t="shared" si="10"/>
        <v>-7.0921065315958662</v>
      </c>
      <c r="M60">
        <f t="shared" si="9"/>
        <v>0.87464652025632261</v>
      </c>
      <c r="N60">
        <f t="shared" si="11"/>
        <v>-11.179439215329486</v>
      </c>
      <c r="O60">
        <f t="shared" ref="O60" si="323">$D60*(N60-$G60)^2</f>
        <v>25.226089551158534</v>
      </c>
      <c r="P60">
        <f t="shared" si="13"/>
        <v>-10.496610090372872</v>
      </c>
      <c r="Q60">
        <f t="shared" ref="Q60" si="324">$D60*(P60-$G60)^2</f>
        <v>18.833247303172509</v>
      </c>
      <c r="R60" s="24">
        <f t="shared" si="15"/>
        <v>-9.2110166191793983</v>
      </c>
      <c r="S60">
        <f t="shared" ref="S60" si="325">$D60*(R60-$G60)^2</f>
        <v>9.3277434832860795</v>
      </c>
      <c r="T60">
        <f t="shared" si="17"/>
        <v>-12.80814144040037</v>
      </c>
      <c r="U60">
        <f t="shared" ref="U60" si="326">$D60*(T60-$G60)^2</f>
        <v>44.239263492440756</v>
      </c>
      <c r="V60">
        <f t="shared" si="19"/>
        <v>-7.0921065317487972</v>
      </c>
      <c r="W60">
        <f t="shared" ref="W60" si="327">$D60*(V60-$G60)^2</f>
        <v>0.87464652054237257</v>
      </c>
      <c r="X60">
        <f t="shared" si="21"/>
        <v>-12.000154313959902</v>
      </c>
      <c r="Y60">
        <f t="shared" ref="Y60" si="328">$D60*(X60-$G60)^2</f>
        <v>34.143841305362052</v>
      </c>
      <c r="Z60" s="33">
        <f t="shared" si="23"/>
        <v>-9.2126580992869194</v>
      </c>
      <c r="AA60">
        <f t="shared" si="6"/>
        <v>17.746488261487681</v>
      </c>
      <c r="BA60">
        <v>2008</v>
      </c>
      <c r="BB60">
        <v>0.7995412569</v>
      </c>
      <c r="BC60">
        <f t="shared" si="154"/>
        <v>0.65076683400000002</v>
      </c>
    </row>
    <row r="61" spans="1:55" x14ac:dyDescent="0.35">
      <c r="A61" t="str">
        <f>Table1!A54</f>
        <v>Kalkuhl and Wenz 2020</v>
      </c>
      <c r="B61">
        <f>ROUND(Table1!C54,1)</f>
        <v>1</v>
      </c>
      <c r="C61">
        <f>Table1!E54</f>
        <v>-2.2999999999999998</v>
      </c>
      <c r="D61">
        <v>1</v>
      </c>
      <c r="E61">
        <v>2020</v>
      </c>
      <c r="F61" s="1">
        <f t="shared" si="7"/>
        <v>1.9</v>
      </c>
      <c r="G61" s="5">
        <f>C61*LOOKUP(F61,graph!A$3:A$203,graph!B$3:B$203)/LOOKUP(B61,graph!A$3:A$203,graph!B$3:B$203)</f>
        <v>-4.7554401947112108</v>
      </c>
      <c r="H61" s="5"/>
      <c r="J61">
        <f t="shared" si="8"/>
        <v>-1.2940185515078129</v>
      </c>
      <c r="K61">
        <f t="shared" si="9"/>
        <v>11.981439792036911</v>
      </c>
      <c r="L61">
        <f t="shared" si="10"/>
        <v>-1.6635805444484131</v>
      </c>
      <c r="M61">
        <f t="shared" si="9"/>
        <v>9.5595960969231903</v>
      </c>
      <c r="N61">
        <f t="shared" si="11"/>
        <v>-0.61511622568723434</v>
      </c>
      <c r="O61">
        <f t="shared" ref="O61" si="329">$D61*(N61-$G61)^2</f>
        <v>17.14228256847445</v>
      </c>
      <c r="P61">
        <f t="shared" si="13"/>
        <v>-0.65666202308423682</v>
      </c>
      <c r="Q61">
        <f t="shared" ref="Q61" si="330">$D61*(P61-$G61)^2</f>
        <v>16.799982500205761</v>
      </c>
      <c r="R61" s="24">
        <f t="shared" si="15"/>
        <v>-1.781254008333687</v>
      </c>
      <c r="S61">
        <f t="shared" ref="S61" si="331">$D61*(R61-$G61)^2</f>
        <v>8.8457834712388781</v>
      </c>
      <c r="T61">
        <f t="shared" si="17"/>
        <v>-2.211217433028341E-2</v>
      </c>
      <c r="U61">
        <f t="shared" ref="U61" si="332">$D61*(T61-$G61)^2</f>
        <v>22.404394148523227</v>
      </c>
      <c r="V61">
        <f t="shared" si="19"/>
        <v>-1.6635805444842857</v>
      </c>
      <c r="W61">
        <f t="shared" ref="W61" si="333">$D61*(V61-$G61)^2</f>
        <v>9.5595960967013642</v>
      </c>
      <c r="X61">
        <f t="shared" si="21"/>
        <v>-0.81698779626841933</v>
      </c>
      <c r="Y61">
        <f t="shared" ref="Y61" si="334">$D61*(X61-$G61)^2</f>
        <v>15.511407294799778</v>
      </c>
      <c r="Z61" s="33">
        <f t="shared" si="23"/>
        <v>-1.3287567829741789</v>
      </c>
      <c r="AA61">
        <f t="shared" si="6"/>
        <v>0.94331338661866593</v>
      </c>
      <c r="BA61">
        <v>2009</v>
      </c>
      <c r="BB61">
        <v>0.93067311689999999</v>
      </c>
      <c r="BC61">
        <f t="shared" si="154"/>
        <v>0.66763095300000008</v>
      </c>
    </row>
    <row r="62" spans="1:55" x14ac:dyDescent="0.35">
      <c r="A62" t="str">
        <f>Table1!A55</f>
        <v>Newell, Prest and Sexton</v>
      </c>
      <c r="B62">
        <f>ROUND(Table1!C55,1)</f>
        <v>4.3</v>
      </c>
      <c r="C62">
        <f>Table1!E55</f>
        <v>5.63</v>
      </c>
      <c r="D62">
        <f>1/9</f>
        <v>0.1111111111111111</v>
      </c>
      <c r="E62">
        <v>2021</v>
      </c>
      <c r="F62" s="1">
        <f t="shared" si="7"/>
        <v>5.2</v>
      </c>
      <c r="G62" s="5">
        <f>C62*LOOKUP(F62,graph!A$3:A$203,graph!B$3:B$203)/LOOKUP(B62,graph!A$3:A$203,graph!B$3:B$203)</f>
        <v>7.9091935632962143</v>
      </c>
      <c r="H62" s="5"/>
      <c r="J62">
        <f t="shared" si="8"/>
        <v>-4.7256196448651213</v>
      </c>
      <c r="K62">
        <f t="shared" si="9"/>
        <v>17.737611645014237</v>
      </c>
      <c r="L62">
        <f t="shared" si="10"/>
        <v>-4.5529572795430253</v>
      </c>
      <c r="M62">
        <f t="shared" si="9"/>
        <v>17.256133736630975</v>
      </c>
      <c r="N62">
        <f t="shared" si="11"/>
        <v>-4.6074079619342987</v>
      </c>
      <c r="O62">
        <f t="shared" ref="O62" si="335">$D62*(N62-$G62)^2</f>
        <v>17.407257082378088</v>
      </c>
      <c r="P62">
        <f t="shared" si="13"/>
        <v>-4.8543551689834974</v>
      </c>
      <c r="Q62">
        <f t="shared" ref="Q62" si="336">$D62*(P62-$G62)^2</f>
        <v>18.100908471253227</v>
      </c>
      <c r="R62" s="24">
        <f t="shared" si="15"/>
        <v>-4.5889852659484456</v>
      </c>
      <c r="S62">
        <f t="shared" ref="S62" si="337">$D62*(R62-$G62)^2</f>
        <v>17.35605267197549</v>
      </c>
      <c r="T62">
        <f t="shared" si="17"/>
        <v>-0.70107021502432854</v>
      </c>
      <c r="U62">
        <f t="shared" ref="U62" si="338">$D62*(T62-$G62)^2</f>
        <v>8.2374047035843034</v>
      </c>
      <c r="V62">
        <f t="shared" si="19"/>
        <v>-4.5529572796412037</v>
      </c>
      <c r="W62">
        <f t="shared" ref="W62" si="339">$D62*(V62-$G62)^2</f>
        <v>17.256133736902868</v>
      </c>
      <c r="X62">
        <f t="shared" si="21"/>
        <v>-3.7855803136001249</v>
      </c>
      <c r="Y62">
        <f t="shared" ref="Y62" si="340">$D62*(X62-$G62)^2</f>
        <v>15.196415114637444</v>
      </c>
      <c r="Z62" s="33">
        <f t="shared" si="23"/>
        <v>-4.5392985373977668</v>
      </c>
      <c r="AA62">
        <f t="shared" si="6"/>
        <v>11.490514749191151</v>
      </c>
      <c r="BA62">
        <v>2010</v>
      </c>
      <c r="BB62">
        <v>1.0142628769000002</v>
      </c>
      <c r="BC62">
        <f t="shared" si="154"/>
        <v>0.68377426600000013</v>
      </c>
    </row>
    <row r="63" spans="1:55" x14ac:dyDescent="0.35">
      <c r="A63">
        <f>Table1!A56</f>
        <v>0</v>
      </c>
      <c r="B63">
        <f>ROUND(Table1!C56,1)</f>
        <v>4.3</v>
      </c>
      <c r="C63">
        <f>Table1!E56</f>
        <v>3.61</v>
      </c>
      <c r="D63">
        <f t="shared" ref="D63:D70" si="341">1/9</f>
        <v>0.1111111111111111</v>
      </c>
      <c r="E63">
        <v>2021</v>
      </c>
      <c r="F63" s="1">
        <f t="shared" si="7"/>
        <v>5.2</v>
      </c>
      <c r="G63" s="5">
        <f>C63*LOOKUP(F63,graph!A$3:A$203,graph!B$3:B$203)/LOOKUP(B63,graph!A$3:A$203,graph!B$3:B$203)</f>
        <v>5.0714367253107158</v>
      </c>
      <c r="H63" s="5"/>
      <c r="J63">
        <f t="shared" si="8"/>
        <v>-4.7256196448651213</v>
      </c>
      <c r="K63">
        <f t="shared" si="9"/>
        <v>10.664701502266995</v>
      </c>
      <c r="L63">
        <f t="shared" si="10"/>
        <v>-4.5529572795430253</v>
      </c>
      <c r="M63">
        <f t="shared" si="9"/>
        <v>10.292106662296069</v>
      </c>
      <c r="N63">
        <f t="shared" si="11"/>
        <v>-4.6074079619342987</v>
      </c>
      <c r="O63">
        <f t="shared" ref="O63" si="342">$D63*(N63-$G63)^2</f>
        <v>10.408892719979004</v>
      </c>
      <c r="P63">
        <f t="shared" si="13"/>
        <v>-4.8543551689834974</v>
      </c>
      <c r="Q63">
        <f t="shared" ref="Q63" si="343">$D63*(P63-$G63)^2</f>
        <v>10.946816080981858</v>
      </c>
      <c r="R63" s="24">
        <f t="shared" si="15"/>
        <v>-4.5889852659484456</v>
      </c>
      <c r="S63">
        <f t="shared" ref="S63" si="344">$D63*(R63-$G63)^2</f>
        <v>10.369305894355957</v>
      </c>
      <c r="T63">
        <f t="shared" si="17"/>
        <v>-0.70107021502432854</v>
      </c>
      <c r="U63">
        <f t="shared" ref="U63" si="345">$D63*(T63-$G63)^2</f>
        <v>3.702426264024028</v>
      </c>
      <c r="V63">
        <f t="shared" si="19"/>
        <v>-4.5529572796412037</v>
      </c>
      <c r="W63">
        <f t="shared" ref="W63" si="346">$D63*(V63-$G63)^2</f>
        <v>10.29210666250605</v>
      </c>
      <c r="X63">
        <f t="shared" si="21"/>
        <v>-3.7855803136001249</v>
      </c>
      <c r="Y63">
        <f t="shared" ref="Y63" si="347">$D63*(X63-$G63)^2</f>
        <v>8.7163056475063261</v>
      </c>
      <c r="Z63" s="33">
        <f t="shared" si="23"/>
        <v>-4.5392985373977668</v>
      </c>
      <c r="AA63">
        <f t="shared" si="6"/>
        <v>7.3790074057370427</v>
      </c>
      <c r="BA63">
        <v>2011</v>
      </c>
      <c r="BB63">
        <v>0.8715891469</v>
      </c>
      <c r="BC63">
        <f t="shared" si="154"/>
        <v>0.69336378899999995</v>
      </c>
    </row>
    <row r="64" spans="1:55" x14ac:dyDescent="0.35">
      <c r="A64">
        <f>Table1!A57</f>
        <v>0</v>
      </c>
      <c r="B64">
        <f>ROUND(Table1!C57,1)</f>
        <v>4.3</v>
      </c>
      <c r="C64">
        <f>Table1!E57</f>
        <v>-1.71</v>
      </c>
      <c r="D64">
        <f t="shared" si="341"/>
        <v>0.1111111111111111</v>
      </c>
      <c r="E64">
        <v>2021</v>
      </c>
      <c r="F64" s="1">
        <f t="shared" si="7"/>
        <v>5.2</v>
      </c>
      <c r="G64" s="5">
        <f>C64*LOOKUP(F64,graph!A$3:A$203,graph!B$3:B$203)/LOOKUP(B64,graph!A$3:A$203,graph!B$3:B$203)</f>
        <v>-2.4022595014629706</v>
      </c>
      <c r="H64" s="5"/>
      <c r="J64">
        <f t="shared" si="8"/>
        <v>-4.7256196448651213</v>
      </c>
      <c r="K64">
        <f t="shared" si="9"/>
        <v>0.59977803954996245</v>
      </c>
      <c r="L64">
        <f t="shared" si="10"/>
        <v>-4.5529572795430253</v>
      </c>
      <c r="M64">
        <f t="shared" si="9"/>
        <v>0.5139445480709427</v>
      </c>
      <c r="N64">
        <f t="shared" si="11"/>
        <v>-4.6074079619342987</v>
      </c>
      <c r="O64">
        <f t="shared" ref="O64" si="348">$D64*(N64-$G64)^2</f>
        <v>0.5402977480798965</v>
      </c>
      <c r="P64">
        <f t="shared" si="13"/>
        <v>-4.8543551689834974</v>
      </c>
      <c r="Q64">
        <f t="shared" ref="Q64" si="349">$D64*(P64-$G64)^2</f>
        <v>0.66808590696365966</v>
      </c>
      <c r="R64" s="24">
        <f t="shared" si="15"/>
        <v>-4.5889852659484456</v>
      </c>
      <c r="S64">
        <f t="shared" ref="S64" si="350">$D64*(R64-$G64)^2</f>
        <v>0.5313077298960649</v>
      </c>
      <c r="T64">
        <f t="shared" si="17"/>
        <v>-0.70107021502432854</v>
      </c>
      <c r="U64">
        <f t="shared" ref="U64" si="351">$D64*(T64-$G64)^2</f>
        <v>0.3215605542548462</v>
      </c>
      <c r="V64">
        <f t="shared" si="19"/>
        <v>-4.5529572796412037</v>
      </c>
      <c r="W64">
        <f t="shared" ref="W64" si="352">$D64*(V64-$G64)^2</f>
        <v>0.51394454811786539</v>
      </c>
      <c r="X64">
        <f t="shared" si="21"/>
        <v>-3.7855803136001249</v>
      </c>
      <c r="Y64">
        <f t="shared" ref="Y64" si="353">$D64*(X64-$G64)^2</f>
        <v>0.21261960769908844</v>
      </c>
      <c r="Z64" s="33">
        <f t="shared" si="23"/>
        <v>-4.5392985373977668</v>
      </c>
      <c r="AA64">
        <f t="shared" si="6"/>
        <v>0.88943669041346018</v>
      </c>
      <c r="BA64">
        <v>2012</v>
      </c>
      <c r="BB64">
        <v>0.91149851690000006</v>
      </c>
      <c r="BC64">
        <f t="shared" si="154"/>
        <v>0.71147524806666673</v>
      </c>
    </row>
    <row r="65" spans="1:55" x14ac:dyDescent="0.35">
      <c r="A65">
        <f>Table1!A58</f>
        <v>0</v>
      </c>
      <c r="B65">
        <f>ROUND(Table1!C58,1)</f>
        <v>4.3</v>
      </c>
      <c r="C65">
        <f>Table1!E58</f>
        <v>-1.63</v>
      </c>
      <c r="D65">
        <f t="shared" si="341"/>
        <v>0.1111111111111111</v>
      </c>
      <c r="E65">
        <v>2021</v>
      </c>
      <c r="F65" s="1">
        <f t="shared" si="7"/>
        <v>5.2</v>
      </c>
      <c r="G65" s="5">
        <f>C65*LOOKUP(F65,graph!A$3:A$203,graph!B$3:B$203)/LOOKUP(B65,graph!A$3:A$203,graph!B$3:B$203)</f>
        <v>-2.2898730920378023</v>
      </c>
      <c r="H65" s="5"/>
      <c r="J65">
        <f t="shared" si="8"/>
        <v>-4.7256196448651213</v>
      </c>
      <c r="K65">
        <f t="shared" si="9"/>
        <v>0.65920680773446305</v>
      </c>
      <c r="L65">
        <f t="shared" si="10"/>
        <v>-4.5529572795430253</v>
      </c>
      <c r="M65">
        <f t="shared" si="9"/>
        <v>0.56906111552624161</v>
      </c>
      <c r="N65">
        <f t="shared" si="11"/>
        <v>-4.6074079619342987</v>
      </c>
      <c r="O65">
        <f t="shared" ref="O65" si="354">$D65*(N65-$G65)^2</f>
        <v>0.59677420813179671</v>
      </c>
      <c r="P65">
        <f t="shared" si="13"/>
        <v>-4.8543551689834974</v>
      </c>
      <c r="Q65">
        <f t="shared" ref="Q65" si="355">$D65*(P65-$G65)^2</f>
        <v>0.73072981366396728</v>
      </c>
      <c r="R65" s="24">
        <f t="shared" si="15"/>
        <v>-4.5889852659484456</v>
      </c>
      <c r="S65">
        <f t="shared" ref="S65" si="356">$D65*(R65-$G65)^2</f>
        <v>0.58732408758045818</v>
      </c>
      <c r="T65">
        <f t="shared" si="17"/>
        <v>-0.70107021502432854</v>
      </c>
      <c r="U65">
        <f t="shared" ref="U65" si="357">$D65*(T65-$G65)^2</f>
        <v>0.28047717577847675</v>
      </c>
      <c r="V65">
        <f t="shared" si="19"/>
        <v>-4.5529572796412037</v>
      </c>
      <c r="W65">
        <f t="shared" ref="W65" si="358">$D65*(V65-$G65)^2</f>
        <v>0.56906111557561634</v>
      </c>
      <c r="X65">
        <f t="shared" si="21"/>
        <v>-3.7855803136001249</v>
      </c>
      <c r="Y65">
        <f t="shared" ref="Y65" si="359">$D65*(X65-$G65)^2</f>
        <v>0.24857112140374249</v>
      </c>
      <c r="Z65" s="33">
        <f t="shared" si="23"/>
        <v>-4.5392985373977668</v>
      </c>
      <c r="AA65">
        <f t="shared" si="6"/>
        <v>0.94044644218942053</v>
      </c>
      <c r="BA65">
        <v>2013</v>
      </c>
      <c r="BB65">
        <v>0.95746681690000002</v>
      </c>
      <c r="BC65">
        <f t="shared" si="154"/>
        <v>0.7247998077333333</v>
      </c>
    </row>
    <row r="66" spans="1:55" x14ac:dyDescent="0.35">
      <c r="A66">
        <f>Table1!A59</f>
        <v>0</v>
      </c>
      <c r="B66">
        <f>ROUND(Table1!C59,1)</f>
        <v>4.3</v>
      </c>
      <c r="C66">
        <f>Table1!E59</f>
        <v>-2.17</v>
      </c>
      <c r="D66">
        <f t="shared" si="341"/>
        <v>0.1111111111111111</v>
      </c>
      <c r="E66">
        <v>2021</v>
      </c>
      <c r="F66" s="1">
        <f t="shared" si="7"/>
        <v>5.2</v>
      </c>
      <c r="G66" s="5">
        <f>C66*LOOKUP(F66,graph!A$3:A$203,graph!B$3:B$203)/LOOKUP(B66,graph!A$3:A$203,graph!B$3:B$203)</f>
        <v>-3.048481355657688</v>
      </c>
      <c r="H66" s="5"/>
      <c r="J66">
        <f t="shared" si="8"/>
        <v>-4.7256196448651213</v>
      </c>
      <c r="K66">
        <f t="shared" si="9"/>
        <v>0.31253253790284846</v>
      </c>
      <c r="L66">
        <f t="shared" si="10"/>
        <v>-4.5529572795430253</v>
      </c>
      <c r="M66">
        <f t="shared" si="9"/>
        <v>0.25149420061673766</v>
      </c>
      <c r="N66">
        <f t="shared" si="11"/>
        <v>-4.6074079619342987</v>
      </c>
      <c r="O66">
        <f t="shared" ref="O66" si="360">$D66*(N66-$G66)^2</f>
        <v>0.27002801819523453</v>
      </c>
      <c r="P66">
        <f t="shared" si="13"/>
        <v>-4.8543551689834974</v>
      </c>
      <c r="Q66">
        <f t="shared" ref="Q66" si="361">$D66*(P66-$G66)^2</f>
        <v>0.36235335885065562</v>
      </c>
      <c r="R66" s="24">
        <f t="shared" si="15"/>
        <v>-4.5889852659484456</v>
      </c>
      <c r="S66">
        <f t="shared" ref="S66" si="362">$D66*(R66-$G66)^2</f>
        <v>0.26368358862456825</v>
      </c>
      <c r="T66">
        <f t="shared" si="17"/>
        <v>-0.70107021502432854</v>
      </c>
      <c r="U66">
        <f t="shared" ref="U66" si="363">$D66*(T66-$G66)^2</f>
        <v>0.61225989590773433</v>
      </c>
      <c r="V66">
        <f t="shared" si="19"/>
        <v>-4.5529572796412037</v>
      </c>
      <c r="W66">
        <f t="shared" ref="W66" si="364">$D66*(V66-$G66)^2</f>
        <v>0.25149420064956146</v>
      </c>
      <c r="X66">
        <f t="shared" si="21"/>
        <v>-3.7855803136001249</v>
      </c>
      <c r="Y66">
        <f t="shared" ref="Y66" si="365">$D66*(X66-$G66)^2</f>
        <v>6.0368319311091823E-2</v>
      </c>
      <c r="Z66" s="33">
        <f t="shared" si="23"/>
        <v>-4.5392985373977668</v>
      </c>
      <c r="AA66">
        <f t="shared" si="6"/>
        <v>0.62373061770168847</v>
      </c>
      <c r="BA66">
        <v>2014</v>
      </c>
      <c r="BB66">
        <v>1.0067630669000001</v>
      </c>
      <c r="BC66">
        <f t="shared" si="154"/>
        <v>0.74562870573333317</v>
      </c>
    </row>
    <row r="67" spans="1:55" x14ac:dyDescent="0.35">
      <c r="A67">
        <f>Table1!A60</f>
        <v>0</v>
      </c>
      <c r="B67">
        <f>ROUND(Table1!C60,1)</f>
        <v>4.3</v>
      </c>
      <c r="C67">
        <f>Table1!E60</f>
        <v>-0.64</v>
      </c>
      <c r="D67">
        <f t="shared" si="341"/>
        <v>0.1111111111111111</v>
      </c>
      <c r="E67">
        <v>2021</v>
      </c>
      <c r="F67" s="1">
        <f t="shared" si="7"/>
        <v>5.2</v>
      </c>
      <c r="G67" s="5">
        <f>C67*LOOKUP(F67,graph!A$3:A$203,graph!B$3:B$203)/LOOKUP(B67,graph!A$3:A$203,graph!B$3:B$203)</f>
        <v>-0.8990912754013457</v>
      </c>
      <c r="H67" s="5"/>
      <c r="J67">
        <f t="shared" si="8"/>
        <v>-4.7256196448651213</v>
      </c>
      <c r="K67">
        <f t="shared" si="9"/>
        <v>1.6269243735901224</v>
      </c>
      <c r="L67">
        <f t="shared" si="10"/>
        <v>-4.5529572795430253</v>
      </c>
      <c r="M67">
        <f t="shared" si="9"/>
        <v>1.4834151973580316</v>
      </c>
      <c r="N67">
        <f t="shared" si="11"/>
        <v>-4.6074079619342987</v>
      </c>
      <c r="O67">
        <f t="shared" ref="O67" si="366">$D67*(N67-$G67)^2</f>
        <v>1.5279569608465267</v>
      </c>
      <c r="P67">
        <f t="shared" si="13"/>
        <v>-4.8543551689834974</v>
      </c>
      <c r="Q67">
        <f t="shared" ref="Q67" si="367">$D67*(P67-$G67)^2</f>
        <v>1.738234718652738</v>
      </c>
      <c r="R67" s="24">
        <f t="shared" si="15"/>
        <v>-4.5889852659484456</v>
      </c>
      <c r="S67">
        <f t="shared" ref="S67" si="368">$D67*(R67-$G67)^2</f>
        <v>1.5128130734972891</v>
      </c>
      <c r="T67">
        <f t="shared" si="17"/>
        <v>-0.70107021502432854</v>
      </c>
      <c r="U67">
        <f t="shared" ref="U67" si="369">$D67*(T67-$G67)^2</f>
        <v>4.3569267058709196E-3</v>
      </c>
      <c r="V67">
        <f t="shared" si="19"/>
        <v>-4.5529572796412037</v>
      </c>
      <c r="W67">
        <f t="shared" ref="W67" si="370">$D67*(V67-$G67)^2</f>
        <v>1.4834151974377494</v>
      </c>
      <c r="X67">
        <f t="shared" si="21"/>
        <v>-3.7855803136001249</v>
      </c>
      <c r="Y67">
        <f t="shared" ref="Y67" si="371">$D67*(X67-$G67)^2</f>
        <v>0.92575766307130158</v>
      </c>
      <c r="Z67" s="33">
        <f t="shared" si="23"/>
        <v>-4.5392985373977668</v>
      </c>
      <c r="AA67">
        <f t="shared" si="6"/>
        <v>1.6893921204169291</v>
      </c>
      <c r="BA67">
        <v>2015</v>
      </c>
      <c r="BB67">
        <v>1.1590057868999999</v>
      </c>
      <c r="BC67">
        <f t="shared" si="154"/>
        <v>0.77147485873333332</v>
      </c>
    </row>
    <row r="68" spans="1:55" x14ac:dyDescent="0.35">
      <c r="A68">
        <f>Table1!A61</f>
        <v>0</v>
      </c>
      <c r="B68">
        <f>ROUND(Table1!C61,1)</f>
        <v>4.3</v>
      </c>
      <c r="C68">
        <f>Table1!E61</f>
        <v>-1.82</v>
      </c>
      <c r="D68">
        <f t="shared" si="341"/>
        <v>0.1111111111111111</v>
      </c>
      <c r="E68">
        <v>2021</v>
      </c>
      <c r="F68" s="1">
        <f t="shared" si="7"/>
        <v>5.2</v>
      </c>
      <c r="G68" s="5">
        <f>C68*LOOKUP(F68,graph!A$3:A$203,graph!B$3:B$203)/LOOKUP(B68,graph!A$3:A$203,graph!B$3:B$203)</f>
        <v>-2.5567908144225773</v>
      </c>
      <c r="H68" s="5"/>
      <c r="J68">
        <f t="shared" si="8"/>
        <v>-4.7256196448651213</v>
      </c>
      <c r="K68">
        <f t="shared" si="9"/>
        <v>0.52264649952875264</v>
      </c>
      <c r="L68">
        <f t="shared" si="10"/>
        <v>-4.5529572795430253</v>
      </c>
      <c r="M68">
        <f t="shared" si="9"/>
        <v>0.44274228405238497</v>
      </c>
      <c r="N68">
        <f t="shared" si="11"/>
        <v>-4.6074079619342987</v>
      </c>
      <c r="O68">
        <f t="shared" ref="O68" si="372">$D68*(N68-$G68)^2</f>
        <v>0.46722563174101206</v>
      </c>
      <c r="P68">
        <f t="shared" si="13"/>
        <v>-4.8543551689834974</v>
      </c>
      <c r="Q68">
        <f t="shared" ref="Q68" si="373">$D68*(P68-$G68)^2</f>
        <v>0.58653355148321518</v>
      </c>
      <c r="R68" s="24">
        <f t="shared" si="15"/>
        <v>-4.5889852659484456</v>
      </c>
      <c r="S68">
        <f t="shared" ref="S68" si="374">$D68*(R68-$G68)^2</f>
        <v>0.45886825431250272</v>
      </c>
      <c r="T68">
        <f t="shared" si="17"/>
        <v>-0.70107021502432854</v>
      </c>
      <c r="U68">
        <f t="shared" ref="U68" si="375">$D68*(T68-$G68)^2</f>
        <v>0.38263321589233273</v>
      </c>
      <c r="V68">
        <f t="shared" si="19"/>
        <v>-4.5529572796412037</v>
      </c>
      <c r="W68">
        <f t="shared" ref="W68" si="376">$D68*(V68-$G68)^2</f>
        <v>0.44274228409593613</v>
      </c>
      <c r="X68">
        <f t="shared" si="21"/>
        <v>-3.7855803136001249</v>
      </c>
      <c r="Y68">
        <f t="shared" ref="Y68" si="377">$D68*(X68-$G68)^2</f>
        <v>0.1677692925876676</v>
      </c>
      <c r="Z68" s="33">
        <f t="shared" si="23"/>
        <v>-4.5392985373977668</v>
      </c>
      <c r="AA68">
        <f t="shared" si="6"/>
        <v>0.82162050394373676</v>
      </c>
      <c r="BA68">
        <v>2016</v>
      </c>
      <c r="BB68">
        <v>1.2668185469000002</v>
      </c>
      <c r="BC68">
        <f t="shared" si="154"/>
        <v>0.79938286406666659</v>
      </c>
    </row>
    <row r="69" spans="1:55" x14ac:dyDescent="0.35">
      <c r="A69">
        <f>Table1!A62</f>
        <v>0</v>
      </c>
      <c r="B69">
        <f>ROUND(Table1!C62,1)</f>
        <v>4.3</v>
      </c>
      <c r="C69">
        <f>Table1!E62</f>
        <v>-1.75</v>
      </c>
      <c r="D69">
        <f t="shared" si="341"/>
        <v>0.1111111111111111</v>
      </c>
      <c r="E69">
        <v>2021</v>
      </c>
      <c r="F69" s="1">
        <f t="shared" si="7"/>
        <v>5.2</v>
      </c>
      <c r="G69" s="5">
        <f>C69*LOOKUP(F69,graph!A$3:A$203,graph!B$3:B$203)/LOOKUP(B69,graph!A$3:A$203,graph!B$3:B$203)</f>
        <v>-2.4584527061755552</v>
      </c>
      <c r="H69" s="5"/>
      <c r="J69">
        <f t="shared" si="8"/>
        <v>-4.7256196448651213</v>
      </c>
      <c r="K69">
        <f t="shared" si="9"/>
        <v>0.57111621420966874</v>
      </c>
      <c r="L69">
        <f t="shared" si="10"/>
        <v>-4.5529572795430253</v>
      </c>
      <c r="M69">
        <f t="shared" si="9"/>
        <v>0.48743882309524977</v>
      </c>
      <c r="N69">
        <f t="shared" si="11"/>
        <v>-4.6074079619342987</v>
      </c>
      <c r="O69">
        <f t="shared" ref="O69" si="378">$D69*(N69-$G69)^2</f>
        <v>0.51311207680590287</v>
      </c>
      <c r="P69">
        <f t="shared" si="13"/>
        <v>-4.8543551689834974</v>
      </c>
      <c r="Q69">
        <f t="shared" ref="Q69" si="379">$D69*(P69-$G69)^2</f>
        <v>0.63781651236546244</v>
      </c>
      <c r="R69" s="24">
        <f t="shared" si="15"/>
        <v>-4.5889852659484456</v>
      </c>
      <c r="S69">
        <f t="shared" ref="S69" si="380">$D69*(R69-$G69)^2</f>
        <v>0.50435210980582501</v>
      </c>
      <c r="T69">
        <f t="shared" si="17"/>
        <v>-0.70107021502432854</v>
      </c>
      <c r="U69">
        <f t="shared" ref="U69" si="381">$D69*(T69-$G69)^2</f>
        <v>0.3431548022449879</v>
      </c>
      <c r="V69">
        <f t="shared" si="19"/>
        <v>-4.5529572796412037</v>
      </c>
      <c r="W69">
        <f t="shared" ref="W69" si="382">$D69*(V69-$G69)^2</f>
        <v>0.48743882314094644</v>
      </c>
      <c r="X69">
        <f t="shared" si="21"/>
        <v>-3.7855803136001249</v>
      </c>
      <c r="Y69">
        <f t="shared" ref="Y69" si="383">$D69*(X69-$G69)^2</f>
        <v>0.19569640959871809</v>
      </c>
      <c r="Z69" s="33">
        <f t="shared" si="23"/>
        <v>-4.5392985373977668</v>
      </c>
      <c r="AA69">
        <f t="shared" si="6"/>
        <v>0.86446514785881334</v>
      </c>
      <c r="BA69">
        <v>2017</v>
      </c>
      <c r="BB69">
        <v>1.1790656669000001</v>
      </c>
      <c r="BC69">
        <f t="shared" si="154"/>
        <v>0.81945445906666659</v>
      </c>
    </row>
    <row r="70" spans="1:55" x14ac:dyDescent="0.35">
      <c r="A70">
        <f>Table1!A63</f>
        <v>0</v>
      </c>
      <c r="B70">
        <f>ROUND(Table1!C63,1)</f>
        <v>4.3</v>
      </c>
      <c r="C70">
        <f>Table1!E63</f>
        <v>-2.16</v>
      </c>
      <c r="D70">
        <f t="shared" si="341"/>
        <v>0.1111111111111111</v>
      </c>
      <c r="E70">
        <v>2021</v>
      </c>
      <c r="F70" s="1">
        <f t="shared" si="7"/>
        <v>5.2</v>
      </c>
      <c r="G70" s="5">
        <f>C70*LOOKUP(F70,graph!A$3:A$203,graph!B$3:B$203)/LOOKUP(B70,graph!A$3:A$203,graph!B$3:B$203)</f>
        <v>-3.0344330544795421</v>
      </c>
      <c r="H70" s="5"/>
      <c r="J70">
        <f t="shared" si="8"/>
        <v>-4.7256196448651213</v>
      </c>
      <c r="K70">
        <f t="shared" si="9"/>
        <v>0.31779023150000008</v>
      </c>
      <c r="L70">
        <f t="shared" si="10"/>
        <v>-4.5529572795430253</v>
      </c>
      <c r="M70">
        <f t="shared" si="9"/>
        <v>0.25621286912273911</v>
      </c>
      <c r="N70">
        <f t="shared" si="11"/>
        <v>-4.6074079619342987</v>
      </c>
      <c r="O70">
        <f t="shared" ref="O70" si="384">$D70*(N70-$G70)^2</f>
        <v>0.2749166732758111</v>
      </c>
      <c r="P70">
        <f t="shared" si="13"/>
        <v>-4.8543551689834974</v>
      </c>
      <c r="Q70">
        <f t="shared" ref="Q70" si="385">$D70*(P70-$G70)^2</f>
        <v>0.36801294476228302</v>
      </c>
      <c r="R70" s="24">
        <f t="shared" si="15"/>
        <v>-4.5889852659484456</v>
      </c>
      <c r="S70">
        <f t="shared" ref="S70" si="386">$D70*(R70-$G70)^2</f>
        <v>0.26851473090920647</v>
      </c>
      <c r="T70">
        <f t="shared" si="17"/>
        <v>-0.70107021502432854</v>
      </c>
      <c r="U70">
        <f t="shared" ref="U70" si="387">$D70*(T70-$G70)^2</f>
        <v>0.60495357117227733</v>
      </c>
      <c r="V70">
        <f t="shared" si="19"/>
        <v>-4.5529572796412037</v>
      </c>
      <c r="W70">
        <f t="shared" ref="W70" si="388">$D70*(V70-$G70)^2</f>
        <v>0.25621286915586938</v>
      </c>
      <c r="X70">
        <f t="shared" si="21"/>
        <v>-3.7855803136001249</v>
      </c>
      <c r="Y70">
        <f t="shared" ref="Y70" si="389">$D70*(X70-$G70)^2</f>
        <v>6.2691356098262652E-2</v>
      </c>
      <c r="Z70" s="33">
        <f t="shared" si="23"/>
        <v>-4.5392985373977668</v>
      </c>
      <c r="AA70">
        <f t="shared" si="6"/>
        <v>0.62900683667368351</v>
      </c>
      <c r="BA70">
        <v>2018</v>
      </c>
      <c r="BB70">
        <v>1.0965454169000002</v>
      </c>
      <c r="BC70">
        <f t="shared" si="154"/>
        <v>0.83547120140000009</v>
      </c>
    </row>
    <row r="71" spans="1:55" x14ac:dyDescent="0.35">
      <c r="A71" t="str">
        <f>Table1!A64</f>
        <v>Schauer 1995</v>
      </c>
      <c r="B71">
        <f>ROUND(Table1!C64,1)</f>
        <v>2.5</v>
      </c>
      <c r="C71">
        <f>Table1!E64</f>
        <v>-5.22</v>
      </c>
      <c r="D71">
        <v>1</v>
      </c>
      <c r="E71">
        <v>1995</v>
      </c>
      <c r="F71" s="1">
        <f t="shared" si="7"/>
        <v>2.9</v>
      </c>
      <c r="G71" s="5">
        <f>C71*LOOKUP(F71,graph!A$3:A$203,graph!B$3:B$203)/LOOKUP(B71,graph!A$3:A$203,graph!B$3:B$203)</f>
        <v>-6.4703536951586926</v>
      </c>
      <c r="H71" s="5"/>
      <c r="J71">
        <f t="shared" si="8"/>
        <v>-2.1751902736996627</v>
      </c>
      <c r="K71">
        <f t="shared" si="9"/>
        <v>18.448428817039641</v>
      </c>
      <c r="L71">
        <f t="shared" si="10"/>
        <v>-2.5391492520528409</v>
      </c>
      <c r="M71">
        <f t="shared" si="9"/>
        <v>15.454368373495189</v>
      </c>
      <c r="N71">
        <f t="shared" si="11"/>
        <v>-1.4329992958530862</v>
      </c>
      <c r="O71">
        <f t="shared" ref="O71" si="390">$D71*(N71-$G71)^2</f>
        <v>25.374939344203543</v>
      </c>
      <c r="P71">
        <f t="shared" si="13"/>
        <v>-1.5288320246723281</v>
      </c>
      <c r="Q71">
        <f t="shared" ref="Q71" si="391">$D71*(P71-$G71)^2</f>
        <v>24.418636419886354</v>
      </c>
      <c r="R71" s="24">
        <f t="shared" si="15"/>
        <v>-2.3564614362701288</v>
      </c>
      <c r="S71">
        <f t="shared" ref="S71" si="392">$D71*(R71-$G71)^2</f>
        <v>16.924109517743251</v>
      </c>
      <c r="T71">
        <f t="shared" si="17"/>
        <v>-6.6789438361526024E-2</v>
      </c>
      <c r="U71">
        <f t="shared" ref="U71" si="393">$D71*(T71-$G71)^2</f>
        <v>41.005635190930249</v>
      </c>
      <c r="V71">
        <f t="shared" si="19"/>
        <v>-2.539149252107594</v>
      </c>
      <c r="W71">
        <f t="shared" ref="W71" si="394">$D71*(V71-$G71)^2</f>
        <v>15.454368373064698</v>
      </c>
      <c r="X71">
        <f t="shared" si="21"/>
        <v>-1.4007988625287731</v>
      </c>
      <c r="Y71">
        <f t="shared" ref="Y71" si="395">$D71*(X71-$G71)^2</f>
        <v>25.700386201041376</v>
      </c>
      <c r="Z71" s="33">
        <f t="shared" si="23"/>
        <v>-2.0959494672121899</v>
      </c>
      <c r="AA71">
        <f t="shared" si="6"/>
        <v>9.7596917314117988</v>
      </c>
      <c r="BA71">
        <v>2019</v>
      </c>
      <c r="BB71">
        <v>1.2249640169</v>
      </c>
      <c r="BC71">
        <f t="shared" si="154"/>
        <v>0.85919861240000006</v>
      </c>
    </row>
    <row r="72" spans="1:55" x14ac:dyDescent="0.35">
      <c r="A72" t="str">
        <f>Table1!A65</f>
        <v>Horowitz 2009</v>
      </c>
      <c r="B72">
        <f>ROUND(Table1!C65,1)</f>
        <v>1</v>
      </c>
      <c r="C72">
        <f>Table1!E65</f>
        <v>-3.8</v>
      </c>
      <c r="D72">
        <v>1</v>
      </c>
      <c r="E72">
        <v>2009</v>
      </c>
      <c r="F72" s="1">
        <f t="shared" si="7"/>
        <v>1.7</v>
      </c>
      <c r="G72" s="5">
        <f>C72*LOOKUP(F72,graph!A$3:A$203,graph!B$3:B$203)/LOOKUP(B72,graph!A$3:A$203,graph!B$3:B$203)</f>
        <v>-6.7545322636381711</v>
      </c>
      <c r="H72" s="5"/>
      <c r="J72">
        <f t="shared" si="8"/>
        <v>-1.134344978931078</v>
      </c>
      <c r="K72">
        <f t="shared" si="9"/>
        <v>31.586505115183286</v>
      </c>
      <c r="L72">
        <f t="shared" si="10"/>
        <v>-1.4884668029275274</v>
      </c>
      <c r="M72">
        <f t="shared" si="9"/>
        <v>27.731445436489608</v>
      </c>
      <c r="N72">
        <f t="shared" si="11"/>
        <v>-0.49243376516235654</v>
      </c>
      <c r="O72">
        <f t="shared" ref="O72" si="396">$D72*(N72-$G72)^2</f>
        <v>39.213877604613046</v>
      </c>
      <c r="P72">
        <f t="shared" si="13"/>
        <v>-0.52571262028726129</v>
      </c>
      <c r="Q72">
        <f t="shared" ref="Q72" si="397">$D72*(P72-$G72)^2</f>
        <v>38.798194149394156</v>
      </c>
      <c r="R72" s="24">
        <f t="shared" si="15"/>
        <v>-1.6949728941432207</v>
      </c>
      <c r="S72">
        <f t="shared" ref="S72" si="398">$D72*(R72-$G72)^2</f>
        <v>25.59914101344414</v>
      </c>
      <c r="T72">
        <f t="shared" si="17"/>
        <v>-1.7398969621168641E-2</v>
      </c>
      <c r="U72">
        <f t="shared" ref="U72" si="399">$D72*(T72-$G72)^2</f>
        <v>45.388965021352391</v>
      </c>
      <c r="V72">
        <f t="shared" si="19"/>
        <v>-1.488466802959624</v>
      </c>
      <c r="W72">
        <f t="shared" ref="W72" si="400">$D72*(V72-$G72)^2</f>
        <v>27.731445436151557</v>
      </c>
      <c r="X72">
        <f t="shared" si="21"/>
        <v>-0.71801806838406179</v>
      </c>
      <c r="Y72">
        <f t="shared" ref="Y72" si="401">$D72*(X72-$G72)^2</f>
        <v>36.439503629504365</v>
      </c>
      <c r="Z72" s="33">
        <f t="shared" si="23"/>
        <v>-1.1952399080016651</v>
      </c>
      <c r="AA72">
        <f t="shared" si="6"/>
        <v>6.7847751368671743</v>
      </c>
      <c r="BA72">
        <v>2020</v>
      </c>
      <c r="BB72">
        <v>1.2566852169</v>
      </c>
      <c r="BC72">
        <f t="shared" si="154"/>
        <v>0.87793965673333341</v>
      </c>
    </row>
    <row r="73" spans="1:55" x14ac:dyDescent="0.35">
      <c r="A73" t="str">
        <f>Table1!A66</f>
        <v>Eboli 2010</v>
      </c>
      <c r="B73">
        <f>ROUND(Table1!C66,1)</f>
        <v>3</v>
      </c>
      <c r="C73">
        <f>Table1!E66</f>
        <v>-1.35</v>
      </c>
      <c r="D73">
        <v>1</v>
      </c>
      <c r="E73">
        <v>2010</v>
      </c>
      <c r="F73" s="1">
        <f t="shared" si="7"/>
        <v>3.7</v>
      </c>
      <c r="G73" s="5">
        <f>C73*LOOKUP(F73,graph!A$3:A$203,graph!B$3:B$203)/LOOKUP(B73,graph!A$3:A$203,graph!B$3:B$203)</f>
        <v>-1.8515794944970247</v>
      </c>
      <c r="H73" s="5"/>
      <c r="J73">
        <f t="shared" si="8"/>
        <v>-2.9794922826229522</v>
      </c>
      <c r="K73">
        <f t="shared" si="9"/>
        <v>1.2721872576180033</v>
      </c>
      <c r="L73">
        <f t="shared" si="10"/>
        <v>-3.2396042181363836</v>
      </c>
      <c r="M73">
        <f t="shared" si="9"/>
        <v>1.9266126334341185</v>
      </c>
      <c r="N73">
        <f t="shared" si="11"/>
        <v>-2.3326706730355236</v>
      </c>
      <c r="O73">
        <f t="shared" ref="O73" si="402">$D73*(N73-$G73)^2</f>
        <v>0.23144872206756173</v>
      </c>
      <c r="P73">
        <f t="shared" si="13"/>
        <v>-2.484464564596752</v>
      </c>
      <c r="Q73">
        <f t="shared" ref="Q73" si="403">$D73*(P73-$G73)^2</f>
        <v>0.40054351195513671</v>
      </c>
      <c r="R73" s="24">
        <f t="shared" si="15"/>
        <v>-2.989189607000216</v>
      </c>
      <c r="S73">
        <f t="shared" ref="S73" si="404">$D73*(R73-$G73)^2</f>
        <v>1.2941567680695234</v>
      </c>
      <c r="T73">
        <f t="shared" si="17"/>
        <v>-0.15340869932152654</v>
      </c>
      <c r="U73">
        <f t="shared" ref="U73" si="405">$D73*(T73-$G73)^2</f>
        <v>2.8837840495869842</v>
      </c>
      <c r="V73">
        <f t="shared" si="19"/>
        <v>-3.239604218206241</v>
      </c>
      <c r="W73">
        <f t="shared" ref="W73" si="406">$D73*(V73-$G73)^2</f>
        <v>1.926612633628046</v>
      </c>
      <c r="X73">
        <f t="shared" si="21"/>
        <v>-2.0199015036337267</v>
      </c>
      <c r="Y73">
        <f t="shared" ref="Y73" si="407">$D73*(X73-$G73)^2</f>
        <v>2.8332298759815966E-2</v>
      </c>
      <c r="Z73" s="33">
        <f t="shared" si="23"/>
        <v>-2.8340577901461756</v>
      </c>
      <c r="AA73">
        <f t="shared" si="6"/>
        <v>2.2024275244935501</v>
      </c>
      <c r="BA73">
        <v>2021</v>
      </c>
      <c r="BB73">
        <v>1.0957473169</v>
      </c>
      <c r="BC73">
        <f t="shared" si="154"/>
        <v>0.89203830206666668</v>
      </c>
    </row>
    <row r="74" spans="1:55" x14ac:dyDescent="0.35">
      <c r="A74" t="str">
        <f>Table1!A67</f>
        <v>Ng and Zhao 2011</v>
      </c>
      <c r="B74">
        <f>ROUND(Table1!C67,1)</f>
        <v>1</v>
      </c>
      <c r="C74">
        <f>Table1!E67</f>
        <v>-1.35</v>
      </c>
      <c r="D74">
        <v>0.5</v>
      </c>
      <c r="E74">
        <v>2011</v>
      </c>
      <c r="F74" s="1">
        <f t="shared" si="7"/>
        <v>1.7</v>
      </c>
      <c r="G74" s="5">
        <f>C74*LOOKUP(F74,graph!A$3:A$203,graph!B$3:B$203)/LOOKUP(B74,graph!A$3:A$203,graph!B$3:B$203)</f>
        <v>-2.3996364620819821</v>
      </c>
      <c r="H74" s="5"/>
      <c r="J74">
        <f t="shared" si="8"/>
        <v>-1.134344978931078</v>
      </c>
      <c r="K74">
        <f t="shared" si="9"/>
        <v>0.80048126866710734</v>
      </c>
      <c r="L74">
        <f t="shared" si="10"/>
        <v>-1.4884668029275274</v>
      </c>
      <c r="M74">
        <f t="shared" si="9"/>
        <v>0.41511507388182256</v>
      </c>
      <c r="N74">
        <f t="shared" si="11"/>
        <v>-0.49243376516235654</v>
      </c>
      <c r="O74">
        <f t="shared" ref="O74" si="408">$D74*(N74-$G74)^2</f>
        <v>1.8187110635687467</v>
      </c>
      <c r="P74">
        <f t="shared" si="13"/>
        <v>-0.52571262028726129</v>
      </c>
      <c r="Q74">
        <f t="shared" ref="Q74" si="409">$D74*(P74-$G74)^2</f>
        <v>1.7557952824233429</v>
      </c>
      <c r="R74" s="24">
        <f t="shared" si="15"/>
        <v>-1.6949728941432207</v>
      </c>
      <c r="S74">
        <f t="shared" ref="S74" si="410">$D74*(R74-$G74)^2</f>
        <v>0.2482753719900927</v>
      </c>
      <c r="T74">
        <f t="shared" si="17"/>
        <v>-1.7398969621168641E-2</v>
      </c>
      <c r="U74">
        <f t="shared" ref="U74" si="411">$D74*(T74-$G74)^2</f>
        <v>2.837527735242992</v>
      </c>
      <c r="V74">
        <f t="shared" si="19"/>
        <v>-1.488466802959624</v>
      </c>
      <c r="W74">
        <f t="shared" ref="W74" si="412">$D74*(V74-$G74)^2</f>
        <v>0.41511507385257718</v>
      </c>
      <c r="X74">
        <f t="shared" si="21"/>
        <v>-0.71801806838406179</v>
      </c>
      <c r="Y74">
        <f t="shared" ref="Y74" si="413">$D74*(X74-$G74)^2</f>
        <v>1.4139202110115869</v>
      </c>
      <c r="Z74" s="33">
        <f t="shared" si="23"/>
        <v>-1.1952399080016651</v>
      </c>
      <c r="AA74">
        <f t="shared" ref="AA74:AA78" si="414">$D74*(Z74-$C74)^2</f>
        <v>1.197534303766655E-2</v>
      </c>
    </row>
    <row r="75" spans="1:55" x14ac:dyDescent="0.35">
      <c r="A75">
        <f>Table1!A68</f>
        <v>0</v>
      </c>
      <c r="B75">
        <f>ROUND(Table1!C68,1)</f>
        <v>1</v>
      </c>
      <c r="C75">
        <f>Table1!E68</f>
        <v>-1.61</v>
      </c>
      <c r="D75">
        <v>0.5</v>
      </c>
      <c r="E75">
        <v>2011</v>
      </c>
      <c r="F75" s="1">
        <f t="shared" ref="F75:F78" si="415">ROUND(LOOKUP(E75,BA$31:BA$73,BC$31:BC$73)+B75,1)</f>
        <v>1.7</v>
      </c>
      <c r="G75" s="5">
        <f>C75*LOOKUP(F75,graph!A$3:A$203,graph!B$3:B$203)/LOOKUP(B75,graph!A$3:A$203,graph!B$3:B$203)</f>
        <v>-2.8617886695940675</v>
      </c>
      <c r="H75" s="5"/>
      <c r="J75">
        <f t="shared" ref="J75:J78" si="416">J$1*F75+J$2*F75^2</f>
        <v>-1.134344978931078</v>
      </c>
      <c r="K75">
        <f t="shared" ref="K75:M78" si="417">$D75*(J75-$G75)^2</f>
        <v>1.4920308522056851</v>
      </c>
      <c r="L75">
        <f t="shared" ref="L75:L78" si="418">IF(F75&lt;=L$2,F75*L$1,L$1*L$2+L$3*(F75-L$2))</f>
        <v>-1.4884668029275274</v>
      </c>
      <c r="M75">
        <f t="shared" si="417"/>
        <v>0.94300647473223509</v>
      </c>
      <c r="N75">
        <f t="shared" ref="N75:N78" si="419">N$1*F75^2</f>
        <v>-0.49243376516235654</v>
      </c>
      <c r="O75">
        <f t="shared" ref="O75" si="420">$D75*(N75-$G75)^2</f>
        <v>2.8069213315773007</v>
      </c>
      <c r="P75">
        <f t="shared" ref="P75:P78" si="421">P$1*F75^2+P$2*F75^7</f>
        <v>-0.52571262028726129</v>
      </c>
      <c r="Q75">
        <f t="shared" ref="Q75" si="422">$D75*(P75-$G75)^2</f>
        <v>2.7286256540724474</v>
      </c>
      <c r="R75" s="24">
        <f t="shared" ref="R75:R78" si="423">R$1*F75^2+R$2*10^6</f>
        <v>-1.6949728941432207</v>
      </c>
      <c r="S75">
        <f t="shared" ref="S75" si="424">$D75*(R75-$G75)^2</f>
        <v>0.6807295269204805</v>
      </c>
      <c r="T75">
        <f t="shared" ref="T75:T78" si="425">T$2+T$1*EXP(F75)</f>
        <v>-1.7398969621168641E-2</v>
      </c>
      <c r="U75">
        <f t="shared" ref="U75" si="426">$D75*(T75-$G75)^2</f>
        <v>4.0452763826559588</v>
      </c>
      <c r="V75">
        <f t="shared" ref="V75:V78" si="427">V$1*F75</f>
        <v>-1.488466802959624</v>
      </c>
      <c r="W75">
        <f t="shared" ref="W75" si="428">$D75*(V75-$G75)^2</f>
        <v>0.94300647468815624</v>
      </c>
      <c r="X75">
        <f t="shared" ref="X75:X78" si="429">(1-EXP(-2*X$1*F75))/2/EXP(-X$1*F75)</f>
        <v>-0.71801806838406179</v>
      </c>
      <c r="Y75">
        <f t="shared" ref="Y75" si="430">$D75*(X75-$G75)^2</f>
        <v>2.2978761953061548</v>
      </c>
      <c r="Z75" s="33">
        <f t="shared" ref="Z75:Z78" si="431">J75*K$5+L75*M$5+N75*O$5+P75*Q$5+R75*S$5+T75*U$5+V75*W$5+X75*Y$5</f>
        <v>-1.1952399080016651</v>
      </c>
      <c r="AA75">
        <f t="shared" si="414"/>
        <v>8.601296695723365E-2</v>
      </c>
    </row>
    <row r="76" spans="1:55" ht="15" thickBot="1" x14ac:dyDescent="0.4">
      <c r="A76" t="str">
        <f>Table1!A69</f>
        <v>Hope 2011</v>
      </c>
      <c r="B76">
        <f>ROUND(Table1!C69,1)</f>
        <v>3</v>
      </c>
      <c r="C76">
        <f>Table1!E69</f>
        <v>-0.7</v>
      </c>
      <c r="D76">
        <v>1</v>
      </c>
      <c r="E76">
        <v>2011</v>
      </c>
      <c r="F76" s="1">
        <f t="shared" si="415"/>
        <v>3.7</v>
      </c>
      <c r="G76" s="5">
        <f>C76*LOOKUP(F76,graph!A$3:A$203,graph!B$3:B$203)/LOOKUP(B76,graph!A$3:A$203,graph!B$3:B$203)</f>
        <v>-0.96007825640586453</v>
      </c>
      <c r="H76" s="5"/>
      <c r="J76">
        <f t="shared" si="416"/>
        <v>-2.9794922826229522</v>
      </c>
      <c r="K76">
        <f t="shared" si="417"/>
        <v>4.0780330092823078</v>
      </c>
      <c r="L76">
        <f t="shared" si="418"/>
        <v>-3.2396042181363836</v>
      </c>
      <c r="M76">
        <f t="shared" si="417"/>
        <v>5.196238610203447</v>
      </c>
      <c r="N76">
        <f t="shared" si="419"/>
        <v>-2.3326706730355236</v>
      </c>
      <c r="O76">
        <f t="shared" ref="O76" si="432">$D76*(N76-$G76)^2</f>
        <v>1.8840099421892476</v>
      </c>
      <c r="P76">
        <f t="shared" si="421"/>
        <v>-2.484464564596752</v>
      </c>
      <c r="Q76">
        <f t="shared" ref="Q76" si="433">$D76*(P76-$G76)^2</f>
        <v>2.3237536165998436</v>
      </c>
      <c r="R76" s="24">
        <f t="shared" si="423"/>
        <v>-2.989189607000216</v>
      </c>
      <c r="S76">
        <f t="shared" ref="S76" si="434">$D76*(R76-$G76)^2</f>
        <v>4.1172928731108325</v>
      </c>
      <c r="T76">
        <f t="shared" si="425"/>
        <v>-0.15340869932152654</v>
      </c>
      <c r="U76">
        <f t="shared" ref="U76" si="435">$D76*(T76-$G76)^2</f>
        <v>0.65071577432664196</v>
      </c>
      <c r="V76">
        <f t="shared" si="427"/>
        <v>-3.239604218206241</v>
      </c>
      <c r="W76">
        <f t="shared" ref="W76" si="436">$D76*(V76-$G76)^2</f>
        <v>5.1962386105219327</v>
      </c>
      <c r="X76">
        <f t="shared" si="429"/>
        <v>-2.0199015036337267</v>
      </c>
      <c r="Y76">
        <f t="shared" ref="Y76" si="437">$D76*(X76-$G76)^2</f>
        <v>1.1232253153646101</v>
      </c>
      <c r="Z76" s="33">
        <f t="shared" si="431"/>
        <v>-2.8340577901461756</v>
      </c>
      <c r="AA76">
        <f t="shared" si="414"/>
        <v>4.5542026516835783</v>
      </c>
    </row>
    <row r="77" spans="1:55" ht="15" thickBot="1" x14ac:dyDescent="0.4">
      <c r="A77" t="str">
        <f>Table1!A70</f>
        <v>McCallum 2013</v>
      </c>
      <c r="B77">
        <f>ROUND(Table1!C70,1)</f>
        <v>2</v>
      </c>
      <c r="C77">
        <f>Table1!E70</f>
        <v>-0.7</v>
      </c>
      <c r="D77">
        <v>0.5</v>
      </c>
      <c r="E77" s="69">
        <v>2013</v>
      </c>
      <c r="F77" s="1">
        <f t="shared" si="415"/>
        <v>2.7</v>
      </c>
      <c r="G77" s="5">
        <f>C77*LOOKUP(F77,graph!A$3:A$203,graph!B$3:B$203)/LOOKUP(B77,graph!A$3:A$203,graph!B$3:B$203)</f>
        <v>-1.0692289340539469</v>
      </c>
      <c r="H77" s="5"/>
      <c r="J77">
        <f t="shared" si="416"/>
        <v>-1.9879154146868694</v>
      </c>
      <c r="K77">
        <f t="shared" si="417"/>
        <v>0.42199242484885252</v>
      </c>
      <c r="L77">
        <f t="shared" si="418"/>
        <v>-2.3640355105319557</v>
      </c>
      <c r="M77">
        <f t="shared" si="417"/>
        <v>0.83826203524535081</v>
      </c>
      <c r="N77">
        <f t="shared" si="419"/>
        <v>-1.2421599128143876</v>
      </c>
      <c r="O77">
        <f t="shared" ref="O77" si="438">$D77*(N77-$G77)^2</f>
        <v>1.4952561707522001E-2</v>
      </c>
      <c r="P77">
        <f t="shared" si="421"/>
        <v>-1.3255126971533122</v>
      </c>
      <c r="Q77">
        <f t="shared" ref="Q77" si="439">$D77*(P77-$G77)^2</f>
        <v>3.2840683614185795E-2</v>
      </c>
      <c r="R77" s="24">
        <f t="shared" si="423"/>
        <v>-2.2222463697516259</v>
      </c>
      <c r="S77">
        <f t="shared" ref="S77" si="440">$D77*(R77-$G77)^2</f>
        <v>0.6647246035114257</v>
      </c>
      <c r="T77">
        <f t="shared" si="425"/>
        <v>-5.3977619646931742E-2</v>
      </c>
      <c r="U77">
        <f t="shared" ref="U77" si="441">$D77*(T77-$G77)^2</f>
        <v>0.51536761570258605</v>
      </c>
      <c r="V77">
        <f t="shared" si="427"/>
        <v>-2.3640355105829327</v>
      </c>
      <c r="W77">
        <f t="shared" ref="W77" si="442">$D77*(V77-$G77)^2</f>
        <v>0.83826203531135612</v>
      </c>
      <c r="X77">
        <f t="shared" si="429"/>
        <v>-1.2698488899914098</v>
      </c>
      <c r="Y77">
        <f t="shared" ref="Y77" si="443">$D77*(X77-$G77)^2</f>
        <v>2.0124183360174765E-2</v>
      </c>
      <c r="Z77" s="33">
        <f t="shared" si="431"/>
        <v>-1.9289773155836167</v>
      </c>
      <c r="AA77">
        <f t="shared" si="414"/>
        <v>0.75519262110955643</v>
      </c>
    </row>
    <row r="78" spans="1:55" x14ac:dyDescent="0.35">
      <c r="A78">
        <f>Table1!A71</f>
        <v>0</v>
      </c>
      <c r="B78">
        <f>ROUND(Table1!C71,1)</f>
        <v>4</v>
      </c>
      <c r="C78">
        <f>Table1!E71</f>
        <v>-1.8</v>
      </c>
      <c r="D78">
        <v>0.5</v>
      </c>
      <c r="E78" s="69">
        <v>2013</v>
      </c>
      <c r="F78" s="1">
        <f t="shared" si="415"/>
        <v>4.7</v>
      </c>
      <c r="G78" s="5">
        <f>C78*LOOKUP(F78,graph!A$3:A$203,graph!B$3:B$203)/LOOKUP(B78,graph!A$3:A$203,graph!B$3:B$203)</f>
        <v>-2.4076734763204941</v>
      </c>
      <c r="H78" s="5"/>
      <c r="J78">
        <f t="shared" si="416"/>
        <v>-4.109075582739325</v>
      </c>
      <c r="K78">
        <f t="shared" si="417"/>
        <v>1.4473845638632175</v>
      </c>
      <c r="L78">
        <f t="shared" si="418"/>
        <v>-4.1151729257408114</v>
      </c>
      <c r="M78">
        <f t="shared" si="417"/>
        <v>1.4577771848853434</v>
      </c>
      <c r="N78">
        <f t="shared" si="419"/>
        <v>-3.7639660458257644</v>
      </c>
      <c r="O78">
        <f t="shared" ref="O78" si="444">$D78*(N78-$G78)^2</f>
        <v>0.91976476704760424</v>
      </c>
      <c r="P78">
        <f t="shared" si="421"/>
        <v>-3.9866674865684608</v>
      </c>
      <c r="Q78">
        <f t="shared" ref="Q78" si="445">$D78*(P78-$G78)^2</f>
        <v>1.246611042199478</v>
      </c>
      <c r="R78" s="24">
        <f t="shared" si="423"/>
        <v>-3.9958026058889899</v>
      </c>
      <c r="S78">
        <f t="shared" ref="S78" si="446">$D78*(R78-$G78)^2</f>
        <v>1.2610770660919941</v>
      </c>
      <c r="T78">
        <f t="shared" si="425"/>
        <v>-0.42369039638504113</v>
      </c>
      <c r="U78">
        <f t="shared" ref="U78" si="447">$D78*(T78-$G78)^2</f>
        <v>1.9680944307350829</v>
      </c>
      <c r="V78">
        <f t="shared" si="427"/>
        <v>-4.1151729258295493</v>
      </c>
      <c r="W78">
        <f t="shared" ref="W78" si="448">$D78*(V78-$G78)^2</f>
        <v>1.4577771850368633</v>
      </c>
      <c r="X78">
        <f t="shared" si="429"/>
        <v>-3.0852581656082134</v>
      </c>
      <c r="Y78">
        <f t="shared" ref="Y78" si="449">$D78*(X78-$G78)^2</f>
        <v>0.22956050557856755</v>
      </c>
      <c r="Z78" s="33">
        <f t="shared" si="431"/>
        <v>-3.9221775932337053</v>
      </c>
      <c r="AA78">
        <f t="shared" si="414"/>
        <v>2.2518188686116014</v>
      </c>
    </row>
    <row r="79" spans="1:55" x14ac:dyDescent="0.35">
      <c r="R79" s="24"/>
      <c r="Z79" s="33"/>
    </row>
    <row r="80" spans="1:55" ht="15" thickBot="1" x14ac:dyDescent="0.4">
      <c r="E80" s="2"/>
      <c r="F80" s="5"/>
      <c r="G80" s="5"/>
      <c r="H80" s="5"/>
      <c r="R80" s="24"/>
      <c r="Z80" s="33"/>
    </row>
    <row r="82" spans="10:18" ht="15" thickBot="1" x14ac:dyDescent="0.4"/>
    <row r="83" spans="10:18" x14ac:dyDescent="0.35">
      <c r="J83" s="4"/>
      <c r="K83" s="4"/>
    </row>
    <row r="88" spans="10:18" ht="15" thickBot="1" x14ac:dyDescent="0.4">
      <c r="J88" s="2"/>
      <c r="K88" s="2"/>
    </row>
    <row r="90" spans="10:18" ht="15" thickBot="1" x14ac:dyDescent="0.4"/>
    <row r="91" spans="10:18" x14ac:dyDescent="0.35">
      <c r="J91" s="3"/>
      <c r="K91" s="3"/>
      <c r="L91" s="3"/>
      <c r="M91" s="3"/>
      <c r="N91" s="3"/>
      <c r="O91" s="3"/>
    </row>
    <row r="94" spans="10:18" ht="15" thickBot="1" x14ac:dyDescent="0.4">
      <c r="J94" s="2"/>
      <c r="K94" s="2"/>
      <c r="L94" s="2"/>
      <c r="M94" s="2"/>
      <c r="N94" s="2"/>
      <c r="O94" s="2"/>
    </row>
    <row r="95" spans="10:18" ht="15" thickBot="1" x14ac:dyDescent="0.4"/>
    <row r="96" spans="10:18" ht="15" thickBot="1" x14ac:dyDescent="0.4">
      <c r="J96" s="3"/>
      <c r="K96" s="3"/>
      <c r="L96" s="3"/>
      <c r="M96" s="3"/>
      <c r="N96" s="3"/>
      <c r="O96" s="3"/>
      <c r="P96" s="3"/>
      <c r="Q96" s="3"/>
      <c r="R96" s="3"/>
    </row>
    <row r="97" spans="5:18" x14ac:dyDescent="0.35">
      <c r="E97" s="3"/>
      <c r="F97" s="14"/>
      <c r="G97" s="14"/>
      <c r="H97" s="14"/>
    </row>
    <row r="98" spans="5:18" ht="15" thickBot="1" x14ac:dyDescent="0.4">
      <c r="J98" s="2"/>
      <c r="K98" s="2"/>
      <c r="L98" s="2"/>
      <c r="M98" s="2"/>
      <c r="N98" s="2"/>
      <c r="O98" s="2"/>
      <c r="P98" s="2"/>
      <c r="Q98" s="2"/>
      <c r="R98" s="2"/>
    </row>
    <row r="99" spans="5:18" ht="15" thickBot="1" x14ac:dyDescent="0.4">
      <c r="E99" s="2"/>
    </row>
    <row r="104" spans="5:18" ht="15" thickBot="1" x14ac:dyDescent="0.4">
      <c r="J104" s="2"/>
      <c r="K104" s="2"/>
    </row>
    <row r="106" spans="5:18" ht="15" thickBot="1" x14ac:dyDescent="0.4"/>
    <row r="107" spans="5:18" x14ac:dyDescent="0.35">
      <c r="J107" s="3"/>
      <c r="K107" s="3"/>
      <c r="L107" s="3"/>
      <c r="M107" s="3"/>
      <c r="N107" s="3"/>
      <c r="O107" s="3"/>
    </row>
    <row r="110" spans="5:18" ht="15" thickBot="1" x14ac:dyDescent="0.4">
      <c r="J110" s="2"/>
      <c r="K110" s="2"/>
      <c r="L110" s="2"/>
      <c r="M110" s="2"/>
      <c r="N110" s="2"/>
      <c r="O110" s="2"/>
    </row>
    <row r="111" spans="5:18" ht="15" thickBot="1" x14ac:dyDescent="0.4"/>
    <row r="112" spans="5:18" x14ac:dyDescent="0.35">
      <c r="E112" s="3"/>
      <c r="F112" s="14"/>
      <c r="G112" s="14"/>
      <c r="H112" s="14"/>
      <c r="J112" s="3"/>
      <c r="K112" s="3"/>
      <c r="L112" s="3"/>
      <c r="M112" s="3"/>
      <c r="N112" s="3"/>
      <c r="O112" s="3"/>
      <c r="P112" s="3"/>
      <c r="Q112" s="3"/>
      <c r="R112" s="3"/>
    </row>
    <row r="115" spans="5:18" ht="15" thickBot="1" x14ac:dyDescent="0.4">
      <c r="E115" s="2"/>
      <c r="J115" s="2"/>
      <c r="K115" s="2"/>
      <c r="L115" s="2"/>
      <c r="M115" s="2"/>
      <c r="N115" s="2"/>
      <c r="O115" s="2"/>
      <c r="P115" s="2"/>
      <c r="Q115" s="2"/>
      <c r="R115" s="2"/>
    </row>
    <row r="131" spans="5:8" ht="15" thickBot="1" x14ac:dyDescent="0.4"/>
    <row r="132" spans="5:8" x14ac:dyDescent="0.35">
      <c r="E132" s="3"/>
      <c r="F132" s="14"/>
      <c r="G132" s="14"/>
      <c r="H132" s="14"/>
    </row>
    <row r="134" spans="5:8" ht="15" thickBot="1" x14ac:dyDescent="0.4">
      <c r="E134" s="2"/>
    </row>
    <row r="150" spans="5:8" ht="15" thickBot="1" x14ac:dyDescent="0.4"/>
    <row r="151" spans="5:8" x14ac:dyDescent="0.35">
      <c r="E151" s="3"/>
      <c r="F151" s="14"/>
      <c r="G151" s="14"/>
      <c r="H151" s="14"/>
    </row>
    <row r="153" spans="5:8" ht="15" thickBot="1" x14ac:dyDescent="0.4">
      <c r="E153" s="2"/>
    </row>
    <row r="1048550" spans="16384:16384" x14ac:dyDescent="0.35">
      <c r="XFD1048550">
        <f>solver_pre</f>
        <v>9.9999999999999995E-7</v>
      </c>
    </row>
    <row r="1048551" spans="16384:16384" x14ac:dyDescent="0.35">
      <c r="XFD1048551">
        <f>solver_scl</f>
        <v>1</v>
      </c>
    </row>
    <row r="1048552" spans="16384:16384" x14ac:dyDescent="0.35">
      <c r="XFD1048552">
        <f>solver_rlx</f>
        <v>2</v>
      </c>
    </row>
    <row r="1048553" spans="16384:16384" x14ac:dyDescent="0.35">
      <c r="XFD1048553">
        <f>solver_tol</f>
        <v>0.01</v>
      </c>
    </row>
    <row r="1048554" spans="16384:16384" x14ac:dyDescent="0.35">
      <c r="XFD1048554">
        <f>solver_cvg</f>
        <v>1E-4</v>
      </c>
    </row>
    <row r="1048555" spans="16384:16384" x14ac:dyDescent="0.35">
      <c r="XFD1048555" t="e" cm="1">
        <f t="array" ref="XFD1048555">AREAS(solver_adj1)</f>
        <v>#NAME?</v>
      </c>
    </row>
    <row r="1048556" spans="16384:16384" x14ac:dyDescent="0.35">
      <c r="XFD1048556">
        <f>solver_ssz</f>
        <v>100</v>
      </c>
    </row>
    <row r="1048557" spans="16384:16384" x14ac:dyDescent="0.35">
      <c r="XFD1048557">
        <f>solver_rsd</f>
        <v>0</v>
      </c>
    </row>
    <row r="1048558" spans="16384:16384" x14ac:dyDescent="0.35">
      <c r="XFD1048558">
        <f>solver_mrt</f>
        <v>7.4999999999999997E-2</v>
      </c>
    </row>
    <row r="1048559" spans="16384:16384" x14ac:dyDescent="0.35">
      <c r="XFD1048559">
        <f>solver_mni</f>
        <v>30</v>
      </c>
    </row>
    <row r="1048560" spans="16384:16384" x14ac:dyDescent="0.35">
      <c r="XFD1048560">
        <f>solver_rbv</f>
        <v>1</v>
      </c>
    </row>
    <row r="1048561" spans="16384:16384" x14ac:dyDescent="0.35">
      <c r="XFD1048561">
        <f>solver_neg</f>
        <v>2</v>
      </c>
    </row>
    <row r="1048562" spans="16384:16384" x14ac:dyDescent="0.35">
      <c r="XFD1048562" t="e" cm="1">
        <f t="array" ref="XFD1048562">solver_ntr</f>
        <v>#NAME?</v>
      </c>
    </row>
    <row r="1048563" spans="16384:16384" x14ac:dyDescent="0.35">
      <c r="XFD1048563" t="e" cm="1">
        <f t="array" ref="XFD1048563">solver_acc</f>
        <v>#NAME?</v>
      </c>
    </row>
    <row r="1048564" spans="16384:16384" x14ac:dyDescent="0.35">
      <c r="XFD1048564" t="e" cm="1">
        <f t="array" ref="XFD1048564">solver_res</f>
        <v>#NAME?</v>
      </c>
    </row>
    <row r="1048565" spans="16384:16384" x14ac:dyDescent="0.35">
      <c r="XFD1048565" t="e" cm="1">
        <f t="array" ref="XFD1048565">solver_ars</f>
        <v>#NAME?</v>
      </c>
    </row>
    <row r="1048566" spans="16384:16384" x14ac:dyDescent="0.35">
      <c r="XFD1048566" t="e" cm="1">
        <f t="array" ref="XFD1048566">solver_sta</f>
        <v>#NAME?</v>
      </c>
    </row>
    <row r="1048567" spans="16384:16384" x14ac:dyDescent="0.35">
      <c r="XFD1048567" t="e" cm="1">
        <f t="array" ref="XFD1048567">solver_met</f>
        <v>#NAME?</v>
      </c>
    </row>
    <row r="1048568" spans="16384:16384" x14ac:dyDescent="0.35">
      <c r="XFD1048568" t="e" cm="1">
        <f t="array" ref="XFD1048568">solver_soc</f>
        <v>#NAME?</v>
      </c>
    </row>
    <row r="1048569" spans="16384:16384" x14ac:dyDescent="0.35">
      <c r="XFD1048569" t="e" cm="1">
        <f t="array" ref="XFD1048569">solver_lpt</f>
        <v>#NAME?</v>
      </c>
    </row>
    <row r="1048570" spans="16384:16384" x14ac:dyDescent="0.35">
      <c r="XFD1048570" t="e" cm="1">
        <f t="array" ref="XFD1048570">solver_lpp</f>
        <v>#NAME?</v>
      </c>
    </row>
    <row r="1048571" spans="16384:16384" x14ac:dyDescent="0.35">
      <c r="XFD1048571" t="e" cm="1">
        <f t="array" ref="XFD1048571">solver_gap</f>
        <v>#NAME?</v>
      </c>
    </row>
    <row r="1048572" spans="16384:16384" x14ac:dyDescent="0.35">
      <c r="XFD1048572" t="e" cm="1">
        <f t="array" ref="XFD1048572">solver_ips</f>
        <v>#NAME?</v>
      </c>
    </row>
    <row r="1048573" spans="16384:16384" x14ac:dyDescent="0.35">
      <c r="XFD1048573" t="e" cm="1">
        <f t="array" ref="XFD1048573">solver_fea</f>
        <v>#NAME?</v>
      </c>
    </row>
    <row r="1048574" spans="16384:16384" x14ac:dyDescent="0.35">
      <c r="XFD1048574" t="e" cm="1">
        <f t="array" ref="XFD1048574">solver_ipi</f>
        <v>#NAME?</v>
      </c>
    </row>
    <row r="1048575" spans="16384:16384" x14ac:dyDescent="0.35">
      <c r="XFD1048575" t="e" cm="1">
        <f t="array" ref="XFD1048575">solver_ipd</f>
        <v>#NAME?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C6A30-2A0D-43CA-8072-90680DB58132}">
  <dimension ref="A1:XFD1048575"/>
  <sheetViews>
    <sheetView topLeftCell="F1" zoomScaleNormal="100" workbookViewId="0">
      <selection activeCell="I1" sqref="I1"/>
    </sheetView>
  </sheetViews>
  <sheetFormatPr defaultRowHeight="14.5" x14ac:dyDescent="0.35"/>
  <cols>
    <col min="1" max="1" width="33" customWidth="1"/>
    <col min="5" max="5" width="12" bestFit="1" customWidth="1"/>
    <col min="6" max="8" width="12" customWidth="1"/>
    <col min="9" max="9" width="11.81640625" customWidth="1"/>
    <col min="22" max="22" width="12" bestFit="1" customWidth="1"/>
    <col min="29" max="29" width="19.81640625" customWidth="1"/>
    <col min="30" max="30" width="10.54296875" customWidth="1"/>
  </cols>
  <sheetData>
    <row r="1" spans="1:64" ht="16" thickBot="1" x14ac:dyDescent="0.4">
      <c r="J1">
        <v>-0.57778329868799116</v>
      </c>
      <c r="L1">
        <v>-0.89435939223862926</v>
      </c>
      <c r="N1" s="2">
        <v>-0.17360751223840271</v>
      </c>
      <c r="P1">
        <v>-0.18191641181637555</v>
      </c>
      <c r="R1">
        <v>-0.11983488082009211</v>
      </c>
      <c r="T1">
        <v>-3.8551391489455118E-3</v>
      </c>
      <c r="V1" s="2">
        <v>-0.89435939223863048</v>
      </c>
      <c r="X1">
        <v>-0.39370054025004031</v>
      </c>
      <c r="AC1" s="23" t="s">
        <v>560</v>
      </c>
      <c r="AD1" s="23" t="s">
        <v>561</v>
      </c>
      <c r="AG1" t="s">
        <v>722</v>
      </c>
      <c r="AH1" t="s">
        <v>33</v>
      </c>
      <c r="AI1" t="s">
        <v>13</v>
      </c>
      <c r="AJ1" t="s">
        <v>23</v>
      </c>
      <c r="AK1" t="s">
        <v>15</v>
      </c>
      <c r="AL1" t="s">
        <v>16</v>
      </c>
      <c r="AM1" t="s">
        <v>25</v>
      </c>
      <c r="AN1" t="s">
        <v>24</v>
      </c>
      <c r="AO1">
        <v>1.5371444352042773</v>
      </c>
      <c r="AP1">
        <f>SUM(AP4:AP24)</f>
        <v>313.37158172209013</v>
      </c>
      <c r="AR1">
        <v>1.0888487056819895</v>
      </c>
      <c r="AS1">
        <f>SUM(AS4:AS24)</f>
        <v>373.19393869842787</v>
      </c>
    </row>
    <row r="2" spans="1:64" ht="16" thickBot="1" x14ac:dyDescent="0.4">
      <c r="G2" s="2"/>
      <c r="J2" s="2">
        <v>-6.7088296060091576E-2</v>
      </c>
      <c r="L2">
        <v>12.836513107050566</v>
      </c>
      <c r="P2" s="2">
        <v>6.2898926575149584E-7</v>
      </c>
      <c r="R2" s="2">
        <v>-1.3486500885731545E-6</v>
      </c>
      <c r="T2">
        <f>-T1</f>
        <v>3.8551391489455118E-3</v>
      </c>
      <c r="AC2" s="23" t="s">
        <v>556</v>
      </c>
      <c r="AD2" s="35">
        <f>M5</f>
        <v>0.14052625686136339</v>
      </c>
      <c r="AE2" s="24">
        <f t="shared" ref="AE2:AE5" si="0">AD2</f>
        <v>0.14052625686136339</v>
      </c>
      <c r="AG2">
        <f>SUM(AG4:AG24)</f>
        <v>14</v>
      </c>
      <c r="BA2">
        <v>1950</v>
      </c>
      <c r="BB2">
        <v>0.10726962690000003</v>
      </c>
    </row>
    <row r="3" spans="1:64" ht="15.5" x14ac:dyDescent="0.35">
      <c r="L3">
        <v>-17.827404168275013</v>
      </c>
      <c r="AC3" s="23" t="s">
        <v>557</v>
      </c>
      <c r="AD3" s="35">
        <f>K5</f>
        <v>0.19626565849431438</v>
      </c>
      <c r="AE3" s="24">
        <f t="shared" si="0"/>
        <v>0.19626565849431438</v>
      </c>
      <c r="AT3" s="4"/>
      <c r="AU3" s="4"/>
      <c r="BA3">
        <v>1951</v>
      </c>
      <c r="BB3">
        <v>0.27273744690000001</v>
      </c>
      <c r="BD3" s="4"/>
      <c r="BE3" s="4"/>
    </row>
    <row r="4" spans="1:64" ht="15.5" x14ac:dyDescent="0.35">
      <c r="AC4" s="23" t="s">
        <v>555</v>
      </c>
      <c r="AD4" s="35">
        <f>W5</f>
        <v>0.14836940855337702</v>
      </c>
      <c r="AE4" s="24">
        <f t="shared" si="0"/>
        <v>0.14836940855337702</v>
      </c>
      <c r="AG4">
        <v>1</v>
      </c>
      <c r="AH4" s="1">
        <f>F11</f>
        <v>2.8</v>
      </c>
      <c r="AI4" s="5">
        <f>G11</f>
        <v>-3.7631999999999994</v>
      </c>
      <c r="AJ4">
        <f>Table1!G4</f>
        <v>0</v>
      </c>
      <c r="AK4">
        <f>regressions!AK4*$AI4/regressions!$AI4</f>
        <v>-15.052799999999998</v>
      </c>
      <c r="AL4">
        <f>regressions!AL4*$AI4/regressions!$AI4</f>
        <v>6.2719999999999985</v>
      </c>
      <c r="AM4">
        <f>(AI4-AK4)/2</f>
        <v>5.6447999999999992</v>
      </c>
      <c r="AN4">
        <f>(AL4-AI4)/2</f>
        <v>5.0175999999999989</v>
      </c>
      <c r="AO4">
        <f t="shared" ref="AO4:AO24" si="1">AO$1*AH4</f>
        <v>4.3040044185719761</v>
      </c>
      <c r="AP4">
        <f>AG4*(AO4-AM4)^2</f>
        <v>1.7977327911769103</v>
      </c>
      <c r="AR4">
        <f t="shared" ref="AR4:AR24" si="2">AR$1*AH4</f>
        <v>3.0487763759095707</v>
      </c>
      <c r="AS4">
        <f t="shared" ref="AS4:AS24" si="3">AG4*(AR4-AN4)^2</f>
        <v>3.8762664627765679</v>
      </c>
      <c r="BA4">
        <v>1952</v>
      </c>
      <c r="BB4">
        <v>0.3492459819</v>
      </c>
    </row>
    <row r="5" spans="1:64" ht="15.5" x14ac:dyDescent="0.35">
      <c r="I5" t="s">
        <v>721</v>
      </c>
      <c r="K5">
        <f>EXP(K8)/$H8</f>
        <v>0.19626565849431438</v>
      </c>
      <c r="M5">
        <f>EXP(M8)/$H8</f>
        <v>0.14052625686136339</v>
      </c>
      <c r="O5">
        <f>EXP(O8)/$H8</f>
        <v>8.5041407266319022E-2</v>
      </c>
      <c r="Q5">
        <f>EXP(Q8)/$H8</f>
        <v>9.133965041490083E-2</v>
      </c>
      <c r="S5">
        <f>EXP(S8)/$H8</f>
        <v>0.2503143121976294</v>
      </c>
      <c r="U5">
        <f>EXP(U8)/$H8</f>
        <v>1.1667244092414832E-4</v>
      </c>
      <c r="W5">
        <f>EXP(W8)/$H8</f>
        <v>0.14836940855337702</v>
      </c>
      <c r="Y5">
        <f>EXP(Y8)/$H8</f>
        <v>8.8026633771171786E-2</v>
      </c>
      <c r="AC5" s="23" t="s">
        <v>559</v>
      </c>
      <c r="AD5" s="35">
        <f>U5</f>
        <v>1.1667244092414832E-4</v>
      </c>
      <c r="AE5" s="24">
        <f t="shared" si="0"/>
        <v>1.1667244092414832E-4</v>
      </c>
      <c r="AG5">
        <v>1</v>
      </c>
      <c r="AH5" s="1">
        <f>F14</f>
        <v>3.4</v>
      </c>
      <c r="AI5" s="5">
        <f>G14</f>
        <v>-4.0273177029351457</v>
      </c>
      <c r="AJ5">
        <f>Table1!G7</f>
        <v>0</v>
      </c>
      <c r="AK5">
        <f>regressions!AK5*$AI5/regressions!$AI5</f>
        <v>-23.492686600455013</v>
      </c>
      <c r="AL5">
        <f>regressions!AL5*$AI5/regressions!$AI5</f>
        <v>0</v>
      </c>
      <c r="AM5">
        <f>(AI5-AK5)/2</f>
        <v>9.7326844487599331</v>
      </c>
      <c r="AN5">
        <f>(AL5-AI5)/2</f>
        <v>2.0136588514675728</v>
      </c>
      <c r="AO5">
        <f t="shared" si="1"/>
        <v>5.2262910796945432</v>
      </c>
      <c r="AP5">
        <f t="shared" ref="AP5:AP24" si="4">AG5*(AO5-AM5)^2</f>
        <v>20.307581196756516</v>
      </c>
      <c r="AR5">
        <f t="shared" si="2"/>
        <v>3.7020855993187642</v>
      </c>
      <c r="AS5">
        <f t="shared" si="3"/>
        <v>2.8507848828593505</v>
      </c>
      <c r="BA5">
        <v>1953</v>
      </c>
      <c r="BB5">
        <v>0.41152215690000005</v>
      </c>
    </row>
    <row r="6" spans="1:64" ht="15.5" x14ac:dyDescent="0.35">
      <c r="I6" t="s">
        <v>720</v>
      </c>
      <c r="K6">
        <v>2</v>
      </c>
      <c r="M6">
        <v>3</v>
      </c>
      <c r="O6">
        <v>1</v>
      </c>
      <c r="Q6">
        <v>2</v>
      </c>
      <c r="S6">
        <v>2</v>
      </c>
      <c r="U6">
        <v>1</v>
      </c>
      <c r="W6">
        <v>1</v>
      </c>
      <c r="Y6">
        <v>1</v>
      </c>
      <c r="AA6">
        <f>SUM(K6:Y6)</f>
        <v>13</v>
      </c>
      <c r="AC6" s="23" t="s">
        <v>543</v>
      </c>
      <c r="AD6" s="35">
        <f>S5</f>
        <v>0.2503143121976294</v>
      </c>
      <c r="AE6" s="24">
        <f>AD6</f>
        <v>0.2503143121976294</v>
      </c>
      <c r="AG6">
        <v>1</v>
      </c>
      <c r="AH6" s="1">
        <f>F20</f>
        <v>2.9</v>
      </c>
      <c r="AI6" s="1">
        <f>G20</f>
        <v>-3.5833907237175069</v>
      </c>
      <c r="AJ6">
        <f>Table1!G13</f>
        <v>0</v>
      </c>
      <c r="AK6">
        <f>regressions!AK6*$AI6/regressions!$AI6</f>
        <v>-16.202431760952344</v>
      </c>
      <c r="AL6">
        <f>regressions!AL6*$AI6/regressions!$AI6</f>
        <v>-0.62419892161620094</v>
      </c>
      <c r="AM6">
        <f>(AI6-AK6)/2</f>
        <v>6.3095205186174184</v>
      </c>
      <c r="AN6">
        <f>(AL6-AI6)/2</f>
        <v>1.479595901050653</v>
      </c>
      <c r="AO6">
        <f t="shared" si="1"/>
        <v>4.4577188620924044</v>
      </c>
      <c r="AP6">
        <f t="shared" si="4"/>
        <v>3.4291693751087857</v>
      </c>
      <c r="AR6">
        <f t="shared" si="2"/>
        <v>3.1576612464777698</v>
      </c>
      <c r="AS6">
        <f t="shared" si="3"/>
        <v>2.8159033035234291</v>
      </c>
      <c r="BA6">
        <v>1954</v>
      </c>
      <c r="BB6">
        <v>0.21714120690000002</v>
      </c>
    </row>
    <row r="7" spans="1:64" ht="15.5" x14ac:dyDescent="0.35">
      <c r="H7">
        <f>SUM(D10:D78)</f>
        <v>39.000000000000021</v>
      </c>
      <c r="I7" t="s">
        <v>719</v>
      </c>
      <c r="K7" s="5">
        <f>SQRT(K9/($H7-K6))</f>
        <v>3.7849803857263806</v>
      </c>
      <c r="L7" s="5"/>
      <c r="M7" s="5">
        <f>SQRT(M9/($H7-M6))</f>
        <v>3.8667997920233605</v>
      </c>
      <c r="N7" s="5"/>
      <c r="O7" s="5">
        <f>SQRT(O9/($H7-O6))</f>
        <v>3.8177627097623357</v>
      </c>
      <c r="P7" s="5"/>
      <c r="Q7" s="5">
        <f>SQRT(Q9/($H7-Q6))</f>
        <v>3.8599457121483853</v>
      </c>
      <c r="R7" s="5"/>
      <c r="S7" s="5">
        <f>SQRT(S9/($H7-S6))</f>
        <v>3.7614464235339984</v>
      </c>
      <c r="T7" s="5"/>
      <c r="U7" s="5">
        <f>SQRT(U9/($H7-U6))</f>
        <v>4.5207503578012762</v>
      </c>
      <c r="V7" s="5"/>
      <c r="W7" s="5">
        <f>SQRT(W9/($H7-W6))</f>
        <v>3.7636665449409992</v>
      </c>
      <c r="X7" s="5"/>
      <c r="Y7" s="5">
        <f>SQRT(Y9/($H7-Y6))</f>
        <v>3.8143868396881873</v>
      </c>
      <c r="AA7" s="5">
        <f>SQRT(AA9/($H7-AA6))</f>
        <v>3.813312834289778</v>
      </c>
      <c r="AC7" s="23" t="s">
        <v>542</v>
      </c>
      <c r="AD7" s="35">
        <f>Q5</f>
        <v>9.133965041490083E-2</v>
      </c>
      <c r="AE7" s="24">
        <f>AD7</f>
        <v>9.133965041490083E-2</v>
      </c>
      <c r="AG7">
        <v>1</v>
      </c>
      <c r="AH7" s="1">
        <f>F28</f>
        <v>1.5</v>
      </c>
      <c r="AI7" s="1">
        <f>G28</f>
        <v>3.4569909036648365</v>
      </c>
      <c r="AJ7">
        <f>regressions!AJ7*$AI7/regressions!$AI7</f>
        <v>1.5030395233325378</v>
      </c>
      <c r="AM7">
        <f>AJ7</f>
        <v>1.5030395233325378</v>
      </c>
      <c r="AN7">
        <f>AJ7</f>
        <v>1.5030395233325378</v>
      </c>
      <c r="AO7">
        <f t="shared" si="1"/>
        <v>2.3057166528064159</v>
      </c>
      <c r="AP7">
        <f t="shared" si="4"/>
        <v>0.6442905741804249</v>
      </c>
      <c r="AR7">
        <f t="shared" si="2"/>
        <v>1.6332730585229842</v>
      </c>
      <c r="AS7">
        <f t="shared" si="3"/>
        <v>1.6960773688201255E-2</v>
      </c>
      <c r="BA7">
        <v>1955</v>
      </c>
      <c r="BB7">
        <v>0.13658148690000002</v>
      </c>
    </row>
    <row r="8" spans="1:64" ht="16" thickBot="1" x14ac:dyDescent="0.4">
      <c r="H8">
        <f>EXP(K8)+EXP(M8)+EXP(O8)+EXP(Q8)+EXP(S8)+EXP(U8)+EXP(W8)+EXP(Y8)</f>
        <v>1.3434641179316295E-30</v>
      </c>
      <c r="I8" t="s">
        <v>718</v>
      </c>
      <c r="J8" t="s">
        <v>539</v>
      </c>
      <c r="K8">
        <f>-K9/2/K7^2-$H7*LN(K7)</f>
        <v>-70.41058748600463</v>
      </c>
      <c r="L8" t="s">
        <v>324</v>
      </c>
      <c r="M8">
        <f>-M9/2/M7^2-$H7*LN(M7)</f>
        <v>-70.74466227510112</v>
      </c>
      <c r="N8" t="s">
        <v>540</v>
      </c>
      <c r="O8">
        <f>-O9/2/O7^2-$H7*LN(O7)</f>
        <v>-71.246918345806591</v>
      </c>
      <c r="P8" t="s">
        <v>542</v>
      </c>
      <c r="Q8">
        <f>-Q9/2/Q7^2-$H7*LN(Q7)</f>
        <v>-71.17547164753546</v>
      </c>
      <c r="R8" t="s">
        <v>543</v>
      </c>
      <c r="S8">
        <f>-S9/2/S7^2-$H7*LN(S7)</f>
        <v>-70.167339251012962</v>
      </c>
      <c r="T8" t="s">
        <v>541</v>
      </c>
      <c r="U8">
        <f>-U9/2/U7^2-$H7*LN(U7)</f>
        <v>-77.838441548746275</v>
      </c>
      <c r="V8" t="s">
        <v>544</v>
      </c>
      <c r="W8">
        <f>-W9/2/W7^2-$H7*LN(W7)</f>
        <v>-70.690351460330746</v>
      </c>
      <c r="X8" t="s">
        <v>723</v>
      </c>
      <c r="Y8">
        <f>-Y9/2/Y7^2-$H7*LN(Y7)</f>
        <v>-71.212417202812716</v>
      </c>
      <c r="AA8">
        <f>-AA9/2/AA7^2-$H7*LN(AA7)</f>
        <v>-65.201434544185602</v>
      </c>
      <c r="AC8" s="23" t="s">
        <v>558</v>
      </c>
      <c r="AD8" s="35">
        <f>O5</f>
        <v>8.5041407266319022E-2</v>
      </c>
      <c r="AE8" s="24">
        <f>AD8</f>
        <v>8.5041407266319022E-2</v>
      </c>
      <c r="AG8">
        <v>1</v>
      </c>
      <c r="AH8" s="1">
        <f t="shared" ref="AH8:AI10" si="5">F32</f>
        <v>3.1</v>
      </c>
      <c r="AI8" s="1">
        <f t="shared" si="5"/>
        <v>-1.3410137732593201</v>
      </c>
      <c r="AJ8">
        <f>Table1!G25</f>
        <v>0</v>
      </c>
      <c r="AK8">
        <f>regressions!AK8*$AI8/regressions!$AI8</f>
        <v>-4.1595277564483633</v>
      </c>
      <c r="AL8">
        <f>regressions!AL8*$AI8/regressions!$AI8</f>
        <v>6.3486727162716472E-2</v>
      </c>
      <c r="AM8">
        <f>(AI8-AK8)/2</f>
        <v>1.4092569915945217</v>
      </c>
      <c r="AN8">
        <f>(AL8-AI8)/2</f>
        <v>0.70225025021101828</v>
      </c>
      <c r="AO8">
        <f t="shared" si="1"/>
        <v>4.7651477491332601</v>
      </c>
      <c r="AP8">
        <f t="shared" si="4"/>
        <v>11.262002776533928</v>
      </c>
      <c r="AR8">
        <f t="shared" si="2"/>
        <v>3.3754309876141675</v>
      </c>
      <c r="AS8">
        <f t="shared" si="3"/>
        <v>7.1458952548232437</v>
      </c>
      <c r="AU8" s="2"/>
      <c r="BA8">
        <v>1956</v>
      </c>
      <c r="BB8">
        <v>7.0725816900000016E-2</v>
      </c>
      <c r="BD8" s="2"/>
      <c r="BE8" s="2"/>
    </row>
    <row r="9" spans="1:64" ht="15.5" x14ac:dyDescent="0.35">
      <c r="B9" t="s">
        <v>544</v>
      </c>
      <c r="C9" t="s">
        <v>624</v>
      </c>
      <c r="D9" t="s">
        <v>623</v>
      </c>
      <c r="E9" t="s">
        <v>80</v>
      </c>
      <c r="F9" t="s">
        <v>1112</v>
      </c>
      <c r="G9" t="s">
        <v>1113</v>
      </c>
      <c r="I9" t="s">
        <v>717</v>
      </c>
      <c r="K9">
        <f>SUM(K10:K78)</f>
        <v>530.06483125233683</v>
      </c>
      <c r="M9">
        <f>SUM(M10:M78)</f>
        <v>538.27706273730894</v>
      </c>
      <c r="O9">
        <f>SUM(O10:O78)</f>
        <v>553.86186010597066</v>
      </c>
      <c r="Q9">
        <f>SUM(Q10:Q78)</f>
        <v>551.26969332711042</v>
      </c>
      <c r="S9">
        <f>SUM(S10:S78)</f>
        <v>523.49373029331844</v>
      </c>
      <c r="U9">
        <f>SUM(U10:U78)</f>
        <v>776.61298430729425</v>
      </c>
      <c r="W9">
        <f>SUM(W10:W78)</f>
        <v>538.27706273730882</v>
      </c>
      <c r="Y9">
        <f>SUM(Y10:Y78)</f>
        <v>552.88278458588491</v>
      </c>
      <c r="AA9">
        <f>SUM(AA10:AA78)</f>
        <v>378.07522407613794</v>
      </c>
      <c r="AC9" s="23" t="s">
        <v>724</v>
      </c>
      <c r="AD9" s="11">
        <f>Y5</f>
        <v>8.8026633771171786E-2</v>
      </c>
      <c r="AE9" s="24">
        <f>AD9</f>
        <v>8.8026633771171786E-2</v>
      </c>
      <c r="AG9">
        <v>0.5</v>
      </c>
      <c r="AH9" s="1">
        <f t="shared" si="5"/>
        <v>3.6</v>
      </c>
      <c r="AI9" s="1">
        <f t="shared" si="5"/>
        <v>-1.223023971670363</v>
      </c>
      <c r="AJ9">
        <f>regressions!AJ9*$AI9/regressions!$AI9</f>
        <v>0.1709603401259647</v>
      </c>
      <c r="AM9">
        <f>AJ9</f>
        <v>0.1709603401259647</v>
      </c>
      <c r="AN9">
        <f>AJ9</f>
        <v>0.1709603401259647</v>
      </c>
      <c r="AO9">
        <f t="shared" si="1"/>
        <v>5.5337199667353989</v>
      </c>
      <c r="AP9">
        <f t="shared" si="4"/>
        <v>14.37959540639608</v>
      </c>
      <c r="AR9">
        <f t="shared" si="2"/>
        <v>3.9198553404551624</v>
      </c>
      <c r="AS9">
        <f t="shared" si="3"/>
        <v>7.0271068617466277</v>
      </c>
      <c r="BA9">
        <v>1957</v>
      </c>
      <c r="BB9">
        <v>0.29855649090000003</v>
      </c>
    </row>
    <row r="10" spans="1:64" ht="15" thickBot="1" x14ac:dyDescent="0.4">
      <c r="A10" t="str">
        <f>Table1!A3</f>
        <v>d'Arge 1979</v>
      </c>
      <c r="B10">
        <f>ROUND(Table1!C3,1)</f>
        <v>-1</v>
      </c>
      <c r="C10">
        <f>Table1!E3</f>
        <v>-0.59642907312262095</v>
      </c>
      <c r="D10">
        <v>1</v>
      </c>
      <c r="E10">
        <v>1979</v>
      </c>
      <c r="F10" s="1">
        <f>ROUND(LOOKUP(E10,BA$31:BA$73,BC$31:BC$73)+B10,1)</f>
        <v>-0.8</v>
      </c>
      <c r="G10" s="5">
        <f>C10*LOOKUP(F10,graph!A$3:A$203,graph!B$3:B$203)/LOOKUP(B10,graph!A$3:A$203,graph!B$3:B$203)</f>
        <v>-0.51330669983313593</v>
      </c>
      <c r="H10" s="5" t="s">
        <v>1114</v>
      </c>
      <c r="J10">
        <f>J$1*F10+J$2*F10^2</f>
        <v>0.41929012947193434</v>
      </c>
      <c r="K10">
        <f>$D10*(J10-$G10)^2</f>
        <v>0.86973684602987034</v>
      </c>
      <c r="L10">
        <f>IF(F10&lt;=L$2,F10*L$1,L$1*L$2+L$3*(F10-L$2))</f>
        <v>0.71548751379090347</v>
      </c>
      <c r="M10">
        <f>$D10*(L10-$G10)^2</f>
        <v>1.5099352194359217</v>
      </c>
      <c r="N10">
        <f>N$1*F10^2</f>
        <v>-0.11110880783257775</v>
      </c>
      <c r="O10">
        <f>$D10*(N10-$G10)^2</f>
        <v>0.16176314432969266</v>
      </c>
      <c r="P10">
        <f>P$1*F10^2+P$2*F10^7</f>
        <v>-0.11642663547109003</v>
      </c>
      <c r="Q10">
        <f>$D10*(P10-$G10)^2</f>
        <v>0.15751378548802172</v>
      </c>
      <c r="R10" s="24">
        <f>R$1*F10^2+R$2*10^6</f>
        <v>-1.4253444122980135</v>
      </c>
      <c r="S10">
        <f>$D10*(R10-$G10)^2</f>
        <v>0.83181278895816657</v>
      </c>
      <c r="T10">
        <f>T$2+T$1*EXP(F10)</f>
        <v>2.1229134686220779E-3</v>
      </c>
      <c r="U10">
        <f>$D10*(T10-$G10)^2</f>
        <v>0.26566768626839976</v>
      </c>
      <c r="V10">
        <f>V$1*F10</f>
        <v>0.71548751379090447</v>
      </c>
      <c r="W10">
        <f>$D10*(V10-$G10)^2</f>
        <v>1.5099352194359239</v>
      </c>
      <c r="X10">
        <f>(1-EXP(-2*X$1*F10))/2/EXP(-X$1*F10)</f>
        <v>0.32019367145138311</v>
      </c>
      <c r="Y10">
        <f>$D10*(X10-$G10)^2</f>
        <v>0.69472286893143109</v>
      </c>
      <c r="Z10" s="33">
        <f>J10*K$5+L10*M$5+N10*O$5+P10*Q$5+R10*S$5+T10*U$5+V10*W$5+X10*Y$5</f>
        <v>-5.9688010278058388E-2</v>
      </c>
      <c r="AA10">
        <f t="shared" ref="AA10:AA73" si="6">$D10*(Z10-$C10)^2</f>
        <v>0.28809096854351068</v>
      </c>
      <c r="AG10">
        <v>0.5</v>
      </c>
      <c r="AH10" s="1">
        <f t="shared" si="5"/>
        <v>3.6</v>
      </c>
      <c r="AI10" s="1">
        <f t="shared" si="5"/>
        <v>-1.3808335164020229</v>
      </c>
      <c r="AJ10">
        <f>regressions!AJ10*$AI10/regressions!$AI10</f>
        <v>0.17096034012596475</v>
      </c>
      <c r="AM10">
        <f>AJ10</f>
        <v>0.17096034012596475</v>
      </c>
      <c r="AN10">
        <f>AJ10</f>
        <v>0.17096034012596475</v>
      </c>
      <c r="AO10">
        <f t="shared" si="1"/>
        <v>5.5337199667353989</v>
      </c>
      <c r="AP10">
        <f t="shared" si="4"/>
        <v>14.37959540639608</v>
      </c>
      <c r="AR10">
        <f t="shared" si="2"/>
        <v>3.9198553404551624</v>
      </c>
      <c r="AS10">
        <f t="shared" si="3"/>
        <v>7.0271068617466277</v>
      </c>
      <c r="BA10">
        <v>1958</v>
      </c>
      <c r="BB10">
        <v>0.31625886390000002</v>
      </c>
    </row>
    <row r="11" spans="1:64" x14ac:dyDescent="0.35">
      <c r="A11" t="str">
        <f>Table1!A4</f>
        <v>Nordhaus 1982</v>
      </c>
      <c r="B11">
        <f>ROUND(Table1!C4,1)</f>
        <v>2.5</v>
      </c>
      <c r="C11">
        <f>Table1!E4</f>
        <v>-3</v>
      </c>
      <c r="D11">
        <v>1</v>
      </c>
      <c r="E11">
        <v>1982</v>
      </c>
      <c r="F11" s="1">
        <f t="shared" ref="F11:F74" si="7">ROUND(LOOKUP(E11,BA$31:BA$73,BC$31:BC$73)+B11,1)</f>
        <v>2.8</v>
      </c>
      <c r="G11" s="5">
        <f>C11*(F11/B11)^2</f>
        <v>-3.7631999999999994</v>
      </c>
      <c r="H11" s="5" t="s">
        <v>1114</v>
      </c>
      <c r="J11">
        <f t="shared" ref="J11:J74" si="8">J$1*F11+J$2*F11^2</f>
        <v>-2.1437654774374932</v>
      </c>
      <c r="K11">
        <f t="shared" ref="K11:M74" si="9">$D11*(J11-$G11)^2</f>
        <v>2.6225681728672523</v>
      </c>
      <c r="L11">
        <f t="shared" ref="L11:L74" si="10">IF(F11&lt;=L$2,F11*L$1,L$1*L$2+L$3*(F11-L$2))</f>
        <v>-2.5042062982681617</v>
      </c>
      <c r="M11">
        <f t="shared" si="9"/>
        <v>1.5850651410004357</v>
      </c>
      <c r="N11">
        <f t="shared" ref="N11:N74" si="11">N$1*F11^2</f>
        <v>-1.3610828959490771</v>
      </c>
      <c r="O11">
        <f t="shared" ref="O11:O74" si="12">$D11*(N11-$G11)^2</f>
        <v>5.7701665815739887</v>
      </c>
      <c r="P11">
        <f t="shared" ref="P11:P74" si="13">P$1*F11^2+P$2*F11^7</f>
        <v>-1.4253759779206241</v>
      </c>
      <c r="Q11">
        <f t="shared" ref="Q11:Q74" si="14">$D11*(P11-$G11)^2</f>
        <v>5.4654211582113863</v>
      </c>
      <c r="R11" s="24">
        <f t="shared" ref="R11:R74" si="15">R$1*F11^2+R$2*10^6</f>
        <v>-2.2881555542026764</v>
      </c>
      <c r="S11">
        <f t="shared" ref="S11:S74" si="16">$D11*(R11-$G11)^2</f>
        <v>2.1757561170775319</v>
      </c>
      <c r="T11">
        <f t="shared" ref="T11:T74" si="17">T$2+T$1*EXP(F11)</f>
        <v>-5.954126240889112E-2</v>
      </c>
      <c r="U11">
        <f t="shared" ref="U11:U74" si="18">$D11*(T11-$G11)^2</f>
        <v>13.717088044534965</v>
      </c>
      <c r="V11">
        <f t="shared" ref="V11:V74" si="19">V$1*F11</f>
        <v>-2.5042062982681652</v>
      </c>
      <c r="W11">
        <f t="shared" ref="W11:W74" si="20">$D11*(V11-$G11)^2</f>
        <v>1.5850651410004268</v>
      </c>
      <c r="X11">
        <f t="shared" ref="X11:X74" si="21">(1-EXP(-2*X$1*F11))/2/EXP(-X$1*F11)</f>
        <v>-1.3395914258242334</v>
      </c>
      <c r="Y11">
        <f t="shared" ref="Y11:Y74" si="22">$D11*(X11-$G11)^2</f>
        <v>5.8738785208182911</v>
      </c>
      <c r="Z11" s="33">
        <f t="shared" ref="Z11:Z74" si="23">J11*K$5+L11*M$5+N11*O$5+P11*Q$5+R11*S$5+T11*U$5+V11*W$5+X11*Y$5</f>
        <v>-2.0808283907911873</v>
      </c>
      <c r="AA11">
        <f t="shared" si="6"/>
        <v>0.84487644717551824</v>
      </c>
      <c r="AG11">
        <v>0.5</v>
      </c>
      <c r="AH11" s="1">
        <f>F21</f>
        <v>3</v>
      </c>
      <c r="AI11" s="1">
        <f t="shared" ref="AI11:AI12" si="24">G21</f>
        <v>2.8264957264957258E-2</v>
      </c>
      <c r="AJ11">
        <f>regressions!AJ11*$AI11/regressions!$AI11</f>
        <v>4.9422900520273795E-2</v>
      </c>
      <c r="AM11">
        <f>AJ11</f>
        <v>4.9422900520273795E-2</v>
      </c>
      <c r="AN11">
        <f>AJ11</f>
        <v>4.9422900520273795E-2</v>
      </c>
      <c r="AO11">
        <f t="shared" si="1"/>
        <v>4.6114333056128318</v>
      </c>
      <c r="AP11">
        <f t="shared" si="4"/>
        <v>10.405969468086381</v>
      </c>
      <c r="AR11">
        <f t="shared" si="2"/>
        <v>3.2665461170459684</v>
      </c>
      <c r="AS11">
        <f t="shared" si="3"/>
        <v>5.1749408951543154</v>
      </c>
      <c r="AU11" s="3"/>
      <c r="AV11" s="3"/>
      <c r="AW11" s="3"/>
      <c r="AX11" s="3"/>
      <c r="AY11" s="3"/>
      <c r="BA11">
        <v>1959</v>
      </c>
      <c r="BB11">
        <v>0.28588659189999999</v>
      </c>
      <c r="BD11" s="3"/>
      <c r="BE11" s="3"/>
      <c r="BF11" s="3"/>
      <c r="BG11" s="3"/>
      <c r="BH11" s="3"/>
      <c r="BI11" s="3"/>
    </row>
    <row r="12" spans="1:64" x14ac:dyDescent="0.35">
      <c r="A12" t="str">
        <f>Table1!A5</f>
        <v>Nordhaus 1991</v>
      </c>
      <c r="B12">
        <f>ROUND(Table1!C5,1)</f>
        <v>3</v>
      </c>
      <c r="C12">
        <f>Table1!E5</f>
        <v>-1</v>
      </c>
      <c r="D12">
        <v>1</v>
      </c>
      <c r="E12">
        <v>1991</v>
      </c>
      <c r="F12" s="1">
        <f t="shared" si="7"/>
        <v>3.4</v>
      </c>
      <c r="G12" s="5">
        <f>C12*(F12/B12)^2</f>
        <v>-1.2844444444444443</v>
      </c>
      <c r="H12" s="5" t="s">
        <v>1114</v>
      </c>
      <c r="J12">
        <f t="shared" si="8"/>
        <v>-2.7400039179938283</v>
      </c>
      <c r="K12">
        <f t="shared" si="9"/>
        <v>2.1186533810393597</v>
      </c>
      <c r="L12">
        <f t="shared" si="10"/>
        <v>-3.0408219336113396</v>
      </c>
      <c r="M12">
        <f t="shared" si="9"/>
        <v>3.0848618844522075</v>
      </c>
      <c r="N12">
        <f t="shared" si="11"/>
        <v>-2.0069028414759349</v>
      </c>
      <c r="O12">
        <f t="shared" si="12"/>
        <v>0.52194613544131097</v>
      </c>
      <c r="P12">
        <f t="shared" si="13"/>
        <v>-2.099650058253113</v>
      </c>
      <c r="Q12">
        <f t="shared" si="14"/>
        <v>0.66456019278516831</v>
      </c>
      <c r="R12" s="24">
        <f t="shared" si="15"/>
        <v>-2.7339413108534192</v>
      </c>
      <c r="S12">
        <f t="shared" si="16"/>
        <v>2.1010411657294377</v>
      </c>
      <c r="T12">
        <f t="shared" si="17"/>
        <v>-0.11166063600669476</v>
      </c>
      <c r="U12">
        <f t="shared" si="18"/>
        <v>1.3754218613337521</v>
      </c>
      <c r="V12">
        <f t="shared" si="19"/>
        <v>-3.0408219336113436</v>
      </c>
      <c r="W12">
        <f t="shared" si="20"/>
        <v>3.0848618844522213</v>
      </c>
      <c r="X12">
        <f t="shared" si="21"/>
        <v>-1.7757070226480274</v>
      </c>
      <c r="Y12">
        <f t="shared" si="22"/>
        <v>0.2413389207432316</v>
      </c>
      <c r="Z12" s="33">
        <f t="shared" si="23"/>
        <v>-2.6193672716622518</v>
      </c>
      <c r="AA12">
        <f t="shared" si="6"/>
        <v>2.6223503605308451</v>
      </c>
      <c r="AG12">
        <v>0.5</v>
      </c>
      <c r="AH12" s="1">
        <f t="shared" ref="AH12" si="25">F22</f>
        <v>3</v>
      </c>
      <c r="AI12" s="1">
        <f t="shared" si="24"/>
        <v>8.3888888888888929E-2</v>
      </c>
      <c r="AJ12">
        <f>regressions!AJ12*$AI12/regressions!$AI12</f>
        <v>1.1541614574518974E-2</v>
      </c>
      <c r="AM12">
        <f>AJ12</f>
        <v>1.1541614574518974E-2</v>
      </c>
      <c r="AN12">
        <f>AJ12</f>
        <v>1.1541614574518974E-2</v>
      </c>
      <c r="AO12">
        <f t="shared" si="1"/>
        <v>4.6114333056128318</v>
      </c>
      <c r="AP12">
        <f t="shared" si="4"/>
        <v>10.579501784641657</v>
      </c>
      <c r="AR12">
        <f t="shared" si="2"/>
        <v>3.2665461170459684</v>
      </c>
      <c r="AS12">
        <f t="shared" si="3"/>
        <v>5.2975271555547039</v>
      </c>
      <c r="BA12">
        <v>1960</v>
      </c>
      <c r="BB12">
        <v>0.21840439290000002</v>
      </c>
    </row>
    <row r="13" spans="1:64" x14ac:dyDescent="0.35">
      <c r="A13" t="str">
        <f>Table1!A6</f>
        <v>Nordhaus 1994b</v>
      </c>
      <c r="B13">
        <f>ROUND(Table1!C6,1)</f>
        <v>3</v>
      </c>
      <c r="C13">
        <f>Table1!E6</f>
        <v>-1.33</v>
      </c>
      <c r="D13">
        <v>1</v>
      </c>
      <c r="E13">
        <v>1994</v>
      </c>
      <c r="F13" s="1">
        <f t="shared" si="7"/>
        <v>3.4</v>
      </c>
      <c r="G13" s="5">
        <f>C13*(F13/B13)^2</f>
        <v>-1.7083111111111109</v>
      </c>
      <c r="H13" s="5" t="s">
        <v>1114</v>
      </c>
      <c r="J13">
        <f t="shared" si="8"/>
        <v>-2.7400039179938283</v>
      </c>
      <c r="K13">
        <f t="shared" si="9"/>
        <v>1.06439004777354</v>
      </c>
      <c r="L13">
        <f t="shared" si="10"/>
        <v>-3.0408219336113396</v>
      </c>
      <c r="M13">
        <f t="shared" si="9"/>
        <v>1.7755850920802358</v>
      </c>
      <c r="N13">
        <f t="shared" si="11"/>
        <v>-2.0069028414759349</v>
      </c>
      <c r="O13">
        <f t="shared" si="12"/>
        <v>8.915702144225976E-2</v>
      </c>
      <c r="P13">
        <f t="shared" si="13"/>
        <v>-2.099650058253113</v>
      </c>
      <c r="Q13">
        <f t="shared" si="14"/>
        <v>0.15314617155021074</v>
      </c>
      <c r="R13" s="24">
        <f t="shared" si="15"/>
        <v>-2.7339413108534192</v>
      </c>
      <c r="S13">
        <f t="shared" si="16"/>
        <v>1.0519173066234473</v>
      </c>
      <c r="T13">
        <f t="shared" si="17"/>
        <v>-0.11166063600669476</v>
      </c>
      <c r="U13">
        <f t="shared" si="18"/>
        <v>2.549292739651158</v>
      </c>
      <c r="V13">
        <f t="shared" si="19"/>
        <v>-3.0408219336113436</v>
      </c>
      <c r="W13">
        <f t="shared" si="20"/>
        <v>1.7755850920802465</v>
      </c>
      <c r="X13">
        <f t="shared" si="21"/>
        <v>-1.7757070226480274</v>
      </c>
      <c r="Y13">
        <f t="shared" si="22"/>
        <v>4.5422088918918727E-3</v>
      </c>
      <c r="Z13" s="33">
        <f t="shared" si="23"/>
        <v>-2.6193672716622518</v>
      </c>
      <c r="AA13">
        <f t="shared" si="6"/>
        <v>1.662467961233759</v>
      </c>
      <c r="AG13">
        <f>1/3</f>
        <v>0.33333333333333331</v>
      </c>
      <c r="AH13" s="1">
        <f>F47</f>
        <v>2.9</v>
      </c>
      <c r="AI13" s="1">
        <f t="shared" ref="AI13:AI15" si="26">G47</f>
        <v>-2.2137500552248932</v>
      </c>
      <c r="AJ13">
        <f>regressions!AJ13*$AI13/regressions!$AI13</f>
        <v>1.2246816371191696</v>
      </c>
      <c r="AM13">
        <f t="shared" ref="AM13:AM22" si="27">AJ13</f>
        <v>1.2246816371191696</v>
      </c>
      <c r="AN13">
        <f t="shared" ref="AN13:AN22" si="28">AJ13</f>
        <v>1.2246816371191696</v>
      </c>
      <c r="AO13">
        <f t="shared" si="1"/>
        <v>4.4577188620924044</v>
      </c>
      <c r="AP13">
        <f t="shared" si="4"/>
        <v>3.4841765660208788</v>
      </c>
      <c r="AR13">
        <f t="shared" si="2"/>
        <v>3.1576612464777698</v>
      </c>
      <c r="AS13">
        <f t="shared" si="3"/>
        <v>1.2454700567320423</v>
      </c>
      <c r="BA13">
        <v>1961</v>
      </c>
      <c r="BB13">
        <v>0.31389402890000001</v>
      </c>
    </row>
    <row r="14" spans="1:64" ht="15" thickBot="1" x14ac:dyDescent="0.4">
      <c r="A14" t="str">
        <f>Table1!A7</f>
        <v>Nordhaus 1994a</v>
      </c>
      <c r="B14">
        <f>ROUND(Table1!C7,1)</f>
        <v>3</v>
      </c>
      <c r="C14">
        <f>Table1!E7</f>
        <v>-3.6</v>
      </c>
      <c r="D14">
        <v>0.5</v>
      </c>
      <c r="E14">
        <v>1994</v>
      </c>
      <c r="F14" s="1">
        <f t="shared" si="7"/>
        <v>3.4</v>
      </c>
      <c r="G14" s="5">
        <f>H14*F14^H15</f>
        <v>-4.0273177029351457</v>
      </c>
      <c r="H14" s="5">
        <f>C14/B14^H15</f>
        <v>-1.3450038220806149</v>
      </c>
      <c r="J14">
        <f t="shared" si="8"/>
        <v>-2.7400039179938283</v>
      </c>
      <c r="K14">
        <f t="shared" si="9"/>
        <v>0.82858839044997024</v>
      </c>
      <c r="L14">
        <f t="shared" si="10"/>
        <v>-3.0408219336113396</v>
      </c>
      <c r="M14">
        <f t="shared" si="9"/>
        <v>0.48658695144688402</v>
      </c>
      <c r="N14">
        <f t="shared" si="11"/>
        <v>-2.0069028414759349</v>
      </c>
      <c r="O14">
        <f t="shared" si="12"/>
        <v>2.0410381062026208</v>
      </c>
      <c r="P14">
        <f t="shared" si="13"/>
        <v>-2.099650058253113</v>
      </c>
      <c r="Q14">
        <f t="shared" si="14"/>
        <v>1.8579512741769877</v>
      </c>
      <c r="R14" s="24">
        <f t="shared" si="15"/>
        <v>-2.7339413108534192</v>
      </c>
      <c r="S14">
        <f t="shared" si="16"/>
        <v>0.83641124579717196</v>
      </c>
      <c r="T14">
        <f t="shared" si="17"/>
        <v>-0.11166063600669476</v>
      </c>
      <c r="U14">
        <f t="shared" si="18"/>
        <v>7.666185132893359</v>
      </c>
      <c r="V14">
        <f t="shared" si="19"/>
        <v>-3.0408219336113436</v>
      </c>
      <c r="W14">
        <f t="shared" si="20"/>
        <v>0.48658695144688008</v>
      </c>
      <c r="X14">
        <f t="shared" si="21"/>
        <v>-1.7757070226480274</v>
      </c>
      <c r="Y14">
        <f t="shared" si="22"/>
        <v>2.5348753277915104</v>
      </c>
      <c r="Z14" s="33">
        <f t="shared" si="23"/>
        <v>-2.6193672716622518</v>
      </c>
      <c r="AA14">
        <f t="shared" si="6"/>
        <v>0.48082027394356802</v>
      </c>
      <c r="AG14">
        <f>1/3</f>
        <v>0.33333333333333331</v>
      </c>
      <c r="AH14" s="1">
        <f t="shared" ref="AH14:AH15" si="29">F48</f>
        <v>4.9000000000000004</v>
      </c>
      <c r="AI14" s="1">
        <f t="shared" si="26"/>
        <v>-6.3298072109025334</v>
      </c>
      <c r="AJ14">
        <f>regressions!AJ14*$AI14/regressions!$AI14</f>
        <v>0.95316350414008377</v>
      </c>
      <c r="AM14">
        <f t="shared" si="27"/>
        <v>0.95316350414008377</v>
      </c>
      <c r="AN14">
        <f t="shared" si="28"/>
        <v>0.95316350414008377</v>
      </c>
      <c r="AO14">
        <f t="shared" si="1"/>
        <v>7.5320077325009596</v>
      </c>
      <c r="AP14">
        <f t="shared" si="4"/>
        <v>14.42706379367907</v>
      </c>
      <c r="AR14">
        <f t="shared" si="2"/>
        <v>5.3353586578417493</v>
      </c>
      <c r="AS14">
        <f t="shared" si="3"/>
        <v>6.4012114550421213</v>
      </c>
      <c r="AU14" s="2"/>
      <c r="AV14" s="2"/>
      <c r="AW14" s="2"/>
      <c r="AX14" s="2"/>
      <c r="AY14" s="2"/>
      <c r="BA14">
        <v>1962</v>
      </c>
      <c r="BB14">
        <v>0.26983697690000003</v>
      </c>
      <c r="BD14" s="2"/>
      <c r="BE14" s="2"/>
      <c r="BF14" s="2"/>
      <c r="BG14" s="2"/>
      <c r="BH14" s="2"/>
      <c r="BI14" s="2"/>
    </row>
    <row r="15" spans="1:64" ht="15" thickBot="1" x14ac:dyDescent="0.4">
      <c r="A15">
        <f>Table1!A8</f>
        <v>0</v>
      </c>
      <c r="B15">
        <f>ROUND(Table1!C8,1)</f>
        <v>6</v>
      </c>
      <c r="C15">
        <f>Table1!E8</f>
        <v>-6.7</v>
      </c>
      <c r="D15">
        <v>0.5</v>
      </c>
      <c r="E15">
        <v>1994</v>
      </c>
      <c r="F15" s="1">
        <f t="shared" si="7"/>
        <v>6.4</v>
      </c>
      <c r="G15" s="5">
        <f>H14*F15^H15</f>
        <v>-7.0989340420433988</v>
      </c>
      <c r="H15" s="5">
        <f>LN(C15/C14)/LN(B15/B14)</f>
        <v>0.89616418901546002</v>
      </c>
      <c r="J15">
        <f t="shared" si="8"/>
        <v>-6.4457497182244952</v>
      </c>
      <c r="K15">
        <f t="shared" si="9"/>
        <v>0.21332488044137921</v>
      </c>
      <c r="L15">
        <f t="shared" si="10"/>
        <v>-5.7239001103272278</v>
      </c>
      <c r="M15">
        <f t="shared" si="9"/>
        <v>0.94535915668541592</v>
      </c>
      <c r="N15">
        <f t="shared" si="11"/>
        <v>-7.1109637012849758</v>
      </c>
      <c r="O15">
        <f t="shared" si="12"/>
        <v>7.2356350734228874E-5</v>
      </c>
      <c r="P15">
        <f t="shared" si="13"/>
        <v>-7.17466382342272</v>
      </c>
      <c r="Q15">
        <f t="shared" si="14"/>
        <v>2.8674998938798906E-3</v>
      </c>
      <c r="R15" s="24">
        <f t="shared" si="15"/>
        <v>-6.2570868069641277</v>
      </c>
      <c r="S15">
        <f t="shared" si="16"/>
        <v>0.35435338360530683</v>
      </c>
      <c r="T15">
        <f t="shared" si="17"/>
        <v>-2.3163412279503128</v>
      </c>
      <c r="U15">
        <f t="shared" si="18"/>
        <v>11.436597012707409</v>
      </c>
      <c r="V15">
        <f t="shared" si="19"/>
        <v>-5.7239001103272358</v>
      </c>
      <c r="W15">
        <f t="shared" si="20"/>
        <v>0.94535915668540493</v>
      </c>
      <c r="X15">
        <f t="shared" si="21"/>
        <v>-6.1720890143538147</v>
      </c>
      <c r="Y15">
        <f t="shared" si="22"/>
        <v>0.42952085267645296</v>
      </c>
      <c r="Z15" s="33">
        <f t="shared" si="23"/>
        <v>-6.2885637426309779</v>
      </c>
      <c r="AA15">
        <f t="shared" si="6"/>
        <v>8.4639896938914147E-2</v>
      </c>
      <c r="AG15">
        <f>1/3</f>
        <v>0.33333333333333331</v>
      </c>
      <c r="AH15" s="1">
        <f t="shared" si="29"/>
        <v>6.9</v>
      </c>
      <c r="AI15" s="1">
        <f t="shared" si="26"/>
        <v>-12.564087098515976</v>
      </c>
      <c r="AJ15">
        <f>regressions!AJ15*$AI15/regressions!$AI15</f>
        <v>1.4765926863362195</v>
      </c>
      <c r="AM15">
        <f t="shared" si="27"/>
        <v>1.4765926863362195</v>
      </c>
      <c r="AN15">
        <f t="shared" si="28"/>
        <v>1.4765926863362195</v>
      </c>
      <c r="AO15">
        <f t="shared" si="1"/>
        <v>10.606296602909515</v>
      </c>
      <c r="AP15">
        <f t="shared" si="4"/>
        <v>27.783831201431248</v>
      </c>
      <c r="AR15">
        <f t="shared" si="2"/>
        <v>7.513056069205728</v>
      </c>
      <c r="AS15">
        <f t="shared" si="3"/>
        <v>12.146296724241461</v>
      </c>
      <c r="BA15">
        <v>1963</v>
      </c>
      <c r="BB15">
        <v>0.29708552690000001</v>
      </c>
    </row>
    <row r="16" spans="1:64" x14ac:dyDescent="0.35">
      <c r="A16" t="str">
        <f>Table1!A9</f>
        <v>Fankhauser 1995</v>
      </c>
      <c r="B16">
        <f>ROUND(Table1!C9,1)</f>
        <v>2.5</v>
      </c>
      <c r="C16">
        <f>Table1!E9</f>
        <v>-1.4</v>
      </c>
      <c r="D16">
        <v>1</v>
      </c>
      <c r="E16">
        <v>1995</v>
      </c>
      <c r="F16" s="1">
        <f t="shared" si="7"/>
        <v>2.9</v>
      </c>
      <c r="G16" s="5">
        <f>C16*LOOKUP(F16,graph!A$3:A$203,graph!B$3:B$203)/LOOKUP(B16,graph!A$3:A$203,graph!B$3:B$203)</f>
        <v>-1.7353439029161242</v>
      </c>
      <c r="H16" s="5" t="s">
        <v>1114</v>
      </c>
      <c r="J16">
        <f t="shared" si="8"/>
        <v>-2.2397841360605444</v>
      </c>
      <c r="K16">
        <f t="shared" si="9"/>
        <v>0.254459948814797</v>
      </c>
      <c r="L16">
        <f t="shared" si="10"/>
        <v>-2.5936422374920247</v>
      </c>
      <c r="M16">
        <f t="shared" si="9"/>
        <v>0.73667603113576452</v>
      </c>
      <c r="N16">
        <f t="shared" si="11"/>
        <v>-1.4600391779249668</v>
      </c>
      <c r="O16">
        <f t="shared" si="12"/>
        <v>7.579269160245676E-2</v>
      </c>
      <c r="P16">
        <f t="shared" si="13"/>
        <v>-1.5288320246723281</v>
      </c>
      <c r="Q16">
        <f t="shared" si="14"/>
        <v>4.2647155855780432E-2</v>
      </c>
      <c r="R16" s="24">
        <f t="shared" si="15"/>
        <v>-2.3564614362701288</v>
      </c>
      <c r="S16">
        <f t="shared" si="16"/>
        <v>0.38578699023976309</v>
      </c>
      <c r="T16">
        <f t="shared" si="17"/>
        <v>-6.620872016342122E-2</v>
      </c>
      <c r="U16">
        <f t="shared" si="18"/>
        <v>2.7860122583028994</v>
      </c>
      <c r="V16">
        <f t="shared" si="19"/>
        <v>-2.5936422374920283</v>
      </c>
      <c r="W16">
        <f t="shared" si="20"/>
        <v>0.73667603113577063</v>
      </c>
      <c r="X16">
        <f t="shared" si="21"/>
        <v>-1.4064607752293086</v>
      </c>
      <c r="Y16">
        <f t="shared" si="22"/>
        <v>0.10816411167706226</v>
      </c>
      <c r="Z16" s="33">
        <f t="shared" si="23"/>
        <v>-2.1663612333762665</v>
      </c>
      <c r="AA16">
        <f t="shared" si="6"/>
        <v>0.58730954002199254</v>
      </c>
      <c r="AG16">
        <v>1</v>
      </c>
      <c r="AH16" s="1">
        <f>F50</f>
        <v>3.5</v>
      </c>
      <c r="AI16" s="1">
        <f>G50</f>
        <v>-11.589800442017166</v>
      </c>
      <c r="AJ16">
        <f>regressions!AJ16*$AI16/regressions!$AI16</f>
        <v>12.975537451388787</v>
      </c>
      <c r="AK16">
        <f>regressions!AK16*$AI16/regressions!$AI16</f>
        <v>-25.195218352211231</v>
      </c>
      <c r="AL16">
        <f>regressions!AL16*$AI16/regressions!$AI16</f>
        <v>-2.5195218352211235</v>
      </c>
      <c r="AM16">
        <f>(AI16-AK16)/2</f>
        <v>6.8027089550970326</v>
      </c>
      <c r="AN16">
        <f>(AL16-AI16)/2</f>
        <v>4.5351393033980214</v>
      </c>
      <c r="AO16">
        <f t="shared" si="1"/>
        <v>5.3800055232149706</v>
      </c>
      <c r="AP16">
        <f t="shared" si="4"/>
        <v>2.0240850550889968</v>
      </c>
      <c r="AR16">
        <f t="shared" si="2"/>
        <v>3.8109704698869633</v>
      </c>
      <c r="AS16">
        <f t="shared" si="3"/>
        <v>0.52442049942876656</v>
      </c>
      <c r="AU16" s="3"/>
      <c r="AV16" s="3"/>
      <c r="AW16" s="3"/>
      <c r="AX16" s="3"/>
      <c r="AY16" s="3"/>
      <c r="AZ16" s="3"/>
      <c r="BA16">
        <v>1964</v>
      </c>
      <c r="BB16">
        <v>2.8024666899999995E-2</v>
      </c>
      <c r="BD16" s="3"/>
      <c r="BE16" s="3"/>
      <c r="BF16" s="3"/>
      <c r="BG16" s="3"/>
      <c r="BH16" s="3"/>
      <c r="BI16" s="3"/>
      <c r="BJ16" s="3"/>
      <c r="BK16" s="3"/>
      <c r="BL16" s="3"/>
    </row>
    <row r="17" spans="1:64" x14ac:dyDescent="0.35">
      <c r="A17" t="str">
        <f>Table1!A10</f>
        <v>Berz undated</v>
      </c>
      <c r="B17">
        <f>ROUND(Table1!C10,1)</f>
        <v>2.5</v>
      </c>
      <c r="C17">
        <f>Table1!E10</f>
        <v>-1.5</v>
      </c>
      <c r="D17">
        <v>1</v>
      </c>
      <c r="E17">
        <v>1995</v>
      </c>
      <c r="F17" s="1">
        <f t="shared" si="7"/>
        <v>2.9</v>
      </c>
      <c r="G17" s="5">
        <f>C17*LOOKUP(F17,graph!A$3:A$203,graph!B$3:B$203)/LOOKUP(B17,graph!A$3:A$203,graph!B$3:B$203)</f>
        <v>-1.8592970388387045</v>
      </c>
      <c r="H17" s="5" t="s">
        <v>1114</v>
      </c>
      <c r="J17">
        <f t="shared" si="8"/>
        <v>-2.2397841360605444</v>
      </c>
      <c r="K17">
        <f t="shared" si="9"/>
        <v>0.14477043115230187</v>
      </c>
      <c r="L17">
        <f t="shared" si="10"/>
        <v>-2.5936422374920247</v>
      </c>
      <c r="M17">
        <f t="shared" si="9"/>
        <v>0.53926287078518442</v>
      </c>
      <c r="N17">
        <f t="shared" si="11"/>
        <v>-1.4600391779249668</v>
      </c>
      <c r="O17">
        <f t="shared" si="12"/>
        <v>0.15940683950141343</v>
      </c>
      <c r="P17">
        <f t="shared" si="13"/>
        <v>-1.5288320246723281</v>
      </c>
      <c r="Q17">
        <f t="shared" si="14"/>
        <v>0.10920712558798329</v>
      </c>
      <c r="R17" s="24">
        <f t="shared" si="15"/>
        <v>-2.3564614362701288</v>
      </c>
      <c r="S17">
        <f t="shared" si="16"/>
        <v>0.24717243807335129</v>
      </c>
      <c r="T17">
        <f t="shared" si="17"/>
        <v>-6.620872016342122E-2</v>
      </c>
      <c r="U17">
        <f t="shared" si="18"/>
        <v>3.2151657185697542</v>
      </c>
      <c r="V17">
        <f t="shared" si="19"/>
        <v>-2.5936422374920283</v>
      </c>
      <c r="W17">
        <f t="shared" si="20"/>
        <v>0.53926287078518964</v>
      </c>
      <c r="X17">
        <f t="shared" si="21"/>
        <v>-1.4064607752293086</v>
      </c>
      <c r="Y17">
        <f t="shared" si="22"/>
        <v>0.20506068163971827</v>
      </c>
      <c r="Z17" s="33">
        <f t="shared" si="23"/>
        <v>-2.1663612333762665</v>
      </c>
      <c r="AA17">
        <f t="shared" si="6"/>
        <v>0.44403729334673914</v>
      </c>
      <c r="AG17">
        <v>0.25</v>
      </c>
      <c r="AH17" s="1">
        <f>F51</f>
        <v>2.1</v>
      </c>
      <c r="AI17" s="1">
        <f>G51</f>
        <v>-4.7572476689155101</v>
      </c>
      <c r="AJ17">
        <f>regressions!AJ17*$AI17/regressions!$AI17</f>
        <v>6.2709173817522625</v>
      </c>
      <c r="AM17">
        <f t="shared" si="27"/>
        <v>6.2709173817522625</v>
      </c>
      <c r="AN17">
        <f t="shared" si="28"/>
        <v>6.2709173817522625</v>
      </c>
      <c r="AO17">
        <f t="shared" si="1"/>
        <v>3.2280033139289825</v>
      </c>
      <c r="AP17">
        <f t="shared" si="4"/>
        <v>2.3148315060392051</v>
      </c>
      <c r="AR17">
        <f t="shared" si="2"/>
        <v>2.2865822819321782</v>
      </c>
      <c r="AS17">
        <f t="shared" si="3"/>
        <v>3.9687315469145803</v>
      </c>
      <c r="BA17">
        <v>1965</v>
      </c>
      <c r="BB17">
        <v>0.1295035169</v>
      </c>
    </row>
    <row r="18" spans="1:64" ht="15" thickBot="1" x14ac:dyDescent="0.4">
      <c r="A18" t="str">
        <f>Table1!A11</f>
        <v>Tol 1995</v>
      </c>
      <c r="B18">
        <f>ROUND(Table1!C11,1)</f>
        <v>2.5</v>
      </c>
      <c r="C18">
        <f>Table1!E11</f>
        <v>-1.9</v>
      </c>
      <c r="D18">
        <v>1</v>
      </c>
      <c r="E18">
        <v>1995</v>
      </c>
      <c r="F18" s="1">
        <f t="shared" si="7"/>
        <v>2.9</v>
      </c>
      <c r="G18" s="5">
        <f>C18*LOOKUP(F18,graph!A$3:A$203,graph!B$3:B$203)/LOOKUP(B18,graph!A$3:A$203,graph!B$3:B$203)</f>
        <v>-2.3551095825290256</v>
      </c>
      <c r="H18" s="5" t="s">
        <v>1114</v>
      </c>
      <c r="J18">
        <f t="shared" si="8"/>
        <v>-2.2397841360605444</v>
      </c>
      <c r="K18">
        <f t="shared" si="9"/>
        <v>1.3299958603154522E-2</v>
      </c>
      <c r="L18">
        <f t="shared" si="10"/>
        <v>-2.5936422374920247</v>
      </c>
      <c r="M18">
        <f t="shared" si="9"/>
        <v>5.6897827483697198E-2</v>
      </c>
      <c r="N18">
        <f t="shared" si="11"/>
        <v>-1.4600391779249668</v>
      </c>
      <c r="O18">
        <f t="shared" si="12"/>
        <v>0.80115102919807346</v>
      </c>
      <c r="P18">
        <f t="shared" si="13"/>
        <v>-1.5288320246723281</v>
      </c>
      <c r="Q18">
        <f t="shared" si="14"/>
        <v>0.68273460261762797</v>
      </c>
      <c r="R18" s="24">
        <f t="shared" si="15"/>
        <v>-2.3564614362701288</v>
      </c>
      <c r="S18">
        <f t="shared" si="16"/>
        <v>1.8275085373348482E-6</v>
      </c>
      <c r="T18">
        <f t="shared" si="17"/>
        <v>-6.620872016342122E-2</v>
      </c>
      <c r="U18">
        <f t="shared" si="18"/>
        <v>5.2390671577380061</v>
      </c>
      <c r="V18">
        <f t="shared" si="19"/>
        <v>-2.5936422374920283</v>
      </c>
      <c r="W18">
        <f t="shared" si="20"/>
        <v>5.6897827483698891E-2</v>
      </c>
      <c r="X18">
        <f t="shared" si="21"/>
        <v>-1.4064607752293086</v>
      </c>
      <c r="Y18">
        <f t="shared" si="22"/>
        <v>0.89993455959117563</v>
      </c>
      <c r="Z18" s="33">
        <f t="shared" si="23"/>
        <v>-2.1663612333762665</v>
      </c>
      <c r="AA18">
        <f t="shared" si="6"/>
        <v>7.0948306645725961E-2</v>
      </c>
      <c r="AG18">
        <v>0.25</v>
      </c>
      <c r="AH18" s="1">
        <f t="shared" ref="AH18:AI20" si="30">F52</f>
        <v>3.9</v>
      </c>
      <c r="AI18" s="1">
        <f t="shared" si="30"/>
        <v>-11.1648805814563</v>
      </c>
      <c r="AJ18">
        <f>regressions!AJ18*$AI18/regressions!$AI18</f>
        <v>8.8005529289126123</v>
      </c>
      <c r="AM18">
        <f t="shared" si="27"/>
        <v>8.8005529289126123</v>
      </c>
      <c r="AN18">
        <f t="shared" si="28"/>
        <v>8.8005529289126123</v>
      </c>
      <c r="AO18">
        <f t="shared" si="1"/>
        <v>5.9948632972966811</v>
      </c>
      <c r="AP18">
        <f t="shared" si="4"/>
        <v>1.967973577239285</v>
      </c>
      <c r="AR18">
        <f t="shared" si="2"/>
        <v>4.2465099521597596</v>
      </c>
      <c r="AS18">
        <f t="shared" si="3"/>
        <v>5.1848268585279964</v>
      </c>
      <c r="AU18" s="2"/>
      <c r="AV18" s="2"/>
      <c r="AW18" s="2"/>
      <c r="AX18" s="2"/>
      <c r="AY18" s="2"/>
      <c r="AZ18" s="2"/>
      <c r="BA18">
        <v>1966</v>
      </c>
      <c r="BB18">
        <v>0.18500683690000003</v>
      </c>
      <c r="BD18" s="2"/>
      <c r="BE18" s="2"/>
      <c r="BF18" s="2"/>
      <c r="BG18" s="2"/>
      <c r="BH18" s="2"/>
      <c r="BI18" s="2"/>
      <c r="BJ18" s="2"/>
      <c r="BK18" s="2"/>
      <c r="BL18" s="2"/>
    </row>
    <row r="19" spans="1:64" x14ac:dyDescent="0.35">
      <c r="A19" t="str">
        <f>Table1!A12</f>
        <v>Nordhaus and Yang 1996</v>
      </c>
      <c r="B19">
        <f>ROUND(Table1!C12,1)</f>
        <v>2.5</v>
      </c>
      <c r="C19">
        <f>Table1!E12</f>
        <v>-1.435622202473182</v>
      </c>
      <c r="D19">
        <v>1</v>
      </c>
      <c r="E19">
        <v>1996</v>
      </c>
      <c r="F19" s="1">
        <f t="shared" si="7"/>
        <v>2.9</v>
      </c>
      <c r="G19" s="5">
        <f>C19*(F19/B19)^2</f>
        <v>-1.9317732356479136</v>
      </c>
      <c r="H19" s="5" t="s">
        <v>1114</v>
      </c>
      <c r="J19">
        <f t="shared" si="8"/>
        <v>-2.2397841360605444</v>
      </c>
      <c r="K19">
        <f t="shared" si="9"/>
        <v>9.4870714772999562E-2</v>
      </c>
      <c r="L19">
        <f t="shared" si="10"/>
        <v>-2.5936422374920247</v>
      </c>
      <c r="M19">
        <f t="shared" si="9"/>
        <v>0.43807057560211998</v>
      </c>
      <c r="N19">
        <f t="shared" si="11"/>
        <v>-1.4600391779249668</v>
      </c>
      <c r="O19">
        <f t="shared" si="12"/>
        <v>0.22253302121575644</v>
      </c>
      <c r="P19">
        <f t="shared" si="13"/>
        <v>-1.5288320246723281</v>
      </c>
      <c r="Q19">
        <f t="shared" si="14"/>
        <v>0.16236161950247124</v>
      </c>
      <c r="R19" s="24">
        <f t="shared" si="15"/>
        <v>-2.3564614362701288</v>
      </c>
      <c r="S19">
        <f t="shared" si="16"/>
        <v>0.18036006774773494</v>
      </c>
      <c r="T19">
        <f t="shared" si="17"/>
        <v>-6.620872016342122E-2</v>
      </c>
      <c r="U19">
        <f t="shared" si="18"/>
        <v>3.480330961434889</v>
      </c>
      <c r="V19">
        <f t="shared" si="19"/>
        <v>-2.5936422374920283</v>
      </c>
      <c r="W19">
        <f t="shared" si="20"/>
        <v>0.4380705756021247</v>
      </c>
      <c r="X19">
        <f t="shared" si="21"/>
        <v>-1.4064607752293086</v>
      </c>
      <c r="Y19">
        <f t="shared" si="22"/>
        <v>0.27595318107104849</v>
      </c>
      <c r="Z19" s="33">
        <f t="shared" si="23"/>
        <v>-2.1663612333762665</v>
      </c>
      <c r="AA19">
        <f t="shared" si="6"/>
        <v>0.53397953128517917</v>
      </c>
      <c r="AG19">
        <v>0.25</v>
      </c>
      <c r="AH19" s="1">
        <f t="shared" si="30"/>
        <v>5.9</v>
      </c>
      <c r="AI19" s="1">
        <f t="shared" si="30"/>
        <v>-19.752444045634771</v>
      </c>
      <c r="AJ19">
        <f>regressions!AJ19*$AI19/regressions!$AI19</f>
        <v>16.317236385524378</v>
      </c>
      <c r="AM19">
        <f t="shared" si="27"/>
        <v>16.317236385524378</v>
      </c>
      <c r="AN19">
        <f t="shared" si="28"/>
        <v>16.317236385524378</v>
      </c>
      <c r="AO19">
        <f t="shared" si="1"/>
        <v>9.0691521677052371</v>
      </c>
      <c r="AP19">
        <f t="shared" si="4"/>
        <v>13.133681207149728</v>
      </c>
      <c r="AR19">
        <f t="shared" si="2"/>
        <v>6.4242073635237391</v>
      </c>
      <c r="AS19">
        <f t="shared" si="3"/>
        <v>24.468005807536734</v>
      </c>
      <c r="BA19">
        <v>1967</v>
      </c>
      <c r="BB19">
        <v>0.2163751069</v>
      </c>
    </row>
    <row r="20" spans="1:64" x14ac:dyDescent="0.35">
      <c r="A20" t="str">
        <f>Table1!A13</f>
        <v>Plambeck and Hope 1996</v>
      </c>
      <c r="B20">
        <f>ROUND(Table1!C13,1)</f>
        <v>2.5</v>
      </c>
      <c r="C20">
        <f>Table1!E13</f>
        <v>-2.8909238132996098</v>
      </c>
      <c r="D20">
        <v>1</v>
      </c>
      <c r="E20">
        <v>1996</v>
      </c>
      <c r="F20" s="1">
        <f t="shared" si="7"/>
        <v>2.9</v>
      </c>
      <c r="G20" s="5">
        <f>C20*LOOKUP(F20,graph!A$3:A$203,graph!B$3:B$203)/LOOKUP(B20,graph!A$3:A$203,graph!B$3:B$203)</f>
        <v>-3.5833907237175069</v>
      </c>
      <c r="H20" s="5" t="s">
        <v>1114</v>
      </c>
      <c r="J20">
        <f t="shared" si="8"/>
        <v>-2.2397841360605444</v>
      </c>
      <c r="K20">
        <f t="shared" si="9"/>
        <v>1.8052786623951869</v>
      </c>
      <c r="L20">
        <f t="shared" si="10"/>
        <v>-2.5936422374920247</v>
      </c>
      <c r="M20">
        <f t="shared" si="9"/>
        <v>0.97960206598563349</v>
      </c>
      <c r="N20">
        <f t="shared" si="11"/>
        <v>-1.4600391779249668</v>
      </c>
      <c r="O20">
        <f t="shared" si="12"/>
        <v>4.5086217870195693</v>
      </c>
      <c r="P20">
        <f t="shared" si="13"/>
        <v>-1.5288320246723281</v>
      </c>
      <c r="Q20">
        <f t="shared" si="14"/>
        <v>4.2212114478222169</v>
      </c>
      <c r="R20" s="24">
        <f t="shared" si="15"/>
        <v>-2.3564614362701288</v>
      </c>
      <c r="S20">
        <f t="shared" si="16"/>
        <v>1.5053554763961308</v>
      </c>
      <c r="T20">
        <f t="shared" si="17"/>
        <v>-6.620872016342122E-2</v>
      </c>
      <c r="U20">
        <f t="shared" si="18"/>
        <v>12.370569246124731</v>
      </c>
      <c r="V20">
        <f t="shared" si="19"/>
        <v>-2.5936422374920283</v>
      </c>
      <c r="W20">
        <f t="shared" si="20"/>
        <v>0.97960206598562649</v>
      </c>
      <c r="X20">
        <f t="shared" si="21"/>
        <v>-1.4064607752293086</v>
      </c>
      <c r="Y20">
        <f t="shared" si="22"/>
        <v>4.7390240006248305</v>
      </c>
      <c r="Z20" s="33">
        <f t="shared" si="23"/>
        <v>-2.1663612333762665</v>
      </c>
      <c r="AA20">
        <f t="shared" si="6"/>
        <v>0.52499093222517124</v>
      </c>
      <c r="AG20">
        <v>0.25</v>
      </c>
      <c r="AH20" s="1">
        <f t="shared" si="30"/>
        <v>7.9</v>
      </c>
      <c r="AI20" s="1">
        <f t="shared" si="30"/>
        <v>-29.534580139036954</v>
      </c>
      <c r="AJ20">
        <f>regressions!AJ20*$AI20/regressions!$AI20</f>
        <v>24.454632355122598</v>
      </c>
      <c r="AM20">
        <f t="shared" si="27"/>
        <v>24.454632355122598</v>
      </c>
      <c r="AN20">
        <f t="shared" si="28"/>
        <v>24.454632355122598</v>
      </c>
      <c r="AO20">
        <f t="shared" si="1"/>
        <v>12.143441038113792</v>
      </c>
      <c r="AP20">
        <f t="shared" si="4"/>
        <v>37.891357910998252</v>
      </c>
      <c r="AR20">
        <f t="shared" si="2"/>
        <v>8.6019047748877178</v>
      </c>
      <c r="AS20">
        <f t="shared" si="3"/>
        <v>62.827242933284914</v>
      </c>
      <c r="BA20">
        <v>1968</v>
      </c>
      <c r="BB20">
        <v>0.1652591169</v>
      </c>
    </row>
    <row r="21" spans="1:64" x14ac:dyDescent="0.35">
      <c r="A21" t="str">
        <f>Table1!A14</f>
        <v>Mendelsohn et al. 2000, 2006</v>
      </c>
      <c r="B21">
        <f>ROUND(Table1!C14,1)</f>
        <v>2.5</v>
      </c>
      <c r="C21">
        <f>Table1!E14</f>
        <v>0.03</v>
      </c>
      <c r="D21">
        <f>1/6</f>
        <v>0.16666666666666666</v>
      </c>
      <c r="E21">
        <v>2000</v>
      </c>
      <c r="F21" s="1">
        <f t="shared" si="7"/>
        <v>3</v>
      </c>
      <c r="G21" s="5">
        <f>H$21*F21+H$22*F21*F21</f>
        <v>2.8264957264957258E-2</v>
      </c>
      <c r="H21" s="5">
        <f>(C21-H22*B21*B21)/B21</f>
        <v>2.4891737891737889E-2</v>
      </c>
      <c r="J21">
        <f t="shared" si="8"/>
        <v>-2.3371445606047976</v>
      </c>
      <c r="K21">
        <f t="shared" si="9"/>
        <v>0.93252703120480418</v>
      </c>
      <c r="L21">
        <f t="shared" si="10"/>
        <v>-2.6830781767158878</v>
      </c>
      <c r="M21">
        <f t="shared" si="9"/>
        <v>1.2252302650308449</v>
      </c>
      <c r="N21">
        <f t="shared" si="11"/>
        <v>-1.5624676101456243</v>
      </c>
      <c r="O21">
        <f t="shared" si="12"/>
        <v>0.42173835017011008</v>
      </c>
      <c r="P21">
        <f t="shared" si="13"/>
        <v>-1.6358721068231816</v>
      </c>
      <c r="Q21">
        <f t="shared" si="14"/>
        <v>0.46155869467864841</v>
      </c>
      <c r="R21" s="24">
        <f t="shared" si="15"/>
        <v>-2.4271640159539833</v>
      </c>
      <c r="S21">
        <f t="shared" si="16"/>
        <v>1.0048552404205033</v>
      </c>
      <c r="T21">
        <f t="shared" si="17"/>
        <v>-7.3577400571225846E-2</v>
      </c>
      <c r="U21">
        <f t="shared" si="18"/>
        <v>1.7286443082721941E-3</v>
      </c>
      <c r="V21">
        <f t="shared" si="19"/>
        <v>-2.6830781767158913</v>
      </c>
      <c r="W21">
        <f t="shared" si="20"/>
        <v>1.2252302650308482</v>
      </c>
      <c r="X21">
        <f t="shared" si="21"/>
        <v>-1.4755104220590849</v>
      </c>
      <c r="Y21">
        <f t="shared" si="22"/>
        <v>0.37689006524352775</v>
      </c>
      <c r="Z21" s="33">
        <f t="shared" si="23"/>
        <v>-2.2535719933885749</v>
      </c>
      <c r="AA21">
        <f t="shared" si="6"/>
        <v>0.86911684149811141</v>
      </c>
      <c r="AG21">
        <v>1</v>
      </c>
      <c r="AH21" s="1">
        <f>F61</f>
        <v>1.9</v>
      </c>
      <c r="AI21" s="1">
        <f>G61</f>
        <v>-4.3699999999999992</v>
      </c>
      <c r="AJ21">
        <f>regressions!AJ21*$AI21/regressions!$AI21</f>
        <v>2.5079999999999996</v>
      </c>
      <c r="AM21">
        <f t="shared" si="27"/>
        <v>2.5079999999999996</v>
      </c>
      <c r="AN21">
        <f t="shared" si="28"/>
        <v>2.5079999999999996</v>
      </c>
      <c r="AO21">
        <f t="shared" si="1"/>
        <v>2.9205744268881269</v>
      </c>
      <c r="AP21">
        <f t="shared" si="4"/>
        <v>0.17021765772206668</v>
      </c>
      <c r="AR21">
        <f t="shared" si="2"/>
        <v>2.06881254079578</v>
      </c>
      <c r="AS21">
        <f t="shared" si="3"/>
        <v>0.192885624322258</v>
      </c>
      <c r="BA21">
        <v>1969</v>
      </c>
      <c r="BB21">
        <v>0.30252470390000002</v>
      </c>
    </row>
    <row r="22" spans="1:64" x14ac:dyDescent="0.35">
      <c r="A22">
        <f>Table1!A15</f>
        <v>0</v>
      </c>
      <c r="B22">
        <f>ROUND(Table1!C15,1)</f>
        <v>2.5</v>
      </c>
      <c r="C22">
        <f>Table1!E15</f>
        <v>0.1</v>
      </c>
      <c r="D22">
        <f t="shared" ref="D22:D26" si="31">1/6</f>
        <v>0.16666666666666666</v>
      </c>
      <c r="E22">
        <v>2000</v>
      </c>
      <c r="F22" s="1">
        <f t="shared" si="7"/>
        <v>3</v>
      </c>
      <c r="G22" s="5">
        <f>H$24*F22+H$25*F22*F22</f>
        <v>8.3888888888888929E-2</v>
      </c>
      <c r="H22" s="5">
        <f>(C25-C21*B25/B21)/B25/(B25-B21)</f>
        <v>-5.1566951566951562E-3</v>
      </c>
      <c r="J22">
        <f t="shared" si="8"/>
        <v>-2.3371445606047976</v>
      </c>
      <c r="K22">
        <f t="shared" si="9"/>
        <v>0.97690049392788325</v>
      </c>
      <c r="L22">
        <f t="shared" si="10"/>
        <v>-2.6830781767158878</v>
      </c>
      <c r="M22">
        <f t="shared" si="9"/>
        <v>1.2760177903569181</v>
      </c>
      <c r="N22">
        <f t="shared" si="11"/>
        <v>-1.5624676101456243</v>
      </c>
      <c r="O22">
        <f t="shared" si="12"/>
        <v>0.45174828698552982</v>
      </c>
      <c r="P22">
        <f t="shared" si="13"/>
        <v>-1.6358721068231816</v>
      </c>
      <c r="Q22">
        <f t="shared" si="14"/>
        <v>0.49292964706209541</v>
      </c>
      <c r="R22" s="24">
        <f t="shared" si="15"/>
        <v>-2.4271640159539833</v>
      </c>
      <c r="S22">
        <f t="shared" si="16"/>
        <v>1.0508977818199712</v>
      </c>
      <c r="T22">
        <f t="shared" si="17"/>
        <v>-7.3577400571225846E-2</v>
      </c>
      <c r="U22">
        <f t="shared" si="18"/>
        <v>4.1326053860561082E-3</v>
      </c>
      <c r="V22">
        <f t="shared" si="19"/>
        <v>-2.6830781767158913</v>
      </c>
      <c r="W22">
        <f t="shared" si="20"/>
        <v>1.2760177903569214</v>
      </c>
      <c r="X22">
        <f t="shared" si="21"/>
        <v>-1.4755104220590849</v>
      </c>
      <c r="Y22">
        <f t="shared" si="22"/>
        <v>0.4052877018308359</v>
      </c>
      <c r="Z22" s="33">
        <f t="shared" si="23"/>
        <v>-2.2535719933885749</v>
      </c>
      <c r="AA22">
        <f t="shared" si="6"/>
        <v>0.9232168546771784</v>
      </c>
      <c r="AG22">
        <v>1</v>
      </c>
      <c r="AH22" s="1">
        <f>F71</f>
        <v>2.9</v>
      </c>
      <c r="AI22" s="1">
        <f>G71</f>
        <v>-6.4703536951586926</v>
      </c>
      <c r="AJ22">
        <f>regressions!AJ22*$AI22/regressions!$AI22</f>
        <v>14.370996101878781</v>
      </c>
      <c r="AM22">
        <f t="shared" si="27"/>
        <v>14.370996101878781</v>
      </c>
      <c r="AN22">
        <f t="shared" si="28"/>
        <v>14.370996101878781</v>
      </c>
      <c r="AO22">
        <f t="shared" si="1"/>
        <v>4.4577188620924044</v>
      </c>
      <c r="AP22">
        <f t="shared" si="4"/>
        <v>98.273065632866604</v>
      </c>
      <c r="AR22">
        <f t="shared" si="2"/>
        <v>3.1576612464777698</v>
      </c>
      <c r="AS22">
        <f t="shared" si="3"/>
        <v>125.73887857935124</v>
      </c>
      <c r="BA22">
        <v>1970</v>
      </c>
      <c r="BB22">
        <v>0.24878484690000002</v>
      </c>
    </row>
    <row r="23" spans="1:64" x14ac:dyDescent="0.35">
      <c r="A23">
        <f>Table1!A16</f>
        <v>0</v>
      </c>
      <c r="B23">
        <f>ROUND(Table1!C16,1)</f>
        <v>4</v>
      </c>
      <c r="C23">
        <f>Table1!E16</f>
        <v>-0.01</v>
      </c>
      <c r="D23">
        <f t="shared" si="31"/>
        <v>0.16666666666666666</v>
      </c>
      <c r="E23">
        <v>2000</v>
      </c>
      <c r="F23" s="1">
        <f t="shared" si="7"/>
        <v>4.5</v>
      </c>
      <c r="G23" s="5">
        <f>H$21*F23+H$22*F23*F23</f>
        <v>7.5897435897435694E-3</v>
      </c>
      <c r="H23" s="5"/>
      <c r="J23">
        <f t="shared" si="8"/>
        <v>-3.9585628393128145</v>
      </c>
      <c r="K23">
        <f t="shared" si="9"/>
        <v>2.6217277184774384</v>
      </c>
      <c r="L23">
        <f t="shared" si="10"/>
        <v>-4.0246172650738314</v>
      </c>
      <c r="M23">
        <f t="shared" si="9"/>
        <v>2.7097822267859426</v>
      </c>
      <c r="N23">
        <f t="shared" si="11"/>
        <v>-3.5155521228276547</v>
      </c>
      <c r="O23">
        <f t="shared" si="12"/>
        <v>2.0687547684838443</v>
      </c>
      <c r="P23">
        <f t="shared" si="13"/>
        <v>-3.6603039317861192</v>
      </c>
      <c r="Q23">
        <f t="shared" si="14"/>
        <v>2.2422406689770424</v>
      </c>
      <c r="R23" s="24">
        <f t="shared" si="15"/>
        <v>-3.7753064251800197</v>
      </c>
      <c r="S23">
        <f t="shared" si="16"/>
        <v>2.3850505706154919</v>
      </c>
      <c r="T23">
        <f t="shared" si="17"/>
        <v>-0.34317342780346449</v>
      </c>
      <c r="U23">
        <f t="shared" si="18"/>
        <v>2.0505800400970175E-2</v>
      </c>
      <c r="V23">
        <f t="shared" si="19"/>
        <v>-4.0246172650738368</v>
      </c>
      <c r="W23">
        <f t="shared" si="20"/>
        <v>2.7097822267859497</v>
      </c>
      <c r="X23">
        <f t="shared" si="21"/>
        <v>-2.8552554020885368</v>
      </c>
      <c r="Y23">
        <f t="shared" si="22"/>
        <v>1.3659803880222823</v>
      </c>
      <c r="Z23" s="33">
        <f t="shared" si="23"/>
        <v>-3.7693145982055176</v>
      </c>
      <c r="AA23">
        <f t="shared" si="6"/>
        <v>2.3554077080468523</v>
      </c>
      <c r="AG23">
        <v>1</v>
      </c>
      <c r="AH23" s="1">
        <f>F72</f>
        <v>1.7</v>
      </c>
      <c r="AI23" s="1">
        <f>G72</f>
        <v>-6.46</v>
      </c>
      <c r="AK23">
        <f>regressions!AK23*$AI23/regressions!$AI23</f>
        <v>-12.92</v>
      </c>
      <c r="AL23">
        <f>regressions!AL23*$AI23/regressions!$AI23</f>
        <v>-20.097777777777779</v>
      </c>
      <c r="AM23">
        <f>(AI23-AK23)/2</f>
        <v>3.23</v>
      </c>
      <c r="AN23">
        <f>(AL23-AI23)/2</f>
        <v>-6.818888888888889</v>
      </c>
      <c r="AO23">
        <f t="shared" si="1"/>
        <v>2.6131455398472716</v>
      </c>
      <c r="AP23">
        <f t="shared" si="4"/>
        <v>0.38050942501031398</v>
      </c>
      <c r="AR23">
        <f t="shared" si="2"/>
        <v>1.8510427996593821</v>
      </c>
      <c r="AS23">
        <f t="shared" si="3"/>
        <v>75.167715484093478</v>
      </c>
      <c r="BA23">
        <v>1971</v>
      </c>
      <c r="BB23">
        <v>0.12795867690000001</v>
      </c>
    </row>
    <row r="24" spans="1:64" x14ac:dyDescent="0.35">
      <c r="A24">
        <f>Table1!A17</f>
        <v>0</v>
      </c>
      <c r="B24">
        <f>ROUND(Table1!C17,1)</f>
        <v>4</v>
      </c>
      <c r="C24">
        <f>Table1!E17</f>
        <v>-0.04</v>
      </c>
      <c r="D24">
        <f t="shared" si="31"/>
        <v>0.16666666666666666</v>
      </c>
      <c r="E24">
        <v>2000</v>
      </c>
      <c r="F24" s="1">
        <f t="shared" si="7"/>
        <v>4.5</v>
      </c>
      <c r="G24" s="5">
        <f>H$24*F24+H$25*F24*F24</f>
        <v>-3.6666666666666681E-2</v>
      </c>
      <c r="H24" s="5">
        <f>(C22-H25*B22*B22)/B22</f>
        <v>0.1001851851851852</v>
      </c>
      <c r="J24">
        <f t="shared" si="8"/>
        <v>-3.9585628393128145</v>
      </c>
      <c r="K24">
        <f t="shared" si="9"/>
        <v>2.5635449315027503</v>
      </c>
      <c r="L24">
        <f t="shared" si="10"/>
        <v>-4.0246172650738314</v>
      </c>
      <c r="M24">
        <f t="shared" si="9"/>
        <v>2.650624995889344</v>
      </c>
      <c r="N24">
        <f t="shared" si="11"/>
        <v>-3.5155521228276547</v>
      </c>
      <c r="O24">
        <f t="shared" si="12"/>
        <v>2.0171073361814074</v>
      </c>
      <c r="P24">
        <f t="shared" si="13"/>
        <v>-3.6603039317861192</v>
      </c>
      <c r="Q24">
        <f t="shared" si="14"/>
        <v>2.188457838193731</v>
      </c>
      <c r="R24" s="24">
        <f t="shared" si="15"/>
        <v>-3.7753064251800197</v>
      </c>
      <c r="S24">
        <f t="shared" si="16"/>
        <v>2.3295712073227968</v>
      </c>
      <c r="T24">
        <f t="shared" si="17"/>
        <v>-0.34317342780346449</v>
      </c>
      <c r="U24">
        <f t="shared" si="18"/>
        <v>1.5657732437095003E-2</v>
      </c>
      <c r="V24">
        <f t="shared" si="19"/>
        <v>-4.0246172650738368</v>
      </c>
      <c r="W24">
        <f t="shared" si="20"/>
        <v>2.6506249958893511</v>
      </c>
      <c r="X24">
        <f t="shared" si="21"/>
        <v>-2.8552554020885368</v>
      </c>
      <c r="Y24">
        <f t="shared" si="22"/>
        <v>1.324073743241176</v>
      </c>
      <c r="Z24" s="33">
        <f t="shared" si="23"/>
        <v>-3.7693145982055176</v>
      </c>
      <c r="AA24">
        <f t="shared" si="6"/>
        <v>2.3179645620647968</v>
      </c>
      <c r="AG24">
        <v>1</v>
      </c>
      <c r="AH24" s="1">
        <f>F76</f>
        <v>3.7</v>
      </c>
      <c r="AI24" s="1">
        <f>G76</f>
        <v>-0.96007825640586453</v>
      </c>
      <c r="AK24">
        <f>regressions!AK24*$AI24/regressions!$AI24</f>
        <v>-2.4687726593293662</v>
      </c>
      <c r="AL24">
        <f>regressions!AL24*$AI24/regressions!$AI24</f>
        <v>-0.41146210988822762</v>
      </c>
      <c r="AM24">
        <f>(AI24-AK24)/2</f>
        <v>0.75434720146175083</v>
      </c>
      <c r="AN24">
        <f>(AL24-AI24)/2</f>
        <v>0.27430807325881845</v>
      </c>
      <c r="AO24">
        <f t="shared" si="1"/>
        <v>5.6874344102558263</v>
      </c>
      <c r="AP24">
        <f t="shared" si="4"/>
        <v>24.335349409567726</v>
      </c>
      <c r="AR24">
        <f t="shared" si="2"/>
        <v>4.0287402110233614</v>
      </c>
      <c r="AS24">
        <f t="shared" si="3"/>
        <v>14.095760677079236</v>
      </c>
      <c r="BA24">
        <v>1972</v>
      </c>
      <c r="BB24">
        <v>0.24006431690000002</v>
      </c>
    </row>
    <row r="25" spans="1:64" ht="15" thickBot="1" x14ac:dyDescent="0.4">
      <c r="A25">
        <f>Table1!A18</f>
        <v>0</v>
      </c>
      <c r="B25">
        <f>ROUND(Table1!C18,1)</f>
        <v>5.2</v>
      </c>
      <c r="C25">
        <f>Table1!E18</f>
        <v>-0.01</v>
      </c>
      <c r="D25">
        <f t="shared" si="31"/>
        <v>0.16666666666666666</v>
      </c>
      <c r="E25">
        <v>2000</v>
      </c>
      <c r="F25" s="1">
        <f t="shared" si="7"/>
        <v>5.7</v>
      </c>
      <c r="G25" s="5">
        <f>H$21*F25+H$22*F25*F25</f>
        <v>-2.5658119658119649E-2</v>
      </c>
      <c r="H25" s="5">
        <f>(C26-C22*B26/B22)/B26/(B26-B22)</f>
        <v>-2.4074074074074074E-2</v>
      </c>
      <c r="J25">
        <f t="shared" si="8"/>
        <v>-5.473063541513925</v>
      </c>
      <c r="K25">
        <f t="shared" si="9"/>
        <v>4.9457043050106702</v>
      </c>
      <c r="L25">
        <f t="shared" si="10"/>
        <v>-5.0978485357601873</v>
      </c>
      <c r="M25">
        <f t="shared" si="9"/>
        <v>4.2878526028662769</v>
      </c>
      <c r="N25">
        <f t="shared" si="11"/>
        <v>-5.6405080726257042</v>
      </c>
      <c r="O25">
        <f t="shared" si="12"/>
        <v>5.2544233323900134</v>
      </c>
      <c r="P25">
        <f t="shared" si="13"/>
        <v>-5.787503266027751</v>
      </c>
      <c r="Q25">
        <f t="shared" si="14"/>
        <v>5.5331432484572121</v>
      </c>
      <c r="R25" s="24">
        <f t="shared" si="15"/>
        <v>-5.242085366417947</v>
      </c>
      <c r="S25">
        <f t="shared" si="16"/>
        <v>4.5351855367897187</v>
      </c>
      <c r="T25">
        <f t="shared" si="17"/>
        <v>-1.1483202786627644</v>
      </c>
      <c r="U25">
        <f t="shared" si="18"/>
        <v>0.21006172054349506</v>
      </c>
      <c r="V25">
        <f t="shared" si="19"/>
        <v>-5.0978485357601935</v>
      </c>
      <c r="W25">
        <f t="shared" si="20"/>
        <v>4.2878526028662876</v>
      </c>
      <c r="X25">
        <f t="shared" si="21"/>
        <v>-4.662917039381548</v>
      </c>
      <c r="Y25">
        <f t="shared" si="22"/>
        <v>3.5840283814257496</v>
      </c>
      <c r="Z25" s="33">
        <f t="shared" si="23"/>
        <v>-5.277989895002686</v>
      </c>
      <c r="AA25">
        <f t="shared" si="6"/>
        <v>4.6252862556417353</v>
      </c>
      <c r="BA25">
        <v>1973</v>
      </c>
      <c r="BB25">
        <v>0.3838247769</v>
      </c>
    </row>
    <row r="26" spans="1:64" x14ac:dyDescent="0.35">
      <c r="A26">
        <f>Table1!A19</f>
        <v>0</v>
      </c>
      <c r="B26">
        <f>ROUND(Table1!C19,1)</f>
        <v>5.2</v>
      </c>
      <c r="C26">
        <f>Table1!E19</f>
        <v>-0.13</v>
      </c>
      <c r="D26">
        <f t="shared" si="31"/>
        <v>0.16666666666666666</v>
      </c>
      <c r="E26">
        <v>2000</v>
      </c>
      <c r="F26" s="1">
        <f t="shared" si="7"/>
        <v>5.7</v>
      </c>
      <c r="G26" s="5">
        <f>H$24*F26+H$25*F26*F26</f>
        <v>-0.21111111111111103</v>
      </c>
      <c r="H26" s="5"/>
      <c r="J26">
        <f t="shared" si="8"/>
        <v>-5.473063541513925</v>
      </c>
      <c r="K26">
        <f t="shared" si="9"/>
        <v>4.6146905633036797</v>
      </c>
      <c r="L26">
        <f t="shared" si="10"/>
        <v>-5.0978485357601873</v>
      </c>
      <c r="M26">
        <f t="shared" si="9"/>
        <v>3.9800337762443139</v>
      </c>
      <c r="N26">
        <f t="shared" si="11"/>
        <v>-5.6405080726257042</v>
      </c>
      <c r="O26">
        <f t="shared" si="12"/>
        <v>4.913058560950649</v>
      </c>
      <c r="P26">
        <f t="shared" si="13"/>
        <v>-5.787503266027751</v>
      </c>
      <c r="Q26">
        <f t="shared" si="14"/>
        <v>5.1826915775693072</v>
      </c>
      <c r="R26" s="24">
        <f t="shared" si="15"/>
        <v>-5.242085366417947</v>
      </c>
      <c r="S26">
        <f t="shared" si="16"/>
        <v>4.2184503262600277</v>
      </c>
      <c r="T26">
        <f t="shared" si="17"/>
        <v>-1.1483202786627644</v>
      </c>
      <c r="U26">
        <f t="shared" si="18"/>
        <v>0.14639350395714384</v>
      </c>
      <c r="V26">
        <f t="shared" si="19"/>
        <v>-5.0978485357601935</v>
      </c>
      <c r="W26">
        <f t="shared" si="20"/>
        <v>3.9800337762443236</v>
      </c>
      <c r="X26">
        <f t="shared" si="21"/>
        <v>-4.662917039381548</v>
      </c>
      <c r="Y26">
        <f t="shared" si="22"/>
        <v>3.3030960038306341</v>
      </c>
      <c r="Z26" s="33">
        <f t="shared" si="23"/>
        <v>-5.277989895002686</v>
      </c>
      <c r="AA26">
        <f t="shared" si="6"/>
        <v>4.4169666598416271</v>
      </c>
      <c r="AN26" s="39"/>
      <c r="AT26" s="4"/>
      <c r="AU26" s="4"/>
      <c r="BA26">
        <v>1974</v>
      </c>
      <c r="BB26">
        <v>0.1613540769</v>
      </c>
    </row>
    <row r="27" spans="1:64" x14ac:dyDescent="0.35">
      <c r="A27" t="str">
        <f>Table1!A20</f>
        <v>Nordhaus and Boyer 2000</v>
      </c>
      <c r="B27">
        <f>ROUND(Table1!C20,1)</f>
        <v>2.5</v>
      </c>
      <c r="C27">
        <f>Table1!E20</f>
        <v>-1.5</v>
      </c>
      <c r="D27">
        <v>1</v>
      </c>
      <c r="E27">
        <v>2000</v>
      </c>
      <c r="F27" s="1">
        <f t="shared" si="7"/>
        <v>3</v>
      </c>
      <c r="G27" s="5">
        <f>C27*(F27/B27)^2</f>
        <v>-2.16</v>
      </c>
      <c r="H27" s="5" t="s">
        <v>1114</v>
      </c>
      <c r="J27">
        <f t="shared" si="8"/>
        <v>-2.3371445606047976</v>
      </c>
      <c r="K27">
        <f t="shared" si="9"/>
        <v>3.1380195351866751E-2</v>
      </c>
      <c r="L27">
        <f t="shared" si="10"/>
        <v>-2.6830781767158878</v>
      </c>
      <c r="M27">
        <f t="shared" si="9"/>
        <v>0.27361077895641739</v>
      </c>
      <c r="N27">
        <f t="shared" si="11"/>
        <v>-1.5624676101456243</v>
      </c>
      <c r="O27">
        <f t="shared" si="12"/>
        <v>0.35704495692508181</v>
      </c>
      <c r="P27">
        <f t="shared" si="13"/>
        <v>-1.6358721068231816</v>
      </c>
      <c r="Q27">
        <f t="shared" si="14"/>
        <v>0.27471004840597046</v>
      </c>
      <c r="R27" s="24">
        <f t="shared" si="15"/>
        <v>-2.4271640159539833</v>
      </c>
      <c r="S27">
        <f t="shared" si="16"/>
        <v>7.1376611420660194E-2</v>
      </c>
      <c r="T27">
        <f t="shared" si="17"/>
        <v>-7.3577400571225846E-2</v>
      </c>
      <c r="U27">
        <f t="shared" si="18"/>
        <v>4.3531592634071243</v>
      </c>
      <c r="V27">
        <f t="shared" si="19"/>
        <v>-2.6830781767158913</v>
      </c>
      <c r="W27">
        <f t="shared" si="20"/>
        <v>0.27361077895642111</v>
      </c>
      <c r="X27">
        <f t="shared" si="21"/>
        <v>-1.4755104220590849</v>
      </c>
      <c r="Y27">
        <f t="shared" si="22"/>
        <v>0.4685259823097323</v>
      </c>
      <c r="Z27" s="33">
        <f t="shared" si="23"/>
        <v>-2.2535719933885749</v>
      </c>
      <c r="AA27">
        <f t="shared" si="6"/>
        <v>0.56787074921963043</v>
      </c>
      <c r="AE27" s="21"/>
      <c r="AF27" s="21"/>
      <c r="AG27" s="21"/>
      <c r="AH27" s="21"/>
      <c r="AI27" s="21"/>
      <c r="AJ27" s="21"/>
      <c r="AK27" s="21"/>
      <c r="AL27" s="21"/>
      <c r="AM27" s="21"/>
      <c r="AN27" s="39"/>
      <c r="BA27">
        <v>1975</v>
      </c>
      <c r="BB27">
        <v>0.22313717690000001</v>
      </c>
    </row>
    <row r="28" spans="1:64" x14ac:dyDescent="0.35">
      <c r="A28" t="str">
        <f>Table1!A21</f>
        <v>Tol 2002</v>
      </c>
      <c r="B28">
        <f>ROUND(Table1!C21,1)</f>
        <v>1</v>
      </c>
      <c r="C28">
        <f>Table1!E21</f>
        <v>2.2999999999999998</v>
      </c>
      <c r="D28">
        <v>1</v>
      </c>
      <c r="E28">
        <v>2002</v>
      </c>
      <c r="F28" s="1">
        <f t="shared" si="7"/>
        <v>1.5</v>
      </c>
      <c r="G28" s="5">
        <f>C28*LOOKUP(F28,graph!A$3:A$203,graph!B$3:B$203)/LOOKUP(B28,graph!A$3:A$203,graph!B$3:B$203)</f>
        <v>3.4569909036648365</v>
      </c>
      <c r="H28" s="5" t="s">
        <v>1114</v>
      </c>
      <c r="J28">
        <f t="shared" si="8"/>
        <v>-1.0176236141671928</v>
      </c>
      <c r="K28">
        <f t="shared" si="9"/>
        <v>20.022175083193165</v>
      </c>
      <c r="L28">
        <f t="shared" si="10"/>
        <v>-1.3415390883579439</v>
      </c>
      <c r="M28">
        <f t="shared" si="9"/>
        <v>23.025890084342148</v>
      </c>
      <c r="N28">
        <f t="shared" si="11"/>
        <v>-0.39061690253640607</v>
      </c>
      <c r="O28">
        <f t="shared" si="12"/>
        <v>14.804085830340739</v>
      </c>
      <c r="P28">
        <f t="shared" si="13"/>
        <v>-0.40930117971556224</v>
      </c>
      <c r="Q28">
        <f t="shared" si="14"/>
        <v>14.948214474009944</v>
      </c>
      <c r="R28" s="24">
        <f t="shared" si="15"/>
        <v>-1.6182785704183618</v>
      </c>
      <c r="S28">
        <f t="shared" si="16"/>
        <v>25.75836023456074</v>
      </c>
      <c r="T28">
        <f t="shared" si="17"/>
        <v>-1.3422395839515974E-2</v>
      </c>
      <c r="U28">
        <f t="shared" si="18"/>
        <v>12.043768469376687</v>
      </c>
      <c r="V28">
        <f t="shared" si="19"/>
        <v>-1.3415390883579457</v>
      </c>
      <c r="W28">
        <f t="shared" si="20"/>
        <v>23.025890084342166</v>
      </c>
      <c r="X28">
        <f t="shared" si="21"/>
        <v>-0.6254801525264887</v>
      </c>
      <c r="Y28">
        <f t="shared" si="22"/>
        <v>16.666569924639916</v>
      </c>
      <c r="Z28" s="33">
        <f t="shared" si="23"/>
        <v>-1.1180321997479803</v>
      </c>
      <c r="AA28">
        <f t="shared" si="6"/>
        <v>11.682944118514015</v>
      </c>
      <c r="AE28" s="21"/>
      <c r="AF28" s="21"/>
      <c r="AG28" s="21"/>
      <c r="AH28" s="21"/>
      <c r="AI28" s="21"/>
      <c r="AJ28" s="21"/>
      <c r="AK28" s="21"/>
      <c r="AL28" s="21"/>
      <c r="AM28" s="21"/>
      <c r="AN28" s="39"/>
      <c r="BA28">
        <v>1976</v>
      </c>
      <c r="BB28">
        <v>0.1180297569</v>
      </c>
    </row>
    <row r="29" spans="1:64" x14ac:dyDescent="0.35">
      <c r="A29" t="str">
        <f>Table1!A22</f>
        <v>Maddison 2003</v>
      </c>
      <c r="B29">
        <f>ROUND(Table1!C22,1)</f>
        <v>2.5</v>
      </c>
      <c r="C29">
        <f>Table1!E22</f>
        <v>3.3000365094043249E-2</v>
      </c>
      <c r="D29">
        <v>1</v>
      </c>
      <c r="E29">
        <v>2003</v>
      </c>
      <c r="F29" s="1">
        <f t="shared" si="7"/>
        <v>3</v>
      </c>
      <c r="G29" s="5">
        <f>C29*LOOKUP(F29,graph!A$3:A$203,graph!B$3:B$203)/LOOKUP(B29,graph!A$3:A$203,graph!B$3:B$203)</f>
        <v>4.299658629286332E-2</v>
      </c>
      <c r="H29" s="5" t="s">
        <v>1114</v>
      </c>
      <c r="J29">
        <f t="shared" si="8"/>
        <v>-2.3371445606047976</v>
      </c>
      <c r="K29">
        <f t="shared" si="9"/>
        <v>5.6650718791553123</v>
      </c>
      <c r="L29">
        <f t="shared" si="10"/>
        <v>-2.6830781767158878</v>
      </c>
      <c r="M29">
        <f t="shared" si="9"/>
        <v>7.4314836135132181</v>
      </c>
      <c r="N29">
        <f t="shared" si="11"/>
        <v>-1.5624676101456243</v>
      </c>
      <c r="O29">
        <f t="shared" si="12"/>
        <v>2.577515286045879</v>
      </c>
      <c r="P29">
        <f t="shared" si="13"/>
        <v>-1.6358721068231816</v>
      </c>
      <c r="Q29">
        <f t="shared" si="14"/>
        <v>2.818600088725177</v>
      </c>
      <c r="R29" s="24">
        <f t="shared" si="15"/>
        <v>-2.4271640159539833</v>
      </c>
      <c r="S29">
        <f t="shared" si="16"/>
        <v>6.1016934008925032</v>
      </c>
      <c r="T29">
        <f t="shared" si="17"/>
        <v>-7.3577400571225846E-2</v>
      </c>
      <c r="U29">
        <f t="shared" si="18"/>
        <v>1.3589494413388834E-2</v>
      </c>
      <c r="V29">
        <f t="shared" si="19"/>
        <v>-2.6830781767158913</v>
      </c>
      <c r="W29">
        <f t="shared" si="20"/>
        <v>7.4314836135132367</v>
      </c>
      <c r="X29">
        <f t="shared" si="21"/>
        <v>-1.4755104220590849</v>
      </c>
      <c r="Y29">
        <f t="shared" si="22"/>
        <v>2.3058635344139842</v>
      </c>
      <c r="Z29" s="33">
        <f t="shared" si="23"/>
        <v>-2.2535719933885749</v>
      </c>
      <c r="AA29">
        <f t="shared" si="6"/>
        <v>5.2284131505767633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39"/>
      <c r="BA29">
        <v>1977</v>
      </c>
      <c r="BB29">
        <v>0.43697993690000003</v>
      </c>
    </row>
    <row r="30" spans="1:64" x14ac:dyDescent="0.35">
      <c r="A30" t="str">
        <f>Table1!A23</f>
        <v>Rehdanz and Maddison 2005</v>
      </c>
      <c r="B30">
        <f>ROUND(Table1!C23,1)</f>
        <v>0.6</v>
      </c>
      <c r="C30">
        <f>Table1!E23</f>
        <v>-0.17962065483383896</v>
      </c>
      <c r="D30">
        <v>0.5</v>
      </c>
      <c r="E30">
        <v>2005</v>
      </c>
      <c r="F30" s="1">
        <f t="shared" si="7"/>
        <v>1.2</v>
      </c>
      <c r="G30" s="5">
        <f>H30*F30^H31</f>
        <v>-0.37579994949187939</v>
      </c>
      <c r="H30" s="5">
        <f>C30/B30^H31</f>
        <v>-0.30947656699459297</v>
      </c>
      <c r="J30">
        <f t="shared" si="8"/>
        <v>-0.78994710475212127</v>
      </c>
      <c r="K30">
        <f t="shared" si="9"/>
        <v>8.5758933105075444E-2</v>
      </c>
      <c r="L30">
        <f t="shared" si="10"/>
        <v>-1.0732312706863552</v>
      </c>
      <c r="M30">
        <f t="shared" si="9"/>
        <v>0.24320522389153604</v>
      </c>
      <c r="N30">
        <f t="shared" si="11"/>
        <v>-0.24999481762329989</v>
      </c>
      <c r="O30">
        <f t="shared" si="12"/>
        <v>7.9134656022353395E-3</v>
      </c>
      <c r="P30">
        <f t="shared" si="13"/>
        <v>-0.26195737923332035</v>
      </c>
      <c r="Q30">
        <f t="shared" si="14"/>
        <v>6.4800654015374753E-3</v>
      </c>
      <c r="R30" s="24">
        <f t="shared" si="15"/>
        <v>-1.5212123169540872</v>
      </c>
      <c r="S30">
        <f t="shared" si="16"/>
        <v>0.65598474576768995</v>
      </c>
      <c r="T30">
        <f t="shared" si="17"/>
        <v>-8.9443735789726531E-3</v>
      </c>
      <c r="U30">
        <f t="shared" si="18"/>
        <v>6.7291506789195238E-2</v>
      </c>
      <c r="V30">
        <f t="shared" si="19"/>
        <v>-1.0732312706863565</v>
      </c>
      <c r="W30">
        <f t="shared" si="20"/>
        <v>0.24320522389153698</v>
      </c>
      <c r="X30">
        <f t="shared" si="21"/>
        <v>-0.49021263402861925</v>
      </c>
      <c r="Y30">
        <f t="shared" si="22"/>
        <v>6.5451311914517763E-3</v>
      </c>
      <c r="Z30" s="33">
        <f t="shared" si="23"/>
        <v>-0.93421238371390292</v>
      </c>
      <c r="AA30">
        <f t="shared" si="6"/>
        <v>0.28470433864710198</v>
      </c>
      <c r="AE30" s="21"/>
      <c r="AF30" s="21"/>
      <c r="AG30" s="21"/>
      <c r="AH30" s="21"/>
      <c r="AI30" s="21"/>
      <c r="AJ30" s="21"/>
      <c r="AK30" s="21"/>
      <c r="AL30" s="21"/>
      <c r="AM30" s="21"/>
      <c r="AN30" s="39"/>
      <c r="BA30">
        <v>1978</v>
      </c>
      <c r="BB30">
        <v>0.33914718920000003</v>
      </c>
    </row>
    <row r="31" spans="1:64" ht="15" thickBot="1" x14ac:dyDescent="0.4">
      <c r="A31">
        <f>Table1!A24</f>
        <v>0</v>
      </c>
      <c r="B31">
        <f>ROUND(Table1!C24,1)</f>
        <v>1</v>
      </c>
      <c r="C31">
        <f>Table1!E24</f>
        <v>-0.30947656699459297</v>
      </c>
      <c r="D31">
        <v>0.5</v>
      </c>
      <c r="E31">
        <v>2005</v>
      </c>
      <c r="F31" s="1">
        <f t="shared" si="7"/>
        <v>1.6</v>
      </c>
      <c r="G31" s="5">
        <f>H30*F31^H31</f>
        <v>-0.51052606871510187</v>
      </c>
      <c r="H31" s="5">
        <f>LN(C31/C30)/LN(B31/B30)</f>
        <v>1.065011615690453</v>
      </c>
      <c r="J31">
        <f t="shared" si="8"/>
        <v>-1.0961993158146204</v>
      </c>
      <c r="K31">
        <f t="shared" si="9"/>
        <v>0.17150657618404683</v>
      </c>
      <c r="L31">
        <f t="shared" si="10"/>
        <v>-1.4309750275818069</v>
      </c>
      <c r="M31">
        <f t="shared" si="9"/>
        <v>0.42361314293940067</v>
      </c>
      <c r="N31">
        <f t="shared" si="11"/>
        <v>-0.44443523133031099</v>
      </c>
      <c r="O31">
        <f t="shared" si="12"/>
        <v>2.183999393111436E-3</v>
      </c>
      <c r="P31">
        <f t="shared" si="13"/>
        <v>-0.46568912994788436</v>
      </c>
      <c r="Q31">
        <f t="shared" si="14"/>
        <v>1.005175539007606E-3</v>
      </c>
      <c r="R31" s="24">
        <f t="shared" si="15"/>
        <v>-1.6554273834725903</v>
      </c>
      <c r="S31">
        <f t="shared" si="16"/>
        <v>0.65539951026671284</v>
      </c>
      <c r="T31">
        <f t="shared" si="17"/>
        <v>-1.5239490056336596E-2</v>
      </c>
      <c r="U31">
        <f t="shared" si="18"/>
        <v>0.12265439749975263</v>
      </c>
      <c r="V31">
        <f t="shared" si="19"/>
        <v>-1.4309750275818089</v>
      </c>
      <c r="W31">
        <f t="shared" si="20"/>
        <v>0.4236131429394025</v>
      </c>
      <c r="X31">
        <f t="shared" si="21"/>
        <v>-0.67241402482873502</v>
      </c>
      <c r="Y31">
        <f t="shared" si="22"/>
        <v>1.3103855167324808E-2</v>
      </c>
      <c r="Z31" s="33">
        <f t="shared" si="23"/>
        <v>-1.1824493312087818</v>
      </c>
      <c r="AA31">
        <f t="shared" si="6"/>
        <v>0.38104072352988094</v>
      </c>
      <c r="AE31" s="21"/>
      <c r="AF31" s="21"/>
      <c r="AG31" s="21"/>
      <c r="AH31" s="21"/>
      <c r="AI31" s="21"/>
      <c r="AJ31" s="21"/>
      <c r="AK31" s="21"/>
      <c r="AL31" s="21"/>
      <c r="AM31" s="21"/>
      <c r="AN31" s="39"/>
      <c r="AT31" s="2"/>
      <c r="AU31" s="2"/>
      <c r="BA31">
        <v>1979</v>
      </c>
      <c r="BB31">
        <v>0.4247495469</v>
      </c>
      <c r="BC31">
        <f t="shared" ref="BC31:BC73" si="32">AVERAGE(BB2:BB31)</f>
        <v>0.24319569484333334</v>
      </c>
    </row>
    <row r="32" spans="1:64" x14ac:dyDescent="0.35">
      <c r="A32" t="str">
        <f>Table1!A25</f>
        <v>Hope 2006</v>
      </c>
      <c r="B32">
        <f>ROUND(Table1!C25,1)</f>
        <v>2.5</v>
      </c>
      <c r="C32">
        <f>Table1!E25</f>
        <v>-0.9804776851232514</v>
      </c>
      <c r="D32">
        <v>1</v>
      </c>
      <c r="E32">
        <v>2006</v>
      </c>
      <c r="F32" s="1">
        <f t="shared" si="7"/>
        <v>3.1</v>
      </c>
      <c r="G32" s="5">
        <f>C32*LOOKUP(F32,graph!A$3:A$203,graph!B$3:B$203)/LOOKUP(B32,graph!A$3:A$203,graph!B$3:B$203)</f>
        <v>-1.3410137732593201</v>
      </c>
      <c r="H32" s="5" t="s">
        <v>1114</v>
      </c>
      <c r="J32">
        <f t="shared" si="8"/>
        <v>-2.4358467510702528</v>
      </c>
      <c r="K32">
        <f t="shared" si="9"/>
        <v>1.1986592493023542</v>
      </c>
      <c r="L32">
        <f t="shared" si="10"/>
        <v>-2.7725141159397508</v>
      </c>
      <c r="M32">
        <f t="shared" si="9"/>
        <v>2.0491932310941907</v>
      </c>
      <c r="N32">
        <f t="shared" si="11"/>
        <v>-1.6683681926110503</v>
      </c>
      <c r="O32">
        <f t="shared" si="12"/>
        <v>0.10716091586910841</v>
      </c>
      <c r="P32">
        <f t="shared" si="13"/>
        <v>-1.7464862036605111</v>
      </c>
      <c r="Q32">
        <f t="shared" si="14"/>
        <v>0.16440789181544865</v>
      </c>
      <c r="R32" s="24">
        <f t="shared" si="15"/>
        <v>-2.5002632932542399</v>
      </c>
      <c r="S32">
        <f t="shared" si="16"/>
        <v>1.3438594496084519</v>
      </c>
      <c r="T32">
        <f t="shared" si="17"/>
        <v>-8.1721051862525332E-2</v>
      </c>
      <c r="U32">
        <f t="shared" si="18"/>
        <v>1.5858181581629456</v>
      </c>
      <c r="V32">
        <f t="shared" si="19"/>
        <v>-2.7725141159397544</v>
      </c>
      <c r="W32">
        <f t="shared" si="20"/>
        <v>2.0491932310942005</v>
      </c>
      <c r="X32">
        <f t="shared" si="21"/>
        <v>-1.5468474071708762</v>
      </c>
      <c r="Y32">
        <f t="shared" si="22"/>
        <v>4.2367484849236484E-2</v>
      </c>
      <c r="Z32" s="33">
        <f t="shared" si="23"/>
        <v>-2.3424691865904501</v>
      </c>
      <c r="AA32">
        <f t="shared" si="6"/>
        <v>1.8550208500688741</v>
      </c>
      <c r="AE32" s="21"/>
      <c r="AF32" s="21"/>
      <c r="AG32" s="21"/>
      <c r="AH32" s="21"/>
      <c r="AI32" s="21"/>
      <c r="AJ32" s="21"/>
      <c r="AK32" s="21"/>
      <c r="AL32" s="21"/>
      <c r="AM32" s="21"/>
      <c r="AN32" s="39"/>
      <c r="BA32">
        <v>1980</v>
      </c>
      <c r="BB32">
        <v>0.52996348690000006</v>
      </c>
      <c r="BC32">
        <f t="shared" si="32"/>
        <v>0.25728549017666663</v>
      </c>
    </row>
    <row r="33" spans="1:55" ht="15" thickBot="1" x14ac:dyDescent="0.4">
      <c r="A33" t="str">
        <f>Table1!A26</f>
        <v>Nordhaus 2006</v>
      </c>
      <c r="B33">
        <f>ROUND(Table1!C26,1)</f>
        <v>3</v>
      </c>
      <c r="C33">
        <f>Table1!E26</f>
        <v>-0.93</v>
      </c>
      <c r="D33">
        <v>0.5</v>
      </c>
      <c r="E33">
        <v>2006</v>
      </c>
      <c r="F33" s="1">
        <f t="shared" si="7"/>
        <v>3.6</v>
      </c>
      <c r="G33" s="5">
        <f>C33*LOOKUP(F33,graph!A$3:A$203,graph!B$3:B$203)/LOOKUP(B33,graph!A$3:A$203,graph!B$3:B$203)</f>
        <v>-1.223023971670363</v>
      </c>
      <c r="H33" s="5" t="s">
        <v>1114</v>
      </c>
      <c r="J33">
        <f t="shared" si="8"/>
        <v>-2.9494841922155555</v>
      </c>
      <c r="K33">
        <f t="shared" si="9"/>
        <v>1.4903324465624772</v>
      </c>
      <c r="L33">
        <f t="shared" si="10"/>
        <v>-3.2196938120590652</v>
      </c>
      <c r="M33">
        <f t="shared" si="9"/>
        <v>1.9933452257589228</v>
      </c>
      <c r="N33">
        <f t="shared" si="11"/>
        <v>-2.2499533586096994</v>
      </c>
      <c r="O33">
        <f t="shared" si="12"/>
        <v>0.52729198287980061</v>
      </c>
      <c r="P33">
        <f t="shared" si="13"/>
        <v>-2.3527076753366298</v>
      </c>
      <c r="Q33">
        <f t="shared" si="14"/>
        <v>0.63809263516456682</v>
      </c>
      <c r="R33" s="24">
        <f t="shared" si="15"/>
        <v>-2.901710144001548</v>
      </c>
      <c r="S33">
        <f t="shared" si="16"/>
        <v>1.4089936325879624</v>
      </c>
      <c r="T33">
        <f t="shared" si="17"/>
        <v>-0.13723614723716357</v>
      </c>
      <c r="U33">
        <f t="shared" si="18"/>
        <v>0.58946759984369024</v>
      </c>
      <c r="V33">
        <f t="shared" si="19"/>
        <v>-3.2196938120590697</v>
      </c>
      <c r="W33">
        <f t="shared" si="20"/>
        <v>1.9933452257589317</v>
      </c>
      <c r="X33">
        <f t="shared" si="21"/>
        <v>-1.9418468091413645</v>
      </c>
      <c r="Y33">
        <f t="shared" si="22"/>
        <v>0.25835313583493091</v>
      </c>
      <c r="Z33" s="33">
        <f t="shared" si="23"/>
        <v>-2.812562568440653</v>
      </c>
      <c r="AA33">
        <f t="shared" si="6"/>
        <v>1.7720209120469339</v>
      </c>
      <c r="AE33" s="21"/>
      <c r="AF33" s="21"/>
      <c r="AG33" s="21"/>
      <c r="AH33" s="21"/>
      <c r="AI33" s="21"/>
      <c r="AJ33" s="21"/>
      <c r="AK33" s="21"/>
      <c r="AL33" s="21"/>
      <c r="AM33" s="21"/>
      <c r="AN33" s="39"/>
      <c r="BA33">
        <v>1981</v>
      </c>
      <c r="BB33">
        <v>0.58390345690000001</v>
      </c>
      <c r="BC33">
        <f t="shared" si="32"/>
        <v>0.26765769051000005</v>
      </c>
    </row>
    <row r="34" spans="1:55" x14ac:dyDescent="0.35">
      <c r="A34">
        <f>Table1!A27</f>
        <v>0</v>
      </c>
      <c r="B34">
        <f>ROUND(Table1!C27,1)</f>
        <v>3</v>
      </c>
      <c r="C34">
        <f>Table1!E27</f>
        <v>-1.05</v>
      </c>
      <c r="D34">
        <v>0.5</v>
      </c>
      <c r="E34">
        <v>2006</v>
      </c>
      <c r="F34" s="1">
        <f t="shared" si="7"/>
        <v>3.6</v>
      </c>
      <c r="G34" s="5">
        <f>C34*LOOKUP(F34,graph!A$3:A$203,graph!B$3:B$203)/LOOKUP(B34,graph!A$3:A$203,graph!B$3:B$203)</f>
        <v>-1.3808335164020229</v>
      </c>
      <c r="H34" s="5" t="s">
        <v>1114</v>
      </c>
      <c r="J34">
        <f t="shared" si="8"/>
        <v>-2.9494841922155555</v>
      </c>
      <c r="K34">
        <f t="shared" si="9"/>
        <v>1.2303324713651262</v>
      </c>
      <c r="L34">
        <f t="shared" si="10"/>
        <v>-3.2196938120590652</v>
      </c>
      <c r="M34">
        <f t="shared" si="9"/>
        <v>1.6907035934719525</v>
      </c>
      <c r="N34">
        <f t="shared" si="11"/>
        <v>-2.2499533586096994</v>
      </c>
      <c r="O34">
        <f t="shared" si="12"/>
        <v>0.37768465005954821</v>
      </c>
      <c r="P34">
        <f t="shared" si="13"/>
        <v>-2.3527076753366298</v>
      </c>
      <c r="Q34">
        <f t="shared" si="14"/>
        <v>0.47226969040242484</v>
      </c>
      <c r="R34" s="24">
        <f t="shared" si="15"/>
        <v>-2.901710144001548</v>
      </c>
      <c r="S34">
        <f t="shared" si="16"/>
        <v>1.1565328581892522</v>
      </c>
      <c r="T34">
        <f t="shared" si="17"/>
        <v>-0.13723614723716357</v>
      </c>
      <c r="U34">
        <f t="shared" si="18"/>
        <v>0.77326720829687978</v>
      </c>
      <c r="V34">
        <f t="shared" si="19"/>
        <v>-3.2196938120590697</v>
      </c>
      <c r="W34">
        <f t="shared" si="20"/>
        <v>1.6907035934719608</v>
      </c>
      <c r="X34">
        <f t="shared" si="21"/>
        <v>-1.9418468091413645</v>
      </c>
      <c r="Y34">
        <f t="shared" si="22"/>
        <v>0.15736795731511913</v>
      </c>
      <c r="Z34" s="33">
        <f t="shared" si="23"/>
        <v>-2.812562568440653</v>
      </c>
      <c r="AA34">
        <f t="shared" si="6"/>
        <v>1.5533134038340557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39"/>
      <c r="AT34" s="3"/>
      <c r="AU34" s="3"/>
      <c r="AV34" s="3"/>
      <c r="AW34" s="3"/>
      <c r="AX34" s="3"/>
      <c r="AY34" s="3"/>
      <c r="BA34">
        <v>1982</v>
      </c>
      <c r="BB34">
        <v>0.3681547449</v>
      </c>
      <c r="BC34">
        <f t="shared" si="32"/>
        <v>0.26828798261000003</v>
      </c>
    </row>
    <row r="35" spans="1:55" x14ac:dyDescent="0.35">
      <c r="A35" t="str">
        <f>Table1!A28</f>
        <v>Nordhaus 2008</v>
      </c>
      <c r="B35">
        <f>ROUND(Table1!C28,1)</f>
        <v>3</v>
      </c>
      <c r="C35">
        <f>Table1!E28</f>
        <v>-2.5</v>
      </c>
      <c r="D35">
        <v>1</v>
      </c>
      <c r="E35">
        <v>2008</v>
      </c>
      <c r="F35" s="1">
        <f t="shared" si="7"/>
        <v>3.7</v>
      </c>
      <c r="G35" s="5">
        <f>C35*(F35/B35)^2</f>
        <v>-3.802777777777778</v>
      </c>
      <c r="H35" s="5" t="s">
        <v>1114</v>
      </c>
      <c r="J35">
        <f t="shared" si="8"/>
        <v>-3.0562369782082213</v>
      </c>
      <c r="K35">
        <f t="shared" si="9"/>
        <v>0.55732316542195315</v>
      </c>
      <c r="L35">
        <f t="shared" si="10"/>
        <v>-3.3091297512829283</v>
      </c>
      <c r="M35">
        <f t="shared" si="9"/>
        <v>0.24368837406225988</v>
      </c>
      <c r="N35">
        <f t="shared" si="11"/>
        <v>-2.3766868425437333</v>
      </c>
      <c r="O35">
        <f t="shared" si="12"/>
        <v>2.0337353555567126</v>
      </c>
      <c r="P35">
        <f t="shared" si="13"/>
        <v>-2.484464564596752</v>
      </c>
      <c r="Q35">
        <f t="shared" si="14"/>
        <v>1.7379497280476814</v>
      </c>
      <c r="R35" s="24">
        <f t="shared" si="15"/>
        <v>-2.989189607000216</v>
      </c>
      <c r="S35">
        <f t="shared" si="16"/>
        <v>0.66192571162917946</v>
      </c>
      <c r="T35">
        <f t="shared" si="17"/>
        <v>-0.15207484735886481</v>
      </c>
      <c r="U35">
        <f t="shared" si="18"/>
        <v>13.327631886169241</v>
      </c>
      <c r="V35">
        <f t="shared" si="19"/>
        <v>-3.3091297512829327</v>
      </c>
      <c r="W35">
        <f t="shared" si="20"/>
        <v>0.24368837406225549</v>
      </c>
      <c r="X35">
        <f t="shared" si="21"/>
        <v>-2.0293665793879208</v>
      </c>
      <c r="Y35">
        <f t="shared" si="22"/>
        <v>3.1449872785745496</v>
      </c>
      <c r="Z35" s="33">
        <f t="shared" si="23"/>
        <v>-2.9117675151224875</v>
      </c>
      <c r="AA35">
        <f t="shared" si="6"/>
        <v>0.16955248651014801</v>
      </c>
      <c r="BA35">
        <v>1983</v>
      </c>
      <c r="BB35">
        <v>0.55773002690000006</v>
      </c>
      <c r="BC35">
        <f t="shared" si="32"/>
        <v>0.27316157827666671</v>
      </c>
    </row>
    <row r="36" spans="1:55" x14ac:dyDescent="0.35">
      <c r="A36" t="str">
        <f>Table1!A29</f>
        <v>Maddison and Rehdanz 2011</v>
      </c>
      <c r="B36">
        <f>ROUND(Table1!C29,1)</f>
        <v>3.2</v>
      </c>
      <c r="C36">
        <f>Table1!E29</f>
        <v>-5.1135252093739076</v>
      </c>
      <c r="D36">
        <v>1</v>
      </c>
      <c r="E36">
        <v>2011</v>
      </c>
      <c r="F36" s="1">
        <f t="shared" si="7"/>
        <v>3.9</v>
      </c>
      <c r="G36" s="5">
        <f>C36*LOOKUP(F36,graph!A$3:A$203,graph!B$3:B$203)/LOOKUP(B36,graph!A$3:A$203,graph!B$3:B$203)</f>
        <v>-6.9132503231571176</v>
      </c>
      <c r="H36" s="5" t="s">
        <v>1114</v>
      </c>
      <c r="J36">
        <f t="shared" si="8"/>
        <v>-3.2737678479571581</v>
      </c>
      <c r="K36">
        <f t="shared" si="9"/>
        <v>13.245832687287624</v>
      </c>
      <c r="L36">
        <f t="shared" si="10"/>
        <v>-3.488001629730654</v>
      </c>
      <c r="M36">
        <f t="shared" si="9"/>
        <v>11.732328611819696</v>
      </c>
      <c r="N36">
        <f t="shared" si="11"/>
        <v>-2.640570261146105</v>
      </c>
      <c r="O36">
        <f t="shared" si="12"/>
        <v>18.255794912306431</v>
      </c>
      <c r="P36">
        <f t="shared" si="13"/>
        <v>-2.7583169407141357</v>
      </c>
      <c r="Q36">
        <f t="shared" si="14"/>
        <v>17.263471412539079</v>
      </c>
      <c r="R36" s="24">
        <f t="shared" si="15"/>
        <v>-3.1713386258467553</v>
      </c>
      <c r="S36">
        <f t="shared" si="16"/>
        <v>14.001903150468117</v>
      </c>
      <c r="T36">
        <f t="shared" si="17"/>
        <v>-0.18659817645157203</v>
      </c>
      <c r="U36">
        <f t="shared" si="18"/>
        <v>45.247849102778332</v>
      </c>
      <c r="V36">
        <f t="shared" si="19"/>
        <v>-3.4880016297306589</v>
      </c>
      <c r="W36">
        <f t="shared" si="20"/>
        <v>11.732328611819662</v>
      </c>
      <c r="X36">
        <f t="shared" si="21"/>
        <v>-2.2139844505416595</v>
      </c>
      <c r="Y36">
        <f t="shared" si="22"/>
        <v>22.083099741528319</v>
      </c>
      <c r="Z36" s="33">
        <f t="shared" si="23"/>
        <v>-3.1154410864595712</v>
      </c>
      <c r="AA36">
        <f t="shared" si="6"/>
        <v>3.9923401622423533</v>
      </c>
      <c r="BA36">
        <v>1984</v>
      </c>
      <c r="BB36">
        <v>0.38189612690000002</v>
      </c>
      <c r="BC36">
        <f t="shared" si="32"/>
        <v>0.27865340894333335</v>
      </c>
    </row>
    <row r="37" spans="1:55" ht="15" thickBot="1" x14ac:dyDescent="0.4">
      <c r="A37" t="str">
        <f>Table1!A30</f>
        <v>Bosello et al.  2012</v>
      </c>
      <c r="B37">
        <f>ROUND(Table1!C30,1)</f>
        <v>1.9</v>
      </c>
      <c r="C37">
        <f>Table1!E30</f>
        <v>-0.5</v>
      </c>
      <c r="D37">
        <v>1</v>
      </c>
      <c r="E37">
        <v>2012</v>
      </c>
      <c r="F37" s="1">
        <f t="shared" si="7"/>
        <v>2.6</v>
      </c>
      <c r="G37" s="5">
        <f>C37*LOOKUP(F37,graph!A$3:A$203,graph!B$3:B$203)/LOOKUP(B37,graph!A$3:A$203,graph!B$3:B$203)</f>
        <v>-0.77607761870695491</v>
      </c>
      <c r="H37" s="5" t="s">
        <v>1114</v>
      </c>
      <c r="J37">
        <f t="shared" si="8"/>
        <v>-1.9557534579549962</v>
      </c>
      <c r="K37">
        <f t="shared" si="9"/>
        <v>1.3916350857055706</v>
      </c>
      <c r="L37">
        <f t="shared" si="10"/>
        <v>-2.325334419820436</v>
      </c>
      <c r="M37">
        <f t="shared" si="9"/>
        <v>2.4001966357963762</v>
      </c>
      <c r="N37">
        <f t="shared" si="11"/>
        <v>-1.1735867827316024</v>
      </c>
      <c r="O37">
        <f t="shared" si="12"/>
        <v>0.15801353548357414</v>
      </c>
      <c r="P37">
        <f t="shared" si="13"/>
        <v>-1.229249751640173</v>
      </c>
      <c r="Q37">
        <f t="shared" si="14"/>
        <v>0.20536498206724232</v>
      </c>
      <c r="R37" s="24">
        <f t="shared" si="15"/>
        <v>-2.1587338829169771</v>
      </c>
      <c r="S37">
        <f t="shared" si="16"/>
        <v>1.9117383449592147</v>
      </c>
      <c r="T37">
        <f t="shared" si="17"/>
        <v>-4.8049444440936229E-2</v>
      </c>
      <c r="U37">
        <f t="shared" si="18"/>
        <v>0.53002502252511241</v>
      </c>
      <c r="V37">
        <f t="shared" si="19"/>
        <v>-2.3253344198204395</v>
      </c>
      <c r="W37">
        <f t="shared" si="20"/>
        <v>2.4001966357963873</v>
      </c>
      <c r="X37">
        <f t="shared" si="21"/>
        <v>-1.2119821946638774</v>
      </c>
      <c r="Y37">
        <f t="shared" si="22"/>
        <v>0.19001279934018436</v>
      </c>
      <c r="Z37" s="33">
        <f t="shared" si="23"/>
        <v>-1.914763294896866</v>
      </c>
      <c r="AA37">
        <f t="shared" si="6"/>
        <v>2.0015551805874368</v>
      </c>
      <c r="AT37" s="2"/>
      <c r="AU37" s="2"/>
      <c r="AV37" s="2"/>
      <c r="AW37" s="2"/>
      <c r="AX37" s="2"/>
      <c r="AY37" s="2"/>
      <c r="BA37">
        <v>1985</v>
      </c>
      <c r="BB37">
        <v>0.38362119690000002</v>
      </c>
      <c r="BC37">
        <f t="shared" si="32"/>
        <v>0.28688806594333338</v>
      </c>
    </row>
    <row r="38" spans="1:55" ht="15" thickBot="1" x14ac:dyDescent="0.4">
      <c r="A38" t="str">
        <f>Table1!A31</f>
        <v>Roson and van der Mensbrugghe 2012</v>
      </c>
      <c r="B38">
        <f>ROUND(Table1!C31,1)</f>
        <v>2.9</v>
      </c>
      <c r="C38">
        <f>Table1!E31</f>
        <v>-1.8</v>
      </c>
      <c r="D38">
        <v>0.5</v>
      </c>
      <c r="E38">
        <v>2012</v>
      </c>
      <c r="F38" s="1">
        <f t="shared" si="7"/>
        <v>3.6</v>
      </c>
      <c r="G38" s="5">
        <f>H38*F38^H39</f>
        <v>-2.4945709857744958</v>
      </c>
      <c r="H38" s="5">
        <f>C38/B38^H39</f>
        <v>-0.36091773292146784</v>
      </c>
      <c r="J38">
        <f t="shared" si="8"/>
        <v>-2.9494841922155555</v>
      </c>
      <c r="K38">
        <f t="shared" si="9"/>
        <v>0.1034730126972431</v>
      </c>
      <c r="L38">
        <f t="shared" si="10"/>
        <v>-3.2196938120590652</v>
      </c>
      <c r="M38">
        <f t="shared" si="9"/>
        <v>0.26290155659946096</v>
      </c>
      <c r="N38">
        <f t="shared" si="11"/>
        <v>-2.2499533586096994</v>
      </c>
      <c r="O38">
        <f t="shared" si="12"/>
        <v>2.9918891759867668E-2</v>
      </c>
      <c r="P38">
        <f t="shared" si="13"/>
        <v>-2.3527076753366298</v>
      </c>
      <c r="Q38">
        <f t="shared" si="14"/>
        <v>1.006259942419516E-2</v>
      </c>
      <c r="R38" s="24">
        <f t="shared" si="15"/>
        <v>-2.901710144001548</v>
      </c>
      <c r="S38">
        <f t="shared" si="16"/>
        <v>8.2881147080916345E-2</v>
      </c>
      <c r="T38">
        <f t="shared" si="17"/>
        <v>-0.13723614723716357</v>
      </c>
      <c r="U38">
        <f t="shared" si="18"/>
        <v>2.7785137704909153</v>
      </c>
      <c r="V38">
        <f t="shared" si="19"/>
        <v>-3.2196938120590697</v>
      </c>
      <c r="W38">
        <f t="shared" si="20"/>
        <v>0.26290155659946418</v>
      </c>
      <c r="X38">
        <f t="shared" si="21"/>
        <v>-1.9418468091413645</v>
      </c>
      <c r="Y38">
        <f t="shared" si="22"/>
        <v>0.15275200771738642</v>
      </c>
      <c r="Z38" s="33">
        <f t="shared" si="23"/>
        <v>-2.812562568440653</v>
      </c>
      <c r="AA38">
        <f t="shared" si="6"/>
        <v>0.51264147750356603</v>
      </c>
      <c r="BA38">
        <v>1986</v>
      </c>
      <c r="BB38">
        <v>0.4295783869</v>
      </c>
      <c r="BC38">
        <f t="shared" si="32"/>
        <v>0.29884981827666668</v>
      </c>
    </row>
    <row r="39" spans="1:55" x14ac:dyDescent="0.35">
      <c r="A39">
        <f>Table1!A32</f>
        <v>0</v>
      </c>
      <c r="B39">
        <f>ROUND(Table1!C32,1)</f>
        <v>5.4</v>
      </c>
      <c r="C39">
        <f>Table1!E32</f>
        <v>-4.5999999999999996</v>
      </c>
      <c r="D39">
        <v>0.5</v>
      </c>
      <c r="E39">
        <v>2012</v>
      </c>
      <c r="F39" s="1">
        <f t="shared" si="7"/>
        <v>6.1</v>
      </c>
      <c r="G39" s="5">
        <f>H38*F39^H39</f>
        <v>-5.5290494034195117</v>
      </c>
      <c r="H39" s="5">
        <f>LN(C39/C38)/LN(B39/B38)</f>
        <v>1.5092286029769257</v>
      </c>
      <c r="J39">
        <f t="shared" si="8"/>
        <v>-6.0208336183927536</v>
      </c>
      <c r="K39">
        <f t="shared" si="9"/>
        <v>0.12092585704842389</v>
      </c>
      <c r="L39">
        <f t="shared" si="10"/>
        <v>-5.4555922926556377</v>
      </c>
      <c r="M39">
        <f t="shared" si="9"/>
        <v>2.6979735608880233E-3</v>
      </c>
      <c r="N39">
        <f t="shared" si="11"/>
        <v>-6.4599355303909638</v>
      </c>
      <c r="O39">
        <f t="shared" si="12"/>
        <v>0.43327449069395524</v>
      </c>
      <c r="P39">
        <f t="shared" si="13"/>
        <v>-6.5714345327998709</v>
      </c>
      <c r="Q39">
        <f t="shared" si="14"/>
        <v>0.54328337897665413</v>
      </c>
      <c r="R39" s="24">
        <f t="shared" si="15"/>
        <v>-5.8077060038887813</v>
      </c>
      <c r="S39">
        <f t="shared" si="16"/>
        <v>3.8824750492545086E-2</v>
      </c>
      <c r="T39">
        <f t="shared" si="17"/>
        <v>-1.7149886051577119</v>
      </c>
      <c r="U39">
        <f t="shared" si="18"/>
        <v>7.2735298864187188</v>
      </c>
      <c r="V39">
        <f t="shared" si="19"/>
        <v>-5.4555922926556457</v>
      </c>
      <c r="W39">
        <f t="shared" si="20"/>
        <v>2.6979735608874365E-3</v>
      </c>
      <c r="X39">
        <f t="shared" si="21"/>
        <v>-5.4749787025620611</v>
      </c>
      <c r="Y39">
        <f t="shared" si="22"/>
        <v>1.4618203456079535E-3</v>
      </c>
      <c r="Z39" s="33">
        <f t="shared" si="23"/>
        <v>-5.8432703525929099</v>
      </c>
      <c r="AA39">
        <f t="shared" si="6"/>
        <v>0.77286058481824971</v>
      </c>
      <c r="AT39" s="3"/>
      <c r="AU39" s="3"/>
      <c r="AV39" s="3"/>
      <c r="AW39" s="3"/>
      <c r="AX39" s="3"/>
      <c r="AY39" s="3"/>
      <c r="AZ39" s="3"/>
      <c r="BA39">
        <v>1987</v>
      </c>
      <c r="BB39">
        <v>0.57691781689999999</v>
      </c>
      <c r="BC39">
        <f t="shared" si="32"/>
        <v>0.30812852914333339</v>
      </c>
    </row>
    <row r="40" spans="1:55" x14ac:dyDescent="0.35">
      <c r="A40" t="str">
        <f>Table1!A33</f>
        <v>Nordhaus 2013</v>
      </c>
      <c r="B40">
        <f>ROUND(Table1!C33,1)</f>
        <v>2.9</v>
      </c>
      <c r="C40">
        <f>Table1!E33</f>
        <v>-2</v>
      </c>
      <c r="D40">
        <v>1</v>
      </c>
      <c r="E40">
        <v>2013</v>
      </c>
      <c r="F40" s="1">
        <f t="shared" si="7"/>
        <v>3.6</v>
      </c>
      <c r="G40" s="5">
        <f>C40*(F40/B40)^2</f>
        <v>-3.0820451843043997</v>
      </c>
      <c r="H40" s="5" t="s">
        <v>1114</v>
      </c>
      <c r="J40">
        <f t="shared" si="8"/>
        <v>-2.9494841922155555</v>
      </c>
      <c r="K40">
        <f t="shared" si="9"/>
        <v>1.7572416623578613E-2</v>
      </c>
      <c r="L40">
        <f t="shared" si="10"/>
        <v>-3.2196938120590652</v>
      </c>
      <c r="M40">
        <f t="shared" si="9"/>
        <v>1.894714472274249E-2</v>
      </c>
      <c r="N40">
        <f t="shared" si="11"/>
        <v>-2.2499533586096994</v>
      </c>
      <c r="O40">
        <f t="shared" si="12"/>
        <v>0.69237680638793953</v>
      </c>
      <c r="P40">
        <f t="shared" si="13"/>
        <v>-2.3527076753366298</v>
      </c>
      <c r="Q40">
        <f t="shared" si="14"/>
        <v>0.53193320198731175</v>
      </c>
      <c r="R40" s="24">
        <f t="shared" si="15"/>
        <v>-2.901710144001548</v>
      </c>
      <c r="S40">
        <f t="shared" si="16"/>
        <v>3.2520726761031127E-2</v>
      </c>
      <c r="T40">
        <f t="shared" si="17"/>
        <v>-0.13723614723716357</v>
      </c>
      <c r="U40">
        <f t="shared" si="18"/>
        <v>8.6719002647928622</v>
      </c>
      <c r="V40">
        <f t="shared" si="19"/>
        <v>-3.2196938120590697</v>
      </c>
      <c r="W40">
        <f t="shared" si="20"/>
        <v>1.8947144722743711E-2</v>
      </c>
      <c r="X40">
        <f t="shared" si="21"/>
        <v>-1.9418468091413645</v>
      </c>
      <c r="Y40">
        <f t="shared" si="22"/>
        <v>1.3000523347244255</v>
      </c>
      <c r="Z40" s="33">
        <f t="shared" si="23"/>
        <v>-2.812562568440653</v>
      </c>
      <c r="AA40">
        <f t="shared" si="6"/>
        <v>0.66025792763087088</v>
      </c>
      <c r="BA40">
        <v>1988</v>
      </c>
      <c r="BB40">
        <v>0.61604314690000006</v>
      </c>
      <c r="BC40">
        <f t="shared" si="32"/>
        <v>0.31812133857666669</v>
      </c>
    </row>
    <row r="41" spans="1:55" ht="15" thickBot="1" x14ac:dyDescent="0.4">
      <c r="A41" t="str">
        <f>Table1!A34</f>
        <v>Sartori and Roson 2016</v>
      </c>
      <c r="B41">
        <f>ROUND(Table1!C34,1)</f>
        <v>3</v>
      </c>
      <c r="C41">
        <f>Table1!E34</f>
        <v>-0.71756668095998166</v>
      </c>
      <c r="D41">
        <v>1</v>
      </c>
      <c r="E41">
        <v>2016</v>
      </c>
      <c r="F41" s="1">
        <f t="shared" si="7"/>
        <v>3.8</v>
      </c>
      <c r="G41" s="5">
        <f>C41*LOOKUP(F41,graph!A$3:A$203,graph!B$3:B$203)/LOOKUP(B41,graph!A$3:A$203,graph!B$3:B$203)</f>
        <v>-1.0255118476319329</v>
      </c>
      <c r="H41" s="5" t="s">
        <v>1114</v>
      </c>
      <c r="J41">
        <f t="shared" si="8"/>
        <v>-3.1643315301220882</v>
      </c>
      <c r="K41">
        <f t="shared" si="9"/>
        <v>4.5745496342072887</v>
      </c>
      <c r="L41">
        <f t="shared" si="10"/>
        <v>-3.3985656905067909</v>
      </c>
      <c r="M41">
        <f t="shared" si="9"/>
        <v>5.6313845411831309</v>
      </c>
      <c r="N41">
        <f t="shared" si="11"/>
        <v>-2.5068924767225349</v>
      </c>
      <c r="O41">
        <f t="shared" si="12"/>
        <v>2.1944885682448678</v>
      </c>
      <c r="P41">
        <f t="shared" si="13"/>
        <v>-2.6196763692999561</v>
      </c>
      <c r="Q41">
        <f t="shared" si="14"/>
        <v>2.541360522145037</v>
      </c>
      <c r="R41" s="24">
        <f t="shared" si="15"/>
        <v>-3.0790657676152846</v>
      </c>
      <c r="S41">
        <f t="shared" si="16"/>
        <v>4.2170837022789902</v>
      </c>
      <c r="T41">
        <f t="shared" si="17"/>
        <v>-0.16847414719541451</v>
      </c>
      <c r="U41">
        <f t="shared" si="18"/>
        <v>0.73451361996951547</v>
      </c>
      <c r="V41">
        <f t="shared" si="19"/>
        <v>-3.3985656905067958</v>
      </c>
      <c r="W41">
        <f t="shared" si="20"/>
        <v>5.631384541183154</v>
      </c>
      <c r="X41">
        <f t="shared" si="21"/>
        <v>-2.1200322764919775</v>
      </c>
      <c r="Y41">
        <f t="shared" si="22"/>
        <v>1.1979749691919759</v>
      </c>
      <c r="Z41" s="33">
        <f t="shared" si="23"/>
        <v>-3.0127236868339615</v>
      </c>
      <c r="AA41">
        <f t="shared" si="6"/>
        <v>5.2677456816124133</v>
      </c>
      <c r="AT41" s="2"/>
      <c r="AU41" s="2"/>
      <c r="AV41" s="2"/>
      <c r="AW41" s="2"/>
      <c r="AX41" s="2"/>
      <c r="AY41" s="2"/>
      <c r="AZ41" s="2"/>
      <c r="BA41">
        <v>1989</v>
      </c>
      <c r="BB41">
        <v>0.51314168690000006</v>
      </c>
      <c r="BC41">
        <f t="shared" si="32"/>
        <v>0.32569650840999992</v>
      </c>
    </row>
    <row r="42" spans="1:55" x14ac:dyDescent="0.35">
      <c r="A42" t="str">
        <f>Table1!A35</f>
        <v>Kompas et al. 2018</v>
      </c>
      <c r="B42">
        <f>ROUND(Table1!C35,1)</f>
        <v>1</v>
      </c>
      <c r="C42">
        <f>Table1!E35</f>
        <v>-0.4658664448796927</v>
      </c>
      <c r="D42">
        <v>0.25</v>
      </c>
      <c r="E42">
        <v>2018</v>
      </c>
      <c r="F42" s="1">
        <f t="shared" si="7"/>
        <v>1.8</v>
      </c>
      <c r="G42" s="5">
        <f>H42*F42^H43</f>
        <v>-0.99553925781360941</v>
      </c>
      <c r="H42" s="5">
        <f>C42/B42^H43</f>
        <v>-0.4658664448796927</v>
      </c>
      <c r="J42">
        <f t="shared" si="8"/>
        <v>-1.257376016873081</v>
      </c>
      <c r="K42">
        <f t="shared" si="9"/>
        <v>1.713962209869194E-2</v>
      </c>
      <c r="L42">
        <f t="shared" si="10"/>
        <v>-1.6098469060295326</v>
      </c>
      <c r="M42">
        <f t="shared" si="9"/>
        <v>9.4343471664144612E-2</v>
      </c>
      <c r="N42">
        <f t="shared" si="11"/>
        <v>-0.56248833965242484</v>
      </c>
      <c r="O42">
        <f t="shared" si="12"/>
        <v>4.6883274430061246E-2</v>
      </c>
      <c r="P42">
        <f t="shared" si="13"/>
        <v>-0.58937066630221624</v>
      </c>
      <c r="Q42">
        <f t="shared" si="14"/>
        <v>4.1243231182587242E-2</v>
      </c>
      <c r="R42" s="24">
        <f t="shared" si="15"/>
        <v>-1.7369151024302529</v>
      </c>
      <c r="S42">
        <f t="shared" si="16"/>
        <v>0.13740953574526038</v>
      </c>
      <c r="T42">
        <f t="shared" si="17"/>
        <v>-1.9467093628431787E-2</v>
      </c>
      <c r="U42">
        <f t="shared" si="18"/>
        <v>0.23817921742428408</v>
      </c>
      <c r="V42">
        <f t="shared" si="19"/>
        <v>-1.6098469060295348</v>
      </c>
      <c r="W42">
        <f t="shared" si="20"/>
        <v>9.4343471664145293E-2</v>
      </c>
      <c r="X42">
        <f t="shared" si="21"/>
        <v>-0.76948327371434211</v>
      </c>
      <c r="Y42">
        <f t="shared" si="22"/>
        <v>1.2775326986772048E-2</v>
      </c>
      <c r="Z42" s="33">
        <f t="shared" si="23"/>
        <v>-1.3160372384717256</v>
      </c>
      <c r="AA42">
        <f t="shared" si="6"/>
        <v>0.18069759456922674</v>
      </c>
      <c r="BA42">
        <v>1990</v>
      </c>
      <c r="BB42">
        <v>0.69445388690000009</v>
      </c>
      <c r="BC42">
        <f t="shared" si="32"/>
        <v>0.34156482487666662</v>
      </c>
    </row>
    <row r="43" spans="1:55" x14ac:dyDescent="0.35">
      <c r="A43">
        <f>Table1!A36</f>
        <v>0</v>
      </c>
      <c r="B43">
        <f>ROUND(Table1!C36,1)</f>
        <v>2</v>
      </c>
      <c r="C43">
        <f>Table1!E36</f>
        <v>-1.0740738140966928</v>
      </c>
      <c r="D43">
        <v>0.25</v>
      </c>
      <c r="E43">
        <v>2018</v>
      </c>
      <c r="F43" s="1">
        <f t="shared" si="7"/>
        <v>2.8</v>
      </c>
      <c r="G43" s="5">
        <f>H42*F43^H43</f>
        <v>-1.761826457379233</v>
      </c>
      <c r="H43" s="5">
        <f>LN(C45/C42)/LN(B45/B42)</f>
        <v>1.2919407827120348</v>
      </c>
      <c r="J43">
        <f t="shared" si="8"/>
        <v>-2.1437654774374932</v>
      </c>
      <c r="K43">
        <f t="shared" si="9"/>
        <v>3.6469353760766023E-2</v>
      </c>
      <c r="L43">
        <f t="shared" si="10"/>
        <v>-2.5042062982681617</v>
      </c>
      <c r="M43">
        <f t="shared" si="9"/>
        <v>0.13778195703956775</v>
      </c>
      <c r="N43">
        <f t="shared" si="11"/>
        <v>-1.3610828959490771</v>
      </c>
      <c r="O43">
        <f t="shared" si="12"/>
        <v>4.0148850506931302E-2</v>
      </c>
      <c r="P43">
        <f t="shared" si="13"/>
        <v>-1.4253759779206241</v>
      </c>
      <c r="Q43">
        <f t="shared" si="14"/>
        <v>2.829973128198196E-2</v>
      </c>
      <c r="R43" s="24">
        <f t="shared" si="15"/>
        <v>-2.2881555542026764</v>
      </c>
      <c r="S43">
        <f t="shared" si="16"/>
        <v>6.9255579540745391E-2</v>
      </c>
      <c r="T43">
        <f t="shared" si="17"/>
        <v>-5.954126240889112E-2</v>
      </c>
      <c r="U43">
        <f t="shared" si="18"/>
        <v>0.72444372125380374</v>
      </c>
      <c r="V43">
        <f t="shared" si="19"/>
        <v>-2.5042062982681652</v>
      </c>
      <c r="W43">
        <f t="shared" si="20"/>
        <v>0.13778195703956905</v>
      </c>
      <c r="X43">
        <f t="shared" si="21"/>
        <v>-1.3395914258242334</v>
      </c>
      <c r="Y43">
        <f t="shared" si="22"/>
        <v>4.4570605468062886E-2</v>
      </c>
      <c r="Z43" s="33">
        <f t="shared" si="23"/>
        <v>-2.0808283907911873</v>
      </c>
      <c r="AA43">
        <f t="shared" si="6"/>
        <v>0.25338869442382772</v>
      </c>
      <c r="BA43">
        <v>1991</v>
      </c>
      <c r="BB43">
        <v>0.67278795690000004</v>
      </c>
      <c r="BC43">
        <f t="shared" si="32"/>
        <v>0.35352795581000002</v>
      </c>
    </row>
    <row r="44" spans="1:55" x14ac:dyDescent="0.35">
      <c r="A44">
        <f>Table1!A37</f>
        <v>0</v>
      </c>
      <c r="B44">
        <f>ROUND(Table1!C37,1)</f>
        <v>3</v>
      </c>
      <c r="C44">
        <f>Table1!E37</f>
        <v>-1.8369485050307706</v>
      </c>
      <c r="D44">
        <v>0.25</v>
      </c>
      <c r="E44">
        <v>2018</v>
      </c>
      <c r="F44" s="1">
        <f t="shared" si="7"/>
        <v>3.8</v>
      </c>
      <c r="G44" s="5">
        <f>H42*F44^H43</f>
        <v>-2.6140115616668198</v>
      </c>
      <c r="H44" s="5"/>
      <c r="J44">
        <f t="shared" si="8"/>
        <v>-3.1643315301220882</v>
      </c>
      <c r="K44">
        <f t="shared" si="9"/>
        <v>7.5713016920151907E-2</v>
      </c>
      <c r="L44">
        <f t="shared" si="10"/>
        <v>-3.3985656905067909</v>
      </c>
      <c r="M44">
        <f t="shared" si="9"/>
        <v>0.1538812952699615</v>
      </c>
      <c r="N44">
        <f t="shared" si="11"/>
        <v>-2.5068924767225349</v>
      </c>
      <c r="O44">
        <f t="shared" si="12"/>
        <v>2.8686245898252314E-3</v>
      </c>
      <c r="P44">
        <f t="shared" si="13"/>
        <v>-2.6196763692999561</v>
      </c>
      <c r="Q44">
        <f t="shared" si="14"/>
        <v>8.0225113801097078E-6</v>
      </c>
      <c r="R44" s="24">
        <f t="shared" si="15"/>
        <v>-3.0790657676152846</v>
      </c>
      <c r="S44">
        <f t="shared" si="16"/>
        <v>5.4068853617589278E-2</v>
      </c>
      <c r="T44">
        <f t="shared" si="17"/>
        <v>-0.16847414719541451</v>
      </c>
      <c r="U44">
        <f t="shared" si="18"/>
        <v>1.4951633113948717</v>
      </c>
      <c r="V44">
        <f t="shared" si="19"/>
        <v>-3.3985656905067958</v>
      </c>
      <c r="W44">
        <f t="shared" si="20"/>
        <v>0.15388129526996341</v>
      </c>
      <c r="X44">
        <f t="shared" si="21"/>
        <v>-2.1200322764919775</v>
      </c>
      <c r="Y44">
        <f t="shared" si="22"/>
        <v>6.1003883545462059E-2</v>
      </c>
      <c r="Z44" s="33">
        <f t="shared" si="23"/>
        <v>-3.0127236868339615</v>
      </c>
      <c r="AA44">
        <f t="shared" si="6"/>
        <v>0.34561181953608167</v>
      </c>
      <c r="BA44">
        <v>1992</v>
      </c>
      <c r="BB44">
        <v>0.45878821190000002</v>
      </c>
      <c r="BC44">
        <f t="shared" si="32"/>
        <v>0.35982633031000005</v>
      </c>
    </row>
    <row r="45" spans="1:55" x14ac:dyDescent="0.35">
      <c r="A45">
        <f>Table1!A38</f>
        <v>0</v>
      </c>
      <c r="B45">
        <f>ROUND(Table1!C38,1)</f>
        <v>4</v>
      </c>
      <c r="C45">
        <f>Table1!E38</f>
        <v>-2.7931051587285425</v>
      </c>
      <c r="D45">
        <v>0.25</v>
      </c>
      <c r="E45">
        <v>2018</v>
      </c>
      <c r="F45" s="1">
        <f t="shared" si="7"/>
        <v>4.8</v>
      </c>
      <c r="G45" s="5">
        <f>H42*F45^H43</f>
        <v>-3.5349621492297105</v>
      </c>
      <c r="H45" s="5"/>
      <c r="J45">
        <f t="shared" si="8"/>
        <v>-4.3190741749268673</v>
      </c>
      <c r="K45">
        <f t="shared" si="9"/>
        <v>0.15370791721072466</v>
      </c>
      <c r="L45">
        <f t="shared" si="10"/>
        <v>-4.2929250827454206</v>
      </c>
      <c r="M45">
        <f t="shared" si="9"/>
        <v>0.14362695214593518</v>
      </c>
      <c r="N45">
        <f t="shared" si="11"/>
        <v>-3.9999170819727983</v>
      </c>
      <c r="O45">
        <f t="shared" si="12"/>
        <v>5.4045772370532312E-2</v>
      </c>
      <c r="P45">
        <f t="shared" si="13"/>
        <v>-4.154428159694131</v>
      </c>
      <c r="Q45">
        <f t="shared" si="14"/>
        <v>9.5934534530176391E-2</v>
      </c>
      <c r="R45" s="24">
        <f t="shared" si="15"/>
        <v>-4.1096457426680768</v>
      </c>
      <c r="S45">
        <f t="shared" si="16"/>
        <v>8.2565308141808361E-2</v>
      </c>
      <c r="T45">
        <f t="shared" si="17"/>
        <v>-0.46458442843224379</v>
      </c>
      <c r="U45">
        <f t="shared" si="18"/>
        <v>2.3568048370923615</v>
      </c>
      <c r="V45">
        <f t="shared" si="19"/>
        <v>-4.2929250827454259</v>
      </c>
      <c r="W45">
        <f t="shared" si="20"/>
        <v>0.14362695214593721</v>
      </c>
      <c r="X45">
        <f t="shared" si="21"/>
        <v>-3.2333448529323312</v>
      </c>
      <c r="Y45">
        <f t="shared" si="22"/>
        <v>2.2743248356435278E-2</v>
      </c>
      <c r="Z45" s="33">
        <f t="shared" si="23"/>
        <v>-4.1208937936391479</v>
      </c>
      <c r="AA45">
        <f t="shared" si="6"/>
        <v>0.44075566474944222</v>
      </c>
      <c r="BA45">
        <v>1993</v>
      </c>
      <c r="BB45">
        <v>0.49954987690000002</v>
      </c>
      <c r="BC45">
        <f t="shared" si="32"/>
        <v>0.36657514197666669</v>
      </c>
    </row>
    <row r="46" spans="1:55" x14ac:dyDescent="0.35">
      <c r="A46" t="str">
        <f>Table1!A39</f>
        <v>Dellink et al. 2019</v>
      </c>
      <c r="B46">
        <f>ROUND(Table1!C39,1)</f>
        <v>2.5</v>
      </c>
      <c r="C46">
        <f>Table1!E39</f>
        <v>-2</v>
      </c>
      <c r="D46">
        <v>1</v>
      </c>
      <c r="E46">
        <v>2019</v>
      </c>
      <c r="F46" s="1">
        <f t="shared" si="7"/>
        <v>3.4</v>
      </c>
      <c r="G46" s="5">
        <f>C46*LOOKUP(F46,graph!A$3:A$203,graph!B$3:B$203)/LOOKUP(B46,graph!A$3:A$203,graph!B$3:B$203)</f>
        <v>-3.1415196783099741</v>
      </c>
      <c r="H46" s="5" t="s">
        <v>1114</v>
      </c>
      <c r="J46">
        <f t="shared" si="8"/>
        <v>-2.7400039179938283</v>
      </c>
      <c r="K46">
        <f t="shared" si="9"/>
        <v>0.1612149057822527</v>
      </c>
      <c r="L46">
        <f t="shared" si="10"/>
        <v>-3.0408219336113396</v>
      </c>
      <c r="M46">
        <f t="shared" si="9"/>
        <v>1.0140035787391387E-2</v>
      </c>
      <c r="N46">
        <f t="shared" si="11"/>
        <v>-2.0069028414759349</v>
      </c>
      <c r="O46">
        <f t="shared" si="12"/>
        <v>1.2873553664272808</v>
      </c>
      <c r="P46">
        <f t="shared" si="13"/>
        <v>-2.099650058253113</v>
      </c>
      <c r="Q46">
        <f t="shared" si="14"/>
        <v>1.0854923051974281</v>
      </c>
      <c r="R46" s="24">
        <f t="shared" si="15"/>
        <v>-2.7339413108534192</v>
      </c>
      <c r="S46">
        <f t="shared" si="16"/>
        <v>0.16612012561855052</v>
      </c>
      <c r="T46">
        <f t="shared" si="17"/>
        <v>-0.11166063600669476</v>
      </c>
      <c r="U46">
        <f t="shared" si="18"/>
        <v>9.1800458162269436</v>
      </c>
      <c r="V46">
        <f t="shared" si="19"/>
        <v>-3.0408219336113436</v>
      </c>
      <c r="W46">
        <f t="shared" si="20"/>
        <v>1.0140035787390582E-2</v>
      </c>
      <c r="X46">
        <f t="shared" si="21"/>
        <v>-1.7757070226480274</v>
      </c>
      <c r="Y46">
        <f t="shared" si="22"/>
        <v>1.8654442103663396</v>
      </c>
      <c r="Z46" s="33">
        <f t="shared" si="23"/>
        <v>-2.6193672716622518</v>
      </c>
      <c r="AA46">
        <f t="shared" si="6"/>
        <v>0.38361581720634164</v>
      </c>
      <c r="BA46">
        <v>1994</v>
      </c>
      <c r="BB46">
        <v>0.56744118690000001</v>
      </c>
      <c r="BC46">
        <f t="shared" si="32"/>
        <v>0.38455569264333339</v>
      </c>
    </row>
    <row r="47" spans="1:55" x14ac:dyDescent="0.35">
      <c r="A47" t="str">
        <f>Table1!A40</f>
        <v>Takakura</v>
      </c>
      <c r="B47">
        <f>ROUND(Table1!C40,1)</f>
        <v>2</v>
      </c>
      <c r="C47">
        <f>Table1!E40</f>
        <v>-1.0517705037403</v>
      </c>
      <c r="D47">
        <f>1/3</f>
        <v>0.33333333333333331</v>
      </c>
      <c r="E47">
        <v>2019</v>
      </c>
      <c r="F47" s="1">
        <f t="shared" si="7"/>
        <v>2.9</v>
      </c>
      <c r="G47" s="5">
        <f>H$47*F47^H$48</f>
        <v>-2.2137500552248932</v>
      </c>
      <c r="H47" s="5">
        <f>C47/B47^H48</f>
        <v>-0.26241052136956838</v>
      </c>
      <c r="J47">
        <f t="shared" si="8"/>
        <v>-2.2397841360605444</v>
      </c>
      <c r="K47">
        <f t="shared" si="9"/>
        <v>2.2592445498573991E-4</v>
      </c>
      <c r="L47">
        <f t="shared" si="10"/>
        <v>-2.5936422374920247</v>
      </c>
      <c r="M47">
        <f t="shared" si="9"/>
        <v>4.8106023382561154E-2</v>
      </c>
      <c r="N47">
        <f t="shared" si="11"/>
        <v>-1.4600391779249668</v>
      </c>
      <c r="O47">
        <f t="shared" si="12"/>
        <v>0.18936002885340822</v>
      </c>
      <c r="P47">
        <f t="shared" si="13"/>
        <v>-1.5288320246723281</v>
      </c>
      <c r="Q47">
        <f t="shared" si="14"/>
        <v>0.15637090285866814</v>
      </c>
      <c r="R47" s="24">
        <f t="shared" si="15"/>
        <v>-2.3564614362701288</v>
      </c>
      <c r="S47">
        <f t="shared" si="16"/>
        <v>6.788846093279479E-3</v>
      </c>
      <c r="T47">
        <f t="shared" si="17"/>
        <v>-6.620872016342122E-2</v>
      </c>
      <c r="U47">
        <f t="shared" si="18"/>
        <v>1.5373112619325362</v>
      </c>
      <c r="V47">
        <f t="shared" si="19"/>
        <v>-2.5936422374920283</v>
      </c>
      <c r="W47">
        <f t="shared" si="20"/>
        <v>4.8106023382562049E-2</v>
      </c>
      <c r="X47">
        <f t="shared" si="21"/>
        <v>-1.4064607752293086</v>
      </c>
      <c r="Y47">
        <f t="shared" si="22"/>
        <v>0.21723866053192981</v>
      </c>
      <c r="Z47" s="33">
        <f t="shared" si="23"/>
        <v>-2.1663612333762665</v>
      </c>
      <c r="AA47">
        <f t="shared" si="6"/>
        <v>0.41410416486347873</v>
      </c>
      <c r="BA47">
        <v>1995</v>
      </c>
      <c r="BB47">
        <v>0.71075757690000008</v>
      </c>
      <c r="BC47">
        <f t="shared" si="32"/>
        <v>0.40393082797666668</v>
      </c>
    </row>
    <row r="48" spans="1:55" x14ac:dyDescent="0.35">
      <c r="A48">
        <f>Table1!A41</f>
        <v>0</v>
      </c>
      <c r="B48">
        <f>ROUND(Table1!C41,1)</f>
        <v>4</v>
      </c>
      <c r="C48">
        <f>Table1!E41</f>
        <v>-4.6911160007283899</v>
      </c>
      <c r="D48">
        <f>1/3</f>
        <v>0.33333333333333331</v>
      </c>
      <c r="E48">
        <v>2019</v>
      </c>
      <c r="F48" s="1">
        <f t="shared" si="7"/>
        <v>4.9000000000000004</v>
      </c>
      <c r="G48" s="5">
        <f>H$47*F48^H$48</f>
        <v>-6.3298072109025334</v>
      </c>
      <c r="H48" s="5">
        <f>LN(C49/C47)/LN(B49/B47)</f>
        <v>2.002922471805249</v>
      </c>
      <c r="J48">
        <f t="shared" si="8"/>
        <v>-4.441928151973956</v>
      </c>
      <c r="K48">
        <f t="shared" si="9"/>
        <v>1.1880291137136836</v>
      </c>
      <c r="L48">
        <f t="shared" si="10"/>
        <v>-4.3823610219692837</v>
      </c>
      <c r="M48">
        <f t="shared" si="9"/>
        <v>1.2641822195968795</v>
      </c>
      <c r="N48">
        <f t="shared" si="11"/>
        <v>-4.1683163688440494</v>
      </c>
      <c r="O48">
        <f t="shared" si="12"/>
        <v>1.5573475534342311</v>
      </c>
      <c r="P48">
        <f t="shared" si="13"/>
        <v>-4.3251535444504761</v>
      </c>
      <c r="Q48">
        <f t="shared" si="14"/>
        <v>1.3395454408065588</v>
      </c>
      <c r="R48" s="24">
        <f t="shared" si="15"/>
        <v>-4.2258855770635666</v>
      </c>
      <c r="S48">
        <f t="shared" si="16"/>
        <v>1.4754954137785425</v>
      </c>
      <c r="T48">
        <f t="shared" si="17"/>
        <v>-0.51385064781771705</v>
      </c>
      <c r="U48">
        <f t="shared" si="18"/>
        <v>11.275116914563116</v>
      </c>
      <c r="V48">
        <f t="shared" si="19"/>
        <v>-4.3823610219692899</v>
      </c>
      <c r="W48">
        <f t="shared" si="20"/>
        <v>1.2641822195968713</v>
      </c>
      <c r="X48">
        <f t="shared" si="21"/>
        <v>-3.369131524354811</v>
      </c>
      <c r="Y48">
        <f t="shared" si="22"/>
        <v>2.9218668403049421</v>
      </c>
      <c r="Z48" s="33">
        <f t="shared" si="23"/>
        <v>-4.2418134606188378</v>
      </c>
      <c r="AA48">
        <f t="shared" si="6"/>
        <v>6.7290924182965201E-2</v>
      </c>
      <c r="BA48">
        <v>1996</v>
      </c>
      <c r="BB48">
        <v>0.61058081689999999</v>
      </c>
      <c r="BC48">
        <f t="shared" si="32"/>
        <v>0.4181166273100001</v>
      </c>
    </row>
    <row r="49" spans="1:55" x14ac:dyDescent="0.35">
      <c r="A49">
        <f>Table1!A42</f>
        <v>0</v>
      </c>
      <c r="B49">
        <f>ROUND(Table1!C42,1)</f>
        <v>6</v>
      </c>
      <c r="C49">
        <f>Table1!E42</f>
        <v>-9.49637530496768</v>
      </c>
      <c r="D49">
        <f>1/3</f>
        <v>0.33333333333333331</v>
      </c>
      <c r="E49">
        <v>2019</v>
      </c>
      <c r="F49" s="1">
        <f t="shared" si="7"/>
        <v>6.9</v>
      </c>
      <c r="G49" s="5">
        <f>H$47*F49^H$48</f>
        <v>-12.564087098515976</v>
      </c>
      <c r="H49" s="5"/>
      <c r="J49">
        <f t="shared" si="8"/>
        <v>-7.1807785363680994</v>
      </c>
      <c r="K49">
        <f t="shared" si="9"/>
        <v>9.6600036917648815</v>
      </c>
      <c r="L49">
        <f t="shared" si="10"/>
        <v>-6.1710798064465422</v>
      </c>
      <c r="M49">
        <f t="shared" si="9"/>
        <v>13.623514078817653</v>
      </c>
      <c r="N49">
        <f t="shared" si="11"/>
        <v>-8.2654536576703546</v>
      </c>
      <c r="O49">
        <f t="shared" si="12"/>
        <v>6.1594164862520895</v>
      </c>
      <c r="P49">
        <f t="shared" si="13"/>
        <v>-8.1926727400904191</v>
      </c>
      <c r="Q49">
        <f t="shared" si="14"/>
        <v>6.3697544976830418</v>
      </c>
      <c r="R49" s="24">
        <f t="shared" si="15"/>
        <v>-7.0539887644177401</v>
      </c>
      <c r="S49">
        <f t="shared" si="16"/>
        <v>10.120394550477386</v>
      </c>
      <c r="T49">
        <f t="shared" si="17"/>
        <v>-3.8215019634887653</v>
      </c>
      <c r="U49">
        <f t="shared" si="18"/>
        <v>25.47759828106625</v>
      </c>
      <c r="V49">
        <f t="shared" si="19"/>
        <v>-6.1710798064465502</v>
      </c>
      <c r="W49">
        <f t="shared" si="20"/>
        <v>13.623514078817617</v>
      </c>
      <c r="X49">
        <f t="shared" si="21"/>
        <v>-7.5308453576044556</v>
      </c>
      <c r="Y49">
        <f t="shared" si="22"/>
        <v>8.4445074741513455</v>
      </c>
      <c r="Z49" s="33">
        <f t="shared" si="23"/>
        <v>-7.0724352857976296</v>
      </c>
      <c r="AA49">
        <f t="shared" si="6"/>
        <v>1.9584950721780348</v>
      </c>
      <c r="BA49">
        <v>1997</v>
      </c>
      <c r="BB49">
        <v>0.75619991689999999</v>
      </c>
      <c r="BC49">
        <f t="shared" si="32"/>
        <v>0.43611078764333339</v>
      </c>
    </row>
    <row r="50" spans="1:55" x14ac:dyDescent="0.35">
      <c r="A50" t="str">
        <f>Table1!A43</f>
        <v>Howard &amp; Sylvan 2020</v>
      </c>
      <c r="B50">
        <f>ROUND(Table1!C43,1)</f>
        <v>3</v>
      </c>
      <c r="C50">
        <f>Table1!E43</f>
        <v>-9.1999999999999993</v>
      </c>
      <c r="D50">
        <v>1</v>
      </c>
      <c r="E50">
        <v>2000</v>
      </c>
      <c r="F50" s="1">
        <f t="shared" si="7"/>
        <v>3.5</v>
      </c>
      <c r="G50" s="5">
        <f>C50*LOOKUP(F50,graph!A$3:A$203,graph!B$3:B$203)/LOOKUP(B50,graph!A$3:A$203,graph!B$3:B$203)</f>
        <v>-11.589800442017166</v>
      </c>
      <c r="H50" s="5" t="s">
        <v>1114</v>
      </c>
      <c r="J50">
        <f t="shared" si="8"/>
        <v>-2.8440731721440908</v>
      </c>
      <c r="K50">
        <f t="shared" si="9"/>
        <v>76.487745479001561</v>
      </c>
      <c r="L50">
        <f t="shared" si="10"/>
        <v>-3.1302578728352026</v>
      </c>
      <c r="M50">
        <f t="shared" si="9"/>
        <v>71.563860479801761</v>
      </c>
      <c r="N50">
        <f t="shared" si="11"/>
        <v>-2.1266920249204331</v>
      </c>
      <c r="O50">
        <f t="shared" si="12"/>
        <v>89.550420913727052</v>
      </c>
      <c r="P50">
        <f t="shared" si="13"/>
        <v>-2.2244291720405633</v>
      </c>
      <c r="Q50">
        <f t="shared" si="14"/>
        <v>87.710179024503162</v>
      </c>
      <c r="R50" s="24">
        <f t="shared" si="15"/>
        <v>-2.816627378619283</v>
      </c>
      <c r="S50">
        <f t="shared" si="16"/>
        <v>76.968565600330209</v>
      </c>
      <c r="T50">
        <f t="shared" si="17"/>
        <v>-0.12380953613203353</v>
      </c>
      <c r="U50">
        <f t="shared" si="18"/>
        <v>131.46894745384054</v>
      </c>
      <c r="V50">
        <f t="shared" si="19"/>
        <v>-3.1302578728352066</v>
      </c>
      <c r="W50">
        <f t="shared" si="20"/>
        <v>71.563860479801704</v>
      </c>
      <c r="X50">
        <f t="shared" si="21"/>
        <v>-1.8573372924843152</v>
      </c>
      <c r="Y50">
        <f t="shared" si="22"/>
        <v>94.720838957014905</v>
      </c>
      <c r="Z50" s="33">
        <f t="shared" si="23"/>
        <v>-2.715099030389458</v>
      </c>
      <c r="AA50">
        <f t="shared" si="6"/>
        <v>42.053940585655731</v>
      </c>
      <c r="BA50">
        <v>1998</v>
      </c>
      <c r="BB50">
        <v>0.91120787690000005</v>
      </c>
      <c r="BC50">
        <f t="shared" si="32"/>
        <v>0.4609757463100001</v>
      </c>
    </row>
    <row r="51" spans="1:55" x14ac:dyDescent="0.35">
      <c r="A51" t="str">
        <f>Table1!A44</f>
        <v>Howard &amp; Sylvan 2021</v>
      </c>
      <c r="B51">
        <f>ROUND(Table1!C44,1)</f>
        <v>1.2</v>
      </c>
      <c r="C51">
        <f>Table1!E44</f>
        <v>-2.2000000000000002</v>
      </c>
      <c r="D51">
        <v>0.25</v>
      </c>
      <c r="E51">
        <v>2021</v>
      </c>
      <c r="F51" s="1">
        <f t="shared" si="7"/>
        <v>2.1</v>
      </c>
      <c r="G51" s="5">
        <f>H51*F51^H52</f>
        <v>-4.7572476689155101</v>
      </c>
      <c r="H51" s="5">
        <f>C51/B51^H52</f>
        <v>-1.7112057907898595</v>
      </c>
      <c r="J51">
        <f t="shared" si="8"/>
        <v>-1.5092043128697854</v>
      </c>
      <c r="K51">
        <f t="shared" si="9"/>
        <v>2.6374464106881934</v>
      </c>
      <c r="L51">
        <f t="shared" si="10"/>
        <v>-1.8781547237011216</v>
      </c>
      <c r="M51">
        <f t="shared" si="9"/>
        <v>2.0722940467958155</v>
      </c>
      <c r="N51">
        <f t="shared" si="11"/>
        <v>-0.76560912897135591</v>
      </c>
      <c r="O51">
        <f t="shared" si="12"/>
        <v>3.9832945583918749</v>
      </c>
      <c r="P51">
        <f t="shared" si="13"/>
        <v>-0.80213808957432053</v>
      </c>
      <c r="Q51">
        <f t="shared" si="14"/>
        <v>3.91072294614911</v>
      </c>
      <c r="R51" s="24">
        <f t="shared" si="15"/>
        <v>-1.8771219129897607</v>
      </c>
      <c r="S51">
        <f t="shared" si="16"/>
        <v>2.0737810924867168</v>
      </c>
      <c r="T51">
        <f t="shared" si="17"/>
        <v>-2.7626582177934986E-2</v>
      </c>
      <c r="U51">
        <f t="shared" si="18"/>
        <v>5.5923289060281807</v>
      </c>
      <c r="V51">
        <f t="shared" si="19"/>
        <v>-1.878154723701124</v>
      </c>
      <c r="W51">
        <f t="shared" si="20"/>
        <v>2.0722940467958115</v>
      </c>
      <c r="X51">
        <f t="shared" si="21"/>
        <v>-0.92423317899854995</v>
      </c>
      <c r="Y51">
        <f t="shared" si="22"/>
        <v>3.6730000199783439</v>
      </c>
      <c r="Z51" s="33">
        <f t="shared" si="23"/>
        <v>-1.5284020667419598</v>
      </c>
      <c r="AA51">
        <f t="shared" si="6"/>
        <v>0.11276094598911782</v>
      </c>
      <c r="BA51">
        <v>1999</v>
      </c>
      <c r="BB51">
        <v>0.6583763869</v>
      </c>
      <c r="BC51">
        <f t="shared" si="32"/>
        <v>0.47283746907666674</v>
      </c>
    </row>
    <row r="52" spans="1:55" x14ac:dyDescent="0.35">
      <c r="A52">
        <f>Table1!A45</f>
        <v>0</v>
      </c>
      <c r="B52">
        <f>ROUND(Table1!C45,1)</f>
        <v>3</v>
      </c>
      <c r="C52">
        <f>Table1!E45</f>
        <v>-8.5</v>
      </c>
      <c r="D52">
        <v>0.25</v>
      </c>
      <c r="E52">
        <v>2021</v>
      </c>
      <c r="F52" s="1">
        <f t="shared" si="7"/>
        <v>3.9</v>
      </c>
      <c r="G52" s="5">
        <f>H51*F52^H52</f>
        <v>-11.1648805814563</v>
      </c>
      <c r="H52" s="5">
        <f>LN(C54/C51)/LN(B54/B51)</f>
        <v>1.3781096539003634</v>
      </c>
      <c r="J52">
        <f t="shared" si="8"/>
        <v>-3.2737678479571581</v>
      </c>
      <c r="K52">
        <f t="shared" si="9"/>
        <v>15.567415043198075</v>
      </c>
      <c r="L52">
        <f t="shared" si="10"/>
        <v>-3.488001629730654</v>
      </c>
      <c r="M52">
        <f t="shared" si="9"/>
        <v>14.733617609862064</v>
      </c>
      <c r="N52">
        <f t="shared" si="11"/>
        <v>-2.640570261146105</v>
      </c>
      <c r="O52">
        <f t="shared" si="12"/>
        <v>18.16596660923673</v>
      </c>
      <c r="P52">
        <f t="shared" si="13"/>
        <v>-2.7583169407141357</v>
      </c>
      <c r="Q52">
        <f t="shared" si="14"/>
        <v>17.667578061462034</v>
      </c>
      <c r="R52" s="24">
        <f t="shared" si="15"/>
        <v>-3.1713386258467553</v>
      </c>
      <c r="S52">
        <f t="shared" si="16"/>
        <v>15.974178249022517</v>
      </c>
      <c r="T52">
        <f t="shared" si="17"/>
        <v>-0.18659817645157203</v>
      </c>
      <c r="U52">
        <f t="shared" si="18"/>
        <v>30.130671141009103</v>
      </c>
      <c r="V52">
        <f t="shared" si="19"/>
        <v>-3.4880016297306589</v>
      </c>
      <c r="W52">
        <f t="shared" si="20"/>
        <v>14.733617609862044</v>
      </c>
      <c r="X52">
        <f t="shared" si="21"/>
        <v>-2.2139844505416595</v>
      </c>
      <c r="Y52">
        <f t="shared" si="22"/>
        <v>20.029635386605673</v>
      </c>
      <c r="Z52" s="33">
        <f t="shared" si="23"/>
        <v>-3.1154410864595712</v>
      </c>
      <c r="AA52">
        <f t="shared" si="6"/>
        <v>7.2483686733469224</v>
      </c>
      <c r="AC52">
        <f>(100/10)^(1/7)</f>
        <v>1.3894954943731377</v>
      </c>
      <c r="BA52">
        <v>2000</v>
      </c>
      <c r="BB52">
        <v>0.66497621689999997</v>
      </c>
      <c r="BC52">
        <f t="shared" si="32"/>
        <v>0.48671051474333343</v>
      </c>
    </row>
    <row r="53" spans="1:55" x14ac:dyDescent="0.35">
      <c r="A53">
        <f>Table1!A46</f>
        <v>0</v>
      </c>
      <c r="B53">
        <f>ROUND(Table1!C46,1)</f>
        <v>5</v>
      </c>
      <c r="C53">
        <f>Table1!E46</f>
        <v>-16.100000000000001</v>
      </c>
      <c r="D53">
        <v>0.25</v>
      </c>
      <c r="E53">
        <v>2021</v>
      </c>
      <c r="F53" s="1">
        <f t="shared" si="7"/>
        <v>5.9</v>
      </c>
      <c r="G53" s="5">
        <f>H51*F53^H52</f>
        <v>-19.752444045634771</v>
      </c>
      <c r="H53" s="5"/>
      <c r="J53">
        <f t="shared" si="8"/>
        <v>-5.7442650481109361</v>
      </c>
      <c r="K53">
        <f t="shared" si="9"/>
        <v>49.057269706666972</v>
      </c>
      <c r="L53">
        <f t="shared" si="10"/>
        <v>-5.2767204142079134</v>
      </c>
      <c r="M53">
        <f t="shared" si="9"/>
        <v>52.386643663362491</v>
      </c>
      <c r="N53">
        <f t="shared" si="11"/>
        <v>-6.0432775010187987</v>
      </c>
      <c r="O53">
        <f t="shared" si="12"/>
        <v>46.985311837004453</v>
      </c>
      <c r="P53">
        <f t="shared" si="13"/>
        <v>-6.1759767883132657</v>
      </c>
      <c r="Q53">
        <f t="shared" si="14"/>
        <v>46.080115797280733</v>
      </c>
      <c r="R53" s="24">
        <f t="shared" si="15"/>
        <v>-5.520102289920561</v>
      </c>
      <c r="S53">
        <f t="shared" si="16"/>
        <v>50.639887962861557</v>
      </c>
      <c r="T53">
        <f t="shared" si="17"/>
        <v>-1.4034150940506231</v>
      </c>
      <c r="U53">
        <f t="shared" si="18"/>
        <v>84.171715866518326</v>
      </c>
      <c r="V53">
        <f t="shared" si="19"/>
        <v>-5.2767204142079205</v>
      </c>
      <c r="W53">
        <f t="shared" si="20"/>
        <v>52.386643663362442</v>
      </c>
      <c r="X53">
        <f t="shared" si="21"/>
        <v>-5.0532746126638459</v>
      </c>
      <c r="Y53">
        <f t="shared" si="22"/>
        <v>54.016395504796705</v>
      </c>
      <c r="Z53" s="33">
        <f t="shared" si="23"/>
        <v>-5.5566111030069045</v>
      </c>
      <c r="AA53">
        <f t="shared" si="6"/>
        <v>27.79076235830933</v>
      </c>
      <c r="BA53">
        <v>2001</v>
      </c>
      <c r="BB53">
        <v>0.8231717569</v>
      </c>
      <c r="BC53">
        <f t="shared" si="32"/>
        <v>0.50988428407666675</v>
      </c>
    </row>
    <row r="54" spans="1:55" x14ac:dyDescent="0.35">
      <c r="A54">
        <f>Table1!A47</f>
        <v>0</v>
      </c>
      <c r="B54">
        <f>ROUND(Table1!C47,1)</f>
        <v>7</v>
      </c>
      <c r="C54">
        <f>Table1!E47</f>
        <v>-25</v>
      </c>
      <c r="D54">
        <v>0.25</v>
      </c>
      <c r="E54">
        <v>2021</v>
      </c>
      <c r="F54" s="1">
        <f t="shared" si="7"/>
        <v>7.9</v>
      </c>
      <c r="G54" s="5">
        <f>H51*F54^H52</f>
        <v>-29.534580139036954</v>
      </c>
      <c r="H54" s="5"/>
      <c r="J54">
        <f t="shared" si="8"/>
        <v>-8.751468616745445</v>
      </c>
      <c r="K54">
        <f t="shared" si="9"/>
        <v>107.98443113700152</v>
      </c>
      <c r="L54">
        <f t="shared" si="10"/>
        <v>-7.0654391986851719</v>
      </c>
      <c r="M54">
        <f t="shared" si="9"/>
        <v>126.21557364934813</v>
      </c>
      <c r="N54">
        <f t="shared" si="11"/>
        <v>-10.834844838798713</v>
      </c>
      <c r="O54">
        <f t="shared" si="12"/>
        <v>87.420025074744046</v>
      </c>
      <c r="P54">
        <f t="shared" si="13"/>
        <v>-10.145498000183728</v>
      </c>
      <c r="Q54">
        <f t="shared" si="14"/>
        <v>93.984126546799303</v>
      </c>
      <c r="R54" s="24">
        <f t="shared" si="15"/>
        <v>-8.8275450005551033</v>
      </c>
      <c r="S54">
        <f t="shared" si="16"/>
        <v>107.19532605658051</v>
      </c>
      <c r="T54">
        <f t="shared" si="17"/>
        <v>-10.394543560317885</v>
      </c>
      <c r="U54">
        <f t="shared" si="18"/>
        <v>91.585250058675996</v>
      </c>
      <c r="V54">
        <f t="shared" si="19"/>
        <v>-7.0654391986851808</v>
      </c>
      <c r="W54">
        <f t="shared" si="20"/>
        <v>126.21557364934806</v>
      </c>
      <c r="X54">
        <f t="shared" si="21"/>
        <v>-11.190853520366112</v>
      </c>
      <c r="Y54">
        <f t="shared" si="22"/>
        <v>84.123076565133303</v>
      </c>
      <c r="Z54" s="33">
        <f t="shared" si="23"/>
        <v>-8.8028509792360712</v>
      </c>
      <c r="AA54">
        <f t="shared" si="6"/>
        <v>65.586909100208487</v>
      </c>
      <c r="AC54">
        <f>2^(1/20)</f>
        <v>1.0352649238413776</v>
      </c>
      <c r="BA54">
        <v>2002</v>
      </c>
      <c r="BB54">
        <v>0.87735791689999998</v>
      </c>
      <c r="BC54">
        <f t="shared" si="32"/>
        <v>0.5311274040766667</v>
      </c>
    </row>
    <row r="55" spans="1:55" x14ac:dyDescent="0.35">
      <c r="A55" t="str">
        <f>Table1!A48</f>
        <v>Conte et al. 2021</v>
      </c>
      <c r="B55">
        <f>ROUND(Table1!C48,1)</f>
        <v>3.7</v>
      </c>
      <c r="C55">
        <f>Table1!E48</f>
        <v>-3.7</v>
      </c>
      <c r="D55">
        <v>1</v>
      </c>
      <c r="E55">
        <v>2021</v>
      </c>
      <c r="F55" s="1">
        <f t="shared" si="7"/>
        <v>4.5999999999999996</v>
      </c>
      <c r="G55" s="5">
        <f>C55*LOOKUP(F55,graph!A$3:A$203,graph!B$3:B$203)/LOOKUP(B55,graph!A$3:A$203,graph!B$3:B$203)</f>
        <v>-5.3976467983670684</v>
      </c>
      <c r="H55" s="5" t="s">
        <v>1114</v>
      </c>
      <c r="J55">
        <f t="shared" si="8"/>
        <v>-4.077391518596297</v>
      </c>
      <c r="K55">
        <f t="shared" si="9"/>
        <v>1.7430740037625978</v>
      </c>
      <c r="L55">
        <f t="shared" si="10"/>
        <v>-4.1140532042976945</v>
      </c>
      <c r="M55">
        <f t="shared" si="9"/>
        <v>1.6476125147359326</v>
      </c>
      <c r="N55">
        <f t="shared" si="11"/>
        <v>-3.6735349589646007</v>
      </c>
      <c r="O55">
        <f t="shared" si="12"/>
        <v>2.9725616347677608</v>
      </c>
      <c r="P55">
        <f t="shared" si="13"/>
        <v>-3.8219388112131232</v>
      </c>
      <c r="Q55">
        <f t="shared" si="14"/>
        <v>2.4828556607807375</v>
      </c>
      <c r="R55" s="24">
        <f t="shared" si="15"/>
        <v>-3.8843561667263033</v>
      </c>
      <c r="S55">
        <f t="shared" si="16"/>
        <v>2.2900485358117058</v>
      </c>
      <c r="T55">
        <f t="shared" si="17"/>
        <v>-0.37967074078832569</v>
      </c>
      <c r="U55">
        <f t="shared" si="18"/>
        <v>25.180083714433501</v>
      </c>
      <c r="V55">
        <f t="shared" si="19"/>
        <v>-4.1140532042976998</v>
      </c>
      <c r="W55">
        <f t="shared" si="20"/>
        <v>1.6476125147359189</v>
      </c>
      <c r="X55">
        <f t="shared" si="21"/>
        <v>-2.9766057904227847</v>
      </c>
      <c r="Y55">
        <f t="shared" si="22"/>
        <v>5.861439562147873</v>
      </c>
      <c r="Z55" s="33">
        <f t="shared" si="23"/>
        <v>-3.8846560339308662</v>
      </c>
      <c r="AA55">
        <f t="shared" si="6"/>
        <v>3.4097850867077152E-2</v>
      </c>
      <c r="BA55">
        <v>2003</v>
      </c>
      <c r="BB55">
        <v>0.87806161690000006</v>
      </c>
      <c r="BC55">
        <f t="shared" si="32"/>
        <v>0.54760196541000006</v>
      </c>
    </row>
    <row r="56" spans="1:55" x14ac:dyDescent="0.35">
      <c r="A56" t="str">
        <f>Table1!A49</f>
        <v>Desmet and Rossi-Hansberg 2015</v>
      </c>
      <c r="B56">
        <f>ROUND(Table1!C49,1)</f>
        <v>4.5999999999999996</v>
      </c>
      <c r="C56">
        <f>Table1!E49</f>
        <v>5.1295273109904338</v>
      </c>
      <c r="D56">
        <v>1</v>
      </c>
      <c r="E56">
        <v>2015</v>
      </c>
      <c r="F56" s="1">
        <f t="shared" si="7"/>
        <v>5.4</v>
      </c>
      <c r="G56" s="5">
        <f>H$56*F56+H$57*F56*F56</f>
        <v>3.9365501231980478</v>
      </c>
      <c r="H56" s="5">
        <f>(C56-H57*B56*B56)/B56</f>
        <v>3.3353268811196868</v>
      </c>
      <c r="J56">
        <f t="shared" si="8"/>
        <v>-5.076324526027423</v>
      </c>
      <c r="K56">
        <f t="shared" si="9"/>
        <v>81.23190944265113</v>
      </c>
      <c r="L56">
        <f t="shared" si="10"/>
        <v>-4.8295407180885981</v>
      </c>
      <c r="M56">
        <f t="shared" si="9"/>
        <v>76.84434863768962</v>
      </c>
      <c r="N56">
        <f t="shared" si="11"/>
        <v>-5.0623950568718232</v>
      </c>
      <c r="O56">
        <f t="shared" si="12"/>
        <v>80.981014353902765</v>
      </c>
      <c r="P56">
        <f t="shared" si="13"/>
        <v>-5.2204656100931111</v>
      </c>
      <c r="Q56">
        <f t="shared" si="14"/>
        <v>83.850937139741816</v>
      </c>
      <c r="R56" s="24">
        <f t="shared" si="15"/>
        <v>-4.8430352132870409</v>
      </c>
      <c r="S56">
        <f t="shared" si="16"/>
        <v>77.081118680623973</v>
      </c>
      <c r="T56">
        <f t="shared" si="17"/>
        <v>-0.84969740378754033</v>
      </c>
      <c r="U56">
        <f t="shared" si="18"/>
        <v>22.908165389575657</v>
      </c>
      <c r="V56">
        <f t="shared" si="19"/>
        <v>-4.8295407180886052</v>
      </c>
      <c r="W56">
        <f t="shared" si="20"/>
        <v>76.844348637689734</v>
      </c>
      <c r="X56">
        <f t="shared" si="21"/>
        <v>-4.1309078835498942</v>
      </c>
      <c r="Y56">
        <f t="shared" si="22"/>
        <v>65.08387869064147</v>
      </c>
      <c r="Z56" s="33">
        <f t="shared" si="23"/>
        <v>-4.8749003388754391</v>
      </c>
      <c r="AA56">
        <f t="shared" si="6"/>
        <v>100.0885726014008</v>
      </c>
      <c r="AC56">
        <f>(1000/200)^(1/50)</f>
        <v>1.032712419896443</v>
      </c>
      <c r="BA56">
        <v>2004</v>
      </c>
      <c r="BB56">
        <v>0.80126213690000003</v>
      </c>
      <c r="BC56">
        <f t="shared" si="32"/>
        <v>0.56893223407666682</v>
      </c>
    </row>
    <row r="57" spans="1:55" x14ac:dyDescent="0.35">
      <c r="A57">
        <f>Table1!A50</f>
        <v>0</v>
      </c>
      <c r="B57">
        <f>ROUND(Table1!C50,1)</f>
        <v>9.3000000000000007</v>
      </c>
      <c r="C57">
        <f>Table1!E50</f>
        <v>-4.8593007850505128</v>
      </c>
      <c r="D57">
        <v>0</v>
      </c>
      <c r="E57">
        <v>2015</v>
      </c>
      <c r="F57" s="1">
        <f t="shared" si="7"/>
        <v>10.1</v>
      </c>
      <c r="G57" s="5">
        <f>H$56*F57+H$57*F57*F57</f>
        <v>-15.548818380830781</v>
      </c>
      <c r="H57" s="5">
        <f>(C59-C56*B59/B56)/B59/(B59-B56)</f>
        <v>-0.48265483658601721</v>
      </c>
      <c r="J57">
        <f t="shared" si="8"/>
        <v>-12.679288397838652</v>
      </c>
      <c r="K57">
        <f t="shared" si="9"/>
        <v>0</v>
      </c>
      <c r="L57">
        <f t="shared" si="10"/>
        <v>-9.0330298616101548</v>
      </c>
      <c r="M57">
        <f t="shared" si="9"/>
        <v>0</v>
      </c>
      <c r="N57">
        <f t="shared" si="11"/>
        <v>-17.709702323439458</v>
      </c>
      <c r="O57">
        <f t="shared" si="12"/>
        <v>0</v>
      </c>
      <c r="P57">
        <f t="shared" si="13"/>
        <v>-11.813676890308372</v>
      </c>
      <c r="Q57">
        <f t="shared" si="14"/>
        <v>0</v>
      </c>
      <c r="R57" s="24">
        <f t="shared" si="15"/>
        <v>-13.57300628103075</v>
      </c>
      <c r="S57">
        <f t="shared" si="16"/>
        <v>0</v>
      </c>
      <c r="T57">
        <f t="shared" si="17"/>
        <v>-93.841833496037367</v>
      </c>
      <c r="U57">
        <f t="shared" si="18"/>
        <v>0</v>
      </c>
      <c r="V57">
        <f t="shared" si="19"/>
        <v>-9.0330298616101672</v>
      </c>
      <c r="W57">
        <f t="shared" si="20"/>
        <v>0</v>
      </c>
      <c r="X57">
        <f t="shared" si="21"/>
        <v>-26.652328515954959</v>
      </c>
      <c r="Y57">
        <f t="shared" si="22"/>
        <v>0</v>
      </c>
      <c r="Z57" s="33">
        <f t="shared" si="23"/>
        <v>-13.437808433238484</v>
      </c>
      <c r="AA57">
        <f t="shared" si="6"/>
        <v>0</v>
      </c>
      <c r="BA57">
        <v>2005</v>
      </c>
      <c r="BB57">
        <v>0.94075396690000002</v>
      </c>
      <c r="BC57">
        <f t="shared" si="32"/>
        <v>0.59285279374333344</v>
      </c>
    </row>
    <row r="58" spans="1:55" x14ac:dyDescent="0.35">
      <c r="A58">
        <f>Table1!A51</f>
        <v>0</v>
      </c>
      <c r="B58">
        <f>ROUND(Table1!C51,1)</f>
        <v>13.6</v>
      </c>
      <c r="C58">
        <f>Table1!E51</f>
        <v>-24.061208104792932</v>
      </c>
      <c r="D58">
        <v>0</v>
      </c>
      <c r="E58">
        <v>2015</v>
      </c>
      <c r="F58" s="1">
        <f t="shared" si="7"/>
        <v>14.4</v>
      </c>
      <c r="G58" s="5">
        <f>H$56*F58+H$57*F58*F58</f>
        <v>-52.054599826353034</v>
      </c>
      <c r="H58" s="5"/>
      <c r="J58">
        <f t="shared" si="8"/>
        <v>-22.231508572127666</v>
      </c>
      <c r="K58">
        <f t="shared" si="9"/>
        <v>0</v>
      </c>
      <c r="L58">
        <f t="shared" si="10"/>
        <v>-39.353368813295042</v>
      </c>
      <c r="M58">
        <f t="shared" si="9"/>
        <v>0</v>
      </c>
      <c r="N58">
        <f t="shared" si="11"/>
        <v>-35.99925373775519</v>
      </c>
      <c r="O58">
        <f t="shared" si="12"/>
        <v>0</v>
      </c>
      <c r="P58">
        <f t="shared" si="13"/>
        <v>43.034906075894177</v>
      </c>
      <c r="Q58">
        <f t="shared" si="14"/>
        <v>0</v>
      </c>
      <c r="R58" s="24">
        <f t="shared" si="15"/>
        <v>-26.197610975427455</v>
      </c>
      <c r="S58">
        <f t="shared" si="16"/>
        <v>0</v>
      </c>
      <c r="T58">
        <f t="shared" si="17"/>
        <v>-6916.4040368705873</v>
      </c>
      <c r="U58">
        <f t="shared" si="18"/>
        <v>0</v>
      </c>
      <c r="V58">
        <f t="shared" si="19"/>
        <v>-12.878775248236279</v>
      </c>
      <c r="W58">
        <f t="shared" si="20"/>
        <v>0</v>
      </c>
      <c r="X58">
        <f t="shared" si="21"/>
        <v>-144.91229455085357</v>
      </c>
      <c r="Y58">
        <f t="shared" si="22"/>
        <v>0</v>
      </c>
      <c r="Z58" s="33">
        <f t="shared" si="23"/>
        <v>-31.05564566700879</v>
      </c>
      <c r="AA58">
        <f t="shared" si="6"/>
        <v>0</v>
      </c>
      <c r="BA58">
        <v>2006</v>
      </c>
      <c r="BB58">
        <v>0.90644411690000004</v>
      </c>
      <c r="BC58">
        <f t="shared" si="32"/>
        <v>0.61913327241000016</v>
      </c>
    </row>
    <row r="59" spans="1:55" x14ac:dyDescent="0.35">
      <c r="A59">
        <f>Table1!A52</f>
        <v>0</v>
      </c>
      <c r="B59">
        <f>ROUND(Table1!C52,1)</f>
        <v>16.7</v>
      </c>
      <c r="C59">
        <f>Table1!E52</f>
        <v>-78.907648460775576</v>
      </c>
      <c r="D59">
        <v>0</v>
      </c>
      <c r="E59">
        <v>2015</v>
      </c>
      <c r="F59" s="1">
        <f t="shared" si="7"/>
        <v>17.5</v>
      </c>
      <c r="G59" s="5">
        <f>H$56*F59+H$57*F59*F59</f>
        <v>-89.444823284873266</v>
      </c>
      <c r="H59" s="5"/>
      <c r="J59">
        <f t="shared" si="8"/>
        <v>-30.656998395442891</v>
      </c>
      <c r="K59">
        <f t="shared" si="9"/>
        <v>0</v>
      </c>
      <c r="L59">
        <f t="shared" si="10"/>
        <v>-94.618321734947585</v>
      </c>
      <c r="M59">
        <f t="shared" si="9"/>
        <v>0</v>
      </c>
      <c r="N59">
        <f t="shared" si="11"/>
        <v>-53.167300623010831</v>
      </c>
      <c r="O59">
        <f t="shared" si="12"/>
        <v>0</v>
      </c>
      <c r="P59">
        <f t="shared" si="13"/>
        <v>260.45002935290501</v>
      </c>
      <c r="Q59">
        <f t="shared" si="14"/>
        <v>0</v>
      </c>
      <c r="R59" s="24">
        <f t="shared" si="15"/>
        <v>-38.048082339726363</v>
      </c>
      <c r="S59">
        <f t="shared" si="16"/>
        <v>0</v>
      </c>
      <c r="T59">
        <f t="shared" si="17"/>
        <v>-153530.08157427135</v>
      </c>
      <c r="U59">
        <f t="shared" si="18"/>
        <v>0</v>
      </c>
      <c r="V59">
        <f t="shared" si="19"/>
        <v>-15.651289364176034</v>
      </c>
      <c r="W59">
        <f t="shared" si="20"/>
        <v>0</v>
      </c>
      <c r="X59">
        <f t="shared" si="21"/>
        <v>-491.08205755849741</v>
      </c>
      <c r="Y59">
        <f t="shared" si="22"/>
        <v>0</v>
      </c>
      <c r="Z59" s="33">
        <f t="shared" si="23"/>
        <v>-73.032463907561521</v>
      </c>
      <c r="AA59">
        <f t="shared" si="6"/>
        <v>0</v>
      </c>
      <c r="BA59">
        <v>2007</v>
      </c>
      <c r="BB59">
        <v>0.9255927169</v>
      </c>
      <c r="BC59">
        <f t="shared" si="32"/>
        <v>0.63542036507666677</v>
      </c>
    </row>
    <row r="60" spans="1:55" x14ac:dyDescent="0.35">
      <c r="A60" t="str">
        <f>Table1!A53</f>
        <v>Cruz and Rossi-Hansberg 2021</v>
      </c>
      <c r="B60">
        <f>ROUND(Table1!C53,1)</f>
        <v>7.2</v>
      </c>
      <c r="C60">
        <f>Table1!E53</f>
        <v>-5</v>
      </c>
      <c r="D60">
        <v>1</v>
      </c>
      <c r="E60">
        <v>2021</v>
      </c>
      <c r="F60" s="1">
        <f t="shared" si="7"/>
        <v>8.1</v>
      </c>
      <c r="G60" s="5">
        <f>C60*LOOKUP(F60,graph!A$3:A$203,graph!B$3:B$203)/LOOKUP(B60,graph!A$3:A$203,graph!B$3:B$203)</f>
        <v>-6.1568811468589448</v>
      </c>
      <c r="H60" s="5" t="s">
        <v>1114</v>
      </c>
      <c r="J60">
        <f t="shared" si="8"/>
        <v>-9.0817078238753375</v>
      </c>
      <c r="K60">
        <f t="shared" si="9"/>
        <v>8.5546110905867536</v>
      </c>
      <c r="L60">
        <f t="shared" si="10"/>
        <v>-7.2443110771328962</v>
      </c>
      <c r="M60">
        <f t="shared" si="9"/>
        <v>1.1825038532556109</v>
      </c>
      <c r="N60">
        <f t="shared" si="11"/>
        <v>-11.390388877961602</v>
      </c>
      <c r="O60">
        <f t="shared" si="12"/>
        <v>27.389603171511279</v>
      </c>
      <c r="P60">
        <f t="shared" si="13"/>
        <v>-10.496610090372872</v>
      </c>
      <c r="Q60">
        <f t="shared" si="14"/>
        <v>18.833247303172509</v>
      </c>
      <c r="R60" s="24">
        <f t="shared" si="15"/>
        <v>-9.2110166191793983</v>
      </c>
      <c r="S60">
        <f t="shared" si="16"/>
        <v>9.3277434832860795</v>
      </c>
      <c r="T60">
        <f t="shared" si="17"/>
        <v>-12.696777712828956</v>
      </c>
      <c r="U60">
        <f t="shared" si="18"/>
        <v>42.770247093586342</v>
      </c>
      <c r="V60">
        <f t="shared" si="19"/>
        <v>-7.2443110771329069</v>
      </c>
      <c r="W60">
        <f t="shared" si="20"/>
        <v>1.182503853255634</v>
      </c>
      <c r="X60">
        <f t="shared" si="21"/>
        <v>-12.111157650165154</v>
      </c>
      <c r="Y60">
        <f t="shared" si="22"/>
        <v>35.45340867782442</v>
      </c>
      <c r="Z60" s="33">
        <f t="shared" si="23"/>
        <v>-9.1759239238286732</v>
      </c>
      <c r="AA60">
        <f t="shared" si="6"/>
        <v>17.438340617604663</v>
      </c>
      <c r="BA60">
        <v>2008</v>
      </c>
      <c r="BB60">
        <v>0.7995412569</v>
      </c>
      <c r="BC60">
        <f t="shared" si="32"/>
        <v>0.65076683400000002</v>
      </c>
    </row>
    <row r="61" spans="1:55" x14ac:dyDescent="0.35">
      <c r="A61" t="str">
        <f>Table1!A54</f>
        <v>Kalkuhl and Wenz 2020</v>
      </c>
      <c r="B61">
        <f>ROUND(Table1!C54,1)</f>
        <v>1</v>
      </c>
      <c r="C61">
        <f>Table1!E54</f>
        <v>-2.2999999999999998</v>
      </c>
      <c r="D61">
        <v>1</v>
      </c>
      <c r="E61">
        <v>2020</v>
      </c>
      <c r="F61" s="1">
        <f t="shared" si="7"/>
        <v>1.9</v>
      </c>
      <c r="G61" s="5">
        <f>C61*F61/B61</f>
        <v>-4.3699999999999992</v>
      </c>
      <c r="H61" s="5" t="s">
        <v>1114</v>
      </c>
      <c r="J61">
        <f t="shared" si="8"/>
        <v>-1.3399770162841136</v>
      </c>
      <c r="K61">
        <f t="shared" si="9"/>
        <v>9.1810392818465161</v>
      </c>
      <c r="L61">
        <f t="shared" si="10"/>
        <v>-1.6992828452533955</v>
      </c>
      <c r="M61">
        <f t="shared" si="9"/>
        <v>7.1327301206577944</v>
      </c>
      <c r="N61">
        <f t="shared" si="11"/>
        <v>-0.62672311918063373</v>
      </c>
      <c r="O61">
        <f t="shared" si="12"/>
        <v>14.01212180647676</v>
      </c>
      <c r="P61">
        <f t="shared" si="13"/>
        <v>-0.65666202308423682</v>
      </c>
      <c r="Q61">
        <f t="shared" si="14"/>
        <v>13.788878930804849</v>
      </c>
      <c r="R61" s="24">
        <f t="shared" si="15"/>
        <v>-1.781254008333687</v>
      </c>
      <c r="S61">
        <f t="shared" si="16"/>
        <v>6.701605809368397</v>
      </c>
      <c r="T61">
        <f t="shared" si="17"/>
        <v>-2.1919914261202513E-2</v>
      </c>
      <c r="U61">
        <f t="shared" si="18"/>
        <v>18.905800431998305</v>
      </c>
      <c r="V61">
        <f t="shared" si="19"/>
        <v>-1.6992828452533979</v>
      </c>
      <c r="W61">
        <f t="shared" si="20"/>
        <v>7.1327301206577802</v>
      </c>
      <c r="X61">
        <f t="shared" si="21"/>
        <v>-0.81976912718059258</v>
      </c>
      <c r="Y61">
        <f t="shared" si="22"/>
        <v>12.604139250320046</v>
      </c>
      <c r="Z61" s="33">
        <f t="shared" si="23"/>
        <v>-1.3852210615567537</v>
      </c>
      <c r="AA61">
        <f t="shared" si="6"/>
        <v>0.83682050621935222</v>
      </c>
      <c r="BA61">
        <v>2009</v>
      </c>
      <c r="BB61">
        <v>0.93067311689999999</v>
      </c>
      <c r="BC61">
        <f t="shared" si="32"/>
        <v>0.66763095300000008</v>
      </c>
    </row>
    <row r="62" spans="1:55" x14ac:dyDescent="0.35">
      <c r="A62" t="str">
        <f>Table1!A55</f>
        <v>Newell, Prest and Sexton</v>
      </c>
      <c r="B62">
        <f>ROUND(Table1!C55,1)</f>
        <v>4.3</v>
      </c>
      <c r="C62">
        <f>Table1!E55</f>
        <v>5.63</v>
      </c>
      <c r="D62">
        <f>1/9</f>
        <v>0.1111111111111111</v>
      </c>
      <c r="E62">
        <v>2021</v>
      </c>
      <c r="F62" s="1">
        <f t="shared" si="7"/>
        <v>5.2</v>
      </c>
      <c r="G62" s="5">
        <f>C62*LOOKUP(F62,graph!A$3:A$203,graph!B$3:B$203)/LOOKUP(B62,graph!A$3:A$203,graph!B$3:B$203)</f>
        <v>7.9091935632962143</v>
      </c>
      <c r="H62" s="5" t="s">
        <v>1114</v>
      </c>
      <c r="J62">
        <f t="shared" si="8"/>
        <v>-4.8185406786424307</v>
      </c>
      <c r="K62">
        <f t="shared" si="9"/>
        <v>17.999468770379721</v>
      </c>
      <c r="L62">
        <f t="shared" si="10"/>
        <v>-4.650668839640872</v>
      </c>
      <c r="M62">
        <f t="shared" si="9"/>
        <v>17.527793731190283</v>
      </c>
      <c r="N62">
        <f t="shared" si="11"/>
        <v>-4.6943471309264098</v>
      </c>
      <c r="O62">
        <f t="shared" si="12"/>
        <v>17.649915336769517</v>
      </c>
      <c r="P62">
        <f t="shared" si="13"/>
        <v>-4.8543551689834974</v>
      </c>
      <c r="Q62">
        <f t="shared" si="14"/>
        <v>18.100908471253227</v>
      </c>
      <c r="R62" s="24">
        <f t="shared" si="15"/>
        <v>-4.5889852659484456</v>
      </c>
      <c r="S62">
        <f t="shared" si="16"/>
        <v>17.35605267197549</v>
      </c>
      <c r="T62">
        <f t="shared" si="17"/>
        <v>-0.69497457712106991</v>
      </c>
      <c r="U62">
        <f t="shared" si="18"/>
        <v>8.2257454876190916</v>
      </c>
      <c r="V62">
        <f t="shared" si="19"/>
        <v>-4.6506688396408791</v>
      </c>
      <c r="W62">
        <f t="shared" si="20"/>
        <v>17.5277937311903</v>
      </c>
      <c r="X62">
        <f t="shared" si="21"/>
        <v>-3.8087113403199471</v>
      </c>
      <c r="Y62">
        <f t="shared" si="22"/>
        <v>15.2565883700213</v>
      </c>
      <c r="Z62" s="33">
        <f t="shared" si="23"/>
        <v>-4.6159189318680411</v>
      </c>
      <c r="AA62">
        <f t="shared" si="6"/>
        <v>11.664317195379102</v>
      </c>
      <c r="BA62">
        <v>2010</v>
      </c>
      <c r="BB62">
        <v>1.0142628769000002</v>
      </c>
      <c r="BC62">
        <f t="shared" si="32"/>
        <v>0.68377426600000013</v>
      </c>
    </row>
    <row r="63" spans="1:55" x14ac:dyDescent="0.35">
      <c r="A63">
        <f>Table1!A56</f>
        <v>0</v>
      </c>
      <c r="B63">
        <f>ROUND(Table1!C56,1)</f>
        <v>4.3</v>
      </c>
      <c r="C63">
        <f>Table1!E56</f>
        <v>3.61</v>
      </c>
      <c r="D63">
        <f t="shared" ref="D63:D70" si="33">1/9</f>
        <v>0.1111111111111111</v>
      </c>
      <c r="E63">
        <v>2021</v>
      </c>
      <c r="F63" s="1">
        <f t="shared" si="7"/>
        <v>5.2</v>
      </c>
      <c r="G63" s="5">
        <f>C63*LOOKUP(F63,graph!A$3:A$203,graph!B$3:B$203)/LOOKUP(B63,graph!A$3:A$203,graph!B$3:B$203)</f>
        <v>5.0714367253107158</v>
      </c>
      <c r="H63" s="5" t="s">
        <v>1114</v>
      </c>
      <c r="J63">
        <f t="shared" si="8"/>
        <v>-4.8185406786424307</v>
      </c>
      <c r="K63">
        <f t="shared" si="9"/>
        <v>10.867961450078202</v>
      </c>
      <c r="L63">
        <f t="shared" si="10"/>
        <v>-4.650668839640872</v>
      </c>
      <c r="M63">
        <f t="shared" si="9"/>
        <v>10.502148512895845</v>
      </c>
      <c r="N63">
        <f t="shared" si="11"/>
        <v>-4.6943471309264098</v>
      </c>
      <c r="O63">
        <f t="shared" si="12"/>
        <v>10.596726036304627</v>
      </c>
      <c r="P63">
        <f t="shared" si="13"/>
        <v>-4.8543551689834974</v>
      </c>
      <c r="Q63">
        <f t="shared" si="14"/>
        <v>10.946816080981858</v>
      </c>
      <c r="R63" s="24">
        <f t="shared" si="15"/>
        <v>-4.5889852659484456</v>
      </c>
      <c r="S63">
        <f t="shared" si="16"/>
        <v>10.369305894355957</v>
      </c>
      <c r="T63">
        <f t="shared" si="17"/>
        <v>-0.69497457712106991</v>
      </c>
      <c r="U63">
        <f t="shared" si="18"/>
        <v>3.6946110343125604</v>
      </c>
      <c r="V63">
        <f t="shared" si="19"/>
        <v>-4.6506688396408791</v>
      </c>
      <c r="W63">
        <f t="shared" si="20"/>
        <v>10.502148512895859</v>
      </c>
      <c r="X63">
        <f t="shared" si="21"/>
        <v>-3.8087113403199471</v>
      </c>
      <c r="Y63">
        <f t="shared" si="22"/>
        <v>8.7618921852804466</v>
      </c>
      <c r="Z63" s="33">
        <f t="shared" si="23"/>
        <v>-4.6159189318680411</v>
      </c>
      <c r="AA63">
        <f t="shared" si="6"/>
        <v>7.5184158081850043</v>
      </c>
      <c r="BA63">
        <v>2011</v>
      </c>
      <c r="BB63">
        <v>0.8715891469</v>
      </c>
      <c r="BC63">
        <f t="shared" si="32"/>
        <v>0.69336378899999995</v>
      </c>
    </row>
    <row r="64" spans="1:55" x14ac:dyDescent="0.35">
      <c r="A64">
        <f>Table1!A57</f>
        <v>0</v>
      </c>
      <c r="B64">
        <f>ROUND(Table1!C57,1)</f>
        <v>4.3</v>
      </c>
      <c r="C64">
        <f>Table1!E57</f>
        <v>-1.71</v>
      </c>
      <c r="D64">
        <f t="shared" si="33"/>
        <v>0.1111111111111111</v>
      </c>
      <c r="E64">
        <v>2021</v>
      </c>
      <c r="F64" s="1">
        <f t="shared" si="7"/>
        <v>5.2</v>
      </c>
      <c r="G64" s="5">
        <f>C64*LOOKUP(F64,graph!A$3:A$203,graph!B$3:B$203)/LOOKUP(B64,graph!A$3:A$203,graph!B$3:B$203)</f>
        <v>-2.4022595014629706</v>
      </c>
      <c r="H64" s="5" t="s">
        <v>1114</v>
      </c>
      <c r="J64">
        <f t="shared" si="8"/>
        <v>-4.8185406786424307</v>
      </c>
      <c r="K64">
        <f t="shared" si="9"/>
        <v>0.64871274746575081</v>
      </c>
      <c r="L64">
        <f t="shared" si="10"/>
        <v>-4.650668839640872</v>
      </c>
      <c r="M64">
        <f t="shared" si="9"/>
        <v>0.56170495022284317</v>
      </c>
      <c r="N64">
        <f t="shared" si="11"/>
        <v>-4.6943471309264098</v>
      </c>
      <c r="O64">
        <f t="shared" si="12"/>
        <v>0.58374063345992522</v>
      </c>
      <c r="P64">
        <f t="shared" si="13"/>
        <v>-4.8543551689834974</v>
      </c>
      <c r="Q64">
        <f t="shared" si="14"/>
        <v>0.66808590696365966</v>
      </c>
      <c r="R64" s="24">
        <f t="shared" si="15"/>
        <v>-4.5889852659484456</v>
      </c>
      <c r="S64">
        <f t="shared" si="16"/>
        <v>0.5313077298960649</v>
      </c>
      <c r="T64">
        <f t="shared" si="17"/>
        <v>-0.69497457712106991</v>
      </c>
      <c r="U64">
        <f t="shared" si="18"/>
        <v>0.32386909032056999</v>
      </c>
      <c r="V64">
        <f t="shared" si="19"/>
        <v>-4.6506688396408791</v>
      </c>
      <c r="W64">
        <f t="shared" si="20"/>
        <v>0.56170495022284672</v>
      </c>
      <c r="X64">
        <f t="shared" si="21"/>
        <v>-3.8087113403199471</v>
      </c>
      <c r="Y64">
        <f t="shared" si="22"/>
        <v>0.21978964166935228</v>
      </c>
      <c r="Z64" s="33">
        <f t="shared" si="23"/>
        <v>-4.6159189318680411</v>
      </c>
      <c r="AA64">
        <f t="shared" si="6"/>
        <v>0.93826275984323293</v>
      </c>
      <c r="BA64">
        <v>2012</v>
      </c>
      <c r="BB64">
        <v>0.91149851690000006</v>
      </c>
      <c r="BC64">
        <f t="shared" si="32"/>
        <v>0.71147524806666673</v>
      </c>
    </row>
    <row r="65" spans="1:55" x14ac:dyDescent="0.35">
      <c r="A65">
        <f>Table1!A58</f>
        <v>0</v>
      </c>
      <c r="B65">
        <f>ROUND(Table1!C58,1)</f>
        <v>4.3</v>
      </c>
      <c r="C65">
        <f>Table1!E58</f>
        <v>-1.63</v>
      </c>
      <c r="D65">
        <f t="shared" si="33"/>
        <v>0.1111111111111111</v>
      </c>
      <c r="E65">
        <v>2021</v>
      </c>
      <c r="F65" s="1">
        <f t="shared" si="7"/>
        <v>5.2</v>
      </c>
      <c r="G65" s="5">
        <f>C65*LOOKUP(F65,graph!A$3:A$203,graph!B$3:B$203)/LOOKUP(B65,graph!A$3:A$203,graph!B$3:B$203)</f>
        <v>-2.2898730920378023</v>
      </c>
      <c r="H65" s="5" t="s">
        <v>1114</v>
      </c>
      <c r="J65">
        <f t="shared" si="8"/>
        <v>-4.8185406786424307</v>
      </c>
      <c r="K65">
        <f t="shared" si="9"/>
        <v>0.71046219594943072</v>
      </c>
      <c r="L65">
        <f t="shared" si="10"/>
        <v>-4.650668839640872</v>
      </c>
      <c r="M65">
        <f t="shared" si="9"/>
        <v>0.6192618402111929</v>
      </c>
      <c r="N65">
        <f t="shared" si="11"/>
        <v>-4.6943471309264098</v>
      </c>
      <c r="O65">
        <f t="shared" si="12"/>
        <v>0.64238837818769912</v>
      </c>
      <c r="P65">
        <f t="shared" si="13"/>
        <v>-4.8543551689834974</v>
      </c>
      <c r="Q65">
        <f t="shared" si="14"/>
        <v>0.73072981366396728</v>
      </c>
      <c r="R65" s="24">
        <f t="shared" si="15"/>
        <v>-4.5889852659484456</v>
      </c>
      <c r="S65">
        <f t="shared" si="16"/>
        <v>0.58732408758045818</v>
      </c>
      <c r="T65">
        <f t="shared" si="17"/>
        <v>-0.69497457712106991</v>
      </c>
      <c r="U65">
        <f t="shared" si="18"/>
        <v>0.28263347476484429</v>
      </c>
      <c r="V65">
        <f t="shared" si="19"/>
        <v>-4.6506688396408791</v>
      </c>
      <c r="W65">
        <f t="shared" si="20"/>
        <v>0.61926184021119657</v>
      </c>
      <c r="X65">
        <f t="shared" si="21"/>
        <v>-3.8087113403199471</v>
      </c>
      <c r="Y65">
        <f t="shared" si="22"/>
        <v>0.25631884716053044</v>
      </c>
      <c r="Z65" s="33">
        <f t="shared" si="23"/>
        <v>-4.6159189318680411</v>
      </c>
      <c r="AA65">
        <f t="shared" si="6"/>
        <v>0.99063465196533151</v>
      </c>
      <c r="BA65">
        <v>2013</v>
      </c>
      <c r="BB65">
        <v>0.95746681690000002</v>
      </c>
      <c r="BC65">
        <f t="shared" si="32"/>
        <v>0.7247998077333333</v>
      </c>
    </row>
    <row r="66" spans="1:55" x14ac:dyDescent="0.35">
      <c r="A66">
        <f>Table1!A59</f>
        <v>0</v>
      </c>
      <c r="B66">
        <f>ROUND(Table1!C59,1)</f>
        <v>4.3</v>
      </c>
      <c r="C66">
        <f>Table1!E59</f>
        <v>-2.17</v>
      </c>
      <c r="D66">
        <f t="shared" si="33"/>
        <v>0.1111111111111111</v>
      </c>
      <c r="E66">
        <v>2021</v>
      </c>
      <c r="F66" s="1">
        <f t="shared" si="7"/>
        <v>5.2</v>
      </c>
      <c r="G66" s="5">
        <f>C66*LOOKUP(F66,graph!A$3:A$203,graph!B$3:B$203)/LOOKUP(B66,graph!A$3:A$203,graph!B$3:B$203)</f>
        <v>-3.048481355657688</v>
      </c>
      <c r="H66" s="5" t="s">
        <v>1114</v>
      </c>
      <c r="J66">
        <f t="shared" si="8"/>
        <v>-4.8185406786424307</v>
      </c>
      <c r="K66">
        <f t="shared" si="9"/>
        <v>0.34812333409835622</v>
      </c>
      <c r="L66">
        <f t="shared" si="10"/>
        <v>-4.650668839640872</v>
      </c>
      <c r="M66">
        <f t="shared" si="9"/>
        <v>0.28522274820359611</v>
      </c>
      <c r="N66">
        <f t="shared" si="11"/>
        <v>-4.6943471309264098</v>
      </c>
      <c r="O66">
        <f t="shared" si="12"/>
        <v>0.30098601668899005</v>
      </c>
      <c r="P66">
        <f t="shared" si="13"/>
        <v>-4.8543551689834974</v>
      </c>
      <c r="Q66">
        <f t="shared" si="14"/>
        <v>0.36235335885065562</v>
      </c>
      <c r="R66" s="24">
        <f t="shared" si="15"/>
        <v>-4.5889852659484456</v>
      </c>
      <c r="S66">
        <f t="shared" si="16"/>
        <v>0.26368358862456825</v>
      </c>
      <c r="T66">
        <f t="shared" si="17"/>
        <v>-0.69497457712106991</v>
      </c>
      <c r="U66">
        <f t="shared" si="18"/>
        <v>0.61544379517975667</v>
      </c>
      <c r="V66">
        <f t="shared" si="19"/>
        <v>-4.6506688396408791</v>
      </c>
      <c r="W66">
        <f t="shared" si="20"/>
        <v>0.28522274820359872</v>
      </c>
      <c r="X66">
        <f t="shared" si="21"/>
        <v>-3.8087113403199471</v>
      </c>
      <c r="Y66">
        <f t="shared" si="22"/>
        <v>6.4216625508842079E-2</v>
      </c>
      <c r="Z66" s="33">
        <f t="shared" si="23"/>
        <v>-4.6159189318680411</v>
      </c>
      <c r="AA66">
        <f t="shared" si="6"/>
        <v>0.66472438014116653</v>
      </c>
      <c r="BA66">
        <v>2014</v>
      </c>
      <c r="BB66">
        <v>1.0067630669000001</v>
      </c>
      <c r="BC66">
        <f t="shared" si="32"/>
        <v>0.74562870573333317</v>
      </c>
    </row>
    <row r="67" spans="1:55" x14ac:dyDescent="0.35">
      <c r="A67">
        <f>Table1!A60</f>
        <v>0</v>
      </c>
      <c r="B67">
        <f>ROUND(Table1!C60,1)</f>
        <v>4.3</v>
      </c>
      <c r="C67">
        <f>Table1!E60</f>
        <v>-0.64</v>
      </c>
      <c r="D67">
        <f t="shared" si="33"/>
        <v>0.1111111111111111</v>
      </c>
      <c r="E67">
        <v>2021</v>
      </c>
      <c r="F67" s="1">
        <f t="shared" si="7"/>
        <v>5.2</v>
      </c>
      <c r="G67" s="5">
        <f>C67*LOOKUP(F67,graph!A$3:A$203,graph!B$3:B$203)/LOOKUP(B67,graph!A$3:A$203,graph!B$3:B$203)</f>
        <v>-0.8990912754013457</v>
      </c>
      <c r="H67" s="5" t="s">
        <v>1114</v>
      </c>
      <c r="J67">
        <f t="shared" si="8"/>
        <v>-4.8185406786424307</v>
      </c>
      <c r="K67">
        <f t="shared" si="9"/>
        <v>1.706898180507433</v>
      </c>
      <c r="L67">
        <f t="shared" si="10"/>
        <v>-4.650668839640872</v>
      </c>
      <c r="M67">
        <f t="shared" si="9"/>
        <v>1.5638149133894863</v>
      </c>
      <c r="N67">
        <f t="shared" si="11"/>
        <v>-4.6943471309264098</v>
      </c>
      <c r="O67">
        <f t="shared" si="12"/>
        <v>1.600440778766365</v>
      </c>
      <c r="P67">
        <f t="shared" si="13"/>
        <v>-4.8543551689834974</v>
      </c>
      <c r="Q67">
        <f t="shared" si="14"/>
        <v>1.738234718652738</v>
      </c>
      <c r="R67" s="24">
        <f t="shared" si="15"/>
        <v>-4.5889852659484456</v>
      </c>
      <c r="S67">
        <f t="shared" si="16"/>
        <v>1.5128130734972891</v>
      </c>
      <c r="T67">
        <f t="shared" si="17"/>
        <v>-0.69497457712106991</v>
      </c>
      <c r="U67">
        <f t="shared" si="18"/>
        <v>4.6292918352045711E-3</v>
      </c>
      <c r="V67">
        <f t="shared" si="19"/>
        <v>-4.6506688396408791</v>
      </c>
      <c r="W67">
        <f t="shared" si="20"/>
        <v>1.5638149133894923</v>
      </c>
      <c r="X67">
        <f t="shared" si="21"/>
        <v>-3.8087113403199471</v>
      </c>
      <c r="Y67">
        <f t="shared" si="22"/>
        <v>0.94065432468632515</v>
      </c>
      <c r="Z67" s="33">
        <f t="shared" si="23"/>
        <v>-4.6159189318680411</v>
      </c>
      <c r="AA67">
        <f t="shared" si="6"/>
        <v>1.7564368169763005</v>
      </c>
      <c r="BA67">
        <v>2015</v>
      </c>
      <c r="BB67">
        <v>1.1590057868999999</v>
      </c>
      <c r="BC67">
        <f t="shared" si="32"/>
        <v>0.77147485873333332</v>
      </c>
    </row>
    <row r="68" spans="1:55" x14ac:dyDescent="0.35">
      <c r="A68">
        <f>Table1!A61</f>
        <v>0</v>
      </c>
      <c r="B68">
        <f>ROUND(Table1!C61,1)</f>
        <v>4.3</v>
      </c>
      <c r="C68">
        <f>Table1!E61</f>
        <v>-1.82</v>
      </c>
      <c r="D68">
        <f t="shared" si="33"/>
        <v>0.1111111111111111</v>
      </c>
      <c r="E68">
        <v>2021</v>
      </c>
      <c r="F68" s="1">
        <f t="shared" si="7"/>
        <v>5.2</v>
      </c>
      <c r="G68" s="5">
        <f>C68*LOOKUP(F68,graph!A$3:A$203,graph!B$3:B$203)/LOOKUP(B68,graph!A$3:A$203,graph!B$3:B$203)</f>
        <v>-2.5567908144225773</v>
      </c>
      <c r="H68" s="5" t="s">
        <v>1114</v>
      </c>
      <c r="J68">
        <f t="shared" si="8"/>
        <v>-4.8185406786424307</v>
      </c>
      <c r="K68">
        <f t="shared" si="9"/>
        <v>0.56839027203316939</v>
      </c>
      <c r="L68">
        <f t="shared" si="10"/>
        <v>-4.650668839640872</v>
      </c>
      <c r="M68">
        <f t="shared" si="9"/>
        <v>0.48714724272134058</v>
      </c>
      <c r="N68">
        <f t="shared" si="11"/>
        <v>-4.6943471309264098</v>
      </c>
      <c r="O68">
        <f t="shared" si="12"/>
        <v>0.50768300069171468</v>
      </c>
      <c r="P68">
        <f t="shared" si="13"/>
        <v>-4.8543551689834974</v>
      </c>
      <c r="Q68">
        <f t="shared" si="14"/>
        <v>0.58653355148321518</v>
      </c>
      <c r="R68" s="24">
        <f t="shared" si="15"/>
        <v>-4.5889852659484456</v>
      </c>
      <c r="S68">
        <f t="shared" si="16"/>
        <v>0.45886825431250272</v>
      </c>
      <c r="T68">
        <f t="shared" si="17"/>
        <v>-0.69497457712106991</v>
      </c>
      <c r="U68">
        <f t="shared" si="18"/>
        <v>0.38515107794217146</v>
      </c>
      <c r="V68">
        <f t="shared" si="19"/>
        <v>-4.6506688396408791</v>
      </c>
      <c r="W68">
        <f t="shared" si="20"/>
        <v>0.48714724272134385</v>
      </c>
      <c r="X68">
        <f t="shared" si="21"/>
        <v>-3.8087113403199471</v>
      </c>
      <c r="Y68">
        <f t="shared" si="22"/>
        <v>0.17414500035146077</v>
      </c>
      <c r="Z68" s="33">
        <f t="shared" si="23"/>
        <v>-4.6159189318680411</v>
      </c>
      <c r="AA68">
        <f t="shared" si="6"/>
        <v>0.86857363039756952</v>
      </c>
      <c r="BA68">
        <v>2016</v>
      </c>
      <c r="BB68">
        <v>1.2668185469000002</v>
      </c>
      <c r="BC68">
        <f t="shared" si="32"/>
        <v>0.79938286406666659</v>
      </c>
    </row>
    <row r="69" spans="1:55" x14ac:dyDescent="0.35">
      <c r="A69">
        <f>Table1!A62</f>
        <v>0</v>
      </c>
      <c r="B69">
        <f>ROUND(Table1!C62,1)</f>
        <v>4.3</v>
      </c>
      <c r="C69">
        <f>Table1!E62</f>
        <v>-1.75</v>
      </c>
      <c r="D69">
        <f t="shared" si="33"/>
        <v>0.1111111111111111</v>
      </c>
      <c r="E69">
        <v>2021</v>
      </c>
      <c r="F69" s="1">
        <f t="shared" si="7"/>
        <v>5.2</v>
      </c>
      <c r="G69" s="5">
        <f>C69*LOOKUP(F69,graph!A$3:A$203,graph!B$3:B$203)/LOOKUP(B69,graph!A$3:A$203,graph!B$3:B$203)</f>
        <v>-2.4584527061755552</v>
      </c>
      <c r="H69" s="5" t="s">
        <v>1114</v>
      </c>
      <c r="J69">
        <f t="shared" si="8"/>
        <v>-4.8185406786424307</v>
      </c>
      <c r="K69">
        <f t="shared" si="9"/>
        <v>0.61889058197586744</v>
      </c>
      <c r="L69">
        <f t="shared" si="10"/>
        <v>-4.650668839640872</v>
      </c>
      <c r="M69">
        <f t="shared" si="9"/>
        <v>0.53397906398062478</v>
      </c>
      <c r="N69">
        <f t="shared" si="11"/>
        <v>-4.6943471309264098</v>
      </c>
      <c r="O69">
        <f t="shared" si="12"/>
        <v>0.55546931984799497</v>
      </c>
      <c r="P69">
        <f t="shared" si="13"/>
        <v>-4.8543551689834974</v>
      </c>
      <c r="Q69">
        <f t="shared" si="14"/>
        <v>0.63781651236546244</v>
      </c>
      <c r="R69" s="24">
        <f t="shared" si="15"/>
        <v>-4.5889852659484456</v>
      </c>
      <c r="S69">
        <f t="shared" si="16"/>
        <v>0.50435210980582501</v>
      </c>
      <c r="T69">
        <f t="shared" si="17"/>
        <v>-0.69497457712106991</v>
      </c>
      <c r="U69">
        <f t="shared" si="18"/>
        <v>0.34553945685038978</v>
      </c>
      <c r="V69">
        <f t="shared" si="19"/>
        <v>-4.6506688396408791</v>
      </c>
      <c r="W69">
        <f t="shared" si="20"/>
        <v>0.53397906398062833</v>
      </c>
      <c r="X69">
        <f t="shared" si="21"/>
        <v>-3.8087113403199471</v>
      </c>
      <c r="Y69">
        <f t="shared" si="22"/>
        <v>0.20257759767571981</v>
      </c>
      <c r="Z69" s="33">
        <f t="shared" si="23"/>
        <v>-4.6159189318680411</v>
      </c>
      <c r="AA69">
        <f t="shared" si="6"/>
        <v>0.91261014711551702</v>
      </c>
      <c r="BA69">
        <v>2017</v>
      </c>
      <c r="BB69">
        <v>1.1790656669000001</v>
      </c>
      <c r="BC69">
        <f t="shared" si="32"/>
        <v>0.81945445906666659</v>
      </c>
    </row>
    <row r="70" spans="1:55" x14ac:dyDescent="0.35">
      <c r="A70">
        <f>Table1!A63</f>
        <v>0</v>
      </c>
      <c r="B70">
        <f>ROUND(Table1!C63,1)</f>
        <v>4.3</v>
      </c>
      <c r="C70">
        <f>Table1!E63</f>
        <v>-2.16</v>
      </c>
      <c r="D70">
        <f t="shared" si="33"/>
        <v>0.1111111111111111</v>
      </c>
      <c r="E70">
        <v>2021</v>
      </c>
      <c r="F70" s="1">
        <f t="shared" si="7"/>
        <v>5.2</v>
      </c>
      <c r="G70" s="5">
        <f>C70*LOOKUP(F70,graph!A$3:A$203,graph!B$3:B$203)/LOOKUP(B70,graph!A$3:A$203,graph!B$3:B$203)</f>
        <v>-3.0344330544795421</v>
      </c>
      <c r="H70" s="5" t="s">
        <v>1114</v>
      </c>
      <c r="J70">
        <f t="shared" si="8"/>
        <v>-4.8185406786424307</v>
      </c>
      <c r="K70">
        <f t="shared" si="9"/>
        <v>0.35367111273290519</v>
      </c>
      <c r="L70">
        <f t="shared" si="10"/>
        <v>-4.650668839640872</v>
      </c>
      <c r="M70">
        <f t="shared" si="9"/>
        <v>0.29024645702622892</v>
      </c>
      <c r="N70">
        <f t="shared" si="11"/>
        <v>-4.6943471309264098</v>
      </c>
      <c r="O70">
        <f t="shared" si="12"/>
        <v>0.30614608235405077</v>
      </c>
      <c r="P70">
        <f t="shared" si="13"/>
        <v>-4.8543551689834974</v>
      </c>
      <c r="Q70">
        <f t="shared" si="14"/>
        <v>0.36801294476228302</v>
      </c>
      <c r="R70" s="24">
        <f t="shared" si="15"/>
        <v>-4.5889852659484456</v>
      </c>
      <c r="S70">
        <f t="shared" si="16"/>
        <v>0.26851473090920647</v>
      </c>
      <c r="T70">
        <f t="shared" si="17"/>
        <v>-0.69497457712106991</v>
      </c>
      <c r="U70">
        <f t="shared" si="18"/>
        <v>0.60811844080938016</v>
      </c>
      <c r="V70">
        <f t="shared" si="19"/>
        <v>-4.6506688396408791</v>
      </c>
      <c r="W70">
        <f t="shared" si="20"/>
        <v>0.29024645702623142</v>
      </c>
      <c r="X70">
        <f t="shared" si="21"/>
        <v>-3.8087113403199471</v>
      </c>
      <c r="Y70">
        <f t="shared" si="22"/>
        <v>6.6611873769328422E-2</v>
      </c>
      <c r="Z70" s="33">
        <f t="shared" si="23"/>
        <v>-4.6159189318680411</v>
      </c>
      <c r="AA70">
        <f t="shared" si="6"/>
        <v>0.67017086665642878</v>
      </c>
      <c r="BA70">
        <v>2018</v>
      </c>
      <c r="BB70">
        <v>1.0965454169000002</v>
      </c>
      <c r="BC70">
        <f t="shared" si="32"/>
        <v>0.83547120140000009</v>
      </c>
    </row>
    <row r="71" spans="1:55" x14ac:dyDescent="0.35">
      <c r="A71" t="str">
        <f>Table1!A64</f>
        <v>Schauer 1995</v>
      </c>
      <c r="B71">
        <f>ROUND(Table1!C64,1)</f>
        <v>2.5</v>
      </c>
      <c r="C71">
        <f>Table1!E64</f>
        <v>-5.22</v>
      </c>
      <c r="D71">
        <v>1</v>
      </c>
      <c r="E71">
        <v>1995</v>
      </c>
      <c r="F71" s="1">
        <f t="shared" si="7"/>
        <v>2.9</v>
      </c>
      <c r="G71" s="5">
        <f>C71*LOOKUP(F71,graph!A$3:A$203,graph!B$3:B$203)/LOOKUP(B71,graph!A$3:A$203,graph!B$3:B$203)</f>
        <v>-6.4703536951586926</v>
      </c>
      <c r="H71" s="5" t="s">
        <v>1114</v>
      </c>
      <c r="J71">
        <f t="shared" si="8"/>
        <v>-2.2397841360605444</v>
      </c>
      <c r="K71">
        <f t="shared" si="9"/>
        <v>17.897718794367901</v>
      </c>
      <c r="L71">
        <f t="shared" si="10"/>
        <v>-2.5936422374920247</v>
      </c>
      <c r="M71">
        <f t="shared" si="9"/>
        <v>15.028891726004021</v>
      </c>
      <c r="N71">
        <f t="shared" si="11"/>
        <v>-1.4600391779249668</v>
      </c>
      <c r="O71">
        <f t="shared" si="12"/>
        <v>25.103251561603017</v>
      </c>
      <c r="P71">
        <f t="shared" si="13"/>
        <v>-1.5288320246723281</v>
      </c>
      <c r="Q71">
        <f t="shared" si="14"/>
        <v>24.418636419886354</v>
      </c>
      <c r="R71" s="24">
        <f t="shared" si="15"/>
        <v>-2.3564614362701288</v>
      </c>
      <c r="S71">
        <f t="shared" si="16"/>
        <v>16.924109517743251</v>
      </c>
      <c r="T71">
        <f t="shared" si="17"/>
        <v>-6.620872016342122E-2</v>
      </c>
      <c r="U71">
        <f t="shared" si="18"/>
        <v>41.013072860757191</v>
      </c>
      <c r="V71">
        <f t="shared" si="19"/>
        <v>-2.5936422374920283</v>
      </c>
      <c r="W71">
        <f t="shared" si="20"/>
        <v>15.028891726003994</v>
      </c>
      <c r="X71">
        <f t="shared" si="21"/>
        <v>-1.4064607752293086</v>
      </c>
      <c r="Y71">
        <f t="shared" si="22"/>
        <v>25.643011504510945</v>
      </c>
      <c r="Z71" s="33">
        <f t="shared" si="23"/>
        <v>-2.1663612333762665</v>
      </c>
      <c r="AA71">
        <f t="shared" si="6"/>
        <v>9.3247097170273143</v>
      </c>
      <c r="BA71">
        <v>2019</v>
      </c>
      <c r="BB71">
        <v>1.2249640169</v>
      </c>
      <c r="BC71">
        <f t="shared" si="32"/>
        <v>0.85919861240000006</v>
      </c>
    </row>
    <row r="72" spans="1:55" x14ac:dyDescent="0.35">
      <c r="A72" t="str">
        <f>Table1!A65</f>
        <v>Horowitz 2009</v>
      </c>
      <c r="B72">
        <f>ROUND(Table1!C65,1)</f>
        <v>1</v>
      </c>
      <c r="C72">
        <f>Table1!E65</f>
        <v>-3.8</v>
      </c>
      <c r="D72">
        <v>1</v>
      </c>
      <c r="E72">
        <v>2009</v>
      </c>
      <c r="F72" s="1">
        <f t="shared" si="7"/>
        <v>1.7</v>
      </c>
      <c r="G72" s="5">
        <f>C72*F72/B72</f>
        <v>-6.46</v>
      </c>
      <c r="H72" s="5" t="s">
        <v>1114</v>
      </c>
      <c r="J72">
        <f t="shared" si="8"/>
        <v>-1.1761167833832495</v>
      </c>
      <c r="K72">
        <f t="shared" si="9"/>
        <v>27.91942184684418</v>
      </c>
      <c r="L72">
        <f t="shared" si="10"/>
        <v>-1.5204109668056698</v>
      </c>
      <c r="M72">
        <f t="shared" si="9"/>
        <v>24.399539816853704</v>
      </c>
      <c r="N72">
        <f t="shared" si="11"/>
        <v>-0.50172571036898372</v>
      </c>
      <c r="O72">
        <f t="shared" si="12"/>
        <v>35.501032510477991</v>
      </c>
      <c r="P72">
        <f t="shared" si="13"/>
        <v>-0.52571262028726129</v>
      </c>
      <c r="Q72">
        <f t="shared" si="14"/>
        <v>35.215766705017884</v>
      </c>
      <c r="R72" s="24">
        <f t="shared" si="15"/>
        <v>-1.6949728941432207</v>
      </c>
      <c r="S72">
        <f t="shared" si="16"/>
        <v>22.705483319549835</v>
      </c>
      <c r="T72">
        <f t="shared" si="17"/>
        <v>-1.7247689740170189E-2</v>
      </c>
      <c r="U72">
        <f t="shared" si="18"/>
        <v>41.509057331358377</v>
      </c>
      <c r="V72">
        <f t="shared" si="19"/>
        <v>-1.5204109668056718</v>
      </c>
      <c r="W72">
        <f t="shared" si="20"/>
        <v>24.399539816853675</v>
      </c>
      <c r="X72">
        <f t="shared" si="21"/>
        <v>-0.72039027427543301</v>
      </c>
      <c r="Y72">
        <f t="shared" si="22"/>
        <v>32.943119803632044</v>
      </c>
      <c r="Z72" s="33">
        <f t="shared" si="23"/>
        <v>-1.2484488577104387</v>
      </c>
      <c r="AA72">
        <f t="shared" si="6"/>
        <v>6.5104132317191654</v>
      </c>
      <c r="BA72">
        <v>2020</v>
      </c>
      <c r="BB72">
        <v>1.2566852169</v>
      </c>
      <c r="BC72">
        <f t="shared" si="32"/>
        <v>0.87793965673333341</v>
      </c>
    </row>
    <row r="73" spans="1:55" x14ac:dyDescent="0.35">
      <c r="A73" t="str">
        <f>Table1!A66</f>
        <v>Eboli 2010</v>
      </c>
      <c r="B73">
        <f>ROUND(Table1!C66,1)</f>
        <v>3</v>
      </c>
      <c r="C73">
        <f>Table1!E66</f>
        <v>-1.35</v>
      </c>
      <c r="D73">
        <v>1</v>
      </c>
      <c r="E73">
        <v>2010</v>
      </c>
      <c r="F73" s="1">
        <f t="shared" si="7"/>
        <v>3.7</v>
      </c>
      <c r="G73" s="5">
        <f>C73*LOOKUP(F73,graph!A$3:A$203,graph!B$3:B$203)/LOOKUP(B73,graph!A$3:A$203,graph!B$3:B$203)</f>
        <v>-1.8515794944970247</v>
      </c>
      <c r="H73" s="5" t="s">
        <v>1114</v>
      </c>
      <c r="J73">
        <f t="shared" si="8"/>
        <v>-3.0562369782082213</v>
      </c>
      <c r="K73">
        <f t="shared" si="9"/>
        <v>1.4511996530613918</v>
      </c>
      <c r="L73">
        <f t="shared" si="10"/>
        <v>-3.3091297512829283</v>
      </c>
      <c r="M73">
        <f t="shared" si="9"/>
        <v>2.1244527510566535</v>
      </c>
      <c r="N73">
        <f t="shared" si="11"/>
        <v>-2.3766868425437333</v>
      </c>
      <c r="O73">
        <f t="shared" si="12"/>
        <v>0.27573772697264709</v>
      </c>
      <c r="P73">
        <f t="shared" si="13"/>
        <v>-2.484464564596752</v>
      </c>
      <c r="Q73">
        <f t="shared" si="14"/>
        <v>0.40054351195513671</v>
      </c>
      <c r="R73" s="24">
        <f t="shared" si="15"/>
        <v>-2.989189607000216</v>
      </c>
      <c r="S73">
        <f t="shared" si="16"/>
        <v>1.2941567680695234</v>
      </c>
      <c r="T73">
        <f t="shared" si="17"/>
        <v>-0.15207484735886481</v>
      </c>
      <c r="U73">
        <f t="shared" si="18"/>
        <v>2.8883160456442014</v>
      </c>
      <c r="V73">
        <f t="shared" si="19"/>
        <v>-3.3091297512829327</v>
      </c>
      <c r="W73">
        <f t="shared" si="20"/>
        <v>2.1244527510566664</v>
      </c>
      <c r="X73">
        <f t="shared" si="21"/>
        <v>-2.0293665793879208</v>
      </c>
      <c r="Y73">
        <f t="shared" si="22"/>
        <v>3.1608247554002662E-2</v>
      </c>
      <c r="Z73" s="33">
        <f t="shared" si="23"/>
        <v>-2.9117675151224875</v>
      </c>
      <c r="AA73">
        <f t="shared" si="6"/>
        <v>2.439117771291869</v>
      </c>
      <c r="BA73">
        <v>2021</v>
      </c>
      <c r="BB73">
        <v>1.0957473169</v>
      </c>
      <c r="BC73">
        <f t="shared" si="32"/>
        <v>0.89203830206666668</v>
      </c>
    </row>
    <row r="74" spans="1:55" x14ac:dyDescent="0.35">
      <c r="A74" t="str">
        <f>Table1!A67</f>
        <v>Ng and Zhao 2011</v>
      </c>
      <c r="B74">
        <f>ROUND(Table1!C67,1)</f>
        <v>1</v>
      </c>
      <c r="C74">
        <f>Table1!E67</f>
        <v>-1.35</v>
      </c>
      <c r="D74">
        <v>0.5</v>
      </c>
      <c r="E74">
        <v>2011</v>
      </c>
      <c r="F74" s="1">
        <f t="shared" si="7"/>
        <v>1.7</v>
      </c>
      <c r="G74" s="5">
        <f>C74*F74/B74</f>
        <v>-2.2949999999999999</v>
      </c>
      <c r="H74" s="5" t="s">
        <v>1114</v>
      </c>
      <c r="J74">
        <f t="shared" si="8"/>
        <v>-1.1761167833832495</v>
      </c>
      <c r="K74">
        <f t="shared" si="9"/>
        <v>0.62594982621332296</v>
      </c>
      <c r="L74">
        <f t="shared" si="10"/>
        <v>-1.5204109668056698</v>
      </c>
      <c r="M74">
        <f t="shared" si="9"/>
        <v>0.29999408517246356</v>
      </c>
      <c r="N74">
        <f t="shared" si="11"/>
        <v>-0.50172571036898372</v>
      </c>
      <c r="O74">
        <f t="shared" si="12"/>
        <v>1.6079163389258131</v>
      </c>
      <c r="P74">
        <f t="shared" si="13"/>
        <v>-0.52571262028726129</v>
      </c>
      <c r="Q74">
        <f t="shared" si="14"/>
        <v>1.5651889160053842</v>
      </c>
      <c r="R74" s="24">
        <f t="shared" si="15"/>
        <v>-1.6949728941432207</v>
      </c>
      <c r="S74">
        <f t="shared" si="16"/>
        <v>0.18001626388143127</v>
      </c>
      <c r="T74">
        <f t="shared" si="17"/>
        <v>-1.7247689740170189E-2</v>
      </c>
      <c r="U74">
        <f t="shared" si="18"/>
        <v>2.5940777934469961</v>
      </c>
      <c r="V74">
        <f t="shared" si="19"/>
        <v>-1.5204109668056718</v>
      </c>
      <c r="W74">
        <f t="shared" si="20"/>
        <v>0.29999408517246201</v>
      </c>
      <c r="X74">
        <f t="shared" si="21"/>
        <v>-0.72039027427543301</v>
      </c>
      <c r="Y74">
        <f t="shared" si="22"/>
        <v>1.2396978941731978</v>
      </c>
      <c r="Z74" s="33">
        <f t="shared" si="23"/>
        <v>-1.2484488577104387</v>
      </c>
      <c r="AA74">
        <f t="shared" ref="AA74:AA78" si="34">$D74*(Z74-$C74)^2</f>
        <v>5.1563172501573745E-3</v>
      </c>
    </row>
    <row r="75" spans="1:55" x14ac:dyDescent="0.35">
      <c r="A75">
        <f>Table1!A68</f>
        <v>0</v>
      </c>
      <c r="B75">
        <f>ROUND(Table1!C68,1)</f>
        <v>1</v>
      </c>
      <c r="C75">
        <f>Table1!E68</f>
        <v>-1.61</v>
      </c>
      <c r="D75">
        <v>0.5</v>
      </c>
      <c r="E75">
        <v>2011</v>
      </c>
      <c r="F75" s="1">
        <f t="shared" ref="F75:F78" si="35">ROUND(LOOKUP(E75,BA$31:BA$73,BC$31:BC$73)+B75,1)</f>
        <v>1.7</v>
      </c>
      <c r="G75" s="5">
        <f>C75*F75/B75</f>
        <v>-2.7370000000000001</v>
      </c>
      <c r="H75" s="5" t="s">
        <v>1114</v>
      </c>
      <c r="J75">
        <f t="shared" ref="J75:J78" si="36">J$1*F75+J$2*F75^2</f>
        <v>-1.1761167833832495</v>
      </c>
      <c r="K75">
        <f t="shared" ref="K75:M78" si="37">$D75*(J75-$G75)^2</f>
        <v>1.2181782079579269</v>
      </c>
      <c r="L75">
        <f t="shared" ref="L75:L78" si="38">IF(F75&lt;=L$2,F75*L$1,L$1*L$2+L$3*(F75-L$2))</f>
        <v>-1.5204109668056698</v>
      </c>
      <c r="M75">
        <f t="shared" si="37"/>
        <v>0.74004443784435769</v>
      </c>
      <c r="N75">
        <f t="shared" ref="N75:N78" si="39">N$1*F75^2</f>
        <v>-0.50172571036898372</v>
      </c>
      <c r="O75">
        <f t="shared" ref="O75:O78" si="40">$D75*(N75-$G75)^2</f>
        <v>2.4982255749427229</v>
      </c>
      <c r="P75">
        <f t="shared" ref="P75:P78" si="41">P$1*F75^2+P$2*F75^7</f>
        <v>-0.52571262028726129</v>
      </c>
      <c r="Q75">
        <f t="shared" ref="Q75:Q78" si="42">$D75*(P75-$G75)^2</f>
        <v>2.4448959378384156</v>
      </c>
      <c r="R75" s="24">
        <f t="shared" ref="R75:R78" si="43">R$1*F75^2+R$2*10^6</f>
        <v>-1.6949728941432207</v>
      </c>
      <c r="S75">
        <f t="shared" ref="S75:S78" si="44">$D75*(R75-$G75)^2</f>
        <v>0.54291024467012783</v>
      </c>
      <c r="T75">
        <f t="shared" ref="T75:T78" si="45">T$2+T$1*EXP(F75)</f>
        <v>-1.7247689740170189E-2</v>
      </c>
      <c r="U75">
        <f t="shared" ref="U75:U78" si="46">$D75*(T75-$G75)^2</f>
        <v>3.6985263145818412</v>
      </c>
      <c r="V75">
        <f t="shared" ref="V75:V78" si="47">V$1*F75</f>
        <v>-1.5204109668056718</v>
      </c>
      <c r="W75">
        <f t="shared" ref="W75:W78" si="48">$D75*(V75-$G75)^2</f>
        <v>0.74004443784435525</v>
      </c>
      <c r="X75">
        <f t="shared" ref="X75:X78" si="49">(1-EXP(-2*X$1*F75))/2/EXP(-X$1*F75)</f>
        <v>-0.72039027427543301</v>
      </c>
      <c r="Y75">
        <f t="shared" ref="Y75:Y78" si="50">$D75*(X75-$G75)^2</f>
        <v>2.0333573929434565</v>
      </c>
      <c r="Z75" s="33">
        <f t="shared" ref="Z75:Z78" si="51">J75*K$5+L75*M$5+N75*O$5+P75*Q$5+R75*S$5+T75*U$5+V75*W$5+X75*Y$5</f>
        <v>-1.2484488577104387</v>
      </c>
      <c r="AA75">
        <f t="shared" si="34"/>
        <v>6.5359614245443343E-2</v>
      </c>
    </row>
    <row r="76" spans="1:55" ht="15" thickBot="1" x14ac:dyDescent="0.4">
      <c r="A76" t="str">
        <f>Table1!A69</f>
        <v>Hope 2011</v>
      </c>
      <c r="B76">
        <f>ROUND(Table1!C69,1)</f>
        <v>3</v>
      </c>
      <c r="C76">
        <f>Table1!E69</f>
        <v>-0.7</v>
      </c>
      <c r="D76">
        <v>1</v>
      </c>
      <c r="E76">
        <v>2011</v>
      </c>
      <c r="F76" s="1">
        <f t="shared" si="35"/>
        <v>3.7</v>
      </c>
      <c r="G76" s="5">
        <f>C76*LOOKUP(F76,graph!A$3:A$203,graph!B$3:B$203)/LOOKUP(B76,graph!A$3:A$203,graph!B$3:B$203)</f>
        <v>-0.96007825640586453</v>
      </c>
      <c r="H76" s="5" t="s">
        <v>1114</v>
      </c>
      <c r="J76">
        <f t="shared" si="36"/>
        <v>-3.0562369782082213</v>
      </c>
      <c r="K76">
        <f t="shared" si="37"/>
        <v>4.3938813869880891</v>
      </c>
      <c r="L76">
        <f t="shared" si="38"/>
        <v>-3.3091297512829283</v>
      </c>
      <c r="M76">
        <f t="shared" si="37"/>
        <v>5.5180429255841688</v>
      </c>
      <c r="N76">
        <f t="shared" si="39"/>
        <v>-2.3766868425437333</v>
      </c>
      <c r="O76">
        <f t="shared" si="40"/>
        <v>2.0067798863195314</v>
      </c>
      <c r="P76">
        <f t="shared" si="41"/>
        <v>-2.484464564596752</v>
      </c>
      <c r="Q76">
        <f t="shared" si="42"/>
        <v>2.3237536165998436</v>
      </c>
      <c r="R76" s="24">
        <f t="shared" si="43"/>
        <v>-2.989189607000216</v>
      </c>
      <c r="S76">
        <f t="shared" si="44"/>
        <v>4.1172928731108325</v>
      </c>
      <c r="T76">
        <f t="shared" si="45"/>
        <v>-0.15207484735886481</v>
      </c>
      <c r="U76">
        <f t="shared" si="46"/>
        <v>0.65286950903157315</v>
      </c>
      <c r="V76">
        <f t="shared" si="47"/>
        <v>-3.3091297512829327</v>
      </c>
      <c r="W76">
        <f t="shared" si="48"/>
        <v>5.5180429255841901</v>
      </c>
      <c r="X76">
        <f t="shared" si="49"/>
        <v>-2.0293665793879208</v>
      </c>
      <c r="Y76">
        <f t="shared" si="50"/>
        <v>1.1433775176657781</v>
      </c>
      <c r="Z76" s="33">
        <f t="shared" si="51"/>
        <v>-2.9117675151224875</v>
      </c>
      <c r="AA76">
        <f t="shared" si="34"/>
        <v>4.8919155409511044</v>
      </c>
    </row>
    <row r="77" spans="1:55" ht="15" thickBot="1" x14ac:dyDescent="0.4">
      <c r="A77" t="str">
        <f>Table1!A70</f>
        <v>McCallum 2013</v>
      </c>
      <c r="B77">
        <f>ROUND(Table1!C70,1)</f>
        <v>2</v>
      </c>
      <c r="C77">
        <f>Table1!E70</f>
        <v>-0.7</v>
      </c>
      <c r="D77">
        <v>0.5</v>
      </c>
      <c r="E77" s="69">
        <v>2013</v>
      </c>
      <c r="F77" s="1">
        <f t="shared" si="35"/>
        <v>2.7</v>
      </c>
      <c r="G77" s="5">
        <f>H77*F77^H78</f>
        <v>-1.0536271020730361</v>
      </c>
      <c r="H77" s="5">
        <f>C77/B77^H78</f>
        <v>-0.2722222222222222</v>
      </c>
      <c r="J77">
        <f t="shared" si="36"/>
        <v>-2.0490885847356441</v>
      </c>
      <c r="K77">
        <f t="shared" si="37"/>
        <v>0.49547178173241896</v>
      </c>
      <c r="L77">
        <f t="shared" si="38"/>
        <v>-2.414770359044299</v>
      </c>
      <c r="M77">
        <f t="shared" si="37"/>
        <v>0.9263554829991687</v>
      </c>
      <c r="N77">
        <f t="shared" si="39"/>
        <v>-1.2655987642179558</v>
      </c>
      <c r="O77">
        <f t="shared" si="40"/>
        <v>2.246599277623999E-2</v>
      </c>
      <c r="P77">
        <f t="shared" si="41"/>
        <v>-1.3255126971533122</v>
      </c>
      <c r="Q77">
        <f t="shared" si="42"/>
        <v>3.6960888406077926E-2</v>
      </c>
      <c r="R77" s="24">
        <f t="shared" si="43"/>
        <v>-2.2222463697516259</v>
      </c>
      <c r="S77">
        <f t="shared" si="44"/>
        <v>0.68283549639482177</v>
      </c>
      <c r="T77">
        <f t="shared" si="45"/>
        <v>-5.3508297149418294E-2</v>
      </c>
      <c r="U77">
        <f t="shared" si="46"/>
        <v>0.50011881198092278</v>
      </c>
      <c r="V77">
        <f t="shared" si="47"/>
        <v>-2.4147703590443026</v>
      </c>
      <c r="W77">
        <f t="shared" si="48"/>
        <v>0.92635548299917359</v>
      </c>
      <c r="X77">
        <f t="shared" si="49"/>
        <v>-1.2747987128866063</v>
      </c>
      <c r="Y77">
        <f t="shared" si="50"/>
        <v>2.4458440714934675E-2</v>
      </c>
      <c r="Z77" s="33">
        <f t="shared" si="51"/>
        <v>-1.9969651303712497</v>
      </c>
      <c r="AA77">
        <f t="shared" si="34"/>
        <v>0.84105927469945641</v>
      </c>
    </row>
    <row r="78" spans="1:55" x14ac:dyDescent="0.35">
      <c r="A78">
        <f>Table1!A71</f>
        <v>0</v>
      </c>
      <c r="B78">
        <f>ROUND(Table1!C71,1)</f>
        <v>4</v>
      </c>
      <c r="C78">
        <f>Table1!E71</f>
        <v>-1.8</v>
      </c>
      <c r="D78">
        <v>0.5</v>
      </c>
      <c r="E78" s="69">
        <v>2013</v>
      </c>
      <c r="F78" s="1">
        <f t="shared" si="35"/>
        <v>4.7</v>
      </c>
      <c r="G78" s="5">
        <f>H77*F78^H78</f>
        <v>-2.2423531269433266</v>
      </c>
      <c r="H78" s="5">
        <f>LN(C78/C77)/LN(B78/B77)</f>
        <v>1.3625700793847084</v>
      </c>
      <c r="J78">
        <f t="shared" si="36"/>
        <v>-4.1975619638009816</v>
      </c>
      <c r="K78">
        <f t="shared" si="37"/>
        <v>1.9114207978631321</v>
      </c>
      <c r="L78">
        <f t="shared" si="38"/>
        <v>-4.2034891435215576</v>
      </c>
      <c r="M78">
        <f t="shared" si="37"/>
        <v>1.9230272377601658</v>
      </c>
      <c r="N78">
        <f t="shared" si="39"/>
        <v>-3.8349899453463165</v>
      </c>
      <c r="O78">
        <f t="shared" si="40"/>
        <v>1.2682460176663992</v>
      </c>
      <c r="P78">
        <f t="shared" si="41"/>
        <v>-3.9866674865684608</v>
      </c>
      <c r="Q78">
        <f t="shared" si="42"/>
        <v>1.521316292597221</v>
      </c>
      <c r="R78" s="24">
        <f t="shared" si="43"/>
        <v>-3.9958026058889899</v>
      </c>
      <c r="S78">
        <f t="shared" si="44"/>
        <v>1.5372925376074091</v>
      </c>
      <c r="T78">
        <f t="shared" si="45"/>
        <v>-0.42000650968709935</v>
      </c>
      <c r="U78">
        <f t="shared" si="46"/>
        <v>1.6604735967126072</v>
      </c>
      <c r="V78">
        <f t="shared" si="47"/>
        <v>-4.2034891435215638</v>
      </c>
      <c r="W78">
        <f t="shared" si="48"/>
        <v>1.923027237760178</v>
      </c>
      <c r="X78">
        <f t="shared" si="49"/>
        <v>-3.1025705171399518</v>
      </c>
      <c r="Y78">
        <f t="shared" si="50"/>
        <v>0.3699869791983465</v>
      </c>
      <c r="Z78" s="33">
        <f t="shared" si="51"/>
        <v>-4.0018452352422349</v>
      </c>
      <c r="AA78">
        <f t="shared" si="34"/>
        <v>2.4240612199794667</v>
      </c>
    </row>
    <row r="79" spans="1:55" x14ac:dyDescent="0.35">
      <c r="R79" s="24"/>
      <c r="Z79" s="33"/>
    </row>
    <row r="80" spans="1:55" ht="15" thickBot="1" x14ac:dyDescent="0.4">
      <c r="E80" s="2"/>
      <c r="F80" s="5"/>
      <c r="G80" s="5"/>
      <c r="H80" s="5"/>
      <c r="R80" s="24"/>
      <c r="Z80" s="33"/>
    </row>
    <row r="82" spans="10:18" ht="15" thickBot="1" x14ac:dyDescent="0.4"/>
    <row r="83" spans="10:18" x14ac:dyDescent="0.35">
      <c r="J83" s="4"/>
      <c r="K83" s="4"/>
    </row>
    <row r="88" spans="10:18" ht="15" thickBot="1" x14ac:dyDescent="0.4">
      <c r="J88" s="2"/>
      <c r="K88" s="2"/>
    </row>
    <row r="90" spans="10:18" ht="15" thickBot="1" x14ac:dyDescent="0.4"/>
    <row r="91" spans="10:18" x14ac:dyDescent="0.35">
      <c r="J91" s="3"/>
      <c r="K91" s="3"/>
      <c r="L91" s="3"/>
      <c r="M91" s="3"/>
      <c r="N91" s="3"/>
      <c r="O91" s="3"/>
    </row>
    <row r="94" spans="10:18" ht="15" thickBot="1" x14ac:dyDescent="0.4">
      <c r="J94" s="2"/>
      <c r="K94" s="2"/>
      <c r="L94" s="2"/>
      <c r="M94" s="2"/>
      <c r="N94" s="2"/>
      <c r="O94" s="2"/>
    </row>
    <row r="95" spans="10:18" ht="15" thickBot="1" x14ac:dyDescent="0.4"/>
    <row r="96" spans="10:18" ht="15" thickBot="1" x14ac:dyDescent="0.4">
      <c r="J96" s="3"/>
      <c r="K96" s="3"/>
      <c r="L96" s="3"/>
      <c r="M96" s="3"/>
      <c r="N96" s="3"/>
      <c r="O96" s="3"/>
      <c r="P96" s="3"/>
      <c r="Q96" s="3"/>
      <c r="R96" s="3"/>
    </row>
    <row r="97" spans="5:18" x14ac:dyDescent="0.35">
      <c r="E97" s="3"/>
      <c r="F97" s="14"/>
      <c r="G97" s="14"/>
      <c r="H97" s="14"/>
    </row>
    <row r="98" spans="5:18" ht="15" thickBot="1" x14ac:dyDescent="0.4">
      <c r="J98" s="2"/>
      <c r="K98" s="2"/>
      <c r="L98" s="2"/>
      <c r="M98" s="2"/>
      <c r="N98" s="2"/>
      <c r="O98" s="2"/>
      <c r="P98" s="2"/>
      <c r="Q98" s="2"/>
      <c r="R98" s="2"/>
    </row>
    <row r="99" spans="5:18" ht="15" thickBot="1" x14ac:dyDescent="0.4">
      <c r="E99" s="2"/>
    </row>
    <row r="104" spans="5:18" ht="15" thickBot="1" x14ac:dyDescent="0.4">
      <c r="J104" s="2"/>
      <c r="K104" s="2"/>
    </row>
    <row r="106" spans="5:18" ht="15" thickBot="1" x14ac:dyDescent="0.4"/>
    <row r="107" spans="5:18" x14ac:dyDescent="0.35">
      <c r="J107" s="3"/>
      <c r="K107" s="3"/>
      <c r="L107" s="3"/>
      <c r="M107" s="3"/>
      <c r="N107" s="3"/>
      <c r="O107" s="3"/>
    </row>
    <row r="110" spans="5:18" ht="15" thickBot="1" x14ac:dyDescent="0.4">
      <c r="J110" s="2"/>
      <c r="K110" s="2"/>
      <c r="L110" s="2"/>
      <c r="M110" s="2"/>
      <c r="N110" s="2"/>
      <c r="O110" s="2"/>
    </row>
    <row r="111" spans="5:18" ht="15" thickBot="1" x14ac:dyDescent="0.4"/>
    <row r="112" spans="5:18" x14ac:dyDescent="0.35">
      <c r="E112" s="3"/>
      <c r="F112" s="14"/>
      <c r="G112" s="14"/>
      <c r="H112" s="14"/>
      <c r="J112" s="3"/>
      <c r="K112" s="3"/>
      <c r="L112" s="3"/>
      <c r="M112" s="3"/>
      <c r="N112" s="3"/>
      <c r="O112" s="3"/>
      <c r="P112" s="3"/>
      <c r="Q112" s="3"/>
      <c r="R112" s="3"/>
    </row>
    <row r="115" spans="5:18" ht="15" thickBot="1" x14ac:dyDescent="0.4">
      <c r="E115" s="2"/>
      <c r="J115" s="2"/>
      <c r="K115" s="2"/>
      <c r="L115" s="2"/>
      <c r="M115" s="2"/>
      <c r="N115" s="2"/>
      <c r="O115" s="2"/>
      <c r="P115" s="2"/>
      <c r="Q115" s="2"/>
      <c r="R115" s="2"/>
    </row>
    <row r="131" spans="5:8" ht="15" thickBot="1" x14ac:dyDescent="0.4"/>
    <row r="132" spans="5:8" x14ac:dyDescent="0.35">
      <c r="E132" s="3"/>
      <c r="F132" s="14"/>
      <c r="G132" s="14"/>
      <c r="H132" s="14"/>
    </row>
    <row r="134" spans="5:8" ht="15" thickBot="1" x14ac:dyDescent="0.4">
      <c r="E134" s="2"/>
    </row>
    <row r="150" spans="5:8" ht="15" thickBot="1" x14ac:dyDescent="0.4"/>
    <row r="151" spans="5:8" x14ac:dyDescent="0.35">
      <c r="E151" s="3"/>
      <c r="F151" s="14"/>
      <c r="G151" s="14"/>
      <c r="H151" s="14"/>
    </row>
    <row r="153" spans="5:8" ht="15" thickBot="1" x14ac:dyDescent="0.4">
      <c r="E153" s="2"/>
    </row>
    <row r="1048550" spans="16384:16384" x14ac:dyDescent="0.35">
      <c r="XFD1048550">
        <f>solver_pre</f>
        <v>9.9999999999999995E-7</v>
      </c>
    </row>
    <row r="1048551" spans="16384:16384" x14ac:dyDescent="0.35">
      <c r="XFD1048551">
        <f>solver_scl</f>
        <v>1</v>
      </c>
    </row>
    <row r="1048552" spans="16384:16384" x14ac:dyDescent="0.35">
      <c r="XFD1048552">
        <f>solver_rlx</f>
        <v>2</v>
      </c>
    </row>
    <row r="1048553" spans="16384:16384" x14ac:dyDescent="0.35">
      <c r="XFD1048553">
        <f>solver_tol</f>
        <v>0.01</v>
      </c>
    </row>
    <row r="1048554" spans="16384:16384" x14ac:dyDescent="0.35">
      <c r="XFD1048554">
        <f>solver_cvg</f>
        <v>1E-4</v>
      </c>
    </row>
    <row r="1048555" spans="16384:16384" x14ac:dyDescent="0.35">
      <c r="XFD1048555" t="e" cm="1">
        <f t="array" ref="XFD1048555">AREAS(solver_adj1)</f>
        <v>#NAME?</v>
      </c>
    </row>
    <row r="1048556" spans="16384:16384" x14ac:dyDescent="0.35">
      <c r="XFD1048556">
        <f>solver_ssz</f>
        <v>100</v>
      </c>
    </row>
    <row r="1048557" spans="16384:16384" x14ac:dyDescent="0.35">
      <c r="XFD1048557">
        <f>solver_rsd</f>
        <v>0</v>
      </c>
    </row>
    <row r="1048558" spans="16384:16384" x14ac:dyDescent="0.35">
      <c r="XFD1048558">
        <f>solver_mrt</f>
        <v>7.4999999999999997E-2</v>
      </c>
    </row>
    <row r="1048559" spans="16384:16384" x14ac:dyDescent="0.35">
      <c r="XFD1048559">
        <f>solver_mni</f>
        <v>30</v>
      </c>
    </row>
    <row r="1048560" spans="16384:16384" x14ac:dyDescent="0.35">
      <c r="XFD1048560">
        <f>solver_rbv</f>
        <v>1</v>
      </c>
    </row>
    <row r="1048561" spans="16384:16384" x14ac:dyDescent="0.35">
      <c r="XFD1048561">
        <f>solver_neg</f>
        <v>2</v>
      </c>
    </row>
    <row r="1048562" spans="16384:16384" x14ac:dyDescent="0.35">
      <c r="XFD1048562" t="e" cm="1">
        <f t="array" ref="XFD1048562">solver_ntr</f>
        <v>#NAME?</v>
      </c>
    </row>
    <row r="1048563" spans="16384:16384" x14ac:dyDescent="0.35">
      <c r="XFD1048563" t="e" cm="1">
        <f t="array" ref="XFD1048563">solver_acc</f>
        <v>#NAME?</v>
      </c>
    </row>
    <row r="1048564" spans="16384:16384" x14ac:dyDescent="0.35">
      <c r="XFD1048564" t="e" cm="1">
        <f t="array" ref="XFD1048564">solver_res</f>
        <v>#NAME?</v>
      </c>
    </row>
    <row r="1048565" spans="16384:16384" x14ac:dyDescent="0.35">
      <c r="XFD1048565" t="e" cm="1">
        <f t="array" ref="XFD1048565">solver_ars</f>
        <v>#NAME?</v>
      </c>
    </row>
    <row r="1048566" spans="16384:16384" x14ac:dyDescent="0.35">
      <c r="XFD1048566" t="e" cm="1">
        <f t="array" ref="XFD1048566">solver_sta</f>
        <v>#NAME?</v>
      </c>
    </row>
    <row r="1048567" spans="16384:16384" x14ac:dyDescent="0.35">
      <c r="XFD1048567" t="e" cm="1">
        <f t="array" ref="XFD1048567">solver_met</f>
        <v>#NAME?</v>
      </c>
    </row>
    <row r="1048568" spans="16384:16384" x14ac:dyDescent="0.35">
      <c r="XFD1048568" t="e" cm="1">
        <f t="array" ref="XFD1048568">solver_soc</f>
        <v>#NAME?</v>
      </c>
    </row>
    <row r="1048569" spans="16384:16384" x14ac:dyDescent="0.35">
      <c r="XFD1048569" t="e" cm="1">
        <f t="array" ref="XFD1048569">solver_lpt</f>
        <v>#NAME?</v>
      </c>
    </row>
    <row r="1048570" spans="16384:16384" x14ac:dyDescent="0.35">
      <c r="XFD1048570" t="e" cm="1">
        <f t="array" ref="XFD1048570">solver_lpp</f>
        <v>#NAME?</v>
      </c>
    </row>
    <row r="1048571" spans="16384:16384" x14ac:dyDescent="0.35">
      <c r="XFD1048571" t="e" cm="1">
        <f t="array" ref="XFD1048571">solver_gap</f>
        <v>#NAME?</v>
      </c>
    </row>
    <row r="1048572" spans="16384:16384" x14ac:dyDescent="0.35">
      <c r="XFD1048572" t="e" cm="1">
        <f t="array" ref="XFD1048572">solver_ips</f>
        <v>#NAME?</v>
      </c>
    </row>
    <row r="1048573" spans="16384:16384" x14ac:dyDescent="0.35">
      <c r="XFD1048573" t="e" cm="1">
        <f t="array" ref="XFD1048573">solver_fea</f>
        <v>#NAME?</v>
      </c>
    </row>
    <row r="1048574" spans="16384:16384" x14ac:dyDescent="0.35">
      <c r="XFD1048574" t="e" cm="1">
        <f t="array" ref="XFD1048574">solver_ipi</f>
        <v>#NAME?</v>
      </c>
    </row>
    <row r="1048575" spans="16384:16384" x14ac:dyDescent="0.35">
      <c r="XFD1048575" t="e" cm="1">
        <f t="array" ref="XFD1048575">solver_ipd</f>
        <v>#NAME?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BB4E2-3EFE-4750-B473-DF7F7521663F}">
  <dimension ref="A1:XFD1048575"/>
  <sheetViews>
    <sheetView topLeftCell="AB1" zoomScaleNormal="100" workbookViewId="0">
      <selection activeCell="AN1" sqref="AN1"/>
    </sheetView>
  </sheetViews>
  <sheetFormatPr defaultRowHeight="14.5" x14ac:dyDescent="0.35"/>
  <cols>
    <col min="1" max="1" width="34.54296875" customWidth="1"/>
    <col min="5" max="5" width="14.54296875" customWidth="1"/>
    <col min="6" max="6" width="12" customWidth="1"/>
    <col min="7" max="7" width="11.81640625" customWidth="1"/>
    <col min="20" max="20" width="12" bestFit="1" customWidth="1"/>
    <col min="27" max="27" width="19.81640625" customWidth="1"/>
    <col min="28" max="28" width="10.54296875" customWidth="1"/>
  </cols>
  <sheetData>
    <row r="1" spans="1:62" ht="16" thickBot="1" x14ac:dyDescent="0.4">
      <c r="H1">
        <v>-0.5667673096237924</v>
      </c>
      <c r="J1">
        <v>-0.86001421260953193</v>
      </c>
      <c r="L1" s="2">
        <v>-0.17401761044758643</v>
      </c>
      <c r="N1">
        <v>-0.18360388675977432</v>
      </c>
      <c r="P1">
        <v>-0.19285226379216516</v>
      </c>
      <c r="R1">
        <v>-7.6018278904389485E-3</v>
      </c>
      <c r="T1" s="2">
        <v>-0.86001421927759059</v>
      </c>
      <c r="V1">
        <v>-0.40634782870013414</v>
      </c>
      <c r="AA1" s="23" t="s">
        <v>560</v>
      </c>
      <c r="AB1" s="23" t="s">
        <v>561</v>
      </c>
      <c r="AE1" t="s">
        <v>722</v>
      </c>
      <c r="AF1" t="s">
        <v>33</v>
      </c>
      <c r="AG1" t="s">
        <v>13</v>
      </c>
      <c r="AH1" t="s">
        <v>23</v>
      </c>
      <c r="AI1" t="s">
        <v>15</v>
      </c>
      <c r="AJ1" t="s">
        <v>16</v>
      </c>
      <c r="AK1" t="s">
        <v>25</v>
      </c>
      <c r="AL1" t="s">
        <v>24</v>
      </c>
      <c r="AM1">
        <v>1.4309921043085638</v>
      </c>
      <c r="AN1">
        <f>SUM(AN2:AN22)</f>
        <v>166.98551338132253</v>
      </c>
      <c r="AO1">
        <v>1.0533328212344109</v>
      </c>
      <c r="AP1">
        <f>SUM(AP2:AP22)</f>
        <v>153.29753955893659</v>
      </c>
    </row>
    <row r="2" spans="1:62" ht="16" thickBot="1" x14ac:dyDescent="0.4">
      <c r="H2" s="2">
        <v>-6.5385400501974569E-2</v>
      </c>
      <c r="J2">
        <v>12.836513107050566</v>
      </c>
      <c r="N2" s="2">
        <v>9.8543399444156673E-7</v>
      </c>
      <c r="P2" s="2">
        <v>1.2015305166479019E-5</v>
      </c>
      <c r="R2">
        <f>-R1</f>
        <v>7.6018278904389485E-3</v>
      </c>
      <c r="AA2" s="23" t="s">
        <v>556</v>
      </c>
      <c r="AB2" s="35">
        <f>K5</f>
        <v>0.1501273394763003</v>
      </c>
      <c r="AC2" s="24">
        <f t="shared" ref="AC2:AC5" si="0">AB2</f>
        <v>0.1501273394763003</v>
      </c>
      <c r="AE2">
        <v>1</v>
      </c>
      <c r="AF2">
        <f>Table1!C4</f>
        <v>2.5</v>
      </c>
      <c r="AG2">
        <f>Table1!E4</f>
        <v>-3</v>
      </c>
      <c r="AH2">
        <f>Table1!G4</f>
        <v>0</v>
      </c>
      <c r="AI2">
        <f>Table1!I4</f>
        <v>-12</v>
      </c>
      <c r="AJ2">
        <f>Table1!K4</f>
        <v>5</v>
      </c>
      <c r="AK2">
        <f>(AG2-AI2)/2</f>
        <v>4.5</v>
      </c>
      <c r="AL2">
        <f>(AJ2-AG2)/2</f>
        <v>4</v>
      </c>
      <c r="AM2">
        <f>AM$1*AF2</f>
        <v>3.5774802607714093</v>
      </c>
      <c r="AN2">
        <f>AE2*(AM2-AK2)^2</f>
        <v>0.85104266926638694</v>
      </c>
      <c r="AO2">
        <f>AO$1*AF2</f>
        <v>2.6333320530860274</v>
      </c>
      <c r="AP2">
        <f>AE2*(AO2-AL2)^2</f>
        <v>1.8677812771220532</v>
      </c>
    </row>
    <row r="3" spans="1:62" ht="15.5" x14ac:dyDescent="0.35">
      <c r="J3">
        <v>-17.827404168275013</v>
      </c>
      <c r="AA3" s="23" t="s">
        <v>557</v>
      </c>
      <c r="AB3" s="35">
        <f>I5</f>
        <v>0.185820192104721</v>
      </c>
      <c r="AC3" s="24">
        <f t="shared" si="0"/>
        <v>0.185820192104721</v>
      </c>
      <c r="AE3">
        <v>1</v>
      </c>
      <c r="AF3">
        <f>Table1!C7</f>
        <v>3</v>
      </c>
      <c r="AG3">
        <f>Table1!E7</f>
        <v>-3.6</v>
      </c>
      <c r="AH3">
        <f>Table1!G7</f>
        <v>0</v>
      </c>
      <c r="AI3">
        <f>Table1!I7</f>
        <v>-21</v>
      </c>
      <c r="AJ3">
        <f>Table1!K7</f>
        <v>0</v>
      </c>
      <c r="AK3">
        <f>(AG3-AI3)/2</f>
        <v>8.6999999999999993</v>
      </c>
      <c r="AL3">
        <f>(AJ3-AG3)/2</f>
        <v>1.8</v>
      </c>
      <c r="AM3">
        <f t="shared" ref="AM3:AM22" si="1">AM$1*AF3</f>
        <v>4.2929763129256919</v>
      </c>
      <c r="AN3">
        <f t="shared" ref="AN3:AN22" si="2">AE3*(AM3-AK3)^2</f>
        <v>19.421857778434024</v>
      </c>
      <c r="AO3">
        <f t="shared" ref="AO3:AO22" si="3">AO$1*AF3</f>
        <v>3.1599984637032326</v>
      </c>
      <c r="AP3">
        <f t="shared" ref="AP3:AP22" si="4">AE3*(AO3-AL3)^2</f>
        <v>1.8495958212751527</v>
      </c>
      <c r="AR3" s="4"/>
      <c r="AS3" s="4"/>
      <c r="BB3" s="4"/>
      <c r="BC3" s="4"/>
    </row>
    <row r="4" spans="1:62" ht="15.5" x14ac:dyDescent="0.35">
      <c r="AA4" s="23" t="s">
        <v>555</v>
      </c>
      <c r="AB4" s="35">
        <f>U5</f>
        <v>0.16221756689096667</v>
      </c>
      <c r="AC4" s="24">
        <f t="shared" si="0"/>
        <v>0.16221756689096667</v>
      </c>
      <c r="AE4">
        <v>1</v>
      </c>
      <c r="AF4">
        <f>Table1!C13</f>
        <v>2.5</v>
      </c>
      <c r="AG4">
        <f>Table1!E13</f>
        <v>-2.8909238132996098</v>
      </c>
      <c r="AH4">
        <f>Table1!G13</f>
        <v>0</v>
      </c>
      <c r="AI4">
        <f>Table1!I13</f>
        <v>-13.071417387190749</v>
      </c>
      <c r="AJ4">
        <f>Table1!K13</f>
        <v>-0.50357654687015618</v>
      </c>
      <c r="AK4">
        <f>(AG4-AI4)/2</f>
        <v>5.0902467869455696</v>
      </c>
      <c r="AL4">
        <f>(AJ4-AG4)/2</f>
        <v>1.1936736332147269</v>
      </c>
      <c r="AM4">
        <f t="shared" si="1"/>
        <v>3.5774802607714093</v>
      </c>
      <c r="AN4">
        <f t="shared" si="2"/>
        <v>2.2884625627130366</v>
      </c>
      <c r="AO4">
        <f t="shared" si="3"/>
        <v>2.6333320530860274</v>
      </c>
      <c r="AP4">
        <f t="shared" si="4"/>
        <v>2.0726163659063297</v>
      </c>
    </row>
    <row r="5" spans="1:62" ht="15.5" x14ac:dyDescent="0.35">
      <c r="G5" t="s">
        <v>721</v>
      </c>
      <c r="I5">
        <f>EXP(I8)/$F8</f>
        <v>0.185820192104721</v>
      </c>
      <c r="K5">
        <f>EXP(K8)/$F8</f>
        <v>0.1501273394763003</v>
      </c>
      <c r="M5">
        <f>EXP(M8)/$F8</f>
        <v>0.11358741069769653</v>
      </c>
      <c r="O5">
        <f>EXP(O8)/$F8</f>
        <v>0.11416200663949455</v>
      </c>
      <c r="Q5">
        <f>EXP(Q8)/$F8</f>
        <v>0.11538536601749935</v>
      </c>
      <c r="S5">
        <f>EXP(S8)/$F8</f>
        <v>7.3137661624203421E-3</v>
      </c>
      <c r="U5">
        <f>EXP(U8)/$F8</f>
        <v>0.16221756689096667</v>
      </c>
      <c r="W5">
        <f>EXP(W8)/$F8</f>
        <v>0.15138635201090125</v>
      </c>
      <c r="AA5" s="23" t="s">
        <v>559</v>
      </c>
      <c r="AB5" s="35">
        <f>S5</f>
        <v>7.3137661624203421E-3</v>
      </c>
      <c r="AC5" s="24">
        <f t="shared" si="0"/>
        <v>7.3137661624203421E-3</v>
      </c>
      <c r="AE5">
        <v>1</v>
      </c>
      <c r="AF5">
        <f>Table1!C21</f>
        <v>1</v>
      </c>
      <c r="AG5">
        <f>Table1!E21</f>
        <v>2.2999999999999998</v>
      </c>
      <c r="AH5">
        <f>Table1!G21</f>
        <v>1</v>
      </c>
      <c r="AK5">
        <f>AH5</f>
        <v>1</v>
      </c>
      <c r="AL5">
        <f>AH5</f>
        <v>1</v>
      </c>
      <c r="AM5">
        <f t="shared" si="1"/>
        <v>1.4309921043085638</v>
      </c>
      <c r="AN5">
        <f t="shared" si="2"/>
        <v>0.18575419397632395</v>
      </c>
      <c r="AO5">
        <f t="shared" si="3"/>
        <v>1.0533328212344109</v>
      </c>
      <c r="AP5">
        <f t="shared" si="4"/>
        <v>2.8443898208216252E-3</v>
      </c>
    </row>
    <row r="6" spans="1:62" ht="15.5" x14ac:dyDescent="0.35">
      <c r="G6" t="s">
        <v>720</v>
      </c>
      <c r="I6">
        <v>2</v>
      </c>
      <c r="K6">
        <v>3</v>
      </c>
      <c r="M6">
        <v>1</v>
      </c>
      <c r="O6">
        <v>2</v>
      </c>
      <c r="Q6">
        <v>2</v>
      </c>
      <c r="S6">
        <v>1</v>
      </c>
      <c r="U6">
        <v>1</v>
      </c>
      <c r="W6">
        <v>1</v>
      </c>
      <c r="Y6">
        <f>SUM(I6:W6)</f>
        <v>13</v>
      </c>
      <c r="AA6" s="23" t="s">
        <v>543</v>
      </c>
      <c r="AB6" s="35">
        <f>Q5</f>
        <v>0.11538536601749935</v>
      </c>
      <c r="AC6" s="24">
        <f>AB6</f>
        <v>0.11538536601749935</v>
      </c>
      <c r="AE6">
        <v>1</v>
      </c>
      <c r="AF6">
        <f>Table1!C25</f>
        <v>2.5</v>
      </c>
      <c r="AG6">
        <f>Table1!E25</f>
        <v>-0.9804776851232514</v>
      </c>
      <c r="AH6">
        <f>Table1!G25</f>
        <v>0</v>
      </c>
      <c r="AI6">
        <f>Table1!I25</f>
        <v>-3.0412246519557202</v>
      </c>
      <c r="AJ6">
        <f>Table1!K25</f>
        <v>4.6418105858271858E-2</v>
      </c>
      <c r="AK6">
        <f>(AG6-AI6)/2</f>
        <v>1.0303734834162344</v>
      </c>
      <c r="AL6">
        <f>(AJ6-AG6)/2</f>
        <v>0.51344789549076164</v>
      </c>
      <c r="AM6">
        <f t="shared" si="1"/>
        <v>3.5774802607714093</v>
      </c>
      <c r="AN6">
        <f t="shared" si="2"/>
        <v>6.4877529352486665</v>
      </c>
      <c r="AO6">
        <f t="shared" si="3"/>
        <v>2.6333320530860274</v>
      </c>
      <c r="AP6">
        <f t="shared" si="4"/>
        <v>4.493908841623389</v>
      </c>
    </row>
    <row r="7" spans="1:62" ht="15.5" x14ac:dyDescent="0.35">
      <c r="F7">
        <f>SUM(D10:D78)</f>
        <v>27.999999999999996</v>
      </c>
      <c r="G7" t="s">
        <v>719</v>
      </c>
      <c r="I7" s="5">
        <f>SQRT(I9/($F7-I6))</f>
        <v>3.6914269264039214</v>
      </c>
      <c r="J7" s="5"/>
      <c r="K7" s="5">
        <f>SQRT(K9/($F7-K6))</f>
        <v>3.7866734964734006</v>
      </c>
      <c r="L7" s="5"/>
      <c r="M7" s="5">
        <f>SQRT(M9/($F7-M6))</f>
        <v>3.6903996421894592</v>
      </c>
      <c r="N7" s="5"/>
      <c r="O7" s="5">
        <f>SQRT(O9/($F7-O6))</f>
        <v>3.7562145793279837</v>
      </c>
      <c r="P7" s="5"/>
      <c r="Q7" s="5">
        <f>SQRT(Q9/($F7-Q6))</f>
        <v>3.7547849431202662</v>
      </c>
      <c r="R7" s="5"/>
      <c r="S7" s="5">
        <f>SQRT(S9/($F7-S6))</f>
        <v>4.0702011098655397</v>
      </c>
      <c r="T7" s="5"/>
      <c r="U7" s="5">
        <f>SQRT(U9/($F7-U6))</f>
        <v>3.6437282708702328</v>
      </c>
      <c r="V7" s="5"/>
      <c r="W7" s="5">
        <f>SQRT(W9/($F7-W6))</f>
        <v>3.6527320002944461</v>
      </c>
      <c r="Y7" s="5">
        <f>SQRT(Y9/($F7-Y6))</f>
        <v>4.8647581478372031</v>
      </c>
      <c r="AA7" s="23" t="s">
        <v>542</v>
      </c>
      <c r="AB7" s="35">
        <f>O5</f>
        <v>0.11416200663949455</v>
      </c>
      <c r="AC7" s="24">
        <f>AB7</f>
        <v>0.11416200663949455</v>
      </c>
      <c r="AE7">
        <v>0.5</v>
      </c>
      <c r="AF7">
        <f>Table1!C26</f>
        <v>3</v>
      </c>
      <c r="AG7">
        <f>Table1!E26</f>
        <v>-0.93</v>
      </c>
      <c r="AH7">
        <f>Table1!G26</f>
        <v>0.13</v>
      </c>
      <c r="AK7">
        <f>AH7</f>
        <v>0.13</v>
      </c>
      <c r="AL7">
        <f>AH7</f>
        <v>0.13</v>
      </c>
      <c r="AM7">
        <f t="shared" si="1"/>
        <v>4.2929763129256919</v>
      </c>
      <c r="AN7">
        <f t="shared" si="2"/>
        <v>8.6651858909901947</v>
      </c>
      <c r="AO7">
        <f t="shared" si="3"/>
        <v>3.1599984637032326</v>
      </c>
      <c r="AP7">
        <f t="shared" si="4"/>
        <v>4.5904453450219753</v>
      </c>
    </row>
    <row r="8" spans="1:62" ht="16" thickBot="1" x14ac:dyDescent="0.4">
      <c r="F8">
        <f>EXP(I8)+EXP(K8)+EXP(M8)+EXP(O8)+EXP(Q8)+EXP(S8)+EXP(U8)+EXP(W8)</f>
        <v>1.5982293760716412E-21</v>
      </c>
      <c r="G8" t="s">
        <v>718</v>
      </c>
      <c r="H8" t="s">
        <v>539</v>
      </c>
      <c r="I8">
        <f>-I9/2/I7^2-$F7*LN(I7)</f>
        <v>-49.56836635831052</v>
      </c>
      <c r="J8" t="s">
        <v>324</v>
      </c>
      <c r="K8">
        <f>-K9/2/K7^2-$F7*LN(K7)</f>
        <v>-49.781661991543579</v>
      </c>
      <c r="L8" t="s">
        <v>540</v>
      </c>
      <c r="M8">
        <f>-M9/2/M7^2-$F7*LN(M7)</f>
        <v>-50.060573176521885</v>
      </c>
      <c r="N8" t="s">
        <v>542</v>
      </c>
      <c r="O8">
        <f>-O9/2/O7^2-$F7*LN(O7)</f>
        <v>-50.055527304899854</v>
      </c>
      <c r="P8" t="s">
        <v>543</v>
      </c>
      <c r="Q8">
        <f>-Q9/2/Q7^2-$F7*LN(Q7)</f>
        <v>-50.044868320252107</v>
      </c>
      <c r="R8" t="s">
        <v>541</v>
      </c>
      <c r="S8">
        <f>-S9/2/S7^2-$F7*LN(S7)</f>
        <v>-52.803387507359076</v>
      </c>
      <c r="T8" t="s">
        <v>544</v>
      </c>
      <c r="U8">
        <f>-U9/2/U7^2-$F7*LN(U7)</f>
        <v>-49.704207415637782</v>
      </c>
      <c r="V8" t="s">
        <v>723</v>
      </c>
      <c r="W8">
        <f>-W9/2/W7^2-$F7*LN(W7)</f>
        <v>-49.773310663643116</v>
      </c>
      <c r="Y8">
        <f>-Y9/2/Y7^2-$F7*LN(Y7)</f>
        <v>-51.796476048369264</v>
      </c>
      <c r="AA8" s="23" t="s">
        <v>558</v>
      </c>
      <c r="AB8" s="35">
        <f>M5</f>
        <v>0.11358741069769653</v>
      </c>
      <c r="AC8" s="24">
        <f>AB8</f>
        <v>0.11358741069769653</v>
      </c>
      <c r="AE8">
        <v>0.5</v>
      </c>
      <c r="AF8">
        <f>Table1!C27</f>
        <v>3</v>
      </c>
      <c r="AG8">
        <f>Table1!E27</f>
        <v>-1.05</v>
      </c>
      <c r="AH8">
        <f>Table1!G27</f>
        <v>0.13</v>
      </c>
      <c r="AK8">
        <f>AH8</f>
        <v>0.13</v>
      </c>
      <c r="AL8">
        <f>AH8</f>
        <v>0.13</v>
      </c>
      <c r="AM8">
        <f t="shared" si="1"/>
        <v>4.2929763129256919</v>
      </c>
      <c r="AN8">
        <f t="shared" si="2"/>
        <v>8.6651858909901947</v>
      </c>
      <c r="AO8">
        <f t="shared" si="3"/>
        <v>3.1599984637032326</v>
      </c>
      <c r="AP8">
        <f t="shared" si="4"/>
        <v>4.5904453450219753</v>
      </c>
      <c r="AR8" s="2"/>
      <c r="AS8" s="2"/>
      <c r="BB8" s="2"/>
      <c r="BC8" s="2"/>
    </row>
    <row r="9" spans="1:62" ht="15.5" x14ac:dyDescent="0.35">
      <c r="B9" t="s">
        <v>544</v>
      </c>
      <c r="C9" t="s">
        <v>624</v>
      </c>
      <c r="D9" t="s">
        <v>623</v>
      </c>
      <c r="F9" t="s">
        <v>1038</v>
      </c>
      <c r="G9" t="s">
        <v>717</v>
      </c>
      <c r="I9">
        <f>SUM(I10:I78)</f>
        <v>354.29245157747744</v>
      </c>
      <c r="K9">
        <f>SUM(K10:K78)</f>
        <v>358.47240422235217</v>
      </c>
      <c r="M9">
        <f>SUM(M10:M78)</f>
        <v>367.7143370149463</v>
      </c>
      <c r="O9">
        <f>SUM(O10:O78)</f>
        <v>366.83784711485856</v>
      </c>
      <c r="Q9">
        <f>SUM(Q10:Q78)</f>
        <v>366.55865919614916</v>
      </c>
      <c r="S9">
        <f>SUM(S10:S78)</f>
        <v>447.29650101826815</v>
      </c>
      <c r="U9">
        <f>SUM(U10:U78)</f>
        <v>358.47240422235228</v>
      </c>
      <c r="W9">
        <f>SUM(W10:W78)</f>
        <v>360.24617878132671</v>
      </c>
      <c r="Y9">
        <f>SUM(Y10:Y78)</f>
        <v>354.98807755422678</v>
      </c>
      <c r="AA9" s="23" t="s">
        <v>724</v>
      </c>
      <c r="AB9" s="11">
        <f>W5</f>
        <v>0.15138635201090125</v>
      </c>
      <c r="AC9" s="24">
        <f>AB9</f>
        <v>0.15138635201090125</v>
      </c>
      <c r="AE9">
        <v>0.5</v>
      </c>
      <c r="AF9">
        <f>Table1!C14</f>
        <v>2.4900000000000002</v>
      </c>
      <c r="AG9">
        <f>Table1!E14</f>
        <v>0.03</v>
      </c>
      <c r="AH9">
        <f>Table1!G14</f>
        <v>5.2456722354448461E-2</v>
      </c>
      <c r="AK9">
        <f>AH9</f>
        <v>5.2456722354448461E-2</v>
      </c>
      <c r="AL9">
        <f>AH9</f>
        <v>5.2456722354448461E-2</v>
      </c>
      <c r="AM9">
        <f t="shared" si="1"/>
        <v>3.5631703397283241</v>
      </c>
      <c r="AN9">
        <f t="shared" si="2"/>
        <v>6.162555051607181</v>
      </c>
      <c r="AO9">
        <f t="shared" si="3"/>
        <v>2.6227987248736833</v>
      </c>
      <c r="AP9">
        <f t="shared" si="4"/>
        <v>3.3033290049572948</v>
      </c>
    </row>
    <row r="10" spans="1:62" ht="15" thickBot="1" x14ac:dyDescent="0.4">
      <c r="A10" t="str">
        <f>Table1!A3</f>
        <v>d'Arge 1979</v>
      </c>
      <c r="B10">
        <f>Table1!C3</f>
        <v>-1</v>
      </c>
      <c r="C10">
        <f>Table1!E3</f>
        <v>-0.59642907312262095</v>
      </c>
      <c r="D10">
        <v>1</v>
      </c>
      <c r="E10" t="s">
        <v>1082</v>
      </c>
      <c r="F10" s="5">
        <f>Table1!M3</f>
        <v>2.9325226176909172</v>
      </c>
      <c r="H10">
        <f t="shared" ref="H10:H73" si="5">H$1*B10+H$2*B10^2</f>
        <v>0.50138190912181779</v>
      </c>
      <c r="I10">
        <f t="shared" ref="I10:I73" si="6">$D10*(H10-$C10)^2</f>
        <v>1.2051889527364992</v>
      </c>
      <c r="J10">
        <f t="shared" ref="J10:J73" si="7">IF(B10&lt;=J$2,B10*J$1,J$1*J$2+J$3*(B10-J$2))</f>
        <v>0.86001421260953193</v>
      </c>
      <c r="K10">
        <f t="shared" ref="K10:K73" si="8">$D10*(J10-$C10)^2</f>
        <v>2.1212270445542694</v>
      </c>
      <c r="L10">
        <f t="shared" ref="L10:L73" si="9">L$1*B10^2</f>
        <v>-0.17401761044758643</v>
      </c>
      <c r="M10">
        <f t="shared" ref="M10:M73" si="10">$D10*(L10-$C10)^2</f>
        <v>0.17843144379926207</v>
      </c>
      <c r="N10">
        <f t="shared" ref="N10:N73" si="11">N$1*B10^2+N$2*B10^7</f>
        <v>-0.18360487219376875</v>
      </c>
      <c r="O10">
        <f t="shared" ref="O10:O73" si="12">$D10*(N10-$C10)^2</f>
        <v>0.17042382087254532</v>
      </c>
      <c r="P10" s="24">
        <f t="shared" ref="P10:P73" si="13">P$1*B10^2+P$2*B10^6</f>
        <v>-0.19284024848699868</v>
      </c>
      <c r="Q10">
        <f t="shared" ref="Q10:Q73" si="14">$D10*(P10-$C10)^2</f>
        <v>0.16288393937076309</v>
      </c>
      <c r="R10">
        <f t="shared" ref="R10:R73" si="15">R$2+R$1*EXP(B10)</f>
        <v>4.8052716942227833E-3</v>
      </c>
      <c r="S10">
        <f t="shared" ref="S10:S73" si="16">$D10*(R10-$C10)^2</f>
        <v>0.36148273738733927</v>
      </c>
      <c r="T10">
        <f t="shared" ref="T10:T73" si="17">T$1*B10</f>
        <v>0.86001421927759059</v>
      </c>
      <c r="U10">
        <f t="shared" ref="U10:U73" si="18">$D10*(T10-$C10)^2</f>
        <v>2.1212270639775679</v>
      </c>
      <c r="V10">
        <f>(1-EXP(-2*V$1*B10))/2/EXP(-V$1*B10)</f>
        <v>0.41762310976459183</v>
      </c>
      <c r="W10">
        <f t="shared" ref="W10:W73" si="19">$D10*(V10-$C10)^2</f>
        <v>1.0283018296183215</v>
      </c>
      <c r="X10" s="33">
        <f>H10*I$5+J10*K$5+L10*M$5+N10*O$5+P10*Q$5+R10*S$5+T10*U$5+V10*W$5</f>
        <v>0.36206767312124727</v>
      </c>
      <c r="Y10">
        <f t="shared" ref="Y10:Y73" si="20">$D10*(X10-$C10)^2</f>
        <v>0.9187160125600824</v>
      </c>
      <c r="AE10">
        <v>0.5</v>
      </c>
      <c r="AF10">
        <f>Table1!C15</f>
        <v>2.4900000000000002</v>
      </c>
      <c r="AG10">
        <f>Table1!E15</f>
        <v>0.1</v>
      </c>
      <c r="AH10">
        <f>Table1!G15</f>
        <v>1.3758216049095459E-2</v>
      </c>
      <c r="AK10">
        <f>AH10</f>
        <v>1.3758216049095459E-2</v>
      </c>
      <c r="AL10">
        <f>AH10</f>
        <v>1.3758216049095459E-2</v>
      </c>
      <c r="AM10">
        <f t="shared" si="1"/>
        <v>3.5631703397283241</v>
      </c>
      <c r="AN10">
        <f t="shared" si="2"/>
        <v>6.2991632118605452</v>
      </c>
      <c r="AO10">
        <f t="shared" si="3"/>
        <v>2.6227987248736833</v>
      </c>
      <c r="AP10">
        <f t="shared" si="4"/>
        <v>3.4035461883438316</v>
      </c>
    </row>
    <row r="11" spans="1:62" x14ac:dyDescent="0.35">
      <c r="A11" t="str">
        <f>Table1!A4</f>
        <v>Nordhaus 1982</v>
      </c>
      <c r="B11">
        <f>Table1!C4</f>
        <v>2.5</v>
      </c>
      <c r="C11">
        <f>Table1!E4</f>
        <v>-3</v>
      </c>
      <c r="D11">
        <v>1</v>
      </c>
      <c r="E11" t="s">
        <v>1082</v>
      </c>
      <c r="F11" s="5">
        <f>Table1!M4</f>
        <v>-3</v>
      </c>
      <c r="H11">
        <f t="shared" si="5"/>
        <v>-1.8255770271968221</v>
      </c>
      <c r="I11">
        <f t="shared" si="6"/>
        <v>1.3792693190478538</v>
      </c>
      <c r="J11">
        <f t="shared" si="7"/>
        <v>-2.1500355315238298</v>
      </c>
      <c r="K11">
        <f t="shared" si="8"/>
        <v>0.72243959767197863</v>
      </c>
      <c r="L11">
        <f t="shared" si="9"/>
        <v>-1.0876100652974152</v>
      </c>
      <c r="M11">
        <f t="shared" si="10"/>
        <v>3.6572352623517563</v>
      </c>
      <c r="N11">
        <f t="shared" si="11"/>
        <v>-1.1469228310703414</v>
      </c>
      <c r="O11">
        <f t="shared" si="12"/>
        <v>3.4338949940083583</v>
      </c>
      <c r="P11" s="24">
        <f t="shared" si="13"/>
        <v>-1.2023932245881224</v>
      </c>
      <c r="Q11">
        <f t="shared" si="14"/>
        <v>3.2313901190066887</v>
      </c>
      <c r="R11">
        <f t="shared" si="15"/>
        <v>-8.500739447514076E-2</v>
      </c>
      <c r="S11">
        <f t="shared" si="16"/>
        <v>8.4971818902646081</v>
      </c>
      <c r="T11">
        <f t="shared" si="17"/>
        <v>-2.1500355481939764</v>
      </c>
      <c r="U11">
        <f t="shared" si="18"/>
        <v>0.72243956933391429</v>
      </c>
      <c r="V11">
        <f t="shared" ref="V11:V74" si="21">(1-EXP(-2*V$1*B11))/2/EXP(-V$1*B11)</f>
        <v>-1.199838236748753</v>
      </c>
      <c r="W11">
        <f t="shared" si="19"/>
        <v>3.2405823738718387</v>
      </c>
      <c r="X11" s="33">
        <f t="shared" ref="X11:X74" si="22">H11*I$5+J11*K$5+L11*M$5+N11*O$5+P11*Q$5+R11*S$5+T11*U$5+V11*W$5</f>
        <v>-1.5862549865874187</v>
      </c>
      <c r="Y11">
        <f t="shared" si="20"/>
        <v>1.9986749629489398</v>
      </c>
      <c r="AE11">
        <f>1/3</f>
        <v>0.33333333333333331</v>
      </c>
      <c r="AF11">
        <f>Table1!C40</f>
        <v>2</v>
      </c>
      <c r="AG11">
        <f>Table1!E40</f>
        <v>-1.0517705037403</v>
      </c>
      <c r="AH11">
        <f>Table1!G40</f>
        <v>0.58185612208306359</v>
      </c>
      <c r="AK11">
        <f t="shared" ref="AK11:AK20" si="23">AH11</f>
        <v>0.58185612208306359</v>
      </c>
      <c r="AL11">
        <f t="shared" ref="AL11:AL20" si="24">AH11</f>
        <v>0.58185612208306359</v>
      </c>
      <c r="AM11">
        <f t="shared" si="1"/>
        <v>2.8619842086171277</v>
      </c>
      <c r="AN11">
        <f t="shared" si="2"/>
        <v>1.732994697000497</v>
      </c>
      <c r="AO11">
        <f t="shared" si="3"/>
        <v>2.1066656424688217</v>
      </c>
      <c r="AP11">
        <f t="shared" si="4"/>
        <v>0.77501469115301513</v>
      </c>
      <c r="AR11" s="3"/>
      <c r="AS11" s="3"/>
      <c r="AT11" s="3"/>
      <c r="AU11" s="3"/>
      <c r="AV11" s="3"/>
      <c r="AW11" s="3"/>
      <c r="BB11" s="3"/>
      <c r="BC11" s="3"/>
      <c r="BD11" s="3"/>
      <c r="BE11" s="3"/>
      <c r="BF11" s="3"/>
      <c r="BG11" s="3"/>
    </row>
    <row r="12" spans="1:62" x14ac:dyDescent="0.35">
      <c r="A12" t="str">
        <f>Table1!A5</f>
        <v>Nordhaus 1991</v>
      </c>
      <c r="B12">
        <f>Table1!C5</f>
        <v>3</v>
      </c>
      <c r="C12">
        <f>Table1!E5</f>
        <v>-1</v>
      </c>
      <c r="D12">
        <f>1/6</f>
        <v>0.16666666666666666</v>
      </c>
      <c r="E12" t="s">
        <v>1085</v>
      </c>
      <c r="F12" s="5">
        <f>Table1!M5</f>
        <v>-0.77341098431592292</v>
      </c>
      <c r="H12">
        <f t="shared" si="5"/>
        <v>-2.2887705333891484</v>
      </c>
      <c r="I12">
        <f t="shared" si="6"/>
        <v>0.27682158128869166</v>
      </c>
      <c r="J12">
        <f t="shared" si="7"/>
        <v>-2.5800426378285959</v>
      </c>
      <c r="K12">
        <f t="shared" si="8"/>
        <v>0.41608912289272459</v>
      </c>
      <c r="L12">
        <f t="shared" si="9"/>
        <v>-1.5661584940282778</v>
      </c>
      <c r="M12">
        <f t="shared" si="10"/>
        <v>5.3422573393394575E-2</v>
      </c>
      <c r="N12">
        <f t="shared" si="11"/>
        <v>-1.6502798366921252</v>
      </c>
      <c r="O12">
        <f t="shared" si="12"/>
        <v>7.04773110013895E-2</v>
      </c>
      <c r="P12" s="24">
        <f t="shared" si="13"/>
        <v>-1.7269112166631233</v>
      </c>
      <c r="Q12">
        <f t="shared" si="14"/>
        <v>8.8066652818443697E-2</v>
      </c>
      <c r="R12">
        <f t="shared" si="15"/>
        <v>-0.14508496688669037</v>
      </c>
      <c r="S12">
        <f t="shared" si="16"/>
        <v>0.12181328564052188</v>
      </c>
      <c r="T12">
        <f t="shared" si="17"/>
        <v>-2.580042657832772</v>
      </c>
      <c r="U12">
        <f t="shared" si="18"/>
        <v>0.4160891334285417</v>
      </c>
      <c r="V12">
        <f t="shared" si="21"/>
        <v>-1.5442183483497223</v>
      </c>
      <c r="W12">
        <f t="shared" si="19"/>
        <v>4.9362268446749936E-2</v>
      </c>
      <c r="X12" s="33">
        <f t="shared" si="22"/>
        <v>-2.0315530881323554</v>
      </c>
      <c r="Y12">
        <f t="shared" si="20"/>
        <v>0.17735029560589979</v>
      </c>
      <c r="AE12">
        <f>1/3</f>
        <v>0.33333333333333331</v>
      </c>
      <c r="AF12">
        <f>Table1!C41</f>
        <v>4</v>
      </c>
      <c r="AG12">
        <f>Table1!E41</f>
        <v>-4.6911160007283899</v>
      </c>
      <c r="AH12">
        <f>Table1!G41</f>
        <v>0.70640391035611572</v>
      </c>
      <c r="AK12">
        <f t="shared" si="23"/>
        <v>0.70640391035611572</v>
      </c>
      <c r="AL12">
        <f t="shared" si="24"/>
        <v>0.70640391035611572</v>
      </c>
      <c r="AM12">
        <f t="shared" si="1"/>
        <v>5.7239684172342553</v>
      </c>
      <c r="AN12">
        <f t="shared" si="2"/>
        <v>8.3919845268944222</v>
      </c>
      <c r="AO12">
        <f t="shared" si="3"/>
        <v>4.2133312849376434</v>
      </c>
      <c r="AP12">
        <f t="shared" si="4"/>
        <v>4.0995132035297619</v>
      </c>
    </row>
    <row r="13" spans="1:62" x14ac:dyDescent="0.35">
      <c r="A13" t="str">
        <f>Table1!A6</f>
        <v>Nordhaus 1994b</v>
      </c>
      <c r="B13">
        <f>Table1!C6</f>
        <v>3</v>
      </c>
      <c r="C13">
        <f>Table1!E6</f>
        <v>-1.33</v>
      </c>
      <c r="D13">
        <f>1/6</f>
        <v>0.16666666666666666</v>
      </c>
      <c r="E13" t="s">
        <v>42</v>
      </c>
      <c r="F13" s="5">
        <f>Table1!M6</f>
        <v>-1.0286366091401775</v>
      </c>
      <c r="H13">
        <f t="shared" si="5"/>
        <v>-2.2887705333891484</v>
      </c>
      <c r="I13">
        <f t="shared" si="6"/>
        <v>0.15320682261588531</v>
      </c>
      <c r="J13">
        <f t="shared" si="7"/>
        <v>-2.5800426378285959</v>
      </c>
      <c r="K13">
        <f t="shared" si="8"/>
        <v>0.26043443273157896</v>
      </c>
      <c r="L13">
        <f t="shared" si="9"/>
        <v>-1.5661584940282778</v>
      </c>
      <c r="M13">
        <f t="shared" si="10"/>
        <v>9.2951390502840122E-3</v>
      </c>
      <c r="N13">
        <f t="shared" si="11"/>
        <v>-1.6502798366921252</v>
      </c>
      <c r="O13">
        <f t="shared" si="12"/>
        <v>1.7096528965255722E-2</v>
      </c>
      <c r="P13" s="24">
        <f t="shared" si="13"/>
        <v>-1.7269112166631233</v>
      </c>
      <c r="Q13">
        <f t="shared" si="14"/>
        <v>2.6256418985500123E-2</v>
      </c>
      <c r="R13">
        <f t="shared" si="15"/>
        <v>-0.14508496688669037</v>
      </c>
      <c r="S13">
        <f t="shared" si="16"/>
        <v>0.23400393928298593</v>
      </c>
      <c r="T13">
        <f t="shared" si="17"/>
        <v>-2.580042657832772</v>
      </c>
      <c r="U13">
        <f t="shared" si="18"/>
        <v>0.26043444106693669</v>
      </c>
      <c r="V13">
        <f t="shared" si="21"/>
        <v>-1.5442183483497223</v>
      </c>
      <c r="W13">
        <f t="shared" si="19"/>
        <v>7.6482501282804875E-3</v>
      </c>
      <c r="X13" s="33">
        <f t="shared" si="22"/>
        <v>-2.0315530881323554</v>
      </c>
      <c r="Y13">
        <f t="shared" si="20"/>
        <v>8.2029455911340698E-2</v>
      </c>
      <c r="AE13">
        <f>1/3</f>
        <v>0.33333333333333331</v>
      </c>
      <c r="AF13">
        <f>Table1!C42</f>
        <v>6</v>
      </c>
      <c r="AG13">
        <f>Table1!E42</f>
        <v>-9.49637530496768</v>
      </c>
      <c r="AH13">
        <f>Table1!G42</f>
        <v>1.1160602606516015</v>
      </c>
      <c r="AK13">
        <f t="shared" si="23"/>
        <v>1.1160602606516015</v>
      </c>
      <c r="AL13">
        <f t="shared" si="24"/>
        <v>1.1160602606516015</v>
      </c>
      <c r="AM13">
        <f t="shared" si="1"/>
        <v>8.5859526258513839</v>
      </c>
      <c r="AN13">
        <f t="shared" si="2"/>
        <v>18.599763982556663</v>
      </c>
      <c r="AO13">
        <f t="shared" si="3"/>
        <v>6.3199969274064651</v>
      </c>
      <c r="AP13">
        <f t="shared" si="4"/>
        <v>9.0269856105319057</v>
      </c>
    </row>
    <row r="14" spans="1:62" ht="15" thickBot="1" x14ac:dyDescent="0.4">
      <c r="A14" t="str">
        <f>Table1!A7</f>
        <v>Nordhaus 1994a</v>
      </c>
      <c r="B14">
        <f>Table1!C7</f>
        <v>3</v>
      </c>
      <c r="C14">
        <f>Table1!E7</f>
        <v>-3.6</v>
      </c>
      <c r="D14">
        <v>0.5</v>
      </c>
      <c r="E14" t="s">
        <v>1082</v>
      </c>
      <c r="F14" s="5">
        <f>Table1!M7</f>
        <v>-2.7842795435373229</v>
      </c>
      <c r="H14">
        <f t="shared" si="5"/>
        <v>-2.2887705333891484</v>
      </c>
      <c r="I14">
        <f t="shared" si="6"/>
        <v>0.85966135705428937</v>
      </c>
      <c r="J14">
        <f t="shared" si="7"/>
        <v>-2.5800426378285959</v>
      </c>
      <c r="K14">
        <f t="shared" si="8"/>
        <v>0.52015651032382448</v>
      </c>
      <c r="L14">
        <f t="shared" si="9"/>
        <v>-1.5661584940282778</v>
      </c>
      <c r="M14">
        <f t="shared" si="10"/>
        <v>2.0682556357066613</v>
      </c>
      <c r="N14">
        <f t="shared" si="11"/>
        <v>-1.6502798366921252</v>
      </c>
      <c r="O14">
        <f t="shared" si="12"/>
        <v>1.9007043576046432</v>
      </c>
      <c r="P14" s="24">
        <f t="shared" si="13"/>
        <v>-1.7269112166631233</v>
      </c>
      <c r="Q14">
        <f t="shared" si="14"/>
        <v>1.7542307951312106</v>
      </c>
      <c r="R14">
        <f t="shared" si="15"/>
        <v>-0.14508496688669037</v>
      </c>
      <c r="S14">
        <f t="shared" si="16"/>
        <v>5.9682189430161703</v>
      </c>
      <c r="T14">
        <f t="shared" si="17"/>
        <v>-2.580042657832772</v>
      </c>
      <c r="U14">
        <f t="shared" si="18"/>
        <v>0.52015648992041807</v>
      </c>
      <c r="V14">
        <f t="shared" si="21"/>
        <v>-1.5442183483497223</v>
      </c>
      <c r="W14">
        <f t="shared" si="19"/>
        <v>2.1131190996309721</v>
      </c>
      <c r="X14" s="33">
        <f t="shared" si="22"/>
        <v>-2.0315530881323554</v>
      </c>
      <c r="Y14">
        <f t="shared" si="20"/>
        <v>1.2300128576735756</v>
      </c>
      <c r="AE14">
        <v>1</v>
      </c>
      <c r="AF14">
        <f>Table1!C43</f>
        <v>3</v>
      </c>
      <c r="AG14">
        <f>Table1!E43</f>
        <v>-9.1999999999999993</v>
      </c>
      <c r="AH14">
        <f>Table1!G43</f>
        <v>10.3</v>
      </c>
      <c r="AI14">
        <f>Table1!I43</f>
        <v>-20</v>
      </c>
      <c r="AJ14">
        <f>Table1!K43</f>
        <v>-2</v>
      </c>
      <c r="AK14">
        <f>(AG14-AI14)/2</f>
        <v>5.4</v>
      </c>
      <c r="AL14">
        <f>(AJ14-AG14)/2</f>
        <v>3.5999999999999996</v>
      </c>
      <c r="AM14">
        <f t="shared" si="1"/>
        <v>4.2929763129256919</v>
      </c>
      <c r="AN14">
        <f t="shared" si="2"/>
        <v>1.2255014437435963</v>
      </c>
      <c r="AO14">
        <f t="shared" si="3"/>
        <v>3.1599984637032326</v>
      </c>
      <c r="AP14">
        <f t="shared" si="4"/>
        <v>0.19360135194351524</v>
      </c>
      <c r="AR14" s="2"/>
      <c r="AS14" s="2"/>
      <c r="AT14" s="2"/>
      <c r="AU14" s="2"/>
      <c r="AV14" s="2"/>
      <c r="AW14" s="2"/>
      <c r="BB14" s="2"/>
      <c r="BC14" s="2"/>
      <c r="BD14" s="2"/>
      <c r="BE14" s="2"/>
      <c r="BF14" s="2"/>
      <c r="BG14" s="2"/>
    </row>
    <row r="15" spans="1:62" ht="15" thickBot="1" x14ac:dyDescent="0.4">
      <c r="A15">
        <f>Table1!A8</f>
        <v>0</v>
      </c>
      <c r="B15">
        <f>Table1!C8</f>
        <v>6</v>
      </c>
      <c r="C15">
        <f>Table1!E8</f>
        <v>-6.7</v>
      </c>
      <c r="D15">
        <v>0.5</v>
      </c>
      <c r="F15" s="5">
        <f>Table1!M8</f>
        <v>-1.7602609915457885</v>
      </c>
      <c r="H15">
        <f t="shared" si="5"/>
        <v>-5.7544782758138391</v>
      </c>
      <c r="I15">
        <f t="shared" si="6"/>
        <v>0.44700566545398546</v>
      </c>
      <c r="J15">
        <f t="shared" si="7"/>
        <v>-5.1600852756571918</v>
      </c>
      <c r="K15">
        <f t="shared" si="8"/>
        <v>1.1856686791238937</v>
      </c>
      <c r="L15">
        <f t="shared" si="9"/>
        <v>-6.2646339761131111</v>
      </c>
      <c r="M15">
        <f t="shared" si="10"/>
        <v>9.4771787377539621E-2</v>
      </c>
      <c r="N15">
        <f t="shared" si="11"/>
        <v>-6.3338814726838812</v>
      </c>
      <c r="O15">
        <f t="shared" si="12"/>
        <v>6.7021388022061867E-2</v>
      </c>
      <c r="P15" s="24">
        <f t="shared" si="13"/>
        <v>-6.3820954186707013</v>
      </c>
      <c r="Q15">
        <f t="shared" si="14"/>
        <v>5.0531661415078408E-2</v>
      </c>
      <c r="R15">
        <f t="shared" si="15"/>
        <v>-3.0591944262887698</v>
      </c>
      <c r="S15">
        <f t="shared" si="16"/>
        <v>6.6277326127833804</v>
      </c>
      <c r="T15">
        <f t="shared" si="17"/>
        <v>-5.160085315665544</v>
      </c>
      <c r="U15">
        <f t="shared" si="18"/>
        <v>1.185668617514444</v>
      </c>
      <c r="V15">
        <f t="shared" si="21"/>
        <v>-5.681892862574097</v>
      </c>
      <c r="W15">
        <f t="shared" si="19"/>
        <v>0.5182710716387835</v>
      </c>
      <c r="X15" s="33">
        <f t="shared" si="22"/>
        <v>-5.7346324699933495</v>
      </c>
      <c r="Y15">
        <f t="shared" si="20"/>
        <v>0.46596723399557077</v>
      </c>
      <c r="AE15">
        <v>0.25</v>
      </c>
      <c r="AF15">
        <f>Table1!C44</f>
        <v>1.2</v>
      </c>
      <c r="AG15">
        <f>Table1!E44</f>
        <v>-2.2000000000000002</v>
      </c>
      <c r="AH15">
        <f>Table1!G44</f>
        <v>2.9</v>
      </c>
      <c r="AK15">
        <f t="shared" si="23"/>
        <v>2.9</v>
      </c>
      <c r="AL15">
        <f t="shared" si="24"/>
        <v>2.9</v>
      </c>
      <c r="AM15">
        <f t="shared" si="1"/>
        <v>1.7171905251702766</v>
      </c>
      <c r="AN15">
        <f t="shared" si="2"/>
        <v>0.34975956343674147</v>
      </c>
      <c r="AO15">
        <f t="shared" si="3"/>
        <v>1.263999385481293</v>
      </c>
      <c r="AP15">
        <f t="shared" si="4"/>
        <v>0.66912450267639667</v>
      </c>
    </row>
    <row r="16" spans="1:62" x14ac:dyDescent="0.35">
      <c r="A16" t="str">
        <f>Table1!A9</f>
        <v>Fankhauser 1995</v>
      </c>
      <c r="B16">
        <f>Table1!C9</f>
        <v>2.5</v>
      </c>
      <c r="C16">
        <f>Table1!E9</f>
        <v>-1.4</v>
      </c>
      <c r="D16">
        <v>0.34</v>
      </c>
      <c r="E16" t="s">
        <v>1086</v>
      </c>
      <c r="F16" s="5">
        <f>Table1!M9</f>
        <v>-1.4</v>
      </c>
      <c r="H16">
        <f t="shared" si="5"/>
        <v>-1.8255770271968221</v>
      </c>
      <c r="I16">
        <f t="shared" si="6"/>
        <v>6.1579374066412826E-2</v>
      </c>
      <c r="J16">
        <f t="shared" si="7"/>
        <v>-2.1500355315238298</v>
      </c>
      <c r="K16">
        <f t="shared" si="8"/>
        <v>0.19126812150639957</v>
      </c>
      <c r="L16">
        <f t="shared" si="9"/>
        <v>-1.0876100652974152</v>
      </c>
      <c r="M16">
        <f t="shared" si="10"/>
        <v>3.3179740243184951E-2</v>
      </c>
      <c r="N16">
        <f t="shared" si="11"/>
        <v>-1.1469228310703414</v>
      </c>
      <c r="O16">
        <f t="shared" si="12"/>
        <v>2.1776338167373305E-2</v>
      </c>
      <c r="P16" s="24">
        <f t="shared" si="13"/>
        <v>-1.2023932245881224</v>
      </c>
      <c r="Q16">
        <f t="shared" si="14"/>
        <v>1.3276468814151272E-2</v>
      </c>
      <c r="R16">
        <f t="shared" si="15"/>
        <v>-8.500739447514076E-2</v>
      </c>
      <c r="S16">
        <f t="shared" si="16"/>
        <v>0.58792988787891964</v>
      </c>
      <c r="T16">
        <f t="shared" si="17"/>
        <v>-2.1500355481939764</v>
      </c>
      <c r="U16">
        <f t="shared" si="18"/>
        <v>0.19126813000857718</v>
      </c>
      <c r="V16">
        <f t="shared" si="21"/>
        <v>-1.199838236748753</v>
      </c>
      <c r="W16">
        <f t="shared" si="19"/>
        <v>1.3622008699068395E-2</v>
      </c>
      <c r="X16" s="33">
        <f t="shared" si="22"/>
        <v>-1.5862549865874187</v>
      </c>
      <c r="Y16">
        <f t="shared" si="20"/>
        <v>1.1794912809751049E-2</v>
      </c>
      <c r="AE16">
        <v>0.25</v>
      </c>
      <c r="AF16">
        <f>Table1!C45</f>
        <v>3</v>
      </c>
      <c r="AG16">
        <f>Table1!E45</f>
        <v>-8.5</v>
      </c>
      <c r="AH16">
        <f>Table1!G45</f>
        <v>6.7</v>
      </c>
      <c r="AK16">
        <f t="shared" si="23"/>
        <v>6.7</v>
      </c>
      <c r="AL16">
        <f t="shared" si="24"/>
        <v>6.7</v>
      </c>
      <c r="AM16">
        <f t="shared" si="1"/>
        <v>4.2929763129256919</v>
      </c>
      <c r="AN16">
        <f t="shared" si="2"/>
        <v>1.4484407575341993</v>
      </c>
      <c r="AO16">
        <f t="shared" si="3"/>
        <v>3.1599984637032326</v>
      </c>
      <c r="AP16">
        <f t="shared" si="4"/>
        <v>3.1329027192458687</v>
      </c>
      <c r="AR16" s="3"/>
      <c r="AS16" s="3"/>
      <c r="AT16" s="3"/>
      <c r="AU16" s="3"/>
      <c r="AV16" s="3"/>
      <c r="AW16" s="3"/>
      <c r="AX16" s="3"/>
      <c r="AY16" s="3"/>
      <c r="AZ16" s="3"/>
      <c r="BB16" s="3"/>
      <c r="BC16" s="3"/>
      <c r="BD16" s="3"/>
      <c r="BE16" s="3"/>
      <c r="BF16" s="3"/>
      <c r="BG16" s="3"/>
      <c r="BH16" s="3"/>
      <c r="BI16" s="3"/>
      <c r="BJ16" s="3"/>
    </row>
    <row r="17" spans="1:62" x14ac:dyDescent="0.35">
      <c r="A17" t="str">
        <f>Table1!A10</f>
        <v>Berz undated</v>
      </c>
      <c r="B17">
        <f>Table1!C10</f>
        <v>2.5</v>
      </c>
      <c r="C17">
        <f>Table1!E10</f>
        <v>-1.5</v>
      </c>
      <c r="D17">
        <v>0.33</v>
      </c>
      <c r="E17" t="s">
        <v>296</v>
      </c>
      <c r="F17" s="5">
        <f>Table1!M10</f>
        <v>-1.5</v>
      </c>
      <c r="H17">
        <f t="shared" si="5"/>
        <v>-1.8255770271968221</v>
      </c>
      <c r="I17">
        <f t="shared" si="6"/>
        <v>3.4980132210645686E-2</v>
      </c>
      <c r="J17">
        <f t="shared" si="7"/>
        <v>-2.1500355315238298</v>
      </c>
      <c r="K17">
        <f t="shared" si="8"/>
        <v>0.13944024344034439</v>
      </c>
      <c r="L17">
        <f t="shared" si="9"/>
        <v>-1.0876100652974152</v>
      </c>
      <c r="M17">
        <f t="shared" si="10"/>
        <v>5.6121601220520706E-2</v>
      </c>
      <c r="N17">
        <f t="shared" si="11"/>
        <v>-1.1469228310703414</v>
      </c>
      <c r="O17">
        <f t="shared" si="12"/>
        <v>4.113895078239628E-2</v>
      </c>
      <c r="P17" s="24">
        <f t="shared" si="13"/>
        <v>-1.2023932245881224</v>
      </c>
      <c r="Q17">
        <f t="shared" si="14"/>
        <v>2.9228031614448407E-2</v>
      </c>
      <c r="R17">
        <f t="shared" si="15"/>
        <v>-8.500739447514076E-2</v>
      </c>
      <c r="S17">
        <f t="shared" si="16"/>
        <v>0.66072734431770974</v>
      </c>
      <c r="T17">
        <f t="shared" si="17"/>
        <v>-2.1500355481939764</v>
      </c>
      <c r="U17">
        <f t="shared" si="18"/>
        <v>0.13944025059222831</v>
      </c>
      <c r="V17">
        <f t="shared" si="21"/>
        <v>-1.199838236748753</v>
      </c>
      <c r="W17">
        <f t="shared" si="19"/>
        <v>2.9732037758972225E-2</v>
      </c>
      <c r="X17" s="33">
        <f t="shared" si="22"/>
        <v>-1.5862549865874187</v>
      </c>
      <c r="Y17">
        <f t="shared" si="20"/>
        <v>2.4551744946946074E-3</v>
      </c>
      <c r="AE17">
        <v>0.25</v>
      </c>
      <c r="AF17">
        <f>Table1!C46</f>
        <v>5</v>
      </c>
      <c r="AG17">
        <f>Table1!E46</f>
        <v>-16.100000000000001</v>
      </c>
      <c r="AH17">
        <f>Table1!G46</f>
        <v>13.3</v>
      </c>
      <c r="AK17">
        <f t="shared" si="23"/>
        <v>13.3</v>
      </c>
      <c r="AL17">
        <f t="shared" si="24"/>
        <v>13.3</v>
      </c>
      <c r="AM17">
        <f t="shared" si="1"/>
        <v>7.1549605215428187</v>
      </c>
      <c r="AN17">
        <f t="shared" si="2"/>
        <v>9.4403775479493284</v>
      </c>
      <c r="AO17">
        <f t="shared" si="3"/>
        <v>5.2666641061720547</v>
      </c>
      <c r="AP17">
        <f t="shared" si="4"/>
        <v>16.133621395766109</v>
      </c>
    </row>
    <row r="18" spans="1:62" ht="15" thickBot="1" x14ac:dyDescent="0.4">
      <c r="A18" t="str">
        <f>Table1!A11</f>
        <v>Tol 1995</v>
      </c>
      <c r="B18">
        <f>Table1!C11</f>
        <v>2.5</v>
      </c>
      <c r="C18">
        <f>Table1!E11</f>
        <v>-1.9</v>
      </c>
      <c r="D18">
        <v>0.67</v>
      </c>
      <c r="E18" t="s">
        <v>1087</v>
      </c>
      <c r="F18" s="5">
        <f>Table1!M11</f>
        <v>-1.9</v>
      </c>
      <c r="H18">
        <f t="shared" si="5"/>
        <v>-1.8255770271968221</v>
      </c>
      <c r="I18">
        <f t="shared" si="6"/>
        <v>3.7109818501779015E-3</v>
      </c>
      <c r="J18">
        <f t="shared" si="7"/>
        <v>-2.1500355315238298</v>
      </c>
      <c r="K18">
        <f t="shared" si="8"/>
        <v>4.1886903906350755E-2</v>
      </c>
      <c r="L18">
        <f t="shared" si="9"/>
        <v>-1.0876100652974152</v>
      </c>
      <c r="M18">
        <f t="shared" si="10"/>
        <v>0.44218486202406682</v>
      </c>
      <c r="N18">
        <f t="shared" si="11"/>
        <v>-1.1469228310703414</v>
      </c>
      <c r="O18">
        <f t="shared" si="12"/>
        <v>0.37997389898328332</v>
      </c>
      <c r="P18" s="24">
        <f t="shared" si="13"/>
        <v>-1.2023932245881224</v>
      </c>
      <c r="Q18">
        <f t="shared" si="14"/>
        <v>0.32605899277737371</v>
      </c>
      <c r="R18">
        <f t="shared" si="15"/>
        <v>-8.500739447514076E-2</v>
      </c>
      <c r="S18">
        <f t="shared" si="16"/>
        <v>2.2071127659336445</v>
      </c>
      <c r="T18">
        <f t="shared" si="17"/>
        <v>-2.1500355481939764</v>
      </c>
      <c r="U18">
        <f t="shared" si="18"/>
        <v>4.1886909491643753E-2</v>
      </c>
      <c r="V18">
        <f t="shared" si="21"/>
        <v>-1.199838236748753</v>
      </c>
      <c r="W18">
        <f t="shared" si="19"/>
        <v>0.32845175146179378</v>
      </c>
      <c r="X18" s="33">
        <f t="shared" si="22"/>
        <v>-1.5862549865874187</v>
      </c>
      <c r="Y18">
        <f t="shared" si="20"/>
        <v>6.5952075405644711E-2</v>
      </c>
      <c r="AE18">
        <v>0.25</v>
      </c>
      <c r="AF18">
        <f>Table1!C47</f>
        <v>7</v>
      </c>
      <c r="AG18">
        <f>Table1!E47</f>
        <v>-25</v>
      </c>
      <c r="AH18">
        <f>Table1!G47</f>
        <v>20.7</v>
      </c>
      <c r="AK18">
        <f t="shared" si="23"/>
        <v>20.7</v>
      </c>
      <c r="AL18">
        <f t="shared" si="24"/>
        <v>20.7</v>
      </c>
      <c r="AM18">
        <f t="shared" si="1"/>
        <v>10.016944730159947</v>
      </c>
      <c r="AN18">
        <f t="shared" si="2"/>
        <v>28.531917474614328</v>
      </c>
      <c r="AO18">
        <f t="shared" si="3"/>
        <v>7.3733297486408755</v>
      </c>
      <c r="AP18">
        <f t="shared" si="4"/>
        <v>44.400034997115064</v>
      </c>
      <c r="AR18" s="2"/>
      <c r="AS18" s="2"/>
      <c r="AT18" s="2"/>
      <c r="AU18" s="2"/>
      <c r="AV18" s="2"/>
      <c r="AW18" s="2"/>
      <c r="AX18" s="2"/>
      <c r="AY18" s="2"/>
      <c r="AZ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x14ac:dyDescent="0.35">
      <c r="A19" t="str">
        <f>Table1!A12</f>
        <v>Nordhaus and Yang 1996</v>
      </c>
      <c r="B19">
        <f>Table1!C12</f>
        <v>2.5</v>
      </c>
      <c r="C19">
        <f>Table1!E12</f>
        <v>-1.435622202473182</v>
      </c>
      <c r="D19">
        <f>1/6</f>
        <v>0.16666666666666666</v>
      </c>
      <c r="E19" t="s">
        <v>42</v>
      </c>
      <c r="F19" s="5">
        <f>Table1!M12</f>
        <v>-1.435622202473182</v>
      </c>
      <c r="H19">
        <f t="shared" si="5"/>
        <v>-1.8255770271968221</v>
      </c>
      <c r="I19">
        <f t="shared" si="6"/>
        <v>2.5344127554207486E-2</v>
      </c>
      <c r="J19">
        <f t="shared" si="7"/>
        <v>-2.1500355315238298</v>
      </c>
      <c r="K19">
        <f t="shared" si="8"/>
        <v>8.50644007875382E-2</v>
      </c>
      <c r="L19">
        <f t="shared" si="9"/>
        <v>-1.0876100652974152</v>
      </c>
      <c r="M19">
        <f t="shared" si="10"/>
        <v>2.0185407936940777E-2</v>
      </c>
      <c r="N19">
        <f t="shared" si="11"/>
        <v>-1.1469228310703414</v>
      </c>
      <c r="O19">
        <f t="shared" si="12"/>
        <v>1.389122117473254E-2</v>
      </c>
      <c r="P19" s="24">
        <f t="shared" si="13"/>
        <v>-1.2023932245881224</v>
      </c>
      <c r="Q19">
        <f t="shared" si="14"/>
        <v>9.0659593542182677E-3</v>
      </c>
      <c r="R19">
        <f t="shared" si="15"/>
        <v>-8.500739447514076E-2</v>
      </c>
      <c r="S19">
        <f t="shared" si="16"/>
        <v>0.30402672659726426</v>
      </c>
      <c r="T19">
        <f t="shared" si="17"/>
        <v>-2.1500355481939764</v>
      </c>
      <c r="U19">
        <f t="shared" si="18"/>
        <v>8.5064404757329876E-2</v>
      </c>
      <c r="V19">
        <f t="shared" si="21"/>
        <v>-1.199838236748753</v>
      </c>
      <c r="W19">
        <f t="shared" si="19"/>
        <v>9.2656797487897791E-3</v>
      </c>
      <c r="X19" s="33">
        <f t="shared" si="22"/>
        <v>-1.5862549865874187</v>
      </c>
      <c r="Y19">
        <f t="shared" si="20"/>
        <v>3.7817059416677093E-3</v>
      </c>
      <c r="AE19">
        <v>1</v>
      </c>
      <c r="AF19">
        <f>Table1!C54</f>
        <v>1</v>
      </c>
      <c r="AG19">
        <f>Table1!E54</f>
        <v>-2.2999999999999998</v>
      </c>
      <c r="AH19">
        <f>Table1!G54</f>
        <v>1.32</v>
      </c>
      <c r="AK19">
        <f t="shared" si="23"/>
        <v>1.32</v>
      </c>
      <c r="AL19">
        <f t="shared" si="24"/>
        <v>1.32</v>
      </c>
      <c r="AM19">
        <f t="shared" si="1"/>
        <v>1.4309921043085638</v>
      </c>
      <c r="AN19">
        <f t="shared" si="2"/>
        <v>1.23192472188431E-2</v>
      </c>
      <c r="AO19">
        <f t="shared" si="3"/>
        <v>1.0533328212344109</v>
      </c>
      <c r="AP19">
        <f t="shared" si="4"/>
        <v>7.1111384230798713E-2</v>
      </c>
    </row>
    <row r="20" spans="1:62" x14ac:dyDescent="0.35">
      <c r="A20" t="str">
        <f>Table1!A13</f>
        <v>Plambeck and Hope 1996</v>
      </c>
      <c r="B20">
        <f>Table1!C13</f>
        <v>2.5</v>
      </c>
      <c r="C20">
        <f>Table1!E13</f>
        <v>-2.8909238132996098</v>
      </c>
      <c r="D20">
        <v>0.66</v>
      </c>
      <c r="E20" t="s">
        <v>1083</v>
      </c>
      <c r="F20" s="5">
        <f>Table1!M13</f>
        <v>-2.8909238132996098</v>
      </c>
      <c r="H20">
        <f t="shared" si="5"/>
        <v>-1.8255770271968221</v>
      </c>
      <c r="I20">
        <f t="shared" si="6"/>
        <v>0.74907609127529573</v>
      </c>
      <c r="J20">
        <f t="shared" si="7"/>
        <v>-2.1500355315238298</v>
      </c>
      <c r="K20">
        <f t="shared" si="8"/>
        <v>0.36228419440796067</v>
      </c>
      <c r="L20">
        <f t="shared" si="9"/>
        <v>-1.0876100652974152</v>
      </c>
      <c r="M20">
        <f t="shared" si="10"/>
        <v>2.1462807126642569</v>
      </c>
      <c r="N20">
        <f t="shared" si="11"/>
        <v>-1.1469228310703414</v>
      </c>
      <c r="O20">
        <f t="shared" si="12"/>
        <v>2.0074160211709908</v>
      </c>
      <c r="P20" s="24">
        <f t="shared" si="13"/>
        <v>-1.2023932245881224</v>
      </c>
      <c r="Q20">
        <f t="shared" si="14"/>
        <v>1.881749462349479</v>
      </c>
      <c r="R20">
        <f t="shared" si="15"/>
        <v>-8.500739447514076E-2</v>
      </c>
      <c r="S20">
        <f t="shared" si="16"/>
        <v>5.1962901866229645</v>
      </c>
      <c r="T20">
        <f t="shared" si="17"/>
        <v>-2.1500355481939764</v>
      </c>
      <c r="U20">
        <f t="shared" si="18"/>
        <v>0.3622841781050154</v>
      </c>
      <c r="V20">
        <f t="shared" si="21"/>
        <v>-1.199838236748753</v>
      </c>
      <c r="W20">
        <f t="shared" si="19"/>
        <v>1.8874484819641069</v>
      </c>
      <c r="X20" s="33">
        <f t="shared" si="22"/>
        <v>-1.5862549865874187</v>
      </c>
      <c r="Y20">
        <f t="shared" si="20"/>
        <v>1.1234260932804132</v>
      </c>
      <c r="AE20">
        <v>1</v>
      </c>
      <c r="AF20">
        <f>Table1!C64</f>
        <v>2.5</v>
      </c>
      <c r="AG20" s="5">
        <f>Table1!E65</f>
        <v>-3.8</v>
      </c>
      <c r="AH20">
        <f>Table1!G64</f>
        <v>8.44</v>
      </c>
      <c r="AK20">
        <f t="shared" si="23"/>
        <v>8.44</v>
      </c>
      <c r="AL20">
        <f t="shared" si="24"/>
        <v>8.44</v>
      </c>
      <c r="AM20">
        <f t="shared" si="1"/>
        <v>3.5774802607714093</v>
      </c>
      <c r="AN20">
        <f t="shared" si="2"/>
        <v>23.644098214387675</v>
      </c>
      <c r="AO20">
        <f t="shared" si="3"/>
        <v>2.6333320530860274</v>
      </c>
      <c r="AP20">
        <f t="shared" si="4"/>
        <v>33.717392645718121</v>
      </c>
    </row>
    <row r="21" spans="1:62" x14ac:dyDescent="0.35">
      <c r="A21" t="str">
        <f>Table1!A14</f>
        <v>Mendelsohn et al. 2000, 2006</v>
      </c>
      <c r="B21">
        <f>Table1!C14</f>
        <v>2.4900000000000002</v>
      </c>
      <c r="C21">
        <f>Table1!E14</f>
        <v>0.03</v>
      </c>
      <c r="D21">
        <f>1/6</f>
        <v>0.16666666666666666</v>
      </c>
      <c r="E21" t="s">
        <v>1082</v>
      </c>
      <c r="F21" s="5">
        <f>Table1!M14</f>
        <v>0.03</v>
      </c>
      <c r="H21">
        <f t="shared" si="5"/>
        <v>-1.816646622615536</v>
      </c>
      <c r="I21">
        <f t="shared" si="6"/>
        <v>0.56835062480289422</v>
      </c>
      <c r="J21">
        <f t="shared" si="7"/>
        <v>-2.1414353893977345</v>
      </c>
      <c r="K21">
        <f t="shared" si="8"/>
        <v>0.78585527505481489</v>
      </c>
      <c r="L21">
        <f t="shared" si="9"/>
        <v>-1.0789265865360809</v>
      </c>
      <c r="M21">
        <f t="shared" si="10"/>
        <v>0.20495302905442736</v>
      </c>
      <c r="N21">
        <f t="shared" si="11"/>
        <v>-1.1377776372849608</v>
      </c>
      <c r="O21">
        <f t="shared" si="12"/>
        <v>0.22728410169047425</v>
      </c>
      <c r="P21" s="24">
        <f t="shared" si="13"/>
        <v>-1.1928395985253528</v>
      </c>
      <c r="Q21">
        <f t="shared" si="14"/>
        <v>0.24922278062027436</v>
      </c>
      <c r="R21">
        <f t="shared" si="15"/>
        <v>-8.4085917316243E-2</v>
      </c>
      <c r="S21">
        <f t="shared" si="16"/>
        <v>2.1692660883147722E-3</v>
      </c>
      <c r="T21">
        <f t="shared" si="17"/>
        <v>-2.1414354060012006</v>
      </c>
      <c r="U21">
        <f t="shared" si="18"/>
        <v>0.78585528707259966</v>
      </c>
      <c r="V21">
        <f t="shared" si="21"/>
        <v>-1.1935012740335162</v>
      </c>
      <c r="W21">
        <f t="shared" si="19"/>
        <v>0.24949256126027289</v>
      </c>
      <c r="X21" s="33">
        <f t="shared" si="22"/>
        <v>-1.5778105411758196</v>
      </c>
      <c r="Y21">
        <f t="shared" si="20"/>
        <v>0.43084245605268034</v>
      </c>
      <c r="AE21">
        <v>1</v>
      </c>
      <c r="AF21">
        <f>Table1!C65</f>
        <v>1</v>
      </c>
      <c r="AG21" s="5">
        <f>Table1!E66</f>
        <v>-1.35</v>
      </c>
      <c r="AI21">
        <f>Table1!I65</f>
        <v>-2.7</v>
      </c>
      <c r="AJ21">
        <f>Table1!K65</f>
        <v>-4.2</v>
      </c>
      <c r="AK21">
        <f>(AG21-AI21)/2</f>
        <v>0.67500000000000004</v>
      </c>
      <c r="AL21">
        <f>(AJ21-AG21)/2</f>
        <v>-1.425</v>
      </c>
      <c r="AM21">
        <f t="shared" si="1"/>
        <v>1.4309921043085638</v>
      </c>
      <c r="AN21">
        <f t="shared" si="2"/>
        <v>0.57152406177689041</v>
      </c>
      <c r="AO21">
        <f t="shared" si="3"/>
        <v>1.0533328212344109</v>
      </c>
      <c r="AP21">
        <f t="shared" si="4"/>
        <v>6.1421335728077153</v>
      </c>
    </row>
    <row r="22" spans="1:62" x14ac:dyDescent="0.35">
      <c r="A22">
        <f>Table1!A15</f>
        <v>0</v>
      </c>
      <c r="B22">
        <f>Table1!C15</f>
        <v>2.4900000000000002</v>
      </c>
      <c r="C22">
        <f>Table1!E15</f>
        <v>0.1</v>
      </c>
      <c r="D22">
        <f t="shared" ref="D22:D26" si="25">1/6</f>
        <v>0.16666666666666666</v>
      </c>
      <c r="F22" s="5">
        <f>Table1!M15</f>
        <v>0.1</v>
      </c>
      <c r="H22">
        <f t="shared" si="5"/>
        <v>-1.816646622615536</v>
      </c>
      <c r="I22">
        <f t="shared" si="6"/>
        <v>0.61225571266392353</v>
      </c>
      <c r="J22">
        <f t="shared" si="7"/>
        <v>-2.1414353893977345</v>
      </c>
      <c r="K22">
        <f t="shared" si="8"/>
        <v>0.83733876747409552</v>
      </c>
      <c r="L22">
        <f t="shared" si="9"/>
        <v>-1.0789265865360809</v>
      </c>
      <c r="M22">
        <f t="shared" si="10"/>
        <v>0.23164464940693591</v>
      </c>
      <c r="N22">
        <f t="shared" si="11"/>
        <v>-1.1377776372849608</v>
      </c>
      <c r="O22">
        <f t="shared" si="12"/>
        <v>0.25534891322712339</v>
      </c>
      <c r="P22" s="24">
        <f t="shared" si="13"/>
        <v>-1.1928395985253528</v>
      </c>
      <c r="Q22">
        <f t="shared" si="14"/>
        <v>0.27857237125253259</v>
      </c>
      <c r="R22">
        <f t="shared" si="15"/>
        <v>-8.4085917316243E-2</v>
      </c>
      <c r="S22">
        <f t="shared" si="16"/>
        <v>5.6479374923604437E-3</v>
      </c>
      <c r="T22">
        <f t="shared" si="17"/>
        <v>-2.1414354060012006</v>
      </c>
      <c r="U22">
        <f t="shared" si="18"/>
        <v>0.8373387798792945</v>
      </c>
      <c r="V22">
        <f t="shared" si="21"/>
        <v>-1.1935012740335162</v>
      </c>
      <c r="W22">
        <f t="shared" si="19"/>
        <v>0.27885759098772167</v>
      </c>
      <c r="X22" s="33">
        <f t="shared" si="22"/>
        <v>-1.5778105411758196</v>
      </c>
      <c r="Y22">
        <f t="shared" si="20"/>
        <v>0.46917470201344946</v>
      </c>
      <c r="AE22">
        <v>1</v>
      </c>
      <c r="AF22">
        <f>Table1!C69</f>
        <v>3</v>
      </c>
      <c r="AG22" s="5">
        <f>Table1!E69</f>
        <v>-0.7</v>
      </c>
      <c r="AI22">
        <f>Table1!I69</f>
        <v>-1.8</v>
      </c>
      <c r="AJ22">
        <f>Table1!K69</f>
        <v>-0.3</v>
      </c>
      <c r="AK22">
        <f>(AG22-AI22)/2</f>
        <v>0.55000000000000004</v>
      </c>
      <c r="AL22">
        <f>(AJ22-AG22)/2</f>
        <v>0.19999999999999998</v>
      </c>
      <c r="AM22">
        <f t="shared" si="1"/>
        <v>4.2929763129256919</v>
      </c>
      <c r="AN22">
        <f t="shared" si="2"/>
        <v>14.009871679122808</v>
      </c>
      <c r="AO22">
        <f t="shared" si="3"/>
        <v>3.1599984637032326</v>
      </c>
      <c r="AP22">
        <f t="shared" si="4"/>
        <v>8.7615909051254963</v>
      </c>
    </row>
    <row r="23" spans="1:62" x14ac:dyDescent="0.35">
      <c r="A23">
        <f>Table1!A16</f>
        <v>0</v>
      </c>
      <c r="B23">
        <f>Table1!C16</f>
        <v>4</v>
      </c>
      <c r="C23">
        <f>Table1!E16</f>
        <v>-0.01</v>
      </c>
      <c r="D23">
        <f t="shared" si="25"/>
        <v>0.16666666666666666</v>
      </c>
      <c r="F23" s="5">
        <f>Table1!M16</f>
        <v>-5.0459249646834254E-3</v>
      </c>
      <c r="H23">
        <f t="shared" si="5"/>
        <v>-3.3132356465267625</v>
      </c>
      <c r="I23">
        <f t="shared" si="6"/>
        <v>1.8185609560808467</v>
      </c>
      <c r="J23">
        <f t="shared" si="7"/>
        <v>-3.4400568504381277</v>
      </c>
      <c r="K23">
        <f t="shared" si="8"/>
        <v>1.9608816662062547</v>
      </c>
      <c r="L23">
        <f t="shared" si="9"/>
        <v>-2.7842817671613829</v>
      </c>
      <c r="M23">
        <f t="shared" si="10"/>
        <v>1.282773220600681</v>
      </c>
      <c r="N23">
        <f t="shared" si="11"/>
        <v>-2.9215168375914584</v>
      </c>
      <c r="O23">
        <f t="shared" si="12"/>
        <v>1.4128217159297611</v>
      </c>
      <c r="P23" s="24">
        <f t="shared" si="13"/>
        <v>-3.0364215307127447</v>
      </c>
      <c r="Q23">
        <f t="shared" si="14"/>
        <v>1.5265378802602787</v>
      </c>
      <c r="R23">
        <f t="shared" si="15"/>
        <v>-0.40744391179788708</v>
      </c>
      <c r="S23">
        <f t="shared" si="16"/>
        <v>2.632694383753444E-2</v>
      </c>
      <c r="T23">
        <f t="shared" si="17"/>
        <v>-3.4400568771103623</v>
      </c>
      <c r="U23">
        <f t="shared" si="18"/>
        <v>1.9608816967020153</v>
      </c>
      <c r="V23">
        <f t="shared" si="21"/>
        <v>-2.4417860253800061</v>
      </c>
      <c r="W23">
        <f t="shared" si="19"/>
        <v>0.98559721220558139</v>
      </c>
      <c r="X23" s="33">
        <f t="shared" si="22"/>
        <v>-3.0629275426692439</v>
      </c>
      <c r="Y23">
        <f t="shared" si="20"/>
        <v>1.5533944301314115</v>
      </c>
    </row>
    <row r="24" spans="1:62" x14ac:dyDescent="0.35">
      <c r="A24">
        <f>Table1!A17</f>
        <v>0</v>
      </c>
      <c r="B24">
        <f>Table1!C17</f>
        <v>4</v>
      </c>
      <c r="C24">
        <f>Table1!E17</f>
        <v>-0.04</v>
      </c>
      <c r="D24">
        <f t="shared" si="25"/>
        <v>0.16666666666666666</v>
      </c>
      <c r="F24" s="5">
        <f>Table1!M17</f>
        <v>-2.0183699858733702E-2</v>
      </c>
      <c r="H24">
        <f t="shared" si="5"/>
        <v>-3.3132356465267625</v>
      </c>
      <c r="I24">
        <f t="shared" si="6"/>
        <v>1.7856785996155786</v>
      </c>
      <c r="J24">
        <f t="shared" si="7"/>
        <v>-3.4400568504381277</v>
      </c>
      <c r="K24">
        <f t="shared" si="8"/>
        <v>1.9267310977018735</v>
      </c>
      <c r="L24">
        <f t="shared" si="9"/>
        <v>-2.7842817671613829</v>
      </c>
      <c r="M24">
        <f t="shared" si="10"/>
        <v>1.255180402929067</v>
      </c>
      <c r="N24">
        <f t="shared" si="11"/>
        <v>-2.9215168375914584</v>
      </c>
      <c r="O24">
        <f t="shared" si="12"/>
        <v>1.3838565475538465</v>
      </c>
      <c r="P24" s="24">
        <f t="shared" si="13"/>
        <v>-3.0364215307127447</v>
      </c>
      <c r="Q24">
        <f t="shared" si="14"/>
        <v>1.4964236649531513</v>
      </c>
      <c r="R24">
        <f t="shared" si="15"/>
        <v>-0.40744391179788708</v>
      </c>
      <c r="S24">
        <f t="shared" si="16"/>
        <v>2.2502504719555574E-2</v>
      </c>
      <c r="T24">
        <f t="shared" si="17"/>
        <v>-3.4400568771103623</v>
      </c>
      <c r="U24">
        <f t="shared" si="18"/>
        <v>1.9267311279309116</v>
      </c>
      <c r="V24">
        <f t="shared" si="21"/>
        <v>-2.4417860253800061</v>
      </c>
      <c r="W24">
        <f t="shared" si="19"/>
        <v>0.96142935195178114</v>
      </c>
      <c r="X24" s="33">
        <f t="shared" si="22"/>
        <v>-3.0629275426692439</v>
      </c>
      <c r="Y24">
        <f t="shared" si="20"/>
        <v>1.5230151547047188</v>
      </c>
    </row>
    <row r="25" spans="1:62" ht="15" thickBot="1" x14ac:dyDescent="0.4">
      <c r="A25">
        <f>Table1!A18</f>
        <v>0</v>
      </c>
      <c r="B25">
        <f>Table1!C18</f>
        <v>5.2</v>
      </c>
      <c r="C25">
        <f>Table1!E18</f>
        <v>-0.01</v>
      </c>
      <c r="D25">
        <f t="shared" si="25"/>
        <v>0.16666666666666666</v>
      </c>
      <c r="F25" s="5">
        <f>Table1!M18</f>
        <v>-3.3313857306890367E-3</v>
      </c>
      <c r="H25">
        <f t="shared" si="5"/>
        <v>-4.7152112396171129</v>
      </c>
      <c r="I25">
        <f t="shared" si="6"/>
        <v>3.6898354682365349</v>
      </c>
      <c r="J25">
        <f t="shared" si="7"/>
        <v>-4.472073905569566</v>
      </c>
      <c r="K25">
        <f t="shared" si="8"/>
        <v>3.3183505897941399</v>
      </c>
      <c r="L25">
        <f t="shared" si="9"/>
        <v>-4.7054361865027374</v>
      </c>
      <c r="M25">
        <f t="shared" si="10"/>
        <v>3.6745201635865614</v>
      </c>
      <c r="N25">
        <f t="shared" si="11"/>
        <v>-4.8633394175448474</v>
      </c>
      <c r="O25">
        <f t="shared" si="12"/>
        <v>3.92581725031576</v>
      </c>
      <c r="P25" s="24">
        <f t="shared" si="13"/>
        <v>-4.9771753044998475</v>
      </c>
      <c r="Q25">
        <f t="shared" si="14"/>
        <v>4.1121384176055251</v>
      </c>
      <c r="R25">
        <f t="shared" si="15"/>
        <v>-1.3703985561584808</v>
      </c>
      <c r="S25">
        <f t="shared" si="16"/>
        <v>0.30844737193301319</v>
      </c>
      <c r="T25">
        <f t="shared" si="17"/>
        <v>-4.4720739402434715</v>
      </c>
      <c r="U25">
        <f t="shared" si="18"/>
        <v>3.3183506413666501</v>
      </c>
      <c r="V25">
        <f t="shared" si="21"/>
        <v>-4.0761107349691965</v>
      </c>
      <c r="W25">
        <f t="shared" si="19"/>
        <v>2.7555427515052902</v>
      </c>
      <c r="X25" s="33">
        <f t="shared" si="22"/>
        <v>-4.5640813721827875</v>
      </c>
      <c r="Y25">
        <f t="shared" si="20"/>
        <v>3.4566095240770438</v>
      </c>
    </row>
    <row r="26" spans="1:62" x14ac:dyDescent="0.35">
      <c r="A26">
        <f>Table1!A19</f>
        <v>0</v>
      </c>
      <c r="B26">
        <f>Table1!C19</f>
        <v>5.2</v>
      </c>
      <c r="C26">
        <f>Table1!E19</f>
        <v>-0.13</v>
      </c>
      <c r="D26">
        <f t="shared" si="25"/>
        <v>0.16666666666666666</v>
      </c>
      <c r="F26" s="5">
        <f>Table1!M19</f>
        <v>-4.3308014498957478E-2</v>
      </c>
      <c r="H26">
        <f t="shared" si="5"/>
        <v>-4.7152112396171129</v>
      </c>
      <c r="I26">
        <f t="shared" si="6"/>
        <v>3.5040270186518505</v>
      </c>
      <c r="J26">
        <f t="shared" si="7"/>
        <v>-4.472073905569566</v>
      </c>
      <c r="K26">
        <f t="shared" si="8"/>
        <v>3.1422676335713575</v>
      </c>
      <c r="L26">
        <f t="shared" si="9"/>
        <v>-4.7054361865027374</v>
      </c>
      <c r="M26">
        <f t="shared" si="10"/>
        <v>3.4891027161264518</v>
      </c>
      <c r="N26">
        <f t="shared" si="11"/>
        <v>-4.8633394175448474</v>
      </c>
      <c r="O26">
        <f t="shared" si="12"/>
        <v>3.7340836736139655</v>
      </c>
      <c r="P26" s="24">
        <f t="shared" si="13"/>
        <v>-4.9771753044998475</v>
      </c>
      <c r="Q26">
        <f t="shared" si="14"/>
        <v>3.9158514054255318</v>
      </c>
      <c r="R26">
        <f t="shared" si="15"/>
        <v>-1.3703985561584808</v>
      </c>
      <c r="S26">
        <f t="shared" si="16"/>
        <v>0.25643142968667398</v>
      </c>
      <c r="T26">
        <f t="shared" si="17"/>
        <v>-4.4720739402434715</v>
      </c>
      <c r="U26">
        <f t="shared" si="18"/>
        <v>3.142267683756911</v>
      </c>
      <c r="V26">
        <f t="shared" si="21"/>
        <v>-4.0761107349691965</v>
      </c>
      <c r="W26">
        <f t="shared" si="19"/>
        <v>2.595298322106522</v>
      </c>
      <c r="X26" s="33">
        <f t="shared" si="22"/>
        <v>-4.5640813721827875</v>
      </c>
      <c r="Y26">
        <f t="shared" si="20"/>
        <v>3.2768462691897318</v>
      </c>
      <c r="AA26" t="s">
        <v>1014</v>
      </c>
      <c r="AB26" t="s">
        <v>766</v>
      </c>
      <c r="AC26" t="s">
        <v>625</v>
      </c>
      <c r="AD26" t="s">
        <v>766</v>
      </c>
      <c r="AE26" t="s">
        <v>1015</v>
      </c>
      <c r="AF26" t="s">
        <v>766</v>
      </c>
      <c r="AG26" t="s">
        <v>1016</v>
      </c>
      <c r="AH26" t="s">
        <v>766</v>
      </c>
      <c r="AI26" t="s">
        <v>1017</v>
      </c>
      <c r="AJ26" t="s">
        <v>766</v>
      </c>
      <c r="AK26" t="s">
        <v>1018</v>
      </c>
      <c r="AL26" s="39" t="s">
        <v>767</v>
      </c>
      <c r="AR26" s="4"/>
      <c r="AS26" s="4"/>
    </row>
    <row r="27" spans="1:62" x14ac:dyDescent="0.35">
      <c r="A27" t="str">
        <f>Table1!A20</f>
        <v>Nordhaus and Boyer 2000</v>
      </c>
      <c r="B27">
        <f>Table1!C20</f>
        <v>2.5</v>
      </c>
      <c r="C27">
        <f>Table1!E20</f>
        <v>-1.5</v>
      </c>
      <c r="D27">
        <f>1/6</f>
        <v>0.16666666666666666</v>
      </c>
      <c r="E27" t="s">
        <v>42</v>
      </c>
      <c r="F27" s="5">
        <f>Table1!M20</f>
        <v>-1.5</v>
      </c>
      <c r="H27">
        <f t="shared" si="5"/>
        <v>-1.8255770271968221</v>
      </c>
      <c r="I27">
        <f t="shared" si="6"/>
        <v>1.7666733439720042E-2</v>
      </c>
      <c r="J27">
        <f t="shared" si="7"/>
        <v>-2.1500355315238298</v>
      </c>
      <c r="K27">
        <f t="shared" si="8"/>
        <v>7.0424365373911307E-2</v>
      </c>
      <c r="L27">
        <f t="shared" si="9"/>
        <v>-1.0876100652974152</v>
      </c>
      <c r="M27">
        <f t="shared" si="10"/>
        <v>2.834424304066702E-2</v>
      </c>
      <c r="N27">
        <f t="shared" si="11"/>
        <v>-1.1469228310703414</v>
      </c>
      <c r="O27">
        <f t="shared" si="12"/>
        <v>2.0777247869897108E-2</v>
      </c>
      <c r="P27" s="24">
        <f t="shared" si="13"/>
        <v>-1.2023932245881224</v>
      </c>
      <c r="Q27">
        <f t="shared" si="14"/>
        <v>1.4761632128509294E-2</v>
      </c>
      <c r="R27">
        <f t="shared" si="15"/>
        <v>-8.500739447514076E-2</v>
      </c>
      <c r="S27">
        <f t="shared" si="16"/>
        <v>0.33370067894833821</v>
      </c>
      <c r="T27">
        <f t="shared" si="17"/>
        <v>-2.1500355481939764</v>
      </c>
      <c r="U27">
        <f t="shared" si="18"/>
        <v>7.0424368985973887E-2</v>
      </c>
      <c r="V27">
        <f t="shared" si="21"/>
        <v>-1.199838236748753</v>
      </c>
      <c r="W27">
        <f t="shared" si="19"/>
        <v>1.5016180686349608E-2</v>
      </c>
      <c r="X27" s="33">
        <f t="shared" si="22"/>
        <v>-1.5862549865874187</v>
      </c>
      <c r="Y27">
        <f t="shared" si="20"/>
        <v>1.23998711853263E-3</v>
      </c>
      <c r="AA27" t="str">
        <f>AA3</f>
        <v>Parabolic</v>
      </c>
      <c r="AB27" t="s">
        <v>766</v>
      </c>
      <c r="AC27" s="21">
        <f>AB3</f>
        <v>0.185820192104721</v>
      </c>
      <c r="AD27" s="21" t="s">
        <v>766</v>
      </c>
      <c r="AE27" s="21">
        <f>regressionsenum!$AA3</f>
        <v>6.3570376505511672E-2</v>
      </c>
      <c r="AF27" s="21" t="s">
        <v>766</v>
      </c>
      <c r="AG27" s="21">
        <f>regressionselic!$AA3</f>
        <v>0.19960412323643875</v>
      </c>
      <c r="AH27" s="21" t="s">
        <v>766</v>
      </c>
      <c r="AI27" s="21">
        <f>regressionsectric!$AA3</f>
        <v>0.10751713814934422</v>
      </c>
      <c r="AJ27" s="21" t="s">
        <v>766</v>
      </c>
      <c r="AK27" s="21">
        <f>regressionscge!$AA3</f>
        <v>0.10969627053984496</v>
      </c>
      <c r="AL27" s="39" t="s">
        <v>767</v>
      </c>
    </row>
    <row r="28" spans="1:62" x14ac:dyDescent="0.35">
      <c r="A28" t="str">
        <f>Table1!A21</f>
        <v>Tol 2002</v>
      </c>
      <c r="B28">
        <f>Table1!C21</f>
        <v>1</v>
      </c>
      <c r="C28">
        <f>Table1!E21</f>
        <v>2.2999999999999998</v>
      </c>
      <c r="D28">
        <v>1</v>
      </c>
      <c r="E28" t="s">
        <v>1082</v>
      </c>
      <c r="F28" s="5">
        <f>Table1!M21</f>
        <v>7.3811814044296282</v>
      </c>
      <c r="H28">
        <f t="shared" si="5"/>
        <v>-0.63215271012576701</v>
      </c>
      <c r="I28">
        <f t="shared" si="6"/>
        <v>8.5975195154978792</v>
      </c>
      <c r="J28">
        <f t="shared" si="7"/>
        <v>-0.86001421260953193</v>
      </c>
      <c r="K28">
        <f t="shared" si="8"/>
        <v>9.9856898238942389</v>
      </c>
      <c r="L28">
        <f t="shared" si="9"/>
        <v>-0.17401761044758643</v>
      </c>
      <c r="M28">
        <f t="shared" si="10"/>
        <v>6.1207631368047846</v>
      </c>
      <c r="N28">
        <f t="shared" si="11"/>
        <v>-0.18360290132577989</v>
      </c>
      <c r="O28">
        <f t="shared" si="12"/>
        <v>6.1682833714738301</v>
      </c>
      <c r="P28" s="24">
        <f t="shared" si="13"/>
        <v>-0.19284024848699868</v>
      </c>
      <c r="Q28">
        <f t="shared" si="14"/>
        <v>6.2142525044767218</v>
      </c>
      <c r="R28">
        <f t="shared" si="15"/>
        <v>-1.3062082727214401E-2</v>
      </c>
      <c r="S28">
        <f t="shared" si="16"/>
        <v>5.3502561985503583</v>
      </c>
      <c r="T28">
        <f t="shared" si="17"/>
        <v>-0.86001421927759059</v>
      </c>
      <c r="U28">
        <f t="shared" si="18"/>
        <v>9.9856898660365569</v>
      </c>
      <c r="V28">
        <f t="shared" si="21"/>
        <v>-0.41762310976459183</v>
      </c>
      <c r="W28">
        <f t="shared" si="19"/>
        <v>7.3854753667265705</v>
      </c>
      <c r="X28" s="33">
        <f t="shared" si="22"/>
        <v>-0.51238339803148403</v>
      </c>
      <c r="Y28">
        <f t="shared" si="20"/>
        <v>7.9095003775231154</v>
      </c>
      <c r="AA28" t="str">
        <f>AA9</f>
        <v>Hyperbolic sine</v>
      </c>
      <c r="AB28" t="s">
        <v>766</v>
      </c>
      <c r="AC28" s="21">
        <f>AB9</f>
        <v>0.15138635201090125</v>
      </c>
      <c r="AD28" s="21" t="s">
        <v>766</v>
      </c>
      <c r="AE28" s="21">
        <f>regressionsenum!$AA9</f>
        <v>2.9837207890771451E-2</v>
      </c>
      <c r="AF28" s="21" t="s">
        <v>766</v>
      </c>
      <c r="AG28" s="21">
        <f>regressionselic!$AA9</f>
        <v>8.9912256043691158E-2</v>
      </c>
      <c r="AH28" s="21" t="s">
        <v>766</v>
      </c>
      <c r="AI28" s="21">
        <f>regressionsectric!$AA9</f>
        <v>0.12629532505501911</v>
      </c>
      <c r="AJ28" s="21" t="s">
        <v>766</v>
      </c>
      <c r="AK28" s="21">
        <f>regressionscge!$AA9</f>
        <v>0.15210358811966579</v>
      </c>
      <c r="AL28" s="39" t="s">
        <v>767</v>
      </c>
    </row>
    <row r="29" spans="1:62" x14ac:dyDescent="0.35">
      <c r="A29" t="str">
        <f>Table1!A22</f>
        <v>Maddison 2003</v>
      </c>
      <c r="B29">
        <f>Table1!C22</f>
        <v>2.5</v>
      </c>
      <c r="C29">
        <f>Table1!E22</f>
        <v>3.3000365094043249E-2</v>
      </c>
      <c r="D29">
        <v>1</v>
      </c>
      <c r="E29" t="s">
        <v>1082</v>
      </c>
      <c r="F29" s="5">
        <f>Table1!M22</f>
        <v>3.3000365094043249E-2</v>
      </c>
      <c r="H29">
        <f t="shared" si="5"/>
        <v>-1.8255770271968221</v>
      </c>
      <c r="I29">
        <f t="shared" si="6"/>
        <v>3.4543099231347139</v>
      </c>
      <c r="J29">
        <f t="shared" si="7"/>
        <v>-2.1500355315238298</v>
      </c>
      <c r="K29">
        <f t="shared" si="8"/>
        <v>4.7656457259222016</v>
      </c>
      <c r="L29">
        <f t="shared" si="9"/>
        <v>-1.0876100652974152</v>
      </c>
      <c r="M29">
        <f t="shared" si="10"/>
        <v>1.25576773670213</v>
      </c>
      <c r="N29">
        <f t="shared" si="11"/>
        <v>-1.1469228310703414</v>
      </c>
      <c r="O29">
        <f t="shared" si="12"/>
        <v>1.3922187488467772</v>
      </c>
      <c r="P29" s="24">
        <f t="shared" si="13"/>
        <v>-1.2023932245881224</v>
      </c>
      <c r="Q29">
        <f t="shared" si="14"/>
        <v>1.5261973214277866</v>
      </c>
      <c r="R29">
        <f t="shared" si="15"/>
        <v>-8.500739447514076E-2</v>
      </c>
      <c r="S29">
        <f t="shared" si="16"/>
        <v>1.3925831318538339E-2</v>
      </c>
      <c r="T29">
        <f t="shared" si="17"/>
        <v>-2.1500355481939764</v>
      </c>
      <c r="U29">
        <f t="shared" si="18"/>
        <v>4.7656457987052585</v>
      </c>
      <c r="V29">
        <f t="shared" si="21"/>
        <v>-1.199838236748753</v>
      </c>
      <c r="W29">
        <f t="shared" si="19"/>
        <v>1.5198910181937004</v>
      </c>
      <c r="X29" s="33">
        <f t="shared" si="22"/>
        <v>-1.5862549865874187</v>
      </c>
      <c r="Y29">
        <f t="shared" si="20"/>
        <v>2.6219878939490555</v>
      </c>
      <c r="AA29" t="str">
        <f t="shared" ref="AA29:AA33" si="26">AA4</f>
        <v>Linear</v>
      </c>
      <c r="AB29" t="s">
        <v>766</v>
      </c>
      <c r="AC29" s="21">
        <f t="shared" ref="AC29:AC33" si="27">AB4</f>
        <v>0.16221756689096667</v>
      </c>
      <c r="AD29" s="21" t="s">
        <v>766</v>
      </c>
      <c r="AE29" s="21">
        <f>regressionsenum!$AA4</f>
        <v>2.6373454836913668E-2</v>
      </c>
      <c r="AF29" s="21" t="s">
        <v>766</v>
      </c>
      <c r="AG29" s="21">
        <f>regressionselic!$AA4</f>
        <v>0.26942738379205211</v>
      </c>
      <c r="AH29" s="21" t="s">
        <v>766</v>
      </c>
      <c r="AI29" s="21">
        <f>regressionsectric!$AA4</f>
        <v>0.11543024718806794</v>
      </c>
      <c r="AJ29" s="21" t="s">
        <v>766</v>
      </c>
      <c r="AK29" s="21">
        <f>regressionscge!$AA4</f>
        <v>3.3446548412103577E-3</v>
      </c>
      <c r="AL29" s="39" t="s">
        <v>767</v>
      </c>
    </row>
    <row r="30" spans="1:62" x14ac:dyDescent="0.35">
      <c r="A30" t="str">
        <f>Table1!A23</f>
        <v>Rehdanz and Maddison 2005</v>
      </c>
      <c r="B30">
        <f>Table1!C23</f>
        <v>0.6</v>
      </c>
      <c r="C30">
        <f>Table1!E23</f>
        <v>-0.17962065483383896</v>
      </c>
      <c r="D30">
        <v>0.5</v>
      </c>
      <c r="E30" t="s">
        <v>1082</v>
      </c>
      <c r="F30" s="5">
        <f>Table1!M23</f>
        <v>-1.0354850240503519</v>
      </c>
      <c r="H30">
        <f t="shared" si="5"/>
        <v>-0.36359912995498628</v>
      </c>
      <c r="I30">
        <f t="shared" si="6"/>
        <v>1.6924039653951312E-2</v>
      </c>
      <c r="J30">
        <f t="shared" si="7"/>
        <v>-0.51600852756571913</v>
      </c>
      <c r="K30">
        <f t="shared" si="8"/>
        <v>5.6578400460539816E-2</v>
      </c>
      <c r="L30">
        <f t="shared" si="9"/>
        <v>-6.2646339761131112E-2</v>
      </c>
      <c r="M30">
        <f t="shared" si="10"/>
        <v>6.8414951933645635E-3</v>
      </c>
      <c r="N30">
        <f t="shared" si="11"/>
        <v>-6.6097371647673681E-2</v>
      </c>
      <c r="O30">
        <f t="shared" si="12"/>
        <v>6.4437679126831387E-3</v>
      </c>
      <c r="P30" s="24">
        <f t="shared" si="13"/>
        <v>-6.9426254379101604E-2</v>
      </c>
      <c r="Q30">
        <f t="shared" si="14"/>
        <v>6.0714029457895101E-3</v>
      </c>
      <c r="R30">
        <f t="shared" si="15"/>
        <v>-6.2496056260627816E-3</v>
      </c>
      <c r="S30">
        <f t="shared" si="16"/>
        <v>1.5028760351702575E-2</v>
      </c>
      <c r="T30">
        <f t="shared" si="17"/>
        <v>-0.51600853156655435</v>
      </c>
      <c r="U30">
        <f t="shared" si="18"/>
        <v>5.6578401806372275E-2</v>
      </c>
      <c r="V30">
        <f t="shared" si="21"/>
        <v>-0.24623132683082094</v>
      </c>
      <c r="W30">
        <f t="shared" si="19"/>
        <v>2.2184908119447597E-3</v>
      </c>
      <c r="X30" s="33">
        <f t="shared" si="22"/>
        <v>-0.28873088440426142</v>
      </c>
      <c r="Y30">
        <f t="shared" si="20"/>
        <v>5.9525210984551465E-3</v>
      </c>
      <c r="AA30" t="str">
        <f>AA2</f>
        <v>Piecewise linear</v>
      </c>
      <c r="AB30" t="s">
        <v>766</v>
      </c>
      <c r="AC30" s="21">
        <f>AB2</f>
        <v>0.1501273394763003</v>
      </c>
      <c r="AD30" s="21" t="s">
        <v>766</v>
      </c>
      <c r="AE30" s="21">
        <f>regressionsenum!$AA2</f>
        <v>0.41892242523483003</v>
      </c>
      <c r="AF30" s="21" t="s">
        <v>766</v>
      </c>
      <c r="AG30" s="21">
        <f>regressionselic!$AA2</f>
        <v>8.1532613048905134E-2</v>
      </c>
      <c r="AH30" s="21" t="s">
        <v>766</v>
      </c>
      <c r="AI30" s="21">
        <f>regressionsectric!$AA2</f>
        <v>0.14288689321863102</v>
      </c>
      <c r="AJ30" s="21" t="s">
        <v>766</v>
      </c>
      <c r="AK30" s="21">
        <f>regressionscge!$AA2</f>
        <v>0.11744814908182744</v>
      </c>
      <c r="AL30" s="39" t="s">
        <v>767</v>
      </c>
    </row>
    <row r="31" spans="1:62" ht="15" thickBot="1" x14ac:dyDescent="0.4">
      <c r="A31">
        <f>Table1!A24</f>
        <v>0</v>
      </c>
      <c r="B31">
        <f>Table1!C24</f>
        <v>1</v>
      </c>
      <c r="C31">
        <f>Table1!E24</f>
        <v>-0.30947656699459297</v>
      </c>
      <c r="D31">
        <v>0.5</v>
      </c>
      <c r="F31" s="5">
        <f>Table1!M24</f>
        <v>-0.99317507887269996</v>
      </c>
      <c r="H31">
        <f t="shared" si="5"/>
        <v>-0.63215271012576701</v>
      </c>
      <c r="I31">
        <f t="shared" si="6"/>
        <v>5.205994667300496E-2</v>
      </c>
      <c r="J31">
        <f t="shared" si="7"/>
        <v>-0.86001421260953193</v>
      </c>
      <c r="K31">
        <f t="shared" si="8"/>
        <v>0.15154584961962003</v>
      </c>
      <c r="L31">
        <f t="shared" si="9"/>
        <v>-0.17401761044758643</v>
      </c>
      <c r="M31">
        <f t="shared" si="10"/>
        <v>9.1745644544019029E-3</v>
      </c>
      <c r="N31">
        <f t="shared" si="11"/>
        <v>-0.18360290132577989</v>
      </c>
      <c r="O31">
        <f t="shared" si="12"/>
        <v>7.9220898544520666E-3</v>
      </c>
      <c r="P31" s="24">
        <f t="shared" si="13"/>
        <v>-0.19284024848699868</v>
      </c>
      <c r="Q31">
        <f t="shared" si="14"/>
        <v>6.8020153975024908E-3</v>
      </c>
      <c r="R31">
        <f t="shared" si="15"/>
        <v>-1.3062082727214401E-2</v>
      </c>
      <c r="S31">
        <f t="shared" si="16"/>
        <v>4.3930773241748017E-2</v>
      </c>
      <c r="T31">
        <f t="shared" si="17"/>
        <v>-0.86001421927759059</v>
      </c>
      <c r="U31">
        <f t="shared" si="18"/>
        <v>0.15154585329063741</v>
      </c>
      <c r="V31">
        <f t="shared" si="21"/>
        <v>-0.41762310976459183</v>
      </c>
      <c r="W31">
        <f t="shared" si="19"/>
        <v>5.8478373565515954E-3</v>
      </c>
      <c r="X31" s="33">
        <f t="shared" si="22"/>
        <v>-0.51238339803148403</v>
      </c>
      <c r="Y31">
        <f t="shared" si="20"/>
        <v>2.0585591040716729E-2</v>
      </c>
      <c r="AA31" t="str">
        <f t="shared" si="26"/>
        <v>T^2+T^6</v>
      </c>
      <c r="AB31" t="s">
        <v>766</v>
      </c>
      <c r="AC31" s="21">
        <f t="shared" si="27"/>
        <v>0.11538536601749935</v>
      </c>
      <c r="AD31" s="21" t="s">
        <v>766</v>
      </c>
      <c r="AE31" s="21">
        <f>regressionsenum!$AA6</f>
        <v>0.17903146578025633</v>
      </c>
      <c r="AF31" s="21" t="s">
        <v>766</v>
      </c>
      <c r="AG31" s="21">
        <f>regressionselic!$AA6</f>
        <v>0.10029765285902004</v>
      </c>
      <c r="AH31" s="21" t="s">
        <v>766</v>
      </c>
      <c r="AI31" s="21">
        <f>regressionsectric!$AA6</f>
        <v>0.12812369063052659</v>
      </c>
      <c r="AJ31" s="21" t="s">
        <v>766</v>
      </c>
      <c r="AK31" s="21">
        <f>regressionscge!$AA6</f>
        <v>0.23567601895685511</v>
      </c>
      <c r="AL31" s="39" t="s">
        <v>767</v>
      </c>
      <c r="AR31" s="2"/>
      <c r="AS31" s="2"/>
    </row>
    <row r="32" spans="1:62" x14ac:dyDescent="0.35">
      <c r="A32" t="str">
        <f>Table1!A25</f>
        <v>Hope 2006</v>
      </c>
      <c r="B32">
        <f>Table1!C25</f>
        <v>2.5</v>
      </c>
      <c r="C32">
        <f>Table1!E25</f>
        <v>-0.9804776851232514</v>
      </c>
      <c r="D32">
        <v>1</v>
      </c>
      <c r="E32" t="s">
        <v>1082</v>
      </c>
      <c r="F32" s="5">
        <f>Table1!M25</f>
        <v>-0.9804776851232514</v>
      </c>
      <c r="H32">
        <f t="shared" si="5"/>
        <v>-1.8255770271968221</v>
      </c>
      <c r="I32">
        <f t="shared" si="6"/>
        <v>0.71419289797318208</v>
      </c>
      <c r="J32">
        <f t="shared" si="7"/>
        <v>-2.1500355315238298</v>
      </c>
      <c r="K32">
        <f t="shared" si="8"/>
        <v>1.3678655560771587</v>
      </c>
      <c r="L32">
        <f t="shared" si="9"/>
        <v>-1.0876100652974152</v>
      </c>
      <c r="M32">
        <f t="shared" si="10"/>
        <v>1.1477346881781569E-2</v>
      </c>
      <c r="N32">
        <f t="shared" si="11"/>
        <v>-1.1469228310703414</v>
      </c>
      <c r="O32">
        <f t="shared" si="12"/>
        <v>2.7703986609348103E-2</v>
      </c>
      <c r="P32" s="24">
        <f t="shared" si="13"/>
        <v>-1.2023932245881224</v>
      </c>
      <c r="Q32">
        <f t="shared" si="14"/>
        <v>4.9246506655984706E-2</v>
      </c>
      <c r="R32">
        <f t="shared" si="15"/>
        <v>-8.500739447514076E-2</v>
      </c>
      <c r="S32">
        <f t="shared" si="16"/>
        <v>0.80186704143341181</v>
      </c>
      <c r="T32">
        <f t="shared" si="17"/>
        <v>-2.1500355481939764</v>
      </c>
      <c r="U32">
        <f t="shared" si="18"/>
        <v>1.3678655950705603</v>
      </c>
      <c r="V32">
        <f t="shared" si="21"/>
        <v>-1.199838236748753</v>
      </c>
      <c r="W32">
        <f t="shared" si="19"/>
        <v>4.8119051609444359E-2</v>
      </c>
      <c r="X32" s="33">
        <f t="shared" si="22"/>
        <v>-1.5862549865874187</v>
      </c>
      <c r="Y32">
        <f t="shared" si="20"/>
        <v>0.36696613896920866</v>
      </c>
      <c r="AA32" t="str">
        <f t="shared" si="26"/>
        <v>T^2+T^7</v>
      </c>
      <c r="AB32" t="s">
        <v>766</v>
      </c>
      <c r="AC32" s="21">
        <f t="shared" si="27"/>
        <v>0.11416200663949455</v>
      </c>
      <c r="AD32" s="21" t="s">
        <v>766</v>
      </c>
      <c r="AE32" s="21">
        <f>regressionsenum!$AA7</f>
        <v>0.19480378025387163</v>
      </c>
      <c r="AF32" s="21" t="s">
        <v>766</v>
      </c>
      <c r="AG32" s="21">
        <f>regressionselic!$AA7</f>
        <v>9.5591392018661972E-2</v>
      </c>
      <c r="AH32" s="21" t="s">
        <v>766</v>
      </c>
      <c r="AI32" s="21">
        <f>regressionsectric!$AA7</f>
        <v>0.13254812208726077</v>
      </c>
      <c r="AJ32" s="21" t="s">
        <v>766</v>
      </c>
      <c r="AK32" s="21">
        <f>regressionscge!$AA7</f>
        <v>0.27126684433129028</v>
      </c>
      <c r="AL32" s="39" t="s">
        <v>767</v>
      </c>
    </row>
    <row r="33" spans="1:52" ht="15" thickBot="1" x14ac:dyDescent="0.4">
      <c r="A33" t="str">
        <f>Table1!A26</f>
        <v>Nordhaus 2006</v>
      </c>
      <c r="B33">
        <f>Table1!C26</f>
        <v>3</v>
      </c>
      <c r="C33">
        <f>Table1!E26</f>
        <v>-0.93</v>
      </c>
      <c r="D33">
        <v>0.5</v>
      </c>
      <c r="E33" t="s">
        <v>1082</v>
      </c>
      <c r="F33" s="5">
        <f>Table1!M26</f>
        <v>-0.71927221541380837</v>
      </c>
      <c r="H33">
        <f t="shared" si="5"/>
        <v>-2.2887705333891484</v>
      </c>
      <c r="I33">
        <f t="shared" si="6"/>
        <v>0.92312868120331515</v>
      </c>
      <c r="J33">
        <f t="shared" si="7"/>
        <v>-2.5800426378285959</v>
      </c>
      <c r="K33">
        <f t="shared" si="8"/>
        <v>1.3613203533261751</v>
      </c>
      <c r="L33">
        <f t="shared" si="9"/>
        <v>-1.5661584940282778</v>
      </c>
      <c r="M33">
        <f t="shared" si="10"/>
        <v>0.20234881476216313</v>
      </c>
      <c r="N33">
        <f t="shared" si="11"/>
        <v>-1.6502798366921252</v>
      </c>
      <c r="O33">
        <f t="shared" si="12"/>
        <v>0.25940152157261726</v>
      </c>
      <c r="P33" s="24">
        <f t="shared" si="13"/>
        <v>-1.7269112166631233</v>
      </c>
      <c r="Q33">
        <f t="shared" si="14"/>
        <v>0.31753374362174969</v>
      </c>
      <c r="R33">
        <f t="shared" si="15"/>
        <v>-0.14508496688669037</v>
      </c>
      <c r="S33">
        <f t="shared" si="16"/>
        <v>0.30804580460363401</v>
      </c>
      <c r="T33">
        <f t="shared" si="17"/>
        <v>-2.580042657832772</v>
      </c>
      <c r="U33">
        <f t="shared" si="18"/>
        <v>1.3613203863339189</v>
      </c>
      <c r="V33">
        <f t="shared" si="21"/>
        <v>-1.5442183483497223</v>
      </c>
      <c r="W33">
        <f t="shared" si="19"/>
        <v>0.18863208972473036</v>
      </c>
      <c r="X33" s="33">
        <f t="shared" si="22"/>
        <v>-2.0315530881323554</v>
      </c>
      <c r="Y33">
        <f t="shared" si="20"/>
        <v>0.60670960298696419</v>
      </c>
      <c r="AA33" t="str">
        <f t="shared" si="26"/>
        <v>Quadratic</v>
      </c>
      <c r="AB33" t="s">
        <v>766</v>
      </c>
      <c r="AC33" s="21">
        <f t="shared" si="27"/>
        <v>0.11358741069769653</v>
      </c>
      <c r="AD33" s="21" t="s">
        <v>766</v>
      </c>
      <c r="AE33" s="21">
        <f>regressionsenum!$AA8</f>
        <v>6.2430173749496644E-2</v>
      </c>
      <c r="AF33" s="21" t="s">
        <v>766</v>
      </c>
      <c r="AG33" s="21">
        <f>regressionselic!$AA8</f>
        <v>0.12666988210101554</v>
      </c>
      <c r="AH33" s="21" t="s">
        <v>766</v>
      </c>
      <c r="AI33" s="21">
        <f>regressionsectric!$AA8</f>
        <v>0.10377879912567443</v>
      </c>
      <c r="AJ33" s="21" t="s">
        <v>766</v>
      </c>
      <c r="AK33" s="21">
        <f>regressionscge!$AA8</f>
        <v>9.8737207162418336E-2</v>
      </c>
      <c r="AL33" s="39" t="s">
        <v>767</v>
      </c>
    </row>
    <row r="34" spans="1:52" x14ac:dyDescent="0.35">
      <c r="A34">
        <f>Table1!A27</f>
        <v>0</v>
      </c>
      <c r="B34">
        <f>Table1!C27</f>
        <v>3</v>
      </c>
      <c r="C34">
        <f>Table1!E27</f>
        <v>-1.05</v>
      </c>
      <c r="D34">
        <v>0.5</v>
      </c>
      <c r="F34" s="5">
        <f>Table1!M27</f>
        <v>-0.81208153353171908</v>
      </c>
      <c r="H34">
        <f t="shared" si="5"/>
        <v>-2.2887705333891484</v>
      </c>
      <c r="I34">
        <f t="shared" si="6"/>
        <v>0.76727621719661754</v>
      </c>
      <c r="J34">
        <f t="shared" si="7"/>
        <v>-2.5800426378285959</v>
      </c>
      <c r="K34">
        <f t="shared" si="8"/>
        <v>1.170515236786744</v>
      </c>
      <c r="L34">
        <f t="shared" si="9"/>
        <v>-1.5661584940282778</v>
      </c>
      <c r="M34">
        <f t="shared" si="10"/>
        <v>0.13320979547876982</v>
      </c>
      <c r="N34">
        <f t="shared" si="11"/>
        <v>-1.6502798366921252</v>
      </c>
      <c r="O34">
        <f t="shared" si="12"/>
        <v>0.18016794116956222</v>
      </c>
      <c r="P34" s="24">
        <f t="shared" si="13"/>
        <v>-1.7269112166631233</v>
      </c>
      <c r="Q34">
        <f t="shared" si="14"/>
        <v>0.22910439762217491</v>
      </c>
      <c r="R34">
        <f t="shared" si="15"/>
        <v>-0.14508496688669037</v>
      </c>
      <c r="S34">
        <f t="shared" si="16"/>
        <v>0.40943560857723116</v>
      </c>
      <c r="T34">
        <f t="shared" si="17"/>
        <v>-2.580042657832772</v>
      </c>
      <c r="U34">
        <f t="shared" si="18"/>
        <v>1.1705152673939865</v>
      </c>
      <c r="V34">
        <f t="shared" si="21"/>
        <v>-1.5442183483497223</v>
      </c>
      <c r="W34">
        <f t="shared" si="19"/>
        <v>0.12212588792276369</v>
      </c>
      <c r="X34" s="33">
        <f t="shared" si="22"/>
        <v>-2.0315530881323554</v>
      </c>
      <c r="Y34">
        <f t="shared" si="20"/>
        <v>0.48172323241108161</v>
      </c>
      <c r="AA34" t="str">
        <f>AA5</f>
        <v>Exponential</v>
      </c>
      <c r="AB34" t="s">
        <v>766</v>
      </c>
      <c r="AC34" s="21">
        <f>AB5</f>
        <v>7.3137661624203421E-3</v>
      </c>
      <c r="AD34" s="21" t="s">
        <v>766</v>
      </c>
      <c r="AE34" s="21">
        <f>regressionsenum!$AA5</f>
        <v>2.503111574834865E-2</v>
      </c>
      <c r="AF34" s="21" t="s">
        <v>766</v>
      </c>
      <c r="AG34" s="21">
        <f>regressionselic!$AA5</f>
        <v>3.6964696900215262E-2</v>
      </c>
      <c r="AH34" s="21" t="s">
        <v>766</v>
      </c>
      <c r="AI34" s="21">
        <f>regressionsectric!$AA5</f>
        <v>0.14341978454547596</v>
      </c>
      <c r="AJ34" s="21" t="s">
        <v>766</v>
      </c>
      <c r="AK34" s="21">
        <f>regressionscge!$AA5</f>
        <v>1.1727266966887692E-2</v>
      </c>
      <c r="AL34" s="39" t="s">
        <v>767</v>
      </c>
      <c r="AR34" s="3"/>
      <c r="AS34" s="3"/>
      <c r="AT34" s="3"/>
      <c r="AU34" s="3"/>
      <c r="AV34" s="3"/>
      <c r="AW34" s="3"/>
    </row>
    <row r="35" spans="1:52" x14ac:dyDescent="0.35">
      <c r="A35" t="str">
        <f>Table1!A28</f>
        <v>Nordhaus 2008</v>
      </c>
      <c r="B35">
        <f>Table1!C28</f>
        <v>3</v>
      </c>
      <c r="C35">
        <f>Table1!E28</f>
        <v>-2.5</v>
      </c>
      <c r="D35">
        <f>1/6</f>
        <v>0.16666666666666666</v>
      </c>
      <c r="E35" t="s">
        <v>42</v>
      </c>
      <c r="F35" s="5">
        <f>Table1!M28</f>
        <v>-1.9335274607898072</v>
      </c>
      <c r="H35">
        <f t="shared" si="5"/>
        <v>-2.2887705333891484</v>
      </c>
      <c r="I35">
        <f t="shared" si="6"/>
        <v>7.4363145941174803E-3</v>
      </c>
      <c r="J35">
        <f t="shared" si="7"/>
        <v>-2.5800426378285959</v>
      </c>
      <c r="K35">
        <f t="shared" si="8"/>
        <v>1.0678039784266281E-3</v>
      </c>
      <c r="L35">
        <f t="shared" si="9"/>
        <v>-1.5661584940282778</v>
      </c>
      <c r="M35">
        <f t="shared" si="10"/>
        <v>0.14534332637925568</v>
      </c>
      <c r="N35">
        <f t="shared" si="11"/>
        <v>-1.6502798366921252</v>
      </c>
      <c r="O35">
        <f t="shared" si="12"/>
        <v>0.12033739265532691</v>
      </c>
      <c r="P35" s="24">
        <f t="shared" si="13"/>
        <v>-1.7269112166631233</v>
      </c>
      <c r="Q35">
        <f t="shared" si="14"/>
        <v>9.9611044486882044E-2</v>
      </c>
      <c r="R35">
        <f t="shared" si="15"/>
        <v>-0.14508496688669037</v>
      </c>
      <c r="S35">
        <f t="shared" si="16"/>
        <v>0.92427080219717661</v>
      </c>
      <c r="T35">
        <f t="shared" si="17"/>
        <v>-2.580042657832772</v>
      </c>
      <c r="U35">
        <f t="shared" si="18"/>
        <v>1.0678045121557023E-3</v>
      </c>
      <c r="V35">
        <f t="shared" si="21"/>
        <v>-1.5442183483497223</v>
      </c>
      <c r="W35">
        <f t="shared" si="19"/>
        <v>0.15225309427188879</v>
      </c>
      <c r="X35" s="33">
        <f t="shared" si="22"/>
        <v>-2.0315530881323554</v>
      </c>
      <c r="Y35">
        <f t="shared" si="20"/>
        <v>3.6573751539722137E-2</v>
      </c>
    </row>
    <row r="36" spans="1:52" x14ac:dyDescent="0.35">
      <c r="A36" t="str">
        <f>Table1!A29</f>
        <v>Maddison and Rehdanz 2011</v>
      </c>
      <c r="B36">
        <f>Table1!C29</f>
        <v>3.2</v>
      </c>
      <c r="C36">
        <f>Table1!E29</f>
        <v>-5.1135252093739076</v>
      </c>
      <c r="D36">
        <v>1</v>
      </c>
      <c r="E36" t="s">
        <v>1082</v>
      </c>
      <c r="F36" s="5">
        <f>Table1!M29</f>
        <v>-3.6021692302144768</v>
      </c>
      <c r="H36">
        <f t="shared" si="5"/>
        <v>-2.4832018919363552</v>
      </c>
      <c r="I36">
        <f t="shared" si="6"/>
        <v>6.9186007542556913</v>
      </c>
      <c r="J36">
        <f t="shared" si="7"/>
        <v>-2.7520454803505023</v>
      </c>
      <c r="K36">
        <f t="shared" si="8"/>
        <v>5.5765865105884558</v>
      </c>
      <c r="L36">
        <f t="shared" si="9"/>
        <v>-1.7819403309832853</v>
      </c>
      <c r="M36">
        <f t="shared" si="10"/>
        <v>11.099457801921059</v>
      </c>
      <c r="N36">
        <f t="shared" si="11"/>
        <v>-1.8767178749972948</v>
      </c>
      <c r="O36">
        <f t="shared" si="12"/>
        <v>10.476921719874234</v>
      </c>
      <c r="P36" s="24">
        <f t="shared" si="13"/>
        <v>-1.9619058455463998</v>
      </c>
      <c r="Q36">
        <f t="shared" si="14"/>
        <v>9.932704614452506</v>
      </c>
      <c r="R36">
        <f t="shared" si="15"/>
        <v>-0.17889024438498263</v>
      </c>
      <c r="S36">
        <f t="shared" si="16"/>
        <v>24.350622237691251</v>
      </c>
      <c r="T36">
        <f t="shared" si="17"/>
        <v>-2.7520455016882899</v>
      </c>
      <c r="U36">
        <f t="shared" si="18"/>
        <v>5.5765864098109503</v>
      </c>
      <c r="V36">
        <f t="shared" si="21"/>
        <v>-1.6989995188518012</v>
      </c>
      <c r="W36">
        <f t="shared" si="19"/>
        <v>11.658985691235468</v>
      </c>
      <c r="X36" s="33">
        <f t="shared" si="22"/>
        <v>-2.2225612353780724</v>
      </c>
      <c r="Y36">
        <f t="shared" si="20"/>
        <v>8.3576726989417924</v>
      </c>
    </row>
    <row r="37" spans="1:52" ht="15" thickBot="1" x14ac:dyDescent="0.4">
      <c r="A37" t="str">
        <f>Table1!A30</f>
        <v>Bosello et al.  2012</v>
      </c>
      <c r="B37">
        <f>Table1!C30</f>
        <v>1.92</v>
      </c>
      <c r="C37">
        <f>Table1!E30</f>
        <v>-0.5</v>
      </c>
      <c r="D37">
        <v>0.25</v>
      </c>
      <c r="E37" t="s">
        <v>1008</v>
      </c>
      <c r="F37" s="5">
        <f>Table1!M30</f>
        <v>-0.72326874195369129</v>
      </c>
      <c r="H37">
        <f t="shared" si="5"/>
        <v>-1.3292299748881604</v>
      </c>
      <c r="I37">
        <f t="shared" si="6"/>
        <v>0.1719055878132548</v>
      </c>
      <c r="J37">
        <f t="shared" si="7"/>
        <v>-1.6512272882103012</v>
      </c>
      <c r="K37">
        <f t="shared" si="8"/>
        <v>0.33133106728001094</v>
      </c>
      <c r="L37">
        <f t="shared" si="9"/>
        <v>-0.64149851915398259</v>
      </c>
      <c r="M37">
        <f t="shared" si="10"/>
        <v>5.0054577306924948E-3</v>
      </c>
      <c r="N37">
        <f t="shared" si="11"/>
        <v>-0.67674258390931652</v>
      </c>
      <c r="O37">
        <f t="shared" si="12"/>
        <v>7.8094852417354473E-3</v>
      </c>
      <c r="P37" s="24">
        <f t="shared" si="13"/>
        <v>-0.71032866052570098</v>
      </c>
      <c r="Q37">
        <f t="shared" si="14"/>
        <v>1.1059536359633892E-2</v>
      </c>
      <c r="R37">
        <f t="shared" si="15"/>
        <v>-4.4249924440941224E-2</v>
      </c>
      <c r="S37">
        <f t="shared" si="16"/>
        <v>5.1927032843021949E-2</v>
      </c>
      <c r="T37">
        <f t="shared" si="17"/>
        <v>-1.6512273010129739</v>
      </c>
      <c r="U37">
        <f t="shared" si="18"/>
        <v>0.33133107464940409</v>
      </c>
      <c r="V37">
        <f t="shared" si="21"/>
        <v>-0.86178106792153542</v>
      </c>
      <c r="W37">
        <f t="shared" si="19"/>
        <v>3.2721385276611656E-2</v>
      </c>
      <c r="X37" s="33">
        <f t="shared" si="22"/>
        <v>-1.125621709395848</v>
      </c>
      <c r="Y37">
        <f t="shared" si="20"/>
        <v>9.7850630816845738E-2</v>
      </c>
      <c r="AR37" s="2"/>
      <c r="AS37" s="2"/>
      <c r="AT37" s="2"/>
      <c r="AU37" s="2"/>
      <c r="AV37" s="2"/>
      <c r="AW37" s="2"/>
    </row>
    <row r="38" spans="1:52" ht="15" thickBot="1" x14ac:dyDescent="0.4">
      <c r="A38" t="str">
        <f>Table1!A31</f>
        <v>Roson and van der Mensbrugghe 2012</v>
      </c>
      <c r="B38">
        <f>Table1!C31</f>
        <v>2.9099999999999997</v>
      </c>
      <c r="C38">
        <f>Table1!E31</f>
        <v>-1.8</v>
      </c>
      <c r="D38">
        <f>0.125</f>
        <v>0.125</v>
      </c>
      <c r="E38" t="s">
        <v>1008</v>
      </c>
      <c r="F38" s="5">
        <f>Table1!M31</f>
        <v>-1.4613799139492396</v>
      </c>
      <c r="H38">
        <f t="shared" si="5"/>
        <v>-2.2029829809960066</v>
      </c>
      <c r="I38">
        <f t="shared" si="6"/>
        <v>2.0299410371553476E-2</v>
      </c>
      <c r="J38">
        <f t="shared" si="7"/>
        <v>-2.5026413586937375</v>
      </c>
      <c r="K38">
        <f t="shared" si="8"/>
        <v>6.1713109868372674E-2</v>
      </c>
      <c r="L38">
        <f t="shared" si="9"/>
        <v>-1.4735985270312062</v>
      </c>
      <c r="M38">
        <f t="shared" si="10"/>
        <v>1.3317240194524783E-2</v>
      </c>
      <c r="N38">
        <f t="shared" si="11"/>
        <v>-1.5530347539725724</v>
      </c>
      <c r="O38">
        <f t="shared" si="12"/>
        <v>7.6239790931734832E-3</v>
      </c>
      <c r="P38" s="24">
        <f t="shared" si="13"/>
        <v>-1.6257961220621882</v>
      </c>
      <c r="Q38">
        <f t="shared" si="14"/>
        <v>3.7933738860715079E-3</v>
      </c>
      <c r="R38">
        <f t="shared" si="15"/>
        <v>-0.13194339543548758</v>
      </c>
      <c r="S38">
        <f t="shared" si="16"/>
        <v>0.34780160450391129</v>
      </c>
      <c r="T38">
        <f t="shared" si="17"/>
        <v>-2.5026413780977883</v>
      </c>
      <c r="U38">
        <f t="shared" si="18"/>
        <v>6.1713113276894882E-2</v>
      </c>
      <c r="V38">
        <f t="shared" si="21"/>
        <v>-1.4779547658448673</v>
      </c>
      <c r="W38">
        <f t="shared" si="19"/>
        <v>1.2964141605254286E-2</v>
      </c>
      <c r="X38" s="33">
        <f t="shared" si="22"/>
        <v>-1.9480260739128765</v>
      </c>
      <c r="Y38">
        <f t="shared" si="20"/>
        <v>2.7389648197575461E-3</v>
      </c>
    </row>
    <row r="39" spans="1:52" x14ac:dyDescent="0.35">
      <c r="A39">
        <f>Table1!A32</f>
        <v>0</v>
      </c>
      <c r="B39">
        <f>Table1!C32</f>
        <v>5.4</v>
      </c>
      <c r="C39">
        <f>Table1!E32</f>
        <v>-4.5999999999999996</v>
      </c>
      <c r="D39">
        <v>0.125</v>
      </c>
      <c r="F39" s="5">
        <f>Table1!M32</f>
        <v>-1.4405050440365976</v>
      </c>
      <c r="H39">
        <f t="shared" si="5"/>
        <v>-4.9671817506060574</v>
      </c>
      <c r="I39">
        <f t="shared" si="6"/>
        <v>1.6852804747266147E-2</v>
      </c>
      <c r="J39">
        <f t="shared" si="7"/>
        <v>-4.6440767480914724</v>
      </c>
      <c r="K39">
        <f t="shared" si="8"/>
        <v>2.428449652898936E-4</v>
      </c>
      <c r="L39">
        <f t="shared" si="9"/>
        <v>-5.0743535206516208</v>
      </c>
      <c r="M39">
        <f t="shared" si="10"/>
        <v>2.8126407819323501E-2</v>
      </c>
      <c r="N39">
        <f t="shared" si="11"/>
        <v>-5.2219470961217151</v>
      </c>
      <c r="O39">
        <f t="shared" si="12"/>
        <v>4.8352273796779303E-2</v>
      </c>
      <c r="P39" s="24">
        <f t="shared" si="13"/>
        <v>-5.3256535863823187</v>
      </c>
      <c r="Q39">
        <f t="shared" si="14"/>
        <v>6.5821640928690223E-2</v>
      </c>
      <c r="R39">
        <f t="shared" si="15"/>
        <v>-1.6754916419326851</v>
      </c>
      <c r="S39">
        <f t="shared" si="16"/>
        <v>1.0690936420506978</v>
      </c>
      <c r="T39">
        <f t="shared" si="17"/>
        <v>-4.6440767840989894</v>
      </c>
      <c r="U39">
        <f t="shared" si="18"/>
        <v>2.4284536206361934E-4</v>
      </c>
      <c r="V39">
        <f t="shared" si="21"/>
        <v>-4.4310416714147305</v>
      </c>
      <c r="W39">
        <f t="shared" si="19"/>
        <v>3.5683645997909726E-3</v>
      </c>
      <c r="X39" s="33">
        <f t="shared" si="22"/>
        <v>-4.8436429031039419</v>
      </c>
      <c r="Y39">
        <f t="shared" si="20"/>
        <v>7.4202330291146213E-3</v>
      </c>
      <c r="AR39" s="3"/>
      <c r="AS39" s="3"/>
      <c r="AT39" s="3"/>
      <c r="AU39" s="3"/>
      <c r="AV39" s="3"/>
      <c r="AW39" s="3"/>
      <c r="AX39" s="3"/>
      <c r="AY39" s="3"/>
      <c r="AZ39" s="3"/>
    </row>
    <row r="40" spans="1:52" x14ac:dyDescent="0.35">
      <c r="A40" t="str">
        <f>Table1!A33</f>
        <v>Nordhaus 2013</v>
      </c>
      <c r="B40">
        <f>Table1!C33</f>
        <v>2.9</v>
      </c>
      <c r="C40">
        <f>Table1!E33</f>
        <v>-2</v>
      </c>
      <c r="D40">
        <f>1/6</f>
        <v>0.16666666666666666</v>
      </c>
      <c r="E40" t="s">
        <v>42</v>
      </c>
      <c r="F40" s="5">
        <f>Table1!M33</f>
        <v>-1.6237554599435993</v>
      </c>
      <c r="H40">
        <f t="shared" si="5"/>
        <v>-2.193516416130604</v>
      </c>
      <c r="I40">
        <f t="shared" si="6"/>
        <v>6.2414338853388485E-3</v>
      </c>
      <c r="J40">
        <f t="shared" si="7"/>
        <v>-2.4940412165676427</v>
      </c>
      <c r="K40">
        <f t="shared" si="8"/>
        <v>4.0679453944606064E-2</v>
      </c>
      <c r="L40">
        <f t="shared" si="9"/>
        <v>-1.4634881038642018</v>
      </c>
      <c r="M40">
        <f t="shared" si="10"/>
        <v>4.797416911587158E-2</v>
      </c>
      <c r="N40">
        <f t="shared" si="11"/>
        <v>-1.5424088261982221</v>
      </c>
      <c r="O40">
        <f t="shared" si="12"/>
        <v>3.4898280390214823E-2</v>
      </c>
      <c r="P40" s="24">
        <f t="shared" si="13"/>
        <v>-1.6147405547701554</v>
      </c>
      <c r="Q40">
        <f t="shared" si="14"/>
        <v>2.4737473356467934E-2</v>
      </c>
      <c r="R40">
        <f t="shared" si="15"/>
        <v>-0.13055489726388517</v>
      </c>
      <c r="S40">
        <f t="shared" si="16"/>
        <v>0.58247083202400707</v>
      </c>
      <c r="T40">
        <f t="shared" si="17"/>
        <v>-2.4940412359050126</v>
      </c>
      <c r="U40">
        <f t="shared" si="18"/>
        <v>4.0679457129092045E-2</v>
      </c>
      <c r="V40">
        <f t="shared" si="21"/>
        <v>-1.4707157732160527</v>
      </c>
      <c r="W40">
        <f t="shared" si="19"/>
        <v>4.6690298787046815E-2</v>
      </c>
      <c r="X40" s="33">
        <f t="shared" si="22"/>
        <v>-1.9388375998715781</v>
      </c>
      <c r="Y40">
        <f t="shared" si="20"/>
        <v>6.234731982448636E-4</v>
      </c>
    </row>
    <row r="41" spans="1:52" ht="15" thickBot="1" x14ac:dyDescent="0.4">
      <c r="A41" t="str">
        <f>Table1!A34</f>
        <v>Sartori and Roson 2016</v>
      </c>
      <c r="B41">
        <f>Table1!C34</f>
        <v>3</v>
      </c>
      <c r="C41">
        <f>Table1!E34</f>
        <v>-0.71756668095998166</v>
      </c>
      <c r="D41">
        <v>0.5</v>
      </c>
      <c r="E41" t="s">
        <v>1088</v>
      </c>
      <c r="F41" s="5">
        <f>Table1!M34</f>
        <v>-0.55497395303356922</v>
      </c>
      <c r="H41">
        <f t="shared" si="5"/>
        <v>-2.2887705333891484</v>
      </c>
      <c r="I41">
        <f t="shared" si="6"/>
        <v>1.2343407729441274</v>
      </c>
      <c r="J41">
        <f t="shared" si="7"/>
        <v>-2.5800426378285959</v>
      </c>
      <c r="K41">
        <f t="shared" si="8"/>
        <v>1.7344083449568302</v>
      </c>
      <c r="L41">
        <f t="shared" si="9"/>
        <v>-1.5661584940282778</v>
      </c>
      <c r="M41">
        <f t="shared" si="10"/>
        <v>0.36005403260326901</v>
      </c>
      <c r="N41">
        <f t="shared" si="11"/>
        <v>-1.6502798366921252</v>
      </c>
      <c r="O41">
        <f t="shared" si="12"/>
        <v>0.4349769154379069</v>
      </c>
      <c r="P41" s="24">
        <f t="shared" si="13"/>
        <v>-1.7269112166631233</v>
      </c>
      <c r="Q41">
        <f t="shared" si="14"/>
        <v>0.50938819587689532</v>
      </c>
      <c r="R41">
        <f t="shared" si="15"/>
        <v>-0.14508496688669037</v>
      </c>
      <c r="S41">
        <f t="shared" si="16"/>
        <v>0.16386765647414683</v>
      </c>
      <c r="T41">
        <f t="shared" si="17"/>
        <v>-2.580042657832772</v>
      </c>
      <c r="U41">
        <f t="shared" si="18"/>
        <v>1.7344083822141272</v>
      </c>
      <c r="V41">
        <f t="shared" si="21"/>
        <v>-1.5442183483497223</v>
      </c>
      <c r="W41">
        <f t="shared" si="19"/>
        <v>0.34167648959911917</v>
      </c>
      <c r="X41" s="33">
        <f t="shared" si="22"/>
        <v>-2.0315530881323554</v>
      </c>
      <c r="Y41">
        <f t="shared" si="20"/>
        <v>0.86328013911688151</v>
      </c>
      <c r="AR41" s="2"/>
      <c r="AS41" s="2"/>
      <c r="AT41" s="2"/>
      <c r="AU41" s="2"/>
      <c r="AV41" s="2"/>
      <c r="AW41" s="2"/>
      <c r="AX41" s="2"/>
      <c r="AY41" s="2"/>
      <c r="AZ41" s="2"/>
    </row>
    <row r="42" spans="1:52" x14ac:dyDescent="0.35">
      <c r="A42" t="str">
        <f>Table1!A35</f>
        <v>Kompas et al. 2018</v>
      </c>
      <c r="B42">
        <f>Table1!C35</f>
        <v>1</v>
      </c>
      <c r="C42">
        <f>Table1!E35</f>
        <v>-0.4658664448796927</v>
      </c>
      <c r="D42">
        <v>0.125</v>
      </c>
      <c r="E42" t="s">
        <v>685</v>
      </c>
      <c r="F42" s="5">
        <f>Table1!M35</f>
        <v>-1.4950629303885776</v>
      </c>
      <c r="H42">
        <f t="shared" si="5"/>
        <v>-0.63215271012576701</v>
      </c>
      <c r="I42">
        <f t="shared" si="6"/>
        <v>3.4563902511859728E-3</v>
      </c>
      <c r="J42">
        <f t="shared" si="7"/>
        <v>-0.86001421260953193</v>
      </c>
      <c r="K42">
        <f t="shared" si="8"/>
        <v>1.9419057850801912E-2</v>
      </c>
      <c r="L42">
        <f t="shared" si="9"/>
        <v>-0.17401761044758643</v>
      </c>
      <c r="M42">
        <f t="shared" si="10"/>
        <v>1.0646967769922374E-2</v>
      </c>
      <c r="N42">
        <f t="shared" si="11"/>
        <v>-0.18360290132577989</v>
      </c>
      <c r="O42">
        <f t="shared" si="12"/>
        <v>9.9590885024514551E-3</v>
      </c>
      <c r="P42" s="24">
        <f t="shared" si="13"/>
        <v>-0.19284024848699868</v>
      </c>
      <c r="Q42">
        <f t="shared" si="14"/>
        <v>9.317912989582738E-3</v>
      </c>
      <c r="R42">
        <f t="shared" si="15"/>
        <v>-1.3062082727214401E-2</v>
      </c>
      <c r="S42">
        <f t="shared" si="16"/>
        <v>2.5628973798039092E-2</v>
      </c>
      <c r="T42">
        <f t="shared" si="17"/>
        <v>-0.86001421927759059</v>
      </c>
      <c r="U42">
        <f t="shared" si="18"/>
        <v>1.9419058507852027E-2</v>
      </c>
      <c r="V42">
        <f t="shared" si="21"/>
        <v>-0.41762310976459183</v>
      </c>
      <c r="W42">
        <f t="shared" si="19"/>
        <v>2.9092742287849059E-4</v>
      </c>
      <c r="X42" s="33">
        <f t="shared" si="22"/>
        <v>-0.51238339803148403</v>
      </c>
      <c r="Y42">
        <f t="shared" si="20"/>
        <v>2.7047836631574368E-4</v>
      </c>
    </row>
    <row r="43" spans="1:52" x14ac:dyDescent="0.35">
      <c r="A43">
        <f>Table1!A36</f>
        <v>0</v>
      </c>
      <c r="B43">
        <f>Table1!C36</f>
        <v>2</v>
      </c>
      <c r="C43">
        <f>Table1!E36</f>
        <v>-1.0740738140966928</v>
      </c>
      <c r="D43">
        <v>0.125</v>
      </c>
      <c r="F43" s="5">
        <f>Table1!M36</f>
        <v>-1.4522557617485055</v>
      </c>
      <c r="H43">
        <f t="shared" si="5"/>
        <v>-1.395076221255483</v>
      </c>
      <c r="I43">
        <f t="shared" si="6"/>
        <v>1.2880318175217219E-2</v>
      </c>
      <c r="J43">
        <f t="shared" si="7"/>
        <v>-1.7200284252190639</v>
      </c>
      <c r="K43">
        <f t="shared" si="8"/>
        <v>5.2157169953781703E-2</v>
      </c>
      <c r="L43">
        <f t="shared" si="9"/>
        <v>-0.69607044179034572</v>
      </c>
      <c r="M43">
        <f t="shared" si="10"/>
        <v>1.7860818684371355E-2</v>
      </c>
      <c r="N43">
        <f t="shared" si="11"/>
        <v>-0.7342894114878088</v>
      </c>
      <c r="O43">
        <f t="shared" si="12"/>
        <v>1.4431680032034521E-2</v>
      </c>
      <c r="P43" s="24">
        <f t="shared" si="13"/>
        <v>-0.77064007563800596</v>
      </c>
      <c r="Q43">
        <f t="shared" si="14"/>
        <v>1.1509004204376845E-2</v>
      </c>
      <c r="R43">
        <f t="shared" si="15"/>
        <v>-4.8568504846430084E-2</v>
      </c>
      <c r="S43">
        <f t="shared" si="16"/>
        <v>0.13145764241255958</v>
      </c>
      <c r="T43">
        <f t="shared" si="17"/>
        <v>-1.7200284385551812</v>
      </c>
      <c r="U43">
        <f t="shared" si="18"/>
        <v>5.2157172107413344E-2</v>
      </c>
      <c r="V43">
        <f t="shared" si="21"/>
        <v>-0.90515762748971007</v>
      </c>
      <c r="W43">
        <f t="shared" si="19"/>
        <v>3.5665847622306257E-3</v>
      </c>
      <c r="X43" s="33">
        <f t="shared" si="22"/>
        <v>-1.185672559940669</v>
      </c>
      <c r="Y43">
        <f t="shared" si="20"/>
        <v>1.5567850092435499E-3</v>
      </c>
    </row>
    <row r="44" spans="1:52" x14ac:dyDescent="0.35">
      <c r="A44">
        <f>Table1!A37</f>
        <v>0</v>
      </c>
      <c r="B44">
        <f>Table1!C37</f>
        <v>3</v>
      </c>
      <c r="C44">
        <f>Table1!E37</f>
        <v>-1.8369485050307706</v>
      </c>
      <c r="D44">
        <v>0.125</v>
      </c>
      <c r="F44" s="5">
        <f>Table1!M37</f>
        <v>-1.4207161514135112</v>
      </c>
      <c r="H44">
        <f t="shared" si="5"/>
        <v>-2.2887705333891484</v>
      </c>
      <c r="I44">
        <f t="shared" si="6"/>
        <v>2.5517893163734845E-2</v>
      </c>
      <c r="J44">
        <f t="shared" si="7"/>
        <v>-2.5800426378285959</v>
      </c>
      <c r="K44">
        <f t="shared" si="8"/>
        <v>6.9023611274819013E-2</v>
      </c>
      <c r="L44">
        <f t="shared" si="9"/>
        <v>-1.5661584940282778</v>
      </c>
      <c r="M44">
        <f t="shared" si="10"/>
        <v>9.1659037573412708E-3</v>
      </c>
      <c r="N44">
        <f t="shared" si="11"/>
        <v>-1.6502798366921252</v>
      </c>
      <c r="O44">
        <f t="shared" si="12"/>
        <v>4.3556489674153979E-3</v>
      </c>
      <c r="P44" s="24">
        <f t="shared" si="13"/>
        <v>-1.7269112166631233</v>
      </c>
      <c r="Q44">
        <f t="shared" si="14"/>
        <v>1.5135256039130948E-3</v>
      </c>
      <c r="R44">
        <f t="shared" si="15"/>
        <v>-0.14508496688669037</v>
      </c>
      <c r="S44">
        <f t="shared" si="16"/>
        <v>0.35780027896267563</v>
      </c>
      <c r="T44">
        <f t="shared" si="17"/>
        <v>-2.580042657832772</v>
      </c>
      <c r="U44">
        <f t="shared" si="18"/>
        <v>6.9023614991065532E-2</v>
      </c>
      <c r="V44">
        <f t="shared" si="21"/>
        <v>-1.5442183483497223</v>
      </c>
      <c r="W44">
        <f t="shared" si="19"/>
        <v>1.0711368078813885E-2</v>
      </c>
      <c r="X44" s="33">
        <f t="shared" si="22"/>
        <v>-2.0315530881323554</v>
      </c>
      <c r="Y44">
        <f t="shared" si="20"/>
        <v>4.7338679705177028E-3</v>
      </c>
    </row>
    <row r="45" spans="1:52" x14ac:dyDescent="0.35">
      <c r="A45">
        <f>Table1!A38</f>
        <v>0</v>
      </c>
      <c r="B45">
        <f>Table1!C38</f>
        <v>4</v>
      </c>
      <c r="C45">
        <f>Table1!E38</f>
        <v>-2.7931051587285425</v>
      </c>
      <c r="D45">
        <v>0.125</v>
      </c>
      <c r="F45" s="5">
        <f>Table1!M38</f>
        <v>-1.4093799049414413</v>
      </c>
      <c r="H45">
        <f t="shared" si="5"/>
        <v>-3.3132356465267625</v>
      </c>
      <c r="I45">
        <f t="shared" si="6"/>
        <v>3.3816965542151786E-2</v>
      </c>
      <c r="J45">
        <f t="shared" si="7"/>
        <v>-3.4400568504381277</v>
      </c>
      <c r="K45">
        <f t="shared" si="8"/>
        <v>5.2318311425736772E-2</v>
      </c>
      <c r="L45">
        <f t="shared" si="9"/>
        <v>-2.7842817671613829</v>
      </c>
      <c r="M45">
        <f t="shared" si="10"/>
        <v>9.7315298434279167E-6</v>
      </c>
      <c r="N45">
        <f t="shared" si="11"/>
        <v>-2.9215168375914584</v>
      </c>
      <c r="O45">
        <f t="shared" si="12"/>
        <v>2.0611949085490816E-3</v>
      </c>
      <c r="P45" s="24">
        <f t="shared" si="13"/>
        <v>-3.0364215307127447</v>
      </c>
      <c r="Q45">
        <f t="shared" si="14"/>
        <v>7.4003571094443318E-3</v>
      </c>
      <c r="R45">
        <f t="shared" si="15"/>
        <v>-0.40744391179788708</v>
      </c>
      <c r="S45">
        <f t="shared" si="16"/>
        <v>0.7114224481383411</v>
      </c>
      <c r="T45">
        <f t="shared" si="17"/>
        <v>-3.4400568771103623</v>
      </c>
      <c r="U45">
        <f t="shared" si="18"/>
        <v>5.2318315739648694E-2</v>
      </c>
      <c r="V45">
        <f t="shared" si="21"/>
        <v>-2.4417860253800061</v>
      </c>
      <c r="W45">
        <f t="shared" si="19"/>
        <v>1.5428141682095836E-2</v>
      </c>
      <c r="X45" s="33">
        <f t="shared" si="22"/>
        <v>-3.0629275426692439</v>
      </c>
      <c r="Y45">
        <f t="shared" si="20"/>
        <v>9.1005148594304145E-3</v>
      </c>
    </row>
    <row r="46" spans="1:52" x14ac:dyDescent="0.35">
      <c r="A46" t="str">
        <f>Table1!A39</f>
        <v>Dellink et al. 2019</v>
      </c>
      <c r="B46">
        <f>Table1!C39</f>
        <v>2.5</v>
      </c>
      <c r="C46">
        <f>Table1!E39</f>
        <v>-2</v>
      </c>
      <c r="D46">
        <v>1</v>
      </c>
      <c r="E46" t="s">
        <v>1082</v>
      </c>
      <c r="F46" s="5">
        <f>Table1!M39</f>
        <v>-2</v>
      </c>
      <c r="H46">
        <f t="shared" si="5"/>
        <v>-1.8255770271968221</v>
      </c>
      <c r="I46">
        <f t="shared" si="6"/>
        <v>3.0423373441498126E-2</v>
      </c>
      <c r="J46">
        <f t="shared" si="7"/>
        <v>-2.1500355315238298</v>
      </c>
      <c r="K46">
        <f t="shared" si="8"/>
        <v>2.2510660719638111E-2</v>
      </c>
      <c r="L46">
        <f t="shared" si="9"/>
        <v>-1.0876100652974152</v>
      </c>
      <c r="M46">
        <f t="shared" si="10"/>
        <v>0.83245539294658688</v>
      </c>
      <c r="N46">
        <f t="shared" si="11"/>
        <v>-1.1469228310703414</v>
      </c>
      <c r="O46">
        <f t="shared" si="12"/>
        <v>0.72774065614904127</v>
      </c>
      <c r="P46" s="24">
        <f t="shared" si="13"/>
        <v>-1.2023932245881224</v>
      </c>
      <c r="Q46">
        <f t="shared" si="14"/>
        <v>0.63617656818293344</v>
      </c>
      <c r="R46">
        <f t="shared" si="15"/>
        <v>-8.500739447514076E-2</v>
      </c>
      <c r="S46">
        <f t="shared" si="16"/>
        <v>3.6671966792148889</v>
      </c>
      <c r="T46">
        <f t="shared" si="17"/>
        <v>-2.1500355481939764</v>
      </c>
      <c r="U46">
        <f t="shared" si="18"/>
        <v>2.2510665721866999E-2</v>
      </c>
      <c r="V46">
        <f t="shared" si="21"/>
        <v>-1.199838236748753</v>
      </c>
      <c r="W46">
        <f t="shared" si="19"/>
        <v>0.64025884736934469</v>
      </c>
      <c r="X46" s="33">
        <f t="shared" si="22"/>
        <v>-1.5862549865874187</v>
      </c>
      <c r="Y46">
        <f t="shared" si="20"/>
        <v>0.17118493612377708</v>
      </c>
    </row>
    <row r="47" spans="1:52" x14ac:dyDescent="0.35">
      <c r="A47" t="str">
        <f>Table1!A40</f>
        <v>Takakura</v>
      </c>
      <c r="B47">
        <f>Table1!C40</f>
        <v>2</v>
      </c>
      <c r="C47">
        <f>Table1!E40</f>
        <v>-1.0517705037403</v>
      </c>
      <c r="D47">
        <f>1/3</f>
        <v>0.33333333333333331</v>
      </c>
      <c r="E47" t="s">
        <v>1082</v>
      </c>
      <c r="F47" s="5">
        <f>Table1!M40</f>
        <v>-1.4220994442347257</v>
      </c>
      <c r="H47">
        <f t="shared" si="5"/>
        <v>-1.395076221255483</v>
      </c>
      <c r="I47">
        <f t="shared" si="6"/>
        <v>3.9286271892871545E-2</v>
      </c>
      <c r="J47">
        <f t="shared" si="7"/>
        <v>-1.7200284252190639</v>
      </c>
      <c r="K47">
        <f t="shared" si="8"/>
        <v>0.14885621653970588</v>
      </c>
      <c r="L47">
        <f t="shared" si="9"/>
        <v>-0.69607044179034572</v>
      </c>
      <c r="M47">
        <f t="shared" si="10"/>
        <v>4.2174178023733772E-2</v>
      </c>
      <c r="N47">
        <f t="shared" si="11"/>
        <v>-0.7342894114878088</v>
      </c>
      <c r="O47">
        <f t="shared" si="12"/>
        <v>3.3598081312611612E-2</v>
      </c>
      <c r="P47" s="24">
        <f t="shared" si="13"/>
        <v>-0.77064007563800596</v>
      </c>
      <c r="Q47">
        <f t="shared" si="14"/>
        <v>2.6344772534993042E-2</v>
      </c>
      <c r="R47">
        <f t="shared" si="15"/>
        <v>-4.8568504846430084E-2</v>
      </c>
      <c r="S47">
        <f t="shared" si="16"/>
        <v>0.33547141686155202</v>
      </c>
      <c r="T47">
        <f t="shared" si="17"/>
        <v>-1.7200284385551812</v>
      </c>
      <c r="U47">
        <f t="shared" si="18"/>
        <v>0.14885622248101665</v>
      </c>
      <c r="V47">
        <f t="shared" si="21"/>
        <v>-0.90515762748971007</v>
      </c>
      <c r="W47">
        <f t="shared" si="19"/>
        <v>7.1651118274902665E-3</v>
      </c>
      <c r="X47" s="33">
        <f t="shared" si="22"/>
        <v>-1.185672559940669</v>
      </c>
      <c r="Y47">
        <f t="shared" si="20"/>
        <v>5.9765868848955916E-3</v>
      </c>
    </row>
    <row r="48" spans="1:52" x14ac:dyDescent="0.35">
      <c r="A48">
        <f>Table1!A41</f>
        <v>0</v>
      </c>
      <c r="B48">
        <f>Table1!C41</f>
        <v>4</v>
      </c>
      <c r="C48">
        <f>Table1!E41</f>
        <v>-4.6911160007283899</v>
      </c>
      <c r="D48">
        <f>1/3</f>
        <v>0.33333333333333331</v>
      </c>
      <c r="F48" s="5">
        <f>Table1!M41</f>
        <v>-2.3671019340301251</v>
      </c>
      <c r="H48">
        <f t="shared" si="5"/>
        <v>-3.3132356465267625</v>
      </c>
      <c r="I48">
        <f t="shared" si="6"/>
        <v>0.63285142349826728</v>
      </c>
      <c r="J48">
        <f t="shared" si="7"/>
        <v>-3.4400568504381277</v>
      </c>
      <c r="K48">
        <f t="shared" si="8"/>
        <v>0.52171633250833094</v>
      </c>
      <c r="L48">
        <f t="shared" si="9"/>
        <v>-2.7842817671613829</v>
      </c>
      <c r="M48">
        <f t="shared" si="10"/>
        <v>1.2120055981010249</v>
      </c>
      <c r="N48">
        <f t="shared" si="11"/>
        <v>-2.9215168375914584</v>
      </c>
      <c r="O48">
        <f t="shared" si="12"/>
        <v>1.0438270660583093</v>
      </c>
      <c r="P48" s="24">
        <f t="shared" si="13"/>
        <v>-3.0364215307127447</v>
      </c>
      <c r="Q48">
        <f t="shared" si="14"/>
        <v>0.91267126303345236</v>
      </c>
      <c r="R48">
        <f t="shared" si="15"/>
        <v>-0.40744391179788708</v>
      </c>
      <c r="S48">
        <f t="shared" si="16"/>
        <v>6.1166155218274065</v>
      </c>
      <c r="T48">
        <f t="shared" si="17"/>
        <v>-3.4400568771103623</v>
      </c>
      <c r="U48">
        <f t="shared" si="18"/>
        <v>0.52171631026263565</v>
      </c>
      <c r="V48">
        <f t="shared" si="21"/>
        <v>-2.4417860253800061</v>
      </c>
      <c r="W48">
        <f t="shared" si="19"/>
        <v>1.6864951126669201</v>
      </c>
      <c r="X48" s="33">
        <f t="shared" si="22"/>
        <v>-3.0629275426692439</v>
      </c>
      <c r="Y48">
        <f t="shared" si="20"/>
        <v>0.883665884985673</v>
      </c>
    </row>
    <row r="49" spans="1:27" x14ac:dyDescent="0.35">
      <c r="A49">
        <f>Table1!A42</f>
        <v>0</v>
      </c>
      <c r="B49">
        <f>Table1!C42</f>
        <v>6</v>
      </c>
      <c r="C49">
        <f>Table1!E42</f>
        <v>-9.49637530496768</v>
      </c>
      <c r="D49">
        <f>1/3</f>
        <v>0.33333333333333331</v>
      </c>
      <c r="F49" s="5">
        <f>Table1!M42</f>
        <v>-2.4949401508079627</v>
      </c>
      <c r="H49">
        <f t="shared" si="5"/>
        <v>-5.7544782758138391</v>
      </c>
      <c r="I49">
        <f t="shared" si="6"/>
        <v>4.6672644589301129</v>
      </c>
      <c r="J49">
        <f t="shared" si="7"/>
        <v>-5.1600852756571918</v>
      </c>
      <c r="K49">
        <f t="shared" si="8"/>
        <v>6.2678037394325177</v>
      </c>
      <c r="L49">
        <f t="shared" si="9"/>
        <v>-6.2646339761131111</v>
      </c>
      <c r="M49">
        <f t="shared" si="10"/>
        <v>3.4813840055422318</v>
      </c>
      <c r="N49">
        <f t="shared" si="11"/>
        <v>-6.3338814726838812</v>
      </c>
      <c r="O49">
        <f t="shared" si="12"/>
        <v>3.3337890797443555</v>
      </c>
      <c r="P49" s="24">
        <f t="shared" si="13"/>
        <v>-6.3820954186707013</v>
      </c>
      <c r="Q49">
        <f t="shared" si="14"/>
        <v>3.2329130700646407</v>
      </c>
      <c r="R49">
        <f t="shared" si="15"/>
        <v>-3.0591944262887698</v>
      </c>
      <c r="S49">
        <f t="shared" si="16"/>
        <v>13.812432554943131</v>
      </c>
      <c r="T49">
        <f t="shared" si="17"/>
        <v>-5.160085315665544</v>
      </c>
      <c r="U49">
        <f t="shared" si="18"/>
        <v>6.2678036237739727</v>
      </c>
      <c r="V49">
        <f t="shared" si="21"/>
        <v>-5.681892862574097</v>
      </c>
      <c r="W49">
        <f t="shared" si="19"/>
        <v>4.8500921011096381</v>
      </c>
      <c r="X49" s="33">
        <f t="shared" si="22"/>
        <v>-5.7346324699933495</v>
      </c>
      <c r="Y49">
        <f t="shared" si="20"/>
        <v>4.7169030521602373</v>
      </c>
    </row>
    <row r="50" spans="1:27" x14ac:dyDescent="0.35">
      <c r="A50" t="str">
        <f>Table1!A43</f>
        <v>Howard &amp; Sylvan 2020</v>
      </c>
      <c r="B50">
        <f>Table1!C43</f>
        <v>3</v>
      </c>
      <c r="C50">
        <f>Table1!E43</f>
        <v>-9.1999999999999993</v>
      </c>
      <c r="D50">
        <v>1</v>
      </c>
      <c r="E50" t="s">
        <v>1082</v>
      </c>
      <c r="F50" s="5">
        <f>Table1!M43</f>
        <v>-7.1153810557064894</v>
      </c>
      <c r="H50">
        <f t="shared" si="5"/>
        <v>-2.2887705333891484</v>
      </c>
      <c r="I50">
        <f t="shared" si="6"/>
        <v>47.765092740150109</v>
      </c>
      <c r="J50">
        <f t="shared" si="7"/>
        <v>-2.5800426378285959</v>
      </c>
      <c r="K50">
        <f t="shared" si="8"/>
        <v>43.823835476967368</v>
      </c>
      <c r="L50">
        <f t="shared" si="9"/>
        <v>-1.5661584940282778</v>
      </c>
      <c r="M50">
        <f t="shared" si="10"/>
        <v>58.275536138296602</v>
      </c>
      <c r="N50">
        <f t="shared" si="11"/>
        <v>-1.6502798366921252</v>
      </c>
      <c r="O50">
        <f t="shared" si="12"/>
        <v>56.998274544257477</v>
      </c>
      <c r="P50" s="24">
        <f t="shared" si="13"/>
        <v>-1.7269112166631233</v>
      </c>
      <c r="Q50">
        <f t="shared" si="14"/>
        <v>55.847055963635427</v>
      </c>
      <c r="R50">
        <f t="shared" si="15"/>
        <v>-0.14508496688669037</v>
      </c>
      <c r="S50">
        <f t="shared" si="16"/>
        <v>81.991486256901396</v>
      </c>
      <c r="T50">
        <f t="shared" si="17"/>
        <v>-2.580042657832772</v>
      </c>
      <c r="U50">
        <f t="shared" si="18"/>
        <v>43.823835212113778</v>
      </c>
      <c r="V50">
        <f t="shared" si="21"/>
        <v>-1.5442183483497223</v>
      </c>
      <c r="W50">
        <f t="shared" si="19"/>
        <v>58.610992697745047</v>
      </c>
      <c r="X50" s="33">
        <f t="shared" si="22"/>
        <v>-2.0315530881323554</v>
      </c>
      <c r="Y50">
        <f t="shared" si="20"/>
        <v>51.38663112826476</v>
      </c>
    </row>
    <row r="51" spans="1:27" x14ac:dyDescent="0.35">
      <c r="A51" t="str">
        <f>Table1!A44</f>
        <v>Howard &amp; Sylvan 2021</v>
      </c>
      <c r="B51">
        <f>Table1!C44</f>
        <v>1.2</v>
      </c>
      <c r="C51">
        <f>Table1!E44</f>
        <v>-2.2000000000000002</v>
      </c>
      <c r="D51">
        <v>0.25</v>
      </c>
      <c r="E51" t="s">
        <v>1082</v>
      </c>
      <c r="F51" s="5">
        <f>Table1!M44</f>
        <v>-5.6757015263144268</v>
      </c>
      <c r="H51">
        <f t="shared" si="5"/>
        <v>-0.77427574827139423</v>
      </c>
      <c r="I51">
        <f t="shared" si="6"/>
        <v>0.50817241049177331</v>
      </c>
      <c r="J51">
        <f t="shared" si="7"/>
        <v>-1.0320170551314383</v>
      </c>
      <c r="K51">
        <f t="shared" si="8"/>
        <v>0.34104603987595955</v>
      </c>
      <c r="L51">
        <f t="shared" si="9"/>
        <v>-0.25058535904452445</v>
      </c>
      <c r="M51">
        <f t="shared" si="10"/>
        <v>0.95005436059289161</v>
      </c>
      <c r="N51">
        <f t="shared" si="11"/>
        <v>-0.26438606594590641</v>
      </c>
      <c r="O51">
        <f t="shared" si="12"/>
        <v>0.93665032542609128</v>
      </c>
      <c r="P51" s="24">
        <f t="shared" si="13"/>
        <v>-0.27767138235173561</v>
      </c>
      <c r="Q51">
        <f t="shared" si="14"/>
        <v>0.92383682855737193</v>
      </c>
      <c r="R51">
        <f t="shared" si="15"/>
        <v>-1.7637129532338071E-2</v>
      </c>
      <c r="S51">
        <f t="shared" si="16"/>
        <v>1.1906769245989637</v>
      </c>
      <c r="T51">
        <f t="shared" si="17"/>
        <v>-1.0320170631331087</v>
      </c>
      <c r="U51">
        <f t="shared" si="18"/>
        <v>0.34104603520305227</v>
      </c>
      <c r="V51">
        <f t="shared" si="21"/>
        <v>-0.50717195112499147</v>
      </c>
      <c r="W51">
        <f t="shared" si="19"/>
        <v>0.71641670076449226</v>
      </c>
      <c r="X51" s="33">
        <f t="shared" si="22"/>
        <v>-0.63381464539628629</v>
      </c>
      <c r="Y51">
        <f t="shared" si="20"/>
        <v>0.61323414124379028</v>
      </c>
    </row>
    <row r="52" spans="1:27" x14ac:dyDescent="0.35">
      <c r="A52">
        <f>Table1!A45</f>
        <v>0</v>
      </c>
      <c r="B52">
        <f>Table1!C45</f>
        <v>3</v>
      </c>
      <c r="C52">
        <f>Table1!E45</f>
        <v>-8.5</v>
      </c>
      <c r="D52">
        <v>0.25</v>
      </c>
      <c r="F52" s="5">
        <f>Table1!M45</f>
        <v>-6.5739933666853441</v>
      </c>
      <c r="H52">
        <f t="shared" si="5"/>
        <v>-2.2887705333891484</v>
      </c>
      <c r="I52">
        <f t="shared" si="6"/>
        <v>9.6448428717237302</v>
      </c>
      <c r="J52">
        <f t="shared" si="7"/>
        <v>-2.5800426378285959</v>
      </c>
      <c r="K52">
        <f t="shared" si="8"/>
        <v>8.7614737924818531</v>
      </c>
      <c r="L52">
        <f t="shared" si="9"/>
        <v>-1.5661584940282778</v>
      </c>
      <c r="M52">
        <f t="shared" si="10"/>
        <v>12.019539507484051</v>
      </c>
      <c r="N52">
        <f t="shared" si="11"/>
        <v>-1.6502798366921252</v>
      </c>
      <c r="O52">
        <f t="shared" si="12"/>
        <v>11.729666578906617</v>
      </c>
      <c r="P52" s="24">
        <f t="shared" si="13"/>
        <v>-1.7269112166631233</v>
      </c>
      <c r="Q52">
        <f t="shared" si="14"/>
        <v>11.468682916740953</v>
      </c>
      <c r="R52">
        <f t="shared" si="15"/>
        <v>-0.14508496688669037</v>
      </c>
      <c r="S52">
        <f t="shared" si="16"/>
        <v>17.451151302635694</v>
      </c>
      <c r="T52">
        <f t="shared" si="17"/>
        <v>-2.580042657832772</v>
      </c>
      <c r="U52">
        <f t="shared" si="18"/>
        <v>8.7614737332699182</v>
      </c>
      <c r="V52">
        <f t="shared" si="21"/>
        <v>-1.5442183483497223</v>
      </c>
      <c r="W52">
        <f t="shared" si="19"/>
        <v>12.095724596358666</v>
      </c>
      <c r="X52" s="33">
        <f t="shared" si="22"/>
        <v>-2.0315530881323554</v>
      </c>
      <c r="Y52">
        <f t="shared" si="20"/>
        <v>10.460201362912517</v>
      </c>
      <c r="AA52">
        <f>(100/10)^(1/7)</f>
        <v>1.3894954943731377</v>
      </c>
    </row>
    <row r="53" spans="1:27" x14ac:dyDescent="0.35">
      <c r="A53">
        <f>Table1!A46</f>
        <v>0</v>
      </c>
      <c r="B53">
        <f>Table1!C46</f>
        <v>5</v>
      </c>
      <c r="C53">
        <f>Table1!E46</f>
        <v>-16.100000000000001</v>
      </c>
      <c r="D53">
        <v>0.25</v>
      </c>
      <c r="F53" s="5">
        <f>Table1!M46</f>
        <v>-5.7163922622699133</v>
      </c>
      <c r="H53">
        <f t="shared" si="5"/>
        <v>-4.4684715606683261</v>
      </c>
      <c r="I53">
        <f t="shared" si="6"/>
        <v>33.823113458745382</v>
      </c>
      <c r="J53">
        <f t="shared" si="7"/>
        <v>-4.3000710630476595</v>
      </c>
      <c r="K53">
        <f t="shared" si="8"/>
        <v>34.809580729281301</v>
      </c>
      <c r="L53">
        <f t="shared" si="9"/>
        <v>-4.3504402611896609</v>
      </c>
      <c r="M53">
        <f t="shared" si="10"/>
        <v>34.513038513968226</v>
      </c>
      <c r="N53">
        <f t="shared" si="11"/>
        <v>-4.513110138178611</v>
      </c>
      <c r="O53">
        <f t="shared" si="12"/>
        <v>33.564004167494829</v>
      </c>
      <c r="P53" s="24">
        <f t="shared" si="13"/>
        <v>-4.6335674515778944</v>
      </c>
      <c r="Q53">
        <f t="shared" si="14"/>
        <v>32.869768846878472</v>
      </c>
      <c r="R53">
        <f t="shared" si="15"/>
        <v>-1.120609464283681</v>
      </c>
      <c r="S53">
        <f t="shared" si="16"/>
        <v>56.095535205376912</v>
      </c>
      <c r="T53">
        <f t="shared" si="17"/>
        <v>-4.3000710963879527</v>
      </c>
      <c r="U53">
        <f t="shared" si="18"/>
        <v>34.809580532574763</v>
      </c>
      <c r="V53">
        <f t="shared" si="21"/>
        <v>-3.7481162803932966</v>
      </c>
      <c r="W53">
        <f t="shared" si="19"/>
        <v>38.142257855671289</v>
      </c>
      <c r="X53" s="33">
        <f t="shared" si="22"/>
        <v>-4.2930738995591904</v>
      </c>
      <c r="Y53">
        <f t="shared" si="20"/>
        <v>34.850875985317622</v>
      </c>
    </row>
    <row r="54" spans="1:27" x14ac:dyDescent="0.35">
      <c r="A54">
        <f>Table1!A47</f>
        <v>0</v>
      </c>
      <c r="B54">
        <f>Table1!C47</f>
        <v>7</v>
      </c>
      <c r="C54">
        <f>Table1!E47</f>
        <v>-25</v>
      </c>
      <c r="D54">
        <v>0.25</v>
      </c>
      <c r="F54" s="5">
        <f>Table1!M47</f>
        <v>-5.0429501736957842</v>
      </c>
      <c r="H54">
        <f t="shared" si="5"/>
        <v>-7.1712557919633007</v>
      </c>
      <c r="I54">
        <f t="shared" si="6"/>
        <v>79.466030008900532</v>
      </c>
      <c r="J54">
        <f t="shared" si="7"/>
        <v>-6.0200994882667231</v>
      </c>
      <c r="K54">
        <f t="shared" si="8"/>
        <v>90.059155858823274</v>
      </c>
      <c r="L54">
        <f t="shared" si="9"/>
        <v>-8.526862911931735</v>
      </c>
      <c r="M54">
        <f t="shared" si="10"/>
        <v>67.84106138057254</v>
      </c>
      <c r="N54">
        <f t="shared" si="11"/>
        <v>-8.1850431831445505</v>
      </c>
      <c r="O54">
        <f t="shared" si="12"/>
        <v>70.685693188178391</v>
      </c>
      <c r="P54" s="24">
        <f t="shared" si="13"/>
        <v>-8.0361722882850035</v>
      </c>
      <c r="Q54">
        <f t="shared" si="14"/>
        <v>71.942862658187423</v>
      </c>
      <c r="R54">
        <f t="shared" si="15"/>
        <v>-8.3288147014311722</v>
      </c>
      <c r="S54">
        <f t="shared" si="16"/>
        <v>69.482104814804373</v>
      </c>
      <c r="T54">
        <f t="shared" si="17"/>
        <v>-6.0200995349431343</v>
      </c>
      <c r="U54">
        <f t="shared" si="18"/>
        <v>90.059155415866442</v>
      </c>
      <c r="V54">
        <f t="shared" si="21"/>
        <v>-8.5668359885013246</v>
      </c>
      <c r="W54">
        <f t="shared" si="19"/>
        <v>67.512219857203803</v>
      </c>
      <c r="X54" s="33">
        <f t="shared" si="22"/>
        <v>-7.4009505137847587</v>
      </c>
      <c r="Y54">
        <f t="shared" si="20"/>
        <v>77.431635704563249</v>
      </c>
      <c r="AA54">
        <f>2^(1/20)</f>
        <v>1.0352649238413776</v>
      </c>
    </row>
    <row r="55" spans="1:27" x14ac:dyDescent="0.35">
      <c r="A55" t="str">
        <f>Table1!A48</f>
        <v>Conte et al. 2021</v>
      </c>
      <c r="B55">
        <f>Table1!C48</f>
        <v>3.7</v>
      </c>
      <c r="C55">
        <f>Table1!E48</f>
        <v>-3.7</v>
      </c>
      <c r="D55">
        <v>1</v>
      </c>
      <c r="E55" t="s">
        <v>1082</v>
      </c>
      <c r="F55" s="5">
        <f>Table1!M48</f>
        <v>-2.1019091244336758</v>
      </c>
      <c r="H55">
        <f t="shared" si="5"/>
        <v>-2.992165178480064</v>
      </c>
      <c r="I55">
        <f t="shared" si="6"/>
        <v>0.50103013455615986</v>
      </c>
      <c r="J55">
        <f t="shared" si="7"/>
        <v>-3.1820525866552685</v>
      </c>
      <c r="K55">
        <f t="shared" si="8"/>
        <v>0.26826952299049839</v>
      </c>
      <c r="L55">
        <f t="shared" si="9"/>
        <v>-2.3823010870274586</v>
      </c>
      <c r="M55">
        <f t="shared" si="10"/>
        <v>1.7363304252490177</v>
      </c>
      <c r="N55">
        <f t="shared" si="11"/>
        <v>-2.5041822998530101</v>
      </c>
      <c r="O55">
        <f t="shared" si="12"/>
        <v>1.4299799719848367</v>
      </c>
      <c r="P55" s="24">
        <f t="shared" si="13"/>
        <v>-2.6093195055369116</v>
      </c>
      <c r="Q55">
        <f t="shared" si="14"/>
        <v>1.1895839410022473</v>
      </c>
      <c r="R55">
        <f t="shared" si="15"/>
        <v>-0.29987161848699428</v>
      </c>
      <c r="S55">
        <f t="shared" si="16"/>
        <v>11.560873010770251</v>
      </c>
      <c r="T55">
        <f t="shared" si="17"/>
        <v>-3.1820526113270855</v>
      </c>
      <c r="U55">
        <f t="shared" si="18"/>
        <v>0.26826949743309136</v>
      </c>
      <c r="V55">
        <f t="shared" si="21"/>
        <v>-2.1374951894086673</v>
      </c>
      <c r="W55">
        <f t="shared" si="19"/>
        <v>2.4414212831210569</v>
      </c>
      <c r="X55" s="33">
        <f t="shared" si="22"/>
        <v>-2.7332425940958309</v>
      </c>
      <c r="Y55">
        <f t="shared" si="20"/>
        <v>0.93461988187055867</v>
      </c>
    </row>
    <row r="56" spans="1:27" x14ac:dyDescent="0.35">
      <c r="A56" t="str">
        <f>Table1!A49</f>
        <v>Desmet and Rossi-Hansberg 2015</v>
      </c>
      <c r="B56">
        <f>Table1!C49</f>
        <v>4.6487373814138984</v>
      </c>
      <c r="C56">
        <f>Table1!E49</f>
        <v>5.1295273109904338</v>
      </c>
      <c r="D56">
        <v>1</v>
      </c>
      <c r="E56" t="s">
        <v>1082</v>
      </c>
      <c r="F56" s="5">
        <f>Table1!M49</f>
        <v>2.0814052358742905</v>
      </c>
      <c r="H56">
        <f t="shared" si="5"/>
        <v>-4.0477805269592508</v>
      </c>
      <c r="I56">
        <f t="shared" si="6"/>
        <v>84.222979152492698</v>
      </c>
      <c r="J56">
        <f t="shared" si="7"/>
        <v>-3.997980218705171</v>
      </c>
      <c r="K56">
        <f t="shared" si="8"/>
        <v>83.311393704649959</v>
      </c>
      <c r="L56">
        <f t="shared" si="9"/>
        <v>-3.7606526831386837</v>
      </c>
      <c r="M56">
        <f t="shared" si="10"/>
        <v>79.035300328013577</v>
      </c>
      <c r="N56">
        <f t="shared" si="11"/>
        <v>-3.9215842045699874</v>
      </c>
      <c r="O56">
        <f t="shared" si="12"/>
        <v>81.922619667110467</v>
      </c>
      <c r="P56" s="24">
        <f t="shared" si="13"/>
        <v>-4.0464162145746556</v>
      </c>
      <c r="Q56">
        <f t="shared" si="14"/>
        <v>84.197939584359872</v>
      </c>
      <c r="R56">
        <f t="shared" si="15"/>
        <v>-0.78643203728154232</v>
      </c>
      <c r="S56">
        <f t="shared" si="16"/>
        <v>34.998575010406576</v>
      </c>
      <c r="T56">
        <f t="shared" si="17"/>
        <v>-3.9979802497032249</v>
      </c>
      <c r="U56">
        <f t="shared" si="18"/>
        <v>83.311394270519898</v>
      </c>
      <c r="V56">
        <f t="shared" si="21"/>
        <v>-3.2307795140634985</v>
      </c>
      <c r="W56">
        <f t="shared" si="19"/>
        <v>69.89473020904336</v>
      </c>
      <c r="X56" s="33">
        <f t="shared" si="22"/>
        <v>-3.837511760812701</v>
      </c>
      <c r="Y56">
        <f t="shared" si="20"/>
        <v>80.407789715244036</v>
      </c>
      <c r="AA56">
        <f>(1000/200)^(1/50)</f>
        <v>1.032712419896443</v>
      </c>
    </row>
    <row r="57" spans="1:27" x14ac:dyDescent="0.35">
      <c r="A57">
        <f>Table1!A50</f>
        <v>0</v>
      </c>
      <c r="B57">
        <f>Table1!C50</f>
        <v>9.2982230505350998</v>
      </c>
      <c r="C57">
        <f>Table1!E50</f>
        <v>-4.8593007850505128</v>
      </c>
      <c r="D57">
        <v>0</v>
      </c>
      <c r="F57" s="5">
        <f>Table1!M50</f>
        <v>-0.59095334529418708</v>
      </c>
      <c r="H57">
        <f t="shared" si="5"/>
        <v>-10.922951288631845</v>
      </c>
      <c r="I57">
        <f t="shared" si="6"/>
        <v>0</v>
      </c>
      <c r="J57">
        <f t="shared" si="7"/>
        <v>-7.9966039754737439</v>
      </c>
      <c r="K57">
        <f t="shared" si="8"/>
        <v>0</v>
      </c>
      <c r="L57">
        <f t="shared" si="9"/>
        <v>-15.045032175785265</v>
      </c>
      <c r="M57">
        <f t="shared" si="10"/>
        <v>0</v>
      </c>
      <c r="N57">
        <f t="shared" si="11"/>
        <v>-9.9523933970398701</v>
      </c>
      <c r="O57">
        <f t="shared" si="12"/>
        <v>0</v>
      </c>
      <c r="P57" s="24">
        <f t="shared" si="13"/>
        <v>-8.9085421585096611</v>
      </c>
      <c r="Q57">
        <f t="shared" si="14"/>
        <v>0</v>
      </c>
      <c r="R57">
        <f t="shared" si="15"/>
        <v>-82.993717387096765</v>
      </c>
      <c r="S57">
        <f t="shared" si="16"/>
        <v>0</v>
      </c>
      <c r="T57">
        <f t="shared" si="17"/>
        <v>-7.9966040374748406</v>
      </c>
      <c r="U57">
        <f t="shared" si="18"/>
        <v>0</v>
      </c>
      <c r="V57">
        <f t="shared" si="21"/>
        <v>-21.859657052412846</v>
      </c>
      <c r="W57">
        <f t="shared" si="19"/>
        <v>0</v>
      </c>
      <c r="X57" s="33">
        <f t="shared" si="22"/>
        <v>-12.316680663555251</v>
      </c>
      <c r="Y57">
        <f t="shared" si="20"/>
        <v>0</v>
      </c>
    </row>
    <row r="58" spans="1:27" x14ac:dyDescent="0.35">
      <c r="A58">
        <f>Table1!A51</f>
        <v>0</v>
      </c>
      <c r="B58">
        <f>Table1!C51</f>
        <v>13.606208917250999</v>
      </c>
      <c r="C58">
        <f>Table1!E51</f>
        <v>-24.061208104792932</v>
      </c>
      <c r="D58">
        <v>0</v>
      </c>
      <c r="F58" s="5">
        <f>Table1!M51</f>
        <v>-1.1510359566511486</v>
      </c>
      <c r="H58">
        <f t="shared" si="5"/>
        <v>-19.816283072823744</v>
      </c>
      <c r="I58">
        <f t="shared" si="6"/>
        <v>0</v>
      </c>
      <c r="J58">
        <f t="shared" si="7"/>
        <v>-24.761262007483047</v>
      </c>
      <c r="K58">
        <f t="shared" si="8"/>
        <v>0</v>
      </c>
      <c r="L58">
        <f t="shared" si="9"/>
        <v>-32.215692474540987</v>
      </c>
      <c r="M58">
        <f t="shared" si="10"/>
        <v>0</v>
      </c>
      <c r="N58">
        <f t="shared" si="11"/>
        <v>51.081775580567999</v>
      </c>
      <c r="O58">
        <f t="shared" si="12"/>
        <v>0</v>
      </c>
      <c r="P58" s="24">
        <f t="shared" si="13"/>
        <v>40.533032188903881</v>
      </c>
      <c r="Q58">
        <f t="shared" si="14"/>
        <v>0</v>
      </c>
      <c r="R58">
        <f t="shared" si="15"/>
        <v>-6166.2190650936427</v>
      </c>
      <c r="S58">
        <f t="shared" si="16"/>
        <v>0</v>
      </c>
      <c r="T58">
        <f t="shared" si="17"/>
        <v>-11.701533139297409</v>
      </c>
      <c r="U58">
        <f t="shared" si="18"/>
        <v>0</v>
      </c>
      <c r="V58">
        <f t="shared" si="21"/>
        <v>-125.92550532170101</v>
      </c>
      <c r="W58">
        <f t="shared" si="19"/>
        <v>0</v>
      </c>
      <c r="X58" s="33">
        <f t="shared" si="22"/>
        <v>-66.61026970765289</v>
      </c>
      <c r="Y58">
        <f t="shared" si="20"/>
        <v>0</v>
      </c>
    </row>
    <row r="59" spans="1:27" x14ac:dyDescent="0.35">
      <c r="A59">
        <f>Table1!A52</f>
        <v>0</v>
      </c>
      <c r="B59">
        <f>Table1!C52</f>
        <v>16.682700289727595</v>
      </c>
      <c r="C59">
        <f>Table1!E52</f>
        <v>-78.907648460775576</v>
      </c>
      <c r="D59">
        <v>0</v>
      </c>
      <c r="F59" s="5">
        <f>Table1!M52</f>
        <v>-0.6367627620812939</v>
      </c>
      <c r="H59">
        <f t="shared" si="5"/>
        <v>-27.652782715615761</v>
      </c>
      <c r="I59">
        <f t="shared" si="6"/>
        <v>0</v>
      </c>
      <c r="J59">
        <f t="shared" si="7"/>
        <v>-79.607117124834431</v>
      </c>
      <c r="K59">
        <f t="shared" si="8"/>
        <v>0</v>
      </c>
      <c r="L59">
        <f t="shared" si="9"/>
        <v>-48.431274285996054</v>
      </c>
      <c r="M59">
        <f t="shared" si="10"/>
        <v>0</v>
      </c>
      <c r="N59">
        <f t="shared" si="11"/>
        <v>303.29932552134562</v>
      </c>
      <c r="O59">
        <f t="shared" si="12"/>
        <v>0</v>
      </c>
      <c r="P59" s="24">
        <f t="shared" si="13"/>
        <v>205.34656327102718</v>
      </c>
      <c r="Q59">
        <f t="shared" si="14"/>
        <v>0</v>
      </c>
      <c r="R59">
        <f t="shared" si="15"/>
        <v>-133697.31547410777</v>
      </c>
      <c r="S59">
        <f t="shared" si="16"/>
        <v>0</v>
      </c>
      <c r="T59">
        <f t="shared" si="17"/>
        <v>-14.347359465112111</v>
      </c>
      <c r="U59">
        <f t="shared" si="18"/>
        <v>0</v>
      </c>
      <c r="V59">
        <f t="shared" si="21"/>
        <v>-439.58476493073022</v>
      </c>
      <c r="W59">
        <f t="shared" si="19"/>
        <v>0</v>
      </c>
      <c r="X59" s="33">
        <f t="shared" si="22"/>
        <v>-1010.9770147864668</v>
      </c>
      <c r="Y59">
        <f t="shared" si="20"/>
        <v>0</v>
      </c>
    </row>
    <row r="60" spans="1:27" x14ac:dyDescent="0.35">
      <c r="A60" t="str">
        <f>Table1!A53</f>
        <v>Cruz and Rossi-Hansberg 2021</v>
      </c>
      <c r="B60">
        <f>Table1!C53</f>
        <v>7.2</v>
      </c>
      <c r="C60">
        <f>Table1!E53</f>
        <v>-5</v>
      </c>
      <c r="D60">
        <v>1</v>
      </c>
      <c r="E60" t="s">
        <v>1082</v>
      </c>
      <c r="F60" s="5">
        <f>Table1!M53</f>
        <v>-0.96019996837483579</v>
      </c>
      <c r="H60">
        <f t="shared" si="5"/>
        <v>-7.4703037913136674</v>
      </c>
      <c r="I60">
        <f t="shared" si="6"/>
        <v>6.1024008213786791</v>
      </c>
      <c r="J60">
        <f t="shared" si="7"/>
        <v>-6.1921023307886296</v>
      </c>
      <c r="K60">
        <f t="shared" si="8"/>
        <v>1.4211079670716833</v>
      </c>
      <c r="L60">
        <f t="shared" si="9"/>
        <v>-9.0210729256028817</v>
      </c>
      <c r="M60">
        <f t="shared" si="10"/>
        <v>16.169027473016516</v>
      </c>
      <c r="N60">
        <f t="shared" si="11"/>
        <v>-8.529574785675397</v>
      </c>
      <c r="O60">
        <f t="shared" si="12"/>
        <v>12.457898167675525</v>
      </c>
      <c r="P60" s="24">
        <f t="shared" si="13"/>
        <v>-8.3235602959112143</v>
      </c>
      <c r="Q60">
        <f t="shared" si="14"/>
        <v>11.046053040557439</v>
      </c>
      <c r="R60">
        <f t="shared" si="15"/>
        <v>-10.174520314195009</v>
      </c>
      <c r="S60">
        <f t="shared" si="16"/>
        <v>26.775660482016814</v>
      </c>
      <c r="T60">
        <f t="shared" si="17"/>
        <v>-6.1921023787986522</v>
      </c>
      <c r="U60">
        <f t="shared" si="18"/>
        <v>1.4211080815374053</v>
      </c>
      <c r="V60">
        <f t="shared" si="21"/>
        <v>-9.2968645475561846</v>
      </c>
      <c r="W60">
        <f t="shared" si="19"/>
        <v>18.463044940045215</v>
      </c>
      <c r="X60" s="33">
        <f t="shared" si="22"/>
        <v>-7.7628881274452439</v>
      </c>
      <c r="Y60">
        <f t="shared" si="20"/>
        <v>7.6335508047778866</v>
      </c>
    </row>
    <row r="61" spans="1:27" x14ac:dyDescent="0.35">
      <c r="A61" t="str">
        <f>Table1!A54</f>
        <v>Kalkuhl and Wenz 2020</v>
      </c>
      <c r="B61">
        <f>Table1!C54</f>
        <v>1</v>
      </c>
      <c r="C61">
        <f>Table1!E54</f>
        <v>-2.2999999999999998</v>
      </c>
      <c r="D61">
        <v>1</v>
      </c>
      <c r="E61" t="s">
        <v>1082</v>
      </c>
      <c r="F61" s="5">
        <f>Table1!M54</f>
        <v>-7.3811814044296282</v>
      </c>
      <c r="H61">
        <f t="shared" si="5"/>
        <v>-0.63215271012576701</v>
      </c>
      <c r="I61">
        <f t="shared" si="6"/>
        <v>2.7817145823408227</v>
      </c>
      <c r="J61">
        <f t="shared" si="7"/>
        <v>-0.86001421260953193</v>
      </c>
      <c r="K61">
        <f t="shared" si="8"/>
        <v>2.0735590678865461</v>
      </c>
      <c r="L61">
        <f t="shared" si="9"/>
        <v>-0.17401761044758643</v>
      </c>
      <c r="M61">
        <f t="shared" si="10"/>
        <v>4.5198011206869904</v>
      </c>
      <c r="N61">
        <f t="shared" si="11"/>
        <v>-0.18360290132577989</v>
      </c>
      <c r="O61">
        <f t="shared" si="12"/>
        <v>4.4791366792766558</v>
      </c>
      <c r="P61" s="24">
        <f t="shared" si="13"/>
        <v>-0.19284024848699868</v>
      </c>
      <c r="Q61">
        <f t="shared" si="14"/>
        <v>4.4401222183963318</v>
      </c>
      <c r="R61">
        <f t="shared" si="15"/>
        <v>-1.3062082727214401E-2</v>
      </c>
      <c r="S61">
        <f t="shared" si="16"/>
        <v>5.2300850374599852</v>
      </c>
      <c r="T61">
        <f t="shared" si="17"/>
        <v>-0.86001421927759059</v>
      </c>
      <c r="U61">
        <f t="shared" si="18"/>
        <v>2.0735590486827267</v>
      </c>
      <c r="V61">
        <f t="shared" si="21"/>
        <v>-0.41762310976459183</v>
      </c>
      <c r="W61">
        <f t="shared" si="19"/>
        <v>3.5433427568923248</v>
      </c>
      <c r="X61" s="33">
        <f t="shared" si="22"/>
        <v>-0.51238339803148403</v>
      </c>
      <c r="Y61">
        <f t="shared" si="20"/>
        <v>3.1955731156334632</v>
      </c>
    </row>
    <row r="62" spans="1:27" x14ac:dyDescent="0.35">
      <c r="A62" t="str">
        <f>Table1!A55</f>
        <v>Newell, Prest and Sexton</v>
      </c>
      <c r="B62">
        <f>Table1!C55</f>
        <v>4.3</v>
      </c>
      <c r="C62">
        <f>Table1!E55</f>
        <v>5.63</v>
      </c>
      <c r="D62">
        <f>1/9</f>
        <v>0.1111111111111111</v>
      </c>
      <c r="E62" t="s">
        <v>1082</v>
      </c>
      <c r="F62" s="5">
        <f>Table1!M55</f>
        <v>2.5401291223940698</v>
      </c>
      <c r="H62">
        <f t="shared" si="5"/>
        <v>-3.6460754866638165</v>
      </c>
      <c r="I62">
        <f t="shared" si="6"/>
        <v>9.5606196038094868</v>
      </c>
      <c r="J62">
        <f t="shared" si="7"/>
        <v>-3.6980611142209869</v>
      </c>
      <c r="K62">
        <f t="shared" si="8"/>
        <v>9.6680804611824076</v>
      </c>
      <c r="L62">
        <f t="shared" si="9"/>
        <v>-3.2175856171758728</v>
      </c>
      <c r="M62">
        <f t="shared" si="10"/>
        <v>8.6977523614730412</v>
      </c>
      <c r="N62">
        <f t="shared" si="11"/>
        <v>-3.3680499362175538</v>
      </c>
      <c r="O62">
        <f t="shared" si="12"/>
        <v>8.996100294962746</v>
      </c>
      <c r="P62" s="24">
        <f t="shared" si="13"/>
        <v>-3.489885251415294</v>
      </c>
      <c r="Q62">
        <f t="shared" si="14"/>
        <v>9.2413674443313543</v>
      </c>
      <c r="R62">
        <f t="shared" si="15"/>
        <v>-0.55265131937474499</v>
      </c>
      <c r="S62">
        <f t="shared" si="16"/>
        <v>4.2472419263295862</v>
      </c>
      <c r="T62">
        <f t="shared" si="17"/>
        <v>-3.6980611428936392</v>
      </c>
      <c r="U62">
        <f t="shared" si="18"/>
        <v>9.6680805206180178</v>
      </c>
      <c r="V62">
        <f t="shared" si="21"/>
        <v>-2.782408397367953</v>
      </c>
      <c r="W62">
        <f t="shared" si="19"/>
        <v>7.8631794493452052</v>
      </c>
      <c r="X62" s="33">
        <f t="shared" si="22"/>
        <v>-3.4105078693018709</v>
      </c>
      <c r="Y62">
        <f t="shared" si="20"/>
        <v>9.0811980594343389</v>
      </c>
    </row>
    <row r="63" spans="1:27" x14ac:dyDescent="0.35">
      <c r="A63">
        <f>Table1!A56</f>
        <v>0</v>
      </c>
      <c r="B63">
        <f>Table1!C56</f>
        <v>4.3</v>
      </c>
      <c r="C63">
        <f>Table1!E56</f>
        <v>3.61</v>
      </c>
      <c r="D63">
        <f t="shared" ref="D63:D70" si="28">1/9</f>
        <v>0.1111111111111111</v>
      </c>
      <c r="F63" s="5">
        <f>Table1!M56</f>
        <v>1.6287506450874945</v>
      </c>
      <c r="H63">
        <f t="shared" si="5"/>
        <v>-3.6460754866638165</v>
      </c>
      <c r="I63">
        <f t="shared" si="6"/>
        <v>5.8500701631292813</v>
      </c>
      <c r="J63">
        <f t="shared" si="7"/>
        <v>-3.6980611142209869</v>
      </c>
      <c r="K63">
        <f t="shared" si="8"/>
        <v>5.9341952499098767</v>
      </c>
      <c r="L63">
        <f t="shared" si="9"/>
        <v>-3.2175856171758728</v>
      </c>
      <c r="M63">
        <f t="shared" si="10"/>
        <v>5.1795472622074259</v>
      </c>
      <c r="N63">
        <f t="shared" si="11"/>
        <v>-3.3680499362175538</v>
      </c>
      <c r="O63">
        <f t="shared" si="12"/>
        <v>5.4103534347050886</v>
      </c>
      <c r="P63" s="24">
        <f t="shared" si="13"/>
        <v>-3.489885251415294</v>
      </c>
      <c r="Q63">
        <f t="shared" si="14"/>
        <v>5.6009300648071569</v>
      </c>
      <c r="R63">
        <f t="shared" si="15"/>
        <v>-0.55265131937474499</v>
      </c>
      <c r="S63">
        <f t="shared" si="16"/>
        <v>1.9252962229658115</v>
      </c>
      <c r="T63">
        <f t="shared" si="17"/>
        <v>-3.6980611428936392</v>
      </c>
      <c r="U63">
        <f t="shared" si="18"/>
        <v>5.9341952964746527</v>
      </c>
      <c r="V63">
        <f t="shared" si="21"/>
        <v>-2.782408397367953</v>
      </c>
      <c r="W63">
        <f t="shared" si="19"/>
        <v>4.5403205687489248</v>
      </c>
      <c r="X63" s="33">
        <f t="shared" si="22"/>
        <v>-3.4105078693018709</v>
      </c>
      <c r="Y63">
        <f t="shared" si="20"/>
        <v>5.4763923047699432</v>
      </c>
    </row>
    <row r="64" spans="1:27" x14ac:dyDescent="0.35">
      <c r="A64">
        <f>Table1!A57</f>
        <v>0</v>
      </c>
      <c r="B64">
        <f>Table1!C57</f>
        <v>4.3</v>
      </c>
      <c r="C64">
        <f>Table1!E57</f>
        <v>-1.71</v>
      </c>
      <c r="D64">
        <f t="shared" si="28"/>
        <v>0.1111111111111111</v>
      </c>
      <c r="F64" s="5">
        <f>Table1!M57</f>
        <v>-0.77151346346249727</v>
      </c>
      <c r="H64">
        <f t="shared" si="5"/>
        <v>-3.6460754866638165</v>
      </c>
      <c r="I64">
        <f t="shared" si="6"/>
        <v>0.41648758778450379</v>
      </c>
      <c r="J64">
        <f t="shared" si="7"/>
        <v>-3.6980611142209869</v>
      </c>
      <c r="K64">
        <f t="shared" si="8"/>
        <v>0.43915411043084357</v>
      </c>
      <c r="L64">
        <f t="shared" si="9"/>
        <v>-3.2175856171758728</v>
      </c>
      <c r="M64">
        <f t="shared" si="10"/>
        <v>0.25253493256839527</v>
      </c>
      <c r="N64">
        <f t="shared" si="11"/>
        <v>-3.3680499362175538</v>
      </c>
      <c r="O64">
        <f t="shared" si="12"/>
        <v>0.30545884344344826</v>
      </c>
      <c r="P64" s="24">
        <f t="shared" si="13"/>
        <v>-3.489885251415294</v>
      </c>
      <c r="Q64">
        <f t="shared" si="14"/>
        <v>0.35199905646729823</v>
      </c>
      <c r="R64">
        <f t="shared" si="15"/>
        <v>-0.55265131937474499</v>
      </c>
      <c r="S64">
        <f t="shared" si="16"/>
        <v>0.1488284409494465</v>
      </c>
      <c r="T64">
        <f t="shared" si="17"/>
        <v>-3.6980611428936392</v>
      </c>
      <c r="U64">
        <f t="shared" si="18"/>
        <v>0.43915412309817364</v>
      </c>
      <c r="V64">
        <f t="shared" si="21"/>
        <v>-2.782408397367953</v>
      </c>
      <c r="W64">
        <f t="shared" si="19"/>
        <v>0.12778441897170018</v>
      </c>
      <c r="X64" s="33">
        <f t="shared" si="22"/>
        <v>-3.4105078693018709</v>
      </c>
      <c r="Y64">
        <f t="shared" si="20"/>
        <v>0.32130300150639873</v>
      </c>
    </row>
    <row r="65" spans="1:25" x14ac:dyDescent="0.35">
      <c r="A65">
        <f>Table1!A58</f>
        <v>0</v>
      </c>
      <c r="B65">
        <f>Table1!C58</f>
        <v>4.3</v>
      </c>
      <c r="C65">
        <f>Table1!E58</f>
        <v>-1.63</v>
      </c>
      <c r="D65">
        <f t="shared" si="28"/>
        <v>0.1111111111111111</v>
      </c>
      <c r="F65" s="5">
        <f>Table1!M58</f>
        <v>-0.73541926634144483</v>
      </c>
      <c r="H65">
        <f t="shared" si="5"/>
        <v>-3.6460754866638165</v>
      </c>
      <c r="I65">
        <f t="shared" si="6"/>
        <v>0.45161781865852724</v>
      </c>
      <c r="J65">
        <f t="shared" si="7"/>
        <v>-3.6980611142209869</v>
      </c>
      <c r="K65">
        <f t="shared" si="8"/>
        <v>0.47520853023921666</v>
      </c>
      <c r="L65">
        <f t="shared" si="9"/>
        <v>-3.2175856171758728</v>
      </c>
      <c r="M65">
        <f t="shared" si="10"/>
        <v>0.28004756576263296</v>
      </c>
      <c r="N65">
        <f t="shared" si="11"/>
        <v>-3.3680499362175538</v>
      </c>
      <c r="O65">
        <f t="shared" si="12"/>
        <v>0.33564639786509365</v>
      </c>
      <c r="P65" s="24">
        <f t="shared" si="13"/>
        <v>-3.489885251415294</v>
      </c>
      <c r="Q65">
        <f t="shared" si="14"/>
        <v>0.3843525720480146</v>
      </c>
      <c r="R65">
        <f t="shared" si="15"/>
        <v>-0.55265131937474499</v>
      </c>
      <c r="S65">
        <f t="shared" si="16"/>
        <v>0.12896446440499751</v>
      </c>
      <c r="T65">
        <f t="shared" si="17"/>
        <v>-3.6980611428936392</v>
      </c>
      <c r="U65">
        <f t="shared" si="18"/>
        <v>0.47520854341628282</v>
      </c>
      <c r="V65">
        <f t="shared" si="21"/>
        <v>-2.782408397367953</v>
      </c>
      <c r="W65">
        <f t="shared" si="19"/>
        <v>0.14756056825824154</v>
      </c>
      <c r="X65" s="33">
        <f t="shared" si="22"/>
        <v>-3.4105078693018709</v>
      </c>
      <c r="Y65">
        <f t="shared" si="20"/>
        <v>0.35224536362732095</v>
      </c>
    </row>
    <row r="66" spans="1:25" x14ac:dyDescent="0.35">
      <c r="A66">
        <f>Table1!A59</f>
        <v>0</v>
      </c>
      <c r="B66">
        <f>Table1!C59</f>
        <v>4.3</v>
      </c>
      <c r="C66">
        <f>Table1!E59</f>
        <v>-2.17</v>
      </c>
      <c r="D66">
        <f t="shared" si="28"/>
        <v>0.1111111111111111</v>
      </c>
      <c r="F66" s="5">
        <f>Table1!M59</f>
        <v>-0.97905509690854919</v>
      </c>
      <c r="H66">
        <f t="shared" si="5"/>
        <v>-3.6460754866638165</v>
      </c>
      <c r="I66">
        <f t="shared" si="6"/>
        <v>0.24208876025886925</v>
      </c>
      <c r="J66">
        <f t="shared" si="7"/>
        <v>-3.6980611142209869</v>
      </c>
      <c r="K66">
        <f t="shared" si="8"/>
        <v>0.25944119653269826</v>
      </c>
      <c r="L66">
        <f t="shared" si="9"/>
        <v>-3.2175856171758728</v>
      </c>
      <c r="M66">
        <f t="shared" si="10"/>
        <v>0.12193729170152827</v>
      </c>
      <c r="N66">
        <f t="shared" si="11"/>
        <v>-3.3680499362175538</v>
      </c>
      <c r="O66">
        <f t="shared" si="12"/>
        <v>0.15948040551898718</v>
      </c>
      <c r="P66" s="24">
        <f t="shared" si="13"/>
        <v>-3.489885251415294</v>
      </c>
      <c r="Q66">
        <f t="shared" si="14"/>
        <v>0.19356634187817934</v>
      </c>
      <c r="R66">
        <f t="shared" si="15"/>
        <v>-0.55265131937474499</v>
      </c>
      <c r="S66">
        <f t="shared" si="16"/>
        <v>0.29064630608002812</v>
      </c>
      <c r="T66">
        <f t="shared" si="17"/>
        <v>-3.6980611428936392</v>
      </c>
      <c r="U66">
        <f t="shared" si="18"/>
        <v>0.2594412062690461</v>
      </c>
      <c r="V66">
        <f t="shared" si="21"/>
        <v>-2.782408397367953</v>
      </c>
      <c r="W66">
        <f t="shared" si="19"/>
        <v>4.1671560574087184E-2</v>
      </c>
      <c r="X66" s="33">
        <f t="shared" si="22"/>
        <v>-3.4105078693018709</v>
      </c>
      <c r="Y66">
        <f t="shared" si="20"/>
        <v>0.1709844193110964</v>
      </c>
    </row>
    <row r="67" spans="1:25" x14ac:dyDescent="0.35">
      <c r="A67">
        <f>Table1!A60</f>
        <v>0</v>
      </c>
      <c r="B67">
        <f>Table1!C60</f>
        <v>4.3</v>
      </c>
      <c r="C67">
        <f>Table1!E60</f>
        <v>-0.64</v>
      </c>
      <c r="D67">
        <f t="shared" si="28"/>
        <v>0.1111111111111111</v>
      </c>
      <c r="F67" s="5">
        <f>Table1!M60</f>
        <v>-0.28875357696842002</v>
      </c>
      <c r="H67">
        <f t="shared" si="5"/>
        <v>-3.6460754866638165</v>
      </c>
      <c r="I67">
        <f t="shared" si="6"/>
        <v>1.0040544257245667</v>
      </c>
      <c r="J67">
        <f t="shared" si="7"/>
        <v>-3.6980611142209869</v>
      </c>
      <c r="K67">
        <f t="shared" si="8"/>
        <v>1.0390819753678338</v>
      </c>
      <c r="L67">
        <f t="shared" si="9"/>
        <v>-3.2175856171758728</v>
      </c>
      <c r="M67">
        <f t="shared" si="10"/>
        <v>0.73821640154132495</v>
      </c>
      <c r="N67">
        <f t="shared" si="11"/>
        <v>-3.3680499362175538</v>
      </c>
      <c r="O67">
        <f t="shared" si="12"/>
        <v>0.82691738383295532</v>
      </c>
      <c r="P67" s="24">
        <f t="shared" si="13"/>
        <v>-3.489885251415294</v>
      </c>
      <c r="Q67">
        <f t="shared" si="14"/>
        <v>0.90242732735937925</v>
      </c>
      <c r="R67">
        <f t="shared" si="15"/>
        <v>-0.55265131937474499</v>
      </c>
      <c r="S67">
        <f t="shared" si="16"/>
        <v>8.4775466744142249E-4</v>
      </c>
      <c r="T67">
        <f t="shared" si="17"/>
        <v>-3.6980611428936392</v>
      </c>
      <c r="U67">
        <f t="shared" si="18"/>
        <v>1.0390819948528833</v>
      </c>
      <c r="V67">
        <f t="shared" si="21"/>
        <v>-2.782408397367953</v>
      </c>
      <c r="W67">
        <f t="shared" si="19"/>
        <v>0.50999041567919101</v>
      </c>
      <c r="X67" s="33">
        <f t="shared" si="22"/>
        <v>-3.4105078693018709</v>
      </c>
      <c r="Y67">
        <f t="shared" si="20"/>
        <v>0.85285709487373229</v>
      </c>
    </row>
    <row r="68" spans="1:25" x14ac:dyDescent="0.35">
      <c r="A68">
        <f>Table1!A61</f>
        <v>0</v>
      </c>
      <c r="B68">
        <f>Table1!C61</f>
        <v>4.3</v>
      </c>
      <c r="C68">
        <f>Table1!E61</f>
        <v>-1.82</v>
      </c>
      <c r="D68">
        <f t="shared" si="28"/>
        <v>0.1111111111111111</v>
      </c>
      <c r="F68" s="5">
        <f>Table1!M61</f>
        <v>-0.82114298450394463</v>
      </c>
      <c r="H68">
        <f t="shared" si="5"/>
        <v>-3.6460754866638165</v>
      </c>
      <c r="I68">
        <f t="shared" si="6"/>
        <v>0.37050574255494378</v>
      </c>
      <c r="J68">
        <f t="shared" si="7"/>
        <v>-3.6980611142209869</v>
      </c>
      <c r="K68">
        <f t="shared" si="8"/>
        <v>0.39190150541655272</v>
      </c>
      <c r="L68">
        <f t="shared" si="9"/>
        <v>-3.2175856171758728</v>
      </c>
      <c r="M68">
        <f t="shared" si="10"/>
        <v>0.21702728414854056</v>
      </c>
      <c r="N68">
        <f t="shared" si="11"/>
        <v>-3.3680499362175538</v>
      </c>
      <c r="O68">
        <f t="shared" si="12"/>
        <v>0.26627317833590797</v>
      </c>
      <c r="P68" s="24">
        <f t="shared" si="13"/>
        <v>-3.489885251415294</v>
      </c>
      <c r="Q68">
        <f t="shared" si="14"/>
        <v>0.30983519476603549</v>
      </c>
      <c r="R68">
        <f t="shared" si="15"/>
        <v>-0.55265131937474499</v>
      </c>
      <c r="S68">
        <f t="shared" si="16"/>
        <v>0.17846363092028605</v>
      </c>
      <c r="T68">
        <f t="shared" si="17"/>
        <v>-3.6980611428936392</v>
      </c>
      <c r="U68">
        <f t="shared" si="18"/>
        <v>0.39190151738299578</v>
      </c>
      <c r="V68">
        <f t="shared" si="21"/>
        <v>-2.782408397367953</v>
      </c>
      <c r="W68">
        <f t="shared" si="19"/>
        <v>0.10291443592492795</v>
      </c>
      <c r="X68" s="33">
        <f t="shared" si="22"/>
        <v>-3.4105078693018709</v>
      </c>
      <c r="Y68">
        <f t="shared" si="20"/>
        <v>0.28107947581235299</v>
      </c>
    </row>
    <row r="69" spans="1:25" x14ac:dyDescent="0.35">
      <c r="A69">
        <f>Table1!A62</f>
        <v>0</v>
      </c>
      <c r="B69">
        <f>Table1!C62</f>
        <v>4.3</v>
      </c>
      <c r="C69">
        <f>Table1!E62</f>
        <v>-1.75</v>
      </c>
      <c r="D69">
        <f t="shared" si="28"/>
        <v>0.1111111111111111</v>
      </c>
      <c r="F69" s="5">
        <f>Table1!M62</f>
        <v>-0.7895605620230236</v>
      </c>
      <c r="H69">
        <f t="shared" si="5"/>
        <v>-3.6460754866638165</v>
      </c>
      <c r="I69">
        <f t="shared" si="6"/>
        <v>0.39945580568082539</v>
      </c>
      <c r="J69">
        <f t="shared" si="7"/>
        <v>-3.6980611142209869</v>
      </c>
      <c r="K69">
        <f t="shared" si="8"/>
        <v>0.4216602338599903</v>
      </c>
      <c r="L69">
        <f t="shared" si="9"/>
        <v>-3.2175856171758728</v>
      </c>
      <c r="M69">
        <f t="shared" si="10"/>
        <v>0.23931194930460969</v>
      </c>
      <c r="N69">
        <f t="shared" si="11"/>
        <v>-3.3680499362175538</v>
      </c>
      <c r="O69">
        <f t="shared" si="12"/>
        <v>0.29089839956595887</v>
      </c>
      <c r="P69" s="24">
        <f t="shared" si="13"/>
        <v>-3.489885251415294</v>
      </c>
      <c r="Q69">
        <f t="shared" si="14"/>
        <v>0.33635563201027341</v>
      </c>
      <c r="R69">
        <f t="shared" si="15"/>
        <v>-0.55265131937474499</v>
      </c>
      <c r="S69">
        <f t="shared" si="16"/>
        <v>0.15929376255500435</v>
      </c>
      <c r="T69">
        <f t="shared" si="17"/>
        <v>-3.6980611428936392</v>
      </c>
      <c r="U69">
        <f t="shared" si="18"/>
        <v>0.42166024627245235</v>
      </c>
      <c r="V69">
        <f t="shared" si="21"/>
        <v>-2.782408397367953</v>
      </c>
      <c r="W69">
        <f t="shared" si="19"/>
        <v>0.11842967766176279</v>
      </c>
      <c r="X69" s="33">
        <f t="shared" si="22"/>
        <v>-3.4105078693018709</v>
      </c>
      <c r="Y69">
        <f t="shared" si="20"/>
        <v>0.30636515377927098</v>
      </c>
    </row>
    <row r="70" spans="1:25" x14ac:dyDescent="0.35">
      <c r="A70">
        <f>Table1!A63</f>
        <v>0</v>
      </c>
      <c r="B70">
        <f>Table1!C63</f>
        <v>4.3</v>
      </c>
      <c r="C70">
        <f>Table1!E63</f>
        <v>-2.16</v>
      </c>
      <c r="D70">
        <f t="shared" si="28"/>
        <v>0.1111111111111111</v>
      </c>
      <c r="F70" s="5">
        <f>Table1!M63</f>
        <v>-0.97454332226841778</v>
      </c>
      <c r="H70">
        <f t="shared" si="5"/>
        <v>-3.6460754866638165</v>
      </c>
      <c r="I70">
        <f t="shared" si="6"/>
        <v>0.24538003911812209</v>
      </c>
      <c r="J70">
        <f t="shared" si="7"/>
        <v>-3.6980611142209869</v>
      </c>
      <c r="K70">
        <f t="shared" si="8"/>
        <v>0.26284799900874484</v>
      </c>
      <c r="L70">
        <f t="shared" si="9"/>
        <v>-3.2175856171758728</v>
      </c>
      <c r="M70">
        <f t="shared" si="10"/>
        <v>0.12427637085080794</v>
      </c>
      <c r="N70">
        <f t="shared" si="11"/>
        <v>-3.3680499362175538</v>
      </c>
      <c r="O70">
        <f t="shared" si="12"/>
        <v>0.16215384982169281</v>
      </c>
      <c r="P70" s="24">
        <f t="shared" si="13"/>
        <v>-3.489885251415294</v>
      </c>
      <c r="Q70">
        <f t="shared" si="14"/>
        <v>0.19651053132576882</v>
      </c>
      <c r="R70">
        <f t="shared" si="15"/>
        <v>-0.55265131937474499</v>
      </c>
      <c r="S70">
        <f t="shared" si="16"/>
        <v>0.28706330901197208</v>
      </c>
      <c r="T70">
        <f t="shared" si="17"/>
        <v>-3.6980611428936392</v>
      </c>
      <c r="U70">
        <f t="shared" si="18"/>
        <v>0.26284800880880971</v>
      </c>
      <c r="V70">
        <f t="shared" si="21"/>
        <v>-2.782408397367953</v>
      </c>
      <c r="W70">
        <f t="shared" si="19"/>
        <v>4.3043579234904823E-2</v>
      </c>
      <c r="X70" s="33">
        <f t="shared" si="22"/>
        <v>-3.4105078693018709</v>
      </c>
      <c r="Y70">
        <f t="shared" si="20"/>
        <v>0.17375221457621162</v>
      </c>
    </row>
    <row r="71" spans="1:25" x14ac:dyDescent="0.35">
      <c r="A71" t="str">
        <f>Table1!A64</f>
        <v>Schauer 1995</v>
      </c>
      <c r="B71">
        <f>Table1!C64</f>
        <v>2.5</v>
      </c>
      <c r="C71">
        <f>Table1!E64</f>
        <v>-5.22</v>
      </c>
      <c r="D71">
        <v>1</v>
      </c>
      <c r="E71" t="s">
        <v>1082</v>
      </c>
      <c r="F71" s="5">
        <f>Table1!M64</f>
        <v>-5.22</v>
      </c>
      <c r="H71">
        <f t="shared" si="5"/>
        <v>-1.8255770271968221</v>
      </c>
      <c r="I71">
        <f t="shared" si="6"/>
        <v>11.522107318293962</v>
      </c>
      <c r="J71">
        <f t="shared" si="7"/>
        <v>-2.1500355315238298</v>
      </c>
      <c r="K71">
        <f t="shared" si="8"/>
        <v>9.4246818377061725</v>
      </c>
      <c r="L71">
        <f t="shared" si="9"/>
        <v>-1.0876100652974152</v>
      </c>
      <c r="M71">
        <f t="shared" si="10"/>
        <v>17.07664657243123</v>
      </c>
      <c r="N71">
        <f t="shared" si="11"/>
        <v>-1.1469228310703414</v>
      </c>
      <c r="O71">
        <f t="shared" si="12"/>
        <v>16.589957624056041</v>
      </c>
      <c r="P71" s="24">
        <f t="shared" si="13"/>
        <v>-1.2023932245881224</v>
      </c>
      <c r="Q71">
        <f t="shared" si="14"/>
        <v>16.141164201835426</v>
      </c>
      <c r="R71">
        <f t="shared" si="15"/>
        <v>-8.500739447514076E-2</v>
      </c>
      <c r="S71">
        <f t="shared" si="16"/>
        <v>26.36814905879498</v>
      </c>
      <c r="T71">
        <f t="shared" si="17"/>
        <v>-2.1500355481939764</v>
      </c>
      <c r="U71">
        <f t="shared" si="18"/>
        <v>9.4246817353526584</v>
      </c>
      <c r="V71">
        <f t="shared" si="21"/>
        <v>-1.199838236748753</v>
      </c>
      <c r="W71">
        <f t="shared" si="19"/>
        <v>16.161700602707374</v>
      </c>
      <c r="X71" s="33">
        <f t="shared" si="22"/>
        <v>-1.5862549865874187</v>
      </c>
      <c r="Y71">
        <f t="shared" si="20"/>
        <v>13.204102822500799</v>
      </c>
    </row>
    <row r="72" spans="1:25" x14ac:dyDescent="0.35">
      <c r="A72" t="str">
        <f>Table1!A65</f>
        <v>Horowitz 2009</v>
      </c>
      <c r="B72">
        <f>Table1!C65</f>
        <v>1</v>
      </c>
      <c r="C72">
        <f>Table1!E65</f>
        <v>-3.8</v>
      </c>
      <c r="D72">
        <v>1</v>
      </c>
      <c r="E72" t="s">
        <v>1082</v>
      </c>
      <c r="F72" s="5">
        <f>Table1!M65</f>
        <v>-12.194995363840254</v>
      </c>
      <c r="H72">
        <f t="shared" si="5"/>
        <v>-0.63215271012576701</v>
      </c>
      <c r="I72">
        <f t="shared" si="6"/>
        <v>10.035256451963521</v>
      </c>
      <c r="J72">
        <f t="shared" si="7"/>
        <v>-0.86001421260953193</v>
      </c>
      <c r="K72">
        <f t="shared" si="8"/>
        <v>8.6435164300579501</v>
      </c>
      <c r="L72">
        <f t="shared" si="9"/>
        <v>-0.17401761044758643</v>
      </c>
      <c r="M72">
        <f t="shared" si="10"/>
        <v>13.14774828934423</v>
      </c>
      <c r="N72">
        <f t="shared" si="11"/>
        <v>-0.18360290132577989</v>
      </c>
      <c r="O72">
        <f t="shared" si="12"/>
        <v>13.078327975299317</v>
      </c>
      <c r="P72" s="24">
        <f t="shared" si="13"/>
        <v>-0.19284024848699868</v>
      </c>
      <c r="Q72">
        <f t="shared" si="14"/>
        <v>13.011601472935334</v>
      </c>
      <c r="R72">
        <f t="shared" si="15"/>
        <v>-1.3062082727214401E-2</v>
      </c>
      <c r="S72">
        <f t="shared" si="16"/>
        <v>14.340898789278341</v>
      </c>
      <c r="T72">
        <f t="shared" si="17"/>
        <v>-0.86001421927759059</v>
      </c>
      <c r="U72">
        <f t="shared" si="18"/>
        <v>8.643516390849955</v>
      </c>
      <c r="V72">
        <f t="shared" si="21"/>
        <v>-0.41762310976459183</v>
      </c>
      <c r="W72">
        <f t="shared" si="19"/>
        <v>11.440473427598549</v>
      </c>
      <c r="X72" s="33">
        <f t="shared" si="22"/>
        <v>-0.51238339803148403</v>
      </c>
      <c r="Y72">
        <f t="shared" si="20"/>
        <v>10.808422921539011</v>
      </c>
    </row>
    <row r="73" spans="1:25" x14ac:dyDescent="0.35">
      <c r="A73" t="str">
        <f>Table1!A66</f>
        <v>Eboli 2010</v>
      </c>
      <c r="B73">
        <f>Table1!C66</f>
        <v>3.03</v>
      </c>
      <c r="C73">
        <f>Table1!E66</f>
        <v>-1.35</v>
      </c>
      <c r="D73">
        <v>0.25</v>
      </c>
      <c r="E73" t="s">
        <v>1084</v>
      </c>
      <c r="F73" s="5">
        <f>Table1!M66</f>
        <v>-1.044104828826496</v>
      </c>
      <c r="H73">
        <f t="shared" si="5"/>
        <v>-2.3176017716286692</v>
      </c>
      <c r="I73">
        <f t="shared" si="6"/>
        <v>0.23406329711473478</v>
      </c>
      <c r="J73">
        <f t="shared" si="7"/>
        <v>-2.6058430642068817</v>
      </c>
      <c r="K73">
        <f t="shared" si="8"/>
        <v>0.39428545047913244</v>
      </c>
      <c r="L73">
        <f t="shared" si="9"/>
        <v>-1.5976382797582462</v>
      </c>
      <c r="M73">
        <f t="shared" si="10"/>
        <v>1.5331179400405846E-2</v>
      </c>
      <c r="N73">
        <f t="shared" si="11"/>
        <v>-1.6833383177251664</v>
      </c>
      <c r="O73">
        <f t="shared" si="12"/>
        <v>2.7778608515960982E-2</v>
      </c>
      <c r="P73" s="24">
        <f t="shared" si="13"/>
        <v>-1.7612593264966572</v>
      </c>
      <c r="Q73">
        <f t="shared" si="14"/>
        <v>4.2283558407620998E-2</v>
      </c>
      <c r="R73">
        <f t="shared" si="15"/>
        <v>-0.1497349720624841</v>
      </c>
      <c r="S73">
        <f t="shared" si="16"/>
        <v>0.36015903432246149</v>
      </c>
      <c r="T73">
        <f t="shared" si="17"/>
        <v>-2.6058430844110991</v>
      </c>
      <c r="U73">
        <f t="shared" si="18"/>
        <v>0.39428546316579571</v>
      </c>
      <c r="V73">
        <f t="shared" si="21"/>
        <v>-1.5667607672737827</v>
      </c>
      <c r="W73">
        <f t="shared" si="19"/>
        <v>1.1746307557279732E-2</v>
      </c>
      <c r="X73" s="33">
        <f t="shared" si="22"/>
        <v>-2.0597287688780992</v>
      </c>
      <c r="Y73">
        <f t="shared" si="20"/>
        <v>0.12592873134330557</v>
      </c>
    </row>
    <row r="74" spans="1:25" x14ac:dyDescent="0.35">
      <c r="A74" t="str">
        <f>Table1!A67</f>
        <v>Ng and Zhao 2011</v>
      </c>
      <c r="B74">
        <f>Table1!C67</f>
        <v>1</v>
      </c>
      <c r="C74">
        <f>Table1!E67</f>
        <v>-1.35</v>
      </c>
      <c r="D74">
        <v>0.5</v>
      </c>
      <c r="E74" t="s">
        <v>1082</v>
      </c>
      <c r="F74" s="5">
        <f>Table1!M67</f>
        <v>-4.3324325634695651</v>
      </c>
      <c r="H74">
        <f t="shared" ref="H74:H78" si="29">H$1*B74+H$2*B74^2</f>
        <v>-0.63215271012576701</v>
      </c>
      <c r="I74">
        <f t="shared" ref="I74:I78" si="30">$D74*(H74-$C74)^2</f>
        <v>0.25765236578989059</v>
      </c>
      <c r="J74">
        <f t="shared" ref="J74:J78" si="31">IF(B74&lt;=J$2,B74*J$1,J$1*J$2+J$3*(B74-J$2))</f>
        <v>-0.86001421260953193</v>
      </c>
      <c r="K74">
        <f t="shared" ref="K74:K78" si="32">$D74*(J74-$C74)^2</f>
        <v>0.12004303592232854</v>
      </c>
      <c r="L74">
        <f t="shared" ref="L74:L78" si="33">L$1*B74^2</f>
        <v>-0.17401761044758643</v>
      </c>
      <c r="M74">
        <f t="shared" ref="M74:M78" si="34">$D74*(L74-$C74)^2</f>
        <v>0.69146729026870246</v>
      </c>
      <c r="N74">
        <f t="shared" ref="N74:N78" si="35">N$1*B74^2+N$2*B74^7</f>
        <v>-0.18360290132577989</v>
      </c>
      <c r="O74">
        <f t="shared" ref="O74:O78" si="36">$D74*(N74-$C74)^2</f>
        <v>0.68024109589781934</v>
      </c>
      <c r="P74" s="24">
        <f t="shared" ref="P74:P78" si="37">P$1*B74^2+P$2*B74^6</f>
        <v>-0.19284024848699868</v>
      </c>
      <c r="Q74">
        <f t="shared" ref="Q74:Q78" si="38">$D74*(P74-$C74)^2</f>
        <v>0.66950934526081562</v>
      </c>
      <c r="R74">
        <f t="shared" ref="R74:R78" si="39">R$2+R$1*EXP(B74)</f>
        <v>-1.3062082727214401E-2</v>
      </c>
      <c r="S74">
        <f t="shared" ref="S74:S78" si="40">$D74*(R74-$C74)^2</f>
        <v>0.89370149732084714</v>
      </c>
      <c r="T74">
        <f t="shared" ref="T74:T78" si="41">T$1*B74</f>
        <v>-0.86001421927759059</v>
      </c>
      <c r="U74">
        <f t="shared" ref="U74:U78" si="42">$D74*(T74-$C74)^2</f>
        <v>0.12004303265507459</v>
      </c>
      <c r="V74">
        <f t="shared" si="21"/>
        <v>-0.41762310976459183</v>
      </c>
      <c r="W74">
        <f t="shared" ref="W74:W78" si="43">$D74*(V74-$C74)^2</f>
        <v>0.43466333272252528</v>
      </c>
      <c r="X74" s="33">
        <f t="shared" si="22"/>
        <v>-0.51238339803148403</v>
      </c>
      <c r="Y74">
        <f t="shared" ref="Y74:Y78" si="44">$D74*(X74-$C74)^2</f>
        <v>0.35080078594664171</v>
      </c>
    </row>
    <row r="75" spans="1:25" x14ac:dyDescent="0.35">
      <c r="A75">
        <f>Table1!A68</f>
        <v>0</v>
      </c>
      <c r="B75">
        <f>Table1!C68</f>
        <v>1</v>
      </c>
      <c r="C75">
        <f>Table1!E68</f>
        <v>-1.61</v>
      </c>
      <c r="D75">
        <v>0.5</v>
      </c>
      <c r="E75" t="s">
        <v>1082</v>
      </c>
      <c r="F75" s="5">
        <f>Table1!M68</f>
        <v>-5.1668269831007407</v>
      </c>
      <c r="H75">
        <f t="shared" si="29"/>
        <v>-0.63215271012576701</v>
      </c>
      <c r="I75">
        <f t="shared" si="30"/>
        <v>0.47809266115719123</v>
      </c>
      <c r="J75">
        <f t="shared" si="31"/>
        <v>-0.86001421260953193</v>
      </c>
      <c r="K75">
        <f t="shared" si="32"/>
        <v>0.28123934064385026</v>
      </c>
      <c r="L75">
        <f t="shared" si="33"/>
        <v>-0.17401761044758643</v>
      </c>
      <c r="M75">
        <f t="shared" si="34"/>
        <v>1.0310227115523301</v>
      </c>
      <c r="N75">
        <f t="shared" si="35"/>
        <v>-0.18360290132577989</v>
      </c>
      <c r="O75">
        <f t="shared" si="36"/>
        <v>1.0173043415531167</v>
      </c>
      <c r="P75" s="24">
        <f t="shared" si="37"/>
        <v>-0.19284024848699868</v>
      </c>
      <c r="Q75">
        <f t="shared" si="38"/>
        <v>1.004170880654196</v>
      </c>
      <c r="R75">
        <f t="shared" si="39"/>
        <v>-1.3062082727214401E-2</v>
      </c>
      <c r="S75">
        <f t="shared" si="40"/>
        <v>1.2751053558117713</v>
      </c>
      <c r="T75">
        <f t="shared" si="41"/>
        <v>-0.86001421927759059</v>
      </c>
      <c r="U75">
        <f t="shared" si="42"/>
        <v>0.28123933564290104</v>
      </c>
      <c r="V75">
        <f t="shared" ref="V75:V78" si="45">(1-EXP(-2*V$1*B75))/2/EXP(-V$1*B75)</f>
        <v>-0.41762310976459183</v>
      </c>
      <c r="W75">
        <f t="shared" si="43"/>
        <v>0.71088132418373151</v>
      </c>
      <c r="X75" s="33">
        <f t="shared" ref="X75:X78" si="46">H75*I$5+J75*K$5+L75*M$5+N75*O$5+P75*Q$5+R75*S$5+T75*U$5+V75*W$5</f>
        <v>-0.51238339803148403</v>
      </c>
      <c r="Y75">
        <f t="shared" si="44"/>
        <v>0.60238110245845589</v>
      </c>
    </row>
    <row r="76" spans="1:25" ht="15" thickBot="1" x14ac:dyDescent="0.4">
      <c r="A76" t="str">
        <f>Table1!A69</f>
        <v>Hope 2011</v>
      </c>
      <c r="B76">
        <f>Table1!C69</f>
        <v>3</v>
      </c>
      <c r="C76">
        <f>Table1!E69</f>
        <v>-0.7</v>
      </c>
      <c r="D76">
        <v>1</v>
      </c>
      <c r="E76" t="s">
        <v>1082</v>
      </c>
      <c r="F76" s="5">
        <f>Table1!M69</f>
        <v>-0.54138768902114598</v>
      </c>
      <c r="H76">
        <f t="shared" si="29"/>
        <v>-2.2887705333891484</v>
      </c>
      <c r="I76">
        <f t="shared" si="30"/>
        <v>2.5241918077656393</v>
      </c>
      <c r="J76">
        <f t="shared" si="31"/>
        <v>-2.5800426378285959</v>
      </c>
      <c r="K76">
        <f t="shared" si="32"/>
        <v>3.534560320053505</v>
      </c>
      <c r="L76">
        <f t="shared" si="33"/>
        <v>-1.5661584940282778</v>
      </c>
      <c r="M76">
        <f t="shared" si="34"/>
        <v>0.7502305367773342</v>
      </c>
      <c r="N76">
        <f t="shared" si="35"/>
        <v>-1.6502798366921252</v>
      </c>
      <c r="O76">
        <f t="shared" si="36"/>
        <v>0.90303176802361218</v>
      </c>
      <c r="P76" s="24">
        <f t="shared" si="37"/>
        <v>-1.7269112166631233</v>
      </c>
      <c r="Q76">
        <f t="shared" si="38"/>
        <v>1.0545466469085363</v>
      </c>
      <c r="R76">
        <f t="shared" si="39"/>
        <v>-0.14508496688669037</v>
      </c>
      <c r="S76">
        <f t="shared" si="40"/>
        <v>0.3079306939751455</v>
      </c>
      <c r="T76">
        <f t="shared" si="41"/>
        <v>-2.580042657832772</v>
      </c>
      <c r="U76">
        <f t="shared" si="42"/>
        <v>3.5345603952709137</v>
      </c>
      <c r="V76">
        <f t="shared" si="45"/>
        <v>-1.5442183483497223</v>
      </c>
      <c r="W76">
        <f t="shared" si="43"/>
        <v>0.71270461969033305</v>
      </c>
      <c r="X76" s="33">
        <f t="shared" si="46"/>
        <v>-2.0315530881323554</v>
      </c>
      <c r="Y76">
        <f t="shared" si="44"/>
        <v>1.7730336265148123</v>
      </c>
    </row>
    <row r="77" spans="1:25" x14ac:dyDescent="0.35">
      <c r="A77" t="str">
        <f>Table1!A70</f>
        <v>McCallum 2013</v>
      </c>
      <c r="B77">
        <f>Table1!C70</f>
        <v>2</v>
      </c>
      <c r="C77">
        <f>Table1!E70</f>
        <v>-0.7</v>
      </c>
      <c r="D77">
        <v>0.125</v>
      </c>
      <c r="E77" s="3" t="s">
        <v>1008</v>
      </c>
      <c r="F77" s="5">
        <f>Table1!M70</f>
        <v>-0.94647036347209279</v>
      </c>
      <c r="H77">
        <f t="shared" si="29"/>
        <v>-1.395076221255483</v>
      </c>
      <c r="I77">
        <f t="shared" si="30"/>
        <v>6.0391369169350159E-2</v>
      </c>
      <c r="J77">
        <f t="shared" si="31"/>
        <v>-1.7200284252190639</v>
      </c>
      <c r="K77">
        <f t="shared" si="32"/>
        <v>0.13005724853186043</v>
      </c>
      <c r="L77">
        <f t="shared" si="33"/>
        <v>-0.69607044179034572</v>
      </c>
      <c r="M77">
        <f t="shared" si="34"/>
        <v>1.9301784653826275E-6</v>
      </c>
      <c r="N77">
        <f t="shared" si="35"/>
        <v>-0.7342894114878088</v>
      </c>
      <c r="O77">
        <f t="shared" si="36"/>
        <v>1.4697046752253461E-4</v>
      </c>
      <c r="P77" s="24">
        <f t="shared" si="37"/>
        <v>-0.77064007563800596</v>
      </c>
      <c r="Q77">
        <f t="shared" si="38"/>
        <v>6.2375253576790117E-4</v>
      </c>
      <c r="R77">
        <f t="shared" si="39"/>
        <v>-4.8568504846430084E-2</v>
      </c>
      <c r="S77">
        <f t="shared" si="40"/>
        <v>5.304537410975195E-2</v>
      </c>
      <c r="T77">
        <f t="shared" si="41"/>
        <v>-1.7200284385551812</v>
      </c>
      <c r="U77">
        <f t="shared" si="42"/>
        <v>0.13005725193266512</v>
      </c>
      <c r="V77">
        <f t="shared" si="45"/>
        <v>-0.90515762748971007</v>
      </c>
      <c r="W77">
        <f t="shared" si="43"/>
        <v>5.2612065146508324E-3</v>
      </c>
      <c r="X77" s="33">
        <f t="shared" si="46"/>
        <v>-1.185672559940669</v>
      </c>
      <c r="Y77">
        <f t="shared" si="44"/>
        <v>2.9484729434915345E-2</v>
      </c>
    </row>
    <row r="78" spans="1:25" x14ac:dyDescent="0.35">
      <c r="A78">
        <f>Table1!A71</f>
        <v>0</v>
      </c>
      <c r="B78">
        <f>Table1!C71</f>
        <v>4</v>
      </c>
      <c r="C78">
        <f>Table1!E71</f>
        <v>-1.8</v>
      </c>
      <c r="D78">
        <v>0.125</v>
      </c>
      <c r="F78" s="5">
        <f>Table1!M71</f>
        <v>-0.9082664936430167</v>
      </c>
      <c r="H78">
        <f t="shared" si="29"/>
        <v>-3.3132356465267625</v>
      </c>
      <c r="I78">
        <f t="shared" si="30"/>
        <v>0.28623526523990861</v>
      </c>
      <c r="J78">
        <f t="shared" si="31"/>
        <v>-3.4400568504381277</v>
      </c>
      <c r="K78">
        <f t="shared" si="32"/>
        <v>0.33622330908362885</v>
      </c>
      <c r="L78">
        <f t="shared" si="33"/>
        <v>-2.7842817671613829</v>
      </c>
      <c r="M78">
        <f t="shared" si="34"/>
        <v>0.12110132464579183</v>
      </c>
      <c r="N78">
        <f t="shared" si="35"/>
        <v>-2.9215168375914584</v>
      </c>
      <c r="O78">
        <f t="shared" si="36"/>
        <v>0.1572250021251432</v>
      </c>
      <c r="P78" s="24">
        <f t="shared" si="37"/>
        <v>-3.0364215307127447</v>
      </c>
      <c r="Q78">
        <f t="shared" si="38"/>
        <v>0.19109227520125582</v>
      </c>
      <c r="R78">
        <f t="shared" si="39"/>
        <v>-0.40744391179788708</v>
      </c>
      <c r="S78">
        <f t="shared" si="40"/>
        <v>0.24240155734859642</v>
      </c>
      <c r="T78">
        <f t="shared" si="41"/>
        <v>-3.4400568771103623</v>
      </c>
      <c r="U78">
        <f t="shared" si="42"/>
        <v>0.33622332001962424</v>
      </c>
      <c r="V78">
        <f t="shared" si="45"/>
        <v>-2.4417860253800061</v>
      </c>
      <c r="W78">
        <f t="shared" si="43"/>
        <v>5.1486162796633227E-2</v>
      </c>
      <c r="X78" s="33">
        <f t="shared" si="46"/>
        <v>-3.0629275426692439</v>
      </c>
      <c r="Y78">
        <f t="shared" si="44"/>
        <v>0.19937324725407185</v>
      </c>
    </row>
    <row r="79" spans="1:25" x14ac:dyDescent="0.35">
      <c r="P79" s="24"/>
      <c r="X79" s="33"/>
    </row>
    <row r="80" spans="1:25" ht="15" thickBot="1" x14ac:dyDescent="0.4">
      <c r="E80" s="2"/>
      <c r="F80" s="5"/>
      <c r="P80" s="24"/>
      <c r="X80" s="33"/>
    </row>
    <row r="84" spans="8:16" ht="15" thickBot="1" x14ac:dyDescent="0.4">
      <c r="H84" s="2"/>
      <c r="I84" s="2"/>
    </row>
    <row r="86" spans="8:16" ht="15" thickBot="1" x14ac:dyDescent="0.4"/>
    <row r="87" spans="8:16" x14ac:dyDescent="0.35">
      <c r="H87" s="3"/>
      <c r="I87" s="3"/>
      <c r="J87" s="3"/>
      <c r="K87" s="3"/>
      <c r="L87" s="3"/>
      <c r="M87" s="3"/>
    </row>
    <row r="90" spans="8:16" ht="15" thickBot="1" x14ac:dyDescent="0.4">
      <c r="H90" s="2"/>
      <c r="I90" s="2"/>
      <c r="J90" s="2"/>
      <c r="K90" s="2"/>
      <c r="L90" s="2"/>
      <c r="M90" s="2"/>
    </row>
    <row r="91" spans="8:16" ht="15" thickBot="1" x14ac:dyDescent="0.4"/>
    <row r="92" spans="8:16" x14ac:dyDescent="0.35">
      <c r="H92" s="3"/>
      <c r="I92" s="3"/>
      <c r="J92" s="3"/>
      <c r="K92" s="3"/>
      <c r="L92" s="3"/>
      <c r="M92" s="3"/>
      <c r="N92" s="3"/>
      <c r="O92" s="3"/>
      <c r="P92" s="3"/>
    </row>
    <row r="95" spans="8:16" ht="15" thickBot="1" x14ac:dyDescent="0.4">
      <c r="H95" s="2"/>
      <c r="I95" s="2"/>
      <c r="J95" s="2"/>
      <c r="K95" s="2"/>
      <c r="L95" s="2"/>
      <c r="M95" s="2"/>
      <c r="N95" s="2"/>
      <c r="O95" s="2"/>
      <c r="P95" s="2"/>
    </row>
    <row r="96" spans="8:16" ht="15" thickBot="1" x14ac:dyDescent="0.4"/>
    <row r="97" spans="5:16" x14ac:dyDescent="0.35">
      <c r="E97" s="3"/>
      <c r="F97" s="14"/>
    </row>
    <row r="98" spans="5:16" ht="15" thickBot="1" x14ac:dyDescent="0.4"/>
    <row r="99" spans="5:16" ht="15" thickBot="1" x14ac:dyDescent="0.4">
      <c r="E99" s="2"/>
      <c r="H99" s="4"/>
      <c r="I99" s="4"/>
    </row>
    <row r="104" spans="5:16" ht="15" thickBot="1" x14ac:dyDescent="0.4">
      <c r="H104" s="2"/>
      <c r="I104" s="2"/>
    </row>
    <row r="106" spans="5:16" ht="15" thickBot="1" x14ac:dyDescent="0.4"/>
    <row r="107" spans="5:16" x14ac:dyDescent="0.35">
      <c r="H107" s="3"/>
      <c r="I107" s="3"/>
      <c r="J107" s="3"/>
      <c r="K107" s="3"/>
      <c r="L107" s="3"/>
      <c r="M107" s="3"/>
    </row>
    <row r="110" spans="5:16" ht="15" thickBot="1" x14ac:dyDescent="0.4">
      <c r="H110" s="2"/>
      <c r="I110" s="2"/>
      <c r="J110" s="2"/>
      <c r="K110" s="2"/>
      <c r="L110" s="2"/>
      <c r="M110" s="2"/>
    </row>
    <row r="111" spans="5:16" ht="15" thickBot="1" x14ac:dyDescent="0.4"/>
    <row r="112" spans="5:16" x14ac:dyDescent="0.35">
      <c r="E112" s="3"/>
      <c r="F112" s="14"/>
      <c r="H112" s="3"/>
      <c r="I112" s="3"/>
      <c r="J112" s="3"/>
      <c r="K112" s="3"/>
      <c r="L112" s="3"/>
      <c r="M112" s="3"/>
      <c r="N112" s="3"/>
      <c r="O112" s="3"/>
      <c r="P112" s="3"/>
    </row>
    <row r="115" spans="5:16" ht="15" thickBot="1" x14ac:dyDescent="0.4">
      <c r="E115" s="2"/>
      <c r="H115" s="2"/>
      <c r="I115" s="2"/>
      <c r="J115" s="2"/>
      <c r="K115" s="2"/>
      <c r="L115" s="2"/>
      <c r="M115" s="2"/>
      <c r="N115" s="2"/>
      <c r="O115" s="2"/>
      <c r="P115" s="2"/>
    </row>
    <row r="131" spans="5:6" ht="15" thickBot="1" x14ac:dyDescent="0.4"/>
    <row r="132" spans="5:6" x14ac:dyDescent="0.35">
      <c r="E132" s="3"/>
      <c r="F132" s="14"/>
    </row>
    <row r="134" spans="5:6" ht="15" thickBot="1" x14ac:dyDescent="0.4">
      <c r="E134" s="2"/>
    </row>
    <row r="150" spans="5:6" ht="15" thickBot="1" x14ac:dyDescent="0.4"/>
    <row r="151" spans="5:6" x14ac:dyDescent="0.35">
      <c r="E151" s="3"/>
      <c r="F151" s="14"/>
    </row>
    <row r="153" spans="5:6" ht="15" thickBot="1" x14ac:dyDescent="0.4">
      <c r="E153" s="2"/>
    </row>
    <row r="1048550" spans="16384:16384" x14ac:dyDescent="0.35">
      <c r="XFD1048550">
        <f>solver_pre</f>
        <v>9.9999999999999995E-7</v>
      </c>
    </row>
    <row r="1048551" spans="16384:16384" x14ac:dyDescent="0.35">
      <c r="XFD1048551">
        <f>solver_scl</f>
        <v>1</v>
      </c>
    </row>
    <row r="1048552" spans="16384:16384" x14ac:dyDescent="0.35">
      <c r="XFD1048552">
        <f>solver_rlx</f>
        <v>2</v>
      </c>
    </row>
    <row r="1048553" spans="16384:16384" x14ac:dyDescent="0.35">
      <c r="XFD1048553">
        <f>solver_tol</f>
        <v>0.01</v>
      </c>
    </row>
    <row r="1048554" spans="16384:16384" x14ac:dyDescent="0.35">
      <c r="XFD1048554">
        <f>solver_cvg</f>
        <v>1E-4</v>
      </c>
    </row>
    <row r="1048555" spans="16384:16384" x14ac:dyDescent="0.35">
      <c r="XFD1048555" t="e" cm="1">
        <f t="array" ref="XFD1048555">AREAS(solver_adj1)</f>
        <v>#NAME?</v>
      </c>
    </row>
    <row r="1048556" spans="16384:16384" x14ac:dyDescent="0.35">
      <c r="XFD1048556">
        <f>solver_ssz</f>
        <v>100</v>
      </c>
    </row>
    <row r="1048557" spans="16384:16384" x14ac:dyDescent="0.35">
      <c r="XFD1048557">
        <f>solver_rsd</f>
        <v>0</v>
      </c>
    </row>
    <row r="1048558" spans="16384:16384" x14ac:dyDescent="0.35">
      <c r="XFD1048558">
        <f>solver_mrt</f>
        <v>7.4999999999999997E-2</v>
      </c>
    </row>
    <row r="1048559" spans="16384:16384" x14ac:dyDescent="0.35">
      <c r="XFD1048559">
        <f>solver_mni</f>
        <v>30</v>
      </c>
    </row>
    <row r="1048560" spans="16384:16384" x14ac:dyDescent="0.35">
      <c r="XFD1048560">
        <f>solver_rbv</f>
        <v>1</v>
      </c>
    </row>
    <row r="1048561" spans="16384:16384" x14ac:dyDescent="0.35">
      <c r="XFD1048561">
        <f>solver_neg</f>
        <v>2</v>
      </c>
    </row>
    <row r="1048562" spans="16384:16384" x14ac:dyDescent="0.35">
      <c r="XFD1048562" t="e" cm="1">
        <f t="array" ref="XFD1048562">solver_ntr</f>
        <v>#NAME?</v>
      </c>
    </row>
    <row r="1048563" spans="16384:16384" x14ac:dyDescent="0.35">
      <c r="XFD1048563" t="e" cm="1">
        <f t="array" ref="XFD1048563">solver_acc</f>
        <v>#NAME?</v>
      </c>
    </row>
    <row r="1048564" spans="16384:16384" x14ac:dyDescent="0.35">
      <c r="XFD1048564" t="e" cm="1">
        <f t="array" ref="XFD1048564">solver_res</f>
        <v>#NAME?</v>
      </c>
    </row>
    <row r="1048565" spans="16384:16384" x14ac:dyDescent="0.35">
      <c r="XFD1048565" t="e" cm="1">
        <f t="array" ref="XFD1048565">solver_ars</f>
        <v>#NAME?</v>
      </c>
    </row>
    <row r="1048566" spans="16384:16384" x14ac:dyDescent="0.35">
      <c r="XFD1048566" t="e" cm="1">
        <f t="array" ref="XFD1048566">solver_sta</f>
        <v>#NAME?</v>
      </c>
    </row>
    <row r="1048567" spans="16384:16384" x14ac:dyDescent="0.35">
      <c r="XFD1048567" t="e" cm="1">
        <f t="array" ref="XFD1048567">solver_met</f>
        <v>#NAME?</v>
      </c>
    </row>
    <row r="1048568" spans="16384:16384" x14ac:dyDescent="0.35">
      <c r="XFD1048568" t="e" cm="1">
        <f t="array" ref="XFD1048568">solver_soc</f>
        <v>#NAME?</v>
      </c>
    </row>
    <row r="1048569" spans="16384:16384" x14ac:dyDescent="0.35">
      <c r="XFD1048569" t="e" cm="1">
        <f t="array" ref="XFD1048569">solver_lpt</f>
        <v>#NAME?</v>
      </c>
    </row>
    <row r="1048570" spans="16384:16384" x14ac:dyDescent="0.35">
      <c r="XFD1048570" t="e" cm="1">
        <f t="array" ref="XFD1048570">solver_lpp</f>
        <v>#NAME?</v>
      </c>
    </row>
    <row r="1048571" spans="16384:16384" x14ac:dyDescent="0.35">
      <c r="XFD1048571" t="e" cm="1">
        <f t="array" ref="XFD1048571">solver_gap</f>
        <v>#NAME?</v>
      </c>
    </row>
    <row r="1048572" spans="16384:16384" x14ac:dyDescent="0.35">
      <c r="XFD1048572" t="e" cm="1">
        <f t="array" ref="XFD1048572">solver_ips</f>
        <v>#NAME?</v>
      </c>
    </row>
    <row r="1048573" spans="16384:16384" x14ac:dyDescent="0.35">
      <c r="XFD1048573" t="e" cm="1">
        <f t="array" ref="XFD1048573">solver_fea</f>
        <v>#NAME?</v>
      </c>
    </row>
    <row r="1048574" spans="16384:16384" x14ac:dyDescent="0.35">
      <c r="XFD1048574" t="e" cm="1">
        <f t="array" ref="XFD1048574">solver_ipi</f>
        <v>#NAME?</v>
      </c>
    </row>
    <row r="1048575" spans="16384:16384" x14ac:dyDescent="0.35">
      <c r="XFD1048575" t="e" cm="1">
        <f t="array" ref="XFD1048575">solver_ipd</f>
        <v>#NAME?</v>
      </c>
    </row>
  </sheetData>
  <hyperlinks>
    <hyperlink ref="AL30" r:id="rId1" xr:uid="{37FFCAD8-4ECC-43FD-8804-F7C5EDDB8A1E}"/>
    <hyperlink ref="AL27" r:id="rId2" xr:uid="{E53FF6EF-F22E-4C91-BC72-660C09AAEFC1}"/>
    <hyperlink ref="AL29" r:id="rId3" xr:uid="{525801C5-6CC8-48E9-8D24-75F6D19FB491}"/>
    <hyperlink ref="AL34" r:id="rId4" xr:uid="{BB33F027-BBE3-42EE-98D0-BCE453670D14}"/>
    <hyperlink ref="AL31" r:id="rId5" xr:uid="{CA449009-97D2-41B3-8610-874BD0E19AF6}"/>
    <hyperlink ref="AL32" r:id="rId6" xr:uid="{C82B2A64-A962-444B-894B-30A5D1BBE7E9}"/>
    <hyperlink ref="AL33" r:id="rId7" xr:uid="{E30C3CB5-0BF5-475B-A781-416ECC14E8E1}"/>
    <hyperlink ref="AL28" r:id="rId8" xr:uid="{8ACD8F09-A0DE-4A65-B632-BD8752E7B124}"/>
    <hyperlink ref="AL26" r:id="rId9" xr:uid="{05637997-9C7F-482C-A42F-82253962EEF2}"/>
  </hyperlinks>
  <pageMargins left="0.7" right="0.7" top="0.75" bottom="0.75" header="0.3" footer="0.3"/>
  <pageSetup paperSize="9" orientation="portrait" r:id="rId10"/>
  <extLst>
    <ext xmlns:x15="http://schemas.microsoft.com/office/spreadsheetml/2010/11/main" uri="{F7C9EE02-42E1-4005-9D12-6889AFFD525C}">
      <x15:webExtensions xmlns:xm="http://schemas.microsoft.com/office/excel/2006/main">
        <x15:webExtension appRef="{9AF3AE52-62D4-4C9B-9998-5C2EDD95CCED}">
          <xm:f>regressionsdep!$H$1:$H$2</xm:f>
        </x15:webExtension>
        <x15:webExtension appRef="{A5FBC637-D3FC-4E07-BCD4-4CA54A30B1AF}">
          <xm:f>regressionsdep!H1:H2</xm:f>
        </x15:webExtension>
      </x15:webExtens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62613-3842-4A70-BFC1-1B3F2F4B53FE}">
  <dimension ref="A1:BI171"/>
  <sheetViews>
    <sheetView topLeftCell="B1" zoomScaleNormal="100" workbookViewId="0">
      <selection activeCell="I1" sqref="I1"/>
    </sheetView>
  </sheetViews>
  <sheetFormatPr defaultRowHeight="14.5" x14ac:dyDescent="0.35"/>
  <cols>
    <col min="1" max="1" width="15.453125" customWidth="1"/>
    <col min="5" max="5" width="12" bestFit="1" customWidth="1"/>
    <col min="6" max="6" width="11.81640625" customWidth="1"/>
    <col min="19" max="19" width="12" bestFit="1" customWidth="1"/>
    <col min="26" max="26" width="19.81640625" customWidth="1"/>
    <col min="27" max="27" width="10.54296875" customWidth="1"/>
  </cols>
  <sheetData>
    <row r="1" spans="1:61" ht="16" thickBot="1" x14ac:dyDescent="0.4">
      <c r="G1">
        <v>0.22301012082493576</v>
      </c>
      <c r="I1">
        <v>0.96513756715620524</v>
      </c>
      <c r="K1" s="2">
        <v>-0.22021170227705711</v>
      </c>
      <c r="M1">
        <v>-0.35990199207054019</v>
      </c>
      <c r="O1">
        <v>-0.38368256370897569</v>
      </c>
      <c r="Q1">
        <v>-0.10846720488980841</v>
      </c>
      <c r="S1" s="2">
        <v>-0.58096805575548527</v>
      </c>
      <c r="U1">
        <v>-0.45722537552055342</v>
      </c>
      <c r="Z1" s="23" t="s">
        <v>560</v>
      </c>
      <c r="AA1" s="23" t="s">
        <v>561</v>
      </c>
    </row>
    <row r="2" spans="1:61" ht="16" thickBot="1" x14ac:dyDescent="0.4">
      <c r="G2" s="2">
        <v>-0.30114551031610182</v>
      </c>
      <c r="I2">
        <v>0.9999995772135043</v>
      </c>
      <c r="M2" s="2">
        <v>8.005391319503742E-4</v>
      </c>
      <c r="O2" s="2">
        <v>2.6679690300654628E-3</v>
      </c>
      <c r="Q2">
        <f>-Q1</f>
        <v>0.10846720488980841</v>
      </c>
      <c r="Z2" s="23" t="s">
        <v>556</v>
      </c>
      <c r="AA2" s="35">
        <f>J5</f>
        <v>0.41892242523483003</v>
      </c>
      <c r="AB2" s="24">
        <f t="shared" ref="AB2:AB5" si="0">AA2</f>
        <v>0.41892242523483003</v>
      </c>
    </row>
    <row r="3" spans="1:61" ht="15.5" x14ac:dyDescent="0.35">
      <c r="I3">
        <v>-1.5396978538455068</v>
      </c>
      <c r="Z3" s="23" t="s">
        <v>557</v>
      </c>
      <c r="AA3" s="35">
        <f>H5</f>
        <v>6.3570376505511672E-2</v>
      </c>
      <c r="AB3" s="24">
        <f t="shared" si="0"/>
        <v>6.3570376505511672E-2</v>
      </c>
      <c r="AQ3" s="4"/>
      <c r="AR3" s="4"/>
      <c r="BA3" s="4"/>
      <c r="BB3" s="4"/>
    </row>
    <row r="4" spans="1:61" ht="15.5" x14ac:dyDescent="0.35">
      <c r="Z4" s="23" t="s">
        <v>555</v>
      </c>
      <c r="AA4" s="35">
        <f>T5</f>
        <v>2.6373454836913668E-2</v>
      </c>
      <c r="AB4" s="24">
        <f t="shared" si="0"/>
        <v>2.6373454836913668E-2</v>
      </c>
    </row>
    <row r="5" spans="1:61" ht="15.5" x14ac:dyDescent="0.35">
      <c r="F5" t="s">
        <v>721</v>
      </c>
      <c r="H5">
        <f>EXP(H8)/$E8</f>
        <v>6.3570376505511672E-2</v>
      </c>
      <c r="J5">
        <f>EXP(J8)/$E8</f>
        <v>0.41892242523483003</v>
      </c>
      <c r="L5">
        <f>EXP(L8)/$E8</f>
        <v>6.2430173749496644E-2</v>
      </c>
      <c r="N5">
        <f>EXP(N8)/$E8</f>
        <v>0.19480378025387163</v>
      </c>
      <c r="P5">
        <f>EXP(P8)/$E8</f>
        <v>0.17903146578025633</v>
      </c>
      <c r="R5">
        <f>EXP(R8)/$E8</f>
        <v>2.503111574834865E-2</v>
      </c>
      <c r="T5">
        <f>EXP(T8)/$E8</f>
        <v>2.6373454836913668E-2</v>
      </c>
      <c r="V5">
        <f>EXP(V8)/$E8</f>
        <v>2.9837207890771451E-2</v>
      </c>
      <c r="Z5" s="23" t="s">
        <v>559</v>
      </c>
      <c r="AA5" s="35">
        <f>R5</f>
        <v>2.503111574834865E-2</v>
      </c>
      <c r="AB5" s="24">
        <f t="shared" si="0"/>
        <v>2.503111574834865E-2</v>
      </c>
    </row>
    <row r="6" spans="1:61" ht="15.5" x14ac:dyDescent="0.35">
      <c r="F6" t="s">
        <v>720</v>
      </c>
      <c r="H6">
        <v>2</v>
      </c>
      <c r="J6">
        <v>3</v>
      </c>
      <c r="L6">
        <v>1</v>
      </c>
      <c r="N6">
        <v>2</v>
      </c>
      <c r="P6">
        <v>2</v>
      </c>
      <c r="R6">
        <v>1</v>
      </c>
      <c r="T6">
        <v>1</v>
      </c>
      <c r="V6">
        <v>1</v>
      </c>
      <c r="X6">
        <f>SUM(H6:V6)</f>
        <v>13</v>
      </c>
      <c r="Z6" s="23" t="s">
        <v>543</v>
      </c>
      <c r="AA6" s="35">
        <f>P5</f>
        <v>0.17903146578025633</v>
      </c>
      <c r="AB6" s="24">
        <f>AA6</f>
        <v>0.17903146578025633</v>
      </c>
    </row>
    <row r="7" spans="1:61" ht="15.5" x14ac:dyDescent="0.35">
      <c r="E7">
        <f>SUM(D10:D78)</f>
        <v>15</v>
      </c>
      <c r="F7" t="s">
        <v>719</v>
      </c>
      <c r="H7" s="5">
        <f>SQRT(H9/($E7-H6))</f>
        <v>1.076408304133081</v>
      </c>
      <c r="I7" s="5"/>
      <c r="J7" s="5">
        <f>SQRT(J9/($E7-J6))</f>
        <v>0.98143513291067441</v>
      </c>
      <c r="K7" s="5"/>
      <c r="L7" s="5">
        <f>SQRT(L9/($E7-L6))</f>
        <v>1.0423764064149514</v>
      </c>
      <c r="M7" s="5"/>
      <c r="N7" s="5">
        <f>SQRT(N9/($E7-N6))</f>
        <v>0.99897403368453352</v>
      </c>
      <c r="O7" s="5"/>
      <c r="P7" s="5">
        <f>SQRT(P9/($E7-P6))</f>
        <v>1.0046128616595003</v>
      </c>
      <c r="Q7" s="5"/>
      <c r="R7" s="5">
        <f>SQRT(R9/($E7-R6))</f>
        <v>1.1078616487179991</v>
      </c>
      <c r="S7" s="5"/>
      <c r="T7" s="5">
        <f>SQRT(T9/($E7-T6))</f>
        <v>1.1040101699941691</v>
      </c>
      <c r="U7" s="5"/>
      <c r="V7" s="5">
        <f>SQRT(V9/($E7-V6))</f>
        <v>1.0949652344123442</v>
      </c>
      <c r="X7" s="5">
        <f>SQRT(X9/($E7-X6))</f>
        <v>2.4254332133374596</v>
      </c>
      <c r="Z7" s="23" t="s">
        <v>542</v>
      </c>
      <c r="AA7" s="35">
        <f>N5</f>
        <v>0.19480378025387163</v>
      </c>
      <c r="AB7" s="24">
        <f>AA7</f>
        <v>0.19480378025387163</v>
      </c>
    </row>
    <row r="8" spans="1:61" ht="16" thickBot="1" x14ac:dyDescent="0.4">
      <c r="E8">
        <f>EXP(H8)+EXP(J8)+EXP(L8)+EXP(N8)+EXP(P8)+EXP(R8)+EXP(T8)+EXP(V8)</f>
        <v>7.8374627708022882E-3</v>
      </c>
      <c r="F8" t="s">
        <v>718</v>
      </c>
      <c r="G8" t="s">
        <v>539</v>
      </c>
      <c r="H8">
        <f>-H9/2/H7^2-$E7*LN(H7)</f>
        <v>-7.604447818530903</v>
      </c>
      <c r="I8" t="s">
        <v>324</v>
      </c>
      <c r="J8">
        <f>-J9/2/J7^2-$E7*LN(J7)</f>
        <v>-5.7189096420098995</v>
      </c>
      <c r="K8" t="s">
        <v>540</v>
      </c>
      <c r="L8">
        <f>-L9/2/L7^2-$E7*LN(L7)</f>
        <v>-7.6225466899745777</v>
      </c>
      <c r="M8" t="s">
        <v>542</v>
      </c>
      <c r="N8">
        <f>-N9/2/N7^2-$E7*LN(N7)</f>
        <v>-6.4846026053125456</v>
      </c>
      <c r="O8" t="s">
        <v>543</v>
      </c>
      <c r="P8">
        <f>-P9/2/P7^2-$E7*LN(P7)</f>
        <v>-6.5690338252793854</v>
      </c>
      <c r="Q8" t="s">
        <v>541</v>
      </c>
      <c r="R8">
        <f>-R9/2/R7^2-$E7*LN(R7)</f>
        <v>-8.5364757212609881</v>
      </c>
      <c r="S8" t="s">
        <v>544</v>
      </c>
      <c r="T8">
        <f>-T9/2/T7^2-$E7*LN(T7)</f>
        <v>-8.4842373964557076</v>
      </c>
      <c r="U8" t="s">
        <v>723</v>
      </c>
      <c r="V8">
        <f>-V9/2/V7^2-$E7*LN(V7)</f>
        <v>-8.3608392005398304</v>
      </c>
      <c r="X8">
        <f>-X9/2/X7^2-$E7*LN(X7)</f>
        <v>-14.290152296644418</v>
      </c>
      <c r="Z8" s="23" t="s">
        <v>558</v>
      </c>
      <c r="AA8" s="35">
        <f>L5</f>
        <v>6.2430173749496644E-2</v>
      </c>
      <c r="AB8" s="24">
        <f>AA8</f>
        <v>6.2430173749496644E-2</v>
      </c>
      <c r="AQ8" s="2"/>
      <c r="AR8" s="2"/>
      <c r="BA8" s="2"/>
      <c r="BB8" s="2"/>
    </row>
    <row r="9" spans="1:61" ht="15.5" x14ac:dyDescent="0.35">
      <c r="B9" t="s">
        <v>544</v>
      </c>
      <c r="C9" t="s">
        <v>624</v>
      </c>
      <c r="D9" t="s">
        <v>623</v>
      </c>
      <c r="F9" t="s">
        <v>717</v>
      </c>
      <c r="H9">
        <f>SUM(H10:H78)</f>
        <v>15.062512883686518</v>
      </c>
      <c r="J9">
        <f>SUM(J10:J78)</f>
        <v>11.558579041336717</v>
      </c>
      <c r="L9">
        <f>SUM(L10:L78)</f>
        <v>15.211680017107675</v>
      </c>
      <c r="N9">
        <f>SUM(N10:N78)</f>
        <v>12.973338559687319</v>
      </c>
      <c r="P9">
        <f>SUM(P10:P78)</f>
        <v>13.120211023551972</v>
      </c>
      <c r="R9">
        <f>SUM(R10:R78)</f>
        <v>17.183004057802282</v>
      </c>
      <c r="T9">
        <f>SUM(T10:T78)</f>
        <v>17.063738376307757</v>
      </c>
      <c r="V9">
        <f>SUM(V10:V78)</f>
        <v>16.785284104003519</v>
      </c>
      <c r="X9">
        <f>SUM(X10:X78)</f>
        <v>11.765452544720949</v>
      </c>
      <c r="Z9" s="23" t="s">
        <v>724</v>
      </c>
      <c r="AA9" s="11">
        <f>V5</f>
        <v>2.9837207890771451E-2</v>
      </c>
      <c r="AB9" s="24">
        <f>AA9</f>
        <v>2.9837207890771451E-2</v>
      </c>
    </row>
    <row r="10" spans="1:61" ht="15" thickBot="1" x14ac:dyDescent="0.4">
      <c r="A10" t="str">
        <f>Table1!A3</f>
        <v>d'Arge 1979</v>
      </c>
      <c r="B10">
        <f>Table1!C3</f>
        <v>-1</v>
      </c>
      <c r="C10">
        <f>Table1!E3</f>
        <v>-0.59642907312262095</v>
      </c>
      <c r="D10">
        <v>1</v>
      </c>
      <c r="G10">
        <f t="shared" ref="G10:G73" si="1">G$1*B10+G$2*B10^2</f>
        <v>-0.52415563114103758</v>
      </c>
      <c r="H10">
        <f t="shared" ref="H10:H73" si="2">$D10*(G10-$C10)^2</f>
        <v>5.2234504158652963E-3</v>
      </c>
      <c r="I10">
        <f t="shared" ref="I10:I73" si="3">IF(B10&lt;=I$2,B10*I$1,I$1*I$2+I$3*(B10-I$2))</f>
        <v>-0.96513756715620524</v>
      </c>
      <c r="J10">
        <f t="shared" ref="J10:J73" si="4">$D10*(I10-$C10)^2</f>
        <v>0.13594595357251366</v>
      </c>
      <c r="K10">
        <f t="shared" ref="K10:K73" si="5">K$1*B10^2</f>
        <v>-0.22021170227705711</v>
      </c>
      <c r="L10">
        <f t="shared" ref="L10:L73" si="6">$D10*(K10-$C10)^2</f>
        <v>0.14153951012594851</v>
      </c>
      <c r="M10">
        <f t="shared" ref="M10:M73" si="7">M$1*B10^2+M$2*B10^7</f>
        <v>-0.36070253120249057</v>
      </c>
      <c r="N10">
        <f t="shared" ref="N10:N73" si="8">$D10*(M10-$C10)^2</f>
        <v>5.5567002565622983E-2</v>
      </c>
      <c r="O10" s="24">
        <f t="shared" ref="O10:O73" si="9">O$1*B10^2+O$2*B10^6</f>
        <v>-0.38101459467891025</v>
      </c>
      <c r="P10">
        <f t="shared" ref="P10:P73" si="10">$D10*(O10-$C10)^2</f>
        <v>4.6403397523175904E-2</v>
      </c>
      <c r="Q10">
        <f t="shared" ref="Q10:Q73" si="11">Q$2+Q$1*EXP(B10)</f>
        <v>6.8564350169517355E-2</v>
      </c>
      <c r="R10">
        <f t="shared" ref="R10:R73" si="12">$D10*(Q10-$C10)^2</f>
        <v>0.44221625302179701</v>
      </c>
      <c r="S10">
        <f t="shared" ref="S10:S73" si="13">S$1*B10</f>
        <v>0.58096805575548527</v>
      </c>
      <c r="T10">
        <f t="shared" ref="T10:T73" si="14">$D10*(S10-$C10)^2</f>
        <v>1.3862639990904078</v>
      </c>
      <c r="U10">
        <f>(1-EXP(-2*U$1*B10))/2/EXP(-U$1*B10)</f>
        <v>0.47332360681922753</v>
      </c>
      <c r="V10">
        <f t="shared" ref="V10:V73" si="15">$D10*(U10-$C10)^2</f>
        <v>1.1443707962427667</v>
      </c>
      <c r="W10" s="33">
        <f>G10*H$5+I10*J$5+K10*L$5+M10*N$5+O10*P$5+Q10*R$5+S10*T$5+U10*V$5</f>
        <v>-0.55870518214495546</v>
      </c>
      <c r="X10">
        <f t="shared" ref="X10:X73" si="16">$D10*(W10-$C10)^2</f>
        <v>1.4230919504947914E-3</v>
      </c>
    </row>
    <row r="11" spans="1:61" x14ac:dyDescent="0.35">
      <c r="A11" t="str">
        <f>Table1!A4</f>
        <v>Nordhaus 1982</v>
      </c>
      <c r="B11">
        <f>Table1!C4</f>
        <v>2.5</v>
      </c>
      <c r="C11">
        <f>Table1!E4</f>
        <v>-3</v>
      </c>
      <c r="D11">
        <v>1</v>
      </c>
      <c r="G11">
        <f t="shared" si="1"/>
        <v>-1.3246341374132971</v>
      </c>
      <c r="H11">
        <f t="shared" si="2"/>
        <v>2.8068507735208872</v>
      </c>
      <c r="I11">
        <f t="shared" si="3"/>
        <v>-1.3444102726226446</v>
      </c>
      <c r="J11">
        <f t="shared" si="4"/>
        <v>2.7409773453974262</v>
      </c>
      <c r="K11">
        <f t="shared" si="5"/>
        <v>-1.3763231392316069</v>
      </c>
      <c r="L11">
        <f t="shared" si="6"/>
        <v>2.6363265481947038</v>
      </c>
      <c r="M11">
        <f t="shared" si="7"/>
        <v>-1.7607771404125716</v>
      </c>
      <c r="N11">
        <f t="shared" si="8"/>
        <v>1.5356732957240433</v>
      </c>
      <c r="O11" s="24">
        <f t="shared" si="9"/>
        <v>-1.7466563967002722</v>
      </c>
      <c r="P11">
        <f t="shared" si="10"/>
        <v>1.5708701879323455</v>
      </c>
      <c r="Q11">
        <f t="shared" si="11"/>
        <v>-1.2129338636146687</v>
      </c>
      <c r="R11">
        <f t="shared" si="12"/>
        <v>3.1936053758151957</v>
      </c>
      <c r="S11">
        <f t="shared" si="13"/>
        <v>-1.4524201393887131</v>
      </c>
      <c r="T11">
        <f t="shared" si="14"/>
        <v>2.3950034249696501</v>
      </c>
      <c r="U11">
        <f t="shared" ref="U11:U74" si="17">(1-EXP(-2*U$1*B11))/2/EXP(-U$1*B11)</f>
        <v>-1.4087604702785903</v>
      </c>
      <c r="V11">
        <f t="shared" si="15"/>
        <v>2.5320432409480129</v>
      </c>
      <c r="W11" s="33">
        <f t="shared" ref="W11:W74" si="18">G11*H$5+I11*J$5+K11*L$5+M11*N$5+O11*P$5+Q11*R$5+S11*T$5+U11*V$5</f>
        <v>-1.4997475974411036</v>
      </c>
      <c r="X11">
        <f t="shared" si="16"/>
        <v>2.2507572713837409</v>
      </c>
      <c r="AQ11" s="3"/>
      <c r="AR11" s="3"/>
      <c r="AS11" s="3"/>
      <c r="AT11" s="3"/>
      <c r="AU11" s="3"/>
      <c r="AV11" s="3"/>
      <c r="BA11" s="3"/>
      <c r="BB11" s="3"/>
      <c r="BC11" s="3"/>
      <c r="BD11" s="3"/>
      <c r="BE11" s="3"/>
      <c r="BF11" s="3"/>
    </row>
    <row r="12" spans="1:61" x14ac:dyDescent="0.35">
      <c r="A12" t="str">
        <f>Table1!A5</f>
        <v>Nordhaus 1991</v>
      </c>
      <c r="B12">
        <f>Table1!C5</f>
        <v>3</v>
      </c>
      <c r="C12">
        <f>Table1!E5</f>
        <v>-1</v>
      </c>
      <c r="D12">
        <v>1</v>
      </c>
      <c r="G12">
        <f t="shared" si="1"/>
        <v>-2.0412792303701091</v>
      </c>
      <c r="H12">
        <f t="shared" si="2"/>
        <v>1.0842624356001667</v>
      </c>
      <c r="I12">
        <f t="shared" si="3"/>
        <v>-2.1142591995453985</v>
      </c>
      <c r="J12">
        <f t="shared" si="4"/>
        <v>1.2415735637715524</v>
      </c>
      <c r="K12">
        <f t="shared" si="5"/>
        <v>-1.981905320493514</v>
      </c>
      <c r="L12">
        <f t="shared" si="6"/>
        <v>0.96413805841347044</v>
      </c>
      <c r="M12">
        <f t="shared" si="7"/>
        <v>-1.4883388470593932</v>
      </c>
      <c r="N12">
        <f t="shared" si="8"/>
        <v>0.23847482954729746</v>
      </c>
      <c r="O12" s="24">
        <f t="shared" si="9"/>
        <v>-1.5081936504630589</v>
      </c>
      <c r="P12">
        <f t="shared" si="10"/>
        <v>0.25826078637096966</v>
      </c>
      <c r="Q12">
        <f t="shared" si="11"/>
        <v>-2.0701548438794002</v>
      </c>
      <c r="R12">
        <f t="shared" si="12"/>
        <v>1.1452313898785433</v>
      </c>
      <c r="S12">
        <f t="shared" si="13"/>
        <v>-1.7429041672664558</v>
      </c>
      <c r="T12">
        <f t="shared" si="14"/>
        <v>0.55190660174186612</v>
      </c>
      <c r="U12">
        <f t="shared" si="17"/>
        <v>-1.8441354857524597</v>
      </c>
      <c r="V12">
        <f t="shared" si="15"/>
        <v>0.712564718306541</v>
      </c>
      <c r="W12" s="33">
        <f t="shared" si="18"/>
        <v>-1.8519628715400804</v>
      </c>
      <c r="X12">
        <f t="shared" si="16"/>
        <v>0.72584073448281961</v>
      </c>
    </row>
    <row r="13" spans="1:61" x14ac:dyDescent="0.35">
      <c r="A13" t="str">
        <f>Table1!A6</f>
        <v>Nordhaus 1994b</v>
      </c>
      <c r="B13">
        <f>Table1!C6</f>
        <v>3</v>
      </c>
      <c r="C13">
        <f>Table1!E6</f>
        <v>-1.33</v>
      </c>
      <c r="D13">
        <v>1</v>
      </c>
      <c r="G13">
        <f t="shared" si="1"/>
        <v>-2.0412792303701091</v>
      </c>
      <c r="H13">
        <f t="shared" si="2"/>
        <v>0.50591814355589459</v>
      </c>
      <c r="I13">
        <f t="shared" si="3"/>
        <v>-2.1142591995453985</v>
      </c>
      <c r="J13">
        <f t="shared" si="4"/>
        <v>0.61506249207158914</v>
      </c>
      <c r="K13">
        <f t="shared" si="5"/>
        <v>-1.981905320493514</v>
      </c>
      <c r="L13">
        <f t="shared" si="6"/>
        <v>0.42498054688775111</v>
      </c>
      <c r="M13">
        <f t="shared" si="7"/>
        <v>-1.4883388470593932</v>
      </c>
      <c r="N13">
        <f t="shared" si="8"/>
        <v>2.5071190488097899E-2</v>
      </c>
      <c r="O13" s="24">
        <f t="shared" si="9"/>
        <v>-1.5081936504630589</v>
      </c>
      <c r="P13">
        <f t="shared" si="10"/>
        <v>3.1752977065350775E-2</v>
      </c>
      <c r="Q13">
        <f t="shared" si="11"/>
        <v>-2.0701548438794002</v>
      </c>
      <c r="R13">
        <f t="shared" si="12"/>
        <v>0.54782919291813914</v>
      </c>
      <c r="S13">
        <f t="shared" si="13"/>
        <v>-1.7429041672664558</v>
      </c>
      <c r="T13">
        <f t="shared" si="14"/>
        <v>0.17048985134600525</v>
      </c>
      <c r="U13">
        <f t="shared" si="17"/>
        <v>-1.8441354857524597</v>
      </c>
      <c r="V13">
        <f t="shared" si="15"/>
        <v>0.26433529770991759</v>
      </c>
      <c r="W13" s="33">
        <f t="shared" si="18"/>
        <v>-1.8519628715400804</v>
      </c>
      <c r="X13">
        <f t="shared" si="16"/>
        <v>0.27244523926636643</v>
      </c>
    </row>
    <row r="14" spans="1:61" ht="15" thickBot="1" x14ac:dyDescent="0.4">
      <c r="A14" t="str">
        <f>Table1!A7</f>
        <v>Nordhaus 1994a</v>
      </c>
      <c r="B14">
        <f>Table1!C7</f>
        <v>3</v>
      </c>
      <c r="C14">
        <f>Table1!E7</f>
        <v>-3.6</v>
      </c>
      <c r="D14">
        <v>0</v>
      </c>
      <c r="G14">
        <f t="shared" si="1"/>
        <v>-2.0412792303701091</v>
      </c>
      <c r="H14">
        <f t="shared" si="2"/>
        <v>0</v>
      </c>
      <c r="I14">
        <f t="shared" si="3"/>
        <v>-2.1142591995453985</v>
      </c>
      <c r="J14">
        <f t="shared" si="4"/>
        <v>0</v>
      </c>
      <c r="K14">
        <f t="shared" si="5"/>
        <v>-1.981905320493514</v>
      </c>
      <c r="L14">
        <f t="shared" si="6"/>
        <v>0</v>
      </c>
      <c r="M14">
        <f t="shared" si="7"/>
        <v>-1.4883388470593932</v>
      </c>
      <c r="N14">
        <f t="shared" si="8"/>
        <v>0</v>
      </c>
      <c r="O14" s="24">
        <f t="shared" si="9"/>
        <v>-1.5081936504630589</v>
      </c>
      <c r="P14">
        <f t="shared" si="10"/>
        <v>0</v>
      </c>
      <c r="Q14">
        <f t="shared" si="11"/>
        <v>-2.0701548438794002</v>
      </c>
      <c r="R14">
        <f t="shared" si="12"/>
        <v>0</v>
      </c>
      <c r="S14">
        <f t="shared" si="13"/>
        <v>-1.7429041672664558</v>
      </c>
      <c r="T14">
        <f t="shared" si="14"/>
        <v>0</v>
      </c>
      <c r="U14">
        <f t="shared" si="17"/>
        <v>-1.8441354857524597</v>
      </c>
      <c r="V14">
        <f t="shared" si="15"/>
        <v>0</v>
      </c>
      <c r="W14" s="33">
        <f t="shared" si="18"/>
        <v>-1.8519628715400804</v>
      </c>
      <c r="X14">
        <f t="shared" si="16"/>
        <v>0</v>
      </c>
      <c r="AQ14" s="2"/>
      <c r="AR14" s="2"/>
      <c r="AS14" s="2"/>
      <c r="AT14" s="2"/>
      <c r="AU14" s="2"/>
      <c r="AV14" s="2"/>
      <c r="BA14" s="2"/>
      <c r="BB14" s="2"/>
      <c r="BC14" s="2"/>
      <c r="BD14" s="2"/>
      <c r="BE14" s="2"/>
      <c r="BF14" s="2"/>
    </row>
    <row r="15" spans="1:61" ht="15" thickBot="1" x14ac:dyDescent="0.4">
      <c r="A15">
        <f>Table1!A8</f>
        <v>0</v>
      </c>
      <c r="B15">
        <f>Table1!C8</f>
        <v>6</v>
      </c>
      <c r="C15">
        <f>Table1!E8</f>
        <v>-6.7</v>
      </c>
      <c r="D15">
        <v>0</v>
      </c>
      <c r="G15">
        <f t="shared" si="1"/>
        <v>-9.5031776464300499</v>
      </c>
      <c r="H15">
        <f t="shared" si="2"/>
        <v>0</v>
      </c>
      <c r="I15">
        <f t="shared" si="3"/>
        <v>-6.7333527610819184</v>
      </c>
      <c r="J15">
        <f t="shared" si="4"/>
        <v>0</v>
      </c>
      <c r="K15">
        <f t="shared" si="5"/>
        <v>-7.9276212819740559</v>
      </c>
      <c r="L15">
        <f t="shared" si="6"/>
        <v>0</v>
      </c>
      <c r="M15">
        <f t="shared" si="7"/>
        <v>211.14325072712052</v>
      </c>
      <c r="N15">
        <f t="shared" si="8"/>
        <v>0</v>
      </c>
      <c r="O15" s="24">
        <f t="shared" si="9"/>
        <v>110.66419077321112</v>
      </c>
      <c r="P15">
        <f t="shared" si="10"/>
        <v>0</v>
      </c>
      <c r="Q15">
        <f t="shared" si="11"/>
        <v>-43.650326397334901</v>
      </c>
      <c r="R15">
        <f t="shared" si="12"/>
        <v>0</v>
      </c>
      <c r="S15">
        <f t="shared" si="13"/>
        <v>-3.4858083345329116</v>
      </c>
      <c r="T15">
        <f t="shared" si="14"/>
        <v>0</v>
      </c>
      <c r="U15">
        <f t="shared" si="17"/>
        <v>-7.7373171264739709</v>
      </c>
      <c r="V15">
        <f t="shared" si="15"/>
        <v>0</v>
      </c>
      <c r="W15" s="33">
        <f t="shared" si="18"/>
        <v>55.608670755772515</v>
      </c>
      <c r="X15">
        <f t="shared" si="16"/>
        <v>0</v>
      </c>
    </row>
    <row r="16" spans="1:61" x14ac:dyDescent="0.35">
      <c r="A16" t="str">
        <f>Table1!A9</f>
        <v>Fankhauser 1995</v>
      </c>
      <c r="B16">
        <f>Table1!C9</f>
        <v>2.5</v>
      </c>
      <c r="C16">
        <f>Table1!E9</f>
        <v>-1.4</v>
      </c>
      <c r="D16">
        <v>1</v>
      </c>
      <c r="G16">
        <f t="shared" si="1"/>
        <v>-1.3246341374132971</v>
      </c>
      <c r="H16">
        <f t="shared" si="2"/>
        <v>5.680013243437778E-3</v>
      </c>
      <c r="I16">
        <f t="shared" si="3"/>
        <v>-1.3444102726226446</v>
      </c>
      <c r="J16">
        <f t="shared" si="4"/>
        <v>3.0902177898886906E-3</v>
      </c>
      <c r="K16">
        <f t="shared" si="5"/>
        <v>-1.3763231392316069</v>
      </c>
      <c r="L16">
        <f t="shared" si="6"/>
        <v>5.6059373584586934E-4</v>
      </c>
      <c r="M16">
        <f t="shared" si="7"/>
        <v>-1.7607771404125716</v>
      </c>
      <c r="N16">
        <f t="shared" si="8"/>
        <v>0.13016014504427248</v>
      </c>
      <c r="O16" s="24">
        <f t="shared" si="9"/>
        <v>-1.7466563967002722</v>
      </c>
      <c r="P16">
        <f t="shared" si="10"/>
        <v>0.12017065737321653</v>
      </c>
      <c r="Q16">
        <f t="shared" si="11"/>
        <v>-1.2129338636146687</v>
      </c>
      <c r="R16">
        <f t="shared" si="12"/>
        <v>3.4993739382135333E-2</v>
      </c>
      <c r="S16">
        <f t="shared" si="13"/>
        <v>-1.4524201393887131</v>
      </c>
      <c r="T16">
        <f t="shared" si="14"/>
        <v>2.7478710135321158E-3</v>
      </c>
      <c r="U16">
        <f t="shared" si="17"/>
        <v>-1.4087604702785903</v>
      </c>
      <c r="V16">
        <f t="shared" si="15"/>
        <v>7.674583950206564E-5</v>
      </c>
      <c r="W16" s="33">
        <f t="shared" si="18"/>
        <v>-1.4997475974411036</v>
      </c>
      <c r="X16">
        <f t="shared" si="16"/>
        <v>9.9495831952724836E-3</v>
      </c>
      <c r="AQ16" s="3"/>
      <c r="AR16" s="3"/>
      <c r="AS16" s="3"/>
      <c r="AT16" s="3"/>
      <c r="AU16" s="3"/>
      <c r="AV16" s="3"/>
      <c r="AW16" s="3"/>
      <c r="AX16" s="3"/>
      <c r="AY16" s="3"/>
      <c r="BA16" s="3"/>
      <c r="BB16" s="3"/>
      <c r="BC16" s="3"/>
      <c r="BD16" s="3"/>
      <c r="BE16" s="3"/>
      <c r="BF16" s="3"/>
      <c r="BG16" s="3"/>
      <c r="BH16" s="3"/>
      <c r="BI16" s="3"/>
    </row>
    <row r="17" spans="1:61" x14ac:dyDescent="0.35">
      <c r="A17" t="str">
        <f>Table1!A10</f>
        <v>Berz undated</v>
      </c>
      <c r="B17">
        <f>Table1!C10</f>
        <v>2.5</v>
      </c>
      <c r="C17">
        <f>Table1!E10</f>
        <v>-1.5</v>
      </c>
      <c r="D17">
        <v>1</v>
      </c>
      <c r="G17">
        <f t="shared" si="1"/>
        <v>-1.3246341374132971</v>
      </c>
      <c r="H17">
        <f t="shared" si="2"/>
        <v>3.075318576077838E-2</v>
      </c>
      <c r="I17">
        <f t="shared" si="3"/>
        <v>-1.3444102726226446</v>
      </c>
      <c r="J17">
        <f t="shared" si="4"/>
        <v>2.4208163265359788E-2</v>
      </c>
      <c r="K17">
        <f t="shared" si="5"/>
        <v>-1.3763231392316069</v>
      </c>
      <c r="L17">
        <f t="shared" si="6"/>
        <v>1.5295965889524499E-2</v>
      </c>
      <c r="M17">
        <f t="shared" si="7"/>
        <v>-1.7607771404125716</v>
      </c>
      <c r="N17">
        <f t="shared" si="8"/>
        <v>6.8004716961758083E-2</v>
      </c>
      <c r="O17" s="24">
        <f t="shared" si="9"/>
        <v>-1.7466563967002722</v>
      </c>
      <c r="P17">
        <f t="shared" si="10"/>
        <v>6.0839378033162035E-2</v>
      </c>
      <c r="Q17">
        <f t="shared" si="11"/>
        <v>-1.2129338636146687</v>
      </c>
      <c r="R17">
        <f t="shared" si="12"/>
        <v>8.2406966659201622E-2</v>
      </c>
      <c r="S17">
        <f t="shared" si="13"/>
        <v>-1.4524201393887131</v>
      </c>
      <c r="T17">
        <f t="shared" si="14"/>
        <v>2.2638431357894944E-3</v>
      </c>
      <c r="U17">
        <f t="shared" si="17"/>
        <v>-1.4087604702785903</v>
      </c>
      <c r="V17">
        <f t="shared" si="15"/>
        <v>8.3246517837840036E-3</v>
      </c>
      <c r="W17" s="33">
        <f t="shared" si="18"/>
        <v>-1.4997475974411036</v>
      </c>
      <c r="X17">
        <f t="shared" si="16"/>
        <v>6.3707051737429745E-8</v>
      </c>
    </row>
    <row r="18" spans="1:61" ht="15" thickBot="1" x14ac:dyDescent="0.4">
      <c r="A18" t="str">
        <f>Table1!A11</f>
        <v>Tol 1995</v>
      </c>
      <c r="B18">
        <f>Table1!C11</f>
        <v>2.5</v>
      </c>
      <c r="C18">
        <f>Table1!E11</f>
        <v>-1.9</v>
      </c>
      <c r="D18">
        <v>1</v>
      </c>
      <c r="G18">
        <f t="shared" si="1"/>
        <v>-1.3246341374132971</v>
      </c>
      <c r="H18">
        <f t="shared" si="2"/>
        <v>0.33104587583014061</v>
      </c>
      <c r="I18">
        <f t="shared" si="3"/>
        <v>-1.3444102726226446</v>
      </c>
      <c r="J18">
        <f t="shared" si="4"/>
        <v>0.30867994516724406</v>
      </c>
      <c r="K18">
        <f t="shared" si="5"/>
        <v>-1.3763231392316069</v>
      </c>
      <c r="L18">
        <f t="shared" si="6"/>
        <v>0.27423745450423892</v>
      </c>
      <c r="M18">
        <f t="shared" si="7"/>
        <v>-1.7607771404125716</v>
      </c>
      <c r="N18">
        <f t="shared" si="8"/>
        <v>1.9383004631700777E-2</v>
      </c>
      <c r="O18" s="24">
        <f t="shared" si="9"/>
        <v>-1.7466563967002722</v>
      </c>
      <c r="P18">
        <f t="shared" si="10"/>
        <v>2.3514260672944272E-2</v>
      </c>
      <c r="Q18">
        <f t="shared" si="11"/>
        <v>-1.2129338636146687</v>
      </c>
      <c r="R18">
        <f t="shared" si="12"/>
        <v>0.47205987576746655</v>
      </c>
      <c r="S18">
        <f t="shared" si="13"/>
        <v>-1.4524201393887131</v>
      </c>
      <c r="T18">
        <f t="shared" si="14"/>
        <v>0.20032773162481896</v>
      </c>
      <c r="U18">
        <f t="shared" si="17"/>
        <v>-1.4087604702785903</v>
      </c>
      <c r="V18">
        <f t="shared" si="15"/>
        <v>0.24131627556091167</v>
      </c>
      <c r="W18" s="33">
        <f t="shared" si="18"/>
        <v>-1.4997475974411036</v>
      </c>
      <c r="X18">
        <f t="shared" si="16"/>
        <v>0.16020198575416875</v>
      </c>
      <c r="AQ18" s="2"/>
      <c r="AR18" s="2"/>
      <c r="AS18" s="2"/>
      <c r="AT18" s="2"/>
      <c r="AU18" s="2"/>
      <c r="AV18" s="2"/>
      <c r="AW18" s="2"/>
      <c r="AX18" s="2"/>
      <c r="AY18" s="2"/>
      <c r="BA18" s="2"/>
      <c r="BB18" s="2"/>
      <c r="BC18" s="2"/>
      <c r="BD18" s="2"/>
      <c r="BE18" s="2"/>
      <c r="BF18" s="2"/>
      <c r="BG18" s="2"/>
      <c r="BH18" s="2"/>
      <c r="BI18" s="2"/>
    </row>
    <row r="19" spans="1:61" x14ac:dyDescent="0.35">
      <c r="A19" t="str">
        <f>Table1!A12</f>
        <v>Nordhaus and Yang 1996</v>
      </c>
      <c r="B19">
        <f>Table1!C12</f>
        <v>2.5</v>
      </c>
      <c r="C19">
        <f>Table1!E12</f>
        <v>-1.435622202473182</v>
      </c>
      <c r="D19">
        <v>1</v>
      </c>
      <c r="G19">
        <f t="shared" si="1"/>
        <v>-1.3246341374132971</v>
      </c>
      <c r="H19">
        <f t="shared" si="2"/>
        <v>1.2318350585737244E-2</v>
      </c>
      <c r="I19">
        <f t="shared" si="3"/>
        <v>-1.3444102726226446</v>
      </c>
      <c r="J19">
        <f t="shared" si="4"/>
        <v>8.3196161470593527E-3</v>
      </c>
      <c r="K19">
        <f t="shared" si="5"/>
        <v>-1.3763231392316069</v>
      </c>
      <c r="L19">
        <f t="shared" si="6"/>
        <v>3.5163789013283207E-3</v>
      </c>
      <c r="M19">
        <f t="shared" si="7"/>
        <v>-1.7607771404125716</v>
      </c>
      <c r="N19">
        <f t="shared" si="8"/>
        <v>0.10572573366636834</v>
      </c>
      <c r="O19" s="24">
        <f t="shared" si="9"/>
        <v>-1.7466563967002722</v>
      </c>
      <c r="P19">
        <f t="shared" si="10"/>
        <v>9.6742269978495291E-2</v>
      </c>
      <c r="Q19">
        <f t="shared" si="11"/>
        <v>-1.2129338636146687</v>
      </c>
      <c r="R19">
        <f t="shared" si="12"/>
        <v>4.9590096263564018E-2</v>
      </c>
      <c r="S19">
        <f t="shared" si="13"/>
        <v>-1.4524201393887131</v>
      </c>
      <c r="T19">
        <f t="shared" si="14"/>
        <v>2.8217068461816277E-4</v>
      </c>
      <c r="U19">
        <f t="shared" si="17"/>
        <v>-1.4087604702785903</v>
      </c>
      <c r="V19">
        <f t="shared" si="15"/>
        <v>7.2155265649396139E-4</v>
      </c>
      <c r="W19" s="33">
        <f t="shared" si="18"/>
        <v>-1.4997475974411036</v>
      </c>
      <c r="X19">
        <f t="shared" si="16"/>
        <v>4.1120662797919563E-3</v>
      </c>
    </row>
    <row r="20" spans="1:61" x14ac:dyDescent="0.35">
      <c r="A20" t="str">
        <f>Table1!A13</f>
        <v>Plambeck and Hope 1996</v>
      </c>
      <c r="B20">
        <f>Table1!C13</f>
        <v>2.5</v>
      </c>
      <c r="C20">
        <f>Table1!E13</f>
        <v>-2.8909238132996098</v>
      </c>
      <c r="D20">
        <v>1</v>
      </c>
      <c r="G20">
        <f t="shared" si="1"/>
        <v>-1.3246341374132971</v>
      </c>
      <c r="H20">
        <f t="shared" si="2"/>
        <v>2.4532633487880506</v>
      </c>
      <c r="I20">
        <f t="shared" si="3"/>
        <v>-1.3444102726226446</v>
      </c>
      <c r="J20">
        <f t="shared" si="4"/>
        <v>2.3917041314972032</v>
      </c>
      <c r="K20">
        <f t="shared" si="5"/>
        <v>-1.3763231392316069</v>
      </c>
      <c r="L20">
        <f t="shared" si="6"/>
        <v>2.2940152018872486</v>
      </c>
      <c r="M20">
        <f t="shared" si="7"/>
        <v>-1.7607771404125716</v>
      </c>
      <c r="N20">
        <f t="shared" si="8"/>
        <v>1.2772315022376421</v>
      </c>
      <c r="O20" s="24">
        <f t="shared" si="9"/>
        <v>-1.7466563967002722</v>
      </c>
      <c r="P20">
        <f t="shared" si="10"/>
        <v>1.309347920690922</v>
      </c>
      <c r="Q20">
        <f t="shared" si="11"/>
        <v>-1.2129338636146687</v>
      </c>
      <c r="R20">
        <f t="shared" si="12"/>
        <v>2.8156502712436713</v>
      </c>
      <c r="S20">
        <f t="shared" si="13"/>
        <v>-1.4524201393887131</v>
      </c>
      <c r="T20">
        <f t="shared" si="14"/>
        <v>2.0692928198551477</v>
      </c>
      <c r="U20">
        <f t="shared" si="17"/>
        <v>-1.4087604702785903</v>
      </c>
      <c r="V20">
        <f t="shared" si="15"/>
        <v>2.1968081753952444</v>
      </c>
      <c r="W20" s="33">
        <f t="shared" si="18"/>
        <v>-1.4997475974411036</v>
      </c>
      <c r="X20">
        <f t="shared" si="16"/>
        <v>1.9353712635703928</v>
      </c>
      <c r="AF20" s="5"/>
    </row>
    <row r="21" spans="1:61" x14ac:dyDescent="0.35">
      <c r="A21" t="str">
        <f>Table1!A14</f>
        <v>Mendelsohn et al. 2000, 2006</v>
      </c>
      <c r="B21">
        <f>Table1!C14</f>
        <v>2.4900000000000002</v>
      </c>
      <c r="C21">
        <f>Table1!E14</f>
        <v>0.03</v>
      </c>
      <c r="D21">
        <v>0</v>
      </c>
      <c r="G21">
        <f t="shared" si="1"/>
        <v>-1.3118370776567729</v>
      </c>
      <c r="H21">
        <f t="shared" si="2"/>
        <v>0</v>
      </c>
      <c r="I21">
        <f t="shared" si="3"/>
        <v>-1.3290132940841899</v>
      </c>
      <c r="J21">
        <f t="shared" si="4"/>
        <v>0</v>
      </c>
      <c r="K21">
        <f t="shared" si="5"/>
        <v>-1.365334575287982</v>
      </c>
      <c r="L21">
        <f t="shared" si="6"/>
        <v>0</v>
      </c>
      <c r="M21">
        <f t="shared" si="7"/>
        <v>-1.756336036744514</v>
      </c>
      <c r="N21">
        <f t="shared" si="8"/>
        <v>0</v>
      </c>
      <c r="O21" s="24">
        <f t="shared" si="9"/>
        <v>-1.7429877727394791</v>
      </c>
      <c r="P21">
        <f t="shared" si="10"/>
        <v>0</v>
      </c>
      <c r="Q21">
        <f t="shared" si="11"/>
        <v>-1.1997857032990227</v>
      </c>
      <c r="R21">
        <f t="shared" si="12"/>
        <v>0</v>
      </c>
      <c r="S21">
        <f t="shared" si="13"/>
        <v>-1.4466104588311584</v>
      </c>
      <c r="T21">
        <f t="shared" si="14"/>
        <v>0</v>
      </c>
      <c r="U21">
        <f t="shared" si="17"/>
        <v>-1.400876136924984</v>
      </c>
      <c r="V21">
        <f t="shared" si="15"/>
        <v>0</v>
      </c>
      <c r="W21" s="33">
        <f t="shared" si="18"/>
        <v>-1.4895584021153154</v>
      </c>
      <c r="X21">
        <f t="shared" si="16"/>
        <v>0</v>
      </c>
      <c r="AF21" s="5"/>
    </row>
    <row r="22" spans="1:61" x14ac:dyDescent="0.35">
      <c r="A22">
        <f>Table1!A15</f>
        <v>0</v>
      </c>
      <c r="B22">
        <f>Table1!C15</f>
        <v>2.4900000000000002</v>
      </c>
      <c r="C22">
        <f>Table1!E15</f>
        <v>0.1</v>
      </c>
      <c r="D22">
        <v>0</v>
      </c>
      <c r="G22">
        <f t="shared" si="1"/>
        <v>-1.3118370776567729</v>
      </c>
      <c r="H22">
        <f t="shared" si="2"/>
        <v>0</v>
      </c>
      <c r="I22">
        <f t="shared" si="3"/>
        <v>-1.3290132940841899</v>
      </c>
      <c r="J22">
        <f t="shared" si="4"/>
        <v>0</v>
      </c>
      <c r="K22">
        <f t="shared" si="5"/>
        <v>-1.365334575287982</v>
      </c>
      <c r="L22">
        <f t="shared" si="6"/>
        <v>0</v>
      </c>
      <c r="M22">
        <f t="shared" si="7"/>
        <v>-1.756336036744514</v>
      </c>
      <c r="N22">
        <f t="shared" si="8"/>
        <v>0</v>
      </c>
      <c r="O22" s="24">
        <f t="shared" si="9"/>
        <v>-1.7429877727394791</v>
      </c>
      <c r="P22">
        <f t="shared" si="10"/>
        <v>0</v>
      </c>
      <c r="Q22">
        <f t="shared" si="11"/>
        <v>-1.1997857032990227</v>
      </c>
      <c r="R22">
        <f t="shared" si="12"/>
        <v>0</v>
      </c>
      <c r="S22">
        <f t="shared" si="13"/>
        <v>-1.4466104588311584</v>
      </c>
      <c r="T22">
        <f t="shared" si="14"/>
        <v>0</v>
      </c>
      <c r="U22">
        <f t="shared" si="17"/>
        <v>-1.400876136924984</v>
      </c>
      <c r="V22">
        <f t="shared" si="15"/>
        <v>0</v>
      </c>
      <c r="W22" s="33">
        <f t="shared" si="18"/>
        <v>-1.4895584021153154</v>
      </c>
      <c r="X22">
        <f t="shared" si="16"/>
        <v>0</v>
      </c>
      <c r="AF22" s="5"/>
    </row>
    <row r="23" spans="1:61" x14ac:dyDescent="0.35">
      <c r="A23">
        <f>Table1!A16</f>
        <v>0</v>
      </c>
      <c r="B23">
        <f>Table1!C16</f>
        <v>4</v>
      </c>
      <c r="C23">
        <f>Table1!E16</f>
        <v>-0.01</v>
      </c>
      <c r="D23">
        <v>0</v>
      </c>
      <c r="G23">
        <f t="shared" si="1"/>
        <v>-3.926287681757886</v>
      </c>
      <c r="H23">
        <f t="shared" si="2"/>
        <v>0</v>
      </c>
      <c r="I23">
        <f t="shared" si="3"/>
        <v>-3.6539570533909052</v>
      </c>
      <c r="J23">
        <f t="shared" si="4"/>
        <v>0</v>
      </c>
      <c r="K23">
        <f t="shared" si="5"/>
        <v>-3.5233872364329137</v>
      </c>
      <c r="L23">
        <f t="shared" si="6"/>
        <v>0</v>
      </c>
      <c r="M23">
        <f t="shared" si="7"/>
        <v>7.3576012647462878</v>
      </c>
      <c r="N23">
        <f t="shared" si="8"/>
        <v>0</v>
      </c>
      <c r="O23" s="24">
        <f t="shared" si="9"/>
        <v>4.7890801278045245</v>
      </c>
      <c r="P23">
        <f t="shared" si="10"/>
        <v>0</v>
      </c>
      <c r="Q23">
        <f t="shared" si="11"/>
        <v>-5.813641521359747</v>
      </c>
      <c r="R23">
        <f t="shared" si="12"/>
        <v>0</v>
      </c>
      <c r="S23">
        <f t="shared" si="13"/>
        <v>-2.3238722230219411</v>
      </c>
      <c r="T23">
        <f t="shared" si="14"/>
        <v>0</v>
      </c>
      <c r="U23">
        <f t="shared" si="17"/>
        <v>-3.0332263141379432</v>
      </c>
      <c r="V23">
        <f t="shared" si="15"/>
        <v>0</v>
      </c>
      <c r="W23" s="33">
        <f t="shared" si="18"/>
        <v>-6.9147161486944886E-3</v>
      </c>
      <c r="X23">
        <f t="shared" si="16"/>
        <v>0</v>
      </c>
    </row>
    <row r="24" spans="1:61" x14ac:dyDescent="0.35">
      <c r="A24">
        <f>Table1!A17</f>
        <v>0</v>
      </c>
      <c r="B24">
        <f>Table1!C17</f>
        <v>4</v>
      </c>
      <c r="C24">
        <f>Table1!E17</f>
        <v>-0.04</v>
      </c>
      <c r="D24">
        <v>0</v>
      </c>
      <c r="G24">
        <f t="shared" si="1"/>
        <v>-3.926287681757886</v>
      </c>
      <c r="H24">
        <f t="shared" si="2"/>
        <v>0</v>
      </c>
      <c r="I24">
        <f t="shared" si="3"/>
        <v>-3.6539570533909052</v>
      </c>
      <c r="J24">
        <f t="shared" si="4"/>
        <v>0</v>
      </c>
      <c r="K24">
        <f t="shared" si="5"/>
        <v>-3.5233872364329137</v>
      </c>
      <c r="L24">
        <f t="shared" si="6"/>
        <v>0</v>
      </c>
      <c r="M24">
        <f t="shared" si="7"/>
        <v>7.3576012647462878</v>
      </c>
      <c r="N24">
        <f t="shared" si="8"/>
        <v>0</v>
      </c>
      <c r="O24" s="24">
        <f t="shared" si="9"/>
        <v>4.7890801278045245</v>
      </c>
      <c r="P24">
        <f t="shared" si="10"/>
        <v>0</v>
      </c>
      <c r="Q24">
        <f t="shared" si="11"/>
        <v>-5.813641521359747</v>
      </c>
      <c r="R24">
        <f t="shared" si="12"/>
        <v>0</v>
      </c>
      <c r="S24">
        <f t="shared" si="13"/>
        <v>-2.3238722230219411</v>
      </c>
      <c r="T24">
        <f t="shared" si="14"/>
        <v>0</v>
      </c>
      <c r="U24">
        <f t="shared" si="17"/>
        <v>-3.0332263141379432</v>
      </c>
      <c r="V24">
        <f t="shared" si="15"/>
        <v>0</v>
      </c>
      <c r="W24" s="33">
        <f t="shared" si="18"/>
        <v>-6.9147161486944886E-3</v>
      </c>
      <c r="X24">
        <f t="shared" si="16"/>
        <v>0</v>
      </c>
    </row>
    <row r="25" spans="1:61" ht="15" thickBot="1" x14ac:dyDescent="0.4">
      <c r="A25">
        <f>Table1!A18</f>
        <v>0</v>
      </c>
      <c r="B25">
        <f>Table1!C18</f>
        <v>5.2</v>
      </c>
      <c r="C25">
        <f>Table1!E18</f>
        <v>-0.01</v>
      </c>
      <c r="D25">
        <v>0</v>
      </c>
      <c r="G25">
        <f t="shared" si="1"/>
        <v>-6.9833219706577276</v>
      </c>
      <c r="H25">
        <f t="shared" si="2"/>
        <v>0</v>
      </c>
      <c r="I25">
        <f t="shared" si="3"/>
        <v>-5.5015944780055133</v>
      </c>
      <c r="J25">
        <f t="shared" si="4"/>
        <v>0</v>
      </c>
      <c r="K25">
        <f t="shared" si="5"/>
        <v>-5.9545244295716246</v>
      </c>
      <c r="L25">
        <f t="shared" si="6"/>
        <v>0</v>
      </c>
      <c r="M25">
        <f t="shared" si="7"/>
        <v>72.569412966863482</v>
      </c>
      <c r="N25">
        <f t="shared" si="8"/>
        <v>0</v>
      </c>
      <c r="O25" s="24">
        <f t="shared" si="9"/>
        <v>42.372597766374263</v>
      </c>
      <c r="P25">
        <f t="shared" si="10"/>
        <v>0</v>
      </c>
      <c r="Q25">
        <f t="shared" si="11"/>
        <v>-19.553626195417124</v>
      </c>
      <c r="R25">
        <f t="shared" si="12"/>
        <v>0</v>
      </c>
      <c r="S25">
        <f t="shared" si="13"/>
        <v>-3.0210338899285234</v>
      </c>
      <c r="T25">
        <f t="shared" si="14"/>
        <v>0</v>
      </c>
      <c r="U25">
        <f t="shared" si="17"/>
        <v>-5.3429621524908386</v>
      </c>
      <c r="V25">
        <f t="shared" si="15"/>
        <v>0</v>
      </c>
      <c r="W25" s="33">
        <f t="shared" si="18"/>
        <v>17.873865306777578</v>
      </c>
      <c r="X25">
        <f t="shared" si="16"/>
        <v>0</v>
      </c>
    </row>
    <row r="26" spans="1:61" x14ac:dyDescent="0.35">
      <c r="A26">
        <f>Table1!A19</f>
        <v>0</v>
      </c>
      <c r="B26">
        <f>Table1!C19</f>
        <v>5.2</v>
      </c>
      <c r="C26">
        <f>Table1!E19</f>
        <v>-0.13</v>
      </c>
      <c r="D26">
        <v>0</v>
      </c>
      <c r="G26">
        <f t="shared" si="1"/>
        <v>-6.9833219706577276</v>
      </c>
      <c r="H26">
        <f t="shared" si="2"/>
        <v>0</v>
      </c>
      <c r="I26">
        <f t="shared" si="3"/>
        <v>-5.5015944780055133</v>
      </c>
      <c r="J26">
        <f t="shared" si="4"/>
        <v>0</v>
      </c>
      <c r="K26">
        <f t="shared" si="5"/>
        <v>-5.9545244295716246</v>
      </c>
      <c r="L26">
        <f t="shared" si="6"/>
        <v>0</v>
      </c>
      <c r="M26">
        <f t="shared" si="7"/>
        <v>72.569412966863482</v>
      </c>
      <c r="N26">
        <f t="shared" si="8"/>
        <v>0</v>
      </c>
      <c r="O26" s="24">
        <f t="shared" si="9"/>
        <v>42.372597766374263</v>
      </c>
      <c r="P26">
        <f t="shared" si="10"/>
        <v>0</v>
      </c>
      <c r="Q26">
        <f t="shared" si="11"/>
        <v>-19.553626195417124</v>
      </c>
      <c r="R26">
        <f t="shared" si="12"/>
        <v>0</v>
      </c>
      <c r="S26">
        <f t="shared" si="13"/>
        <v>-3.0210338899285234</v>
      </c>
      <c r="T26">
        <f t="shared" si="14"/>
        <v>0</v>
      </c>
      <c r="U26">
        <f t="shared" si="17"/>
        <v>-5.3429621524908386</v>
      </c>
      <c r="V26">
        <f t="shared" si="15"/>
        <v>0</v>
      </c>
      <c r="W26" s="33">
        <f t="shared" si="18"/>
        <v>17.873865306777578</v>
      </c>
      <c r="X26">
        <f t="shared" si="16"/>
        <v>0</v>
      </c>
      <c r="AQ26" s="4"/>
      <c r="AR26" s="4"/>
    </row>
    <row r="27" spans="1:61" x14ac:dyDescent="0.35">
      <c r="A27" t="str">
        <f>Table1!A20</f>
        <v>Nordhaus and Boyer 2000</v>
      </c>
      <c r="B27">
        <f>Table1!C20</f>
        <v>2.5</v>
      </c>
      <c r="C27">
        <f>Table1!E20</f>
        <v>-1.5</v>
      </c>
      <c r="D27">
        <v>1</v>
      </c>
      <c r="G27">
        <f t="shared" si="1"/>
        <v>-1.3246341374132971</v>
      </c>
      <c r="H27">
        <f t="shared" si="2"/>
        <v>3.075318576077838E-2</v>
      </c>
      <c r="I27">
        <f t="shared" si="3"/>
        <v>-1.3444102726226446</v>
      </c>
      <c r="J27">
        <f t="shared" si="4"/>
        <v>2.4208163265359788E-2</v>
      </c>
      <c r="K27">
        <f t="shared" si="5"/>
        <v>-1.3763231392316069</v>
      </c>
      <c r="L27">
        <f t="shared" si="6"/>
        <v>1.5295965889524499E-2</v>
      </c>
      <c r="M27">
        <f t="shared" si="7"/>
        <v>-1.7607771404125716</v>
      </c>
      <c r="N27">
        <f t="shared" si="8"/>
        <v>6.8004716961758083E-2</v>
      </c>
      <c r="O27" s="24">
        <f t="shared" si="9"/>
        <v>-1.7466563967002722</v>
      </c>
      <c r="P27">
        <f t="shared" si="10"/>
        <v>6.0839378033162035E-2</v>
      </c>
      <c r="Q27">
        <f t="shared" si="11"/>
        <v>-1.2129338636146687</v>
      </c>
      <c r="R27">
        <f t="shared" si="12"/>
        <v>8.2406966659201622E-2</v>
      </c>
      <c r="S27">
        <f t="shared" si="13"/>
        <v>-1.4524201393887131</v>
      </c>
      <c r="T27">
        <f t="shared" si="14"/>
        <v>2.2638431357894944E-3</v>
      </c>
      <c r="U27">
        <f t="shared" si="17"/>
        <v>-1.4087604702785903</v>
      </c>
      <c r="V27">
        <f t="shared" si="15"/>
        <v>8.3246517837840036E-3</v>
      </c>
      <c r="W27" s="33">
        <f t="shared" si="18"/>
        <v>-1.4997475974411036</v>
      </c>
      <c r="X27">
        <f t="shared" si="16"/>
        <v>6.3707051737429745E-8</v>
      </c>
    </row>
    <row r="28" spans="1:61" x14ac:dyDescent="0.35">
      <c r="A28" t="str">
        <f>Table1!A21</f>
        <v>Tol 2002</v>
      </c>
      <c r="B28">
        <f>Table1!C21</f>
        <v>1</v>
      </c>
      <c r="C28">
        <f>Table1!E21</f>
        <v>2.2999999999999998</v>
      </c>
      <c r="D28">
        <v>1</v>
      </c>
      <c r="G28">
        <f t="shared" si="1"/>
        <v>-7.8135389491166052E-2</v>
      </c>
      <c r="H28">
        <f t="shared" si="2"/>
        <v>5.6555279307502992</v>
      </c>
      <c r="I28">
        <f t="shared" si="3"/>
        <v>0.96513650814561536</v>
      </c>
      <c r="J28">
        <f t="shared" si="4"/>
        <v>1.7818605418856803</v>
      </c>
      <c r="K28">
        <f t="shared" si="5"/>
        <v>-0.22021170227705711</v>
      </c>
      <c r="L28">
        <f t="shared" si="6"/>
        <v>6.3514670242942195</v>
      </c>
      <c r="M28">
        <f t="shared" si="7"/>
        <v>-0.3591014529385898</v>
      </c>
      <c r="N28">
        <f t="shared" si="8"/>
        <v>7.0708205370201176</v>
      </c>
      <c r="O28" s="24">
        <f t="shared" si="9"/>
        <v>-0.38101459467891025</v>
      </c>
      <c r="P28">
        <f t="shared" si="10"/>
        <v>7.1878392568813192</v>
      </c>
      <c r="Q28">
        <f t="shared" si="11"/>
        <v>-0.18637722714590185</v>
      </c>
      <c r="R28">
        <f t="shared" si="12"/>
        <v>6.1820717156697427</v>
      </c>
      <c r="S28">
        <f t="shared" si="13"/>
        <v>-0.58096805575548527</v>
      </c>
      <c r="T28">
        <f t="shared" si="14"/>
        <v>8.2999769382835389</v>
      </c>
      <c r="U28">
        <f t="shared" si="17"/>
        <v>-0.47332360681922747</v>
      </c>
      <c r="V28">
        <f t="shared" si="15"/>
        <v>7.6913238281408081</v>
      </c>
      <c r="W28" s="33">
        <f t="shared" si="18"/>
        <v>0.21332443423374126</v>
      </c>
      <c r="X28">
        <f t="shared" si="16"/>
        <v>4.3542149167659341</v>
      </c>
    </row>
    <row r="29" spans="1:61" x14ac:dyDescent="0.35">
      <c r="A29" t="str">
        <f>Table1!A22</f>
        <v>Maddison 2003</v>
      </c>
      <c r="B29">
        <f>Table1!C22</f>
        <v>2.5</v>
      </c>
      <c r="C29">
        <f>Table1!E22</f>
        <v>3.3000365094043249E-2</v>
      </c>
      <c r="D29">
        <v>0</v>
      </c>
      <c r="G29">
        <f t="shared" si="1"/>
        <v>-1.3246341374132971</v>
      </c>
      <c r="H29">
        <f t="shared" si="2"/>
        <v>0</v>
      </c>
      <c r="I29">
        <f t="shared" si="3"/>
        <v>-1.3444102726226446</v>
      </c>
      <c r="J29">
        <f t="shared" si="4"/>
        <v>0</v>
      </c>
      <c r="K29">
        <f t="shared" si="5"/>
        <v>-1.3763231392316069</v>
      </c>
      <c r="L29">
        <f t="shared" si="6"/>
        <v>0</v>
      </c>
      <c r="M29">
        <f t="shared" si="7"/>
        <v>-1.7607771404125716</v>
      </c>
      <c r="N29">
        <f t="shared" si="8"/>
        <v>0</v>
      </c>
      <c r="O29" s="24">
        <f t="shared" si="9"/>
        <v>-1.7466563967002722</v>
      </c>
      <c r="P29">
        <f t="shared" si="10"/>
        <v>0</v>
      </c>
      <c r="Q29">
        <f t="shared" si="11"/>
        <v>-1.2129338636146687</v>
      </c>
      <c r="R29">
        <f t="shared" si="12"/>
        <v>0</v>
      </c>
      <c r="S29">
        <f t="shared" si="13"/>
        <v>-1.4524201393887131</v>
      </c>
      <c r="T29">
        <f t="shared" si="14"/>
        <v>0</v>
      </c>
      <c r="U29">
        <f t="shared" si="17"/>
        <v>-1.4087604702785903</v>
      </c>
      <c r="V29">
        <f t="shared" si="15"/>
        <v>0</v>
      </c>
      <c r="W29" s="33">
        <f t="shared" si="18"/>
        <v>-1.4997475974411036</v>
      </c>
      <c r="X29">
        <f t="shared" si="16"/>
        <v>0</v>
      </c>
    </row>
    <row r="30" spans="1:61" x14ac:dyDescent="0.35">
      <c r="A30" t="str">
        <f>Table1!A23</f>
        <v>Rehdanz and Maddison 2005</v>
      </c>
      <c r="B30">
        <f>Table1!C23</f>
        <v>0.6</v>
      </c>
      <c r="C30">
        <f>Table1!E23</f>
        <v>-0.17962065483383896</v>
      </c>
      <c r="D30">
        <v>0</v>
      </c>
      <c r="G30">
        <f t="shared" si="1"/>
        <v>2.5393688781164811E-2</v>
      </c>
      <c r="H30">
        <f t="shared" si="2"/>
        <v>0</v>
      </c>
      <c r="I30">
        <f t="shared" si="3"/>
        <v>0.57908254029372308</v>
      </c>
      <c r="J30">
        <f t="shared" si="4"/>
        <v>0</v>
      </c>
      <c r="K30">
        <f t="shared" si="5"/>
        <v>-7.9276212819740552E-2</v>
      </c>
      <c r="L30">
        <f t="shared" si="6"/>
        <v>0</v>
      </c>
      <c r="M30">
        <f t="shared" si="7"/>
        <v>-0.1295423071731503</v>
      </c>
      <c r="N30">
        <f t="shared" si="8"/>
        <v>0</v>
      </c>
      <c r="O30" s="24">
        <f t="shared" si="9"/>
        <v>-0.1380012461721645</v>
      </c>
      <c r="P30">
        <f t="shared" si="10"/>
        <v>0</v>
      </c>
      <c r="Q30">
        <f t="shared" si="11"/>
        <v>-8.9172928365720827E-2</v>
      </c>
      <c r="R30">
        <f t="shared" si="12"/>
        <v>0</v>
      </c>
      <c r="S30">
        <f t="shared" si="13"/>
        <v>-0.34858083345329116</v>
      </c>
      <c r="T30">
        <f t="shared" si="14"/>
        <v>0</v>
      </c>
      <c r="U30">
        <f t="shared" si="17"/>
        <v>-0.27778926700944867</v>
      </c>
      <c r="V30">
        <f t="shared" si="15"/>
        <v>0</v>
      </c>
      <c r="W30" s="33">
        <f t="shared" si="18"/>
        <v>0.16959998941607252</v>
      </c>
      <c r="X30">
        <f t="shared" si="16"/>
        <v>0</v>
      </c>
    </row>
    <row r="31" spans="1:61" ht="15" thickBot="1" x14ac:dyDescent="0.4">
      <c r="A31">
        <f>Table1!A24</f>
        <v>0</v>
      </c>
      <c r="B31">
        <f>Table1!C24</f>
        <v>1</v>
      </c>
      <c r="C31">
        <f>Table1!E24</f>
        <v>-0.30947656699459297</v>
      </c>
      <c r="D31">
        <v>0</v>
      </c>
      <c r="G31">
        <f t="shared" si="1"/>
        <v>-7.8135389491166052E-2</v>
      </c>
      <c r="H31">
        <f t="shared" si="2"/>
        <v>0</v>
      </c>
      <c r="I31">
        <f t="shared" si="3"/>
        <v>0.96513650814561536</v>
      </c>
      <c r="J31">
        <f t="shared" si="4"/>
        <v>0</v>
      </c>
      <c r="K31">
        <f t="shared" si="5"/>
        <v>-0.22021170227705711</v>
      </c>
      <c r="L31">
        <f t="shared" si="6"/>
        <v>0</v>
      </c>
      <c r="M31">
        <f t="shared" si="7"/>
        <v>-0.3591014529385898</v>
      </c>
      <c r="N31">
        <f t="shared" si="8"/>
        <v>0</v>
      </c>
      <c r="O31" s="24">
        <f t="shared" si="9"/>
        <v>-0.38101459467891025</v>
      </c>
      <c r="P31">
        <f t="shared" si="10"/>
        <v>0</v>
      </c>
      <c r="Q31">
        <f t="shared" si="11"/>
        <v>-0.18637722714590185</v>
      </c>
      <c r="R31">
        <f t="shared" si="12"/>
        <v>0</v>
      </c>
      <c r="S31">
        <f t="shared" si="13"/>
        <v>-0.58096805575548527</v>
      </c>
      <c r="T31">
        <f t="shared" si="14"/>
        <v>0</v>
      </c>
      <c r="U31">
        <f t="shared" si="17"/>
        <v>-0.47332360681922747</v>
      </c>
      <c r="V31">
        <f t="shared" si="15"/>
        <v>0</v>
      </c>
      <c r="W31" s="33">
        <f t="shared" si="18"/>
        <v>0.21332443423374126</v>
      </c>
      <c r="X31">
        <f t="shared" si="16"/>
        <v>0</v>
      </c>
      <c r="AQ31" s="2"/>
      <c r="AR31" s="2"/>
    </row>
    <row r="32" spans="1:61" x14ac:dyDescent="0.35">
      <c r="A32" t="str">
        <f>Table1!A25</f>
        <v>Hope 2006</v>
      </c>
      <c r="B32">
        <f>Table1!C25</f>
        <v>2.5</v>
      </c>
      <c r="C32">
        <f>Table1!E25</f>
        <v>-0.9804776851232514</v>
      </c>
      <c r="D32">
        <v>1</v>
      </c>
      <c r="G32">
        <f t="shared" si="1"/>
        <v>-1.3246341374132971</v>
      </c>
      <c r="H32">
        <f t="shared" si="2"/>
        <v>0.11844366365287047</v>
      </c>
      <c r="I32">
        <f t="shared" si="3"/>
        <v>-1.3444102726226446</v>
      </c>
      <c r="J32">
        <f t="shared" si="4"/>
        <v>0.13244692824400348</v>
      </c>
      <c r="K32">
        <f t="shared" si="5"/>
        <v>-1.3763231392316069</v>
      </c>
      <c r="L32">
        <f t="shared" si="6"/>
        <v>0.15669362353825017</v>
      </c>
      <c r="M32">
        <f t="shared" si="7"/>
        <v>-1.7607771404125716</v>
      </c>
      <c r="N32">
        <f t="shared" si="8"/>
        <v>0.60886723992480984</v>
      </c>
      <c r="O32" s="24">
        <f t="shared" si="9"/>
        <v>-1.7466563967002722</v>
      </c>
      <c r="P32">
        <f t="shared" si="10"/>
        <v>0.58702981807382359</v>
      </c>
      <c r="Q32">
        <f t="shared" si="11"/>
        <v>-1.2129338636146687</v>
      </c>
      <c r="R32">
        <f t="shared" si="12"/>
        <v>5.4035874918833667E-2</v>
      </c>
      <c r="S32">
        <f t="shared" si="13"/>
        <v>-1.4524201393887131</v>
      </c>
      <c r="T32">
        <f t="shared" si="14"/>
        <v>0.22272968013810737</v>
      </c>
      <c r="U32">
        <f t="shared" si="17"/>
        <v>-1.4087604702785903</v>
      </c>
      <c r="V32">
        <f t="shared" si="15"/>
        <v>0.18342614406041419</v>
      </c>
      <c r="W32" s="33">
        <f t="shared" si="18"/>
        <v>-1.4997475974411036</v>
      </c>
      <c r="X32">
        <f t="shared" si="16"/>
        <v>0.26964124183858995</v>
      </c>
    </row>
    <row r="33" spans="1:51" ht="15" thickBot="1" x14ac:dyDescent="0.4">
      <c r="A33" t="str">
        <f>Table1!A26</f>
        <v>Nordhaus 2006</v>
      </c>
      <c r="B33">
        <f>Table1!C26</f>
        <v>3</v>
      </c>
      <c r="C33">
        <f>Table1!E26</f>
        <v>-0.93</v>
      </c>
      <c r="D33">
        <v>0</v>
      </c>
      <c r="G33">
        <f t="shared" si="1"/>
        <v>-2.0412792303701091</v>
      </c>
      <c r="H33">
        <f t="shared" si="2"/>
        <v>0</v>
      </c>
      <c r="I33">
        <f t="shared" si="3"/>
        <v>-2.1142591995453985</v>
      </c>
      <c r="J33">
        <f t="shared" si="4"/>
        <v>0</v>
      </c>
      <c r="K33">
        <f t="shared" si="5"/>
        <v>-1.981905320493514</v>
      </c>
      <c r="L33">
        <f t="shared" si="6"/>
        <v>0</v>
      </c>
      <c r="M33">
        <f t="shared" si="7"/>
        <v>-1.4883388470593932</v>
      </c>
      <c r="N33">
        <f t="shared" si="8"/>
        <v>0</v>
      </c>
      <c r="O33" s="24">
        <f t="shared" si="9"/>
        <v>-1.5081936504630589</v>
      </c>
      <c r="P33">
        <f t="shared" si="10"/>
        <v>0</v>
      </c>
      <c r="Q33">
        <f t="shared" si="11"/>
        <v>-2.0701548438794002</v>
      </c>
      <c r="R33">
        <f t="shared" si="12"/>
        <v>0</v>
      </c>
      <c r="S33">
        <f t="shared" si="13"/>
        <v>-1.7429041672664558</v>
      </c>
      <c r="T33">
        <f t="shared" si="14"/>
        <v>0</v>
      </c>
      <c r="U33">
        <f t="shared" si="17"/>
        <v>-1.8441354857524597</v>
      </c>
      <c r="V33">
        <f t="shared" si="15"/>
        <v>0</v>
      </c>
      <c r="W33" s="33">
        <f t="shared" si="18"/>
        <v>-1.8519628715400804</v>
      </c>
      <c r="X33">
        <f t="shared" si="16"/>
        <v>0</v>
      </c>
    </row>
    <row r="34" spans="1:51" x14ac:dyDescent="0.35">
      <c r="A34">
        <f>Table1!A27</f>
        <v>0</v>
      </c>
      <c r="B34">
        <f>Table1!C27</f>
        <v>3</v>
      </c>
      <c r="C34">
        <f>Table1!E27</f>
        <v>-1.05</v>
      </c>
      <c r="D34">
        <v>0</v>
      </c>
      <c r="G34">
        <f t="shared" si="1"/>
        <v>-2.0412792303701091</v>
      </c>
      <c r="H34">
        <f t="shared" si="2"/>
        <v>0</v>
      </c>
      <c r="I34">
        <f t="shared" si="3"/>
        <v>-2.1142591995453985</v>
      </c>
      <c r="J34">
        <f t="shared" si="4"/>
        <v>0</v>
      </c>
      <c r="K34">
        <f t="shared" si="5"/>
        <v>-1.981905320493514</v>
      </c>
      <c r="L34">
        <f t="shared" si="6"/>
        <v>0</v>
      </c>
      <c r="M34">
        <f t="shared" si="7"/>
        <v>-1.4883388470593932</v>
      </c>
      <c r="N34">
        <f t="shared" si="8"/>
        <v>0</v>
      </c>
      <c r="O34" s="24">
        <f t="shared" si="9"/>
        <v>-1.5081936504630589</v>
      </c>
      <c r="P34">
        <f t="shared" si="10"/>
        <v>0</v>
      </c>
      <c r="Q34">
        <f t="shared" si="11"/>
        <v>-2.0701548438794002</v>
      </c>
      <c r="R34">
        <f t="shared" si="12"/>
        <v>0</v>
      </c>
      <c r="S34">
        <f t="shared" si="13"/>
        <v>-1.7429041672664558</v>
      </c>
      <c r="T34">
        <f t="shared" si="14"/>
        <v>0</v>
      </c>
      <c r="U34">
        <f t="shared" si="17"/>
        <v>-1.8441354857524597</v>
      </c>
      <c r="V34">
        <f t="shared" si="15"/>
        <v>0</v>
      </c>
      <c r="W34" s="33">
        <f t="shared" si="18"/>
        <v>-1.8519628715400804</v>
      </c>
      <c r="X34">
        <f t="shared" si="16"/>
        <v>0</v>
      </c>
      <c r="AQ34" s="3"/>
      <c r="AR34" s="3"/>
      <c r="AS34" s="3"/>
      <c r="AT34" s="3"/>
      <c r="AU34" s="3"/>
      <c r="AV34" s="3"/>
    </row>
    <row r="35" spans="1:51" x14ac:dyDescent="0.35">
      <c r="A35" t="str">
        <f>Table1!A28</f>
        <v>Nordhaus 2008</v>
      </c>
      <c r="B35">
        <f>Table1!C28</f>
        <v>3</v>
      </c>
      <c r="C35">
        <f>Table1!E28</f>
        <v>-2.5</v>
      </c>
      <c r="D35">
        <v>1</v>
      </c>
      <c r="G35">
        <f t="shared" si="1"/>
        <v>-2.0412792303701091</v>
      </c>
      <c r="H35">
        <f t="shared" si="2"/>
        <v>0.21042474448983947</v>
      </c>
      <c r="I35">
        <f t="shared" si="3"/>
        <v>-2.1142591995453985</v>
      </c>
      <c r="J35">
        <f t="shared" si="4"/>
        <v>0.14879596513535667</v>
      </c>
      <c r="K35">
        <f t="shared" si="5"/>
        <v>-1.981905320493514</v>
      </c>
      <c r="L35">
        <f t="shared" si="6"/>
        <v>0.26842209693292846</v>
      </c>
      <c r="M35">
        <f t="shared" si="7"/>
        <v>-1.4883388470593932</v>
      </c>
      <c r="N35">
        <f t="shared" si="8"/>
        <v>1.0234582883691177</v>
      </c>
      <c r="O35" s="24">
        <f t="shared" si="9"/>
        <v>-1.5081936504630589</v>
      </c>
      <c r="P35">
        <f t="shared" si="10"/>
        <v>0.98367983498179301</v>
      </c>
      <c r="Q35">
        <f t="shared" si="11"/>
        <v>-2.0701548438794002</v>
      </c>
      <c r="R35">
        <f t="shared" si="12"/>
        <v>0.18476685824034284</v>
      </c>
      <c r="S35">
        <f t="shared" si="13"/>
        <v>-1.7429041672664558</v>
      </c>
      <c r="T35">
        <f t="shared" si="14"/>
        <v>0.5731940999424987</v>
      </c>
      <c r="U35">
        <f t="shared" si="17"/>
        <v>-1.8441354857524597</v>
      </c>
      <c r="V35">
        <f t="shared" si="15"/>
        <v>0.43015826104916205</v>
      </c>
      <c r="W35" s="33">
        <f t="shared" si="18"/>
        <v>-1.8519628715400804</v>
      </c>
      <c r="X35">
        <f t="shared" si="16"/>
        <v>0.4199521198625783</v>
      </c>
    </row>
    <row r="36" spans="1:51" x14ac:dyDescent="0.35">
      <c r="A36" t="str">
        <f>Table1!A29</f>
        <v>Maddison and Rehdanz 2011</v>
      </c>
      <c r="B36">
        <f>Table1!C29</f>
        <v>3.2</v>
      </c>
      <c r="C36">
        <f>Table1!E29</f>
        <v>-5.1135252093739076</v>
      </c>
      <c r="D36">
        <v>0</v>
      </c>
      <c r="G36">
        <f t="shared" si="1"/>
        <v>-2.3700976389970889</v>
      </c>
      <c r="H36">
        <f t="shared" si="2"/>
        <v>0</v>
      </c>
      <c r="I36">
        <f t="shared" si="3"/>
        <v>-2.4221987703145</v>
      </c>
      <c r="J36">
        <f t="shared" si="4"/>
        <v>0</v>
      </c>
      <c r="K36">
        <f t="shared" si="5"/>
        <v>-2.2549678313170651</v>
      </c>
      <c r="L36">
        <f t="shared" si="6"/>
        <v>0</v>
      </c>
      <c r="M36">
        <f t="shared" si="7"/>
        <v>-0.93476488608626163</v>
      </c>
      <c r="N36">
        <f t="shared" si="8"/>
        <v>0</v>
      </c>
      <c r="O36" s="24">
        <f t="shared" si="9"/>
        <v>-1.0641995196619094</v>
      </c>
      <c r="P36">
        <f t="shared" si="10"/>
        <v>0</v>
      </c>
      <c r="Q36">
        <f t="shared" si="11"/>
        <v>-2.5525077744654636</v>
      </c>
      <c r="R36">
        <f t="shared" si="12"/>
        <v>0</v>
      </c>
      <c r="S36">
        <f t="shared" si="13"/>
        <v>-1.8590977784175529</v>
      </c>
      <c r="T36">
        <f t="shared" si="14"/>
        <v>0</v>
      </c>
      <c r="U36">
        <f t="shared" si="17"/>
        <v>-2.0439538719160328</v>
      </c>
      <c r="V36">
        <f t="shared" si="15"/>
        <v>0</v>
      </c>
      <c r="W36" s="33">
        <f t="shared" si="18"/>
        <v>-1.8526891748246048</v>
      </c>
      <c r="X36">
        <f t="shared" si="16"/>
        <v>0</v>
      </c>
    </row>
    <row r="37" spans="1:51" ht="15" thickBot="1" x14ac:dyDescent="0.4">
      <c r="A37" t="str">
        <f>Table1!A30</f>
        <v>Bosello et al.  2012</v>
      </c>
      <c r="B37">
        <f>Table1!C30</f>
        <v>1.92</v>
      </c>
      <c r="C37">
        <f>Table1!E30</f>
        <v>-0.5</v>
      </c>
      <c r="D37">
        <v>0</v>
      </c>
      <c r="G37">
        <f t="shared" si="1"/>
        <v>-0.68196337724540113</v>
      </c>
      <c r="H37">
        <f t="shared" si="2"/>
        <v>0</v>
      </c>
      <c r="I37">
        <f t="shared" si="3"/>
        <v>-0.45138551739225097</v>
      </c>
      <c r="J37">
        <f t="shared" si="4"/>
        <v>0</v>
      </c>
      <c r="K37">
        <f t="shared" si="5"/>
        <v>-0.81178841927414336</v>
      </c>
      <c r="L37">
        <f t="shared" si="6"/>
        <v>0</v>
      </c>
      <c r="M37">
        <f t="shared" si="7"/>
        <v>-1.2497426252544708</v>
      </c>
      <c r="N37">
        <f t="shared" si="8"/>
        <v>0</v>
      </c>
      <c r="O37" s="24">
        <f t="shared" si="9"/>
        <v>-1.2807514962358768</v>
      </c>
      <c r="P37">
        <f t="shared" si="10"/>
        <v>0</v>
      </c>
      <c r="Q37">
        <f t="shared" si="11"/>
        <v>-0.63138309494362521</v>
      </c>
      <c r="R37">
        <f t="shared" si="12"/>
        <v>0</v>
      </c>
      <c r="S37">
        <f t="shared" si="13"/>
        <v>-1.1154586670505318</v>
      </c>
      <c r="T37">
        <f t="shared" si="14"/>
        <v>0</v>
      </c>
      <c r="U37">
        <f t="shared" si="17"/>
        <v>-0.99505514571881126</v>
      </c>
      <c r="V37">
        <f t="shared" si="15"/>
        <v>0</v>
      </c>
      <c r="W37" s="33">
        <f t="shared" si="18"/>
        <v>-0.83079007114932857</v>
      </c>
      <c r="X37">
        <f t="shared" si="16"/>
        <v>0</v>
      </c>
      <c r="AQ37" s="2"/>
      <c r="AR37" s="2"/>
      <c r="AS37" s="2"/>
      <c r="AT37" s="2"/>
      <c r="AU37" s="2"/>
      <c r="AV37" s="2"/>
    </row>
    <row r="38" spans="1:51" ht="15" thickBot="1" x14ac:dyDescent="0.4">
      <c r="A38" t="str">
        <f>Table1!A31</f>
        <v>Roson and van der Mensbrugghe 2012</v>
      </c>
      <c r="B38">
        <f>Table1!C31</f>
        <v>2.9099999999999997</v>
      </c>
      <c r="C38">
        <f>Table1!E31</f>
        <v>-1.8</v>
      </c>
      <c r="D38">
        <v>0</v>
      </c>
      <c r="G38">
        <f t="shared" si="1"/>
        <v>-1.9011708443072182</v>
      </c>
      <c r="H38">
        <f t="shared" si="2"/>
        <v>0</v>
      </c>
      <c r="I38">
        <f t="shared" si="3"/>
        <v>-1.9756863926993022</v>
      </c>
      <c r="J38">
        <f t="shared" si="4"/>
        <v>0</v>
      </c>
      <c r="K38">
        <f t="shared" si="5"/>
        <v>-1.8647747160523469</v>
      </c>
      <c r="L38">
        <f t="shared" si="6"/>
        <v>0</v>
      </c>
      <c r="M38">
        <f t="shared" si="7"/>
        <v>-1.6330865961379011</v>
      </c>
      <c r="N38">
        <f t="shared" si="8"/>
        <v>0</v>
      </c>
      <c r="O38" s="24">
        <f t="shared" si="9"/>
        <v>-1.6289738974507009</v>
      </c>
      <c r="P38">
        <f t="shared" si="10"/>
        <v>0</v>
      </c>
      <c r="Q38">
        <f t="shared" si="11"/>
        <v>-1.8826434263998655</v>
      </c>
      <c r="R38">
        <f t="shared" si="12"/>
        <v>0</v>
      </c>
      <c r="S38">
        <f t="shared" si="13"/>
        <v>-1.6906170422484619</v>
      </c>
      <c r="T38">
        <f t="shared" si="14"/>
        <v>0</v>
      </c>
      <c r="U38">
        <f t="shared" si="17"/>
        <v>-1.759346960157016</v>
      </c>
      <c r="V38">
        <f t="shared" si="15"/>
        <v>0</v>
      </c>
      <c r="W38" s="33">
        <f t="shared" si="18"/>
        <v>-1.8189107967532798</v>
      </c>
      <c r="X38">
        <f t="shared" si="16"/>
        <v>0</v>
      </c>
    </row>
    <row r="39" spans="1:51" x14ac:dyDescent="0.35">
      <c r="A39">
        <f>Table1!A32</f>
        <v>0</v>
      </c>
      <c r="B39">
        <f>Table1!C32</f>
        <v>5.4</v>
      </c>
      <c r="C39">
        <f>Table1!E32</f>
        <v>-4.5999999999999996</v>
      </c>
      <c r="D39">
        <v>0</v>
      </c>
      <c r="G39">
        <f t="shared" si="1"/>
        <v>-7.5771484283628769</v>
      </c>
      <c r="H39">
        <f t="shared" si="2"/>
        <v>0</v>
      </c>
      <c r="I39">
        <f t="shared" si="3"/>
        <v>-5.8095340487746148</v>
      </c>
      <c r="J39">
        <f t="shared" si="4"/>
        <v>0</v>
      </c>
      <c r="K39">
        <f t="shared" si="5"/>
        <v>-6.4213732383989859</v>
      </c>
      <c r="L39">
        <f t="shared" si="6"/>
        <v>0</v>
      </c>
      <c r="M39">
        <f t="shared" si="7"/>
        <v>96.691460445929465</v>
      </c>
      <c r="N39">
        <f t="shared" si="8"/>
        <v>0</v>
      </c>
      <c r="O39" s="24">
        <f t="shared" si="9"/>
        <v>54.963871883194599</v>
      </c>
      <c r="P39">
        <f t="shared" si="10"/>
        <v>0</v>
      </c>
      <c r="Q39">
        <f t="shared" si="11"/>
        <v>-23.906867905447957</v>
      </c>
      <c r="R39">
        <f t="shared" si="12"/>
        <v>0</v>
      </c>
      <c r="S39">
        <f t="shared" si="13"/>
        <v>-3.1372275010796207</v>
      </c>
      <c r="T39">
        <f t="shared" si="14"/>
        <v>0</v>
      </c>
      <c r="U39">
        <f t="shared" si="17"/>
        <v>-5.8630816902488698</v>
      </c>
      <c r="V39">
        <f t="shared" si="15"/>
        <v>0</v>
      </c>
      <c r="W39" s="33">
        <f t="shared" si="18"/>
        <v>24.503717749924412</v>
      </c>
      <c r="X39">
        <f t="shared" si="16"/>
        <v>0</v>
      </c>
      <c r="AQ39" s="3"/>
      <c r="AR39" s="3"/>
      <c r="AS39" s="3"/>
      <c r="AT39" s="3"/>
      <c r="AU39" s="3"/>
      <c r="AV39" s="3"/>
      <c r="AW39" s="3"/>
      <c r="AX39" s="3"/>
      <c r="AY39" s="3"/>
    </row>
    <row r="40" spans="1:51" x14ac:dyDescent="0.35">
      <c r="A40" t="str">
        <f>Table1!A33</f>
        <v>Nordhaus 2013</v>
      </c>
      <c r="B40">
        <f>Table1!C33</f>
        <v>2.9</v>
      </c>
      <c r="C40">
        <f>Table1!E33</f>
        <v>-2</v>
      </c>
      <c r="D40">
        <v>1</v>
      </c>
      <c r="G40">
        <f t="shared" si="1"/>
        <v>-1.8859043913661024</v>
      </c>
      <c r="H40">
        <f t="shared" si="2"/>
        <v>1.3017807909539519E-2</v>
      </c>
      <c r="I40">
        <f t="shared" si="3"/>
        <v>-1.9602894141608476</v>
      </c>
      <c r="J40">
        <f t="shared" si="4"/>
        <v>1.5769306276886938E-3</v>
      </c>
      <c r="K40">
        <f t="shared" si="5"/>
        <v>-1.8519804161500504</v>
      </c>
      <c r="L40">
        <f t="shared" si="6"/>
        <v>2.1909797203112268E-2</v>
      </c>
      <c r="M40">
        <f t="shared" si="7"/>
        <v>-1.6458556526474246</v>
      </c>
      <c r="N40">
        <f t="shared" si="8"/>
        <v>0.12541821876178158</v>
      </c>
      <c r="O40" s="24">
        <f t="shared" si="9"/>
        <v>-1.6398001620037985</v>
      </c>
      <c r="P40">
        <f t="shared" si="10"/>
        <v>0.12974392329248979</v>
      </c>
      <c r="Q40">
        <f t="shared" si="11"/>
        <v>-1.8628315445947348</v>
      </c>
      <c r="R40">
        <f t="shared" si="12"/>
        <v>1.8815185158266239E-2</v>
      </c>
      <c r="S40">
        <f t="shared" si="13"/>
        <v>-1.6848073616909072</v>
      </c>
      <c r="T40">
        <f t="shared" si="14"/>
        <v>9.9346399244246611E-2</v>
      </c>
      <c r="U40">
        <f t="shared" si="17"/>
        <v>-1.750112515783282</v>
      </c>
      <c r="V40">
        <f t="shared" si="15"/>
        <v>6.2443754768160498E-2</v>
      </c>
      <c r="W40" s="33">
        <f t="shared" si="18"/>
        <v>-1.8141924502345907</v>
      </c>
      <c r="X40">
        <f t="shared" si="16"/>
        <v>3.4524445549825034E-2</v>
      </c>
    </row>
    <row r="41" spans="1:51" ht="15" thickBot="1" x14ac:dyDescent="0.4">
      <c r="A41" t="str">
        <f>Table1!A34</f>
        <v>Sartori and Roson 2016</v>
      </c>
      <c r="B41">
        <f>Table1!C34</f>
        <v>3</v>
      </c>
      <c r="C41">
        <f>Table1!E34</f>
        <v>-0.71756668095998166</v>
      </c>
      <c r="D41">
        <v>0</v>
      </c>
      <c r="G41">
        <f t="shared" si="1"/>
        <v>-2.0412792303701091</v>
      </c>
      <c r="H41">
        <f t="shared" si="2"/>
        <v>0</v>
      </c>
      <c r="I41">
        <f t="shared" si="3"/>
        <v>-2.1142591995453985</v>
      </c>
      <c r="J41">
        <f t="shared" si="4"/>
        <v>0</v>
      </c>
      <c r="K41">
        <f t="shared" si="5"/>
        <v>-1.981905320493514</v>
      </c>
      <c r="L41">
        <f t="shared" si="6"/>
        <v>0</v>
      </c>
      <c r="M41">
        <f t="shared" si="7"/>
        <v>-1.4883388470593932</v>
      </c>
      <c r="N41">
        <f t="shared" si="8"/>
        <v>0</v>
      </c>
      <c r="O41" s="24">
        <f t="shared" si="9"/>
        <v>-1.5081936504630589</v>
      </c>
      <c r="P41">
        <f t="shared" si="10"/>
        <v>0</v>
      </c>
      <c r="Q41">
        <f t="shared" si="11"/>
        <v>-2.0701548438794002</v>
      </c>
      <c r="R41">
        <f t="shared" si="12"/>
        <v>0</v>
      </c>
      <c r="S41">
        <f t="shared" si="13"/>
        <v>-1.7429041672664558</v>
      </c>
      <c r="T41">
        <f t="shared" si="14"/>
        <v>0</v>
      </c>
      <c r="U41">
        <f t="shared" si="17"/>
        <v>-1.8441354857524597</v>
      </c>
      <c r="V41">
        <f t="shared" si="15"/>
        <v>0</v>
      </c>
      <c r="W41" s="33">
        <f t="shared" si="18"/>
        <v>-1.8519628715400804</v>
      </c>
      <c r="X41">
        <f t="shared" si="16"/>
        <v>0</v>
      </c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35">
      <c r="A42" t="str">
        <f>Table1!A35</f>
        <v>Kompas et al. 2018</v>
      </c>
      <c r="B42">
        <f>Table1!C35</f>
        <v>1</v>
      </c>
      <c r="C42">
        <f>Table1!E35</f>
        <v>-0.4658664448796927</v>
      </c>
      <c r="D42">
        <v>0</v>
      </c>
      <c r="G42">
        <f t="shared" si="1"/>
        <v>-7.8135389491166052E-2</v>
      </c>
      <c r="H42">
        <f t="shared" si="2"/>
        <v>0</v>
      </c>
      <c r="I42">
        <f t="shared" si="3"/>
        <v>0.96513650814561536</v>
      </c>
      <c r="J42">
        <f t="shared" si="4"/>
        <v>0</v>
      </c>
      <c r="K42">
        <f t="shared" si="5"/>
        <v>-0.22021170227705711</v>
      </c>
      <c r="L42">
        <f t="shared" si="6"/>
        <v>0</v>
      </c>
      <c r="M42">
        <f t="shared" si="7"/>
        <v>-0.3591014529385898</v>
      </c>
      <c r="N42">
        <f t="shared" si="8"/>
        <v>0</v>
      </c>
      <c r="O42" s="24">
        <f t="shared" si="9"/>
        <v>-0.38101459467891025</v>
      </c>
      <c r="P42">
        <f t="shared" si="10"/>
        <v>0</v>
      </c>
      <c r="Q42">
        <f t="shared" si="11"/>
        <v>-0.18637722714590185</v>
      </c>
      <c r="R42">
        <f t="shared" si="12"/>
        <v>0</v>
      </c>
      <c r="S42">
        <f t="shared" si="13"/>
        <v>-0.58096805575548527</v>
      </c>
      <c r="T42">
        <f t="shared" si="14"/>
        <v>0</v>
      </c>
      <c r="U42">
        <f t="shared" si="17"/>
        <v>-0.47332360681922747</v>
      </c>
      <c r="V42">
        <f t="shared" si="15"/>
        <v>0</v>
      </c>
      <c r="W42" s="33">
        <f t="shared" si="18"/>
        <v>0.21332443423374126</v>
      </c>
      <c r="X42">
        <f t="shared" si="16"/>
        <v>0</v>
      </c>
    </row>
    <row r="43" spans="1:51" x14ac:dyDescent="0.35">
      <c r="A43">
        <f>Table1!A36</f>
        <v>0</v>
      </c>
      <c r="B43">
        <f>Table1!C36</f>
        <v>2</v>
      </c>
      <c r="C43">
        <f>Table1!E36</f>
        <v>-1.0740738140966928</v>
      </c>
      <c r="D43">
        <v>0</v>
      </c>
      <c r="G43">
        <f t="shared" si="1"/>
        <v>-0.75856179961453574</v>
      </c>
      <c r="H43">
        <f t="shared" si="2"/>
        <v>0</v>
      </c>
      <c r="I43">
        <f t="shared" si="3"/>
        <v>-0.57456134569989126</v>
      </c>
      <c r="J43">
        <f t="shared" si="4"/>
        <v>0</v>
      </c>
      <c r="K43">
        <f t="shared" si="5"/>
        <v>-0.88084680910822843</v>
      </c>
      <c r="L43">
        <f t="shared" si="6"/>
        <v>0</v>
      </c>
      <c r="M43">
        <f t="shared" si="7"/>
        <v>-1.3371389593925129</v>
      </c>
      <c r="N43">
        <f t="shared" si="8"/>
        <v>0</v>
      </c>
      <c r="O43" s="24">
        <f t="shared" si="9"/>
        <v>-1.3639802369117131</v>
      </c>
      <c r="P43">
        <f t="shared" si="10"/>
        <v>0</v>
      </c>
      <c r="Q43">
        <f t="shared" si="11"/>
        <v>-0.69300305693519082</v>
      </c>
      <c r="R43">
        <f t="shared" si="12"/>
        <v>0</v>
      </c>
      <c r="S43">
        <f t="shared" si="13"/>
        <v>-1.1619361115109705</v>
      </c>
      <c r="T43">
        <f t="shared" si="14"/>
        <v>0</v>
      </c>
      <c r="U43">
        <f t="shared" si="17"/>
        <v>-1.0473338036901345</v>
      </c>
      <c r="V43">
        <f t="shared" si="15"/>
        <v>0</v>
      </c>
      <c r="W43" s="33">
        <f t="shared" si="18"/>
        <v>-0.92782564177844473</v>
      </c>
      <c r="X43">
        <f t="shared" si="16"/>
        <v>0</v>
      </c>
    </row>
    <row r="44" spans="1:51" x14ac:dyDescent="0.35">
      <c r="A44">
        <f>Table1!A37</f>
        <v>0</v>
      </c>
      <c r="B44">
        <f>Table1!C37</f>
        <v>3</v>
      </c>
      <c r="C44">
        <f>Table1!E37</f>
        <v>-1.8369485050307706</v>
      </c>
      <c r="D44">
        <v>0</v>
      </c>
      <c r="G44">
        <f t="shared" si="1"/>
        <v>-2.0412792303701091</v>
      </c>
      <c r="H44">
        <f t="shared" si="2"/>
        <v>0</v>
      </c>
      <c r="I44">
        <f t="shared" si="3"/>
        <v>-2.1142591995453985</v>
      </c>
      <c r="J44">
        <f t="shared" si="4"/>
        <v>0</v>
      </c>
      <c r="K44">
        <f t="shared" si="5"/>
        <v>-1.981905320493514</v>
      </c>
      <c r="L44">
        <f t="shared" si="6"/>
        <v>0</v>
      </c>
      <c r="M44">
        <f t="shared" si="7"/>
        <v>-1.4883388470593932</v>
      </c>
      <c r="N44">
        <f t="shared" si="8"/>
        <v>0</v>
      </c>
      <c r="O44" s="24">
        <f t="shared" si="9"/>
        <v>-1.5081936504630589</v>
      </c>
      <c r="P44">
        <f t="shared" si="10"/>
        <v>0</v>
      </c>
      <c r="Q44">
        <f t="shared" si="11"/>
        <v>-2.0701548438794002</v>
      </c>
      <c r="R44">
        <f t="shared" si="12"/>
        <v>0</v>
      </c>
      <c r="S44">
        <f t="shared" si="13"/>
        <v>-1.7429041672664558</v>
      </c>
      <c r="T44">
        <f t="shared" si="14"/>
        <v>0</v>
      </c>
      <c r="U44">
        <f t="shared" si="17"/>
        <v>-1.8441354857524597</v>
      </c>
      <c r="V44">
        <f t="shared" si="15"/>
        <v>0</v>
      </c>
      <c r="W44" s="33">
        <f t="shared" si="18"/>
        <v>-1.8519628715400804</v>
      </c>
      <c r="X44">
        <f t="shared" si="16"/>
        <v>0</v>
      </c>
    </row>
    <row r="45" spans="1:51" x14ac:dyDescent="0.35">
      <c r="A45">
        <f>Table1!A38</f>
        <v>0</v>
      </c>
      <c r="B45">
        <f>Table1!C38</f>
        <v>4</v>
      </c>
      <c r="C45">
        <f>Table1!E38</f>
        <v>-2.7931051587285425</v>
      </c>
      <c r="D45">
        <v>0</v>
      </c>
      <c r="G45">
        <f t="shared" si="1"/>
        <v>-3.926287681757886</v>
      </c>
      <c r="H45">
        <f t="shared" si="2"/>
        <v>0</v>
      </c>
      <c r="I45">
        <f t="shared" si="3"/>
        <v>-3.6539570533909052</v>
      </c>
      <c r="J45">
        <f t="shared" si="4"/>
        <v>0</v>
      </c>
      <c r="K45">
        <f t="shared" si="5"/>
        <v>-3.5233872364329137</v>
      </c>
      <c r="L45">
        <f t="shared" si="6"/>
        <v>0</v>
      </c>
      <c r="M45">
        <f t="shared" si="7"/>
        <v>7.3576012647462878</v>
      </c>
      <c r="N45">
        <f t="shared" si="8"/>
        <v>0</v>
      </c>
      <c r="O45" s="24">
        <f t="shared" si="9"/>
        <v>4.7890801278045245</v>
      </c>
      <c r="P45">
        <f t="shared" si="10"/>
        <v>0</v>
      </c>
      <c r="Q45">
        <f t="shared" si="11"/>
        <v>-5.813641521359747</v>
      </c>
      <c r="R45">
        <f t="shared" si="12"/>
        <v>0</v>
      </c>
      <c r="S45">
        <f t="shared" si="13"/>
        <v>-2.3238722230219411</v>
      </c>
      <c r="T45">
        <f t="shared" si="14"/>
        <v>0</v>
      </c>
      <c r="U45">
        <f t="shared" si="17"/>
        <v>-3.0332263141379432</v>
      </c>
      <c r="V45">
        <f t="shared" si="15"/>
        <v>0</v>
      </c>
      <c r="W45" s="33">
        <f t="shared" si="18"/>
        <v>-6.9147161486944886E-3</v>
      </c>
      <c r="X45">
        <f t="shared" si="16"/>
        <v>0</v>
      </c>
    </row>
    <row r="46" spans="1:51" x14ac:dyDescent="0.35">
      <c r="A46" t="str">
        <f>Table1!A39</f>
        <v>Dellink et al. 2019</v>
      </c>
      <c r="B46">
        <f>Table1!C39</f>
        <v>2.5</v>
      </c>
      <c r="C46">
        <f>Table1!E39</f>
        <v>-2</v>
      </c>
      <c r="D46">
        <v>0</v>
      </c>
      <c r="G46">
        <f t="shared" si="1"/>
        <v>-1.3246341374132971</v>
      </c>
      <c r="H46">
        <f t="shared" si="2"/>
        <v>0</v>
      </c>
      <c r="I46">
        <f t="shared" si="3"/>
        <v>-1.3444102726226446</v>
      </c>
      <c r="J46">
        <f t="shared" si="4"/>
        <v>0</v>
      </c>
      <c r="K46">
        <f t="shared" si="5"/>
        <v>-1.3763231392316069</v>
      </c>
      <c r="L46">
        <f t="shared" si="6"/>
        <v>0</v>
      </c>
      <c r="M46">
        <f t="shared" si="7"/>
        <v>-1.7607771404125716</v>
      </c>
      <c r="N46">
        <f t="shared" si="8"/>
        <v>0</v>
      </c>
      <c r="O46" s="24">
        <f t="shared" si="9"/>
        <v>-1.7466563967002722</v>
      </c>
      <c r="P46">
        <f t="shared" si="10"/>
        <v>0</v>
      </c>
      <c r="Q46">
        <f t="shared" si="11"/>
        <v>-1.2129338636146687</v>
      </c>
      <c r="R46">
        <f t="shared" si="12"/>
        <v>0</v>
      </c>
      <c r="S46">
        <f t="shared" si="13"/>
        <v>-1.4524201393887131</v>
      </c>
      <c r="T46">
        <f t="shared" si="14"/>
        <v>0</v>
      </c>
      <c r="U46">
        <f t="shared" si="17"/>
        <v>-1.4087604702785903</v>
      </c>
      <c r="V46">
        <f t="shared" si="15"/>
        <v>0</v>
      </c>
      <c r="W46" s="33">
        <f t="shared" si="18"/>
        <v>-1.4997475974411036</v>
      </c>
      <c r="X46">
        <f t="shared" si="16"/>
        <v>0</v>
      </c>
    </row>
    <row r="47" spans="1:51" x14ac:dyDescent="0.35">
      <c r="A47" t="str">
        <f>Table1!A40</f>
        <v>Takakura</v>
      </c>
      <c r="B47">
        <f>Table1!C40</f>
        <v>2</v>
      </c>
      <c r="C47">
        <f>Table1!E40</f>
        <v>-1.0517705037403</v>
      </c>
      <c r="D47">
        <v>0</v>
      </c>
      <c r="G47">
        <f t="shared" si="1"/>
        <v>-0.75856179961453574</v>
      </c>
      <c r="H47">
        <f t="shared" si="2"/>
        <v>0</v>
      </c>
      <c r="I47">
        <f t="shared" si="3"/>
        <v>-0.57456134569989126</v>
      </c>
      <c r="J47">
        <f t="shared" si="4"/>
        <v>0</v>
      </c>
      <c r="K47">
        <f t="shared" si="5"/>
        <v>-0.88084680910822843</v>
      </c>
      <c r="L47">
        <f t="shared" si="6"/>
        <v>0</v>
      </c>
      <c r="M47">
        <f t="shared" si="7"/>
        <v>-1.3371389593925129</v>
      </c>
      <c r="N47">
        <f t="shared" si="8"/>
        <v>0</v>
      </c>
      <c r="O47" s="24">
        <f t="shared" si="9"/>
        <v>-1.3639802369117131</v>
      </c>
      <c r="P47">
        <f t="shared" si="10"/>
        <v>0</v>
      </c>
      <c r="Q47">
        <f t="shared" si="11"/>
        <v>-0.69300305693519082</v>
      </c>
      <c r="R47">
        <f t="shared" si="12"/>
        <v>0</v>
      </c>
      <c r="S47">
        <f t="shared" si="13"/>
        <v>-1.1619361115109705</v>
      </c>
      <c r="T47">
        <f t="shared" si="14"/>
        <v>0</v>
      </c>
      <c r="U47">
        <f t="shared" si="17"/>
        <v>-1.0473338036901345</v>
      </c>
      <c r="V47">
        <f t="shared" si="15"/>
        <v>0</v>
      </c>
      <c r="W47" s="33">
        <f t="shared" si="18"/>
        <v>-0.92782564177844473</v>
      </c>
      <c r="X47">
        <f t="shared" si="16"/>
        <v>0</v>
      </c>
    </row>
    <row r="48" spans="1:51" x14ac:dyDescent="0.35">
      <c r="A48">
        <f>Table1!A41</f>
        <v>0</v>
      </c>
      <c r="B48">
        <f>Table1!C41</f>
        <v>4</v>
      </c>
      <c r="C48">
        <f>Table1!E41</f>
        <v>-4.6911160007283899</v>
      </c>
      <c r="D48">
        <v>0</v>
      </c>
      <c r="G48">
        <f t="shared" si="1"/>
        <v>-3.926287681757886</v>
      </c>
      <c r="H48">
        <f t="shared" si="2"/>
        <v>0</v>
      </c>
      <c r="I48">
        <f t="shared" si="3"/>
        <v>-3.6539570533909052</v>
      </c>
      <c r="J48">
        <f t="shared" si="4"/>
        <v>0</v>
      </c>
      <c r="K48">
        <f t="shared" si="5"/>
        <v>-3.5233872364329137</v>
      </c>
      <c r="L48">
        <f t="shared" si="6"/>
        <v>0</v>
      </c>
      <c r="M48">
        <f t="shared" si="7"/>
        <v>7.3576012647462878</v>
      </c>
      <c r="N48">
        <f t="shared" si="8"/>
        <v>0</v>
      </c>
      <c r="O48" s="24">
        <f t="shared" si="9"/>
        <v>4.7890801278045245</v>
      </c>
      <c r="P48">
        <f t="shared" si="10"/>
        <v>0</v>
      </c>
      <c r="Q48">
        <f t="shared" si="11"/>
        <v>-5.813641521359747</v>
      </c>
      <c r="R48">
        <f t="shared" si="12"/>
        <v>0</v>
      </c>
      <c r="S48">
        <f t="shared" si="13"/>
        <v>-2.3238722230219411</v>
      </c>
      <c r="T48">
        <f t="shared" si="14"/>
        <v>0</v>
      </c>
      <c r="U48">
        <f t="shared" si="17"/>
        <v>-3.0332263141379432</v>
      </c>
      <c r="V48">
        <f t="shared" si="15"/>
        <v>0</v>
      </c>
      <c r="W48" s="33">
        <f t="shared" si="18"/>
        <v>-6.9147161486944886E-3</v>
      </c>
      <c r="X48">
        <f t="shared" si="16"/>
        <v>0</v>
      </c>
    </row>
    <row r="49" spans="1:24" x14ac:dyDescent="0.35">
      <c r="A49">
        <f>Table1!A42</f>
        <v>0</v>
      </c>
      <c r="B49">
        <f>Table1!C42</f>
        <v>6</v>
      </c>
      <c r="C49">
        <f>Table1!E42</f>
        <v>-9.49637530496768</v>
      </c>
      <c r="D49">
        <v>0</v>
      </c>
      <c r="G49">
        <f t="shared" si="1"/>
        <v>-9.5031776464300499</v>
      </c>
      <c r="H49">
        <f t="shared" si="2"/>
        <v>0</v>
      </c>
      <c r="I49">
        <f t="shared" si="3"/>
        <v>-6.7333527610819184</v>
      </c>
      <c r="J49">
        <f t="shared" si="4"/>
        <v>0</v>
      </c>
      <c r="K49">
        <f t="shared" si="5"/>
        <v>-7.9276212819740559</v>
      </c>
      <c r="L49">
        <f t="shared" si="6"/>
        <v>0</v>
      </c>
      <c r="M49">
        <f t="shared" si="7"/>
        <v>211.14325072712052</v>
      </c>
      <c r="N49">
        <f t="shared" si="8"/>
        <v>0</v>
      </c>
      <c r="O49" s="24">
        <f t="shared" si="9"/>
        <v>110.66419077321112</v>
      </c>
      <c r="P49">
        <f t="shared" si="10"/>
        <v>0</v>
      </c>
      <c r="Q49">
        <f t="shared" si="11"/>
        <v>-43.650326397334901</v>
      </c>
      <c r="R49">
        <f t="shared" si="12"/>
        <v>0</v>
      </c>
      <c r="S49">
        <f t="shared" si="13"/>
        <v>-3.4858083345329116</v>
      </c>
      <c r="T49">
        <f t="shared" si="14"/>
        <v>0</v>
      </c>
      <c r="U49">
        <f t="shared" si="17"/>
        <v>-7.7373171264739709</v>
      </c>
      <c r="V49">
        <f t="shared" si="15"/>
        <v>0</v>
      </c>
      <c r="W49" s="33">
        <f t="shared" si="18"/>
        <v>55.608670755772515</v>
      </c>
      <c r="X49">
        <f t="shared" si="16"/>
        <v>0</v>
      </c>
    </row>
    <row r="50" spans="1:24" x14ac:dyDescent="0.35">
      <c r="A50" t="str">
        <f>Table1!A43</f>
        <v>Howard &amp; Sylvan 2020</v>
      </c>
      <c r="B50">
        <f>Table1!C43</f>
        <v>3</v>
      </c>
      <c r="C50">
        <f>Table1!E43</f>
        <v>-9.1999999999999993</v>
      </c>
      <c r="D50">
        <v>0</v>
      </c>
      <c r="G50">
        <f t="shared" si="1"/>
        <v>-2.0412792303701091</v>
      </c>
      <c r="H50">
        <f t="shared" si="2"/>
        <v>0</v>
      </c>
      <c r="I50">
        <f t="shared" si="3"/>
        <v>-2.1142591995453985</v>
      </c>
      <c r="J50">
        <f t="shared" si="4"/>
        <v>0</v>
      </c>
      <c r="K50">
        <f t="shared" si="5"/>
        <v>-1.981905320493514</v>
      </c>
      <c r="L50">
        <f t="shared" si="6"/>
        <v>0</v>
      </c>
      <c r="M50">
        <f t="shared" si="7"/>
        <v>-1.4883388470593932</v>
      </c>
      <c r="N50">
        <f t="shared" si="8"/>
        <v>0</v>
      </c>
      <c r="O50" s="24">
        <f t="shared" si="9"/>
        <v>-1.5081936504630589</v>
      </c>
      <c r="P50">
        <f t="shared" si="10"/>
        <v>0</v>
      </c>
      <c r="Q50">
        <f t="shared" si="11"/>
        <v>-2.0701548438794002</v>
      </c>
      <c r="R50">
        <f t="shared" si="12"/>
        <v>0</v>
      </c>
      <c r="S50">
        <f t="shared" si="13"/>
        <v>-1.7429041672664558</v>
      </c>
      <c r="T50">
        <f t="shared" si="14"/>
        <v>0</v>
      </c>
      <c r="U50">
        <f t="shared" si="17"/>
        <v>-1.8441354857524597</v>
      </c>
      <c r="V50">
        <f t="shared" si="15"/>
        <v>0</v>
      </c>
      <c r="W50" s="33">
        <f t="shared" si="18"/>
        <v>-1.8519628715400804</v>
      </c>
      <c r="X50">
        <f t="shared" si="16"/>
        <v>0</v>
      </c>
    </row>
    <row r="51" spans="1:24" x14ac:dyDescent="0.35">
      <c r="A51" t="str">
        <f>Table1!A44</f>
        <v>Howard &amp; Sylvan 2021</v>
      </c>
      <c r="B51">
        <f>Table1!C44</f>
        <v>1.2</v>
      </c>
      <c r="C51">
        <f>Table1!E44</f>
        <v>-2.2000000000000002</v>
      </c>
      <c r="D51">
        <v>0</v>
      </c>
      <c r="G51">
        <f t="shared" si="1"/>
        <v>-0.16603738986526367</v>
      </c>
      <c r="H51">
        <f t="shared" si="2"/>
        <v>0</v>
      </c>
      <c r="I51">
        <f t="shared" si="3"/>
        <v>0.65719693737651408</v>
      </c>
      <c r="J51">
        <f t="shared" si="4"/>
        <v>0</v>
      </c>
      <c r="K51">
        <f t="shared" si="5"/>
        <v>-0.31710485127896221</v>
      </c>
      <c r="L51">
        <f t="shared" si="6"/>
        <v>0</v>
      </c>
      <c r="M51">
        <f t="shared" si="7"/>
        <v>-0.51539039213432458</v>
      </c>
      <c r="N51">
        <f t="shared" si="8"/>
        <v>0</v>
      </c>
      <c r="O51" s="24">
        <f t="shared" si="9"/>
        <v>-0.54453637890465389</v>
      </c>
      <c r="P51">
        <f t="shared" si="10"/>
        <v>0</v>
      </c>
      <c r="Q51">
        <f t="shared" si="11"/>
        <v>-0.25165659762677683</v>
      </c>
      <c r="R51">
        <f t="shared" si="12"/>
        <v>0</v>
      </c>
      <c r="S51">
        <f t="shared" si="13"/>
        <v>-0.69716166690658232</v>
      </c>
      <c r="T51">
        <f t="shared" si="14"/>
        <v>0</v>
      </c>
      <c r="U51">
        <f t="shared" si="17"/>
        <v>-0.57661634992720978</v>
      </c>
      <c r="V51">
        <f t="shared" si="15"/>
        <v>0</v>
      </c>
      <c r="W51" s="33">
        <f t="shared" si="18"/>
        <v>5.1829926663102925E-3</v>
      </c>
      <c r="X51">
        <f t="shared" si="16"/>
        <v>0</v>
      </c>
    </row>
    <row r="52" spans="1:24" x14ac:dyDescent="0.35">
      <c r="A52">
        <f>Table1!A45</f>
        <v>0</v>
      </c>
      <c r="B52">
        <f>Table1!C45</f>
        <v>3</v>
      </c>
      <c r="C52">
        <f>Table1!E45</f>
        <v>-8.5</v>
      </c>
      <c r="D52">
        <v>0</v>
      </c>
      <c r="G52">
        <f t="shared" si="1"/>
        <v>-2.0412792303701091</v>
      </c>
      <c r="H52">
        <f t="shared" si="2"/>
        <v>0</v>
      </c>
      <c r="I52">
        <f t="shared" si="3"/>
        <v>-2.1142591995453985</v>
      </c>
      <c r="J52">
        <f t="shared" si="4"/>
        <v>0</v>
      </c>
      <c r="K52">
        <f t="shared" si="5"/>
        <v>-1.981905320493514</v>
      </c>
      <c r="L52">
        <f t="shared" si="6"/>
        <v>0</v>
      </c>
      <c r="M52">
        <f t="shared" si="7"/>
        <v>-1.4883388470593932</v>
      </c>
      <c r="N52">
        <f t="shared" si="8"/>
        <v>0</v>
      </c>
      <c r="O52" s="24">
        <f t="shared" si="9"/>
        <v>-1.5081936504630589</v>
      </c>
      <c r="P52">
        <f t="shared" si="10"/>
        <v>0</v>
      </c>
      <c r="Q52">
        <f t="shared" si="11"/>
        <v>-2.0701548438794002</v>
      </c>
      <c r="R52">
        <f t="shared" si="12"/>
        <v>0</v>
      </c>
      <c r="S52">
        <f t="shared" si="13"/>
        <v>-1.7429041672664558</v>
      </c>
      <c r="T52">
        <f t="shared" si="14"/>
        <v>0</v>
      </c>
      <c r="U52">
        <f t="shared" si="17"/>
        <v>-1.8441354857524597</v>
      </c>
      <c r="V52">
        <f t="shared" si="15"/>
        <v>0</v>
      </c>
      <c r="W52" s="33">
        <f t="shared" si="18"/>
        <v>-1.8519628715400804</v>
      </c>
      <c r="X52">
        <f t="shared" si="16"/>
        <v>0</v>
      </c>
    </row>
    <row r="53" spans="1:24" x14ac:dyDescent="0.35">
      <c r="A53">
        <f>Table1!A46</f>
        <v>0</v>
      </c>
      <c r="B53">
        <f>Table1!C46</f>
        <v>5</v>
      </c>
      <c r="C53">
        <f>Table1!E46</f>
        <v>-16.100000000000001</v>
      </c>
      <c r="D53">
        <v>0</v>
      </c>
      <c r="G53">
        <f t="shared" si="1"/>
        <v>-6.4135871537778666</v>
      </c>
      <c r="H53">
        <f t="shared" si="2"/>
        <v>0</v>
      </c>
      <c r="I53">
        <f t="shared" si="3"/>
        <v>-5.1936549072364118</v>
      </c>
      <c r="J53">
        <f t="shared" si="4"/>
        <v>0</v>
      </c>
      <c r="K53">
        <f t="shared" si="5"/>
        <v>-5.5052925569264275</v>
      </c>
      <c r="L53">
        <f t="shared" si="6"/>
        <v>0</v>
      </c>
      <c r="M53">
        <f t="shared" si="7"/>
        <v>53.544569881859481</v>
      </c>
      <c r="N53">
        <f t="shared" si="8"/>
        <v>0</v>
      </c>
      <c r="O53" s="24">
        <f t="shared" si="9"/>
        <v>32.094952002048466</v>
      </c>
      <c r="P53">
        <f t="shared" si="10"/>
        <v>0</v>
      </c>
      <c r="Q53">
        <f t="shared" si="11"/>
        <v>-15.989493331833099</v>
      </c>
      <c r="R53">
        <f t="shared" si="12"/>
        <v>0</v>
      </c>
      <c r="S53">
        <f t="shared" si="13"/>
        <v>-2.9048402787774261</v>
      </c>
      <c r="T53">
        <f t="shared" si="14"/>
        <v>0</v>
      </c>
      <c r="U53">
        <f t="shared" si="17"/>
        <v>-4.8675526854491666</v>
      </c>
      <c r="V53">
        <f t="shared" si="15"/>
        <v>0</v>
      </c>
      <c r="W53" s="33">
        <f t="shared" si="18"/>
        <v>12.627462181925607</v>
      </c>
      <c r="X53">
        <f t="shared" si="16"/>
        <v>0</v>
      </c>
    </row>
    <row r="54" spans="1:24" x14ac:dyDescent="0.35">
      <c r="A54">
        <f>Table1!A47</f>
        <v>0</v>
      </c>
      <c r="B54">
        <f>Table1!C47</f>
        <v>7</v>
      </c>
      <c r="C54">
        <f>Table1!E47</f>
        <v>-25</v>
      </c>
      <c r="D54">
        <v>0</v>
      </c>
      <c r="G54">
        <f t="shared" si="1"/>
        <v>-13.19505915971444</v>
      </c>
      <c r="H54">
        <f t="shared" si="2"/>
        <v>0</v>
      </c>
      <c r="I54">
        <f t="shared" si="3"/>
        <v>-8.2730506149274259</v>
      </c>
      <c r="J54">
        <f t="shared" si="4"/>
        <v>0</v>
      </c>
      <c r="K54">
        <f t="shared" si="5"/>
        <v>-10.790373411575798</v>
      </c>
      <c r="L54">
        <f t="shared" si="6"/>
        <v>0</v>
      </c>
      <c r="M54">
        <f t="shared" si="7"/>
        <v>641.64320073235058</v>
      </c>
      <c r="N54">
        <f t="shared" si="8"/>
        <v>0</v>
      </c>
      <c r="O54" s="24">
        <f t="shared" si="9"/>
        <v>295.08344279643183</v>
      </c>
      <c r="P54">
        <f t="shared" si="10"/>
        <v>0</v>
      </c>
      <c r="Q54">
        <f t="shared" si="11"/>
        <v>-118.84026627932752</v>
      </c>
      <c r="R54">
        <f t="shared" si="12"/>
        <v>0</v>
      </c>
      <c r="S54">
        <f t="shared" si="13"/>
        <v>-4.0667763902883971</v>
      </c>
      <c r="T54">
        <f t="shared" si="14"/>
        <v>0</v>
      </c>
      <c r="U54">
        <f t="shared" si="17"/>
        <v>-12.252983158692086</v>
      </c>
      <c r="V54">
        <f t="shared" si="15"/>
        <v>0</v>
      </c>
      <c r="W54" s="33">
        <f t="shared" si="18"/>
        <v>169.39796196473566</v>
      </c>
      <c r="X54">
        <f t="shared" si="16"/>
        <v>0</v>
      </c>
    </row>
    <row r="55" spans="1:24" x14ac:dyDescent="0.35">
      <c r="A55" t="str">
        <f>Table1!A48</f>
        <v>Conte et al. 2021</v>
      </c>
      <c r="B55">
        <f>Table1!C48</f>
        <v>3.7</v>
      </c>
      <c r="C55">
        <f>Table1!E48</f>
        <v>-3.7</v>
      </c>
      <c r="D55">
        <v>0</v>
      </c>
      <c r="G55">
        <f t="shared" si="1"/>
        <v>-3.297544589175172</v>
      </c>
      <c r="H55">
        <f t="shared" si="2"/>
        <v>0</v>
      </c>
      <c r="I55">
        <f t="shared" si="3"/>
        <v>-3.1920476972372533</v>
      </c>
      <c r="J55">
        <f t="shared" si="4"/>
        <v>0</v>
      </c>
      <c r="K55">
        <f t="shared" si="5"/>
        <v>-3.014698204172912</v>
      </c>
      <c r="L55">
        <f t="shared" si="6"/>
        <v>0</v>
      </c>
      <c r="M55">
        <f t="shared" si="7"/>
        <v>2.6726099800014449</v>
      </c>
      <c r="N55">
        <f t="shared" si="8"/>
        <v>0</v>
      </c>
      <c r="O55" s="24">
        <f t="shared" si="9"/>
        <v>1.5926643016571971</v>
      </c>
      <c r="P55">
        <f t="shared" si="10"/>
        <v>0</v>
      </c>
      <c r="Q55">
        <f t="shared" si="11"/>
        <v>-4.2787388443740628</v>
      </c>
      <c r="R55">
        <f t="shared" si="12"/>
        <v>0</v>
      </c>
      <c r="S55">
        <f t="shared" si="13"/>
        <v>-2.1495818062952954</v>
      </c>
      <c r="T55">
        <f t="shared" si="14"/>
        <v>0</v>
      </c>
      <c r="U55">
        <f t="shared" si="17"/>
        <v>-2.6223428859357458</v>
      </c>
      <c r="V55">
        <f t="shared" si="15"/>
        <v>0</v>
      </c>
      <c r="W55" s="33">
        <f t="shared" si="18"/>
        <v>-1.171319990693805</v>
      </c>
      <c r="X55">
        <f t="shared" si="16"/>
        <v>0</v>
      </c>
    </row>
    <row r="56" spans="1:24" x14ac:dyDescent="0.35">
      <c r="A56" t="str">
        <f>Table1!A49</f>
        <v>Desmet and Rossi-Hansberg 2015</v>
      </c>
      <c r="B56">
        <f>Table1!C49</f>
        <v>4.6487373814138984</v>
      </c>
      <c r="C56">
        <f>Table1!E49</f>
        <v>5.1295273109904338</v>
      </c>
      <c r="D56">
        <v>0</v>
      </c>
      <c r="G56">
        <f t="shared" si="1"/>
        <v>-5.4712676349437412</v>
      </c>
      <c r="H56">
        <f t="shared" si="2"/>
        <v>0</v>
      </c>
      <c r="I56">
        <f t="shared" si="3"/>
        <v>-4.6528166072632384</v>
      </c>
      <c r="J56">
        <f t="shared" si="4"/>
        <v>0</v>
      </c>
      <c r="K56">
        <f t="shared" si="5"/>
        <v>-4.7589420800384161</v>
      </c>
      <c r="L56">
        <f t="shared" si="6"/>
        <v>0</v>
      </c>
      <c r="M56">
        <f t="shared" si="7"/>
        <v>29.782423720343711</v>
      </c>
      <c r="N56">
        <f t="shared" si="8"/>
        <v>0</v>
      </c>
      <c r="O56" s="24">
        <f t="shared" si="9"/>
        <v>18.635507595742283</v>
      </c>
      <c r="P56">
        <f t="shared" si="10"/>
        <v>0</v>
      </c>
      <c r="Q56">
        <f t="shared" si="11"/>
        <v>-11.22125969558105</v>
      </c>
      <c r="R56">
        <f t="shared" si="12"/>
        <v>0</v>
      </c>
      <c r="S56">
        <f t="shared" si="13"/>
        <v>-2.7007679181978781</v>
      </c>
      <c r="T56">
        <f t="shared" si="14"/>
        <v>0</v>
      </c>
      <c r="U56">
        <f t="shared" si="17"/>
        <v>-4.1289437760924006</v>
      </c>
      <c r="V56">
        <f t="shared" si="15"/>
        <v>0</v>
      </c>
      <c r="W56" s="33">
        <f t="shared" si="18"/>
        <v>6.0686842397318568</v>
      </c>
      <c r="X56">
        <f t="shared" si="16"/>
        <v>0</v>
      </c>
    </row>
    <row r="57" spans="1:24" x14ac:dyDescent="0.35">
      <c r="A57">
        <f>Table1!A50</f>
        <v>0</v>
      </c>
      <c r="B57">
        <f>Table1!C50</f>
        <v>9.2982230505350998</v>
      </c>
      <c r="C57">
        <f>Table1!E50</f>
        <v>-4.8593007850505128</v>
      </c>
      <c r="D57">
        <v>0</v>
      </c>
      <c r="G57">
        <f t="shared" si="1"/>
        <v>-23.962525053590948</v>
      </c>
      <c r="H57">
        <f t="shared" si="2"/>
        <v>0</v>
      </c>
      <c r="I57">
        <f t="shared" si="3"/>
        <v>-11.811619713494593</v>
      </c>
      <c r="J57">
        <f t="shared" si="4"/>
        <v>0</v>
      </c>
      <c r="K57">
        <f t="shared" si="5"/>
        <v>-19.038832551034613</v>
      </c>
      <c r="L57">
        <f t="shared" si="6"/>
        <v>0</v>
      </c>
      <c r="M57">
        <f t="shared" si="7"/>
        <v>4779.2961046208848</v>
      </c>
      <c r="N57">
        <f t="shared" si="8"/>
        <v>0</v>
      </c>
      <c r="O57" s="24">
        <f t="shared" si="9"/>
        <v>1690.999801356638</v>
      </c>
      <c r="P57">
        <f t="shared" si="10"/>
        <v>0</v>
      </c>
      <c r="Q57">
        <f t="shared" si="11"/>
        <v>-1184.201573376226</v>
      </c>
      <c r="R57">
        <f t="shared" si="12"/>
        <v>0</v>
      </c>
      <c r="S57">
        <f t="shared" si="13"/>
        <v>-5.4019705676502143</v>
      </c>
      <c r="T57">
        <f t="shared" si="14"/>
        <v>0</v>
      </c>
      <c r="U57">
        <f t="shared" si="17"/>
        <v>-35.09411380925318</v>
      </c>
      <c r="V57">
        <f t="shared" si="15"/>
        <v>0</v>
      </c>
      <c r="W57" s="33">
        <f t="shared" si="18"/>
        <v>1195.2755988147737</v>
      </c>
      <c r="X57">
        <f t="shared" si="16"/>
        <v>0</v>
      </c>
    </row>
    <row r="58" spans="1:24" x14ac:dyDescent="0.35">
      <c r="A58">
        <f>Table1!A51</f>
        <v>0</v>
      </c>
      <c r="B58">
        <f>Table1!C51</f>
        <v>13.606208917250999</v>
      </c>
      <c r="C58">
        <f>Table1!E51</f>
        <v>-24.061208104792932</v>
      </c>
      <c r="D58">
        <v>0</v>
      </c>
      <c r="G58">
        <f t="shared" si="1"/>
        <v>-52.716421124287429</v>
      </c>
      <c r="H58">
        <f t="shared" si="2"/>
        <v>0</v>
      </c>
      <c r="I58">
        <f t="shared" si="3"/>
        <v>-18.444616306873836</v>
      </c>
      <c r="J58">
        <f t="shared" si="4"/>
        <v>0</v>
      </c>
      <c r="K58">
        <f t="shared" si="5"/>
        <v>-40.767554856119709</v>
      </c>
      <c r="L58">
        <f t="shared" si="6"/>
        <v>0</v>
      </c>
      <c r="M58">
        <f t="shared" si="7"/>
        <v>69043.62928737895</v>
      </c>
      <c r="N58">
        <f t="shared" si="8"/>
        <v>0</v>
      </c>
      <c r="O58" s="24">
        <f t="shared" si="9"/>
        <v>16856.889123714016</v>
      </c>
      <c r="P58">
        <f t="shared" si="10"/>
        <v>0</v>
      </c>
      <c r="Q58">
        <f t="shared" si="11"/>
        <v>-87983.121476634071</v>
      </c>
      <c r="R58">
        <f t="shared" si="12"/>
        <v>0</v>
      </c>
      <c r="S58">
        <f t="shared" si="13"/>
        <v>-7.9047727408582595</v>
      </c>
      <c r="T58">
        <f t="shared" si="14"/>
        <v>0</v>
      </c>
      <c r="U58">
        <f t="shared" si="17"/>
        <v>-251.62826327141633</v>
      </c>
      <c r="V58">
        <f t="shared" si="15"/>
        <v>0</v>
      </c>
      <c r="W58" s="33">
        <f t="shared" si="18"/>
        <v>14244.218305722472</v>
      </c>
      <c r="X58">
        <f t="shared" si="16"/>
        <v>0</v>
      </c>
    </row>
    <row r="59" spans="1:24" x14ac:dyDescent="0.35">
      <c r="A59">
        <f>Table1!A52</f>
        <v>0</v>
      </c>
      <c r="B59">
        <f>Table1!C52</f>
        <v>16.682700289727595</v>
      </c>
      <c r="C59">
        <f>Table1!E52</f>
        <v>-78.907648460775576</v>
      </c>
      <c r="D59">
        <v>0</v>
      </c>
      <c r="G59">
        <f t="shared" si="1"/>
        <v>-80.092145506964897</v>
      </c>
      <c r="H59">
        <f t="shared" si="2"/>
        <v>0</v>
      </c>
      <c r="I59">
        <f t="shared" si="3"/>
        <v>-23.181483470450271</v>
      </c>
      <c r="J59">
        <f t="shared" si="4"/>
        <v>0</v>
      </c>
      <c r="K59">
        <f t="shared" si="5"/>
        <v>-61.287666958158582</v>
      </c>
      <c r="L59">
        <f t="shared" si="6"/>
        <v>0</v>
      </c>
      <c r="M59">
        <f t="shared" si="7"/>
        <v>287803.37107055541</v>
      </c>
      <c r="N59">
        <f t="shared" si="8"/>
        <v>0</v>
      </c>
      <c r="O59" s="24">
        <f t="shared" si="9"/>
        <v>57407.917788917322</v>
      </c>
      <c r="P59">
        <f t="shared" si="10"/>
        <v>0</v>
      </c>
      <c r="Q59">
        <f t="shared" si="11"/>
        <v>-1907669.3552858152</v>
      </c>
      <c r="R59">
        <f t="shared" si="12"/>
        <v>0</v>
      </c>
      <c r="S59">
        <f t="shared" si="13"/>
        <v>-9.692115952074511</v>
      </c>
      <c r="T59">
        <f t="shared" si="14"/>
        <v>0</v>
      </c>
      <c r="U59">
        <f t="shared" si="17"/>
        <v>-1027.214950227682</v>
      </c>
      <c r="V59">
        <f t="shared" si="15"/>
        <v>0</v>
      </c>
      <c r="W59" s="33">
        <f t="shared" si="18"/>
        <v>18542.382110338698</v>
      </c>
      <c r="X59">
        <f t="shared" si="16"/>
        <v>0</v>
      </c>
    </row>
    <row r="60" spans="1:24" x14ac:dyDescent="0.35">
      <c r="A60" t="str">
        <f>Table1!A53</f>
        <v>Cruz and Rossi-Hansberg 2021</v>
      </c>
      <c r="B60">
        <f>Table1!C53</f>
        <v>7.2</v>
      </c>
      <c r="C60">
        <f>Table1!E53</f>
        <v>-5</v>
      </c>
      <c r="D60">
        <v>0</v>
      </c>
      <c r="G60">
        <f t="shared" si="1"/>
        <v>-14.005710384847182</v>
      </c>
      <c r="H60">
        <f t="shared" si="2"/>
        <v>0</v>
      </c>
      <c r="I60">
        <f t="shared" si="3"/>
        <v>-8.5809901856965283</v>
      </c>
      <c r="J60">
        <f t="shared" si="4"/>
        <v>0</v>
      </c>
      <c r="K60">
        <f t="shared" si="5"/>
        <v>-11.415774646042641</v>
      </c>
      <c r="L60">
        <f t="shared" si="6"/>
        <v>0</v>
      </c>
      <c r="M60">
        <f t="shared" si="7"/>
        <v>784.33250346934847</v>
      </c>
      <c r="N60">
        <f t="shared" si="8"/>
        <v>0</v>
      </c>
      <c r="O60" s="24">
        <f t="shared" si="9"/>
        <v>351.79551878638614</v>
      </c>
      <c r="P60">
        <f t="shared" si="10"/>
        <v>0</v>
      </c>
      <c r="Q60">
        <f t="shared" si="11"/>
        <v>-145.1758439523922</v>
      </c>
      <c r="R60">
        <f t="shared" si="12"/>
        <v>0</v>
      </c>
      <c r="S60">
        <f t="shared" si="13"/>
        <v>-4.1829700014394939</v>
      </c>
      <c r="T60">
        <f t="shared" si="14"/>
        <v>0</v>
      </c>
      <c r="U60">
        <f t="shared" si="17"/>
        <v>-13.430017596661873</v>
      </c>
      <c r="V60">
        <f t="shared" si="15"/>
        <v>0</v>
      </c>
      <c r="W60" s="33">
        <f t="shared" si="18"/>
        <v>206.43065078726471</v>
      </c>
      <c r="X60">
        <f t="shared" si="16"/>
        <v>0</v>
      </c>
    </row>
    <row r="61" spans="1:24" x14ac:dyDescent="0.35">
      <c r="A61" t="str">
        <f>Table1!A54</f>
        <v>Kalkuhl and Wenz 2020</v>
      </c>
      <c r="B61">
        <f>Table1!C54</f>
        <v>1</v>
      </c>
      <c r="C61">
        <f>Table1!E54</f>
        <v>-2.2999999999999998</v>
      </c>
      <c r="D61">
        <v>0</v>
      </c>
      <c r="G61">
        <f t="shared" si="1"/>
        <v>-7.8135389491166052E-2</v>
      </c>
      <c r="H61">
        <f t="shared" si="2"/>
        <v>0</v>
      </c>
      <c r="I61">
        <f t="shared" si="3"/>
        <v>0.96513650814561536</v>
      </c>
      <c r="J61">
        <f t="shared" si="4"/>
        <v>0</v>
      </c>
      <c r="K61">
        <f t="shared" si="5"/>
        <v>-0.22021170227705711</v>
      </c>
      <c r="L61">
        <f t="shared" si="6"/>
        <v>0</v>
      </c>
      <c r="M61">
        <f t="shared" si="7"/>
        <v>-0.3591014529385898</v>
      </c>
      <c r="N61">
        <f t="shared" si="8"/>
        <v>0</v>
      </c>
      <c r="O61" s="24">
        <f t="shared" si="9"/>
        <v>-0.38101459467891025</v>
      </c>
      <c r="P61">
        <f t="shared" si="10"/>
        <v>0</v>
      </c>
      <c r="Q61">
        <f t="shared" si="11"/>
        <v>-0.18637722714590185</v>
      </c>
      <c r="R61">
        <f t="shared" si="12"/>
        <v>0</v>
      </c>
      <c r="S61">
        <f t="shared" si="13"/>
        <v>-0.58096805575548527</v>
      </c>
      <c r="T61">
        <f t="shared" si="14"/>
        <v>0</v>
      </c>
      <c r="U61">
        <f t="shared" si="17"/>
        <v>-0.47332360681922747</v>
      </c>
      <c r="V61">
        <f t="shared" si="15"/>
        <v>0</v>
      </c>
      <c r="W61" s="33">
        <f t="shared" si="18"/>
        <v>0.21332443423374126</v>
      </c>
      <c r="X61">
        <f t="shared" si="16"/>
        <v>0</v>
      </c>
    </row>
    <row r="62" spans="1:24" x14ac:dyDescent="0.35">
      <c r="A62" t="str">
        <f>Table1!A55</f>
        <v>Newell, Prest and Sexton</v>
      </c>
      <c r="B62">
        <f>Table1!C55</f>
        <v>4.3</v>
      </c>
      <c r="C62">
        <f>Table1!E55</f>
        <v>5.63</v>
      </c>
      <c r="D62">
        <v>0</v>
      </c>
      <c r="G62">
        <f t="shared" si="1"/>
        <v>-4.6092369661974981</v>
      </c>
      <c r="H62">
        <f t="shared" si="2"/>
        <v>0</v>
      </c>
      <c r="I62">
        <f t="shared" si="3"/>
        <v>-4.115866409544557</v>
      </c>
      <c r="J62">
        <f t="shared" si="4"/>
        <v>0</v>
      </c>
      <c r="K62">
        <f t="shared" si="5"/>
        <v>-4.0717143751027853</v>
      </c>
      <c r="L62">
        <f t="shared" si="6"/>
        <v>0</v>
      </c>
      <c r="M62">
        <f t="shared" si="7"/>
        <v>15.105555664971121</v>
      </c>
      <c r="N62">
        <f t="shared" si="8"/>
        <v>0</v>
      </c>
      <c r="O62" s="24">
        <f t="shared" si="9"/>
        <v>9.7709102395532224</v>
      </c>
      <c r="P62">
        <f t="shared" si="10"/>
        <v>0</v>
      </c>
      <c r="Q62">
        <f t="shared" si="11"/>
        <v>-7.8855434186608582</v>
      </c>
      <c r="R62">
        <f t="shared" si="12"/>
        <v>0</v>
      </c>
      <c r="S62">
        <f t="shared" si="13"/>
        <v>-2.4981626397485868</v>
      </c>
      <c r="T62">
        <f t="shared" si="14"/>
        <v>0</v>
      </c>
      <c r="U62">
        <f t="shared" si="17"/>
        <v>-3.5012692927407567</v>
      </c>
      <c r="V62">
        <f t="shared" si="15"/>
        <v>0</v>
      </c>
      <c r="W62" s="33">
        <f t="shared" si="18"/>
        <v>2.0527449957220396</v>
      </c>
      <c r="X62">
        <f t="shared" si="16"/>
        <v>0</v>
      </c>
    </row>
    <row r="63" spans="1:24" x14ac:dyDescent="0.35">
      <c r="A63">
        <f>Table1!A56</f>
        <v>0</v>
      </c>
      <c r="B63">
        <f>Table1!C56</f>
        <v>4.3</v>
      </c>
      <c r="C63">
        <f>Table1!E56</f>
        <v>3.61</v>
      </c>
      <c r="D63">
        <v>0</v>
      </c>
      <c r="G63">
        <f t="shared" si="1"/>
        <v>-4.6092369661974981</v>
      </c>
      <c r="H63">
        <f t="shared" si="2"/>
        <v>0</v>
      </c>
      <c r="I63">
        <f t="shared" si="3"/>
        <v>-4.115866409544557</v>
      </c>
      <c r="J63">
        <f t="shared" si="4"/>
        <v>0</v>
      </c>
      <c r="K63">
        <f t="shared" si="5"/>
        <v>-4.0717143751027853</v>
      </c>
      <c r="L63">
        <f t="shared" si="6"/>
        <v>0</v>
      </c>
      <c r="M63">
        <f t="shared" si="7"/>
        <v>15.105555664971121</v>
      </c>
      <c r="N63">
        <f t="shared" si="8"/>
        <v>0</v>
      </c>
      <c r="O63" s="24">
        <f t="shared" si="9"/>
        <v>9.7709102395532224</v>
      </c>
      <c r="P63">
        <f t="shared" si="10"/>
        <v>0</v>
      </c>
      <c r="Q63">
        <f t="shared" si="11"/>
        <v>-7.8855434186608582</v>
      </c>
      <c r="R63">
        <f t="shared" si="12"/>
        <v>0</v>
      </c>
      <c r="S63">
        <f t="shared" si="13"/>
        <v>-2.4981626397485868</v>
      </c>
      <c r="T63">
        <f t="shared" si="14"/>
        <v>0</v>
      </c>
      <c r="U63">
        <f t="shared" si="17"/>
        <v>-3.5012692927407567</v>
      </c>
      <c r="V63">
        <f t="shared" si="15"/>
        <v>0</v>
      </c>
      <c r="W63" s="33">
        <f t="shared" si="18"/>
        <v>2.0527449957220396</v>
      </c>
      <c r="X63">
        <f t="shared" si="16"/>
        <v>0</v>
      </c>
    </row>
    <row r="64" spans="1:24" x14ac:dyDescent="0.35">
      <c r="A64">
        <f>Table1!A57</f>
        <v>0</v>
      </c>
      <c r="B64">
        <f>Table1!C57</f>
        <v>4.3</v>
      </c>
      <c r="C64">
        <f>Table1!E57</f>
        <v>-1.71</v>
      </c>
      <c r="D64">
        <v>0</v>
      </c>
      <c r="G64">
        <f t="shared" si="1"/>
        <v>-4.6092369661974981</v>
      </c>
      <c r="H64">
        <f t="shared" si="2"/>
        <v>0</v>
      </c>
      <c r="I64">
        <f t="shared" si="3"/>
        <v>-4.115866409544557</v>
      </c>
      <c r="J64">
        <f t="shared" si="4"/>
        <v>0</v>
      </c>
      <c r="K64">
        <f t="shared" si="5"/>
        <v>-4.0717143751027853</v>
      </c>
      <c r="L64">
        <f t="shared" si="6"/>
        <v>0</v>
      </c>
      <c r="M64">
        <f t="shared" si="7"/>
        <v>15.105555664971121</v>
      </c>
      <c r="N64">
        <f t="shared" si="8"/>
        <v>0</v>
      </c>
      <c r="O64" s="24">
        <f t="shared" si="9"/>
        <v>9.7709102395532224</v>
      </c>
      <c r="P64">
        <f t="shared" si="10"/>
        <v>0</v>
      </c>
      <c r="Q64">
        <f t="shared" si="11"/>
        <v>-7.8855434186608582</v>
      </c>
      <c r="R64">
        <f t="shared" si="12"/>
        <v>0</v>
      </c>
      <c r="S64">
        <f t="shared" si="13"/>
        <v>-2.4981626397485868</v>
      </c>
      <c r="T64">
        <f t="shared" si="14"/>
        <v>0</v>
      </c>
      <c r="U64">
        <f t="shared" si="17"/>
        <v>-3.5012692927407567</v>
      </c>
      <c r="V64">
        <f t="shared" si="15"/>
        <v>0</v>
      </c>
      <c r="W64" s="33">
        <f t="shared" si="18"/>
        <v>2.0527449957220396</v>
      </c>
      <c r="X64">
        <f t="shared" si="16"/>
        <v>0</v>
      </c>
    </row>
    <row r="65" spans="1:24" x14ac:dyDescent="0.35">
      <c r="A65">
        <f>Table1!A58</f>
        <v>0</v>
      </c>
      <c r="B65">
        <f>Table1!C58</f>
        <v>4.3</v>
      </c>
      <c r="C65">
        <f>Table1!E58</f>
        <v>-1.63</v>
      </c>
      <c r="D65">
        <v>0</v>
      </c>
      <c r="G65">
        <f t="shared" si="1"/>
        <v>-4.6092369661974981</v>
      </c>
      <c r="H65">
        <f t="shared" si="2"/>
        <v>0</v>
      </c>
      <c r="I65">
        <f t="shared" si="3"/>
        <v>-4.115866409544557</v>
      </c>
      <c r="J65">
        <f t="shared" si="4"/>
        <v>0</v>
      </c>
      <c r="K65">
        <f t="shared" si="5"/>
        <v>-4.0717143751027853</v>
      </c>
      <c r="L65">
        <f t="shared" si="6"/>
        <v>0</v>
      </c>
      <c r="M65">
        <f t="shared" si="7"/>
        <v>15.105555664971121</v>
      </c>
      <c r="N65">
        <f t="shared" si="8"/>
        <v>0</v>
      </c>
      <c r="O65" s="24">
        <f t="shared" si="9"/>
        <v>9.7709102395532224</v>
      </c>
      <c r="P65">
        <f t="shared" si="10"/>
        <v>0</v>
      </c>
      <c r="Q65">
        <f t="shared" si="11"/>
        <v>-7.8855434186608582</v>
      </c>
      <c r="R65">
        <f t="shared" si="12"/>
        <v>0</v>
      </c>
      <c r="S65">
        <f t="shared" si="13"/>
        <v>-2.4981626397485868</v>
      </c>
      <c r="T65">
        <f t="shared" si="14"/>
        <v>0</v>
      </c>
      <c r="U65">
        <f t="shared" si="17"/>
        <v>-3.5012692927407567</v>
      </c>
      <c r="V65">
        <f t="shared" si="15"/>
        <v>0</v>
      </c>
      <c r="W65" s="33">
        <f t="shared" si="18"/>
        <v>2.0527449957220396</v>
      </c>
      <c r="X65">
        <f t="shared" si="16"/>
        <v>0</v>
      </c>
    </row>
    <row r="66" spans="1:24" x14ac:dyDescent="0.35">
      <c r="A66">
        <f>Table1!A59</f>
        <v>0</v>
      </c>
      <c r="B66">
        <f>Table1!C59</f>
        <v>4.3</v>
      </c>
      <c r="C66">
        <f>Table1!E59</f>
        <v>-2.17</v>
      </c>
      <c r="D66">
        <v>0</v>
      </c>
      <c r="G66">
        <f t="shared" si="1"/>
        <v>-4.6092369661974981</v>
      </c>
      <c r="H66">
        <f t="shared" si="2"/>
        <v>0</v>
      </c>
      <c r="I66">
        <f t="shared" si="3"/>
        <v>-4.115866409544557</v>
      </c>
      <c r="J66">
        <f t="shared" si="4"/>
        <v>0</v>
      </c>
      <c r="K66">
        <f t="shared" si="5"/>
        <v>-4.0717143751027853</v>
      </c>
      <c r="L66">
        <f t="shared" si="6"/>
        <v>0</v>
      </c>
      <c r="M66">
        <f t="shared" si="7"/>
        <v>15.105555664971121</v>
      </c>
      <c r="N66">
        <f t="shared" si="8"/>
        <v>0</v>
      </c>
      <c r="O66" s="24">
        <f t="shared" si="9"/>
        <v>9.7709102395532224</v>
      </c>
      <c r="P66">
        <f t="shared" si="10"/>
        <v>0</v>
      </c>
      <c r="Q66">
        <f t="shared" si="11"/>
        <v>-7.8855434186608582</v>
      </c>
      <c r="R66">
        <f t="shared" si="12"/>
        <v>0</v>
      </c>
      <c r="S66">
        <f t="shared" si="13"/>
        <v>-2.4981626397485868</v>
      </c>
      <c r="T66">
        <f t="shared" si="14"/>
        <v>0</v>
      </c>
      <c r="U66">
        <f t="shared" si="17"/>
        <v>-3.5012692927407567</v>
      </c>
      <c r="V66">
        <f t="shared" si="15"/>
        <v>0</v>
      </c>
      <c r="W66" s="33">
        <f t="shared" si="18"/>
        <v>2.0527449957220396</v>
      </c>
      <c r="X66">
        <f t="shared" si="16"/>
        <v>0</v>
      </c>
    </row>
    <row r="67" spans="1:24" x14ac:dyDescent="0.35">
      <c r="A67">
        <f>Table1!A60</f>
        <v>0</v>
      </c>
      <c r="B67">
        <f>Table1!C60</f>
        <v>4.3</v>
      </c>
      <c r="C67">
        <f>Table1!E60</f>
        <v>-0.64</v>
      </c>
      <c r="D67">
        <v>0</v>
      </c>
      <c r="G67">
        <f t="shared" si="1"/>
        <v>-4.6092369661974981</v>
      </c>
      <c r="H67">
        <f t="shared" si="2"/>
        <v>0</v>
      </c>
      <c r="I67">
        <f t="shared" si="3"/>
        <v>-4.115866409544557</v>
      </c>
      <c r="J67">
        <f t="shared" si="4"/>
        <v>0</v>
      </c>
      <c r="K67">
        <f t="shared" si="5"/>
        <v>-4.0717143751027853</v>
      </c>
      <c r="L67">
        <f t="shared" si="6"/>
        <v>0</v>
      </c>
      <c r="M67">
        <f t="shared" si="7"/>
        <v>15.105555664971121</v>
      </c>
      <c r="N67">
        <f t="shared" si="8"/>
        <v>0</v>
      </c>
      <c r="O67" s="24">
        <f t="shared" si="9"/>
        <v>9.7709102395532224</v>
      </c>
      <c r="P67">
        <f t="shared" si="10"/>
        <v>0</v>
      </c>
      <c r="Q67">
        <f t="shared" si="11"/>
        <v>-7.8855434186608582</v>
      </c>
      <c r="R67">
        <f t="shared" si="12"/>
        <v>0</v>
      </c>
      <c r="S67">
        <f t="shared" si="13"/>
        <v>-2.4981626397485868</v>
      </c>
      <c r="T67">
        <f t="shared" si="14"/>
        <v>0</v>
      </c>
      <c r="U67">
        <f t="shared" si="17"/>
        <v>-3.5012692927407567</v>
      </c>
      <c r="V67">
        <f t="shared" si="15"/>
        <v>0</v>
      </c>
      <c r="W67" s="33">
        <f t="shared" si="18"/>
        <v>2.0527449957220396</v>
      </c>
      <c r="X67">
        <f t="shared" si="16"/>
        <v>0</v>
      </c>
    </row>
    <row r="68" spans="1:24" x14ac:dyDescent="0.35">
      <c r="A68">
        <f>Table1!A61</f>
        <v>0</v>
      </c>
      <c r="B68">
        <f>Table1!C61</f>
        <v>4.3</v>
      </c>
      <c r="C68">
        <f>Table1!E61</f>
        <v>-1.82</v>
      </c>
      <c r="D68">
        <v>0</v>
      </c>
      <c r="G68">
        <f t="shared" si="1"/>
        <v>-4.6092369661974981</v>
      </c>
      <c r="H68">
        <f t="shared" si="2"/>
        <v>0</v>
      </c>
      <c r="I68">
        <f t="shared" si="3"/>
        <v>-4.115866409544557</v>
      </c>
      <c r="J68">
        <f t="shared" si="4"/>
        <v>0</v>
      </c>
      <c r="K68">
        <f t="shared" si="5"/>
        <v>-4.0717143751027853</v>
      </c>
      <c r="L68">
        <f t="shared" si="6"/>
        <v>0</v>
      </c>
      <c r="M68">
        <f t="shared" si="7"/>
        <v>15.105555664971121</v>
      </c>
      <c r="N68">
        <f t="shared" si="8"/>
        <v>0</v>
      </c>
      <c r="O68" s="24">
        <f t="shared" si="9"/>
        <v>9.7709102395532224</v>
      </c>
      <c r="P68">
        <f t="shared" si="10"/>
        <v>0</v>
      </c>
      <c r="Q68">
        <f t="shared" si="11"/>
        <v>-7.8855434186608582</v>
      </c>
      <c r="R68">
        <f t="shared" si="12"/>
        <v>0</v>
      </c>
      <c r="S68">
        <f t="shared" si="13"/>
        <v>-2.4981626397485868</v>
      </c>
      <c r="T68">
        <f t="shared" si="14"/>
        <v>0</v>
      </c>
      <c r="U68">
        <f t="shared" si="17"/>
        <v>-3.5012692927407567</v>
      </c>
      <c r="V68">
        <f t="shared" si="15"/>
        <v>0</v>
      </c>
      <c r="W68" s="33">
        <f t="shared" si="18"/>
        <v>2.0527449957220396</v>
      </c>
      <c r="X68">
        <f t="shared" si="16"/>
        <v>0</v>
      </c>
    </row>
    <row r="69" spans="1:24" x14ac:dyDescent="0.35">
      <c r="A69">
        <f>Table1!A62</f>
        <v>0</v>
      </c>
      <c r="B69">
        <f>Table1!C62</f>
        <v>4.3</v>
      </c>
      <c r="C69">
        <f>Table1!E62</f>
        <v>-1.75</v>
      </c>
      <c r="D69">
        <v>0</v>
      </c>
      <c r="G69">
        <f t="shared" si="1"/>
        <v>-4.6092369661974981</v>
      </c>
      <c r="H69">
        <f t="shared" si="2"/>
        <v>0</v>
      </c>
      <c r="I69">
        <f t="shared" si="3"/>
        <v>-4.115866409544557</v>
      </c>
      <c r="J69">
        <f t="shared" si="4"/>
        <v>0</v>
      </c>
      <c r="K69">
        <f t="shared" si="5"/>
        <v>-4.0717143751027853</v>
      </c>
      <c r="L69">
        <f t="shared" si="6"/>
        <v>0</v>
      </c>
      <c r="M69">
        <f t="shared" si="7"/>
        <v>15.105555664971121</v>
      </c>
      <c r="N69">
        <f t="shared" si="8"/>
        <v>0</v>
      </c>
      <c r="O69" s="24">
        <f t="shared" si="9"/>
        <v>9.7709102395532224</v>
      </c>
      <c r="P69">
        <f t="shared" si="10"/>
        <v>0</v>
      </c>
      <c r="Q69">
        <f t="shared" si="11"/>
        <v>-7.8855434186608582</v>
      </c>
      <c r="R69">
        <f t="shared" si="12"/>
        <v>0</v>
      </c>
      <c r="S69">
        <f t="shared" si="13"/>
        <v>-2.4981626397485868</v>
      </c>
      <c r="T69">
        <f t="shared" si="14"/>
        <v>0</v>
      </c>
      <c r="U69">
        <f t="shared" si="17"/>
        <v>-3.5012692927407567</v>
      </c>
      <c r="V69">
        <f t="shared" si="15"/>
        <v>0</v>
      </c>
      <c r="W69" s="33">
        <f t="shared" si="18"/>
        <v>2.0527449957220396</v>
      </c>
      <c r="X69">
        <f t="shared" si="16"/>
        <v>0</v>
      </c>
    </row>
    <row r="70" spans="1:24" x14ac:dyDescent="0.35">
      <c r="A70">
        <f>Table1!A63</f>
        <v>0</v>
      </c>
      <c r="B70">
        <f>Table1!C63</f>
        <v>4.3</v>
      </c>
      <c r="C70">
        <f>Table1!E63</f>
        <v>-2.16</v>
      </c>
      <c r="D70">
        <v>0</v>
      </c>
      <c r="G70">
        <f t="shared" si="1"/>
        <v>-4.6092369661974981</v>
      </c>
      <c r="H70">
        <f t="shared" si="2"/>
        <v>0</v>
      </c>
      <c r="I70">
        <f t="shared" si="3"/>
        <v>-4.115866409544557</v>
      </c>
      <c r="J70">
        <f t="shared" si="4"/>
        <v>0</v>
      </c>
      <c r="K70">
        <f t="shared" si="5"/>
        <v>-4.0717143751027853</v>
      </c>
      <c r="L70">
        <f t="shared" si="6"/>
        <v>0</v>
      </c>
      <c r="M70">
        <f t="shared" si="7"/>
        <v>15.105555664971121</v>
      </c>
      <c r="N70">
        <f t="shared" si="8"/>
        <v>0</v>
      </c>
      <c r="O70" s="24">
        <f t="shared" si="9"/>
        <v>9.7709102395532224</v>
      </c>
      <c r="P70">
        <f t="shared" si="10"/>
        <v>0</v>
      </c>
      <c r="Q70">
        <f t="shared" si="11"/>
        <v>-7.8855434186608582</v>
      </c>
      <c r="R70">
        <f t="shared" si="12"/>
        <v>0</v>
      </c>
      <c r="S70">
        <f t="shared" si="13"/>
        <v>-2.4981626397485868</v>
      </c>
      <c r="T70">
        <f t="shared" si="14"/>
        <v>0</v>
      </c>
      <c r="U70">
        <f t="shared" si="17"/>
        <v>-3.5012692927407567</v>
      </c>
      <c r="V70">
        <f t="shared" si="15"/>
        <v>0</v>
      </c>
      <c r="W70" s="33">
        <f t="shared" si="18"/>
        <v>2.0527449957220396</v>
      </c>
      <c r="X70">
        <f t="shared" si="16"/>
        <v>0</v>
      </c>
    </row>
    <row r="71" spans="1:24" x14ac:dyDescent="0.35">
      <c r="A71" t="str">
        <f>Table1!A64</f>
        <v>Schauer 1995</v>
      </c>
      <c r="B71">
        <f>Table1!C64</f>
        <v>2.5</v>
      </c>
      <c r="C71">
        <f>Table1!E64</f>
        <v>-5.22</v>
      </c>
      <c r="D71">
        <v>0</v>
      </c>
      <c r="G71">
        <f t="shared" si="1"/>
        <v>-1.3246341374132971</v>
      </c>
      <c r="H71">
        <f t="shared" si="2"/>
        <v>0</v>
      </c>
      <c r="I71">
        <f t="shared" si="3"/>
        <v>-1.3444102726226446</v>
      </c>
      <c r="J71">
        <f t="shared" si="4"/>
        <v>0</v>
      </c>
      <c r="K71">
        <f t="shared" si="5"/>
        <v>-1.3763231392316069</v>
      </c>
      <c r="L71">
        <f t="shared" si="6"/>
        <v>0</v>
      </c>
      <c r="M71">
        <f t="shared" si="7"/>
        <v>-1.7607771404125716</v>
      </c>
      <c r="N71">
        <f t="shared" si="8"/>
        <v>0</v>
      </c>
      <c r="O71" s="24">
        <f t="shared" si="9"/>
        <v>-1.7466563967002722</v>
      </c>
      <c r="P71">
        <f t="shared" si="10"/>
        <v>0</v>
      </c>
      <c r="Q71">
        <f t="shared" si="11"/>
        <v>-1.2129338636146687</v>
      </c>
      <c r="R71">
        <f t="shared" si="12"/>
        <v>0</v>
      </c>
      <c r="S71">
        <f t="shared" si="13"/>
        <v>-1.4524201393887131</v>
      </c>
      <c r="T71">
        <f t="shared" si="14"/>
        <v>0</v>
      </c>
      <c r="U71">
        <f t="shared" si="17"/>
        <v>-1.4087604702785903</v>
      </c>
      <c r="V71">
        <f t="shared" si="15"/>
        <v>0</v>
      </c>
      <c r="W71" s="33">
        <f t="shared" si="18"/>
        <v>-1.4997475974411036</v>
      </c>
      <c r="X71">
        <f t="shared" si="16"/>
        <v>0</v>
      </c>
    </row>
    <row r="72" spans="1:24" x14ac:dyDescent="0.35">
      <c r="A72" t="str">
        <f>Table1!A65</f>
        <v>Horowitz 2009</v>
      </c>
      <c r="B72">
        <f>Table1!C65</f>
        <v>1</v>
      </c>
      <c r="C72">
        <f>Table1!E65</f>
        <v>-3.8</v>
      </c>
      <c r="D72">
        <v>0</v>
      </c>
      <c r="G72">
        <f t="shared" si="1"/>
        <v>-7.8135389491166052E-2</v>
      </c>
      <c r="H72">
        <f t="shared" si="2"/>
        <v>0</v>
      </c>
      <c r="I72">
        <f t="shared" si="3"/>
        <v>0.96513650814561536</v>
      </c>
      <c r="J72">
        <f t="shared" si="4"/>
        <v>0</v>
      </c>
      <c r="K72">
        <f t="shared" si="5"/>
        <v>-0.22021170227705711</v>
      </c>
      <c r="L72">
        <f t="shared" si="6"/>
        <v>0</v>
      </c>
      <c r="M72">
        <f t="shared" si="7"/>
        <v>-0.3591014529385898</v>
      </c>
      <c r="N72">
        <f t="shared" si="8"/>
        <v>0</v>
      </c>
      <c r="O72" s="24">
        <f t="shared" si="9"/>
        <v>-0.38101459467891025</v>
      </c>
      <c r="P72">
        <f t="shared" si="10"/>
        <v>0</v>
      </c>
      <c r="Q72">
        <f t="shared" si="11"/>
        <v>-0.18637722714590185</v>
      </c>
      <c r="R72">
        <f t="shared" si="12"/>
        <v>0</v>
      </c>
      <c r="S72">
        <f t="shared" si="13"/>
        <v>-0.58096805575548527</v>
      </c>
      <c r="T72">
        <f t="shared" si="14"/>
        <v>0</v>
      </c>
      <c r="U72">
        <f t="shared" si="17"/>
        <v>-0.47332360681922747</v>
      </c>
      <c r="V72">
        <f t="shared" si="15"/>
        <v>0</v>
      </c>
      <c r="W72" s="33">
        <f t="shared" si="18"/>
        <v>0.21332443423374126</v>
      </c>
      <c r="X72">
        <f t="shared" si="16"/>
        <v>0</v>
      </c>
    </row>
    <row r="73" spans="1:24" x14ac:dyDescent="0.35">
      <c r="A73" t="str">
        <f>Table1!A66</f>
        <v>Eboli 2010</v>
      </c>
      <c r="B73">
        <f>Table1!C66</f>
        <v>3.03</v>
      </c>
      <c r="C73">
        <f>Table1!E66</f>
        <v>-1.35</v>
      </c>
      <c r="D73">
        <v>0</v>
      </c>
      <c r="G73">
        <f t="shared" si="1"/>
        <v>-2.0890661495615439</v>
      </c>
      <c r="H73">
        <f t="shared" si="2"/>
        <v>0</v>
      </c>
      <c r="I73">
        <f t="shared" si="3"/>
        <v>-2.1604501351607635</v>
      </c>
      <c r="J73">
        <f t="shared" si="4"/>
        <v>0</v>
      </c>
      <c r="K73">
        <f t="shared" si="5"/>
        <v>-2.0217416174354335</v>
      </c>
      <c r="L73">
        <f t="shared" si="6"/>
        <v>0</v>
      </c>
      <c r="M73">
        <f t="shared" si="7"/>
        <v>-1.4271520519139207</v>
      </c>
      <c r="N73">
        <f t="shared" si="8"/>
        <v>0</v>
      </c>
      <c r="O73" s="24">
        <f t="shared" si="9"/>
        <v>-1.4579482448287866</v>
      </c>
      <c r="P73">
        <f t="shared" si="10"/>
        <v>0</v>
      </c>
      <c r="Q73">
        <f t="shared" si="11"/>
        <v>-2.1365037630355226</v>
      </c>
      <c r="R73">
        <f t="shared" si="12"/>
        <v>0</v>
      </c>
      <c r="S73">
        <f t="shared" si="13"/>
        <v>-1.7603332089391202</v>
      </c>
      <c r="T73">
        <f t="shared" si="14"/>
        <v>0</v>
      </c>
      <c r="U73">
        <f t="shared" si="17"/>
        <v>-1.873085130857006</v>
      </c>
      <c r="V73">
        <f t="shared" si="15"/>
        <v>0</v>
      </c>
      <c r="W73" s="33">
        <f t="shared" si="18"/>
        <v>-1.858907410179137</v>
      </c>
      <c r="X73">
        <f t="shared" si="16"/>
        <v>0</v>
      </c>
    </row>
    <row r="74" spans="1:24" x14ac:dyDescent="0.35">
      <c r="A74" t="str">
        <f>Table1!A67</f>
        <v>Ng and Zhao 2011</v>
      </c>
      <c r="B74">
        <f>Table1!C67</f>
        <v>1</v>
      </c>
      <c r="C74">
        <f>Table1!E67</f>
        <v>-1.35</v>
      </c>
      <c r="D74">
        <v>0</v>
      </c>
      <c r="G74">
        <f t="shared" ref="G74:G78" si="19">G$1*B74+G$2*B74^2</f>
        <v>-7.8135389491166052E-2</v>
      </c>
      <c r="H74">
        <f t="shared" ref="H74:H78" si="20">$D74*(G74-$C74)^2</f>
        <v>0</v>
      </c>
      <c r="I74">
        <f t="shared" ref="I74:I78" si="21">IF(B74&lt;=I$2,B74*I$1,I$1*I$2+I$3*(B74-I$2))</f>
        <v>0.96513650814561536</v>
      </c>
      <c r="J74">
        <f t="shared" ref="J74:J78" si="22">$D74*(I74-$C74)^2</f>
        <v>0</v>
      </c>
      <c r="K74">
        <f t="shared" ref="K74:K78" si="23">K$1*B74^2</f>
        <v>-0.22021170227705711</v>
      </c>
      <c r="L74">
        <f t="shared" ref="L74:L78" si="24">$D74*(K74-$C74)^2</f>
        <v>0</v>
      </c>
      <c r="M74">
        <f t="shared" ref="M74:M78" si="25">M$1*B74^2+M$2*B74^7</f>
        <v>-0.3591014529385898</v>
      </c>
      <c r="N74">
        <f t="shared" ref="N74:N78" si="26">$D74*(M74-$C74)^2</f>
        <v>0</v>
      </c>
      <c r="O74" s="24">
        <f t="shared" ref="O74:O78" si="27">O$1*B74^2+O$2*B74^6</f>
        <v>-0.38101459467891025</v>
      </c>
      <c r="P74">
        <f t="shared" ref="P74:P78" si="28">$D74*(O74-$C74)^2</f>
        <v>0</v>
      </c>
      <c r="Q74">
        <f t="shared" ref="Q74:Q78" si="29">Q$2+Q$1*EXP(B74)</f>
        <v>-0.18637722714590185</v>
      </c>
      <c r="R74">
        <f t="shared" ref="R74:R78" si="30">$D74*(Q74-$C74)^2</f>
        <v>0</v>
      </c>
      <c r="S74">
        <f t="shared" ref="S74:S78" si="31">S$1*B74</f>
        <v>-0.58096805575548527</v>
      </c>
      <c r="T74">
        <f t="shared" ref="T74:T78" si="32">$D74*(S74-$C74)^2</f>
        <v>0</v>
      </c>
      <c r="U74">
        <f t="shared" si="17"/>
        <v>-0.47332360681922747</v>
      </c>
      <c r="V74">
        <f t="shared" ref="V74:V78" si="33">$D74*(U74-$C74)^2</f>
        <v>0</v>
      </c>
      <c r="W74" s="33">
        <f t="shared" si="18"/>
        <v>0.21332443423374126</v>
      </c>
      <c r="X74">
        <f t="shared" ref="X74:X78" si="34">$D74*(W74-$C74)^2</f>
        <v>0</v>
      </c>
    </row>
    <row r="75" spans="1:24" x14ac:dyDescent="0.35">
      <c r="A75">
        <f>Table1!A68</f>
        <v>0</v>
      </c>
      <c r="B75">
        <f>Table1!C68</f>
        <v>1</v>
      </c>
      <c r="C75">
        <f>Table1!E68</f>
        <v>-1.61</v>
      </c>
      <c r="D75">
        <v>0</v>
      </c>
      <c r="G75">
        <f t="shared" si="19"/>
        <v>-7.8135389491166052E-2</v>
      </c>
      <c r="H75">
        <f t="shared" si="20"/>
        <v>0</v>
      </c>
      <c r="I75">
        <f t="shared" si="21"/>
        <v>0.96513650814561536</v>
      </c>
      <c r="J75">
        <f t="shared" si="22"/>
        <v>0</v>
      </c>
      <c r="K75">
        <f t="shared" si="23"/>
        <v>-0.22021170227705711</v>
      </c>
      <c r="L75">
        <f t="shared" si="24"/>
        <v>0</v>
      </c>
      <c r="M75">
        <f t="shared" si="25"/>
        <v>-0.3591014529385898</v>
      </c>
      <c r="N75">
        <f t="shared" si="26"/>
        <v>0</v>
      </c>
      <c r="O75" s="24">
        <f t="shared" si="27"/>
        <v>-0.38101459467891025</v>
      </c>
      <c r="P75">
        <f t="shared" si="28"/>
        <v>0</v>
      </c>
      <c r="Q75">
        <f t="shared" si="29"/>
        <v>-0.18637722714590185</v>
      </c>
      <c r="R75">
        <f t="shared" si="30"/>
        <v>0</v>
      </c>
      <c r="S75">
        <f t="shared" si="31"/>
        <v>-0.58096805575548527</v>
      </c>
      <c r="T75">
        <f t="shared" si="32"/>
        <v>0</v>
      </c>
      <c r="U75">
        <f t="shared" ref="U75:U78" si="35">(1-EXP(-2*U$1*B75))/2/EXP(-U$1*B75)</f>
        <v>-0.47332360681922747</v>
      </c>
      <c r="V75">
        <f t="shared" si="33"/>
        <v>0</v>
      </c>
      <c r="W75" s="33">
        <f t="shared" ref="W75:W78" si="36">G75*H$5+I75*J$5+K75*L$5+M75*N$5+O75*P$5+Q75*R$5+S75*T$5+U75*V$5</f>
        <v>0.21332443423374126</v>
      </c>
      <c r="X75">
        <f t="shared" si="34"/>
        <v>0</v>
      </c>
    </row>
    <row r="76" spans="1:24" ht="15" thickBot="1" x14ac:dyDescent="0.4">
      <c r="A76" t="str">
        <f>Table1!A69</f>
        <v>Hope 2011</v>
      </c>
      <c r="B76">
        <f>Table1!C69</f>
        <v>3</v>
      </c>
      <c r="C76">
        <f>Table1!E69</f>
        <v>-0.7</v>
      </c>
      <c r="D76">
        <v>1</v>
      </c>
      <c r="G76">
        <f t="shared" si="19"/>
        <v>-2.0412792303701091</v>
      </c>
      <c r="H76">
        <f t="shared" si="20"/>
        <v>1.7990299738222322</v>
      </c>
      <c r="I76">
        <f t="shared" si="21"/>
        <v>-2.1142591995453985</v>
      </c>
      <c r="J76">
        <f t="shared" si="22"/>
        <v>2.0001290834987917</v>
      </c>
      <c r="K76">
        <f t="shared" si="23"/>
        <v>-1.981905320493514</v>
      </c>
      <c r="L76">
        <f t="shared" si="24"/>
        <v>1.6432812507095789</v>
      </c>
      <c r="M76">
        <f t="shared" si="25"/>
        <v>-1.4883388470593932</v>
      </c>
      <c r="N76">
        <f t="shared" si="26"/>
        <v>0.62147813778293348</v>
      </c>
      <c r="O76" s="24">
        <f t="shared" si="27"/>
        <v>-1.5081936504630589</v>
      </c>
      <c r="P76">
        <f t="shared" si="28"/>
        <v>0.65317697664880503</v>
      </c>
      <c r="Q76">
        <f t="shared" si="29"/>
        <v>-2.0701548438794002</v>
      </c>
      <c r="R76">
        <f t="shared" si="30"/>
        <v>1.8773242962061836</v>
      </c>
      <c r="S76">
        <f t="shared" si="31"/>
        <v>-1.7429041672664558</v>
      </c>
      <c r="T76">
        <f t="shared" si="32"/>
        <v>1.0876491021017398</v>
      </c>
      <c r="U76">
        <f t="shared" si="35"/>
        <v>-1.8441354857524597</v>
      </c>
      <c r="V76">
        <f t="shared" si="33"/>
        <v>1.309046009758017</v>
      </c>
      <c r="W76" s="33">
        <f t="shared" si="36"/>
        <v>-1.8519628715400804</v>
      </c>
      <c r="X76">
        <f t="shared" si="34"/>
        <v>1.327018457406868</v>
      </c>
    </row>
    <row r="77" spans="1:24" x14ac:dyDescent="0.35">
      <c r="A77" t="str">
        <f>Table1!A70</f>
        <v>McCallum 2013</v>
      </c>
      <c r="B77">
        <f>Table1!C70</f>
        <v>2</v>
      </c>
      <c r="C77">
        <f>Table1!E70</f>
        <v>-0.7</v>
      </c>
      <c r="D77">
        <v>0</v>
      </c>
      <c r="E77" s="3"/>
      <c r="G77">
        <f t="shared" si="19"/>
        <v>-0.75856179961453574</v>
      </c>
      <c r="H77">
        <f t="shared" si="20"/>
        <v>0</v>
      </c>
      <c r="I77">
        <f t="shared" si="21"/>
        <v>-0.57456134569989126</v>
      </c>
      <c r="J77">
        <f t="shared" si="22"/>
        <v>0</v>
      </c>
      <c r="K77">
        <f t="shared" si="23"/>
        <v>-0.88084680910822843</v>
      </c>
      <c r="L77">
        <f t="shared" si="24"/>
        <v>0</v>
      </c>
      <c r="M77">
        <f t="shared" si="25"/>
        <v>-1.3371389593925129</v>
      </c>
      <c r="N77">
        <f t="shared" si="26"/>
        <v>0</v>
      </c>
      <c r="O77" s="24">
        <f t="shared" si="27"/>
        <v>-1.3639802369117131</v>
      </c>
      <c r="P77">
        <f t="shared" si="28"/>
        <v>0</v>
      </c>
      <c r="Q77">
        <f t="shared" si="29"/>
        <v>-0.69300305693519082</v>
      </c>
      <c r="R77">
        <f t="shared" si="30"/>
        <v>0</v>
      </c>
      <c r="S77">
        <f t="shared" si="31"/>
        <v>-1.1619361115109705</v>
      </c>
      <c r="T77">
        <f t="shared" si="32"/>
        <v>0</v>
      </c>
      <c r="U77">
        <f t="shared" si="35"/>
        <v>-1.0473338036901345</v>
      </c>
      <c r="V77">
        <f t="shared" si="33"/>
        <v>0</v>
      </c>
      <c r="W77" s="33">
        <f t="shared" si="36"/>
        <v>-0.92782564177844473</v>
      </c>
      <c r="X77">
        <f t="shared" si="34"/>
        <v>0</v>
      </c>
    </row>
    <row r="78" spans="1:24" x14ac:dyDescent="0.35">
      <c r="A78">
        <f>Table1!A71</f>
        <v>0</v>
      </c>
      <c r="B78">
        <f>Table1!C71</f>
        <v>4</v>
      </c>
      <c r="C78">
        <f>Table1!E71</f>
        <v>-1.8</v>
      </c>
      <c r="D78">
        <v>0</v>
      </c>
      <c r="G78">
        <f t="shared" si="19"/>
        <v>-3.926287681757886</v>
      </c>
      <c r="H78">
        <f t="shared" si="20"/>
        <v>0</v>
      </c>
      <c r="I78">
        <f t="shared" si="21"/>
        <v>-3.6539570533909052</v>
      </c>
      <c r="J78">
        <f t="shared" si="22"/>
        <v>0</v>
      </c>
      <c r="K78">
        <f t="shared" si="23"/>
        <v>-3.5233872364329137</v>
      </c>
      <c r="L78">
        <f t="shared" si="24"/>
        <v>0</v>
      </c>
      <c r="M78">
        <f t="shared" si="25"/>
        <v>7.3576012647462878</v>
      </c>
      <c r="N78">
        <f t="shared" si="26"/>
        <v>0</v>
      </c>
      <c r="O78" s="24">
        <f t="shared" si="27"/>
        <v>4.7890801278045245</v>
      </c>
      <c r="P78">
        <f t="shared" si="28"/>
        <v>0</v>
      </c>
      <c r="Q78">
        <f t="shared" si="29"/>
        <v>-5.813641521359747</v>
      </c>
      <c r="R78">
        <f t="shared" si="30"/>
        <v>0</v>
      </c>
      <c r="S78">
        <f t="shared" si="31"/>
        <v>-2.3238722230219411</v>
      </c>
      <c r="T78">
        <f t="shared" si="32"/>
        <v>0</v>
      </c>
      <c r="U78">
        <f t="shared" si="35"/>
        <v>-3.0332263141379432</v>
      </c>
      <c r="V78">
        <f t="shared" si="33"/>
        <v>0</v>
      </c>
      <c r="W78" s="33">
        <f t="shared" si="36"/>
        <v>-6.9147161486944886E-3</v>
      </c>
      <c r="X78">
        <f t="shared" si="34"/>
        <v>0</v>
      </c>
    </row>
    <row r="79" spans="1:24" x14ac:dyDescent="0.35">
      <c r="O79" s="24"/>
      <c r="W79" s="33"/>
    </row>
    <row r="80" spans="1:24" ht="15" thickBot="1" x14ac:dyDescent="0.4">
      <c r="E80" s="2"/>
      <c r="O80" s="24"/>
      <c r="W80" s="33"/>
    </row>
    <row r="81" spans="2:15" x14ac:dyDescent="0.35">
      <c r="B81">
        <v>-1.5</v>
      </c>
      <c r="I81">
        <f t="shared" ref="I81:I144" si="37">IF(B81&lt;=I$2,B81*I$1,I$1*I$2+I$3*(B81-I$2))</f>
        <v>-1.447706350734308</v>
      </c>
      <c r="J81" s="5">
        <f>I81-J$7</f>
        <v>-2.4291414836449823</v>
      </c>
      <c r="K81" s="5">
        <f>I81+J$7</f>
        <v>-0.46627121782363357</v>
      </c>
    </row>
    <row r="82" spans="2:15" x14ac:dyDescent="0.35">
      <c r="B82">
        <f>0.1+B81</f>
        <v>-1.4</v>
      </c>
      <c r="I82">
        <f t="shared" si="37"/>
        <v>-1.3511925940186873</v>
      </c>
      <c r="J82" s="5">
        <f t="shared" ref="J82:J145" si="38">I82-J$7</f>
        <v>-2.3326277269293616</v>
      </c>
      <c r="K82" s="5">
        <f t="shared" ref="K82:K145" si="39">I82+J$7</f>
        <v>-0.36975746110801289</v>
      </c>
    </row>
    <row r="83" spans="2:15" x14ac:dyDescent="0.35">
      <c r="B83">
        <f t="shared" ref="B83:B146" si="40">0.1+B82</f>
        <v>-1.2999999999999998</v>
      </c>
      <c r="I83">
        <f t="shared" si="37"/>
        <v>-1.2546788373030666</v>
      </c>
      <c r="J83" s="5">
        <f t="shared" si="38"/>
        <v>-2.2361139702137409</v>
      </c>
      <c r="K83" s="5">
        <f t="shared" si="39"/>
        <v>-0.27324370439239221</v>
      </c>
    </row>
    <row r="84" spans="2:15" ht="15" thickBot="1" x14ac:dyDescent="0.4">
      <c r="B84">
        <f t="shared" si="40"/>
        <v>-1.1999999999999997</v>
      </c>
      <c r="G84" s="2"/>
      <c r="H84" s="2"/>
      <c r="I84">
        <f t="shared" si="37"/>
        <v>-1.1581650805874459</v>
      </c>
      <c r="J84" s="5">
        <f t="shared" si="38"/>
        <v>-2.1396002134981202</v>
      </c>
      <c r="K84" s="5">
        <f t="shared" si="39"/>
        <v>-0.17672994767677153</v>
      </c>
    </row>
    <row r="85" spans="2:15" x14ac:dyDescent="0.35">
      <c r="B85">
        <f t="shared" si="40"/>
        <v>-1.0999999999999996</v>
      </c>
      <c r="I85">
        <f t="shared" si="37"/>
        <v>-1.0616513238718255</v>
      </c>
      <c r="J85" s="5">
        <f t="shared" si="38"/>
        <v>-2.0430864567825</v>
      </c>
      <c r="K85" s="5">
        <f t="shared" si="39"/>
        <v>-8.0216190961151068E-2</v>
      </c>
    </row>
    <row r="86" spans="2:15" ht="15" thickBot="1" x14ac:dyDescent="0.4">
      <c r="B86">
        <f t="shared" si="40"/>
        <v>-0.99999999999999967</v>
      </c>
      <c r="I86">
        <f t="shared" si="37"/>
        <v>-0.96513756715620491</v>
      </c>
      <c r="J86" s="5">
        <f t="shared" si="38"/>
        <v>-1.9465727000668793</v>
      </c>
      <c r="K86" s="5">
        <f t="shared" si="39"/>
        <v>1.6297565754469501E-2</v>
      </c>
    </row>
    <row r="87" spans="2:15" x14ac:dyDescent="0.35">
      <c r="B87">
        <f t="shared" si="40"/>
        <v>-0.89999999999999969</v>
      </c>
      <c r="G87" s="3"/>
      <c r="H87" s="3"/>
      <c r="I87">
        <f t="shared" si="37"/>
        <v>-0.86862381044058445</v>
      </c>
      <c r="J87" s="5">
        <f t="shared" si="38"/>
        <v>-1.8500589433512589</v>
      </c>
      <c r="K87" s="5">
        <f t="shared" si="39"/>
        <v>0.11281132247008996</v>
      </c>
      <c r="L87" s="3"/>
    </row>
    <row r="88" spans="2:15" x14ac:dyDescent="0.35">
      <c r="B88">
        <f t="shared" si="40"/>
        <v>-0.79999999999999971</v>
      </c>
      <c r="I88">
        <f t="shared" si="37"/>
        <v>-0.77211005372496389</v>
      </c>
      <c r="J88" s="5">
        <f t="shared" si="38"/>
        <v>-1.7535451866356384</v>
      </c>
      <c r="K88" s="5">
        <f t="shared" si="39"/>
        <v>0.20932507918571053</v>
      </c>
    </row>
    <row r="89" spans="2:15" x14ac:dyDescent="0.35">
      <c r="B89">
        <f t="shared" si="40"/>
        <v>-0.69999999999999973</v>
      </c>
      <c r="I89">
        <f t="shared" si="37"/>
        <v>-0.67559629700934343</v>
      </c>
      <c r="J89" s="5">
        <f t="shared" si="38"/>
        <v>-1.6570314299200177</v>
      </c>
      <c r="K89" s="5">
        <f t="shared" si="39"/>
        <v>0.30583883590133099</v>
      </c>
    </row>
    <row r="90" spans="2:15" ht="15" thickBot="1" x14ac:dyDescent="0.4">
      <c r="B90">
        <f t="shared" si="40"/>
        <v>-0.59999999999999976</v>
      </c>
      <c r="G90" s="2"/>
      <c r="H90" s="2"/>
      <c r="I90">
        <f t="shared" si="37"/>
        <v>-0.57908254029372286</v>
      </c>
      <c r="J90" s="5">
        <f t="shared" si="38"/>
        <v>-1.5605176732043973</v>
      </c>
      <c r="K90" s="5">
        <f t="shared" si="39"/>
        <v>0.40235259261695155</v>
      </c>
      <c r="L90" s="2"/>
    </row>
    <row r="91" spans="2:15" ht="15" thickBot="1" x14ac:dyDescent="0.4">
      <c r="B91">
        <f t="shared" si="40"/>
        <v>-0.49999999999999978</v>
      </c>
      <c r="I91">
        <f t="shared" si="37"/>
        <v>-0.4825687835781024</v>
      </c>
      <c r="J91" s="5">
        <f t="shared" si="38"/>
        <v>-1.4640039164887768</v>
      </c>
      <c r="K91" s="5">
        <f t="shared" si="39"/>
        <v>0.49886634933257201</v>
      </c>
    </row>
    <row r="92" spans="2:15" x14ac:dyDescent="0.35">
      <c r="B92">
        <f t="shared" si="40"/>
        <v>-0.3999999999999998</v>
      </c>
      <c r="G92" s="3"/>
      <c r="H92" s="3"/>
      <c r="I92">
        <f t="shared" si="37"/>
        <v>-0.38605502686248189</v>
      </c>
      <c r="J92" s="5">
        <f t="shared" si="38"/>
        <v>-1.3674901597731564</v>
      </c>
      <c r="K92" s="5">
        <f t="shared" si="39"/>
        <v>0.59538010604819247</v>
      </c>
      <c r="L92" s="3"/>
      <c r="M92" s="3"/>
      <c r="N92" s="3"/>
      <c r="O92" s="3"/>
    </row>
    <row r="93" spans="2:15" x14ac:dyDescent="0.35">
      <c r="B93">
        <f t="shared" si="40"/>
        <v>-0.29999999999999982</v>
      </c>
      <c r="I93">
        <f t="shared" si="37"/>
        <v>-0.28954127014686143</v>
      </c>
      <c r="J93" s="5">
        <f t="shared" si="38"/>
        <v>-1.2709764030575359</v>
      </c>
      <c r="K93" s="5">
        <f t="shared" si="39"/>
        <v>0.69189386276381293</v>
      </c>
    </row>
    <row r="94" spans="2:15" x14ac:dyDescent="0.35">
      <c r="B94">
        <f t="shared" si="40"/>
        <v>-0.19999999999999982</v>
      </c>
      <c r="I94">
        <f t="shared" si="37"/>
        <v>-0.19302751343124086</v>
      </c>
      <c r="J94" s="5">
        <f t="shared" si="38"/>
        <v>-1.1744626463419152</v>
      </c>
      <c r="K94" s="5">
        <f t="shared" si="39"/>
        <v>0.78840761947943361</v>
      </c>
    </row>
    <row r="95" spans="2:15" ht="15" thickBot="1" x14ac:dyDescent="0.4">
      <c r="B95">
        <f t="shared" si="40"/>
        <v>-9.9999999999999811E-2</v>
      </c>
      <c r="G95" s="2"/>
      <c r="H95" s="2"/>
      <c r="I95">
        <f t="shared" si="37"/>
        <v>-9.6513756715620347E-2</v>
      </c>
      <c r="J95" s="5">
        <f t="shared" si="38"/>
        <v>-1.0779488896262948</v>
      </c>
      <c r="K95" s="5">
        <f t="shared" si="39"/>
        <v>0.88492137619505407</v>
      </c>
      <c r="L95" s="2"/>
      <c r="M95" s="2"/>
      <c r="N95" s="2"/>
      <c r="O95" s="2"/>
    </row>
    <row r="96" spans="2:15" ht="15" thickBot="1" x14ac:dyDescent="0.4">
      <c r="B96">
        <v>0</v>
      </c>
      <c r="I96">
        <f t="shared" si="37"/>
        <v>0</v>
      </c>
      <c r="J96" s="5">
        <f t="shared" si="38"/>
        <v>-0.98143513291067441</v>
      </c>
      <c r="K96" s="5">
        <f t="shared" si="39"/>
        <v>0.98143513291067441</v>
      </c>
    </row>
    <row r="97" spans="2:15" x14ac:dyDescent="0.35">
      <c r="B97">
        <f t="shared" si="40"/>
        <v>0.1</v>
      </c>
      <c r="E97" s="3"/>
      <c r="I97">
        <f t="shared" si="37"/>
        <v>9.6513756715620527E-2</v>
      </c>
      <c r="J97" s="5">
        <f t="shared" si="38"/>
        <v>-0.88492137619505384</v>
      </c>
      <c r="K97" s="5">
        <f t="shared" si="39"/>
        <v>1.077948889626295</v>
      </c>
    </row>
    <row r="98" spans="2:15" ht="15" thickBot="1" x14ac:dyDescent="0.4">
      <c r="B98">
        <f t="shared" si="40"/>
        <v>0.2</v>
      </c>
      <c r="I98">
        <f t="shared" si="37"/>
        <v>0.19302751343124105</v>
      </c>
      <c r="J98" s="5">
        <f t="shared" si="38"/>
        <v>-0.78840761947943339</v>
      </c>
      <c r="K98" s="5">
        <f t="shared" si="39"/>
        <v>1.1744626463419154</v>
      </c>
    </row>
    <row r="99" spans="2:15" ht="15" thickBot="1" x14ac:dyDescent="0.4">
      <c r="B99">
        <f t="shared" si="40"/>
        <v>0.30000000000000004</v>
      </c>
      <c r="E99" s="2"/>
      <c r="G99" s="4"/>
      <c r="H99" s="4"/>
      <c r="I99">
        <f t="shared" si="37"/>
        <v>0.2895412701468616</v>
      </c>
      <c r="J99" s="5">
        <f t="shared" si="38"/>
        <v>-0.69189386276381282</v>
      </c>
      <c r="K99" s="5">
        <f t="shared" si="39"/>
        <v>1.2709764030575359</v>
      </c>
    </row>
    <row r="100" spans="2:15" x14ac:dyDescent="0.35">
      <c r="B100">
        <f t="shared" si="40"/>
        <v>0.4</v>
      </c>
      <c r="I100">
        <f t="shared" si="37"/>
        <v>0.38605502686248211</v>
      </c>
      <c r="J100" s="5">
        <f t="shared" si="38"/>
        <v>-0.59538010604819225</v>
      </c>
      <c r="K100" s="5">
        <f t="shared" si="39"/>
        <v>1.3674901597731566</v>
      </c>
    </row>
    <row r="101" spans="2:15" x14ac:dyDescent="0.35">
      <c r="B101">
        <f t="shared" si="40"/>
        <v>0.5</v>
      </c>
      <c r="I101">
        <f t="shared" si="37"/>
        <v>0.48256878357810262</v>
      </c>
      <c r="J101" s="5">
        <f t="shared" si="38"/>
        <v>-0.49886634933257179</v>
      </c>
      <c r="K101" s="5">
        <f t="shared" si="39"/>
        <v>1.464003916488777</v>
      </c>
    </row>
    <row r="102" spans="2:15" x14ac:dyDescent="0.35">
      <c r="B102">
        <f t="shared" si="40"/>
        <v>0.6</v>
      </c>
      <c r="I102">
        <f t="shared" si="37"/>
        <v>0.57908254029372308</v>
      </c>
      <c r="J102" s="5">
        <f t="shared" si="38"/>
        <v>-0.40235259261695133</v>
      </c>
      <c r="K102" s="5">
        <f t="shared" si="39"/>
        <v>1.5605176732043975</v>
      </c>
    </row>
    <row r="103" spans="2:15" x14ac:dyDescent="0.35">
      <c r="B103">
        <f t="shared" si="40"/>
        <v>0.7</v>
      </c>
      <c r="I103">
        <f t="shared" si="37"/>
        <v>0.67559629700934365</v>
      </c>
      <c r="J103" s="5">
        <f t="shared" si="38"/>
        <v>-0.30583883590133076</v>
      </c>
      <c r="K103" s="5">
        <f t="shared" si="39"/>
        <v>1.6570314299200182</v>
      </c>
    </row>
    <row r="104" spans="2:15" ht="15" thickBot="1" x14ac:dyDescent="0.4">
      <c r="B104">
        <f t="shared" si="40"/>
        <v>0.79999999999999993</v>
      </c>
      <c r="G104" s="2"/>
      <c r="H104" s="2"/>
      <c r="I104">
        <f t="shared" si="37"/>
        <v>0.77211005372496411</v>
      </c>
      <c r="J104" s="5">
        <f t="shared" si="38"/>
        <v>-0.20932507918571031</v>
      </c>
      <c r="K104" s="5">
        <f t="shared" si="39"/>
        <v>1.7535451866356384</v>
      </c>
    </row>
    <row r="105" spans="2:15" x14ac:dyDescent="0.35">
      <c r="B105">
        <f t="shared" si="40"/>
        <v>0.89999999999999991</v>
      </c>
      <c r="I105">
        <f t="shared" si="37"/>
        <v>0.86862381044058468</v>
      </c>
      <c r="J105" s="5">
        <f t="shared" si="38"/>
        <v>-0.11281132247008974</v>
      </c>
      <c r="K105" s="5">
        <f t="shared" si="39"/>
        <v>1.8500589433512591</v>
      </c>
    </row>
    <row r="106" spans="2:15" ht="15" thickBot="1" x14ac:dyDescent="0.4">
      <c r="B106">
        <f t="shared" si="40"/>
        <v>0.99999999999999989</v>
      </c>
      <c r="I106">
        <f t="shared" si="37"/>
        <v>0.96513650814561547</v>
      </c>
      <c r="J106" s="5">
        <f t="shared" si="38"/>
        <v>-1.6298624765058944E-2</v>
      </c>
      <c r="K106" s="5">
        <f t="shared" si="39"/>
        <v>1.9465716410562899</v>
      </c>
    </row>
    <row r="107" spans="2:15" x14ac:dyDescent="0.35">
      <c r="B107">
        <f t="shared" si="40"/>
        <v>1.0999999999999999</v>
      </c>
      <c r="G107" s="3"/>
      <c r="H107" s="3"/>
      <c r="I107">
        <f t="shared" si="37"/>
        <v>0.81116672276106483</v>
      </c>
      <c r="J107" s="5">
        <f t="shared" si="38"/>
        <v>-0.17026841014960958</v>
      </c>
      <c r="K107" s="5">
        <f t="shared" si="39"/>
        <v>1.7926018556717391</v>
      </c>
      <c r="L107" s="3"/>
    </row>
    <row r="108" spans="2:15" x14ac:dyDescent="0.35">
      <c r="B108">
        <f t="shared" si="40"/>
        <v>1.2</v>
      </c>
      <c r="I108">
        <f t="shared" si="37"/>
        <v>0.65719693737651408</v>
      </c>
      <c r="J108" s="5">
        <f t="shared" si="38"/>
        <v>-0.32423819553416033</v>
      </c>
      <c r="K108" s="5">
        <f t="shared" si="39"/>
        <v>1.6386320702871884</v>
      </c>
    </row>
    <row r="109" spans="2:15" x14ac:dyDescent="0.35">
      <c r="B109">
        <f t="shared" si="40"/>
        <v>1.3</v>
      </c>
      <c r="I109">
        <f t="shared" si="37"/>
        <v>0.50322715199196322</v>
      </c>
      <c r="J109" s="5">
        <f t="shared" si="38"/>
        <v>-0.4782079809187112</v>
      </c>
      <c r="K109" s="5">
        <f t="shared" si="39"/>
        <v>1.4846622849026376</v>
      </c>
    </row>
    <row r="110" spans="2:15" ht="15" thickBot="1" x14ac:dyDescent="0.4">
      <c r="B110">
        <f t="shared" si="40"/>
        <v>1.4000000000000001</v>
      </c>
      <c r="G110" s="2"/>
      <c r="H110" s="2"/>
      <c r="I110">
        <f t="shared" si="37"/>
        <v>0.34925736660741236</v>
      </c>
      <c r="J110" s="5">
        <f t="shared" si="38"/>
        <v>-0.63217776630326206</v>
      </c>
      <c r="K110" s="5">
        <f t="shared" si="39"/>
        <v>1.3306924995180869</v>
      </c>
      <c r="L110" s="2"/>
    </row>
    <row r="111" spans="2:15" ht="15" thickBot="1" x14ac:dyDescent="0.4">
      <c r="B111">
        <f t="shared" si="40"/>
        <v>1.5000000000000002</v>
      </c>
      <c r="I111">
        <f t="shared" si="37"/>
        <v>0.19528758122286161</v>
      </c>
      <c r="J111" s="5">
        <f t="shared" si="38"/>
        <v>-0.78614755168781281</v>
      </c>
      <c r="K111" s="5">
        <f t="shared" si="39"/>
        <v>1.1767227141335361</v>
      </c>
    </row>
    <row r="112" spans="2:15" x14ac:dyDescent="0.35">
      <c r="B112">
        <f t="shared" si="40"/>
        <v>1.6000000000000003</v>
      </c>
      <c r="E112" s="3"/>
      <c r="G112" s="3"/>
      <c r="H112" s="3"/>
      <c r="I112">
        <f t="shared" si="37"/>
        <v>4.1317795838310745E-2</v>
      </c>
      <c r="J112" s="5">
        <f t="shared" si="38"/>
        <v>-0.94011733707236367</v>
      </c>
      <c r="K112" s="5">
        <f t="shared" si="39"/>
        <v>1.0227529287489852</v>
      </c>
      <c r="L112" s="3"/>
      <c r="M112" s="3"/>
      <c r="N112" s="3"/>
      <c r="O112" s="3"/>
    </row>
    <row r="113" spans="2:15" x14ac:dyDescent="0.35">
      <c r="B113">
        <f t="shared" si="40"/>
        <v>1.7000000000000004</v>
      </c>
      <c r="I113">
        <f t="shared" si="37"/>
        <v>-0.11265198954624012</v>
      </c>
      <c r="J113" s="5">
        <f t="shared" si="38"/>
        <v>-1.0940871224569144</v>
      </c>
      <c r="K113" s="5">
        <f t="shared" si="39"/>
        <v>0.8687831433644343</v>
      </c>
    </row>
    <row r="114" spans="2:15" x14ac:dyDescent="0.35">
      <c r="B114">
        <f t="shared" si="40"/>
        <v>1.8000000000000005</v>
      </c>
      <c r="I114">
        <f t="shared" si="37"/>
        <v>-0.26662177493079087</v>
      </c>
      <c r="J114" s="5">
        <f t="shared" si="38"/>
        <v>-1.2480569078414652</v>
      </c>
      <c r="K114" s="5">
        <f t="shared" si="39"/>
        <v>0.71481335797988355</v>
      </c>
    </row>
    <row r="115" spans="2:15" ht="15" thickBot="1" x14ac:dyDescent="0.4">
      <c r="B115">
        <f t="shared" si="40"/>
        <v>1.9000000000000006</v>
      </c>
      <c r="E115" s="2"/>
      <c r="G115" s="2"/>
      <c r="H115" s="2"/>
      <c r="I115">
        <f t="shared" si="37"/>
        <v>-0.42059156031534162</v>
      </c>
      <c r="J115" s="5">
        <f t="shared" si="38"/>
        <v>-1.4020266932260159</v>
      </c>
      <c r="K115" s="5">
        <f t="shared" si="39"/>
        <v>0.5608435725953328</v>
      </c>
      <c r="L115" s="2"/>
      <c r="M115" s="2"/>
      <c r="N115" s="2"/>
      <c r="O115" s="2"/>
    </row>
    <row r="116" spans="2:15" x14ac:dyDescent="0.35">
      <c r="B116">
        <f t="shared" si="40"/>
        <v>2.0000000000000004</v>
      </c>
      <c r="I116">
        <f t="shared" si="37"/>
        <v>-0.57456134569989192</v>
      </c>
      <c r="J116" s="5">
        <f t="shared" si="38"/>
        <v>-1.5559964786105662</v>
      </c>
      <c r="K116" s="5">
        <f t="shared" si="39"/>
        <v>0.40687378721078249</v>
      </c>
    </row>
    <row r="117" spans="2:15" x14ac:dyDescent="0.35">
      <c r="B117">
        <f t="shared" si="40"/>
        <v>2.1000000000000005</v>
      </c>
      <c r="I117">
        <f t="shared" si="37"/>
        <v>-0.7285311310844429</v>
      </c>
      <c r="J117" s="5">
        <f t="shared" si="38"/>
        <v>-1.7099662639951174</v>
      </c>
      <c r="K117" s="5">
        <f t="shared" si="39"/>
        <v>0.25290400182623152</v>
      </c>
    </row>
    <row r="118" spans="2:15" x14ac:dyDescent="0.35">
      <c r="B118">
        <f t="shared" si="40"/>
        <v>2.2000000000000006</v>
      </c>
      <c r="I118">
        <f t="shared" si="37"/>
        <v>-0.88250091646899365</v>
      </c>
      <c r="J118" s="5">
        <f t="shared" si="38"/>
        <v>-1.8639360493796682</v>
      </c>
      <c r="K118" s="5">
        <f t="shared" si="39"/>
        <v>9.8934216441680767E-2</v>
      </c>
    </row>
    <row r="119" spans="2:15" x14ac:dyDescent="0.35">
      <c r="B119">
        <f t="shared" si="40"/>
        <v>2.3000000000000007</v>
      </c>
      <c r="I119">
        <f t="shared" si="37"/>
        <v>-1.0364707018535444</v>
      </c>
      <c r="J119" s="5">
        <f t="shared" si="38"/>
        <v>-2.0179058347642189</v>
      </c>
      <c r="K119" s="5">
        <f t="shared" si="39"/>
        <v>-5.5035568942869983E-2</v>
      </c>
    </row>
    <row r="120" spans="2:15" x14ac:dyDescent="0.35">
      <c r="B120">
        <f t="shared" si="40"/>
        <v>2.4000000000000008</v>
      </c>
      <c r="I120">
        <f t="shared" si="37"/>
        <v>-1.1904404872380951</v>
      </c>
      <c r="J120" s="5">
        <f t="shared" si="38"/>
        <v>-2.1718756201487697</v>
      </c>
      <c r="K120" s="5">
        <f t="shared" si="39"/>
        <v>-0.20900535432742073</v>
      </c>
    </row>
    <row r="121" spans="2:15" x14ac:dyDescent="0.35">
      <c r="B121">
        <f t="shared" si="40"/>
        <v>2.5000000000000009</v>
      </c>
      <c r="I121">
        <f t="shared" si="37"/>
        <v>-1.3444102726226463</v>
      </c>
      <c r="J121" s="5">
        <f t="shared" si="38"/>
        <v>-2.3258454055333209</v>
      </c>
      <c r="K121" s="5">
        <f t="shared" si="39"/>
        <v>-0.36297513971197193</v>
      </c>
    </row>
    <row r="122" spans="2:15" x14ac:dyDescent="0.35">
      <c r="B122">
        <f t="shared" si="40"/>
        <v>2.600000000000001</v>
      </c>
      <c r="I122">
        <f t="shared" si="37"/>
        <v>-1.4983800580071971</v>
      </c>
      <c r="J122" s="5">
        <f t="shared" si="38"/>
        <v>-2.4798151909178716</v>
      </c>
      <c r="K122" s="5">
        <f t="shared" si="39"/>
        <v>-0.51694492509652268</v>
      </c>
    </row>
    <row r="123" spans="2:15" x14ac:dyDescent="0.35">
      <c r="B123">
        <f t="shared" si="40"/>
        <v>2.7000000000000011</v>
      </c>
      <c r="I123">
        <f t="shared" si="37"/>
        <v>-1.6523498433917478</v>
      </c>
      <c r="J123" s="5">
        <f t="shared" si="38"/>
        <v>-2.6337849763024224</v>
      </c>
      <c r="K123" s="5">
        <f t="shared" si="39"/>
        <v>-0.67091471048107343</v>
      </c>
    </row>
    <row r="124" spans="2:15" x14ac:dyDescent="0.35">
      <c r="B124">
        <f t="shared" si="40"/>
        <v>2.8000000000000012</v>
      </c>
      <c r="I124">
        <f t="shared" si="37"/>
        <v>-1.8063196287762986</v>
      </c>
      <c r="J124" s="5">
        <f t="shared" si="38"/>
        <v>-2.7877547616869731</v>
      </c>
      <c r="K124" s="5">
        <f t="shared" si="39"/>
        <v>-0.82488449586562418</v>
      </c>
    </row>
    <row r="125" spans="2:15" x14ac:dyDescent="0.35">
      <c r="B125">
        <f t="shared" si="40"/>
        <v>2.9000000000000012</v>
      </c>
      <c r="I125">
        <f t="shared" si="37"/>
        <v>-1.9602894141608493</v>
      </c>
      <c r="J125" s="5">
        <f t="shared" si="38"/>
        <v>-2.9417245470715239</v>
      </c>
      <c r="K125" s="5">
        <f t="shared" si="39"/>
        <v>-0.97885428125017493</v>
      </c>
    </row>
    <row r="126" spans="2:15" x14ac:dyDescent="0.35">
      <c r="B126">
        <f t="shared" si="40"/>
        <v>3.0000000000000013</v>
      </c>
      <c r="I126">
        <f t="shared" si="37"/>
        <v>-2.1142591995454003</v>
      </c>
      <c r="J126" s="5">
        <f t="shared" si="38"/>
        <v>-3.0956943324560746</v>
      </c>
      <c r="K126" s="5">
        <f t="shared" si="39"/>
        <v>-1.132824066634726</v>
      </c>
    </row>
    <row r="127" spans="2:15" x14ac:dyDescent="0.35">
      <c r="B127">
        <f t="shared" si="40"/>
        <v>3.1000000000000014</v>
      </c>
      <c r="I127">
        <f t="shared" si="37"/>
        <v>-2.2682289849299506</v>
      </c>
      <c r="J127" s="5">
        <f t="shared" si="38"/>
        <v>-3.2496641178406249</v>
      </c>
      <c r="K127" s="5">
        <f t="shared" si="39"/>
        <v>-1.2867938520192763</v>
      </c>
    </row>
    <row r="128" spans="2:15" x14ac:dyDescent="0.35">
      <c r="B128">
        <f t="shared" si="40"/>
        <v>3.2000000000000015</v>
      </c>
      <c r="I128">
        <f t="shared" si="37"/>
        <v>-2.4221987703145018</v>
      </c>
      <c r="J128" s="5">
        <f t="shared" si="38"/>
        <v>-3.4036339032251761</v>
      </c>
      <c r="K128" s="5">
        <f t="shared" si="39"/>
        <v>-1.4407636374038275</v>
      </c>
    </row>
    <row r="129" spans="2:11" x14ac:dyDescent="0.35">
      <c r="B129">
        <f t="shared" si="40"/>
        <v>3.3000000000000016</v>
      </c>
      <c r="I129">
        <f t="shared" si="37"/>
        <v>-2.576168555699053</v>
      </c>
      <c r="J129" s="5">
        <f t="shared" si="38"/>
        <v>-3.5576036886097273</v>
      </c>
      <c r="K129" s="5">
        <f t="shared" si="39"/>
        <v>-1.5947334227883787</v>
      </c>
    </row>
    <row r="130" spans="2:11" x14ac:dyDescent="0.35">
      <c r="B130">
        <f t="shared" si="40"/>
        <v>3.4000000000000017</v>
      </c>
      <c r="I130">
        <f t="shared" si="37"/>
        <v>-2.7301383410836033</v>
      </c>
      <c r="J130" s="5">
        <f t="shared" si="38"/>
        <v>-3.7115734739942776</v>
      </c>
      <c r="K130" s="5">
        <f t="shared" si="39"/>
        <v>-1.748703208172929</v>
      </c>
    </row>
    <row r="131" spans="2:11" ht="15" thickBot="1" x14ac:dyDescent="0.4">
      <c r="B131">
        <f t="shared" si="40"/>
        <v>3.5000000000000018</v>
      </c>
      <c r="I131">
        <f t="shared" si="37"/>
        <v>-2.8841081264681545</v>
      </c>
      <c r="J131" s="5">
        <f t="shared" si="38"/>
        <v>-3.8655432593788288</v>
      </c>
      <c r="K131" s="5">
        <f t="shared" si="39"/>
        <v>-1.9026729935574802</v>
      </c>
    </row>
    <row r="132" spans="2:11" x14ac:dyDescent="0.35">
      <c r="B132">
        <f t="shared" si="40"/>
        <v>3.6000000000000019</v>
      </c>
      <c r="E132" s="3"/>
      <c r="I132">
        <f t="shared" si="37"/>
        <v>-3.0380779118527048</v>
      </c>
      <c r="J132" s="5">
        <f t="shared" si="38"/>
        <v>-4.0195130447633796</v>
      </c>
      <c r="K132" s="5">
        <f t="shared" si="39"/>
        <v>-2.0566427789420305</v>
      </c>
    </row>
    <row r="133" spans="2:11" x14ac:dyDescent="0.35">
      <c r="B133">
        <f t="shared" si="40"/>
        <v>3.700000000000002</v>
      </c>
      <c r="I133">
        <f t="shared" si="37"/>
        <v>-3.192047697237256</v>
      </c>
      <c r="J133" s="5">
        <f t="shared" si="38"/>
        <v>-4.1734828301479308</v>
      </c>
      <c r="K133" s="5">
        <f t="shared" si="39"/>
        <v>-2.2106125643265817</v>
      </c>
    </row>
    <row r="134" spans="2:11" ht="15" thickBot="1" x14ac:dyDescent="0.4">
      <c r="B134">
        <f t="shared" si="40"/>
        <v>3.800000000000002</v>
      </c>
      <c r="E134" s="2"/>
      <c r="I134">
        <f t="shared" si="37"/>
        <v>-3.3460174826218063</v>
      </c>
      <c r="J134" s="5">
        <f t="shared" si="38"/>
        <v>-4.3274526155324811</v>
      </c>
      <c r="K134" s="5">
        <f t="shared" si="39"/>
        <v>-2.364582349711132</v>
      </c>
    </row>
    <row r="135" spans="2:11" x14ac:dyDescent="0.35">
      <c r="B135">
        <f t="shared" si="40"/>
        <v>3.9000000000000021</v>
      </c>
      <c r="I135">
        <f t="shared" si="37"/>
        <v>-3.4999872680063575</v>
      </c>
      <c r="J135" s="5">
        <f t="shared" si="38"/>
        <v>-4.4814224009170323</v>
      </c>
      <c r="K135" s="5">
        <f t="shared" si="39"/>
        <v>-2.5185521350956832</v>
      </c>
    </row>
    <row r="136" spans="2:11" x14ac:dyDescent="0.35">
      <c r="B136">
        <f t="shared" si="40"/>
        <v>4.0000000000000018</v>
      </c>
      <c r="I136">
        <f t="shared" si="37"/>
        <v>-3.6539570533909078</v>
      </c>
      <c r="J136" s="5">
        <f t="shared" si="38"/>
        <v>-4.6353921863015826</v>
      </c>
      <c r="K136" s="5">
        <f t="shared" si="39"/>
        <v>-2.6725219204802335</v>
      </c>
    </row>
    <row r="137" spans="2:11" x14ac:dyDescent="0.35">
      <c r="B137">
        <f t="shared" si="40"/>
        <v>4.1000000000000014</v>
      </c>
      <c r="I137">
        <f t="shared" si="37"/>
        <v>-3.8079268387754572</v>
      </c>
      <c r="J137" s="5">
        <f t="shared" si="38"/>
        <v>-4.789361971686132</v>
      </c>
      <c r="K137" s="5">
        <f t="shared" si="39"/>
        <v>-2.8264917058647829</v>
      </c>
    </row>
    <row r="138" spans="2:11" x14ac:dyDescent="0.35">
      <c r="B138">
        <f t="shared" si="40"/>
        <v>4.2000000000000011</v>
      </c>
      <c r="I138">
        <f t="shared" si="37"/>
        <v>-3.9618966241600075</v>
      </c>
      <c r="J138" s="5">
        <f t="shared" si="38"/>
        <v>-4.9433317570706823</v>
      </c>
      <c r="K138" s="5">
        <f t="shared" si="39"/>
        <v>-2.9804614912493332</v>
      </c>
    </row>
    <row r="139" spans="2:11" x14ac:dyDescent="0.35">
      <c r="B139">
        <f t="shared" si="40"/>
        <v>4.3000000000000007</v>
      </c>
      <c r="I139">
        <f t="shared" si="37"/>
        <v>-4.1158664095445578</v>
      </c>
      <c r="J139" s="5">
        <f t="shared" si="38"/>
        <v>-5.0973015424552326</v>
      </c>
      <c r="K139" s="5">
        <f t="shared" si="39"/>
        <v>-3.1344312766338835</v>
      </c>
    </row>
    <row r="140" spans="2:11" x14ac:dyDescent="0.35">
      <c r="B140">
        <f t="shared" si="40"/>
        <v>4.4000000000000004</v>
      </c>
      <c r="I140">
        <f t="shared" si="37"/>
        <v>-4.2698361949291082</v>
      </c>
      <c r="J140" s="5">
        <f t="shared" si="38"/>
        <v>-5.2512713278397829</v>
      </c>
      <c r="K140" s="5">
        <f t="shared" si="39"/>
        <v>-3.2884010620184339</v>
      </c>
    </row>
    <row r="141" spans="2:11" x14ac:dyDescent="0.35">
      <c r="B141">
        <f t="shared" si="40"/>
        <v>4.5</v>
      </c>
      <c r="I141">
        <f t="shared" si="37"/>
        <v>-4.4238059803136585</v>
      </c>
      <c r="J141" s="5">
        <f t="shared" si="38"/>
        <v>-5.4052411132243332</v>
      </c>
      <c r="K141" s="5">
        <f t="shared" si="39"/>
        <v>-3.4423708474029842</v>
      </c>
    </row>
    <row r="142" spans="2:11" x14ac:dyDescent="0.35">
      <c r="B142">
        <f t="shared" si="40"/>
        <v>4.5999999999999996</v>
      </c>
      <c r="I142">
        <f t="shared" si="37"/>
        <v>-4.5777757656982088</v>
      </c>
      <c r="J142" s="5">
        <f t="shared" si="38"/>
        <v>-5.5592108986088835</v>
      </c>
      <c r="K142" s="5">
        <f t="shared" si="39"/>
        <v>-3.5963406327875345</v>
      </c>
    </row>
    <row r="143" spans="2:11" x14ac:dyDescent="0.35">
      <c r="B143">
        <f t="shared" si="40"/>
        <v>4.6999999999999993</v>
      </c>
      <c r="I143">
        <f t="shared" si="37"/>
        <v>-4.7317455510827582</v>
      </c>
      <c r="J143" s="5">
        <f t="shared" si="38"/>
        <v>-5.7131806839934329</v>
      </c>
      <c r="K143" s="5">
        <f t="shared" si="39"/>
        <v>-3.7503104181720839</v>
      </c>
    </row>
    <row r="144" spans="2:11" x14ac:dyDescent="0.35">
      <c r="B144">
        <f t="shared" si="40"/>
        <v>4.7999999999999989</v>
      </c>
      <c r="I144">
        <f t="shared" si="37"/>
        <v>-4.8857153364673085</v>
      </c>
      <c r="J144" s="5">
        <f t="shared" si="38"/>
        <v>-5.8671504693779832</v>
      </c>
      <c r="K144" s="5">
        <f t="shared" si="39"/>
        <v>-3.9042802035566342</v>
      </c>
    </row>
    <row r="145" spans="2:11" x14ac:dyDescent="0.35">
      <c r="B145">
        <f t="shared" si="40"/>
        <v>4.8999999999999986</v>
      </c>
      <c r="I145">
        <f t="shared" ref="I145:I171" si="41">IF(B145&lt;=I$2,B145*I$1,I$1*I$2+I$3*(B145-I$2))</f>
        <v>-5.0396851218518588</v>
      </c>
      <c r="J145" s="5">
        <f t="shared" si="38"/>
        <v>-6.0211202547625335</v>
      </c>
      <c r="K145" s="5">
        <f t="shared" si="39"/>
        <v>-4.058249988941184</v>
      </c>
    </row>
    <row r="146" spans="2:11" x14ac:dyDescent="0.35">
      <c r="B146">
        <f t="shared" si="40"/>
        <v>4.9999999999999982</v>
      </c>
      <c r="I146">
        <f t="shared" si="41"/>
        <v>-5.1936549072364091</v>
      </c>
      <c r="J146" s="5">
        <f t="shared" ref="J146:J171" si="42">I146-J$7</f>
        <v>-6.1750900401470838</v>
      </c>
      <c r="K146" s="5">
        <f t="shared" ref="K146:K171" si="43">I146+J$7</f>
        <v>-4.2122197743257344</v>
      </c>
    </row>
    <row r="147" spans="2:11" x14ac:dyDescent="0.35">
      <c r="B147">
        <f t="shared" ref="B147:B171" si="44">0.1+B146</f>
        <v>5.0999999999999979</v>
      </c>
      <c r="I147">
        <f t="shared" si="41"/>
        <v>-5.3476246926209594</v>
      </c>
      <c r="J147" s="5">
        <f t="shared" si="42"/>
        <v>-6.3290598255316342</v>
      </c>
      <c r="K147" s="5">
        <f t="shared" si="43"/>
        <v>-4.3661895597102847</v>
      </c>
    </row>
    <row r="148" spans="2:11" x14ac:dyDescent="0.35">
      <c r="B148">
        <f t="shared" si="44"/>
        <v>5.1999999999999975</v>
      </c>
      <c r="I148">
        <f t="shared" si="41"/>
        <v>-5.5015944780055088</v>
      </c>
      <c r="J148" s="5">
        <f t="shared" si="42"/>
        <v>-6.4830296109161836</v>
      </c>
      <c r="K148" s="5">
        <f t="shared" si="43"/>
        <v>-4.5201593450948341</v>
      </c>
    </row>
    <row r="149" spans="2:11" x14ac:dyDescent="0.35">
      <c r="B149">
        <f t="shared" si="44"/>
        <v>5.2999999999999972</v>
      </c>
      <c r="I149">
        <f t="shared" si="41"/>
        <v>-5.6555642633900591</v>
      </c>
      <c r="J149" s="5">
        <f t="shared" si="42"/>
        <v>-6.6369993963007339</v>
      </c>
      <c r="K149" s="5">
        <f t="shared" si="43"/>
        <v>-4.6741291304793844</v>
      </c>
    </row>
    <row r="150" spans="2:11" ht="15" thickBot="1" x14ac:dyDescent="0.4">
      <c r="B150">
        <f t="shared" si="44"/>
        <v>5.3999999999999968</v>
      </c>
      <c r="I150">
        <f t="shared" si="41"/>
        <v>-5.8095340487746094</v>
      </c>
      <c r="J150" s="5">
        <f t="shared" si="42"/>
        <v>-6.7909691816852842</v>
      </c>
      <c r="K150" s="5">
        <f t="shared" si="43"/>
        <v>-4.8280989158639347</v>
      </c>
    </row>
    <row r="151" spans="2:11" x14ac:dyDescent="0.35">
      <c r="B151">
        <f t="shared" si="44"/>
        <v>5.4999999999999964</v>
      </c>
      <c r="E151" s="3"/>
      <c r="I151">
        <f t="shared" si="41"/>
        <v>-5.9635038341591597</v>
      </c>
      <c r="J151" s="5">
        <f t="shared" si="42"/>
        <v>-6.9449389670698345</v>
      </c>
      <c r="K151" s="5">
        <f t="shared" si="43"/>
        <v>-4.982068701248485</v>
      </c>
    </row>
    <row r="152" spans="2:11" x14ac:dyDescent="0.35">
      <c r="B152">
        <f t="shared" si="44"/>
        <v>5.5999999999999961</v>
      </c>
      <c r="I152">
        <f t="shared" si="41"/>
        <v>-6.1174736195437101</v>
      </c>
      <c r="J152" s="5">
        <f t="shared" si="42"/>
        <v>-7.0989087524543848</v>
      </c>
      <c r="K152" s="5">
        <f t="shared" si="43"/>
        <v>-5.1360384866330353</v>
      </c>
    </row>
    <row r="153" spans="2:11" ht="15" thickBot="1" x14ac:dyDescent="0.4">
      <c r="B153">
        <f t="shared" si="44"/>
        <v>5.6999999999999957</v>
      </c>
      <c r="E153" s="2"/>
      <c r="I153">
        <f t="shared" si="41"/>
        <v>-6.2714434049282595</v>
      </c>
      <c r="J153" s="5">
        <f t="shared" si="42"/>
        <v>-7.2528785378389342</v>
      </c>
      <c r="K153" s="5">
        <f t="shared" si="43"/>
        <v>-5.2900082720175847</v>
      </c>
    </row>
    <row r="154" spans="2:11" x14ac:dyDescent="0.35">
      <c r="B154">
        <f t="shared" si="44"/>
        <v>5.7999999999999954</v>
      </c>
      <c r="I154">
        <f t="shared" si="41"/>
        <v>-6.4254131903128098</v>
      </c>
      <c r="J154" s="5">
        <f t="shared" si="42"/>
        <v>-7.4068483232234845</v>
      </c>
      <c r="K154" s="5">
        <f t="shared" si="43"/>
        <v>-5.443978057402135</v>
      </c>
    </row>
    <row r="155" spans="2:11" x14ac:dyDescent="0.35">
      <c r="B155">
        <f t="shared" si="44"/>
        <v>5.899999999999995</v>
      </c>
      <c r="I155">
        <f t="shared" si="41"/>
        <v>-6.5793829756973601</v>
      </c>
      <c r="J155" s="5">
        <f t="shared" si="42"/>
        <v>-7.5608181086080348</v>
      </c>
      <c r="K155" s="5">
        <f t="shared" si="43"/>
        <v>-5.5979478427866853</v>
      </c>
    </row>
    <row r="156" spans="2:11" x14ac:dyDescent="0.35">
      <c r="B156">
        <f t="shared" si="44"/>
        <v>5.9999999999999947</v>
      </c>
      <c r="I156">
        <f t="shared" si="41"/>
        <v>-6.7333527610819104</v>
      </c>
      <c r="J156" s="5">
        <f t="shared" si="42"/>
        <v>-7.7147878939925851</v>
      </c>
      <c r="K156" s="5">
        <f t="shared" si="43"/>
        <v>-5.7519176281712356</v>
      </c>
    </row>
    <row r="157" spans="2:11" x14ac:dyDescent="0.35">
      <c r="B157">
        <f t="shared" si="44"/>
        <v>6.0999999999999943</v>
      </c>
      <c r="I157">
        <f t="shared" si="41"/>
        <v>-6.8873225464664607</v>
      </c>
      <c r="J157" s="5">
        <f t="shared" si="42"/>
        <v>-7.8687576793771354</v>
      </c>
      <c r="K157" s="5">
        <f t="shared" si="43"/>
        <v>-5.9058874135557859</v>
      </c>
    </row>
    <row r="158" spans="2:11" x14ac:dyDescent="0.35">
      <c r="B158">
        <f t="shared" si="44"/>
        <v>6.199999999999994</v>
      </c>
      <c r="I158">
        <f t="shared" si="41"/>
        <v>-7.0412923318510101</v>
      </c>
      <c r="J158" s="5">
        <f t="shared" si="42"/>
        <v>-8.0227274647616849</v>
      </c>
      <c r="K158" s="5">
        <f t="shared" si="43"/>
        <v>-6.0598571989403354</v>
      </c>
    </row>
    <row r="159" spans="2:11" x14ac:dyDescent="0.35">
      <c r="B159">
        <f t="shared" si="44"/>
        <v>6.2999999999999936</v>
      </c>
      <c r="I159">
        <f t="shared" si="41"/>
        <v>-7.1952621172355604</v>
      </c>
      <c r="J159" s="5">
        <f t="shared" si="42"/>
        <v>-8.1766972501462352</v>
      </c>
      <c r="K159" s="5">
        <f t="shared" si="43"/>
        <v>-6.2138269843248857</v>
      </c>
    </row>
    <row r="160" spans="2:11" x14ac:dyDescent="0.35">
      <c r="B160">
        <f t="shared" si="44"/>
        <v>6.3999999999999932</v>
      </c>
      <c r="I160">
        <f t="shared" si="41"/>
        <v>-7.3492319026201107</v>
      </c>
      <c r="J160" s="5">
        <f t="shared" si="42"/>
        <v>-8.3306670355307855</v>
      </c>
      <c r="K160" s="5">
        <f t="shared" si="43"/>
        <v>-6.367796769709436</v>
      </c>
    </row>
    <row r="161" spans="2:11" x14ac:dyDescent="0.35">
      <c r="B161">
        <f t="shared" si="44"/>
        <v>6.4999999999999929</v>
      </c>
      <c r="I161">
        <f t="shared" si="41"/>
        <v>-7.503201688004661</v>
      </c>
      <c r="J161" s="5">
        <f t="shared" si="42"/>
        <v>-8.4846368209153358</v>
      </c>
      <c r="K161" s="5">
        <f t="shared" si="43"/>
        <v>-6.5217665550939863</v>
      </c>
    </row>
    <row r="162" spans="2:11" x14ac:dyDescent="0.35">
      <c r="B162">
        <f t="shared" si="44"/>
        <v>6.5999999999999925</v>
      </c>
      <c r="I162">
        <f t="shared" si="41"/>
        <v>-7.6571714733892113</v>
      </c>
      <c r="J162" s="5">
        <f t="shared" si="42"/>
        <v>-8.6386066062998861</v>
      </c>
      <c r="K162" s="5">
        <f t="shared" si="43"/>
        <v>-6.6757363404785366</v>
      </c>
    </row>
    <row r="163" spans="2:11" x14ac:dyDescent="0.35">
      <c r="B163">
        <f t="shared" si="44"/>
        <v>6.6999999999999922</v>
      </c>
      <c r="I163">
        <f t="shared" si="41"/>
        <v>-7.8111412587737616</v>
      </c>
      <c r="J163" s="5">
        <f t="shared" si="42"/>
        <v>-8.7925763916844364</v>
      </c>
      <c r="K163" s="5">
        <f t="shared" si="43"/>
        <v>-6.8297061258630869</v>
      </c>
    </row>
    <row r="164" spans="2:11" x14ac:dyDescent="0.35">
      <c r="B164">
        <f t="shared" si="44"/>
        <v>6.7999999999999918</v>
      </c>
      <c r="I164">
        <f t="shared" si="41"/>
        <v>-7.9651110441583119</v>
      </c>
      <c r="J164" s="5">
        <f t="shared" si="42"/>
        <v>-8.9465461770689867</v>
      </c>
      <c r="K164" s="5">
        <f t="shared" si="43"/>
        <v>-6.9836759112476372</v>
      </c>
    </row>
    <row r="165" spans="2:11" x14ac:dyDescent="0.35">
      <c r="B165">
        <f t="shared" si="44"/>
        <v>6.8999999999999915</v>
      </c>
      <c r="I165">
        <f t="shared" si="41"/>
        <v>-8.1190808295428631</v>
      </c>
      <c r="J165" s="5">
        <f t="shared" si="42"/>
        <v>-9.100515962453537</v>
      </c>
      <c r="K165" s="5">
        <f t="shared" si="43"/>
        <v>-7.1376456966321884</v>
      </c>
    </row>
    <row r="166" spans="2:11" x14ac:dyDescent="0.35">
      <c r="B166">
        <f t="shared" si="44"/>
        <v>6.9999999999999911</v>
      </c>
      <c r="I166">
        <f t="shared" si="41"/>
        <v>-8.2730506149274117</v>
      </c>
      <c r="J166" s="5">
        <f t="shared" si="42"/>
        <v>-9.2544857478380855</v>
      </c>
      <c r="K166" s="5">
        <f t="shared" si="43"/>
        <v>-7.2916154820167369</v>
      </c>
    </row>
    <row r="167" spans="2:11" x14ac:dyDescent="0.35">
      <c r="B167">
        <f t="shared" si="44"/>
        <v>7.0999999999999908</v>
      </c>
      <c r="I167">
        <f t="shared" si="41"/>
        <v>-8.427020400311962</v>
      </c>
      <c r="J167" s="5">
        <f t="shared" si="42"/>
        <v>-9.4084555332226358</v>
      </c>
      <c r="K167" s="5">
        <f t="shared" si="43"/>
        <v>-7.4455852674012872</v>
      </c>
    </row>
    <row r="168" spans="2:11" x14ac:dyDescent="0.35">
      <c r="B168">
        <f t="shared" si="44"/>
        <v>7.1999999999999904</v>
      </c>
      <c r="I168">
        <f t="shared" si="41"/>
        <v>-8.5809901856965123</v>
      </c>
      <c r="J168" s="5">
        <f t="shared" si="42"/>
        <v>-9.5624253186071861</v>
      </c>
      <c r="K168" s="5">
        <f t="shared" si="43"/>
        <v>-7.5995550527858375</v>
      </c>
    </row>
    <row r="169" spans="2:11" x14ac:dyDescent="0.35">
      <c r="B169">
        <f t="shared" si="44"/>
        <v>7.2999999999999901</v>
      </c>
      <c r="I169">
        <f t="shared" si="41"/>
        <v>-8.7349599710810626</v>
      </c>
      <c r="J169" s="5">
        <f t="shared" si="42"/>
        <v>-9.7163951039917364</v>
      </c>
      <c r="K169" s="5">
        <f t="shared" si="43"/>
        <v>-7.7535248381703878</v>
      </c>
    </row>
    <row r="170" spans="2:11" x14ac:dyDescent="0.35">
      <c r="B170">
        <f t="shared" si="44"/>
        <v>7.3999999999999897</v>
      </c>
      <c r="I170">
        <f t="shared" si="41"/>
        <v>-8.8889297564656129</v>
      </c>
      <c r="J170" s="5">
        <f t="shared" si="42"/>
        <v>-9.8703648893762868</v>
      </c>
      <c r="K170" s="5">
        <f t="shared" si="43"/>
        <v>-7.9074946235549382</v>
      </c>
    </row>
    <row r="171" spans="2:11" x14ac:dyDescent="0.35">
      <c r="B171">
        <f t="shared" si="44"/>
        <v>7.4999999999999893</v>
      </c>
      <c r="I171">
        <f t="shared" si="41"/>
        <v>-9.0428995418501632</v>
      </c>
      <c r="J171" s="5">
        <f t="shared" si="42"/>
        <v>-10.024334674760837</v>
      </c>
      <c r="K171" s="5">
        <f t="shared" si="43"/>
        <v>-8.0614644089394893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79324-B61C-46C4-BF90-B7FF00BD99AB}">
  <dimension ref="A1:BI171"/>
  <sheetViews>
    <sheetView topLeftCell="H1" zoomScaleNormal="100" workbookViewId="0">
      <selection activeCell="S4" sqref="S4"/>
    </sheetView>
  </sheetViews>
  <sheetFormatPr defaultRowHeight="14.5" x14ac:dyDescent="0.35"/>
  <cols>
    <col min="1" max="1" width="15.453125" customWidth="1"/>
    <col min="5" max="5" width="12" bestFit="1" customWidth="1"/>
    <col min="6" max="6" width="11.81640625" customWidth="1"/>
    <col min="19" max="19" width="12" bestFit="1" customWidth="1"/>
    <col min="26" max="26" width="19.81640625" customWidth="1"/>
    <col min="27" max="27" width="10.54296875" customWidth="1"/>
  </cols>
  <sheetData>
    <row r="1" spans="1:61" ht="16" thickBot="1" x14ac:dyDescent="0.4">
      <c r="G1">
        <v>-2.1121689657241656</v>
      </c>
      <c r="I1">
        <v>0.82311703894169874</v>
      </c>
      <c r="K1" s="2">
        <v>-0.42817743051923129</v>
      </c>
      <c r="M1">
        <v>-0.47620544148862715</v>
      </c>
      <c r="O1">
        <v>-0.51640427478823681</v>
      </c>
      <c r="Q1">
        <v>-2.3495841648879346E-2</v>
      </c>
      <c r="S1" s="2">
        <v>-2.3285762864696231</v>
      </c>
      <c r="U1">
        <v>-0.54576590118507518</v>
      </c>
      <c r="Z1" s="23" t="s">
        <v>560</v>
      </c>
      <c r="AA1" s="23" t="s">
        <v>561</v>
      </c>
    </row>
    <row r="2" spans="1:61" ht="16" thickBot="1" x14ac:dyDescent="0.4">
      <c r="G2" s="2">
        <v>-4.418119270958458E-2</v>
      </c>
      <c r="I2">
        <v>9.4308035066042864E-2</v>
      </c>
      <c r="M2" s="2">
        <v>4.8658301447673849E-6</v>
      </c>
      <c r="O2" s="2">
        <v>5.8500742658712297E-5</v>
      </c>
      <c r="Q2">
        <f>-Q1</f>
        <v>2.3495841648879346E-2</v>
      </c>
      <c r="Z2" s="23" t="s">
        <v>556</v>
      </c>
      <c r="AA2" s="35">
        <f>J5</f>
        <v>8.1532613048905134E-2</v>
      </c>
      <c r="AB2" s="24">
        <f t="shared" ref="AB2:AB5" si="0">AA2</f>
        <v>8.1532613048905134E-2</v>
      </c>
    </row>
    <row r="3" spans="1:61" ht="15.5" x14ac:dyDescent="0.35">
      <c r="I3">
        <v>-2.4011625961475529</v>
      </c>
      <c r="Z3" s="23" t="s">
        <v>557</v>
      </c>
      <c r="AA3" s="35">
        <f>H5</f>
        <v>0.19960412323643875</v>
      </c>
      <c r="AB3" s="24">
        <f t="shared" si="0"/>
        <v>0.19960412323643875</v>
      </c>
      <c r="AQ3" s="4"/>
      <c r="AR3" s="4"/>
      <c r="BA3" s="4"/>
      <c r="BB3" s="4"/>
    </row>
    <row r="4" spans="1:61" ht="15.5" x14ac:dyDescent="0.35">
      <c r="Z4" s="23" t="s">
        <v>555</v>
      </c>
      <c r="AA4" s="35">
        <f>T5</f>
        <v>0.26942738379205211</v>
      </c>
      <c r="AB4" s="24">
        <f t="shared" si="0"/>
        <v>0.26942738379205211</v>
      </c>
    </row>
    <row r="5" spans="1:61" ht="15.5" x14ac:dyDescent="0.35">
      <c r="F5" t="s">
        <v>721</v>
      </c>
      <c r="H5">
        <f>EXP(H8)/$E8</f>
        <v>0.19960412323643875</v>
      </c>
      <c r="J5">
        <f>EXP(J8)/$E8</f>
        <v>8.1532613048905134E-2</v>
      </c>
      <c r="L5">
        <f>EXP(L8)/$E8</f>
        <v>0.12666988210101554</v>
      </c>
      <c r="N5">
        <f>EXP(N8)/$E8</f>
        <v>9.5591392018661972E-2</v>
      </c>
      <c r="P5">
        <f>EXP(P8)/$E8</f>
        <v>0.10029765285902004</v>
      </c>
      <c r="R5">
        <f>EXP(R8)/$E8</f>
        <v>3.6964696900215262E-2</v>
      </c>
      <c r="T5">
        <f>EXP(T8)/$E8</f>
        <v>0.26942738379205211</v>
      </c>
      <c r="V5">
        <f>EXP(V8)/$E8</f>
        <v>8.9912256043691158E-2</v>
      </c>
      <c r="Z5" s="23" t="s">
        <v>559</v>
      </c>
      <c r="AA5" s="35">
        <f>R5</f>
        <v>3.6964696900215262E-2</v>
      </c>
      <c r="AB5" s="24">
        <f t="shared" si="0"/>
        <v>3.6964696900215262E-2</v>
      </c>
    </row>
    <row r="6" spans="1:61" ht="15.5" x14ac:dyDescent="0.35">
      <c r="F6" t="s">
        <v>720</v>
      </c>
      <c r="H6">
        <v>2</v>
      </c>
      <c r="J6">
        <v>3</v>
      </c>
      <c r="L6">
        <v>1</v>
      </c>
      <c r="N6">
        <v>2</v>
      </c>
      <c r="P6">
        <v>2</v>
      </c>
      <c r="R6">
        <v>1</v>
      </c>
      <c r="T6">
        <v>1</v>
      </c>
      <c r="V6">
        <v>1</v>
      </c>
      <c r="X6">
        <f>SUM(H6:V6)</f>
        <v>13</v>
      </c>
      <c r="Z6" s="23" t="s">
        <v>543</v>
      </c>
      <c r="AA6" s="35">
        <f>P5</f>
        <v>0.10029765285902004</v>
      </c>
      <c r="AB6" s="24">
        <f>AA6</f>
        <v>0.10029765285902004</v>
      </c>
    </row>
    <row r="7" spans="1:61" ht="15.5" x14ac:dyDescent="0.35">
      <c r="E7">
        <f>SUM(D10:D78)</f>
        <v>4</v>
      </c>
      <c r="F7" t="s">
        <v>719</v>
      </c>
      <c r="H7" s="5">
        <f>SQRT(H9/($E7-H6))</f>
        <v>5.5517910110316135</v>
      </c>
      <c r="I7" s="5"/>
      <c r="J7" s="5">
        <f>SQRT(J9/($E7-J6))</f>
        <v>7.8691795808905374</v>
      </c>
      <c r="K7" s="5"/>
      <c r="L7" s="5">
        <f>SQRT(L9/($E7-L6))</f>
        <v>5.4893425732997425</v>
      </c>
      <c r="M7" s="5"/>
      <c r="N7" s="5">
        <f>SQRT(N9/($E7-N6))</f>
        <v>6.6737631557054593</v>
      </c>
      <c r="O7" s="5"/>
      <c r="P7" s="5">
        <f>SQRT(P9/($E7-P6))</f>
        <v>6.5940584736063252</v>
      </c>
      <c r="Q7" s="5"/>
      <c r="R7" s="5">
        <f>SQRT(R9/($E7-R6))</f>
        <v>7.4686462352562373</v>
      </c>
      <c r="S7" s="5"/>
      <c r="T7" s="5">
        <f>SQRT(T9/($E7-T6))</f>
        <v>4.5454642114416526</v>
      </c>
      <c r="U7" s="5"/>
      <c r="V7" s="5">
        <f>SQRT(V9/($E7-V6))</f>
        <v>5.9804512213996386</v>
      </c>
      <c r="X7" s="5" t="e">
        <f>SQRT(X9/($E7-X6))</f>
        <v>#NUM!</v>
      </c>
      <c r="Z7" s="23" t="s">
        <v>542</v>
      </c>
      <c r="AA7" s="35">
        <f>N5</f>
        <v>9.5591392018661972E-2</v>
      </c>
      <c r="AB7" s="24">
        <f>AA7</f>
        <v>9.5591392018661972E-2</v>
      </c>
    </row>
    <row r="8" spans="1:61" ht="16" thickBot="1" x14ac:dyDescent="0.4">
      <c r="E8">
        <f>EXP(H8)+EXP(J8)+EXP(L8)+EXP(N8)+EXP(P8)+EXP(R8)+EXP(T8)+EXP(V8)</f>
        <v>1.9400082298171488E-3</v>
      </c>
      <c r="F8" t="s">
        <v>718</v>
      </c>
      <c r="G8" t="s">
        <v>539</v>
      </c>
      <c r="H8">
        <f>-H9/2/H7^2-$E7*LN(H7)</f>
        <v>-7.8564823215630586</v>
      </c>
      <c r="I8" t="s">
        <v>324</v>
      </c>
      <c r="J8">
        <f>-J9/2/J7^2-$E7*LN(J7)</f>
        <v>-8.7518152424108688</v>
      </c>
      <c r="K8" t="s">
        <v>540</v>
      </c>
      <c r="L8">
        <f>-L9/2/L7^2-$E7*LN(L7)</f>
        <v>-8.311233993986102</v>
      </c>
      <c r="M8" t="s">
        <v>542</v>
      </c>
      <c r="N8">
        <f>-N9/2/N7^2-$E7*LN(N7)</f>
        <v>-8.5927355683666793</v>
      </c>
      <c r="O8" t="s">
        <v>543</v>
      </c>
      <c r="P8">
        <f>-P9/2/P7^2-$E7*LN(P7)</f>
        <v>-8.5446760492363509</v>
      </c>
      <c r="Q8" t="s">
        <v>541</v>
      </c>
      <c r="R8">
        <f>-R9/2/R7^2-$E7*LN(R7)</f>
        <v>-9.5428550233912937</v>
      </c>
      <c r="S8" t="s">
        <v>544</v>
      </c>
      <c r="T8">
        <f>-T9/2/T7^2-$E7*LN(T7)</f>
        <v>-7.5565194365787125</v>
      </c>
      <c r="U8" t="s">
        <v>723</v>
      </c>
      <c r="V8">
        <f>-V9/2/V7^2-$E7*LN(V7)</f>
        <v>-8.6539840807980024</v>
      </c>
      <c r="X8" t="e">
        <f>-X9/2/X7^2-$E7*LN(X7)</f>
        <v>#NUM!</v>
      </c>
      <c r="Z8" s="23" t="s">
        <v>558</v>
      </c>
      <c r="AA8" s="35">
        <f>L5</f>
        <v>0.12666988210101554</v>
      </c>
      <c r="AB8" s="24">
        <f>AA8</f>
        <v>0.12666988210101554</v>
      </c>
      <c r="AQ8" s="2"/>
      <c r="AR8" s="2"/>
      <c r="BA8" s="2"/>
      <c r="BB8" s="2"/>
    </row>
    <row r="9" spans="1:61" ht="15.5" x14ac:dyDescent="0.35">
      <c r="B9" t="s">
        <v>544</v>
      </c>
      <c r="C9" t="s">
        <v>624</v>
      </c>
      <c r="D9" t="s">
        <v>623</v>
      </c>
      <c r="F9" t="s">
        <v>717</v>
      </c>
      <c r="H9">
        <f>SUM(H10:H78)</f>
        <v>61.644766860342855</v>
      </c>
      <c r="J9">
        <f>SUM(J10:J78)</f>
        <v>61.923987276304572</v>
      </c>
      <c r="L9">
        <f>SUM(L10:L78)</f>
        <v>90.398645661123112</v>
      </c>
      <c r="N9">
        <f>SUM(N10:N78)</f>
        <v>89.078229316903389</v>
      </c>
      <c r="P9">
        <f>SUM(P10:P78)</f>
        <v>86.963214306678751</v>
      </c>
      <c r="R9">
        <f>SUM(R10:R78)</f>
        <v>167.3420297622215</v>
      </c>
      <c r="T9">
        <f>SUM(T10:T78)</f>
        <v>61.983734692490643</v>
      </c>
      <c r="V9">
        <f>SUM(V10:V78)</f>
        <v>107.29739043462129</v>
      </c>
      <c r="X9">
        <f>SUM(X10:X78)</f>
        <v>66.203586178071745</v>
      </c>
      <c r="Z9" s="23" t="s">
        <v>724</v>
      </c>
      <c r="AA9" s="11">
        <f>V5</f>
        <v>8.9912256043691158E-2</v>
      </c>
      <c r="AB9" s="24">
        <f>AA9</f>
        <v>8.9912256043691158E-2</v>
      </c>
    </row>
    <row r="10" spans="1:61" ht="15" thickBot="1" x14ac:dyDescent="0.4">
      <c r="A10" t="str">
        <f>Table1!A3</f>
        <v>d'Arge 1979</v>
      </c>
      <c r="B10">
        <f>Table1!C3</f>
        <v>-1</v>
      </c>
      <c r="C10">
        <f>Table1!E3</f>
        <v>-0.59642907312262095</v>
      </c>
      <c r="D10">
        <v>0</v>
      </c>
      <c r="G10">
        <f t="shared" ref="G10:G73" si="1">G$1*B10+G$2*B10^2</f>
        <v>2.0679877730145808</v>
      </c>
      <c r="H10">
        <f t="shared" ref="H10:H73" si="2">$D10*(G10-$C10)^2</f>
        <v>0</v>
      </c>
      <c r="I10">
        <f t="shared" ref="I10:I73" si="3">IF(B10&lt;=I$2,B10*I$1,I$1*I$2+I$3*(B10-I$2))</f>
        <v>-0.82311703894169874</v>
      </c>
      <c r="J10">
        <f t="shared" ref="J10:J73" si="4">$D10*(I10-$C10)^2</f>
        <v>0</v>
      </c>
      <c r="K10">
        <f t="shared" ref="K10:K73" si="5">K$1*B10^2</f>
        <v>-0.42817743051923129</v>
      </c>
      <c r="L10">
        <f t="shared" ref="L10:L73" si="6">$D10*(K10-$C10)^2</f>
        <v>0</v>
      </c>
      <c r="M10">
        <f t="shared" ref="M10:M73" si="7">M$1*B10^2+M$2*B10^7</f>
        <v>-0.4762103073187719</v>
      </c>
      <c r="N10">
        <f t="shared" ref="N10:N73" si="8">$D10*(M10-$C10)^2</f>
        <v>0</v>
      </c>
      <c r="O10" s="24">
        <f t="shared" ref="O10:O73" si="9">O$1*B10^2+O$2*B10^6</f>
        <v>-0.51634577404557813</v>
      </c>
      <c r="P10">
        <f t="shared" ref="P10:P73" si="10">$D10*(O10-$C10)^2</f>
        <v>0</v>
      </c>
      <c r="Q10">
        <f t="shared" ref="Q10:Q73" si="11">Q$2+Q$1*EXP(B10)</f>
        <v>1.4852204553236912E-2</v>
      </c>
      <c r="R10">
        <f t="shared" ref="R10:R73" si="12">$D10*(Q10-$C10)^2</f>
        <v>0</v>
      </c>
      <c r="S10">
        <f t="shared" ref="S10:S73" si="13">S$1*B10</f>
        <v>2.3285762864696231</v>
      </c>
      <c r="T10">
        <f t="shared" ref="T10:T73" si="14">$D10*(S10-$C10)^2</f>
        <v>0</v>
      </c>
      <c r="U10">
        <f>(1-EXP(-2*U$1*B10))/2/EXP(-U$1*B10)</f>
        <v>0.57326595804236147</v>
      </c>
      <c r="V10">
        <f t="shared" ref="V10:V73" si="15">$D10*(U10-$C10)^2</f>
        <v>0</v>
      </c>
      <c r="W10" s="33">
        <f>G10*H$5+I10*J$5+K10*L$5+M10*N$5+O10*P$5+Q10*R$5+S10*T$5+U10*V$5</f>
        <v>0.87359580291735817</v>
      </c>
      <c r="X10">
        <f t="shared" ref="X10:X73" si="16">$D10*(W10-$C10)^2</f>
        <v>0</v>
      </c>
    </row>
    <row r="11" spans="1:61" x14ac:dyDescent="0.35">
      <c r="A11" t="str">
        <f>Table1!A4</f>
        <v>Nordhaus 1982</v>
      </c>
      <c r="B11">
        <f>Table1!C4</f>
        <v>2.5</v>
      </c>
      <c r="C11">
        <f>Table1!E4</f>
        <v>-3</v>
      </c>
      <c r="D11">
        <v>0</v>
      </c>
      <c r="G11">
        <f t="shared" si="1"/>
        <v>-5.5565548687453177</v>
      </c>
      <c r="H11">
        <f t="shared" si="2"/>
        <v>0</v>
      </c>
      <c r="I11">
        <f t="shared" si="3"/>
        <v>-5.6988310134801576</v>
      </c>
      <c r="J11">
        <f t="shared" si="4"/>
        <v>0</v>
      </c>
      <c r="K11">
        <f t="shared" si="5"/>
        <v>-2.6761089407451957</v>
      </c>
      <c r="L11">
        <f t="shared" si="6"/>
        <v>0</v>
      </c>
      <c r="M11">
        <f t="shared" si="7"/>
        <v>-2.9733141422722014</v>
      </c>
      <c r="N11">
        <f t="shared" si="8"/>
        <v>0</v>
      </c>
      <c r="O11" s="24">
        <f t="shared" si="9"/>
        <v>-3.2132443095508179</v>
      </c>
      <c r="P11">
        <f t="shared" si="10"/>
        <v>0</v>
      </c>
      <c r="Q11">
        <f t="shared" si="11"/>
        <v>-0.2627421073402384</v>
      </c>
      <c r="R11">
        <f t="shared" si="12"/>
        <v>0</v>
      </c>
      <c r="S11">
        <f t="shared" si="13"/>
        <v>-5.8214407161740578</v>
      </c>
      <c r="T11">
        <f t="shared" si="14"/>
        <v>0</v>
      </c>
      <c r="U11">
        <f t="shared" ref="U11:U74" si="17">(1-EXP(-2*U$1*B11))/2/EXP(-U$1*B11)</f>
        <v>-1.8289509383128071</v>
      </c>
      <c r="V11">
        <f t="shared" si="15"/>
        <v>0</v>
      </c>
      <c r="W11" s="33">
        <f t="shared" ref="W11:W74" si="18">G11*H$5+I11*J$5+K11*L$5+M11*N$5+O11*P$5+Q11*R$5+S11*T$5+U11*V$5</f>
        <v>-4.2618511802140349</v>
      </c>
      <c r="X11">
        <f t="shared" si="16"/>
        <v>0</v>
      </c>
      <c r="AQ11" s="3"/>
      <c r="AR11" s="3"/>
      <c r="AS11" s="3"/>
      <c r="AT11" s="3"/>
      <c r="AU11" s="3"/>
      <c r="AV11" s="3"/>
      <c r="BA11" s="3"/>
      <c r="BB11" s="3"/>
      <c r="BC11" s="3"/>
      <c r="BD11" s="3"/>
      <c r="BE11" s="3"/>
      <c r="BF11" s="3"/>
    </row>
    <row r="12" spans="1:61" x14ac:dyDescent="0.35">
      <c r="A12" t="str">
        <f>Table1!A5</f>
        <v>Nordhaus 1991</v>
      </c>
      <c r="B12">
        <f>Table1!C5</f>
        <v>3</v>
      </c>
      <c r="C12">
        <f>Table1!E5</f>
        <v>-1</v>
      </c>
      <c r="D12">
        <v>0</v>
      </c>
      <c r="G12">
        <f t="shared" si="1"/>
        <v>-6.7341376315587578</v>
      </c>
      <c r="H12">
        <f t="shared" si="2"/>
        <v>0</v>
      </c>
      <c r="I12">
        <f t="shared" si="3"/>
        <v>-6.8994123115539345</v>
      </c>
      <c r="J12">
        <f t="shared" si="4"/>
        <v>0</v>
      </c>
      <c r="K12">
        <f t="shared" si="5"/>
        <v>-3.8535968746730815</v>
      </c>
      <c r="L12">
        <f t="shared" si="6"/>
        <v>0</v>
      </c>
      <c r="M12">
        <f t="shared" si="7"/>
        <v>-4.2752074028710378</v>
      </c>
      <c r="N12">
        <f t="shared" si="8"/>
        <v>0</v>
      </c>
      <c r="O12" s="24">
        <f t="shared" si="9"/>
        <v>-4.6049914316959306</v>
      </c>
      <c r="P12">
        <f t="shared" si="10"/>
        <v>0</v>
      </c>
      <c r="Q12">
        <f t="shared" si="11"/>
        <v>-0.44843075333105736</v>
      </c>
      <c r="R12">
        <f t="shared" si="12"/>
        <v>0</v>
      </c>
      <c r="S12">
        <f t="shared" si="13"/>
        <v>-6.9857288594088693</v>
      </c>
      <c r="T12">
        <f t="shared" si="14"/>
        <v>0</v>
      </c>
      <c r="U12">
        <f t="shared" si="17"/>
        <v>-2.4733762894242042</v>
      </c>
      <c r="V12">
        <f t="shared" si="15"/>
        <v>0</v>
      </c>
      <c r="W12" s="33">
        <f t="shared" si="18"/>
        <v>-5.386475872163075</v>
      </c>
      <c r="X12">
        <f t="shared" si="16"/>
        <v>0</v>
      </c>
    </row>
    <row r="13" spans="1:61" x14ac:dyDescent="0.35">
      <c r="A13" t="str">
        <f>Table1!A6</f>
        <v>Nordhaus 1994b</v>
      </c>
      <c r="B13">
        <f>Table1!C6</f>
        <v>3</v>
      </c>
      <c r="C13">
        <f>Table1!E6</f>
        <v>-1.33</v>
      </c>
      <c r="D13">
        <v>0</v>
      </c>
      <c r="G13">
        <f t="shared" si="1"/>
        <v>-6.7341376315587578</v>
      </c>
      <c r="H13">
        <f t="shared" si="2"/>
        <v>0</v>
      </c>
      <c r="I13">
        <f t="shared" si="3"/>
        <v>-6.8994123115539345</v>
      </c>
      <c r="J13">
        <f t="shared" si="4"/>
        <v>0</v>
      </c>
      <c r="K13">
        <f t="shared" si="5"/>
        <v>-3.8535968746730815</v>
      </c>
      <c r="L13">
        <f t="shared" si="6"/>
        <v>0</v>
      </c>
      <c r="M13">
        <f t="shared" si="7"/>
        <v>-4.2752074028710378</v>
      </c>
      <c r="N13">
        <f t="shared" si="8"/>
        <v>0</v>
      </c>
      <c r="O13" s="24">
        <f t="shared" si="9"/>
        <v>-4.6049914316959306</v>
      </c>
      <c r="P13">
        <f t="shared" si="10"/>
        <v>0</v>
      </c>
      <c r="Q13">
        <f t="shared" si="11"/>
        <v>-0.44843075333105736</v>
      </c>
      <c r="R13">
        <f t="shared" si="12"/>
        <v>0</v>
      </c>
      <c r="S13">
        <f t="shared" si="13"/>
        <v>-6.9857288594088693</v>
      </c>
      <c r="T13">
        <f t="shared" si="14"/>
        <v>0</v>
      </c>
      <c r="U13">
        <f t="shared" si="17"/>
        <v>-2.4733762894242042</v>
      </c>
      <c r="V13">
        <f t="shared" si="15"/>
        <v>0</v>
      </c>
      <c r="W13" s="33">
        <f t="shared" si="18"/>
        <v>-5.386475872163075</v>
      </c>
      <c r="X13">
        <f t="shared" si="16"/>
        <v>0</v>
      </c>
    </row>
    <row r="14" spans="1:61" ht="15" thickBot="1" x14ac:dyDescent="0.4">
      <c r="A14" t="str">
        <f>Table1!A7</f>
        <v>Nordhaus 1994a</v>
      </c>
      <c r="B14">
        <f>Table1!C7</f>
        <v>3</v>
      </c>
      <c r="C14">
        <f>Table1!E7</f>
        <v>-3.6</v>
      </c>
      <c r="D14">
        <v>0.5</v>
      </c>
      <c r="G14">
        <f t="shared" si="1"/>
        <v>-6.7341376315587578</v>
      </c>
      <c r="H14">
        <f t="shared" si="2"/>
        <v>4.9114093467763693</v>
      </c>
      <c r="I14">
        <f t="shared" si="3"/>
        <v>-6.8994123115539345</v>
      </c>
      <c r="J14">
        <f t="shared" si="4"/>
        <v>5.4430608008168386</v>
      </c>
      <c r="K14">
        <f t="shared" si="5"/>
        <v>-3.8535968746730815</v>
      </c>
      <c r="L14">
        <f t="shared" si="6"/>
        <v>3.2155687421977289E-2</v>
      </c>
      <c r="M14">
        <f t="shared" si="7"/>
        <v>-4.2752074028710378</v>
      </c>
      <c r="N14">
        <f t="shared" si="8"/>
        <v>0.22795251844592593</v>
      </c>
      <c r="O14" s="24">
        <f t="shared" si="9"/>
        <v>-4.6049914316959306</v>
      </c>
      <c r="P14">
        <f t="shared" si="10"/>
        <v>0.50500388889111814</v>
      </c>
      <c r="Q14">
        <f t="shared" si="11"/>
        <v>-0.44843075333105736</v>
      </c>
      <c r="R14">
        <f t="shared" si="12"/>
        <v>4.9661943582747243</v>
      </c>
      <c r="S14">
        <f t="shared" si="13"/>
        <v>-6.9857288594088693</v>
      </c>
      <c r="T14">
        <f t="shared" si="14"/>
        <v>5.7315799547170414</v>
      </c>
      <c r="U14">
        <f t="shared" si="17"/>
        <v>-2.4733762894242042</v>
      </c>
      <c r="V14">
        <f t="shared" si="15"/>
        <v>0.63464049261578737</v>
      </c>
      <c r="W14" s="33">
        <f t="shared" si="18"/>
        <v>-5.386475872163075</v>
      </c>
      <c r="X14">
        <f t="shared" si="16"/>
        <v>1.5957480209104096</v>
      </c>
      <c r="AQ14" s="2"/>
      <c r="AR14" s="2"/>
      <c r="AS14" s="2"/>
      <c r="AT14" s="2"/>
      <c r="AU14" s="2"/>
      <c r="AV14" s="2"/>
      <c r="BA14" s="2"/>
      <c r="BB14" s="2"/>
      <c r="BC14" s="2"/>
      <c r="BD14" s="2"/>
      <c r="BE14" s="2"/>
      <c r="BF14" s="2"/>
    </row>
    <row r="15" spans="1:61" ht="15" thickBot="1" x14ac:dyDescent="0.4">
      <c r="A15">
        <f>Table1!A8</f>
        <v>0</v>
      </c>
      <c r="B15">
        <f>Table1!C8</f>
        <v>6</v>
      </c>
      <c r="C15">
        <f>Table1!E8</f>
        <v>-6.7</v>
      </c>
      <c r="D15">
        <v>0.5</v>
      </c>
      <c r="G15">
        <f t="shared" si="1"/>
        <v>-14.263536731890037</v>
      </c>
      <c r="H15">
        <f t="shared" si="2"/>
        <v>28.603543947324908</v>
      </c>
      <c r="I15">
        <f t="shared" si="3"/>
        <v>-14.102900099996592</v>
      </c>
      <c r="J15">
        <f t="shared" si="4"/>
        <v>27.401464945264777</v>
      </c>
      <c r="K15">
        <f t="shared" si="5"/>
        <v>-15.414387498692326</v>
      </c>
      <c r="L15">
        <f t="shared" si="6"/>
        <v>37.970274738682541</v>
      </c>
      <c r="M15">
        <f t="shared" si="7"/>
        <v>-15.781274866184972</v>
      </c>
      <c r="N15">
        <f t="shared" si="8"/>
        <v>41.234776597601453</v>
      </c>
      <c r="O15" s="24">
        <f t="shared" si="9"/>
        <v>-15.861143242891645</v>
      </c>
      <c r="P15">
        <f t="shared" si="10"/>
        <v>41.963272758389614</v>
      </c>
      <c r="Q15">
        <f t="shared" si="11"/>
        <v>-9.4554032068548715</v>
      </c>
      <c r="R15">
        <f t="shared" si="12"/>
        <v>3.7961234161730544</v>
      </c>
      <c r="S15">
        <f t="shared" si="13"/>
        <v>-13.971457718817739</v>
      </c>
      <c r="T15">
        <f t="shared" si="14"/>
        <v>26.437048678277034</v>
      </c>
      <c r="U15">
        <f t="shared" si="17"/>
        <v>-13.197348365410329</v>
      </c>
      <c r="V15">
        <f t="shared" si="15"/>
        <v>21.107767890750139</v>
      </c>
      <c r="W15" s="33">
        <f t="shared" si="18"/>
        <v>-14.349247938550857</v>
      </c>
      <c r="X15">
        <f t="shared" si="16"/>
        <v>29.255497012712265</v>
      </c>
    </row>
    <row r="16" spans="1:61" x14ac:dyDescent="0.35">
      <c r="A16" t="str">
        <f>Table1!A9</f>
        <v>Fankhauser 1995</v>
      </c>
      <c r="B16">
        <f>Table1!C9</f>
        <v>2.5</v>
      </c>
      <c r="C16">
        <f>Table1!E9</f>
        <v>-1.4</v>
      </c>
      <c r="D16">
        <v>0</v>
      </c>
      <c r="G16">
        <f t="shared" si="1"/>
        <v>-5.5565548687453177</v>
      </c>
      <c r="H16">
        <f t="shared" si="2"/>
        <v>0</v>
      </c>
      <c r="I16">
        <f t="shared" si="3"/>
        <v>-5.6988310134801576</v>
      </c>
      <c r="J16">
        <f t="shared" si="4"/>
        <v>0</v>
      </c>
      <c r="K16">
        <f t="shared" si="5"/>
        <v>-2.6761089407451957</v>
      </c>
      <c r="L16">
        <f t="shared" si="6"/>
        <v>0</v>
      </c>
      <c r="M16">
        <f t="shared" si="7"/>
        <v>-2.9733141422722014</v>
      </c>
      <c r="N16">
        <f t="shared" si="8"/>
        <v>0</v>
      </c>
      <c r="O16" s="24">
        <f t="shared" si="9"/>
        <v>-3.2132443095508179</v>
      </c>
      <c r="P16">
        <f t="shared" si="10"/>
        <v>0</v>
      </c>
      <c r="Q16">
        <f t="shared" si="11"/>
        <v>-0.2627421073402384</v>
      </c>
      <c r="R16">
        <f t="shared" si="12"/>
        <v>0</v>
      </c>
      <c r="S16">
        <f t="shared" si="13"/>
        <v>-5.8214407161740578</v>
      </c>
      <c r="T16">
        <f t="shared" si="14"/>
        <v>0</v>
      </c>
      <c r="U16">
        <f t="shared" si="17"/>
        <v>-1.8289509383128071</v>
      </c>
      <c r="V16">
        <f t="shared" si="15"/>
        <v>0</v>
      </c>
      <c r="W16" s="33">
        <f t="shared" si="18"/>
        <v>-4.2618511802140349</v>
      </c>
      <c r="X16">
        <f t="shared" si="16"/>
        <v>0</v>
      </c>
      <c r="AQ16" s="3"/>
      <c r="AR16" s="3"/>
      <c r="AS16" s="3"/>
      <c r="AT16" s="3"/>
      <c r="AU16" s="3"/>
      <c r="AV16" s="3"/>
      <c r="AW16" s="3"/>
      <c r="AX16" s="3"/>
      <c r="AY16" s="3"/>
      <c r="BA16" s="3"/>
      <c r="BB16" s="3"/>
      <c r="BC16" s="3"/>
      <c r="BD16" s="3"/>
      <c r="BE16" s="3"/>
      <c r="BF16" s="3"/>
      <c r="BG16" s="3"/>
      <c r="BH16" s="3"/>
      <c r="BI16" s="3"/>
    </row>
    <row r="17" spans="1:61" x14ac:dyDescent="0.35">
      <c r="A17" t="str">
        <f>Table1!A10</f>
        <v>Berz undated</v>
      </c>
      <c r="B17">
        <f>Table1!C10</f>
        <v>2.5</v>
      </c>
      <c r="C17">
        <f>Table1!E10</f>
        <v>-1.5</v>
      </c>
      <c r="D17">
        <v>0</v>
      </c>
      <c r="G17">
        <f t="shared" si="1"/>
        <v>-5.5565548687453177</v>
      </c>
      <c r="H17">
        <f t="shared" si="2"/>
        <v>0</v>
      </c>
      <c r="I17">
        <f t="shared" si="3"/>
        <v>-5.6988310134801576</v>
      </c>
      <c r="J17">
        <f t="shared" si="4"/>
        <v>0</v>
      </c>
      <c r="K17">
        <f t="shared" si="5"/>
        <v>-2.6761089407451957</v>
      </c>
      <c r="L17">
        <f t="shared" si="6"/>
        <v>0</v>
      </c>
      <c r="M17">
        <f t="shared" si="7"/>
        <v>-2.9733141422722014</v>
      </c>
      <c r="N17">
        <f t="shared" si="8"/>
        <v>0</v>
      </c>
      <c r="O17" s="24">
        <f t="shared" si="9"/>
        <v>-3.2132443095508179</v>
      </c>
      <c r="P17">
        <f t="shared" si="10"/>
        <v>0</v>
      </c>
      <c r="Q17">
        <f t="shared" si="11"/>
        <v>-0.2627421073402384</v>
      </c>
      <c r="R17">
        <f t="shared" si="12"/>
        <v>0</v>
      </c>
      <c r="S17">
        <f t="shared" si="13"/>
        <v>-5.8214407161740578</v>
      </c>
      <c r="T17">
        <f t="shared" si="14"/>
        <v>0</v>
      </c>
      <c r="U17">
        <f t="shared" si="17"/>
        <v>-1.8289509383128071</v>
      </c>
      <c r="V17">
        <f t="shared" si="15"/>
        <v>0</v>
      </c>
      <c r="W17" s="33">
        <f t="shared" si="18"/>
        <v>-4.2618511802140349</v>
      </c>
      <c r="X17">
        <f t="shared" si="16"/>
        <v>0</v>
      </c>
    </row>
    <row r="18" spans="1:61" ht="15" thickBot="1" x14ac:dyDescent="0.4">
      <c r="A18" t="str">
        <f>Table1!A11</f>
        <v>Tol 1995</v>
      </c>
      <c r="B18">
        <f>Table1!C11</f>
        <v>2.5</v>
      </c>
      <c r="C18">
        <f>Table1!E11</f>
        <v>-1.9</v>
      </c>
      <c r="D18">
        <v>0</v>
      </c>
      <c r="G18">
        <f t="shared" si="1"/>
        <v>-5.5565548687453177</v>
      </c>
      <c r="H18">
        <f t="shared" si="2"/>
        <v>0</v>
      </c>
      <c r="I18">
        <f t="shared" si="3"/>
        <v>-5.6988310134801576</v>
      </c>
      <c r="J18">
        <f t="shared" si="4"/>
        <v>0</v>
      </c>
      <c r="K18">
        <f t="shared" si="5"/>
        <v>-2.6761089407451957</v>
      </c>
      <c r="L18">
        <f t="shared" si="6"/>
        <v>0</v>
      </c>
      <c r="M18">
        <f t="shared" si="7"/>
        <v>-2.9733141422722014</v>
      </c>
      <c r="N18">
        <f t="shared" si="8"/>
        <v>0</v>
      </c>
      <c r="O18" s="24">
        <f t="shared" si="9"/>
        <v>-3.2132443095508179</v>
      </c>
      <c r="P18">
        <f t="shared" si="10"/>
        <v>0</v>
      </c>
      <c r="Q18">
        <f t="shared" si="11"/>
        <v>-0.2627421073402384</v>
      </c>
      <c r="R18">
        <f t="shared" si="12"/>
        <v>0</v>
      </c>
      <c r="S18">
        <f t="shared" si="13"/>
        <v>-5.8214407161740578</v>
      </c>
      <c r="T18">
        <f t="shared" si="14"/>
        <v>0</v>
      </c>
      <c r="U18">
        <f t="shared" si="17"/>
        <v>-1.8289509383128071</v>
      </c>
      <c r="V18">
        <f t="shared" si="15"/>
        <v>0</v>
      </c>
      <c r="W18" s="33">
        <f t="shared" si="18"/>
        <v>-4.2618511802140349</v>
      </c>
      <c r="X18">
        <f t="shared" si="16"/>
        <v>0</v>
      </c>
      <c r="AQ18" s="2"/>
      <c r="AR18" s="2"/>
      <c r="AS18" s="2"/>
      <c r="AT18" s="2"/>
      <c r="AU18" s="2"/>
      <c r="AV18" s="2"/>
      <c r="AW18" s="2"/>
      <c r="AX18" s="2"/>
      <c r="AY18" s="2"/>
      <c r="BA18" s="2"/>
      <c r="BB18" s="2"/>
      <c r="BC18" s="2"/>
      <c r="BD18" s="2"/>
      <c r="BE18" s="2"/>
      <c r="BF18" s="2"/>
      <c r="BG18" s="2"/>
      <c r="BH18" s="2"/>
      <c r="BI18" s="2"/>
    </row>
    <row r="19" spans="1:61" x14ac:dyDescent="0.35">
      <c r="A19" t="str">
        <f>Table1!A12</f>
        <v>Nordhaus and Yang 1996</v>
      </c>
      <c r="B19">
        <f>Table1!C12</f>
        <v>2.5</v>
      </c>
      <c r="C19">
        <f>Table1!E12</f>
        <v>-1.435622202473182</v>
      </c>
      <c r="D19">
        <v>0</v>
      </c>
      <c r="G19">
        <f t="shared" si="1"/>
        <v>-5.5565548687453177</v>
      </c>
      <c r="H19">
        <f t="shared" si="2"/>
        <v>0</v>
      </c>
      <c r="I19">
        <f t="shared" si="3"/>
        <v>-5.6988310134801576</v>
      </c>
      <c r="J19">
        <f t="shared" si="4"/>
        <v>0</v>
      </c>
      <c r="K19">
        <f t="shared" si="5"/>
        <v>-2.6761089407451957</v>
      </c>
      <c r="L19">
        <f t="shared" si="6"/>
        <v>0</v>
      </c>
      <c r="M19">
        <f t="shared" si="7"/>
        <v>-2.9733141422722014</v>
      </c>
      <c r="N19">
        <f t="shared" si="8"/>
        <v>0</v>
      </c>
      <c r="O19" s="24">
        <f t="shared" si="9"/>
        <v>-3.2132443095508179</v>
      </c>
      <c r="P19">
        <f t="shared" si="10"/>
        <v>0</v>
      </c>
      <c r="Q19">
        <f t="shared" si="11"/>
        <v>-0.2627421073402384</v>
      </c>
      <c r="R19">
        <f t="shared" si="12"/>
        <v>0</v>
      </c>
      <c r="S19">
        <f t="shared" si="13"/>
        <v>-5.8214407161740578</v>
      </c>
      <c r="T19">
        <f t="shared" si="14"/>
        <v>0</v>
      </c>
      <c r="U19">
        <f t="shared" si="17"/>
        <v>-1.8289509383128071</v>
      </c>
      <c r="V19">
        <f t="shared" si="15"/>
        <v>0</v>
      </c>
      <c r="W19" s="33">
        <f t="shared" si="18"/>
        <v>-4.2618511802140349</v>
      </c>
      <c r="X19">
        <f t="shared" si="16"/>
        <v>0</v>
      </c>
    </row>
    <row r="20" spans="1:61" x14ac:dyDescent="0.35">
      <c r="A20" t="str">
        <f>Table1!A13</f>
        <v>Plambeck and Hope 1996</v>
      </c>
      <c r="B20">
        <f>Table1!C13</f>
        <v>2.5</v>
      </c>
      <c r="C20">
        <f>Table1!E13</f>
        <v>-2.8909238132996098</v>
      </c>
      <c r="D20">
        <v>0</v>
      </c>
      <c r="G20">
        <f t="shared" si="1"/>
        <v>-5.5565548687453177</v>
      </c>
      <c r="H20">
        <f t="shared" si="2"/>
        <v>0</v>
      </c>
      <c r="I20">
        <f t="shared" si="3"/>
        <v>-5.6988310134801576</v>
      </c>
      <c r="J20">
        <f t="shared" si="4"/>
        <v>0</v>
      </c>
      <c r="K20">
        <f t="shared" si="5"/>
        <v>-2.6761089407451957</v>
      </c>
      <c r="L20">
        <f t="shared" si="6"/>
        <v>0</v>
      </c>
      <c r="M20">
        <f t="shared" si="7"/>
        <v>-2.9733141422722014</v>
      </c>
      <c r="N20">
        <f t="shared" si="8"/>
        <v>0</v>
      </c>
      <c r="O20" s="24">
        <f t="shared" si="9"/>
        <v>-3.2132443095508179</v>
      </c>
      <c r="P20">
        <f t="shared" si="10"/>
        <v>0</v>
      </c>
      <c r="Q20">
        <f t="shared" si="11"/>
        <v>-0.2627421073402384</v>
      </c>
      <c r="R20">
        <f t="shared" si="12"/>
        <v>0</v>
      </c>
      <c r="S20">
        <f t="shared" si="13"/>
        <v>-5.8214407161740578</v>
      </c>
      <c r="T20">
        <f t="shared" si="14"/>
        <v>0</v>
      </c>
      <c r="U20">
        <f t="shared" si="17"/>
        <v>-1.8289509383128071</v>
      </c>
      <c r="V20">
        <f t="shared" si="15"/>
        <v>0</v>
      </c>
      <c r="W20" s="33">
        <f t="shared" si="18"/>
        <v>-4.2618511802140349</v>
      </c>
      <c r="X20">
        <f t="shared" si="16"/>
        <v>0</v>
      </c>
      <c r="AF20" s="5"/>
    </row>
    <row r="21" spans="1:61" x14ac:dyDescent="0.35">
      <c r="A21" t="str">
        <f>Table1!A14</f>
        <v>Mendelsohn et al. 2000, 2006</v>
      </c>
      <c r="B21">
        <f>Table1!C14</f>
        <v>2.4900000000000002</v>
      </c>
      <c r="C21">
        <f>Table1!E14</f>
        <v>0.03</v>
      </c>
      <c r="D21">
        <v>0</v>
      </c>
      <c r="G21">
        <f t="shared" si="1"/>
        <v>-5.5332285375718682</v>
      </c>
      <c r="H21">
        <f t="shared" si="2"/>
        <v>0</v>
      </c>
      <c r="I21">
        <f t="shared" si="3"/>
        <v>-5.6748193875186832</v>
      </c>
      <c r="J21">
        <f t="shared" si="4"/>
        <v>0</v>
      </c>
      <c r="K21">
        <f t="shared" si="5"/>
        <v>-2.6547428869622864</v>
      </c>
      <c r="L21">
        <f t="shared" si="6"/>
        <v>0</v>
      </c>
      <c r="M21">
        <f t="shared" si="7"/>
        <v>-2.9496336557694409</v>
      </c>
      <c r="N21">
        <f t="shared" si="8"/>
        <v>0</v>
      </c>
      <c r="O21" s="24">
        <f t="shared" si="9"/>
        <v>-3.1878151044767362</v>
      </c>
      <c r="P21">
        <f t="shared" si="10"/>
        <v>0</v>
      </c>
      <c r="Q21">
        <f t="shared" si="11"/>
        <v>-0.25989399216049958</v>
      </c>
      <c r="R21">
        <f t="shared" si="12"/>
        <v>0</v>
      </c>
      <c r="S21">
        <f t="shared" si="13"/>
        <v>-5.7981549533093624</v>
      </c>
      <c r="T21">
        <f t="shared" si="14"/>
        <v>0</v>
      </c>
      <c r="U21">
        <f t="shared" si="17"/>
        <v>-1.8176017333454972</v>
      </c>
      <c r="V21">
        <f t="shared" si="15"/>
        <v>0</v>
      </c>
      <c r="W21" s="33">
        <f t="shared" si="18"/>
        <v>-4.2403173074530125</v>
      </c>
      <c r="X21">
        <f t="shared" si="16"/>
        <v>0</v>
      </c>
      <c r="AF21" s="5"/>
    </row>
    <row r="22" spans="1:61" x14ac:dyDescent="0.35">
      <c r="A22">
        <f>Table1!A15</f>
        <v>0</v>
      </c>
      <c r="B22">
        <f>Table1!C15</f>
        <v>2.4900000000000002</v>
      </c>
      <c r="C22">
        <f>Table1!E15</f>
        <v>0.1</v>
      </c>
      <c r="D22">
        <v>0</v>
      </c>
      <c r="G22">
        <f t="shared" si="1"/>
        <v>-5.5332285375718682</v>
      </c>
      <c r="H22">
        <f t="shared" si="2"/>
        <v>0</v>
      </c>
      <c r="I22">
        <f t="shared" si="3"/>
        <v>-5.6748193875186832</v>
      </c>
      <c r="J22">
        <f t="shared" si="4"/>
        <v>0</v>
      </c>
      <c r="K22">
        <f t="shared" si="5"/>
        <v>-2.6547428869622864</v>
      </c>
      <c r="L22">
        <f t="shared" si="6"/>
        <v>0</v>
      </c>
      <c r="M22">
        <f t="shared" si="7"/>
        <v>-2.9496336557694409</v>
      </c>
      <c r="N22">
        <f t="shared" si="8"/>
        <v>0</v>
      </c>
      <c r="O22" s="24">
        <f t="shared" si="9"/>
        <v>-3.1878151044767362</v>
      </c>
      <c r="P22">
        <f t="shared" si="10"/>
        <v>0</v>
      </c>
      <c r="Q22">
        <f t="shared" si="11"/>
        <v>-0.25989399216049958</v>
      </c>
      <c r="R22">
        <f t="shared" si="12"/>
        <v>0</v>
      </c>
      <c r="S22">
        <f t="shared" si="13"/>
        <v>-5.7981549533093624</v>
      </c>
      <c r="T22">
        <f t="shared" si="14"/>
        <v>0</v>
      </c>
      <c r="U22">
        <f t="shared" si="17"/>
        <v>-1.8176017333454972</v>
      </c>
      <c r="V22">
        <f t="shared" si="15"/>
        <v>0</v>
      </c>
      <c r="W22" s="33">
        <f t="shared" si="18"/>
        <v>-4.2403173074530125</v>
      </c>
      <c r="X22">
        <f t="shared" si="16"/>
        <v>0</v>
      </c>
      <c r="AF22" s="5"/>
    </row>
    <row r="23" spans="1:61" x14ac:dyDescent="0.35">
      <c r="A23">
        <f>Table1!A16</f>
        <v>0</v>
      </c>
      <c r="B23">
        <f>Table1!C16</f>
        <v>4</v>
      </c>
      <c r="C23">
        <f>Table1!E16</f>
        <v>-0.01</v>
      </c>
      <c r="D23">
        <v>0</v>
      </c>
      <c r="G23">
        <f t="shared" si="1"/>
        <v>-9.1555749462500149</v>
      </c>
      <c r="H23">
        <f t="shared" si="2"/>
        <v>0</v>
      </c>
      <c r="I23">
        <f t="shared" si="3"/>
        <v>-9.3005749077014865</v>
      </c>
      <c r="J23">
        <f t="shared" si="4"/>
        <v>0</v>
      </c>
      <c r="K23">
        <f t="shared" si="5"/>
        <v>-6.8508388883077007</v>
      </c>
      <c r="L23">
        <f t="shared" si="6"/>
        <v>0</v>
      </c>
      <c r="M23">
        <f t="shared" si="7"/>
        <v>-7.5395653027261655</v>
      </c>
      <c r="N23">
        <f t="shared" si="8"/>
        <v>0</v>
      </c>
      <c r="O23" s="24">
        <f t="shared" si="9"/>
        <v>-8.0228493546817035</v>
      </c>
      <c r="P23">
        <f t="shared" si="10"/>
        <v>0</v>
      </c>
      <c r="Q23">
        <f t="shared" si="11"/>
        <v>-1.2593336458516342</v>
      </c>
      <c r="R23">
        <f t="shared" si="12"/>
        <v>0</v>
      </c>
      <c r="S23">
        <f t="shared" si="13"/>
        <v>-9.3143051458784925</v>
      </c>
      <c r="T23">
        <f t="shared" si="14"/>
        <v>0</v>
      </c>
      <c r="U23">
        <f t="shared" si="17"/>
        <v>-4.3803768275970194</v>
      </c>
      <c r="V23">
        <f t="shared" si="15"/>
        <v>0</v>
      </c>
      <c r="W23" s="33">
        <f t="shared" si="18"/>
        <v>-7.9289054579487805</v>
      </c>
      <c r="X23">
        <f t="shared" si="16"/>
        <v>0</v>
      </c>
    </row>
    <row r="24" spans="1:61" x14ac:dyDescent="0.35">
      <c r="A24">
        <f>Table1!A17</f>
        <v>0</v>
      </c>
      <c r="B24">
        <f>Table1!C17</f>
        <v>4</v>
      </c>
      <c r="C24">
        <f>Table1!E17</f>
        <v>-0.04</v>
      </c>
      <c r="D24">
        <v>0</v>
      </c>
      <c r="G24">
        <f t="shared" si="1"/>
        <v>-9.1555749462500149</v>
      </c>
      <c r="H24">
        <f t="shared" si="2"/>
        <v>0</v>
      </c>
      <c r="I24">
        <f t="shared" si="3"/>
        <v>-9.3005749077014865</v>
      </c>
      <c r="J24">
        <f t="shared" si="4"/>
        <v>0</v>
      </c>
      <c r="K24">
        <f t="shared" si="5"/>
        <v>-6.8508388883077007</v>
      </c>
      <c r="L24">
        <f t="shared" si="6"/>
        <v>0</v>
      </c>
      <c r="M24">
        <f t="shared" si="7"/>
        <v>-7.5395653027261655</v>
      </c>
      <c r="N24">
        <f t="shared" si="8"/>
        <v>0</v>
      </c>
      <c r="O24" s="24">
        <f t="shared" si="9"/>
        <v>-8.0228493546817035</v>
      </c>
      <c r="P24">
        <f t="shared" si="10"/>
        <v>0</v>
      </c>
      <c r="Q24">
        <f t="shared" si="11"/>
        <v>-1.2593336458516342</v>
      </c>
      <c r="R24">
        <f t="shared" si="12"/>
        <v>0</v>
      </c>
      <c r="S24">
        <f t="shared" si="13"/>
        <v>-9.3143051458784925</v>
      </c>
      <c r="T24">
        <f t="shared" si="14"/>
        <v>0</v>
      </c>
      <c r="U24">
        <f t="shared" si="17"/>
        <v>-4.3803768275970194</v>
      </c>
      <c r="V24">
        <f t="shared" si="15"/>
        <v>0</v>
      </c>
      <c r="W24" s="33">
        <f t="shared" si="18"/>
        <v>-7.9289054579487805</v>
      </c>
      <c r="X24">
        <f t="shared" si="16"/>
        <v>0</v>
      </c>
    </row>
    <row r="25" spans="1:61" ht="15" thickBot="1" x14ac:dyDescent="0.4">
      <c r="A25">
        <f>Table1!A18</f>
        <v>0</v>
      </c>
      <c r="B25">
        <f>Table1!C18</f>
        <v>5.2</v>
      </c>
      <c r="C25">
        <f>Table1!E18</f>
        <v>-0.01</v>
      </c>
      <c r="D25">
        <v>0</v>
      </c>
      <c r="G25">
        <f t="shared" si="1"/>
        <v>-12.177938072632829</v>
      </c>
      <c r="H25">
        <f t="shared" si="2"/>
        <v>0</v>
      </c>
      <c r="I25">
        <f t="shared" si="3"/>
        <v>-12.18197002307855</v>
      </c>
      <c r="J25">
        <f t="shared" si="4"/>
        <v>0</v>
      </c>
      <c r="K25">
        <f t="shared" si="5"/>
        <v>-11.577917721240015</v>
      </c>
      <c r="L25">
        <f t="shared" si="6"/>
        <v>0</v>
      </c>
      <c r="M25">
        <f t="shared" si="7"/>
        <v>-12.376352909738172</v>
      </c>
      <c r="N25">
        <f t="shared" si="8"/>
        <v>0</v>
      </c>
      <c r="O25" s="24">
        <f t="shared" si="9"/>
        <v>-12.806976242114409</v>
      </c>
      <c r="P25">
        <f t="shared" si="10"/>
        <v>0</v>
      </c>
      <c r="Q25">
        <f t="shared" si="11"/>
        <v>-4.2356480487870298</v>
      </c>
      <c r="R25">
        <f t="shared" si="12"/>
        <v>0</v>
      </c>
      <c r="S25">
        <f t="shared" si="13"/>
        <v>-12.10859668964204</v>
      </c>
      <c r="T25">
        <f t="shared" si="14"/>
        <v>0</v>
      </c>
      <c r="U25">
        <f t="shared" si="17"/>
        <v>-8.5113644110114883</v>
      </c>
      <c r="V25">
        <f t="shared" si="15"/>
        <v>0</v>
      </c>
      <c r="W25" s="33">
        <f t="shared" si="18"/>
        <v>-11.54238338265346</v>
      </c>
      <c r="X25">
        <f t="shared" si="16"/>
        <v>0</v>
      </c>
    </row>
    <row r="26" spans="1:61" x14ac:dyDescent="0.35">
      <c r="A26">
        <f>Table1!A19</f>
        <v>0</v>
      </c>
      <c r="B26">
        <f>Table1!C19</f>
        <v>5.2</v>
      </c>
      <c r="C26">
        <f>Table1!E19</f>
        <v>-0.13</v>
      </c>
      <c r="D26">
        <v>0</v>
      </c>
      <c r="G26">
        <f t="shared" si="1"/>
        <v>-12.177938072632829</v>
      </c>
      <c r="H26">
        <f t="shared" si="2"/>
        <v>0</v>
      </c>
      <c r="I26">
        <f t="shared" si="3"/>
        <v>-12.18197002307855</v>
      </c>
      <c r="J26">
        <f t="shared" si="4"/>
        <v>0</v>
      </c>
      <c r="K26">
        <f t="shared" si="5"/>
        <v>-11.577917721240015</v>
      </c>
      <c r="L26">
        <f t="shared" si="6"/>
        <v>0</v>
      </c>
      <c r="M26">
        <f t="shared" si="7"/>
        <v>-12.376352909738172</v>
      </c>
      <c r="N26">
        <f t="shared" si="8"/>
        <v>0</v>
      </c>
      <c r="O26" s="24">
        <f t="shared" si="9"/>
        <v>-12.806976242114409</v>
      </c>
      <c r="P26">
        <f t="shared" si="10"/>
        <v>0</v>
      </c>
      <c r="Q26">
        <f t="shared" si="11"/>
        <v>-4.2356480487870298</v>
      </c>
      <c r="R26">
        <f t="shared" si="12"/>
        <v>0</v>
      </c>
      <c r="S26">
        <f t="shared" si="13"/>
        <v>-12.10859668964204</v>
      </c>
      <c r="T26">
        <f t="shared" si="14"/>
        <v>0</v>
      </c>
      <c r="U26">
        <f t="shared" si="17"/>
        <v>-8.5113644110114883</v>
      </c>
      <c r="V26">
        <f t="shared" si="15"/>
        <v>0</v>
      </c>
      <c r="W26" s="33">
        <f t="shared" si="18"/>
        <v>-11.54238338265346</v>
      </c>
      <c r="X26">
        <f t="shared" si="16"/>
        <v>0</v>
      </c>
      <c r="AQ26" s="4"/>
      <c r="AR26" s="4"/>
    </row>
    <row r="27" spans="1:61" x14ac:dyDescent="0.35">
      <c r="A27" t="str">
        <f>Table1!A20</f>
        <v>Nordhaus and Boyer 2000</v>
      </c>
      <c r="B27">
        <f>Table1!C20</f>
        <v>2.5</v>
      </c>
      <c r="C27">
        <f>Table1!E20</f>
        <v>-1.5</v>
      </c>
      <c r="D27">
        <v>0</v>
      </c>
      <c r="G27">
        <f t="shared" si="1"/>
        <v>-5.5565548687453177</v>
      </c>
      <c r="H27">
        <f t="shared" si="2"/>
        <v>0</v>
      </c>
      <c r="I27">
        <f t="shared" si="3"/>
        <v>-5.6988310134801576</v>
      </c>
      <c r="J27">
        <f t="shared" si="4"/>
        <v>0</v>
      </c>
      <c r="K27">
        <f t="shared" si="5"/>
        <v>-2.6761089407451957</v>
      </c>
      <c r="L27">
        <f t="shared" si="6"/>
        <v>0</v>
      </c>
      <c r="M27">
        <f t="shared" si="7"/>
        <v>-2.9733141422722014</v>
      </c>
      <c r="N27">
        <f t="shared" si="8"/>
        <v>0</v>
      </c>
      <c r="O27" s="24">
        <f t="shared" si="9"/>
        <v>-3.2132443095508179</v>
      </c>
      <c r="P27">
        <f t="shared" si="10"/>
        <v>0</v>
      </c>
      <c r="Q27">
        <f t="shared" si="11"/>
        <v>-0.2627421073402384</v>
      </c>
      <c r="R27">
        <f t="shared" si="12"/>
        <v>0</v>
      </c>
      <c r="S27">
        <f t="shared" si="13"/>
        <v>-5.8214407161740578</v>
      </c>
      <c r="T27">
        <f t="shared" si="14"/>
        <v>0</v>
      </c>
      <c r="U27">
        <f t="shared" si="17"/>
        <v>-1.8289509383128071</v>
      </c>
      <c r="V27">
        <f t="shared" si="15"/>
        <v>0</v>
      </c>
      <c r="W27" s="33">
        <f t="shared" si="18"/>
        <v>-4.2618511802140349</v>
      </c>
      <c r="X27">
        <f t="shared" si="16"/>
        <v>0</v>
      </c>
    </row>
    <row r="28" spans="1:61" x14ac:dyDescent="0.35">
      <c r="A28" t="str">
        <f>Table1!A21</f>
        <v>Tol 2002</v>
      </c>
      <c r="B28">
        <f>Table1!C21</f>
        <v>1</v>
      </c>
      <c r="C28">
        <f>Table1!E21</f>
        <v>2.2999999999999998</v>
      </c>
      <c r="D28">
        <v>0</v>
      </c>
      <c r="G28">
        <f t="shared" si="1"/>
        <v>-2.1563501584337503</v>
      </c>
      <c r="H28">
        <f t="shared" si="2"/>
        <v>0</v>
      </c>
      <c r="I28">
        <f t="shared" si="3"/>
        <v>-2.0970871192588278</v>
      </c>
      <c r="J28">
        <f t="shared" si="4"/>
        <v>0</v>
      </c>
      <c r="K28">
        <f t="shared" si="5"/>
        <v>-0.42817743051923129</v>
      </c>
      <c r="L28">
        <f t="shared" si="6"/>
        <v>0</v>
      </c>
      <c r="M28">
        <f t="shared" si="7"/>
        <v>-0.47620057565848239</v>
      </c>
      <c r="N28">
        <f t="shared" si="8"/>
        <v>0</v>
      </c>
      <c r="O28" s="24">
        <f t="shared" si="9"/>
        <v>-0.51634577404557813</v>
      </c>
      <c r="P28">
        <f t="shared" si="10"/>
        <v>0</v>
      </c>
      <c r="Q28">
        <f t="shared" si="11"/>
        <v>-4.0372477749620592E-2</v>
      </c>
      <c r="R28">
        <f t="shared" si="12"/>
        <v>0</v>
      </c>
      <c r="S28">
        <f t="shared" si="13"/>
        <v>-2.3285762864696231</v>
      </c>
      <c r="T28">
        <f t="shared" si="14"/>
        <v>0</v>
      </c>
      <c r="U28">
        <f t="shared" si="17"/>
        <v>-0.57326595804236147</v>
      </c>
      <c r="V28">
        <f t="shared" si="15"/>
        <v>0</v>
      </c>
      <c r="W28" s="33">
        <f t="shared" si="18"/>
        <v>-1.4333617139666972</v>
      </c>
      <c r="X28">
        <f t="shared" si="16"/>
        <v>0</v>
      </c>
    </row>
    <row r="29" spans="1:61" x14ac:dyDescent="0.35">
      <c r="A29" t="str">
        <f>Table1!A22</f>
        <v>Maddison 2003</v>
      </c>
      <c r="B29">
        <f>Table1!C22</f>
        <v>2.5</v>
      </c>
      <c r="C29">
        <f>Table1!E22</f>
        <v>3.3000365094043249E-2</v>
      </c>
      <c r="D29">
        <v>0</v>
      </c>
      <c r="G29">
        <f t="shared" si="1"/>
        <v>-5.5565548687453177</v>
      </c>
      <c r="H29">
        <f t="shared" si="2"/>
        <v>0</v>
      </c>
      <c r="I29">
        <f t="shared" si="3"/>
        <v>-5.6988310134801576</v>
      </c>
      <c r="J29">
        <f t="shared" si="4"/>
        <v>0</v>
      </c>
      <c r="K29">
        <f t="shared" si="5"/>
        <v>-2.6761089407451957</v>
      </c>
      <c r="L29">
        <f t="shared" si="6"/>
        <v>0</v>
      </c>
      <c r="M29">
        <f t="shared" si="7"/>
        <v>-2.9733141422722014</v>
      </c>
      <c r="N29">
        <f t="shared" si="8"/>
        <v>0</v>
      </c>
      <c r="O29" s="24">
        <f t="shared" si="9"/>
        <v>-3.2132443095508179</v>
      </c>
      <c r="P29">
        <f t="shared" si="10"/>
        <v>0</v>
      </c>
      <c r="Q29">
        <f t="shared" si="11"/>
        <v>-0.2627421073402384</v>
      </c>
      <c r="R29">
        <f t="shared" si="12"/>
        <v>0</v>
      </c>
      <c r="S29">
        <f t="shared" si="13"/>
        <v>-5.8214407161740578</v>
      </c>
      <c r="T29">
        <f t="shared" si="14"/>
        <v>0</v>
      </c>
      <c r="U29">
        <f t="shared" si="17"/>
        <v>-1.8289509383128071</v>
      </c>
      <c r="V29">
        <f t="shared" si="15"/>
        <v>0</v>
      </c>
      <c r="W29" s="33">
        <f t="shared" si="18"/>
        <v>-4.2618511802140349</v>
      </c>
      <c r="X29">
        <f t="shared" si="16"/>
        <v>0</v>
      </c>
    </row>
    <row r="30" spans="1:61" x14ac:dyDescent="0.35">
      <c r="A30" t="str">
        <f>Table1!A23</f>
        <v>Rehdanz and Maddison 2005</v>
      </c>
      <c r="B30">
        <f>Table1!C23</f>
        <v>0.6</v>
      </c>
      <c r="C30">
        <f>Table1!E23</f>
        <v>-0.17962065483383896</v>
      </c>
      <c r="D30">
        <v>0</v>
      </c>
      <c r="G30">
        <f t="shared" si="1"/>
        <v>-1.2832066088099499</v>
      </c>
      <c r="H30">
        <f t="shared" si="2"/>
        <v>0</v>
      </c>
      <c r="I30">
        <f t="shared" si="3"/>
        <v>-1.1366220807998066</v>
      </c>
      <c r="J30">
        <f t="shared" si="4"/>
        <v>0</v>
      </c>
      <c r="K30">
        <f t="shared" si="5"/>
        <v>-0.15414387498692325</v>
      </c>
      <c r="L30">
        <f t="shared" si="6"/>
        <v>0</v>
      </c>
      <c r="M30">
        <f t="shared" si="7"/>
        <v>-0.17143382272380303</v>
      </c>
      <c r="N30">
        <f t="shared" si="8"/>
        <v>0</v>
      </c>
      <c r="O30" s="24">
        <f t="shared" si="9"/>
        <v>-0.18590280951311575</v>
      </c>
      <c r="P30">
        <f t="shared" si="10"/>
        <v>0</v>
      </c>
      <c r="Q30">
        <f t="shared" si="11"/>
        <v>-1.9316373150542045E-2</v>
      </c>
      <c r="R30">
        <f t="shared" si="12"/>
        <v>0</v>
      </c>
      <c r="S30">
        <f t="shared" si="13"/>
        <v>-1.3971457718817739</v>
      </c>
      <c r="T30">
        <f t="shared" si="14"/>
        <v>0</v>
      </c>
      <c r="U30">
        <f t="shared" si="17"/>
        <v>-0.33334323177652159</v>
      </c>
      <c r="V30">
        <f t="shared" si="15"/>
        <v>0</v>
      </c>
      <c r="W30" s="33">
        <f t="shared" si="18"/>
        <v>-0.81047869403678197</v>
      </c>
      <c r="X30">
        <f t="shared" si="16"/>
        <v>0</v>
      </c>
    </row>
    <row r="31" spans="1:61" ht="15" thickBot="1" x14ac:dyDescent="0.4">
      <c r="A31">
        <f>Table1!A24</f>
        <v>0</v>
      </c>
      <c r="B31">
        <f>Table1!C24</f>
        <v>1</v>
      </c>
      <c r="C31">
        <f>Table1!E24</f>
        <v>-0.30947656699459297</v>
      </c>
      <c r="D31">
        <v>0</v>
      </c>
      <c r="G31">
        <f t="shared" si="1"/>
        <v>-2.1563501584337503</v>
      </c>
      <c r="H31">
        <f t="shared" si="2"/>
        <v>0</v>
      </c>
      <c r="I31">
        <f t="shared" si="3"/>
        <v>-2.0970871192588278</v>
      </c>
      <c r="J31">
        <f t="shared" si="4"/>
        <v>0</v>
      </c>
      <c r="K31">
        <f t="shared" si="5"/>
        <v>-0.42817743051923129</v>
      </c>
      <c r="L31">
        <f t="shared" si="6"/>
        <v>0</v>
      </c>
      <c r="M31">
        <f t="shared" si="7"/>
        <v>-0.47620057565848239</v>
      </c>
      <c r="N31">
        <f t="shared" si="8"/>
        <v>0</v>
      </c>
      <c r="O31" s="24">
        <f t="shared" si="9"/>
        <v>-0.51634577404557813</v>
      </c>
      <c r="P31">
        <f t="shared" si="10"/>
        <v>0</v>
      </c>
      <c r="Q31">
        <f t="shared" si="11"/>
        <v>-4.0372477749620592E-2</v>
      </c>
      <c r="R31">
        <f t="shared" si="12"/>
        <v>0</v>
      </c>
      <c r="S31">
        <f t="shared" si="13"/>
        <v>-2.3285762864696231</v>
      </c>
      <c r="T31">
        <f t="shared" si="14"/>
        <v>0</v>
      </c>
      <c r="U31">
        <f t="shared" si="17"/>
        <v>-0.57326595804236147</v>
      </c>
      <c r="V31">
        <f t="shared" si="15"/>
        <v>0</v>
      </c>
      <c r="W31" s="33">
        <f t="shared" si="18"/>
        <v>-1.4333617139666972</v>
      </c>
      <c r="X31">
        <f t="shared" si="16"/>
        <v>0</v>
      </c>
      <c r="AQ31" s="2"/>
      <c r="AR31" s="2"/>
    </row>
    <row r="32" spans="1:61" x14ac:dyDescent="0.35">
      <c r="A32" t="str">
        <f>Table1!A25</f>
        <v>Hope 2006</v>
      </c>
      <c r="B32">
        <f>Table1!C25</f>
        <v>2.5</v>
      </c>
      <c r="C32">
        <f>Table1!E25</f>
        <v>-0.9804776851232514</v>
      </c>
      <c r="D32">
        <v>0</v>
      </c>
      <c r="G32">
        <f t="shared" si="1"/>
        <v>-5.5565548687453177</v>
      </c>
      <c r="H32">
        <f t="shared" si="2"/>
        <v>0</v>
      </c>
      <c r="I32">
        <f t="shared" si="3"/>
        <v>-5.6988310134801576</v>
      </c>
      <c r="J32">
        <f t="shared" si="4"/>
        <v>0</v>
      </c>
      <c r="K32">
        <f t="shared" si="5"/>
        <v>-2.6761089407451957</v>
      </c>
      <c r="L32">
        <f t="shared" si="6"/>
        <v>0</v>
      </c>
      <c r="M32">
        <f t="shared" si="7"/>
        <v>-2.9733141422722014</v>
      </c>
      <c r="N32">
        <f t="shared" si="8"/>
        <v>0</v>
      </c>
      <c r="O32" s="24">
        <f t="shared" si="9"/>
        <v>-3.2132443095508179</v>
      </c>
      <c r="P32">
        <f t="shared" si="10"/>
        <v>0</v>
      </c>
      <c r="Q32">
        <f t="shared" si="11"/>
        <v>-0.2627421073402384</v>
      </c>
      <c r="R32">
        <f t="shared" si="12"/>
        <v>0</v>
      </c>
      <c r="S32">
        <f t="shared" si="13"/>
        <v>-5.8214407161740578</v>
      </c>
      <c r="T32">
        <f t="shared" si="14"/>
        <v>0</v>
      </c>
      <c r="U32">
        <f t="shared" si="17"/>
        <v>-1.8289509383128071</v>
      </c>
      <c r="V32">
        <f t="shared" si="15"/>
        <v>0</v>
      </c>
      <c r="W32" s="33">
        <f t="shared" si="18"/>
        <v>-4.2618511802140349</v>
      </c>
      <c r="X32">
        <f t="shared" si="16"/>
        <v>0</v>
      </c>
    </row>
    <row r="33" spans="1:51" ht="15" thickBot="1" x14ac:dyDescent="0.4">
      <c r="A33" t="str">
        <f>Table1!A26</f>
        <v>Nordhaus 2006</v>
      </c>
      <c r="B33">
        <f>Table1!C26</f>
        <v>3</v>
      </c>
      <c r="C33">
        <f>Table1!E26</f>
        <v>-0.93</v>
      </c>
      <c r="D33">
        <v>0</v>
      </c>
      <c r="G33">
        <f t="shared" si="1"/>
        <v>-6.7341376315587578</v>
      </c>
      <c r="H33">
        <f t="shared" si="2"/>
        <v>0</v>
      </c>
      <c r="I33">
        <f t="shared" si="3"/>
        <v>-6.8994123115539345</v>
      </c>
      <c r="J33">
        <f t="shared" si="4"/>
        <v>0</v>
      </c>
      <c r="K33">
        <f t="shared" si="5"/>
        <v>-3.8535968746730815</v>
      </c>
      <c r="L33">
        <f t="shared" si="6"/>
        <v>0</v>
      </c>
      <c r="M33">
        <f t="shared" si="7"/>
        <v>-4.2752074028710378</v>
      </c>
      <c r="N33">
        <f t="shared" si="8"/>
        <v>0</v>
      </c>
      <c r="O33" s="24">
        <f t="shared" si="9"/>
        <v>-4.6049914316959306</v>
      </c>
      <c r="P33">
        <f t="shared" si="10"/>
        <v>0</v>
      </c>
      <c r="Q33">
        <f t="shared" si="11"/>
        <v>-0.44843075333105736</v>
      </c>
      <c r="R33">
        <f t="shared" si="12"/>
        <v>0</v>
      </c>
      <c r="S33">
        <f t="shared" si="13"/>
        <v>-6.9857288594088693</v>
      </c>
      <c r="T33">
        <f t="shared" si="14"/>
        <v>0</v>
      </c>
      <c r="U33">
        <f t="shared" si="17"/>
        <v>-2.4733762894242042</v>
      </c>
      <c r="V33">
        <f t="shared" si="15"/>
        <v>0</v>
      </c>
      <c r="W33" s="33">
        <f t="shared" si="18"/>
        <v>-5.386475872163075</v>
      </c>
      <c r="X33">
        <f t="shared" si="16"/>
        <v>0</v>
      </c>
    </row>
    <row r="34" spans="1:51" x14ac:dyDescent="0.35">
      <c r="A34">
        <f>Table1!A27</f>
        <v>0</v>
      </c>
      <c r="B34">
        <f>Table1!C27</f>
        <v>3</v>
      </c>
      <c r="C34">
        <f>Table1!E27</f>
        <v>-1.05</v>
      </c>
      <c r="D34">
        <v>0</v>
      </c>
      <c r="G34">
        <f t="shared" si="1"/>
        <v>-6.7341376315587578</v>
      </c>
      <c r="H34">
        <f t="shared" si="2"/>
        <v>0</v>
      </c>
      <c r="I34">
        <f t="shared" si="3"/>
        <v>-6.8994123115539345</v>
      </c>
      <c r="J34">
        <f t="shared" si="4"/>
        <v>0</v>
      </c>
      <c r="K34">
        <f t="shared" si="5"/>
        <v>-3.8535968746730815</v>
      </c>
      <c r="L34">
        <f t="shared" si="6"/>
        <v>0</v>
      </c>
      <c r="M34">
        <f t="shared" si="7"/>
        <v>-4.2752074028710378</v>
      </c>
      <c r="N34">
        <f t="shared" si="8"/>
        <v>0</v>
      </c>
      <c r="O34" s="24">
        <f t="shared" si="9"/>
        <v>-4.6049914316959306</v>
      </c>
      <c r="P34">
        <f t="shared" si="10"/>
        <v>0</v>
      </c>
      <c r="Q34">
        <f t="shared" si="11"/>
        <v>-0.44843075333105736</v>
      </c>
      <c r="R34">
        <f t="shared" si="12"/>
        <v>0</v>
      </c>
      <c r="S34">
        <f t="shared" si="13"/>
        <v>-6.9857288594088693</v>
      </c>
      <c r="T34">
        <f t="shared" si="14"/>
        <v>0</v>
      </c>
      <c r="U34">
        <f t="shared" si="17"/>
        <v>-2.4733762894242042</v>
      </c>
      <c r="V34">
        <f t="shared" si="15"/>
        <v>0</v>
      </c>
      <c r="W34" s="33">
        <f t="shared" si="18"/>
        <v>-5.386475872163075</v>
      </c>
      <c r="X34">
        <f t="shared" si="16"/>
        <v>0</v>
      </c>
      <c r="AQ34" s="3"/>
      <c r="AR34" s="3"/>
      <c r="AS34" s="3"/>
      <c r="AT34" s="3"/>
      <c r="AU34" s="3"/>
      <c r="AV34" s="3"/>
    </row>
    <row r="35" spans="1:51" x14ac:dyDescent="0.35">
      <c r="A35" t="str">
        <f>Table1!A28</f>
        <v>Nordhaus 2008</v>
      </c>
      <c r="B35">
        <f>Table1!C28</f>
        <v>3</v>
      </c>
      <c r="C35">
        <f>Table1!E28</f>
        <v>-2.5</v>
      </c>
      <c r="D35">
        <v>0</v>
      </c>
      <c r="G35">
        <f t="shared" si="1"/>
        <v>-6.7341376315587578</v>
      </c>
      <c r="H35">
        <f t="shared" si="2"/>
        <v>0</v>
      </c>
      <c r="I35">
        <f t="shared" si="3"/>
        <v>-6.8994123115539345</v>
      </c>
      <c r="J35">
        <f t="shared" si="4"/>
        <v>0</v>
      </c>
      <c r="K35">
        <f t="shared" si="5"/>
        <v>-3.8535968746730815</v>
      </c>
      <c r="L35">
        <f t="shared" si="6"/>
        <v>0</v>
      </c>
      <c r="M35">
        <f t="shared" si="7"/>
        <v>-4.2752074028710378</v>
      </c>
      <c r="N35">
        <f t="shared" si="8"/>
        <v>0</v>
      </c>
      <c r="O35" s="24">
        <f t="shared" si="9"/>
        <v>-4.6049914316959306</v>
      </c>
      <c r="P35">
        <f t="shared" si="10"/>
        <v>0</v>
      </c>
      <c r="Q35">
        <f t="shared" si="11"/>
        <v>-0.44843075333105736</v>
      </c>
      <c r="R35">
        <f t="shared" si="12"/>
        <v>0</v>
      </c>
      <c r="S35">
        <f t="shared" si="13"/>
        <v>-6.9857288594088693</v>
      </c>
      <c r="T35">
        <f t="shared" si="14"/>
        <v>0</v>
      </c>
      <c r="U35">
        <f t="shared" si="17"/>
        <v>-2.4733762894242042</v>
      </c>
      <c r="V35">
        <f t="shared" si="15"/>
        <v>0</v>
      </c>
      <c r="W35" s="33">
        <f t="shared" si="18"/>
        <v>-5.386475872163075</v>
      </c>
      <c r="X35">
        <f t="shared" si="16"/>
        <v>0</v>
      </c>
    </row>
    <row r="36" spans="1:51" x14ac:dyDescent="0.35">
      <c r="A36" t="str">
        <f>Table1!A29</f>
        <v>Maddison and Rehdanz 2011</v>
      </c>
      <c r="B36">
        <f>Table1!C29</f>
        <v>3.2</v>
      </c>
      <c r="C36">
        <f>Table1!E29</f>
        <v>-5.1135252093739076</v>
      </c>
      <c r="D36">
        <v>0</v>
      </c>
      <c r="G36">
        <f t="shared" si="1"/>
        <v>-7.2113561036634763</v>
      </c>
      <c r="H36">
        <f t="shared" si="2"/>
        <v>0</v>
      </c>
      <c r="I36">
        <f t="shared" si="3"/>
        <v>-7.3796448307834446</v>
      </c>
      <c r="J36">
        <f t="shared" si="4"/>
        <v>0</v>
      </c>
      <c r="K36">
        <f t="shared" si="5"/>
        <v>-4.3845368885169291</v>
      </c>
      <c r="L36">
        <f t="shared" si="6"/>
        <v>0</v>
      </c>
      <c r="M36">
        <f t="shared" si="7"/>
        <v>-4.8596248557718091</v>
      </c>
      <c r="N36">
        <f t="shared" si="8"/>
        <v>0</v>
      </c>
      <c r="O36" s="24">
        <f t="shared" si="9"/>
        <v>-5.2251650797038254</v>
      </c>
      <c r="P36">
        <f t="shared" si="10"/>
        <v>0</v>
      </c>
      <c r="Q36">
        <f t="shared" si="11"/>
        <v>-0.5529166031087529</v>
      </c>
      <c r="R36">
        <f t="shared" si="12"/>
        <v>0</v>
      </c>
      <c r="S36">
        <f t="shared" si="13"/>
        <v>-7.4514441167027945</v>
      </c>
      <c r="T36">
        <f t="shared" si="14"/>
        <v>0</v>
      </c>
      <c r="U36">
        <f t="shared" si="17"/>
        <v>-2.7799116697820589</v>
      </c>
      <c r="V36">
        <f t="shared" si="15"/>
        <v>0</v>
      </c>
      <c r="W36" s="33">
        <f t="shared" si="18"/>
        <v>-5.8631066258402411</v>
      </c>
      <c r="X36">
        <f t="shared" si="16"/>
        <v>0</v>
      </c>
    </row>
    <row r="37" spans="1:51" ht="15" thickBot="1" x14ac:dyDescent="0.4">
      <c r="A37" t="str">
        <f>Table1!A30</f>
        <v>Bosello et al.  2012</v>
      </c>
      <c r="B37">
        <f>Table1!C30</f>
        <v>1.92</v>
      </c>
      <c r="C37">
        <f>Table1!E30</f>
        <v>-0.5</v>
      </c>
      <c r="D37">
        <v>0</v>
      </c>
      <c r="G37">
        <f t="shared" si="1"/>
        <v>-4.2182339629950105</v>
      </c>
      <c r="H37">
        <f t="shared" si="2"/>
        <v>0</v>
      </c>
      <c r="I37">
        <f t="shared" si="3"/>
        <v>-4.3061567077145764</v>
      </c>
      <c r="J37">
        <f t="shared" si="4"/>
        <v>0</v>
      </c>
      <c r="K37">
        <f t="shared" si="5"/>
        <v>-1.5784332798660943</v>
      </c>
      <c r="L37">
        <f t="shared" si="6"/>
        <v>0</v>
      </c>
      <c r="M37">
        <f t="shared" si="7"/>
        <v>-1.7550157182824031</v>
      </c>
      <c r="N37">
        <f t="shared" si="8"/>
        <v>0</v>
      </c>
      <c r="O37" s="24">
        <f t="shared" si="9"/>
        <v>-1.900742036210133</v>
      </c>
      <c r="P37">
        <f t="shared" si="10"/>
        <v>0</v>
      </c>
      <c r="Q37">
        <f t="shared" si="11"/>
        <v>-0.13676831843915854</v>
      </c>
      <c r="R37">
        <f t="shared" si="12"/>
        <v>0</v>
      </c>
      <c r="S37">
        <f t="shared" si="13"/>
        <v>-4.4708664700216758</v>
      </c>
      <c r="T37">
        <f t="shared" si="14"/>
        <v>0</v>
      </c>
      <c r="U37">
        <f t="shared" si="17"/>
        <v>-1.2504442931001991</v>
      </c>
      <c r="V37">
        <f t="shared" si="15"/>
        <v>0</v>
      </c>
      <c r="W37" s="33">
        <f t="shared" si="18"/>
        <v>-3.0734731414681828</v>
      </c>
      <c r="X37">
        <f t="shared" si="16"/>
        <v>0</v>
      </c>
      <c r="AQ37" s="2"/>
      <c r="AR37" s="2"/>
      <c r="AS37" s="2"/>
      <c r="AT37" s="2"/>
      <c r="AU37" s="2"/>
      <c r="AV37" s="2"/>
    </row>
    <row r="38" spans="1:51" ht="15" thickBot="1" x14ac:dyDescent="0.4">
      <c r="A38" t="str">
        <f>Table1!A31</f>
        <v>Roson and van der Mensbrugghe 2012</v>
      </c>
      <c r="B38">
        <f>Table1!C31</f>
        <v>2.9099999999999997</v>
      </c>
      <c r="C38">
        <f>Table1!E31</f>
        <v>-1.8</v>
      </c>
      <c r="D38">
        <v>0</v>
      </c>
      <c r="G38">
        <f t="shared" si="1"/>
        <v>-6.5205424482413541</v>
      </c>
      <c r="H38">
        <f t="shared" si="2"/>
        <v>0</v>
      </c>
      <c r="I38">
        <f t="shared" si="3"/>
        <v>-6.6833076779006539</v>
      </c>
      <c r="J38">
        <f t="shared" si="4"/>
        <v>0</v>
      </c>
      <c r="K38">
        <f t="shared" si="5"/>
        <v>-3.6258492993799019</v>
      </c>
      <c r="L38">
        <f t="shared" si="6"/>
        <v>0</v>
      </c>
      <c r="M38">
        <f t="shared" si="7"/>
        <v>-4.0239570926428163</v>
      </c>
      <c r="N38">
        <f t="shared" si="8"/>
        <v>0</v>
      </c>
      <c r="O38" s="24">
        <f t="shared" si="9"/>
        <v>-4.3374392477565173</v>
      </c>
      <c r="P38">
        <f t="shared" si="10"/>
        <v>0</v>
      </c>
      <c r="Q38">
        <f t="shared" si="11"/>
        <v>-0.40781259066214892</v>
      </c>
      <c r="R38">
        <f t="shared" si="12"/>
        <v>0</v>
      </c>
      <c r="S38">
        <f t="shared" si="13"/>
        <v>-6.7761569936266026</v>
      </c>
      <c r="T38">
        <f t="shared" si="14"/>
        <v>0</v>
      </c>
      <c r="U38">
        <f t="shared" si="17"/>
        <v>-2.3452644341035356</v>
      </c>
      <c r="V38">
        <f t="shared" si="15"/>
        <v>0</v>
      </c>
      <c r="W38" s="33">
        <f t="shared" si="18"/>
        <v>-5.1770361723946472</v>
      </c>
      <c r="X38">
        <f t="shared" si="16"/>
        <v>0</v>
      </c>
    </row>
    <row r="39" spans="1:51" x14ac:dyDescent="0.35">
      <c r="A39">
        <f>Table1!A32</f>
        <v>0</v>
      </c>
      <c r="B39">
        <f>Table1!C32</f>
        <v>5.4</v>
      </c>
      <c r="C39">
        <f>Table1!E32</f>
        <v>-4.5999999999999996</v>
      </c>
      <c r="D39">
        <v>0</v>
      </c>
      <c r="G39">
        <f t="shared" si="1"/>
        <v>-12.694035994321981</v>
      </c>
      <c r="H39">
        <f t="shared" si="2"/>
        <v>0</v>
      </c>
      <c r="I39">
        <f t="shared" si="3"/>
        <v>-12.66220254230806</v>
      </c>
      <c r="J39">
        <f t="shared" si="4"/>
        <v>0</v>
      </c>
      <c r="K39">
        <f t="shared" si="5"/>
        <v>-12.485653873940786</v>
      </c>
      <c r="L39">
        <f t="shared" si="6"/>
        <v>0</v>
      </c>
      <c r="M39">
        <f t="shared" si="7"/>
        <v>-13.234652408975455</v>
      </c>
      <c r="N39">
        <f t="shared" si="8"/>
        <v>0</v>
      </c>
      <c r="O39" s="24">
        <f t="shared" si="9"/>
        <v>-13.607827927852092</v>
      </c>
      <c r="P39">
        <f t="shared" si="10"/>
        <v>0</v>
      </c>
      <c r="Q39">
        <f t="shared" si="11"/>
        <v>-5.1786342535305767</v>
      </c>
      <c r="R39">
        <f t="shared" si="12"/>
        <v>0</v>
      </c>
      <c r="S39">
        <f t="shared" si="13"/>
        <v>-12.574311946935966</v>
      </c>
      <c r="T39">
        <f t="shared" si="14"/>
        <v>0</v>
      </c>
      <c r="U39">
        <f t="shared" si="17"/>
        <v>-9.4994100931236982</v>
      </c>
      <c r="V39">
        <f t="shared" si="15"/>
        <v>0</v>
      </c>
      <c r="W39" s="33">
        <f t="shared" si="18"/>
        <v>-12.211076746647452</v>
      </c>
      <c r="X39">
        <f t="shared" si="16"/>
        <v>0</v>
      </c>
      <c r="AQ39" s="3"/>
      <c r="AR39" s="3"/>
      <c r="AS39" s="3"/>
      <c r="AT39" s="3"/>
      <c r="AU39" s="3"/>
      <c r="AV39" s="3"/>
      <c r="AW39" s="3"/>
      <c r="AX39" s="3"/>
      <c r="AY39" s="3"/>
    </row>
    <row r="40" spans="1:51" x14ac:dyDescent="0.35">
      <c r="A40" t="str">
        <f>Table1!A33</f>
        <v>Nordhaus 2013</v>
      </c>
      <c r="B40">
        <f>Table1!C33</f>
        <v>2.9</v>
      </c>
      <c r="C40">
        <f>Table1!E33</f>
        <v>-2</v>
      </c>
      <c r="D40">
        <v>0</v>
      </c>
      <c r="G40">
        <f t="shared" si="1"/>
        <v>-6.4968538312876856</v>
      </c>
      <c r="H40">
        <f t="shared" si="2"/>
        <v>0</v>
      </c>
      <c r="I40">
        <f t="shared" si="3"/>
        <v>-6.6592960519391777</v>
      </c>
      <c r="J40">
        <f t="shared" si="4"/>
        <v>0</v>
      </c>
      <c r="K40">
        <f t="shared" si="5"/>
        <v>-3.6009721906667354</v>
      </c>
      <c r="L40">
        <f t="shared" si="6"/>
        <v>0</v>
      </c>
      <c r="M40">
        <f t="shared" si="7"/>
        <v>-3.9964942661055702</v>
      </c>
      <c r="N40">
        <f t="shared" si="8"/>
        <v>0</v>
      </c>
      <c r="O40" s="24">
        <f t="shared" si="9"/>
        <v>-4.3081623449398503</v>
      </c>
      <c r="P40">
        <f t="shared" si="10"/>
        <v>0</v>
      </c>
      <c r="Q40">
        <f t="shared" si="11"/>
        <v>-0.40352100005526859</v>
      </c>
      <c r="R40">
        <f t="shared" si="12"/>
        <v>0</v>
      </c>
      <c r="S40">
        <f t="shared" si="13"/>
        <v>-6.7528712307619072</v>
      </c>
      <c r="T40">
        <f t="shared" si="14"/>
        <v>0</v>
      </c>
      <c r="U40">
        <f t="shared" si="17"/>
        <v>-2.3313846543650381</v>
      </c>
      <c r="V40">
        <f t="shared" si="15"/>
        <v>0</v>
      </c>
      <c r="W40" s="33">
        <f t="shared" si="18"/>
        <v>-5.1539568794641495</v>
      </c>
      <c r="X40">
        <f t="shared" si="16"/>
        <v>0</v>
      </c>
    </row>
    <row r="41" spans="1:51" ht="15" thickBot="1" x14ac:dyDescent="0.4">
      <c r="A41" t="str">
        <f>Table1!A34</f>
        <v>Sartori and Roson 2016</v>
      </c>
      <c r="B41">
        <f>Table1!C34</f>
        <v>3</v>
      </c>
      <c r="C41">
        <f>Table1!E34</f>
        <v>-0.71756668095998166</v>
      </c>
      <c r="D41">
        <v>0</v>
      </c>
      <c r="G41">
        <f t="shared" si="1"/>
        <v>-6.7341376315587578</v>
      </c>
      <c r="H41">
        <f t="shared" si="2"/>
        <v>0</v>
      </c>
      <c r="I41">
        <f t="shared" si="3"/>
        <v>-6.8994123115539345</v>
      </c>
      <c r="J41">
        <f t="shared" si="4"/>
        <v>0</v>
      </c>
      <c r="K41">
        <f t="shared" si="5"/>
        <v>-3.8535968746730815</v>
      </c>
      <c r="L41">
        <f t="shared" si="6"/>
        <v>0</v>
      </c>
      <c r="M41">
        <f t="shared" si="7"/>
        <v>-4.2752074028710378</v>
      </c>
      <c r="N41">
        <f t="shared" si="8"/>
        <v>0</v>
      </c>
      <c r="O41" s="24">
        <f t="shared" si="9"/>
        <v>-4.6049914316959306</v>
      </c>
      <c r="P41">
        <f t="shared" si="10"/>
        <v>0</v>
      </c>
      <c r="Q41">
        <f t="shared" si="11"/>
        <v>-0.44843075333105736</v>
      </c>
      <c r="R41">
        <f t="shared" si="12"/>
        <v>0</v>
      </c>
      <c r="S41">
        <f t="shared" si="13"/>
        <v>-6.9857288594088693</v>
      </c>
      <c r="T41">
        <f t="shared" si="14"/>
        <v>0</v>
      </c>
      <c r="U41">
        <f t="shared" si="17"/>
        <v>-2.4733762894242042</v>
      </c>
      <c r="V41">
        <f t="shared" si="15"/>
        <v>0</v>
      </c>
      <c r="W41" s="33">
        <f t="shared" si="18"/>
        <v>-5.386475872163075</v>
      </c>
      <c r="X41">
        <f t="shared" si="16"/>
        <v>0</v>
      </c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35">
      <c r="A42" t="str">
        <f>Table1!A35</f>
        <v>Kompas et al. 2018</v>
      </c>
      <c r="B42">
        <f>Table1!C35</f>
        <v>1</v>
      </c>
      <c r="C42">
        <f>Table1!E35</f>
        <v>-0.4658664448796927</v>
      </c>
      <c r="D42">
        <v>0</v>
      </c>
      <c r="G42">
        <f t="shared" si="1"/>
        <v>-2.1563501584337503</v>
      </c>
      <c r="H42">
        <f t="shared" si="2"/>
        <v>0</v>
      </c>
      <c r="I42">
        <f t="shared" si="3"/>
        <v>-2.0970871192588278</v>
      </c>
      <c r="J42">
        <f t="shared" si="4"/>
        <v>0</v>
      </c>
      <c r="K42">
        <f t="shared" si="5"/>
        <v>-0.42817743051923129</v>
      </c>
      <c r="L42">
        <f t="shared" si="6"/>
        <v>0</v>
      </c>
      <c r="M42">
        <f t="shared" si="7"/>
        <v>-0.47620057565848239</v>
      </c>
      <c r="N42">
        <f t="shared" si="8"/>
        <v>0</v>
      </c>
      <c r="O42" s="24">
        <f t="shared" si="9"/>
        <v>-0.51634577404557813</v>
      </c>
      <c r="P42">
        <f t="shared" si="10"/>
        <v>0</v>
      </c>
      <c r="Q42">
        <f t="shared" si="11"/>
        <v>-4.0372477749620592E-2</v>
      </c>
      <c r="R42">
        <f t="shared" si="12"/>
        <v>0</v>
      </c>
      <c r="S42">
        <f t="shared" si="13"/>
        <v>-2.3285762864696231</v>
      </c>
      <c r="T42">
        <f t="shared" si="14"/>
        <v>0</v>
      </c>
      <c r="U42">
        <f t="shared" si="17"/>
        <v>-0.57326595804236147</v>
      </c>
      <c r="V42">
        <f t="shared" si="15"/>
        <v>0</v>
      </c>
      <c r="W42" s="33">
        <f t="shared" si="18"/>
        <v>-1.4333617139666972</v>
      </c>
      <c r="X42">
        <f t="shared" si="16"/>
        <v>0</v>
      </c>
    </row>
    <row r="43" spans="1:51" x14ac:dyDescent="0.35">
      <c r="A43">
        <f>Table1!A36</f>
        <v>0</v>
      </c>
      <c r="B43">
        <f>Table1!C36</f>
        <v>2</v>
      </c>
      <c r="C43">
        <f>Table1!E36</f>
        <v>-1.0740738140966928</v>
      </c>
      <c r="D43">
        <v>0</v>
      </c>
      <c r="G43">
        <f t="shared" si="1"/>
        <v>-4.4010627022866693</v>
      </c>
      <c r="H43">
        <f t="shared" si="2"/>
        <v>0</v>
      </c>
      <c r="I43">
        <f t="shared" si="3"/>
        <v>-4.4982497154063807</v>
      </c>
      <c r="J43">
        <f t="shared" si="4"/>
        <v>0</v>
      </c>
      <c r="K43">
        <f t="shared" si="5"/>
        <v>-1.7127097220769252</v>
      </c>
      <c r="L43">
        <f t="shared" si="6"/>
        <v>0</v>
      </c>
      <c r="M43">
        <f t="shared" si="7"/>
        <v>-1.9041989396959784</v>
      </c>
      <c r="N43">
        <f t="shared" si="8"/>
        <v>0</v>
      </c>
      <c r="O43" s="24">
        <f t="shared" si="9"/>
        <v>-2.0618730516227894</v>
      </c>
      <c r="P43">
        <f t="shared" si="10"/>
        <v>0</v>
      </c>
      <c r="Q43">
        <f t="shared" si="11"/>
        <v>-0.15011625038628137</v>
      </c>
      <c r="R43">
        <f t="shared" si="12"/>
        <v>0</v>
      </c>
      <c r="S43">
        <f t="shared" si="13"/>
        <v>-4.6571525729392462</v>
      </c>
      <c r="T43">
        <f t="shared" si="14"/>
        <v>0</v>
      </c>
      <c r="U43">
        <f t="shared" si="17"/>
        <v>-1.3215658465646931</v>
      </c>
      <c r="V43">
        <f t="shared" si="15"/>
        <v>0</v>
      </c>
      <c r="W43" s="33">
        <f t="shared" si="18"/>
        <v>-3.2301375110255681</v>
      </c>
      <c r="X43">
        <f t="shared" si="16"/>
        <v>0</v>
      </c>
    </row>
    <row r="44" spans="1:51" x14ac:dyDescent="0.35">
      <c r="A44">
        <f>Table1!A37</f>
        <v>0</v>
      </c>
      <c r="B44">
        <f>Table1!C37</f>
        <v>3</v>
      </c>
      <c r="C44">
        <f>Table1!E37</f>
        <v>-1.8369485050307706</v>
      </c>
      <c r="D44">
        <v>0</v>
      </c>
      <c r="G44">
        <f t="shared" si="1"/>
        <v>-6.7341376315587578</v>
      </c>
      <c r="H44">
        <f t="shared" si="2"/>
        <v>0</v>
      </c>
      <c r="I44">
        <f t="shared" si="3"/>
        <v>-6.8994123115539345</v>
      </c>
      <c r="J44">
        <f t="shared" si="4"/>
        <v>0</v>
      </c>
      <c r="K44">
        <f t="shared" si="5"/>
        <v>-3.8535968746730815</v>
      </c>
      <c r="L44">
        <f t="shared" si="6"/>
        <v>0</v>
      </c>
      <c r="M44">
        <f t="shared" si="7"/>
        <v>-4.2752074028710378</v>
      </c>
      <c r="N44">
        <f t="shared" si="8"/>
        <v>0</v>
      </c>
      <c r="O44" s="24">
        <f t="shared" si="9"/>
        <v>-4.6049914316959306</v>
      </c>
      <c r="P44">
        <f t="shared" si="10"/>
        <v>0</v>
      </c>
      <c r="Q44">
        <f t="shared" si="11"/>
        <v>-0.44843075333105736</v>
      </c>
      <c r="R44">
        <f t="shared" si="12"/>
        <v>0</v>
      </c>
      <c r="S44">
        <f t="shared" si="13"/>
        <v>-6.9857288594088693</v>
      </c>
      <c r="T44">
        <f t="shared" si="14"/>
        <v>0</v>
      </c>
      <c r="U44">
        <f t="shared" si="17"/>
        <v>-2.4733762894242042</v>
      </c>
      <c r="V44">
        <f t="shared" si="15"/>
        <v>0</v>
      </c>
      <c r="W44" s="33">
        <f t="shared" si="18"/>
        <v>-5.386475872163075</v>
      </c>
      <c r="X44">
        <f t="shared" si="16"/>
        <v>0</v>
      </c>
    </row>
    <row r="45" spans="1:51" x14ac:dyDescent="0.35">
      <c r="A45">
        <f>Table1!A38</f>
        <v>0</v>
      </c>
      <c r="B45">
        <f>Table1!C38</f>
        <v>4</v>
      </c>
      <c r="C45">
        <f>Table1!E38</f>
        <v>-2.7931051587285425</v>
      </c>
      <c r="D45">
        <v>0</v>
      </c>
      <c r="G45">
        <f t="shared" si="1"/>
        <v>-9.1555749462500149</v>
      </c>
      <c r="H45">
        <f t="shared" si="2"/>
        <v>0</v>
      </c>
      <c r="I45">
        <f t="shared" si="3"/>
        <v>-9.3005749077014865</v>
      </c>
      <c r="J45">
        <f t="shared" si="4"/>
        <v>0</v>
      </c>
      <c r="K45">
        <f t="shared" si="5"/>
        <v>-6.8508388883077007</v>
      </c>
      <c r="L45">
        <f t="shared" si="6"/>
        <v>0</v>
      </c>
      <c r="M45">
        <f t="shared" si="7"/>
        <v>-7.5395653027261655</v>
      </c>
      <c r="N45">
        <f t="shared" si="8"/>
        <v>0</v>
      </c>
      <c r="O45" s="24">
        <f t="shared" si="9"/>
        <v>-8.0228493546817035</v>
      </c>
      <c r="P45">
        <f t="shared" si="10"/>
        <v>0</v>
      </c>
      <c r="Q45">
        <f t="shared" si="11"/>
        <v>-1.2593336458516342</v>
      </c>
      <c r="R45">
        <f t="shared" si="12"/>
        <v>0</v>
      </c>
      <c r="S45">
        <f t="shared" si="13"/>
        <v>-9.3143051458784925</v>
      </c>
      <c r="T45">
        <f t="shared" si="14"/>
        <v>0</v>
      </c>
      <c r="U45">
        <f t="shared" si="17"/>
        <v>-4.3803768275970194</v>
      </c>
      <c r="V45">
        <f t="shared" si="15"/>
        <v>0</v>
      </c>
      <c r="W45" s="33">
        <f t="shared" si="18"/>
        <v>-7.9289054579487805</v>
      </c>
      <c r="X45">
        <f t="shared" si="16"/>
        <v>0</v>
      </c>
    </row>
    <row r="46" spans="1:51" x14ac:dyDescent="0.35">
      <c r="A46" t="str">
        <f>Table1!A39</f>
        <v>Dellink et al. 2019</v>
      </c>
      <c r="B46">
        <f>Table1!C39</f>
        <v>2.5</v>
      </c>
      <c r="C46">
        <f>Table1!E39</f>
        <v>-2</v>
      </c>
      <c r="D46">
        <v>0</v>
      </c>
      <c r="G46">
        <f t="shared" si="1"/>
        <v>-5.5565548687453177</v>
      </c>
      <c r="H46">
        <f t="shared" si="2"/>
        <v>0</v>
      </c>
      <c r="I46">
        <f t="shared" si="3"/>
        <v>-5.6988310134801576</v>
      </c>
      <c r="J46">
        <f t="shared" si="4"/>
        <v>0</v>
      </c>
      <c r="K46">
        <f t="shared" si="5"/>
        <v>-2.6761089407451957</v>
      </c>
      <c r="L46">
        <f t="shared" si="6"/>
        <v>0</v>
      </c>
      <c r="M46">
        <f t="shared" si="7"/>
        <v>-2.9733141422722014</v>
      </c>
      <c r="N46">
        <f t="shared" si="8"/>
        <v>0</v>
      </c>
      <c r="O46" s="24">
        <f t="shared" si="9"/>
        <v>-3.2132443095508179</v>
      </c>
      <c r="P46">
        <f t="shared" si="10"/>
        <v>0</v>
      </c>
      <c r="Q46">
        <f t="shared" si="11"/>
        <v>-0.2627421073402384</v>
      </c>
      <c r="R46">
        <f t="shared" si="12"/>
        <v>0</v>
      </c>
      <c r="S46">
        <f t="shared" si="13"/>
        <v>-5.8214407161740578</v>
      </c>
      <c r="T46">
        <f t="shared" si="14"/>
        <v>0</v>
      </c>
      <c r="U46">
        <f t="shared" si="17"/>
        <v>-1.8289509383128071</v>
      </c>
      <c r="V46">
        <f t="shared" si="15"/>
        <v>0</v>
      </c>
      <c r="W46" s="33">
        <f t="shared" si="18"/>
        <v>-4.2618511802140349</v>
      </c>
      <c r="X46">
        <f t="shared" si="16"/>
        <v>0</v>
      </c>
    </row>
    <row r="47" spans="1:51" x14ac:dyDescent="0.35">
      <c r="A47" t="str">
        <f>Table1!A40</f>
        <v>Takakura</v>
      </c>
      <c r="B47">
        <f>Table1!C40</f>
        <v>2</v>
      </c>
      <c r="C47">
        <f>Table1!E40</f>
        <v>-1.0517705037403</v>
      </c>
      <c r="D47">
        <v>0</v>
      </c>
      <c r="G47">
        <f t="shared" si="1"/>
        <v>-4.4010627022866693</v>
      </c>
      <c r="H47">
        <f t="shared" si="2"/>
        <v>0</v>
      </c>
      <c r="I47">
        <f t="shared" si="3"/>
        <v>-4.4982497154063807</v>
      </c>
      <c r="J47">
        <f t="shared" si="4"/>
        <v>0</v>
      </c>
      <c r="K47">
        <f t="shared" si="5"/>
        <v>-1.7127097220769252</v>
      </c>
      <c r="L47">
        <f t="shared" si="6"/>
        <v>0</v>
      </c>
      <c r="M47">
        <f t="shared" si="7"/>
        <v>-1.9041989396959784</v>
      </c>
      <c r="N47">
        <f t="shared" si="8"/>
        <v>0</v>
      </c>
      <c r="O47" s="24">
        <f t="shared" si="9"/>
        <v>-2.0618730516227894</v>
      </c>
      <c r="P47">
        <f t="shared" si="10"/>
        <v>0</v>
      </c>
      <c r="Q47">
        <f t="shared" si="11"/>
        <v>-0.15011625038628137</v>
      </c>
      <c r="R47">
        <f t="shared" si="12"/>
        <v>0</v>
      </c>
      <c r="S47">
        <f t="shared" si="13"/>
        <v>-4.6571525729392462</v>
      </c>
      <c r="T47">
        <f t="shared" si="14"/>
        <v>0</v>
      </c>
      <c r="U47">
        <f t="shared" si="17"/>
        <v>-1.3215658465646931</v>
      </c>
      <c r="V47">
        <f t="shared" si="15"/>
        <v>0</v>
      </c>
      <c r="W47" s="33">
        <f t="shared" si="18"/>
        <v>-3.2301375110255681</v>
      </c>
      <c r="X47">
        <f t="shared" si="16"/>
        <v>0</v>
      </c>
    </row>
    <row r="48" spans="1:51" x14ac:dyDescent="0.35">
      <c r="A48">
        <f>Table1!A41</f>
        <v>0</v>
      </c>
      <c r="B48">
        <f>Table1!C41</f>
        <v>4</v>
      </c>
      <c r="C48">
        <f>Table1!E41</f>
        <v>-4.6911160007283899</v>
      </c>
      <c r="D48">
        <v>0</v>
      </c>
      <c r="G48">
        <f t="shared" si="1"/>
        <v>-9.1555749462500149</v>
      </c>
      <c r="H48">
        <f t="shared" si="2"/>
        <v>0</v>
      </c>
      <c r="I48">
        <f t="shared" si="3"/>
        <v>-9.3005749077014865</v>
      </c>
      <c r="J48">
        <f t="shared" si="4"/>
        <v>0</v>
      </c>
      <c r="K48">
        <f t="shared" si="5"/>
        <v>-6.8508388883077007</v>
      </c>
      <c r="L48">
        <f t="shared" si="6"/>
        <v>0</v>
      </c>
      <c r="M48">
        <f t="shared" si="7"/>
        <v>-7.5395653027261655</v>
      </c>
      <c r="N48">
        <f t="shared" si="8"/>
        <v>0</v>
      </c>
      <c r="O48" s="24">
        <f t="shared" si="9"/>
        <v>-8.0228493546817035</v>
      </c>
      <c r="P48">
        <f t="shared" si="10"/>
        <v>0</v>
      </c>
      <c r="Q48">
        <f t="shared" si="11"/>
        <v>-1.2593336458516342</v>
      </c>
      <c r="R48">
        <f t="shared" si="12"/>
        <v>0</v>
      </c>
      <c r="S48">
        <f t="shared" si="13"/>
        <v>-9.3143051458784925</v>
      </c>
      <c r="T48">
        <f t="shared" si="14"/>
        <v>0</v>
      </c>
      <c r="U48">
        <f t="shared" si="17"/>
        <v>-4.3803768275970194</v>
      </c>
      <c r="V48">
        <f t="shared" si="15"/>
        <v>0</v>
      </c>
      <c r="W48" s="33">
        <f t="shared" si="18"/>
        <v>-7.9289054579487805</v>
      </c>
      <c r="X48">
        <f t="shared" si="16"/>
        <v>0</v>
      </c>
    </row>
    <row r="49" spans="1:24" x14ac:dyDescent="0.35">
      <c r="A49">
        <f>Table1!A42</f>
        <v>0</v>
      </c>
      <c r="B49">
        <f>Table1!C42</f>
        <v>6</v>
      </c>
      <c r="C49">
        <f>Table1!E42</f>
        <v>-9.49637530496768</v>
      </c>
      <c r="D49">
        <v>0</v>
      </c>
      <c r="G49">
        <f t="shared" si="1"/>
        <v>-14.263536731890037</v>
      </c>
      <c r="H49">
        <f t="shared" si="2"/>
        <v>0</v>
      </c>
      <c r="I49">
        <f t="shared" si="3"/>
        <v>-14.102900099996592</v>
      </c>
      <c r="J49">
        <f t="shared" si="4"/>
        <v>0</v>
      </c>
      <c r="K49">
        <f t="shared" si="5"/>
        <v>-15.414387498692326</v>
      </c>
      <c r="L49">
        <f t="shared" si="6"/>
        <v>0</v>
      </c>
      <c r="M49">
        <f t="shared" si="7"/>
        <v>-15.781274866184972</v>
      </c>
      <c r="N49">
        <f t="shared" si="8"/>
        <v>0</v>
      </c>
      <c r="O49" s="24">
        <f t="shared" si="9"/>
        <v>-15.861143242891645</v>
      </c>
      <c r="P49">
        <f t="shared" si="10"/>
        <v>0</v>
      </c>
      <c r="Q49">
        <f t="shared" si="11"/>
        <v>-9.4554032068548715</v>
      </c>
      <c r="R49">
        <f t="shared" si="12"/>
        <v>0</v>
      </c>
      <c r="S49">
        <f t="shared" si="13"/>
        <v>-13.971457718817739</v>
      </c>
      <c r="T49">
        <f t="shared" si="14"/>
        <v>0</v>
      </c>
      <c r="U49">
        <f t="shared" si="17"/>
        <v>-13.197348365410329</v>
      </c>
      <c r="V49">
        <f t="shared" si="15"/>
        <v>0</v>
      </c>
      <c r="W49" s="33">
        <f t="shared" si="18"/>
        <v>-14.349247938550857</v>
      </c>
      <c r="X49">
        <f t="shared" si="16"/>
        <v>0</v>
      </c>
    </row>
    <row r="50" spans="1:24" x14ac:dyDescent="0.35">
      <c r="A50" t="str">
        <f>Table1!A43</f>
        <v>Howard &amp; Sylvan 2020</v>
      </c>
      <c r="B50">
        <f>Table1!C43</f>
        <v>3</v>
      </c>
      <c r="C50">
        <f>Table1!E43</f>
        <v>-9.1999999999999993</v>
      </c>
      <c r="D50">
        <v>1</v>
      </c>
      <c r="G50">
        <f t="shared" si="1"/>
        <v>-6.7341376315587578</v>
      </c>
      <c r="H50">
        <f t="shared" si="2"/>
        <v>6.0804772200946493</v>
      </c>
      <c r="I50">
        <f t="shared" si="3"/>
        <v>-6.8994123115539345</v>
      </c>
      <c r="J50">
        <f t="shared" si="4"/>
        <v>5.2927037122296072</v>
      </c>
      <c r="K50">
        <f t="shared" si="5"/>
        <v>-3.8535968746730815</v>
      </c>
      <c r="L50">
        <f t="shared" si="6"/>
        <v>28.584026378505428</v>
      </c>
      <c r="M50">
        <f t="shared" si="7"/>
        <v>-4.2752074028710378</v>
      </c>
      <c r="N50">
        <f t="shared" si="8"/>
        <v>24.253582124736223</v>
      </c>
      <c r="O50" s="24">
        <f t="shared" si="9"/>
        <v>-4.6049914316959306</v>
      </c>
      <c r="P50">
        <f t="shared" si="10"/>
        <v>21.114103742787808</v>
      </c>
      <c r="Q50">
        <f t="shared" si="11"/>
        <v>-0.44843075333105736</v>
      </c>
      <c r="R50">
        <f t="shared" si="12"/>
        <v>76.589964279241585</v>
      </c>
      <c r="S50">
        <f t="shared" si="13"/>
        <v>-6.9857288594088693</v>
      </c>
      <c r="T50">
        <f t="shared" si="14"/>
        <v>4.9029966840547434</v>
      </c>
      <c r="U50">
        <f t="shared" si="17"/>
        <v>-2.4733762894242042</v>
      </c>
      <c r="V50">
        <f t="shared" si="15"/>
        <v>45.247466543680481</v>
      </c>
      <c r="W50" s="33">
        <f t="shared" si="18"/>
        <v>-5.386475872163075</v>
      </c>
      <c r="X50">
        <f t="shared" si="16"/>
        <v>14.542966273594374</v>
      </c>
    </row>
    <row r="51" spans="1:24" x14ac:dyDescent="0.35">
      <c r="A51" t="str">
        <f>Table1!A44</f>
        <v>Howard &amp; Sylvan 2021</v>
      </c>
      <c r="B51">
        <f>Table1!C44</f>
        <v>1.2</v>
      </c>
      <c r="C51">
        <f>Table1!E44</f>
        <v>-2.2000000000000002</v>
      </c>
      <c r="D51">
        <v>0.25</v>
      </c>
      <c r="G51">
        <f t="shared" si="1"/>
        <v>-2.5982236763708006</v>
      </c>
      <c r="H51">
        <f t="shared" si="2"/>
        <v>3.9645524105569006E-2</v>
      </c>
      <c r="I51">
        <f t="shared" si="3"/>
        <v>-2.5773196384883383</v>
      </c>
      <c r="J51">
        <f t="shared" si="4"/>
        <v>3.559252739724255E-2</v>
      </c>
      <c r="K51">
        <f t="shared" si="5"/>
        <v>-0.61657549994769301</v>
      </c>
      <c r="L51">
        <f t="shared" si="6"/>
        <v>0.6268082868414746</v>
      </c>
      <c r="M51">
        <f t="shared" si="7"/>
        <v>-0.68571840059447231</v>
      </c>
      <c r="N51">
        <f t="shared" si="8"/>
        <v>0.57326219057454086</v>
      </c>
      <c r="O51" s="24">
        <f t="shared" si="9"/>
        <v>-0.74344747341349393</v>
      </c>
      <c r="P51">
        <f t="shared" si="10"/>
        <v>0.53038631567638372</v>
      </c>
      <c r="Q51">
        <f t="shared" si="11"/>
        <v>-5.451309982350315E-2</v>
      </c>
      <c r="R51">
        <f t="shared" si="12"/>
        <v>1.1507785097072385</v>
      </c>
      <c r="S51">
        <f t="shared" si="13"/>
        <v>-2.7942915437635478</v>
      </c>
      <c r="T51">
        <f t="shared" si="14"/>
        <v>8.8295609747215162E-2</v>
      </c>
      <c r="U51">
        <f t="shared" si="17"/>
        <v>-0.70275132354172098</v>
      </c>
      <c r="V51">
        <f t="shared" si="15"/>
        <v>0.56043839978901711</v>
      </c>
      <c r="W51" s="33">
        <f t="shared" si="18"/>
        <v>-1.7650277999579513</v>
      </c>
      <c r="X51">
        <f t="shared" si="16"/>
        <v>4.7300203702355041E-2</v>
      </c>
    </row>
    <row r="52" spans="1:24" x14ac:dyDescent="0.35">
      <c r="A52">
        <f>Table1!A45</f>
        <v>0</v>
      </c>
      <c r="B52">
        <f>Table1!C45</f>
        <v>3</v>
      </c>
      <c r="C52">
        <f>Table1!E45</f>
        <v>-8.5</v>
      </c>
      <c r="D52">
        <v>0.25</v>
      </c>
      <c r="G52">
        <f t="shared" si="1"/>
        <v>-6.7341376315587578</v>
      </c>
      <c r="H52">
        <f t="shared" si="2"/>
        <v>0.77956747606922838</v>
      </c>
      <c r="I52">
        <f t="shared" si="3"/>
        <v>-6.8994123115539345</v>
      </c>
      <c r="J52">
        <f t="shared" si="4"/>
        <v>0.64047023710127982</v>
      </c>
      <c r="K52">
        <f t="shared" si="5"/>
        <v>-3.8535968746730815</v>
      </c>
      <c r="L52">
        <f t="shared" si="6"/>
        <v>5.3972655007619377</v>
      </c>
      <c r="M52">
        <f t="shared" si="7"/>
        <v>-4.2752074028710378</v>
      </c>
      <c r="N52">
        <f t="shared" si="8"/>
        <v>4.4622181221889203</v>
      </c>
      <c r="O52" s="24">
        <f t="shared" si="9"/>
        <v>-4.6049914316959306</v>
      </c>
      <c r="P52">
        <f t="shared" si="10"/>
        <v>3.792772936790529</v>
      </c>
      <c r="Q52">
        <f t="shared" si="11"/>
        <v>-0.44843075333105736</v>
      </c>
      <c r="R52">
        <f t="shared" si="12"/>
        <v>16.206941833476268</v>
      </c>
      <c r="S52">
        <f t="shared" si="13"/>
        <v>-6.9857288594088693</v>
      </c>
      <c r="T52">
        <f t="shared" si="14"/>
        <v>0.57325427180679089</v>
      </c>
      <c r="U52">
        <f t="shared" si="17"/>
        <v>-2.4733762894242042</v>
      </c>
      <c r="V52">
        <f t="shared" si="15"/>
        <v>9.0800483372185941</v>
      </c>
      <c r="W52" s="33">
        <f t="shared" si="18"/>
        <v>-5.386475872163075</v>
      </c>
      <c r="X52">
        <f t="shared" si="16"/>
        <v>2.423508123655671</v>
      </c>
    </row>
    <row r="53" spans="1:24" x14ac:dyDescent="0.35">
      <c r="A53">
        <f>Table1!A46</f>
        <v>0</v>
      </c>
      <c r="B53">
        <f>Table1!C46</f>
        <v>5</v>
      </c>
      <c r="C53">
        <f>Table1!E46</f>
        <v>-16.100000000000001</v>
      </c>
      <c r="D53">
        <v>0.25</v>
      </c>
      <c r="G53">
        <f t="shared" si="1"/>
        <v>-11.665374646360442</v>
      </c>
      <c r="H53">
        <f t="shared" si="2"/>
        <v>4.9164755067856962</v>
      </c>
      <c r="I53">
        <f t="shared" si="3"/>
        <v>-11.701737503849039</v>
      </c>
      <c r="J53">
        <f t="shared" si="4"/>
        <v>4.8361782462620244</v>
      </c>
      <c r="K53">
        <f t="shared" si="5"/>
        <v>-10.704435762980783</v>
      </c>
      <c r="L53">
        <f t="shared" si="6"/>
        <v>7.2780283589501957</v>
      </c>
      <c r="M53">
        <f t="shared" si="7"/>
        <v>-11.524993057155726</v>
      </c>
      <c r="N53">
        <f t="shared" si="8"/>
        <v>5.2326721317683313</v>
      </c>
      <c r="O53" s="24">
        <f t="shared" si="9"/>
        <v>-11.996032765663541</v>
      </c>
      <c r="P53">
        <f t="shared" si="10"/>
        <v>4.2106367651268135</v>
      </c>
      <c r="Q53">
        <f t="shared" si="11"/>
        <v>-3.4635962432351968</v>
      </c>
      <c r="R53">
        <f t="shared" si="12"/>
        <v>39.919674975994923</v>
      </c>
      <c r="S53">
        <f t="shared" si="13"/>
        <v>-11.642881432348116</v>
      </c>
      <c r="T53">
        <f t="shared" si="14"/>
        <v>4.9664764815267999</v>
      </c>
      <c r="U53">
        <f t="shared" si="17"/>
        <v>-7.6248273963558724</v>
      </c>
      <c r="V53">
        <f t="shared" si="15"/>
        <v>17.95713766539</v>
      </c>
      <c r="W53" s="33">
        <f t="shared" si="18"/>
        <v>-10.893831092406721</v>
      </c>
      <c r="X53">
        <f t="shared" si="16"/>
        <v>6.776048673597753</v>
      </c>
    </row>
    <row r="54" spans="1:24" x14ac:dyDescent="0.35">
      <c r="A54">
        <f>Table1!A47</f>
        <v>0</v>
      </c>
      <c r="B54">
        <f>Table1!C47</f>
        <v>7</v>
      </c>
      <c r="C54">
        <f>Table1!E47</f>
        <v>-25</v>
      </c>
      <c r="D54">
        <v>0.25</v>
      </c>
      <c r="G54">
        <f t="shared" si="1"/>
        <v>-16.950061202838803</v>
      </c>
      <c r="H54">
        <f t="shared" si="2"/>
        <v>16.200378659510264</v>
      </c>
      <c r="I54">
        <f t="shared" si="3"/>
        <v>-16.504062696144146</v>
      </c>
      <c r="J54">
        <f t="shared" si="4"/>
        <v>18.045237667762368</v>
      </c>
      <c r="K54">
        <f t="shared" si="5"/>
        <v>-20.980694095442335</v>
      </c>
      <c r="L54">
        <f t="shared" si="6"/>
        <v>4.038704988603028</v>
      </c>
      <c r="M54">
        <f t="shared" si="7"/>
        <v>-19.326846278030562</v>
      </c>
      <c r="N54">
        <f t="shared" si="8"/>
        <v>8.0461682882739218</v>
      </c>
      <c r="O54" s="24">
        <f t="shared" si="9"/>
        <v>-18.421255591568762</v>
      </c>
      <c r="P54">
        <f t="shared" si="10"/>
        <v>10.819969497866319</v>
      </c>
      <c r="Q54">
        <f t="shared" si="11"/>
        <v>-25.742823195696598</v>
      </c>
      <c r="R54">
        <f t="shared" si="12"/>
        <v>0.13794657501622659</v>
      </c>
      <c r="S54">
        <f t="shared" si="13"/>
        <v>-16.300034005287362</v>
      </c>
      <c r="T54">
        <f t="shared" si="14"/>
        <v>18.922352077289066</v>
      </c>
      <c r="U54">
        <f t="shared" si="17"/>
        <v>-22.799384298513093</v>
      </c>
      <c r="V54">
        <f t="shared" si="15"/>
        <v>1.2106773664076778</v>
      </c>
      <c r="W54" s="33">
        <f t="shared" si="18"/>
        <v>-18.474827601038676</v>
      </c>
      <c r="X54">
        <f t="shared" si="16"/>
        <v>10.64446870904167</v>
      </c>
    </row>
    <row r="55" spans="1:24" x14ac:dyDescent="0.35">
      <c r="A55" t="str">
        <f>Table1!A48</f>
        <v>Conte et al. 2021</v>
      </c>
      <c r="B55">
        <f>Table1!C48</f>
        <v>3.7</v>
      </c>
      <c r="C55">
        <f>Table1!E48</f>
        <v>-3.7</v>
      </c>
      <c r="D55">
        <v>0</v>
      </c>
      <c r="G55">
        <f t="shared" si="1"/>
        <v>-8.4198657013736256</v>
      </c>
      <c r="H55">
        <f t="shared" si="2"/>
        <v>0</v>
      </c>
      <c r="I55">
        <f t="shared" si="3"/>
        <v>-8.5802261288572215</v>
      </c>
      <c r="J55">
        <f t="shared" si="4"/>
        <v>0</v>
      </c>
      <c r="K55">
        <f t="shared" si="5"/>
        <v>-5.8617490238082768</v>
      </c>
      <c r="L55">
        <f t="shared" si="6"/>
        <v>0</v>
      </c>
      <c r="M55">
        <f t="shared" si="7"/>
        <v>-6.473060255033996</v>
      </c>
      <c r="N55">
        <f t="shared" si="8"/>
        <v>0</v>
      </c>
      <c r="O55" s="24">
        <f t="shared" si="9"/>
        <v>-6.9194776214653917</v>
      </c>
      <c r="P55">
        <f t="shared" si="10"/>
        <v>0</v>
      </c>
      <c r="Q55">
        <f t="shared" si="11"/>
        <v>-0.9268476167192915</v>
      </c>
      <c r="R55">
        <f t="shared" si="12"/>
        <v>0</v>
      </c>
      <c r="S55">
        <f t="shared" si="13"/>
        <v>-8.6157322599376052</v>
      </c>
      <c r="T55">
        <f t="shared" si="14"/>
        <v>0</v>
      </c>
      <c r="U55">
        <f t="shared" si="17"/>
        <v>-3.7002804840293635</v>
      </c>
      <c r="V55">
        <f t="shared" si="15"/>
        <v>0</v>
      </c>
      <c r="W55" s="33">
        <f t="shared" si="18"/>
        <v>-7.1237668403078818</v>
      </c>
      <c r="X55">
        <f t="shared" si="16"/>
        <v>0</v>
      </c>
    </row>
    <row r="56" spans="1:24" x14ac:dyDescent="0.35">
      <c r="A56" t="str">
        <f>Table1!A49</f>
        <v>Desmet and Rossi-Hansberg 2015</v>
      </c>
      <c r="B56">
        <f>Table1!C49</f>
        <v>4.6487373814138984</v>
      </c>
      <c r="C56">
        <f>Table1!E49</f>
        <v>5.1295273109904338</v>
      </c>
      <c r="D56">
        <v>0</v>
      </c>
      <c r="G56">
        <f t="shared" si="1"/>
        <v>-10.773707945466997</v>
      </c>
      <c r="H56">
        <f t="shared" si="2"/>
        <v>0</v>
      </c>
      <c r="I56">
        <f t="shared" si="3"/>
        <v>-10.858298842675248</v>
      </c>
      <c r="J56">
        <f t="shared" si="4"/>
        <v>0</v>
      </c>
      <c r="K56">
        <f t="shared" si="5"/>
        <v>-9.2532393635330941</v>
      </c>
      <c r="L56">
        <f t="shared" si="6"/>
        <v>0</v>
      </c>
      <c r="M56">
        <f t="shared" si="7"/>
        <v>-10.062863184683046</v>
      </c>
      <c r="N56">
        <f t="shared" si="8"/>
        <v>0</v>
      </c>
      <c r="O56" s="24">
        <f t="shared" si="9"/>
        <v>-10.569454322822045</v>
      </c>
      <c r="P56">
        <f t="shared" si="10"/>
        <v>0</v>
      </c>
      <c r="Q56">
        <f t="shared" si="11"/>
        <v>-2.4307157280965139</v>
      </c>
      <c r="R56">
        <f t="shared" si="12"/>
        <v>0</v>
      </c>
      <c r="S56">
        <f t="shared" si="13"/>
        <v>-10.824939628385295</v>
      </c>
      <c r="T56">
        <f t="shared" si="14"/>
        <v>0</v>
      </c>
      <c r="U56">
        <f t="shared" si="17"/>
        <v>-6.2820710207949899</v>
      </c>
      <c r="V56">
        <f t="shared" si="15"/>
        <v>0</v>
      </c>
      <c r="W56" s="33">
        <f t="shared" si="18"/>
        <v>-9.8011243177264973</v>
      </c>
      <c r="X56">
        <f t="shared" si="16"/>
        <v>0</v>
      </c>
    </row>
    <row r="57" spans="1:24" x14ac:dyDescent="0.35">
      <c r="A57">
        <f>Table1!A50</f>
        <v>0</v>
      </c>
      <c r="B57">
        <f>Table1!C50</f>
        <v>9.2982230505350998</v>
      </c>
      <c r="C57">
        <f>Table1!E50</f>
        <v>-4.8593007850505128</v>
      </c>
      <c r="D57">
        <v>0</v>
      </c>
      <c r="G57">
        <f t="shared" si="1"/>
        <v>-23.459189416588149</v>
      </c>
      <c r="H57">
        <f t="shared" si="2"/>
        <v>0</v>
      </c>
      <c r="I57">
        <f t="shared" si="3"/>
        <v>-22.022469922693155</v>
      </c>
      <c r="J57">
        <f t="shared" si="4"/>
        <v>0</v>
      </c>
      <c r="K57">
        <f t="shared" si="5"/>
        <v>-37.018915513997293</v>
      </c>
      <c r="L57">
        <f t="shared" si="6"/>
        <v>0</v>
      </c>
      <c r="M57">
        <f t="shared" si="7"/>
        <v>-11.932664819571979</v>
      </c>
      <c r="N57">
        <f t="shared" si="8"/>
        <v>0</v>
      </c>
      <c r="O57" s="24">
        <f t="shared" si="9"/>
        <v>-6.840703877535077</v>
      </c>
      <c r="P57">
        <f t="shared" si="10"/>
        <v>0</v>
      </c>
      <c r="Q57">
        <f t="shared" si="11"/>
        <v>-256.51820452705249</v>
      </c>
      <c r="R57">
        <f t="shared" si="12"/>
        <v>0</v>
      </c>
      <c r="S57">
        <f t="shared" si="13"/>
        <v>-21.651621701781274</v>
      </c>
      <c r="T57">
        <f t="shared" si="14"/>
        <v>0</v>
      </c>
      <c r="U57">
        <f t="shared" si="17"/>
        <v>-79.955225605807584</v>
      </c>
      <c r="V57">
        <f t="shared" si="15"/>
        <v>0</v>
      </c>
      <c r="W57" s="33">
        <f t="shared" si="18"/>
        <v>-35.498660887401108</v>
      </c>
      <c r="X57">
        <f t="shared" si="16"/>
        <v>0</v>
      </c>
    </row>
    <row r="58" spans="1:24" x14ac:dyDescent="0.35">
      <c r="A58">
        <f>Table1!A51</f>
        <v>0</v>
      </c>
      <c r="B58">
        <f>Table1!C51</f>
        <v>13.606208917250999</v>
      </c>
      <c r="C58">
        <f>Table1!E51</f>
        <v>-24.061208104792932</v>
      </c>
      <c r="D58">
        <v>0</v>
      </c>
      <c r="G58">
        <f t="shared" si="1"/>
        <v>-36.917828755408266</v>
      </c>
      <c r="H58">
        <f t="shared" si="2"/>
        <v>0</v>
      </c>
      <c r="I58">
        <f t="shared" si="3"/>
        <v>-32.366644450583671</v>
      </c>
      <c r="J58">
        <f t="shared" si="4"/>
        <v>0</v>
      </c>
      <c r="K58">
        <f t="shared" si="5"/>
        <v>-79.268025751344382</v>
      </c>
      <c r="L58">
        <f t="shared" si="6"/>
        <v>0</v>
      </c>
      <c r="M58">
        <f t="shared" si="7"/>
        <v>331.90598021485624</v>
      </c>
      <c r="N58">
        <f t="shared" si="8"/>
        <v>0</v>
      </c>
      <c r="O58" s="24">
        <f t="shared" si="9"/>
        <v>275.5783110621868</v>
      </c>
      <c r="P58">
        <f t="shared" si="10"/>
        <v>0</v>
      </c>
      <c r="Q58">
        <f t="shared" si="11"/>
        <v>-19058.64073928347</v>
      </c>
      <c r="R58">
        <f t="shared" si="12"/>
        <v>0</v>
      </c>
      <c r="S58">
        <f t="shared" si="13"/>
        <v>-31.683095433462203</v>
      </c>
      <c r="T58">
        <f t="shared" si="14"/>
        <v>0</v>
      </c>
      <c r="U58">
        <f t="shared" si="17"/>
        <v>-839.37480590483744</v>
      </c>
      <c r="V58">
        <f t="shared" si="15"/>
        <v>0</v>
      </c>
      <c r="W58" s="33">
        <f t="shared" si="18"/>
        <v>-749.18480120397237</v>
      </c>
      <c r="X58">
        <f t="shared" si="16"/>
        <v>0</v>
      </c>
    </row>
    <row r="59" spans="1:24" x14ac:dyDescent="0.35">
      <c r="A59">
        <f>Table1!A52</f>
        <v>0</v>
      </c>
      <c r="B59">
        <f>Table1!C52</f>
        <v>16.682700289727595</v>
      </c>
      <c r="C59">
        <f>Table1!E52</f>
        <v>-78.907648460775576</v>
      </c>
      <c r="D59">
        <v>0</v>
      </c>
      <c r="G59">
        <f t="shared" si="1"/>
        <v>-47.532859524528092</v>
      </c>
      <c r="H59">
        <f t="shared" si="2"/>
        <v>0</v>
      </c>
      <c r="I59">
        <f t="shared" si="3"/>
        <v>-39.753800461545126</v>
      </c>
      <c r="J59">
        <f t="shared" si="4"/>
        <v>0</v>
      </c>
      <c r="K59">
        <f t="shared" si="5"/>
        <v>-119.16712640296761</v>
      </c>
      <c r="L59">
        <f t="shared" si="6"/>
        <v>0</v>
      </c>
      <c r="M59">
        <f t="shared" si="7"/>
        <v>1617.3989045322101</v>
      </c>
      <c r="N59">
        <f t="shared" si="8"/>
        <v>0</v>
      </c>
      <c r="O59" s="24">
        <f t="shared" si="9"/>
        <v>1117.407103421998</v>
      </c>
      <c r="P59">
        <f t="shared" si="10"/>
        <v>0</v>
      </c>
      <c r="Q59">
        <f t="shared" si="11"/>
        <v>-413233.63255972293</v>
      </c>
      <c r="R59">
        <f t="shared" si="12"/>
        <v>0</v>
      </c>
      <c r="S59">
        <f t="shared" si="13"/>
        <v>-38.846940288939592</v>
      </c>
      <c r="T59">
        <f t="shared" si="14"/>
        <v>0</v>
      </c>
      <c r="U59">
        <f t="shared" si="17"/>
        <v>-4499.4109397619559</v>
      </c>
      <c r="V59">
        <f t="shared" si="15"/>
        <v>0</v>
      </c>
      <c r="W59" s="33">
        <f t="shared" si="18"/>
        <v>-15451.215743834557</v>
      </c>
      <c r="X59">
        <f t="shared" si="16"/>
        <v>0</v>
      </c>
    </row>
    <row r="60" spans="1:24" x14ac:dyDescent="0.35">
      <c r="A60" t="str">
        <f>Table1!A53</f>
        <v>Cruz and Rossi-Hansberg 2021</v>
      </c>
      <c r="B60">
        <f>Table1!C53</f>
        <v>7.2</v>
      </c>
      <c r="C60">
        <f>Table1!E53</f>
        <v>-5</v>
      </c>
      <c r="D60">
        <v>0</v>
      </c>
      <c r="G60">
        <f t="shared" si="1"/>
        <v>-17.497969583278856</v>
      </c>
      <c r="H60">
        <f t="shared" si="2"/>
        <v>0</v>
      </c>
      <c r="I60">
        <f t="shared" si="3"/>
        <v>-16.984295215373656</v>
      </c>
      <c r="J60">
        <f t="shared" si="4"/>
        <v>0</v>
      </c>
      <c r="K60">
        <f t="shared" si="5"/>
        <v>-22.196717998116952</v>
      </c>
      <c r="L60">
        <f t="shared" si="6"/>
        <v>0</v>
      </c>
      <c r="M60">
        <f t="shared" si="7"/>
        <v>-19.805764174094403</v>
      </c>
      <c r="N60">
        <f t="shared" si="8"/>
        <v>0</v>
      </c>
      <c r="O60" s="24">
        <f t="shared" si="9"/>
        <v>-18.620421076230734</v>
      </c>
      <c r="P60">
        <f t="shared" si="10"/>
        <v>0</v>
      </c>
      <c r="Q60">
        <f t="shared" si="11"/>
        <v>-31.447557298199786</v>
      </c>
      <c r="R60">
        <f t="shared" si="12"/>
        <v>0</v>
      </c>
      <c r="S60">
        <f t="shared" si="13"/>
        <v>-16.765749262581288</v>
      </c>
      <c r="T60">
        <f t="shared" si="14"/>
        <v>0</v>
      </c>
      <c r="U60">
        <f t="shared" si="17"/>
        <v>-25.431307267316587</v>
      </c>
      <c r="V60">
        <f t="shared" si="15"/>
        <v>0</v>
      </c>
      <c r="W60" s="33">
        <f t="shared" si="18"/>
        <v>-19.416129190685904</v>
      </c>
      <c r="X60">
        <f t="shared" si="16"/>
        <v>0</v>
      </c>
    </row>
    <row r="61" spans="1:24" x14ac:dyDescent="0.35">
      <c r="A61" t="str">
        <f>Table1!A54</f>
        <v>Kalkuhl and Wenz 2020</v>
      </c>
      <c r="B61">
        <f>Table1!C54</f>
        <v>1</v>
      </c>
      <c r="C61">
        <f>Table1!E54</f>
        <v>-2.2999999999999998</v>
      </c>
      <c r="D61">
        <v>0</v>
      </c>
      <c r="G61">
        <f t="shared" si="1"/>
        <v>-2.1563501584337503</v>
      </c>
      <c r="H61">
        <f t="shared" si="2"/>
        <v>0</v>
      </c>
      <c r="I61">
        <f t="shared" si="3"/>
        <v>-2.0970871192588278</v>
      </c>
      <c r="J61">
        <f t="shared" si="4"/>
        <v>0</v>
      </c>
      <c r="K61">
        <f t="shared" si="5"/>
        <v>-0.42817743051923129</v>
      </c>
      <c r="L61">
        <f t="shared" si="6"/>
        <v>0</v>
      </c>
      <c r="M61">
        <f t="shared" si="7"/>
        <v>-0.47620057565848239</v>
      </c>
      <c r="N61">
        <f t="shared" si="8"/>
        <v>0</v>
      </c>
      <c r="O61" s="24">
        <f t="shared" si="9"/>
        <v>-0.51634577404557813</v>
      </c>
      <c r="P61">
        <f t="shared" si="10"/>
        <v>0</v>
      </c>
      <c r="Q61">
        <f t="shared" si="11"/>
        <v>-4.0372477749620592E-2</v>
      </c>
      <c r="R61">
        <f t="shared" si="12"/>
        <v>0</v>
      </c>
      <c r="S61">
        <f t="shared" si="13"/>
        <v>-2.3285762864696231</v>
      </c>
      <c r="T61">
        <f t="shared" si="14"/>
        <v>0</v>
      </c>
      <c r="U61">
        <f t="shared" si="17"/>
        <v>-0.57326595804236147</v>
      </c>
      <c r="V61">
        <f t="shared" si="15"/>
        <v>0</v>
      </c>
      <c r="W61" s="33">
        <f t="shared" si="18"/>
        <v>-1.4333617139666972</v>
      </c>
      <c r="X61">
        <f t="shared" si="16"/>
        <v>0</v>
      </c>
    </row>
    <row r="62" spans="1:24" x14ac:dyDescent="0.35">
      <c r="A62" t="str">
        <f>Table1!A55</f>
        <v>Newell, Prest and Sexton</v>
      </c>
      <c r="B62">
        <f>Table1!C55</f>
        <v>4.3</v>
      </c>
      <c r="C62">
        <f>Table1!E55</f>
        <v>5.63</v>
      </c>
      <c r="D62">
        <v>0</v>
      </c>
      <c r="G62">
        <f t="shared" si="1"/>
        <v>-9.8992368058141302</v>
      </c>
      <c r="H62">
        <f t="shared" si="2"/>
        <v>0</v>
      </c>
      <c r="I62">
        <f t="shared" si="3"/>
        <v>-10.020923686545752</v>
      </c>
      <c r="J62">
        <f t="shared" si="4"/>
        <v>0</v>
      </c>
      <c r="K62">
        <f t="shared" si="5"/>
        <v>-7.9170006903005863</v>
      </c>
      <c r="L62">
        <f t="shared" si="6"/>
        <v>0</v>
      </c>
      <c r="M62">
        <f t="shared" si="7"/>
        <v>-8.672776293941391</v>
      </c>
      <c r="N62">
        <f t="shared" si="8"/>
        <v>0</v>
      </c>
      <c r="O62" s="24">
        <f t="shared" si="9"/>
        <v>-9.1785106078526546</v>
      </c>
      <c r="P62">
        <f t="shared" si="10"/>
        <v>0</v>
      </c>
      <c r="Q62">
        <f t="shared" si="11"/>
        <v>-1.708142840671899</v>
      </c>
      <c r="R62">
        <f t="shared" si="12"/>
        <v>0</v>
      </c>
      <c r="S62">
        <f t="shared" si="13"/>
        <v>-10.01287803181938</v>
      </c>
      <c r="T62">
        <f t="shared" si="14"/>
        <v>0</v>
      </c>
      <c r="U62">
        <f t="shared" si="17"/>
        <v>-5.1781624102958004</v>
      </c>
      <c r="V62">
        <f t="shared" si="15"/>
        <v>0</v>
      </c>
      <c r="W62" s="33">
        <f t="shared" si="18"/>
        <v>-8.7718967291897894</v>
      </c>
      <c r="X62">
        <f t="shared" si="16"/>
        <v>0</v>
      </c>
    </row>
    <row r="63" spans="1:24" x14ac:dyDescent="0.35">
      <c r="A63">
        <f>Table1!A56</f>
        <v>0</v>
      </c>
      <c r="B63">
        <f>Table1!C56</f>
        <v>4.3</v>
      </c>
      <c r="C63">
        <f>Table1!E56</f>
        <v>3.61</v>
      </c>
      <c r="D63">
        <v>0</v>
      </c>
      <c r="G63">
        <f t="shared" si="1"/>
        <v>-9.8992368058141302</v>
      </c>
      <c r="H63">
        <f t="shared" si="2"/>
        <v>0</v>
      </c>
      <c r="I63">
        <f t="shared" si="3"/>
        <v>-10.020923686545752</v>
      </c>
      <c r="J63">
        <f t="shared" si="4"/>
        <v>0</v>
      </c>
      <c r="K63">
        <f t="shared" si="5"/>
        <v>-7.9170006903005863</v>
      </c>
      <c r="L63">
        <f t="shared" si="6"/>
        <v>0</v>
      </c>
      <c r="M63">
        <f t="shared" si="7"/>
        <v>-8.672776293941391</v>
      </c>
      <c r="N63">
        <f t="shared" si="8"/>
        <v>0</v>
      </c>
      <c r="O63" s="24">
        <f t="shared" si="9"/>
        <v>-9.1785106078526546</v>
      </c>
      <c r="P63">
        <f t="shared" si="10"/>
        <v>0</v>
      </c>
      <c r="Q63">
        <f t="shared" si="11"/>
        <v>-1.708142840671899</v>
      </c>
      <c r="R63">
        <f t="shared" si="12"/>
        <v>0</v>
      </c>
      <c r="S63">
        <f t="shared" si="13"/>
        <v>-10.01287803181938</v>
      </c>
      <c r="T63">
        <f t="shared" si="14"/>
        <v>0</v>
      </c>
      <c r="U63">
        <f t="shared" si="17"/>
        <v>-5.1781624102958004</v>
      </c>
      <c r="V63">
        <f t="shared" si="15"/>
        <v>0</v>
      </c>
      <c r="W63" s="33">
        <f t="shared" si="18"/>
        <v>-8.7718967291897894</v>
      </c>
      <c r="X63">
        <f t="shared" si="16"/>
        <v>0</v>
      </c>
    </row>
    <row r="64" spans="1:24" x14ac:dyDescent="0.35">
      <c r="A64">
        <f>Table1!A57</f>
        <v>0</v>
      </c>
      <c r="B64">
        <f>Table1!C57</f>
        <v>4.3</v>
      </c>
      <c r="C64">
        <f>Table1!E57</f>
        <v>-1.71</v>
      </c>
      <c r="D64">
        <v>0</v>
      </c>
      <c r="G64">
        <f t="shared" si="1"/>
        <v>-9.8992368058141302</v>
      </c>
      <c r="H64">
        <f t="shared" si="2"/>
        <v>0</v>
      </c>
      <c r="I64">
        <f t="shared" si="3"/>
        <v>-10.020923686545752</v>
      </c>
      <c r="J64">
        <f t="shared" si="4"/>
        <v>0</v>
      </c>
      <c r="K64">
        <f t="shared" si="5"/>
        <v>-7.9170006903005863</v>
      </c>
      <c r="L64">
        <f t="shared" si="6"/>
        <v>0</v>
      </c>
      <c r="M64">
        <f t="shared" si="7"/>
        <v>-8.672776293941391</v>
      </c>
      <c r="N64">
        <f t="shared" si="8"/>
        <v>0</v>
      </c>
      <c r="O64" s="24">
        <f t="shared" si="9"/>
        <v>-9.1785106078526546</v>
      </c>
      <c r="P64">
        <f t="shared" si="10"/>
        <v>0</v>
      </c>
      <c r="Q64">
        <f t="shared" si="11"/>
        <v>-1.708142840671899</v>
      </c>
      <c r="R64">
        <f t="shared" si="12"/>
        <v>0</v>
      </c>
      <c r="S64">
        <f t="shared" si="13"/>
        <v>-10.01287803181938</v>
      </c>
      <c r="T64">
        <f t="shared" si="14"/>
        <v>0</v>
      </c>
      <c r="U64">
        <f t="shared" si="17"/>
        <v>-5.1781624102958004</v>
      </c>
      <c r="V64">
        <f t="shared" si="15"/>
        <v>0</v>
      </c>
      <c r="W64" s="33">
        <f t="shared" si="18"/>
        <v>-8.7718967291897894</v>
      </c>
      <c r="X64">
        <f t="shared" si="16"/>
        <v>0</v>
      </c>
    </row>
    <row r="65" spans="1:24" x14ac:dyDescent="0.35">
      <c r="A65">
        <f>Table1!A58</f>
        <v>0</v>
      </c>
      <c r="B65">
        <f>Table1!C58</f>
        <v>4.3</v>
      </c>
      <c r="C65">
        <f>Table1!E58</f>
        <v>-1.63</v>
      </c>
      <c r="D65">
        <v>0</v>
      </c>
      <c r="G65">
        <f t="shared" si="1"/>
        <v>-9.8992368058141302</v>
      </c>
      <c r="H65">
        <f t="shared" si="2"/>
        <v>0</v>
      </c>
      <c r="I65">
        <f t="shared" si="3"/>
        <v>-10.020923686545752</v>
      </c>
      <c r="J65">
        <f t="shared" si="4"/>
        <v>0</v>
      </c>
      <c r="K65">
        <f t="shared" si="5"/>
        <v>-7.9170006903005863</v>
      </c>
      <c r="L65">
        <f t="shared" si="6"/>
        <v>0</v>
      </c>
      <c r="M65">
        <f t="shared" si="7"/>
        <v>-8.672776293941391</v>
      </c>
      <c r="N65">
        <f t="shared" si="8"/>
        <v>0</v>
      </c>
      <c r="O65" s="24">
        <f t="shared" si="9"/>
        <v>-9.1785106078526546</v>
      </c>
      <c r="P65">
        <f t="shared" si="10"/>
        <v>0</v>
      </c>
      <c r="Q65">
        <f t="shared" si="11"/>
        <v>-1.708142840671899</v>
      </c>
      <c r="R65">
        <f t="shared" si="12"/>
        <v>0</v>
      </c>
      <c r="S65">
        <f t="shared" si="13"/>
        <v>-10.01287803181938</v>
      </c>
      <c r="T65">
        <f t="shared" si="14"/>
        <v>0</v>
      </c>
      <c r="U65">
        <f t="shared" si="17"/>
        <v>-5.1781624102958004</v>
      </c>
      <c r="V65">
        <f t="shared" si="15"/>
        <v>0</v>
      </c>
      <c r="W65" s="33">
        <f t="shared" si="18"/>
        <v>-8.7718967291897894</v>
      </c>
      <c r="X65">
        <f t="shared" si="16"/>
        <v>0</v>
      </c>
    </row>
    <row r="66" spans="1:24" x14ac:dyDescent="0.35">
      <c r="A66">
        <f>Table1!A59</f>
        <v>0</v>
      </c>
      <c r="B66">
        <f>Table1!C59</f>
        <v>4.3</v>
      </c>
      <c r="C66">
        <f>Table1!E59</f>
        <v>-2.17</v>
      </c>
      <c r="D66">
        <v>0</v>
      </c>
      <c r="G66">
        <f t="shared" si="1"/>
        <v>-9.8992368058141302</v>
      </c>
      <c r="H66">
        <f t="shared" si="2"/>
        <v>0</v>
      </c>
      <c r="I66">
        <f t="shared" si="3"/>
        <v>-10.020923686545752</v>
      </c>
      <c r="J66">
        <f t="shared" si="4"/>
        <v>0</v>
      </c>
      <c r="K66">
        <f t="shared" si="5"/>
        <v>-7.9170006903005863</v>
      </c>
      <c r="L66">
        <f t="shared" si="6"/>
        <v>0</v>
      </c>
      <c r="M66">
        <f t="shared" si="7"/>
        <v>-8.672776293941391</v>
      </c>
      <c r="N66">
        <f t="shared" si="8"/>
        <v>0</v>
      </c>
      <c r="O66" s="24">
        <f t="shared" si="9"/>
        <v>-9.1785106078526546</v>
      </c>
      <c r="P66">
        <f t="shared" si="10"/>
        <v>0</v>
      </c>
      <c r="Q66">
        <f t="shared" si="11"/>
        <v>-1.708142840671899</v>
      </c>
      <c r="R66">
        <f t="shared" si="12"/>
        <v>0</v>
      </c>
      <c r="S66">
        <f t="shared" si="13"/>
        <v>-10.01287803181938</v>
      </c>
      <c r="T66">
        <f t="shared" si="14"/>
        <v>0</v>
      </c>
      <c r="U66">
        <f t="shared" si="17"/>
        <v>-5.1781624102958004</v>
      </c>
      <c r="V66">
        <f t="shared" si="15"/>
        <v>0</v>
      </c>
      <c r="W66" s="33">
        <f t="shared" si="18"/>
        <v>-8.7718967291897894</v>
      </c>
      <c r="X66">
        <f t="shared" si="16"/>
        <v>0</v>
      </c>
    </row>
    <row r="67" spans="1:24" x14ac:dyDescent="0.35">
      <c r="A67">
        <f>Table1!A60</f>
        <v>0</v>
      </c>
      <c r="B67">
        <f>Table1!C60</f>
        <v>4.3</v>
      </c>
      <c r="C67">
        <f>Table1!E60</f>
        <v>-0.64</v>
      </c>
      <c r="D67">
        <v>0</v>
      </c>
      <c r="G67">
        <f t="shared" si="1"/>
        <v>-9.8992368058141302</v>
      </c>
      <c r="H67">
        <f t="shared" si="2"/>
        <v>0</v>
      </c>
      <c r="I67">
        <f t="shared" si="3"/>
        <v>-10.020923686545752</v>
      </c>
      <c r="J67">
        <f t="shared" si="4"/>
        <v>0</v>
      </c>
      <c r="K67">
        <f t="shared" si="5"/>
        <v>-7.9170006903005863</v>
      </c>
      <c r="L67">
        <f t="shared" si="6"/>
        <v>0</v>
      </c>
      <c r="M67">
        <f t="shared" si="7"/>
        <v>-8.672776293941391</v>
      </c>
      <c r="N67">
        <f t="shared" si="8"/>
        <v>0</v>
      </c>
      <c r="O67" s="24">
        <f t="shared" si="9"/>
        <v>-9.1785106078526546</v>
      </c>
      <c r="P67">
        <f t="shared" si="10"/>
        <v>0</v>
      </c>
      <c r="Q67">
        <f t="shared" si="11"/>
        <v>-1.708142840671899</v>
      </c>
      <c r="R67">
        <f t="shared" si="12"/>
        <v>0</v>
      </c>
      <c r="S67">
        <f t="shared" si="13"/>
        <v>-10.01287803181938</v>
      </c>
      <c r="T67">
        <f t="shared" si="14"/>
        <v>0</v>
      </c>
      <c r="U67">
        <f t="shared" si="17"/>
        <v>-5.1781624102958004</v>
      </c>
      <c r="V67">
        <f t="shared" si="15"/>
        <v>0</v>
      </c>
      <c r="W67" s="33">
        <f t="shared" si="18"/>
        <v>-8.7718967291897894</v>
      </c>
      <c r="X67">
        <f t="shared" si="16"/>
        <v>0</v>
      </c>
    </row>
    <row r="68" spans="1:24" x14ac:dyDescent="0.35">
      <c r="A68">
        <f>Table1!A61</f>
        <v>0</v>
      </c>
      <c r="B68">
        <f>Table1!C61</f>
        <v>4.3</v>
      </c>
      <c r="C68">
        <f>Table1!E61</f>
        <v>-1.82</v>
      </c>
      <c r="D68">
        <v>0</v>
      </c>
      <c r="G68">
        <f t="shared" si="1"/>
        <v>-9.8992368058141302</v>
      </c>
      <c r="H68">
        <f t="shared" si="2"/>
        <v>0</v>
      </c>
      <c r="I68">
        <f t="shared" si="3"/>
        <v>-10.020923686545752</v>
      </c>
      <c r="J68">
        <f t="shared" si="4"/>
        <v>0</v>
      </c>
      <c r="K68">
        <f t="shared" si="5"/>
        <v>-7.9170006903005863</v>
      </c>
      <c r="L68">
        <f t="shared" si="6"/>
        <v>0</v>
      </c>
      <c r="M68">
        <f t="shared" si="7"/>
        <v>-8.672776293941391</v>
      </c>
      <c r="N68">
        <f t="shared" si="8"/>
        <v>0</v>
      </c>
      <c r="O68" s="24">
        <f t="shared" si="9"/>
        <v>-9.1785106078526546</v>
      </c>
      <c r="P68">
        <f t="shared" si="10"/>
        <v>0</v>
      </c>
      <c r="Q68">
        <f t="shared" si="11"/>
        <v>-1.708142840671899</v>
      </c>
      <c r="R68">
        <f t="shared" si="12"/>
        <v>0</v>
      </c>
      <c r="S68">
        <f t="shared" si="13"/>
        <v>-10.01287803181938</v>
      </c>
      <c r="T68">
        <f t="shared" si="14"/>
        <v>0</v>
      </c>
      <c r="U68">
        <f t="shared" si="17"/>
        <v>-5.1781624102958004</v>
      </c>
      <c r="V68">
        <f t="shared" si="15"/>
        <v>0</v>
      </c>
      <c r="W68" s="33">
        <f t="shared" si="18"/>
        <v>-8.7718967291897894</v>
      </c>
      <c r="X68">
        <f t="shared" si="16"/>
        <v>0</v>
      </c>
    </row>
    <row r="69" spans="1:24" x14ac:dyDescent="0.35">
      <c r="A69">
        <f>Table1!A62</f>
        <v>0</v>
      </c>
      <c r="B69">
        <f>Table1!C62</f>
        <v>4.3</v>
      </c>
      <c r="C69">
        <f>Table1!E62</f>
        <v>-1.75</v>
      </c>
      <c r="D69">
        <v>0</v>
      </c>
      <c r="G69">
        <f t="shared" si="1"/>
        <v>-9.8992368058141302</v>
      </c>
      <c r="H69">
        <f t="shared" si="2"/>
        <v>0</v>
      </c>
      <c r="I69">
        <f t="shared" si="3"/>
        <v>-10.020923686545752</v>
      </c>
      <c r="J69">
        <f t="shared" si="4"/>
        <v>0</v>
      </c>
      <c r="K69">
        <f t="shared" si="5"/>
        <v>-7.9170006903005863</v>
      </c>
      <c r="L69">
        <f t="shared" si="6"/>
        <v>0</v>
      </c>
      <c r="M69">
        <f t="shared" si="7"/>
        <v>-8.672776293941391</v>
      </c>
      <c r="N69">
        <f t="shared" si="8"/>
        <v>0</v>
      </c>
      <c r="O69" s="24">
        <f t="shared" si="9"/>
        <v>-9.1785106078526546</v>
      </c>
      <c r="P69">
        <f t="shared" si="10"/>
        <v>0</v>
      </c>
      <c r="Q69">
        <f t="shared" si="11"/>
        <v>-1.708142840671899</v>
      </c>
      <c r="R69">
        <f t="shared" si="12"/>
        <v>0</v>
      </c>
      <c r="S69">
        <f t="shared" si="13"/>
        <v>-10.01287803181938</v>
      </c>
      <c r="T69">
        <f t="shared" si="14"/>
        <v>0</v>
      </c>
      <c r="U69">
        <f t="shared" si="17"/>
        <v>-5.1781624102958004</v>
      </c>
      <c r="V69">
        <f t="shared" si="15"/>
        <v>0</v>
      </c>
      <c r="W69" s="33">
        <f t="shared" si="18"/>
        <v>-8.7718967291897894</v>
      </c>
      <c r="X69">
        <f t="shared" si="16"/>
        <v>0</v>
      </c>
    </row>
    <row r="70" spans="1:24" x14ac:dyDescent="0.35">
      <c r="A70">
        <f>Table1!A63</f>
        <v>0</v>
      </c>
      <c r="B70">
        <f>Table1!C63</f>
        <v>4.3</v>
      </c>
      <c r="C70">
        <f>Table1!E63</f>
        <v>-2.16</v>
      </c>
      <c r="D70">
        <v>0</v>
      </c>
      <c r="G70">
        <f t="shared" si="1"/>
        <v>-9.8992368058141302</v>
      </c>
      <c r="H70">
        <f t="shared" si="2"/>
        <v>0</v>
      </c>
      <c r="I70">
        <f t="shared" si="3"/>
        <v>-10.020923686545752</v>
      </c>
      <c r="J70">
        <f t="shared" si="4"/>
        <v>0</v>
      </c>
      <c r="K70">
        <f t="shared" si="5"/>
        <v>-7.9170006903005863</v>
      </c>
      <c r="L70">
        <f t="shared" si="6"/>
        <v>0</v>
      </c>
      <c r="M70">
        <f t="shared" si="7"/>
        <v>-8.672776293941391</v>
      </c>
      <c r="N70">
        <f t="shared" si="8"/>
        <v>0</v>
      </c>
      <c r="O70" s="24">
        <f t="shared" si="9"/>
        <v>-9.1785106078526546</v>
      </c>
      <c r="P70">
        <f t="shared" si="10"/>
        <v>0</v>
      </c>
      <c r="Q70">
        <f t="shared" si="11"/>
        <v>-1.708142840671899</v>
      </c>
      <c r="R70">
        <f t="shared" si="12"/>
        <v>0</v>
      </c>
      <c r="S70">
        <f t="shared" si="13"/>
        <v>-10.01287803181938</v>
      </c>
      <c r="T70">
        <f t="shared" si="14"/>
        <v>0</v>
      </c>
      <c r="U70">
        <f t="shared" si="17"/>
        <v>-5.1781624102958004</v>
      </c>
      <c r="V70">
        <f t="shared" si="15"/>
        <v>0</v>
      </c>
      <c r="W70" s="33">
        <f t="shared" si="18"/>
        <v>-8.7718967291897894</v>
      </c>
      <c r="X70">
        <f t="shared" si="16"/>
        <v>0</v>
      </c>
    </row>
    <row r="71" spans="1:24" x14ac:dyDescent="0.35">
      <c r="A71" t="str">
        <f>Table1!A64</f>
        <v>Schauer 1995</v>
      </c>
      <c r="B71">
        <f>Table1!C64</f>
        <v>2.5</v>
      </c>
      <c r="C71">
        <f>Table1!E64</f>
        <v>-5.22</v>
      </c>
      <c r="D71">
        <v>1</v>
      </c>
      <c r="G71">
        <f t="shared" si="1"/>
        <v>-5.5565548687453177</v>
      </c>
      <c r="H71">
        <f t="shared" si="2"/>
        <v>0.11326917967617818</v>
      </c>
      <c r="I71">
        <f t="shared" si="3"/>
        <v>-5.6988310134801576</v>
      </c>
      <c r="J71">
        <f t="shared" si="4"/>
        <v>0.22927913947043516</v>
      </c>
      <c r="K71">
        <f t="shared" si="5"/>
        <v>-2.6761089407451957</v>
      </c>
      <c r="L71">
        <f t="shared" si="6"/>
        <v>6.4713817213565292</v>
      </c>
      <c r="M71">
        <f t="shared" si="7"/>
        <v>-2.9733141422722014</v>
      </c>
      <c r="N71">
        <f t="shared" si="8"/>
        <v>5.0475973433140933</v>
      </c>
      <c r="O71" s="24">
        <f t="shared" si="9"/>
        <v>-3.2132443095508179</v>
      </c>
      <c r="P71">
        <f t="shared" si="10"/>
        <v>4.0270684011501725</v>
      </c>
      <c r="Q71">
        <f t="shared" si="11"/>
        <v>-0.2627421073402384</v>
      </c>
      <c r="R71">
        <f t="shared" si="12"/>
        <v>24.574405814337499</v>
      </c>
      <c r="S71">
        <f t="shared" si="13"/>
        <v>-5.8214407161740578</v>
      </c>
      <c r="T71">
        <f t="shared" si="14"/>
        <v>0.36173093507196385</v>
      </c>
      <c r="U71">
        <f t="shared" si="17"/>
        <v>-1.8289509383128071</v>
      </c>
      <c r="V71">
        <f t="shared" si="15"/>
        <v>11.499213738769591</v>
      </c>
      <c r="W71" s="33">
        <f t="shared" si="18"/>
        <v>-4.2618511802140349</v>
      </c>
      <c r="X71">
        <f t="shared" si="16"/>
        <v>0.91804916085723742</v>
      </c>
    </row>
    <row r="72" spans="1:24" x14ac:dyDescent="0.35">
      <c r="A72" t="str">
        <f>Table1!A65</f>
        <v>Horowitz 2009</v>
      </c>
      <c r="B72">
        <f>Table1!C65</f>
        <v>1</v>
      </c>
      <c r="C72">
        <f>Table1!E65</f>
        <v>-3.8</v>
      </c>
      <c r="D72">
        <v>0</v>
      </c>
      <c r="G72">
        <f t="shared" si="1"/>
        <v>-2.1563501584337503</v>
      </c>
      <c r="H72">
        <f t="shared" si="2"/>
        <v>0</v>
      </c>
      <c r="I72">
        <f t="shared" si="3"/>
        <v>-2.0970871192588278</v>
      </c>
      <c r="J72">
        <f t="shared" si="4"/>
        <v>0</v>
      </c>
      <c r="K72">
        <f t="shared" si="5"/>
        <v>-0.42817743051923129</v>
      </c>
      <c r="L72">
        <f t="shared" si="6"/>
        <v>0</v>
      </c>
      <c r="M72">
        <f t="shared" si="7"/>
        <v>-0.47620057565848239</v>
      </c>
      <c r="N72">
        <f t="shared" si="8"/>
        <v>0</v>
      </c>
      <c r="O72" s="24">
        <f t="shared" si="9"/>
        <v>-0.51634577404557813</v>
      </c>
      <c r="P72">
        <f t="shared" si="10"/>
        <v>0</v>
      </c>
      <c r="Q72">
        <f t="shared" si="11"/>
        <v>-4.0372477749620592E-2</v>
      </c>
      <c r="R72">
        <f t="shared" si="12"/>
        <v>0</v>
      </c>
      <c r="S72">
        <f t="shared" si="13"/>
        <v>-2.3285762864696231</v>
      </c>
      <c r="T72">
        <f t="shared" si="14"/>
        <v>0</v>
      </c>
      <c r="U72">
        <f t="shared" si="17"/>
        <v>-0.57326595804236147</v>
      </c>
      <c r="V72">
        <f t="shared" si="15"/>
        <v>0</v>
      </c>
      <c r="W72" s="33">
        <f t="shared" si="18"/>
        <v>-1.4333617139666972</v>
      </c>
      <c r="X72">
        <f t="shared" si="16"/>
        <v>0</v>
      </c>
    </row>
    <row r="73" spans="1:24" x14ac:dyDescent="0.35">
      <c r="A73" t="str">
        <f>Table1!A66</f>
        <v>Eboli 2010</v>
      </c>
      <c r="B73">
        <f>Table1!C66</f>
        <v>3.03</v>
      </c>
      <c r="C73">
        <f>Table1!E66</f>
        <v>-1.35</v>
      </c>
      <c r="D73">
        <v>0</v>
      </c>
      <c r="G73">
        <f t="shared" si="1"/>
        <v>-6.8054950782916466</v>
      </c>
      <c r="H73">
        <f t="shared" si="2"/>
        <v>0</v>
      </c>
      <c r="I73">
        <f t="shared" si="3"/>
        <v>-6.9714471894383596</v>
      </c>
      <c r="J73">
        <f t="shared" si="4"/>
        <v>0</v>
      </c>
      <c r="K73">
        <f t="shared" si="5"/>
        <v>-3.9310541718540102</v>
      </c>
      <c r="L73">
        <f t="shared" si="6"/>
        <v>0</v>
      </c>
      <c r="M73">
        <f t="shared" si="7"/>
        <v>-4.3605853337994214</v>
      </c>
      <c r="N73">
        <f t="shared" si="8"/>
        <v>0</v>
      </c>
      <c r="O73" s="24">
        <f t="shared" si="9"/>
        <v>-4.6957853125956168</v>
      </c>
      <c r="P73">
        <f t="shared" si="10"/>
        <v>0</v>
      </c>
      <c r="Q73">
        <f t="shared" si="11"/>
        <v>-0.46280305784144138</v>
      </c>
      <c r="R73">
        <f t="shared" si="12"/>
        <v>0</v>
      </c>
      <c r="S73">
        <f t="shared" si="13"/>
        <v>-7.0555861480029574</v>
      </c>
      <c r="T73">
        <f t="shared" si="14"/>
        <v>0</v>
      </c>
      <c r="U73">
        <f t="shared" si="17"/>
        <v>-2.5173909310419562</v>
      </c>
      <c r="V73">
        <f t="shared" si="15"/>
        <v>0</v>
      </c>
      <c r="W73" s="33">
        <f t="shared" si="18"/>
        <v>-5.4569818098057512</v>
      </c>
      <c r="X73">
        <f t="shared" si="16"/>
        <v>0</v>
      </c>
    </row>
    <row r="74" spans="1:24" x14ac:dyDescent="0.35">
      <c r="A74" t="str">
        <f>Table1!A67</f>
        <v>Ng and Zhao 2011</v>
      </c>
      <c r="B74">
        <f>Table1!C67</f>
        <v>1</v>
      </c>
      <c r="C74">
        <f>Table1!E67</f>
        <v>-1.35</v>
      </c>
      <c r="D74">
        <v>0</v>
      </c>
      <c r="G74">
        <f t="shared" ref="G74:G78" si="19">G$1*B74+G$2*B74^2</f>
        <v>-2.1563501584337503</v>
      </c>
      <c r="H74">
        <f t="shared" ref="H74:H78" si="20">$D74*(G74-$C74)^2</f>
        <v>0</v>
      </c>
      <c r="I74">
        <f t="shared" ref="I74:I78" si="21">IF(B74&lt;=I$2,B74*I$1,I$1*I$2+I$3*(B74-I$2))</f>
        <v>-2.0970871192588278</v>
      </c>
      <c r="J74">
        <f t="shared" ref="J74:J78" si="22">$D74*(I74-$C74)^2</f>
        <v>0</v>
      </c>
      <c r="K74">
        <f t="shared" ref="K74:K78" si="23">K$1*B74^2</f>
        <v>-0.42817743051923129</v>
      </c>
      <c r="L74">
        <f t="shared" ref="L74:L78" si="24">$D74*(K74-$C74)^2</f>
        <v>0</v>
      </c>
      <c r="M74">
        <f t="shared" ref="M74:M78" si="25">M$1*B74^2+M$2*B74^7</f>
        <v>-0.47620057565848239</v>
      </c>
      <c r="N74">
        <f t="shared" ref="N74:N78" si="26">$D74*(M74-$C74)^2</f>
        <v>0</v>
      </c>
      <c r="O74" s="24">
        <f t="shared" ref="O74:O78" si="27">O$1*B74^2+O$2*B74^6</f>
        <v>-0.51634577404557813</v>
      </c>
      <c r="P74">
        <f t="shared" ref="P74:P78" si="28">$D74*(O74-$C74)^2</f>
        <v>0</v>
      </c>
      <c r="Q74">
        <f t="shared" ref="Q74:Q78" si="29">Q$2+Q$1*EXP(B74)</f>
        <v>-4.0372477749620592E-2</v>
      </c>
      <c r="R74">
        <f t="shared" ref="R74:R78" si="30">$D74*(Q74-$C74)^2</f>
        <v>0</v>
      </c>
      <c r="S74">
        <f t="shared" ref="S74:S78" si="31">S$1*B74</f>
        <v>-2.3285762864696231</v>
      </c>
      <c r="T74">
        <f t="shared" ref="T74:T78" si="32">$D74*(S74-$C74)^2</f>
        <v>0</v>
      </c>
      <c r="U74">
        <f t="shared" si="17"/>
        <v>-0.57326595804236147</v>
      </c>
      <c r="V74">
        <f t="shared" ref="V74:V78" si="33">$D74*(U74-$C74)^2</f>
        <v>0</v>
      </c>
      <c r="W74" s="33">
        <f t="shared" si="18"/>
        <v>-1.4333617139666972</v>
      </c>
      <c r="X74">
        <f t="shared" ref="X74:X78" si="34">$D74*(W74-$C74)^2</f>
        <v>0</v>
      </c>
    </row>
    <row r="75" spans="1:24" x14ac:dyDescent="0.35">
      <c r="A75">
        <f>Table1!A68</f>
        <v>0</v>
      </c>
      <c r="B75">
        <f>Table1!C68</f>
        <v>1</v>
      </c>
      <c r="C75">
        <f>Table1!E68</f>
        <v>-1.61</v>
      </c>
      <c r="D75">
        <v>0</v>
      </c>
      <c r="G75">
        <f t="shared" si="19"/>
        <v>-2.1563501584337503</v>
      </c>
      <c r="H75">
        <f t="shared" si="20"/>
        <v>0</v>
      </c>
      <c r="I75">
        <f t="shared" si="21"/>
        <v>-2.0970871192588278</v>
      </c>
      <c r="J75">
        <f t="shared" si="22"/>
        <v>0</v>
      </c>
      <c r="K75">
        <f t="shared" si="23"/>
        <v>-0.42817743051923129</v>
      </c>
      <c r="L75">
        <f t="shared" si="24"/>
        <v>0</v>
      </c>
      <c r="M75">
        <f t="shared" si="25"/>
        <v>-0.47620057565848239</v>
      </c>
      <c r="N75">
        <f t="shared" si="26"/>
        <v>0</v>
      </c>
      <c r="O75" s="24">
        <f t="shared" si="27"/>
        <v>-0.51634577404557813</v>
      </c>
      <c r="P75">
        <f t="shared" si="28"/>
        <v>0</v>
      </c>
      <c r="Q75">
        <f t="shared" si="29"/>
        <v>-4.0372477749620592E-2</v>
      </c>
      <c r="R75">
        <f t="shared" si="30"/>
        <v>0</v>
      </c>
      <c r="S75">
        <f t="shared" si="31"/>
        <v>-2.3285762864696231</v>
      </c>
      <c r="T75">
        <f t="shared" si="32"/>
        <v>0</v>
      </c>
      <c r="U75">
        <f t="shared" ref="U75:U78" si="35">(1-EXP(-2*U$1*B75))/2/EXP(-U$1*B75)</f>
        <v>-0.57326595804236147</v>
      </c>
      <c r="V75">
        <f t="shared" si="33"/>
        <v>0</v>
      </c>
      <c r="W75" s="33">
        <f t="shared" ref="W75:W78" si="36">G75*H$5+I75*J$5+K75*L$5+M75*N$5+O75*P$5+Q75*R$5+S75*T$5+U75*V$5</f>
        <v>-1.4333617139666972</v>
      </c>
      <c r="X75">
        <f t="shared" si="34"/>
        <v>0</v>
      </c>
    </row>
    <row r="76" spans="1:24" ht="15" thickBot="1" x14ac:dyDescent="0.4">
      <c r="A76" t="str">
        <f>Table1!A69</f>
        <v>Hope 2011</v>
      </c>
      <c r="B76">
        <f>Table1!C69</f>
        <v>3</v>
      </c>
      <c r="C76">
        <f>Table1!E69</f>
        <v>-0.7</v>
      </c>
      <c r="D76">
        <v>0</v>
      </c>
      <c r="G76">
        <f t="shared" si="19"/>
        <v>-6.7341376315587578</v>
      </c>
      <c r="H76">
        <f t="shared" si="20"/>
        <v>0</v>
      </c>
      <c r="I76">
        <f t="shared" si="21"/>
        <v>-6.8994123115539345</v>
      </c>
      <c r="J76">
        <f t="shared" si="22"/>
        <v>0</v>
      </c>
      <c r="K76">
        <f t="shared" si="23"/>
        <v>-3.8535968746730815</v>
      </c>
      <c r="L76">
        <f t="shared" si="24"/>
        <v>0</v>
      </c>
      <c r="M76">
        <f t="shared" si="25"/>
        <v>-4.2752074028710378</v>
      </c>
      <c r="N76">
        <f t="shared" si="26"/>
        <v>0</v>
      </c>
      <c r="O76" s="24">
        <f t="shared" si="27"/>
        <v>-4.6049914316959306</v>
      </c>
      <c r="P76">
        <f t="shared" si="28"/>
        <v>0</v>
      </c>
      <c r="Q76">
        <f t="shared" si="29"/>
        <v>-0.44843075333105736</v>
      </c>
      <c r="R76">
        <f t="shared" si="30"/>
        <v>0</v>
      </c>
      <c r="S76">
        <f t="shared" si="31"/>
        <v>-6.9857288594088693</v>
      </c>
      <c r="T76">
        <f t="shared" si="32"/>
        <v>0</v>
      </c>
      <c r="U76">
        <f t="shared" si="35"/>
        <v>-2.4733762894242042</v>
      </c>
      <c r="V76">
        <f t="shared" si="33"/>
        <v>0</v>
      </c>
      <c r="W76" s="33">
        <f t="shared" si="36"/>
        <v>-5.386475872163075</v>
      </c>
      <c r="X76">
        <f t="shared" si="34"/>
        <v>0</v>
      </c>
    </row>
    <row r="77" spans="1:24" x14ac:dyDescent="0.35">
      <c r="A77" t="str">
        <f>Table1!A70</f>
        <v>McCallum 2013</v>
      </c>
      <c r="B77">
        <f>Table1!C70</f>
        <v>2</v>
      </c>
      <c r="C77">
        <f>Table1!E70</f>
        <v>-0.7</v>
      </c>
      <c r="D77">
        <v>0</v>
      </c>
      <c r="E77" s="3"/>
      <c r="G77">
        <f t="shared" si="19"/>
        <v>-4.4010627022866693</v>
      </c>
      <c r="H77">
        <f t="shared" si="20"/>
        <v>0</v>
      </c>
      <c r="I77">
        <f t="shared" si="21"/>
        <v>-4.4982497154063807</v>
      </c>
      <c r="J77">
        <f t="shared" si="22"/>
        <v>0</v>
      </c>
      <c r="K77">
        <f t="shared" si="23"/>
        <v>-1.7127097220769252</v>
      </c>
      <c r="L77">
        <f t="shared" si="24"/>
        <v>0</v>
      </c>
      <c r="M77">
        <f t="shared" si="25"/>
        <v>-1.9041989396959784</v>
      </c>
      <c r="N77">
        <f t="shared" si="26"/>
        <v>0</v>
      </c>
      <c r="O77" s="24">
        <f t="shared" si="27"/>
        <v>-2.0618730516227894</v>
      </c>
      <c r="P77">
        <f t="shared" si="28"/>
        <v>0</v>
      </c>
      <c r="Q77">
        <f t="shared" si="29"/>
        <v>-0.15011625038628137</v>
      </c>
      <c r="R77">
        <f t="shared" si="30"/>
        <v>0</v>
      </c>
      <c r="S77">
        <f t="shared" si="31"/>
        <v>-4.6571525729392462</v>
      </c>
      <c r="T77">
        <f t="shared" si="32"/>
        <v>0</v>
      </c>
      <c r="U77">
        <f t="shared" si="35"/>
        <v>-1.3215658465646931</v>
      </c>
      <c r="V77">
        <f t="shared" si="33"/>
        <v>0</v>
      </c>
      <c r="W77" s="33">
        <f t="shared" si="36"/>
        <v>-3.2301375110255681</v>
      </c>
      <c r="X77">
        <f t="shared" si="34"/>
        <v>0</v>
      </c>
    </row>
    <row r="78" spans="1:24" x14ac:dyDescent="0.35">
      <c r="A78">
        <f>Table1!A71</f>
        <v>0</v>
      </c>
      <c r="B78">
        <f>Table1!C71</f>
        <v>4</v>
      </c>
      <c r="C78">
        <f>Table1!E71</f>
        <v>-1.8</v>
      </c>
      <c r="D78">
        <v>0</v>
      </c>
      <c r="G78">
        <f t="shared" si="19"/>
        <v>-9.1555749462500149</v>
      </c>
      <c r="H78">
        <f t="shared" si="20"/>
        <v>0</v>
      </c>
      <c r="I78">
        <f t="shared" si="21"/>
        <v>-9.3005749077014865</v>
      </c>
      <c r="J78">
        <f t="shared" si="22"/>
        <v>0</v>
      </c>
      <c r="K78">
        <f t="shared" si="23"/>
        <v>-6.8508388883077007</v>
      </c>
      <c r="L78">
        <f t="shared" si="24"/>
        <v>0</v>
      </c>
      <c r="M78">
        <f t="shared" si="25"/>
        <v>-7.5395653027261655</v>
      </c>
      <c r="N78">
        <f t="shared" si="26"/>
        <v>0</v>
      </c>
      <c r="O78" s="24">
        <f t="shared" si="27"/>
        <v>-8.0228493546817035</v>
      </c>
      <c r="P78">
        <f t="shared" si="28"/>
        <v>0</v>
      </c>
      <c r="Q78">
        <f t="shared" si="29"/>
        <v>-1.2593336458516342</v>
      </c>
      <c r="R78">
        <f t="shared" si="30"/>
        <v>0</v>
      </c>
      <c r="S78">
        <f t="shared" si="31"/>
        <v>-9.3143051458784925</v>
      </c>
      <c r="T78">
        <f t="shared" si="32"/>
        <v>0</v>
      </c>
      <c r="U78">
        <f t="shared" si="35"/>
        <v>-4.3803768275970194</v>
      </c>
      <c r="V78">
        <f t="shared" si="33"/>
        <v>0</v>
      </c>
      <c r="W78" s="33">
        <f t="shared" si="36"/>
        <v>-7.9289054579487805</v>
      </c>
      <c r="X78">
        <f t="shared" si="34"/>
        <v>0</v>
      </c>
    </row>
    <row r="79" spans="1:24" x14ac:dyDescent="0.35">
      <c r="O79" s="24"/>
      <c r="W79" s="33"/>
    </row>
    <row r="80" spans="1:24" ht="15" thickBot="1" x14ac:dyDescent="0.4">
      <c r="E80" s="2"/>
      <c r="O80" s="24"/>
      <c r="W80" s="33"/>
    </row>
    <row r="81" spans="2:21" x14ac:dyDescent="0.35">
      <c r="B81">
        <v>-1.5</v>
      </c>
      <c r="J81" s="5"/>
      <c r="S81">
        <f t="shared" ref="S81:S144" si="37">S$1*B81</f>
        <v>3.4928644297044347</v>
      </c>
      <c r="T81" s="5">
        <f>S81-T$7</f>
        <v>-1.0525997817372179</v>
      </c>
      <c r="U81" s="5">
        <f>S81+T$7</f>
        <v>8.0383286411460873</v>
      </c>
    </row>
    <row r="82" spans="2:21" x14ac:dyDescent="0.35">
      <c r="B82">
        <f>0.1+B81</f>
        <v>-1.4</v>
      </c>
      <c r="J82" s="5"/>
      <c r="S82">
        <f t="shared" si="37"/>
        <v>3.2600068010574721</v>
      </c>
      <c r="T82" s="5">
        <f t="shared" ref="T82:T145" si="38">S82-T$7</f>
        <v>-1.2854574103841805</v>
      </c>
      <c r="U82" s="5">
        <f t="shared" ref="U82:U145" si="39">S82+T$7</f>
        <v>7.8054710124991242</v>
      </c>
    </row>
    <row r="83" spans="2:21" x14ac:dyDescent="0.35">
      <c r="B83">
        <f t="shared" ref="B83:B146" si="40">0.1+B82</f>
        <v>-1.2999999999999998</v>
      </c>
      <c r="J83" s="5"/>
      <c r="S83">
        <f t="shared" si="37"/>
        <v>3.0271491724105095</v>
      </c>
      <c r="T83" s="5">
        <f t="shared" si="38"/>
        <v>-1.5183150390311431</v>
      </c>
      <c r="U83" s="5">
        <f t="shared" si="39"/>
        <v>7.5726133838521621</v>
      </c>
    </row>
    <row r="84" spans="2:21" ht="15" thickBot="1" x14ac:dyDescent="0.4">
      <c r="B84">
        <f t="shared" si="40"/>
        <v>-1.1999999999999997</v>
      </c>
      <c r="G84" s="2"/>
      <c r="H84" s="2"/>
      <c r="J84" s="5"/>
      <c r="S84">
        <f t="shared" si="37"/>
        <v>2.7942915437635469</v>
      </c>
      <c r="T84" s="5">
        <f t="shared" si="38"/>
        <v>-1.7511726676781056</v>
      </c>
      <c r="U84" s="5">
        <f t="shared" si="39"/>
        <v>7.3397557552052</v>
      </c>
    </row>
    <row r="85" spans="2:21" x14ac:dyDescent="0.35">
      <c r="B85">
        <f t="shared" si="40"/>
        <v>-1.0999999999999996</v>
      </c>
      <c r="J85" s="5"/>
      <c r="S85">
        <f t="shared" si="37"/>
        <v>2.5614339151165848</v>
      </c>
      <c r="T85" s="5">
        <f t="shared" si="38"/>
        <v>-1.9840302963250678</v>
      </c>
      <c r="U85" s="5">
        <f t="shared" si="39"/>
        <v>7.1068981265582369</v>
      </c>
    </row>
    <row r="86" spans="2:21" ht="15" thickBot="1" x14ac:dyDescent="0.4">
      <c r="B86">
        <f t="shared" si="40"/>
        <v>-0.99999999999999967</v>
      </c>
      <c r="J86" s="5"/>
      <c r="S86">
        <f t="shared" si="37"/>
        <v>2.3285762864696222</v>
      </c>
      <c r="T86" s="5">
        <f t="shared" si="38"/>
        <v>-2.2168879249720304</v>
      </c>
      <c r="U86" s="5">
        <f t="shared" si="39"/>
        <v>6.8740404979112748</v>
      </c>
    </row>
    <row r="87" spans="2:21" x14ac:dyDescent="0.35">
      <c r="B87">
        <f t="shared" si="40"/>
        <v>-0.89999999999999969</v>
      </c>
      <c r="G87" s="3"/>
      <c r="H87" s="3"/>
      <c r="J87" s="5"/>
      <c r="K87" s="3"/>
      <c r="L87" s="3"/>
      <c r="S87">
        <f t="shared" si="37"/>
        <v>2.0957186578226601</v>
      </c>
      <c r="T87" s="5">
        <f t="shared" si="38"/>
        <v>-2.4497455536189925</v>
      </c>
      <c r="U87" s="5">
        <f t="shared" si="39"/>
        <v>6.6411828692643127</v>
      </c>
    </row>
    <row r="88" spans="2:21" x14ac:dyDescent="0.35">
      <c r="B88">
        <f t="shared" si="40"/>
        <v>-0.79999999999999971</v>
      </c>
      <c r="J88" s="5"/>
      <c r="S88">
        <f t="shared" si="37"/>
        <v>1.8628610291756977</v>
      </c>
      <c r="T88" s="5">
        <f t="shared" si="38"/>
        <v>-2.6826031822659546</v>
      </c>
      <c r="U88" s="5">
        <f t="shared" si="39"/>
        <v>6.4083252406173505</v>
      </c>
    </row>
    <row r="89" spans="2:21" x14ac:dyDescent="0.35">
      <c r="B89">
        <f t="shared" si="40"/>
        <v>-0.69999999999999973</v>
      </c>
      <c r="J89" s="5"/>
      <c r="S89">
        <f t="shared" si="37"/>
        <v>1.6300034005287356</v>
      </c>
      <c r="T89" s="5">
        <f t="shared" si="38"/>
        <v>-2.9154608109129168</v>
      </c>
      <c r="U89" s="5">
        <f t="shared" si="39"/>
        <v>6.1754676119703884</v>
      </c>
    </row>
    <row r="90" spans="2:21" ht="15" thickBot="1" x14ac:dyDescent="0.4">
      <c r="B90">
        <f t="shared" si="40"/>
        <v>-0.59999999999999976</v>
      </c>
      <c r="G90" s="2"/>
      <c r="H90" s="2"/>
      <c r="J90" s="5"/>
      <c r="K90" s="2"/>
      <c r="L90" s="2"/>
      <c r="S90">
        <f t="shared" si="37"/>
        <v>1.3971457718817732</v>
      </c>
      <c r="T90" s="5">
        <f t="shared" si="38"/>
        <v>-3.1483184395598793</v>
      </c>
      <c r="U90" s="5">
        <f t="shared" si="39"/>
        <v>5.9426099833234254</v>
      </c>
    </row>
    <row r="91" spans="2:21" ht="15" thickBot="1" x14ac:dyDescent="0.4">
      <c r="B91">
        <f t="shared" si="40"/>
        <v>-0.49999999999999978</v>
      </c>
      <c r="J91" s="5"/>
      <c r="S91">
        <f t="shared" si="37"/>
        <v>1.1642881432348111</v>
      </c>
      <c r="T91" s="5">
        <f t="shared" si="38"/>
        <v>-3.3811760682068415</v>
      </c>
      <c r="U91" s="5">
        <f t="shared" si="39"/>
        <v>5.7097523546764641</v>
      </c>
    </row>
    <row r="92" spans="2:21" x14ac:dyDescent="0.35">
      <c r="B92">
        <f t="shared" si="40"/>
        <v>-0.3999999999999998</v>
      </c>
      <c r="G92" s="3"/>
      <c r="H92" s="3"/>
      <c r="J92" s="5"/>
      <c r="K92" s="3"/>
      <c r="L92" s="3"/>
      <c r="M92" s="3"/>
      <c r="N92" s="3"/>
      <c r="O92" s="3"/>
      <c r="S92">
        <f t="shared" si="37"/>
        <v>0.93143051458784876</v>
      </c>
      <c r="T92" s="5">
        <f t="shared" si="38"/>
        <v>-3.614033696853804</v>
      </c>
      <c r="U92" s="5">
        <f t="shared" si="39"/>
        <v>5.4768947260295011</v>
      </c>
    </row>
    <row r="93" spans="2:21" x14ac:dyDescent="0.35">
      <c r="B93">
        <f t="shared" si="40"/>
        <v>-0.29999999999999982</v>
      </c>
      <c r="J93" s="5"/>
      <c r="S93">
        <f t="shared" si="37"/>
        <v>0.69857288594088651</v>
      </c>
      <c r="T93" s="5">
        <f t="shared" si="38"/>
        <v>-3.8468913255007662</v>
      </c>
      <c r="U93" s="5">
        <f t="shared" si="39"/>
        <v>5.244037097382539</v>
      </c>
    </row>
    <row r="94" spans="2:21" x14ac:dyDescent="0.35">
      <c r="B94">
        <f t="shared" si="40"/>
        <v>-0.19999999999999982</v>
      </c>
      <c r="J94" s="5"/>
      <c r="S94">
        <f t="shared" si="37"/>
        <v>0.46571525729392421</v>
      </c>
      <c r="T94" s="5">
        <f t="shared" si="38"/>
        <v>-4.0797489541477283</v>
      </c>
      <c r="U94" s="5">
        <f t="shared" si="39"/>
        <v>5.0111794687355768</v>
      </c>
    </row>
    <row r="95" spans="2:21" ht="15" thickBot="1" x14ac:dyDescent="0.4">
      <c r="B95">
        <f t="shared" si="40"/>
        <v>-9.9999999999999811E-2</v>
      </c>
      <c r="G95" s="2"/>
      <c r="H95" s="2"/>
      <c r="J95" s="5"/>
      <c r="K95" s="2"/>
      <c r="L95" s="2"/>
      <c r="M95" s="2"/>
      <c r="N95" s="2"/>
      <c r="O95" s="2"/>
      <c r="S95">
        <f t="shared" si="37"/>
        <v>0.23285762864696188</v>
      </c>
      <c r="T95" s="5">
        <f t="shared" si="38"/>
        <v>-4.3126065827946904</v>
      </c>
      <c r="U95" s="5">
        <f t="shared" si="39"/>
        <v>4.7783218400886147</v>
      </c>
    </row>
    <row r="96" spans="2:21" ht="15" thickBot="1" x14ac:dyDescent="0.4">
      <c r="B96">
        <v>0</v>
      </c>
      <c r="J96" s="5"/>
      <c r="S96">
        <f t="shared" si="37"/>
        <v>0</v>
      </c>
      <c r="T96" s="5">
        <f t="shared" si="38"/>
        <v>-4.5454642114416526</v>
      </c>
      <c r="U96" s="5">
        <f t="shared" si="39"/>
        <v>4.5454642114416526</v>
      </c>
    </row>
    <row r="97" spans="2:21" x14ac:dyDescent="0.35">
      <c r="B97">
        <f t="shared" si="40"/>
        <v>0.1</v>
      </c>
      <c r="E97" s="3"/>
      <c r="J97" s="5"/>
      <c r="S97">
        <f t="shared" si="37"/>
        <v>-0.23285762864696233</v>
      </c>
      <c r="T97" s="5">
        <f t="shared" si="38"/>
        <v>-4.7783218400886147</v>
      </c>
      <c r="U97" s="5">
        <f t="shared" si="39"/>
        <v>4.3126065827946904</v>
      </c>
    </row>
    <row r="98" spans="2:21" ht="15" thickBot="1" x14ac:dyDescent="0.4">
      <c r="B98">
        <f t="shared" si="40"/>
        <v>0.2</v>
      </c>
      <c r="J98" s="5"/>
      <c r="S98">
        <f t="shared" si="37"/>
        <v>-0.46571525729392466</v>
      </c>
      <c r="T98" s="5">
        <f t="shared" si="38"/>
        <v>-5.0111794687355768</v>
      </c>
      <c r="U98" s="5">
        <f t="shared" si="39"/>
        <v>4.0797489541477283</v>
      </c>
    </row>
    <row r="99" spans="2:21" ht="15" thickBot="1" x14ac:dyDescent="0.4">
      <c r="B99">
        <f t="shared" si="40"/>
        <v>0.30000000000000004</v>
      </c>
      <c r="E99" s="2"/>
      <c r="G99" s="4"/>
      <c r="H99" s="4"/>
      <c r="J99" s="5"/>
      <c r="S99">
        <f t="shared" si="37"/>
        <v>-0.69857288594088707</v>
      </c>
      <c r="T99" s="5">
        <f t="shared" si="38"/>
        <v>-5.2440370973825399</v>
      </c>
      <c r="U99" s="5">
        <f t="shared" si="39"/>
        <v>3.8468913255007653</v>
      </c>
    </row>
    <row r="100" spans="2:21" x14ac:dyDescent="0.35">
      <c r="B100">
        <f t="shared" si="40"/>
        <v>0.4</v>
      </c>
      <c r="J100" s="5"/>
      <c r="S100">
        <f t="shared" si="37"/>
        <v>-0.93143051458784931</v>
      </c>
      <c r="T100" s="5">
        <f t="shared" si="38"/>
        <v>-5.476894726029502</v>
      </c>
      <c r="U100" s="5">
        <f t="shared" si="39"/>
        <v>3.6140336968538032</v>
      </c>
    </row>
    <row r="101" spans="2:21" x14ac:dyDescent="0.35">
      <c r="B101">
        <f t="shared" si="40"/>
        <v>0.5</v>
      </c>
      <c r="J101" s="5"/>
      <c r="S101">
        <f t="shared" si="37"/>
        <v>-1.1642881432348116</v>
      </c>
      <c r="T101" s="5">
        <f t="shared" si="38"/>
        <v>-5.7097523546764641</v>
      </c>
      <c r="U101" s="5">
        <f t="shared" si="39"/>
        <v>3.381176068206841</v>
      </c>
    </row>
    <row r="102" spans="2:21" x14ac:dyDescent="0.35">
      <c r="B102">
        <f t="shared" si="40"/>
        <v>0.6</v>
      </c>
      <c r="J102" s="5"/>
      <c r="S102">
        <f t="shared" si="37"/>
        <v>-1.3971457718817739</v>
      </c>
      <c r="T102" s="5">
        <f t="shared" si="38"/>
        <v>-5.9426099833234263</v>
      </c>
      <c r="U102" s="5">
        <f t="shared" si="39"/>
        <v>3.1483184395598789</v>
      </c>
    </row>
    <row r="103" spans="2:21" x14ac:dyDescent="0.35">
      <c r="B103">
        <f t="shared" si="40"/>
        <v>0.7</v>
      </c>
      <c r="J103" s="5"/>
      <c r="S103">
        <f t="shared" si="37"/>
        <v>-1.630003400528736</v>
      </c>
      <c r="T103" s="5">
        <f t="shared" si="38"/>
        <v>-6.1754676119703884</v>
      </c>
      <c r="U103" s="5">
        <f t="shared" si="39"/>
        <v>2.9154608109129168</v>
      </c>
    </row>
    <row r="104" spans="2:21" ht="15" thickBot="1" x14ac:dyDescent="0.4">
      <c r="B104">
        <f t="shared" si="40"/>
        <v>0.79999999999999993</v>
      </c>
      <c r="G104" s="2"/>
      <c r="H104" s="2"/>
      <c r="J104" s="5"/>
      <c r="S104">
        <f t="shared" si="37"/>
        <v>-1.8628610291756984</v>
      </c>
      <c r="T104" s="5">
        <f t="shared" si="38"/>
        <v>-6.4083252406173514</v>
      </c>
      <c r="U104" s="5">
        <f t="shared" si="39"/>
        <v>2.6826031822659542</v>
      </c>
    </row>
    <row r="105" spans="2:21" x14ac:dyDescent="0.35">
      <c r="B105">
        <f t="shared" si="40"/>
        <v>0.89999999999999991</v>
      </c>
      <c r="J105" s="5"/>
      <c r="S105">
        <f t="shared" si="37"/>
        <v>-2.0957186578226605</v>
      </c>
      <c r="T105" s="5">
        <f t="shared" si="38"/>
        <v>-6.6411828692643127</v>
      </c>
      <c r="U105" s="5">
        <f t="shared" si="39"/>
        <v>2.449745553618992</v>
      </c>
    </row>
    <row r="106" spans="2:21" ht="15" thickBot="1" x14ac:dyDescent="0.4">
      <c r="B106">
        <f t="shared" si="40"/>
        <v>0.99999999999999989</v>
      </c>
      <c r="J106" s="5"/>
      <c r="S106">
        <f t="shared" si="37"/>
        <v>-2.3285762864696227</v>
      </c>
      <c r="T106" s="5">
        <f t="shared" si="38"/>
        <v>-6.8740404979112757</v>
      </c>
      <c r="U106" s="5">
        <f t="shared" si="39"/>
        <v>2.2168879249720299</v>
      </c>
    </row>
    <row r="107" spans="2:21" x14ac:dyDescent="0.35">
      <c r="B107">
        <f t="shared" si="40"/>
        <v>1.0999999999999999</v>
      </c>
      <c r="G107" s="3"/>
      <c r="H107" s="3"/>
      <c r="J107" s="5"/>
      <c r="K107" s="3"/>
      <c r="L107" s="3"/>
      <c r="S107">
        <f t="shared" si="37"/>
        <v>-2.5614339151165852</v>
      </c>
      <c r="T107" s="5">
        <f t="shared" si="38"/>
        <v>-7.1068981265582378</v>
      </c>
      <c r="U107" s="5">
        <f t="shared" si="39"/>
        <v>1.9840302963250673</v>
      </c>
    </row>
    <row r="108" spans="2:21" x14ac:dyDescent="0.35">
      <c r="B108">
        <f t="shared" si="40"/>
        <v>1.2</v>
      </c>
      <c r="J108" s="5"/>
      <c r="S108">
        <f t="shared" si="37"/>
        <v>-2.7942915437635478</v>
      </c>
      <c r="T108" s="5">
        <f t="shared" si="38"/>
        <v>-7.3397557552052</v>
      </c>
      <c r="U108" s="5">
        <f t="shared" si="39"/>
        <v>1.7511726676781048</v>
      </c>
    </row>
    <row r="109" spans="2:21" x14ac:dyDescent="0.35">
      <c r="B109">
        <f t="shared" si="40"/>
        <v>1.3</v>
      </c>
      <c r="J109" s="5"/>
      <c r="S109">
        <f t="shared" si="37"/>
        <v>-3.02714917241051</v>
      </c>
      <c r="T109" s="5">
        <f t="shared" si="38"/>
        <v>-7.572613383852163</v>
      </c>
      <c r="U109" s="5">
        <f t="shared" si="39"/>
        <v>1.5183150390311426</v>
      </c>
    </row>
    <row r="110" spans="2:21" ht="15" thickBot="1" x14ac:dyDescent="0.4">
      <c r="B110">
        <f t="shared" si="40"/>
        <v>1.4000000000000001</v>
      </c>
      <c r="G110" s="2"/>
      <c r="H110" s="2"/>
      <c r="J110" s="5"/>
      <c r="K110" s="2"/>
      <c r="L110" s="2"/>
      <c r="S110">
        <f t="shared" si="37"/>
        <v>-3.2600068010574725</v>
      </c>
      <c r="T110" s="5">
        <f t="shared" si="38"/>
        <v>-7.8054710124991251</v>
      </c>
      <c r="U110" s="5">
        <f t="shared" si="39"/>
        <v>1.28545741038418</v>
      </c>
    </row>
    <row r="111" spans="2:21" ht="15" thickBot="1" x14ac:dyDescent="0.4">
      <c r="B111">
        <f t="shared" si="40"/>
        <v>1.5000000000000002</v>
      </c>
      <c r="J111" s="5"/>
      <c r="S111">
        <f t="shared" si="37"/>
        <v>-3.4928644297044351</v>
      </c>
      <c r="T111" s="5">
        <f t="shared" si="38"/>
        <v>-8.0383286411460873</v>
      </c>
      <c r="U111" s="5">
        <f t="shared" si="39"/>
        <v>1.0525997817372175</v>
      </c>
    </row>
    <row r="112" spans="2:21" x14ac:dyDescent="0.35">
      <c r="B112">
        <f t="shared" si="40"/>
        <v>1.6000000000000003</v>
      </c>
      <c r="E112" s="3"/>
      <c r="G112" s="3"/>
      <c r="H112" s="3"/>
      <c r="J112" s="5"/>
      <c r="K112" s="3"/>
      <c r="L112" s="3"/>
      <c r="M112" s="3"/>
      <c r="N112" s="3"/>
      <c r="O112" s="3"/>
      <c r="S112">
        <f t="shared" si="37"/>
        <v>-3.7257220583513977</v>
      </c>
      <c r="T112" s="5">
        <f t="shared" si="38"/>
        <v>-8.2711862697930503</v>
      </c>
      <c r="U112" s="5">
        <f t="shared" si="39"/>
        <v>0.81974215309025489</v>
      </c>
    </row>
    <row r="113" spans="2:21" x14ac:dyDescent="0.35">
      <c r="B113">
        <f t="shared" si="40"/>
        <v>1.7000000000000004</v>
      </c>
      <c r="J113" s="5"/>
      <c r="S113">
        <f t="shared" si="37"/>
        <v>-3.9585796869983603</v>
      </c>
      <c r="T113" s="5">
        <f t="shared" si="38"/>
        <v>-8.5040438984400133</v>
      </c>
      <c r="U113" s="5">
        <f t="shared" si="39"/>
        <v>0.58688452444329231</v>
      </c>
    </row>
    <row r="114" spans="2:21" x14ac:dyDescent="0.35">
      <c r="B114">
        <f t="shared" si="40"/>
        <v>1.8000000000000005</v>
      </c>
      <c r="J114" s="5"/>
      <c r="S114">
        <f t="shared" si="37"/>
        <v>-4.1914373156453228</v>
      </c>
      <c r="T114" s="5">
        <f t="shared" si="38"/>
        <v>-8.7369015270869745</v>
      </c>
      <c r="U114" s="5">
        <f t="shared" si="39"/>
        <v>0.35402689579632973</v>
      </c>
    </row>
    <row r="115" spans="2:21" ht="15" thickBot="1" x14ac:dyDescent="0.4">
      <c r="B115">
        <f t="shared" si="40"/>
        <v>1.9000000000000006</v>
      </c>
      <c r="E115" s="2"/>
      <c r="G115" s="2"/>
      <c r="H115" s="2"/>
      <c r="J115" s="5"/>
      <c r="K115" s="2"/>
      <c r="L115" s="2"/>
      <c r="M115" s="2"/>
      <c r="N115" s="2"/>
      <c r="O115" s="2"/>
      <c r="S115">
        <f t="shared" si="37"/>
        <v>-4.424294944292285</v>
      </c>
      <c r="T115" s="5">
        <f t="shared" si="38"/>
        <v>-8.9697591557339376</v>
      </c>
      <c r="U115" s="5">
        <f t="shared" si="39"/>
        <v>0.1211692671493676</v>
      </c>
    </row>
    <row r="116" spans="2:21" x14ac:dyDescent="0.35">
      <c r="B116">
        <f t="shared" si="40"/>
        <v>2.0000000000000004</v>
      </c>
      <c r="J116" s="5"/>
      <c r="S116">
        <f t="shared" si="37"/>
        <v>-4.6571525729392471</v>
      </c>
      <c r="T116" s="5">
        <f t="shared" si="38"/>
        <v>-9.2026167843809006</v>
      </c>
      <c r="U116" s="5">
        <f t="shared" si="39"/>
        <v>-0.11168836149759453</v>
      </c>
    </row>
    <row r="117" spans="2:21" x14ac:dyDescent="0.35">
      <c r="B117">
        <f t="shared" si="40"/>
        <v>2.1000000000000005</v>
      </c>
      <c r="J117" s="5"/>
      <c r="S117">
        <f t="shared" si="37"/>
        <v>-4.8900102015862101</v>
      </c>
      <c r="T117" s="5">
        <f t="shared" si="38"/>
        <v>-9.4354744130278618</v>
      </c>
      <c r="U117" s="5">
        <f t="shared" si="39"/>
        <v>-0.34454599014455756</v>
      </c>
    </row>
    <row r="118" spans="2:21" x14ac:dyDescent="0.35">
      <c r="B118">
        <f t="shared" si="40"/>
        <v>2.2000000000000006</v>
      </c>
      <c r="J118" s="5"/>
      <c r="S118">
        <f t="shared" si="37"/>
        <v>-5.1228678302331723</v>
      </c>
      <c r="T118" s="5">
        <f t="shared" si="38"/>
        <v>-9.6683320416748249</v>
      </c>
      <c r="U118" s="5">
        <f t="shared" si="39"/>
        <v>-0.57740361879151969</v>
      </c>
    </row>
    <row r="119" spans="2:21" x14ac:dyDescent="0.35">
      <c r="B119">
        <f t="shared" si="40"/>
        <v>2.3000000000000007</v>
      </c>
      <c r="J119" s="5"/>
      <c r="S119">
        <f t="shared" si="37"/>
        <v>-5.3557254588801344</v>
      </c>
      <c r="T119" s="5">
        <f t="shared" si="38"/>
        <v>-9.9011896703217879</v>
      </c>
      <c r="U119" s="5">
        <f t="shared" si="39"/>
        <v>-0.81026124743848182</v>
      </c>
    </row>
    <row r="120" spans="2:21" x14ac:dyDescent="0.35">
      <c r="B120">
        <f t="shared" si="40"/>
        <v>2.4000000000000008</v>
      </c>
      <c r="J120" s="5"/>
      <c r="S120">
        <f t="shared" si="37"/>
        <v>-5.5885830875270974</v>
      </c>
      <c r="T120" s="5">
        <f t="shared" si="38"/>
        <v>-10.134047298968749</v>
      </c>
      <c r="U120" s="5">
        <f t="shared" si="39"/>
        <v>-1.0431188760854448</v>
      </c>
    </row>
    <row r="121" spans="2:21" x14ac:dyDescent="0.35">
      <c r="B121">
        <f t="shared" si="40"/>
        <v>2.5000000000000009</v>
      </c>
      <c r="J121" s="5"/>
      <c r="S121">
        <f t="shared" si="37"/>
        <v>-5.8214407161740596</v>
      </c>
      <c r="T121" s="5">
        <f t="shared" si="38"/>
        <v>-10.366904927615712</v>
      </c>
      <c r="U121" s="5">
        <f t="shared" si="39"/>
        <v>-1.275976504732407</v>
      </c>
    </row>
    <row r="122" spans="2:21" x14ac:dyDescent="0.35">
      <c r="B122">
        <f t="shared" si="40"/>
        <v>2.600000000000001</v>
      </c>
      <c r="J122" s="5"/>
      <c r="S122">
        <f t="shared" si="37"/>
        <v>-6.0542983448210226</v>
      </c>
      <c r="T122" s="5">
        <f t="shared" si="38"/>
        <v>-10.599762556262675</v>
      </c>
      <c r="U122" s="5">
        <f t="shared" si="39"/>
        <v>-1.50883413337937</v>
      </c>
    </row>
    <row r="123" spans="2:21" x14ac:dyDescent="0.35">
      <c r="B123">
        <f t="shared" si="40"/>
        <v>2.7000000000000011</v>
      </c>
      <c r="J123" s="5"/>
      <c r="S123">
        <f t="shared" si="37"/>
        <v>-6.2871559734679847</v>
      </c>
      <c r="T123" s="5">
        <f t="shared" si="38"/>
        <v>-10.832620184909636</v>
      </c>
      <c r="U123" s="5">
        <f t="shared" si="39"/>
        <v>-1.7416917620263321</v>
      </c>
    </row>
    <row r="124" spans="2:21" x14ac:dyDescent="0.35">
      <c r="B124">
        <f t="shared" si="40"/>
        <v>2.8000000000000012</v>
      </c>
      <c r="J124" s="5"/>
      <c r="S124">
        <f t="shared" si="37"/>
        <v>-6.5200136021149477</v>
      </c>
      <c r="T124" s="5">
        <f t="shared" si="38"/>
        <v>-11.065477813556601</v>
      </c>
      <c r="U124" s="5">
        <f t="shared" si="39"/>
        <v>-1.9745493906732952</v>
      </c>
    </row>
    <row r="125" spans="2:21" x14ac:dyDescent="0.35">
      <c r="B125">
        <f t="shared" si="40"/>
        <v>2.9000000000000012</v>
      </c>
      <c r="J125" s="5"/>
      <c r="S125">
        <f t="shared" si="37"/>
        <v>-6.7528712307619099</v>
      </c>
      <c r="T125" s="5">
        <f t="shared" si="38"/>
        <v>-11.298335442203562</v>
      </c>
      <c r="U125" s="5">
        <f t="shared" si="39"/>
        <v>-2.2074070193202573</v>
      </c>
    </row>
    <row r="126" spans="2:21" x14ac:dyDescent="0.35">
      <c r="B126">
        <f t="shared" si="40"/>
        <v>3.0000000000000013</v>
      </c>
      <c r="J126" s="5"/>
      <c r="S126">
        <f t="shared" si="37"/>
        <v>-6.985728859408872</v>
      </c>
      <c r="T126" s="5">
        <f t="shared" si="38"/>
        <v>-11.531193070850524</v>
      </c>
      <c r="U126" s="5">
        <f t="shared" si="39"/>
        <v>-2.4402646479672194</v>
      </c>
    </row>
    <row r="127" spans="2:21" x14ac:dyDescent="0.35">
      <c r="B127">
        <f t="shared" si="40"/>
        <v>3.1000000000000014</v>
      </c>
      <c r="J127" s="5"/>
      <c r="S127">
        <f t="shared" si="37"/>
        <v>-7.218586488055835</v>
      </c>
      <c r="T127" s="5">
        <f t="shared" si="38"/>
        <v>-11.764050699497488</v>
      </c>
      <c r="U127" s="5">
        <f t="shared" si="39"/>
        <v>-2.6731222766141824</v>
      </c>
    </row>
    <row r="128" spans="2:21" x14ac:dyDescent="0.35">
      <c r="B128">
        <f t="shared" si="40"/>
        <v>3.2000000000000015</v>
      </c>
      <c r="J128" s="5"/>
      <c r="S128">
        <f t="shared" si="37"/>
        <v>-7.4514441167027972</v>
      </c>
      <c r="T128" s="5">
        <f t="shared" si="38"/>
        <v>-11.99690832814445</v>
      </c>
      <c r="U128" s="5">
        <f t="shared" si="39"/>
        <v>-2.9059799052611446</v>
      </c>
    </row>
    <row r="129" spans="2:21" x14ac:dyDescent="0.35">
      <c r="B129">
        <f t="shared" si="40"/>
        <v>3.3000000000000016</v>
      </c>
      <c r="J129" s="5"/>
      <c r="S129">
        <f t="shared" si="37"/>
        <v>-7.6843017453497602</v>
      </c>
      <c r="T129" s="5">
        <f t="shared" si="38"/>
        <v>-12.229765956791413</v>
      </c>
      <c r="U129" s="5">
        <f t="shared" si="39"/>
        <v>-3.1388375339081076</v>
      </c>
    </row>
    <row r="130" spans="2:21" x14ac:dyDescent="0.35">
      <c r="B130">
        <f t="shared" si="40"/>
        <v>3.4000000000000017</v>
      </c>
      <c r="J130" s="5"/>
      <c r="S130">
        <f t="shared" si="37"/>
        <v>-7.9171593739967223</v>
      </c>
      <c r="T130" s="5">
        <f t="shared" si="38"/>
        <v>-12.462623585438376</v>
      </c>
      <c r="U130" s="5">
        <f t="shared" si="39"/>
        <v>-3.3716951625550697</v>
      </c>
    </row>
    <row r="131" spans="2:21" ht="15" thickBot="1" x14ac:dyDescent="0.4">
      <c r="B131">
        <f t="shared" si="40"/>
        <v>3.5000000000000018</v>
      </c>
      <c r="J131" s="5"/>
      <c r="S131">
        <f t="shared" si="37"/>
        <v>-8.1500170026436844</v>
      </c>
      <c r="T131" s="5">
        <f t="shared" si="38"/>
        <v>-12.695481214085337</v>
      </c>
      <c r="U131" s="5">
        <f t="shared" si="39"/>
        <v>-3.6045527912020319</v>
      </c>
    </row>
    <row r="132" spans="2:21" x14ac:dyDescent="0.35">
      <c r="B132">
        <f t="shared" si="40"/>
        <v>3.6000000000000019</v>
      </c>
      <c r="E132" s="3"/>
      <c r="J132" s="5"/>
      <c r="S132">
        <f t="shared" si="37"/>
        <v>-8.3828746312906475</v>
      </c>
      <c r="T132" s="5">
        <f t="shared" si="38"/>
        <v>-12.9283388427323</v>
      </c>
      <c r="U132" s="5">
        <f t="shared" si="39"/>
        <v>-3.8374104198489949</v>
      </c>
    </row>
    <row r="133" spans="2:21" x14ac:dyDescent="0.35">
      <c r="B133">
        <f t="shared" si="40"/>
        <v>3.700000000000002</v>
      </c>
      <c r="J133" s="5"/>
      <c r="S133">
        <f t="shared" si="37"/>
        <v>-8.6157322599376105</v>
      </c>
      <c r="T133" s="5">
        <f t="shared" si="38"/>
        <v>-13.161196471379263</v>
      </c>
      <c r="U133" s="5">
        <f t="shared" si="39"/>
        <v>-4.0702680484959579</v>
      </c>
    </row>
    <row r="134" spans="2:21" ht="15" thickBot="1" x14ac:dyDescent="0.4">
      <c r="B134">
        <f t="shared" si="40"/>
        <v>3.800000000000002</v>
      </c>
      <c r="E134" s="2"/>
      <c r="J134" s="5"/>
      <c r="S134">
        <f t="shared" si="37"/>
        <v>-8.8485898885845717</v>
      </c>
      <c r="T134" s="5">
        <f t="shared" si="38"/>
        <v>-13.394054100026224</v>
      </c>
      <c r="U134" s="5">
        <f t="shared" si="39"/>
        <v>-4.3031256771429192</v>
      </c>
    </row>
    <row r="135" spans="2:21" x14ac:dyDescent="0.35">
      <c r="B135">
        <f t="shared" si="40"/>
        <v>3.9000000000000021</v>
      </c>
      <c r="J135" s="5"/>
      <c r="S135">
        <f t="shared" si="37"/>
        <v>-9.0814475172315348</v>
      </c>
      <c r="T135" s="5">
        <f t="shared" si="38"/>
        <v>-13.626911728673187</v>
      </c>
      <c r="U135" s="5">
        <f t="shared" si="39"/>
        <v>-4.5359833057898822</v>
      </c>
    </row>
    <row r="136" spans="2:21" x14ac:dyDescent="0.35">
      <c r="B136">
        <f t="shared" si="40"/>
        <v>4.0000000000000018</v>
      </c>
      <c r="J136" s="5"/>
      <c r="S136">
        <f t="shared" si="37"/>
        <v>-9.314305145878496</v>
      </c>
      <c r="T136" s="5">
        <f t="shared" si="38"/>
        <v>-13.859769357320149</v>
      </c>
      <c r="U136" s="5">
        <f t="shared" si="39"/>
        <v>-4.7688409344368434</v>
      </c>
    </row>
    <row r="137" spans="2:21" x14ac:dyDescent="0.35">
      <c r="B137">
        <f t="shared" si="40"/>
        <v>4.1000000000000014</v>
      </c>
      <c r="J137" s="5"/>
      <c r="S137">
        <f t="shared" si="37"/>
        <v>-9.5471627745254573</v>
      </c>
      <c r="T137" s="5">
        <f t="shared" si="38"/>
        <v>-14.09262698596711</v>
      </c>
      <c r="U137" s="5">
        <f t="shared" si="39"/>
        <v>-5.0016985630838047</v>
      </c>
    </row>
    <row r="138" spans="2:21" x14ac:dyDescent="0.35">
      <c r="B138">
        <f t="shared" si="40"/>
        <v>4.2000000000000011</v>
      </c>
      <c r="J138" s="5"/>
      <c r="S138">
        <f t="shared" si="37"/>
        <v>-9.7800204031724203</v>
      </c>
      <c r="T138" s="5">
        <f t="shared" si="38"/>
        <v>-14.325484614614073</v>
      </c>
      <c r="U138" s="5">
        <f t="shared" si="39"/>
        <v>-5.2345561917307677</v>
      </c>
    </row>
    <row r="139" spans="2:21" x14ac:dyDescent="0.35">
      <c r="B139">
        <f t="shared" si="40"/>
        <v>4.3000000000000007</v>
      </c>
      <c r="J139" s="5"/>
      <c r="S139">
        <f t="shared" si="37"/>
        <v>-10.012878031819382</v>
      </c>
      <c r="T139" s="5">
        <f t="shared" si="38"/>
        <v>-14.558342243261034</v>
      </c>
      <c r="U139" s="5">
        <f t="shared" si="39"/>
        <v>-5.4674138203777289</v>
      </c>
    </row>
    <row r="140" spans="2:21" x14ac:dyDescent="0.35">
      <c r="B140">
        <f t="shared" si="40"/>
        <v>4.4000000000000004</v>
      </c>
      <c r="J140" s="5"/>
      <c r="S140">
        <f t="shared" si="37"/>
        <v>-10.245735660466343</v>
      </c>
      <c r="T140" s="5">
        <f t="shared" si="38"/>
        <v>-14.791199871907995</v>
      </c>
      <c r="U140" s="5">
        <f t="shared" si="39"/>
        <v>-5.7002714490246902</v>
      </c>
    </row>
    <row r="141" spans="2:21" x14ac:dyDescent="0.35">
      <c r="B141">
        <f t="shared" si="40"/>
        <v>4.5</v>
      </c>
      <c r="J141" s="5"/>
      <c r="S141">
        <f t="shared" si="37"/>
        <v>-10.478593289113304</v>
      </c>
      <c r="T141" s="5">
        <f t="shared" si="38"/>
        <v>-15.024057500554957</v>
      </c>
      <c r="U141" s="5">
        <f t="shared" si="39"/>
        <v>-5.9331290776716514</v>
      </c>
    </row>
    <row r="142" spans="2:21" x14ac:dyDescent="0.35">
      <c r="B142">
        <f t="shared" si="40"/>
        <v>4.5999999999999996</v>
      </c>
      <c r="J142" s="5"/>
      <c r="S142">
        <f t="shared" si="37"/>
        <v>-10.711450917760265</v>
      </c>
      <c r="T142" s="5">
        <f t="shared" si="38"/>
        <v>-15.256915129201918</v>
      </c>
      <c r="U142" s="5">
        <f t="shared" si="39"/>
        <v>-6.1659867063186127</v>
      </c>
    </row>
    <row r="143" spans="2:21" x14ac:dyDescent="0.35">
      <c r="B143">
        <f t="shared" si="40"/>
        <v>4.6999999999999993</v>
      </c>
      <c r="J143" s="5"/>
      <c r="S143">
        <f t="shared" si="37"/>
        <v>-10.944308546407227</v>
      </c>
      <c r="T143" s="5">
        <f t="shared" si="38"/>
        <v>-15.489772757848879</v>
      </c>
      <c r="U143" s="5">
        <f t="shared" si="39"/>
        <v>-6.3988443349655739</v>
      </c>
    </row>
    <row r="144" spans="2:21" x14ac:dyDescent="0.35">
      <c r="B144">
        <f t="shared" si="40"/>
        <v>4.7999999999999989</v>
      </c>
      <c r="J144" s="5"/>
      <c r="S144">
        <f t="shared" si="37"/>
        <v>-11.177166175054188</v>
      </c>
      <c r="T144" s="5">
        <f t="shared" si="38"/>
        <v>-15.72263038649584</v>
      </c>
      <c r="U144" s="5">
        <f t="shared" si="39"/>
        <v>-6.6317019636125352</v>
      </c>
    </row>
    <row r="145" spans="2:21" x14ac:dyDescent="0.35">
      <c r="B145">
        <f t="shared" si="40"/>
        <v>4.8999999999999986</v>
      </c>
      <c r="J145" s="5"/>
      <c r="S145">
        <f t="shared" ref="S145:S171" si="41">S$1*B145</f>
        <v>-11.410023803701151</v>
      </c>
      <c r="T145" s="5">
        <f t="shared" si="38"/>
        <v>-15.955488015142803</v>
      </c>
      <c r="U145" s="5">
        <f t="shared" si="39"/>
        <v>-6.8645595922594982</v>
      </c>
    </row>
    <row r="146" spans="2:21" x14ac:dyDescent="0.35">
      <c r="B146">
        <f t="shared" si="40"/>
        <v>4.9999999999999982</v>
      </c>
      <c r="J146" s="5"/>
      <c r="S146">
        <f t="shared" si="41"/>
        <v>-11.642881432348112</v>
      </c>
      <c r="T146" s="5">
        <f t="shared" ref="T146:T171" si="42">S146-T$7</f>
        <v>-16.188345643789766</v>
      </c>
      <c r="U146" s="5">
        <f t="shared" ref="U146:U171" si="43">S146+T$7</f>
        <v>-7.0974172209064594</v>
      </c>
    </row>
    <row r="147" spans="2:21" x14ac:dyDescent="0.35">
      <c r="B147">
        <f t="shared" ref="B147:B171" si="44">0.1+B146</f>
        <v>5.0999999999999979</v>
      </c>
      <c r="J147" s="5"/>
      <c r="S147">
        <f t="shared" si="41"/>
        <v>-11.875739060995073</v>
      </c>
      <c r="T147" s="5">
        <f t="shared" si="42"/>
        <v>-16.421203272436728</v>
      </c>
      <c r="U147" s="5">
        <f t="shared" si="43"/>
        <v>-7.3302748495534207</v>
      </c>
    </row>
    <row r="148" spans="2:21" x14ac:dyDescent="0.35">
      <c r="B148">
        <f t="shared" si="44"/>
        <v>5.1999999999999975</v>
      </c>
      <c r="J148" s="5"/>
      <c r="S148">
        <f t="shared" si="41"/>
        <v>-12.108596689642035</v>
      </c>
      <c r="T148" s="5">
        <f t="shared" si="42"/>
        <v>-16.654060901083689</v>
      </c>
      <c r="U148" s="5">
        <f t="shared" si="43"/>
        <v>-7.5631324782003819</v>
      </c>
    </row>
    <row r="149" spans="2:21" x14ac:dyDescent="0.35">
      <c r="B149">
        <f t="shared" si="44"/>
        <v>5.2999999999999972</v>
      </c>
      <c r="J149" s="5"/>
      <c r="S149">
        <f t="shared" si="41"/>
        <v>-12.341454318288996</v>
      </c>
      <c r="T149" s="5">
        <f t="shared" si="42"/>
        <v>-16.88691852973065</v>
      </c>
      <c r="U149" s="5">
        <f t="shared" si="43"/>
        <v>-7.7959901068473432</v>
      </c>
    </row>
    <row r="150" spans="2:21" ht="15" thickBot="1" x14ac:dyDescent="0.4">
      <c r="B150">
        <f t="shared" si="44"/>
        <v>5.3999999999999968</v>
      </c>
      <c r="J150" s="5"/>
      <c r="S150">
        <f t="shared" si="41"/>
        <v>-12.574311946935957</v>
      </c>
      <c r="T150" s="5">
        <f t="shared" si="42"/>
        <v>-17.119776158377611</v>
      </c>
      <c r="U150" s="5">
        <f t="shared" si="43"/>
        <v>-8.0288477354943044</v>
      </c>
    </row>
    <row r="151" spans="2:21" x14ac:dyDescent="0.35">
      <c r="B151">
        <f t="shared" si="44"/>
        <v>5.4999999999999964</v>
      </c>
      <c r="E151" s="3"/>
      <c r="J151" s="5"/>
      <c r="S151">
        <f t="shared" si="41"/>
        <v>-12.807169575582918</v>
      </c>
      <c r="T151" s="5">
        <f t="shared" si="42"/>
        <v>-17.352633787024573</v>
      </c>
      <c r="U151" s="5">
        <f t="shared" si="43"/>
        <v>-8.2617053641412657</v>
      </c>
    </row>
    <row r="152" spans="2:21" x14ac:dyDescent="0.35">
      <c r="B152">
        <f t="shared" si="44"/>
        <v>5.5999999999999961</v>
      </c>
      <c r="J152" s="5"/>
      <c r="S152">
        <f t="shared" si="41"/>
        <v>-13.040027204229879</v>
      </c>
      <c r="T152" s="5">
        <f t="shared" si="42"/>
        <v>-17.585491415671534</v>
      </c>
      <c r="U152" s="5">
        <f t="shared" si="43"/>
        <v>-8.4945629927882269</v>
      </c>
    </row>
    <row r="153" spans="2:21" ht="15" thickBot="1" x14ac:dyDescent="0.4">
      <c r="B153">
        <f t="shared" si="44"/>
        <v>5.6999999999999957</v>
      </c>
      <c r="E153" s="2"/>
      <c r="J153" s="5"/>
      <c r="S153">
        <f t="shared" si="41"/>
        <v>-13.272884832876843</v>
      </c>
      <c r="T153" s="5">
        <f t="shared" si="42"/>
        <v>-17.818349044318495</v>
      </c>
      <c r="U153" s="5">
        <f t="shared" si="43"/>
        <v>-8.7274206214351899</v>
      </c>
    </row>
    <row r="154" spans="2:21" x14ac:dyDescent="0.35">
      <c r="B154">
        <f t="shared" si="44"/>
        <v>5.7999999999999954</v>
      </c>
      <c r="J154" s="5"/>
      <c r="S154">
        <f t="shared" si="41"/>
        <v>-13.505742461523804</v>
      </c>
      <c r="T154" s="5">
        <f t="shared" si="42"/>
        <v>-18.051206672965456</v>
      </c>
      <c r="U154" s="5">
        <f t="shared" si="43"/>
        <v>-8.9602782500821512</v>
      </c>
    </row>
    <row r="155" spans="2:21" x14ac:dyDescent="0.35">
      <c r="B155">
        <f t="shared" si="44"/>
        <v>5.899999999999995</v>
      </c>
      <c r="J155" s="5"/>
      <c r="S155">
        <f t="shared" si="41"/>
        <v>-13.738600090170765</v>
      </c>
      <c r="T155" s="5">
        <f t="shared" si="42"/>
        <v>-18.284064301612418</v>
      </c>
      <c r="U155" s="5">
        <f t="shared" si="43"/>
        <v>-9.1931358787291124</v>
      </c>
    </row>
    <row r="156" spans="2:21" x14ac:dyDescent="0.35">
      <c r="B156">
        <f t="shared" si="44"/>
        <v>5.9999999999999947</v>
      </c>
      <c r="J156" s="5"/>
      <c r="S156">
        <f t="shared" si="41"/>
        <v>-13.971457718817726</v>
      </c>
      <c r="T156" s="5">
        <f t="shared" si="42"/>
        <v>-18.516921930259379</v>
      </c>
      <c r="U156" s="5">
        <f t="shared" si="43"/>
        <v>-9.4259935073760737</v>
      </c>
    </row>
    <row r="157" spans="2:21" x14ac:dyDescent="0.35">
      <c r="B157">
        <f t="shared" si="44"/>
        <v>6.0999999999999943</v>
      </c>
      <c r="J157" s="5"/>
      <c r="S157">
        <f t="shared" si="41"/>
        <v>-14.204315347464687</v>
      </c>
      <c r="T157" s="5">
        <f t="shared" si="42"/>
        <v>-18.74977955890634</v>
      </c>
      <c r="U157" s="5">
        <f t="shared" si="43"/>
        <v>-9.6588511360230349</v>
      </c>
    </row>
    <row r="158" spans="2:21" x14ac:dyDescent="0.35">
      <c r="B158">
        <f t="shared" si="44"/>
        <v>6.199999999999994</v>
      </c>
      <c r="J158" s="5"/>
      <c r="S158">
        <f t="shared" si="41"/>
        <v>-14.437172976111649</v>
      </c>
      <c r="T158" s="5">
        <f t="shared" si="42"/>
        <v>-18.982637187553301</v>
      </c>
      <c r="U158" s="5">
        <f t="shared" si="43"/>
        <v>-9.8917087646699962</v>
      </c>
    </row>
    <row r="159" spans="2:21" x14ac:dyDescent="0.35">
      <c r="B159">
        <f t="shared" si="44"/>
        <v>6.2999999999999936</v>
      </c>
      <c r="J159" s="5"/>
      <c r="S159">
        <f t="shared" si="41"/>
        <v>-14.67003060475861</v>
      </c>
      <c r="T159" s="5">
        <f t="shared" si="42"/>
        <v>-19.215494816200263</v>
      </c>
      <c r="U159" s="5">
        <f t="shared" si="43"/>
        <v>-10.124566393316957</v>
      </c>
    </row>
    <row r="160" spans="2:21" x14ac:dyDescent="0.35">
      <c r="B160">
        <f t="shared" si="44"/>
        <v>6.3999999999999932</v>
      </c>
      <c r="J160" s="5"/>
      <c r="S160">
        <f t="shared" si="41"/>
        <v>-14.902888233405573</v>
      </c>
      <c r="T160" s="5">
        <f t="shared" si="42"/>
        <v>-19.448352444847224</v>
      </c>
      <c r="U160" s="5">
        <f t="shared" si="43"/>
        <v>-10.35742402196392</v>
      </c>
    </row>
    <row r="161" spans="2:21" x14ac:dyDescent="0.35">
      <c r="B161">
        <f t="shared" si="44"/>
        <v>6.4999999999999929</v>
      </c>
      <c r="J161" s="5"/>
      <c r="S161">
        <f t="shared" si="41"/>
        <v>-15.135745862052534</v>
      </c>
      <c r="T161" s="5">
        <f t="shared" si="42"/>
        <v>-19.681210073494185</v>
      </c>
      <c r="U161" s="5">
        <f t="shared" si="43"/>
        <v>-10.590281650610882</v>
      </c>
    </row>
    <row r="162" spans="2:21" x14ac:dyDescent="0.35">
      <c r="B162">
        <f t="shared" si="44"/>
        <v>6.5999999999999925</v>
      </c>
      <c r="J162" s="5"/>
      <c r="S162">
        <f t="shared" si="41"/>
        <v>-15.368603490699495</v>
      </c>
      <c r="T162" s="5">
        <f t="shared" si="42"/>
        <v>-19.914067702141146</v>
      </c>
      <c r="U162" s="5">
        <f t="shared" si="43"/>
        <v>-10.823139279257843</v>
      </c>
    </row>
    <row r="163" spans="2:21" x14ac:dyDescent="0.35">
      <c r="B163">
        <f t="shared" si="44"/>
        <v>6.6999999999999922</v>
      </c>
      <c r="J163" s="5"/>
      <c r="S163">
        <f t="shared" si="41"/>
        <v>-15.601461119346457</v>
      </c>
      <c r="T163" s="5">
        <f t="shared" si="42"/>
        <v>-20.146925330788108</v>
      </c>
      <c r="U163" s="5">
        <f t="shared" si="43"/>
        <v>-11.055996907904804</v>
      </c>
    </row>
    <row r="164" spans="2:21" x14ac:dyDescent="0.35">
      <c r="B164">
        <f t="shared" si="44"/>
        <v>6.7999999999999918</v>
      </c>
      <c r="J164" s="5"/>
      <c r="S164">
        <f t="shared" si="41"/>
        <v>-15.834318747993418</v>
      </c>
      <c r="T164" s="5">
        <f t="shared" si="42"/>
        <v>-20.379782959435069</v>
      </c>
      <c r="U164" s="5">
        <f t="shared" si="43"/>
        <v>-11.288854536551765</v>
      </c>
    </row>
    <row r="165" spans="2:21" x14ac:dyDescent="0.35">
      <c r="B165">
        <f t="shared" si="44"/>
        <v>6.8999999999999915</v>
      </c>
      <c r="J165" s="5"/>
      <c r="S165">
        <f t="shared" si="41"/>
        <v>-16.067176376640379</v>
      </c>
      <c r="T165" s="5">
        <f t="shared" si="42"/>
        <v>-20.61264058808203</v>
      </c>
      <c r="U165" s="5">
        <f t="shared" si="43"/>
        <v>-11.521712165198727</v>
      </c>
    </row>
    <row r="166" spans="2:21" x14ac:dyDescent="0.35">
      <c r="B166">
        <f t="shared" si="44"/>
        <v>6.9999999999999911</v>
      </c>
      <c r="J166" s="5"/>
      <c r="S166">
        <f t="shared" si="41"/>
        <v>-16.30003400528734</v>
      </c>
      <c r="T166" s="5">
        <f t="shared" si="42"/>
        <v>-20.845498216728991</v>
      </c>
      <c r="U166" s="5">
        <f t="shared" si="43"/>
        <v>-11.754569793845688</v>
      </c>
    </row>
    <row r="167" spans="2:21" x14ac:dyDescent="0.35">
      <c r="B167">
        <f t="shared" si="44"/>
        <v>7.0999999999999908</v>
      </c>
      <c r="J167" s="5"/>
      <c r="S167">
        <f t="shared" si="41"/>
        <v>-16.532891633934302</v>
      </c>
      <c r="T167" s="5">
        <f t="shared" si="42"/>
        <v>-21.078355845375953</v>
      </c>
      <c r="U167" s="5">
        <f t="shared" si="43"/>
        <v>-11.987427422492649</v>
      </c>
    </row>
    <row r="168" spans="2:21" x14ac:dyDescent="0.35">
      <c r="B168">
        <f t="shared" si="44"/>
        <v>7.1999999999999904</v>
      </c>
      <c r="J168" s="5"/>
      <c r="S168">
        <f t="shared" si="41"/>
        <v>-16.765749262581263</v>
      </c>
      <c r="T168" s="5">
        <f t="shared" si="42"/>
        <v>-21.311213474022914</v>
      </c>
      <c r="U168" s="5">
        <f t="shared" si="43"/>
        <v>-12.22028505113961</v>
      </c>
    </row>
    <row r="169" spans="2:21" x14ac:dyDescent="0.35">
      <c r="B169">
        <f t="shared" si="44"/>
        <v>7.2999999999999901</v>
      </c>
      <c r="J169" s="5"/>
      <c r="S169">
        <f t="shared" si="41"/>
        <v>-16.998606891228224</v>
      </c>
      <c r="T169" s="5">
        <f t="shared" si="42"/>
        <v>-21.544071102669875</v>
      </c>
      <c r="U169" s="5">
        <f t="shared" si="43"/>
        <v>-12.453142679786572</v>
      </c>
    </row>
    <row r="170" spans="2:21" x14ac:dyDescent="0.35">
      <c r="B170">
        <f t="shared" si="44"/>
        <v>7.3999999999999897</v>
      </c>
      <c r="J170" s="5"/>
      <c r="S170">
        <f t="shared" si="41"/>
        <v>-17.231464519875185</v>
      </c>
      <c r="T170" s="5">
        <f t="shared" si="42"/>
        <v>-21.776928731316836</v>
      </c>
      <c r="U170" s="5">
        <f t="shared" si="43"/>
        <v>-12.686000308433533</v>
      </c>
    </row>
    <row r="171" spans="2:21" x14ac:dyDescent="0.35">
      <c r="B171">
        <f t="shared" si="44"/>
        <v>7.4999999999999893</v>
      </c>
      <c r="J171" s="5"/>
      <c r="S171">
        <f t="shared" si="41"/>
        <v>-17.46432214852215</v>
      </c>
      <c r="T171" s="5">
        <f t="shared" si="42"/>
        <v>-22.009786359963805</v>
      </c>
      <c r="U171" s="5">
        <f t="shared" si="43"/>
        <v>-12.918857937080498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B68C2-197F-4695-B69C-76C43FF72AF9}">
  <dimension ref="A1:BI171"/>
  <sheetViews>
    <sheetView topLeftCell="N1" zoomScaleNormal="100" workbookViewId="0">
      <selection activeCell="Q2" sqref="Q2"/>
    </sheetView>
  </sheetViews>
  <sheetFormatPr defaultRowHeight="14.5" x14ac:dyDescent="0.35"/>
  <cols>
    <col min="1" max="1" width="15.453125" customWidth="1"/>
    <col min="5" max="5" width="12" bestFit="1" customWidth="1"/>
    <col min="6" max="6" width="11.81640625" customWidth="1"/>
    <col min="19" max="19" width="12" bestFit="1" customWidth="1"/>
    <col min="26" max="26" width="19.81640625" customWidth="1"/>
    <col min="27" max="27" width="10.54296875" customWidth="1"/>
  </cols>
  <sheetData>
    <row r="1" spans="1:61" ht="16" thickBot="1" x14ac:dyDescent="0.4">
      <c r="G1">
        <v>-0.33115296057086657</v>
      </c>
      <c r="I1">
        <v>2.1288014646819167</v>
      </c>
      <c r="K1" s="2">
        <v>-6.4382507605947076E-2</v>
      </c>
      <c r="M1">
        <v>-9.133914774929839E-3</v>
      </c>
      <c r="O1">
        <v>-9.4929534692757781E-3</v>
      </c>
      <c r="Q1">
        <v>-3.559839362511827E-3</v>
      </c>
      <c r="S1" s="2">
        <v>-0.3587338747647828</v>
      </c>
      <c r="U1">
        <v>-0.26985786852558846</v>
      </c>
      <c r="Z1" s="23" t="s">
        <v>560</v>
      </c>
      <c r="AA1" s="23" t="s">
        <v>561</v>
      </c>
    </row>
    <row r="2" spans="1:61" ht="16" thickBot="1" x14ac:dyDescent="0.4">
      <c r="G2" s="2">
        <v>-5.5151010486124349E-3</v>
      </c>
      <c r="I2">
        <v>-0.67164982163094</v>
      </c>
      <c r="M2" s="2">
        <v>-4.8064912085597837E-6</v>
      </c>
      <c r="O2" s="2">
        <v>-2.9891189704406205E-5</v>
      </c>
      <c r="Q2">
        <f>-Q1</f>
        <v>3.559839362511827E-3</v>
      </c>
      <c r="Z2" s="23" t="s">
        <v>556</v>
      </c>
      <c r="AA2" s="35">
        <f>J5</f>
        <v>0.14288689321863102</v>
      </c>
      <c r="AB2" s="24">
        <f t="shared" ref="AB2:AB5" si="0">AA2</f>
        <v>0.14288689321863102</v>
      </c>
    </row>
    <row r="3" spans="1:61" ht="15.5" x14ac:dyDescent="0.35">
      <c r="I3">
        <v>-1.3795318882555618E-2</v>
      </c>
      <c r="Z3" s="23" t="s">
        <v>557</v>
      </c>
      <c r="AA3" s="35">
        <f>H5</f>
        <v>0.10751713814934422</v>
      </c>
      <c r="AB3" s="24">
        <f t="shared" si="0"/>
        <v>0.10751713814934422</v>
      </c>
      <c r="AQ3" s="4"/>
      <c r="AR3" s="4"/>
      <c r="BA3" s="4"/>
      <c r="BB3" s="4"/>
    </row>
    <row r="4" spans="1:61" ht="15.5" x14ac:dyDescent="0.35">
      <c r="Z4" s="23" t="s">
        <v>555</v>
      </c>
      <c r="AA4" s="35">
        <f>T5</f>
        <v>0.11543024718806794</v>
      </c>
      <c r="AB4" s="24">
        <f t="shared" si="0"/>
        <v>0.11543024718806794</v>
      </c>
    </row>
    <row r="5" spans="1:61" ht="15.5" x14ac:dyDescent="0.35">
      <c r="F5" t="s">
        <v>721</v>
      </c>
      <c r="H5">
        <f>EXP(H8)/$E8</f>
        <v>0.10751713814934422</v>
      </c>
      <c r="J5">
        <f>EXP(J8)/$E8</f>
        <v>0.14288689321863102</v>
      </c>
      <c r="L5">
        <f>EXP(L8)/$E8</f>
        <v>0.10377879912567443</v>
      </c>
      <c r="N5">
        <f>EXP(N8)/$E8</f>
        <v>0.13254812208726077</v>
      </c>
      <c r="P5">
        <f>EXP(P8)/$E8</f>
        <v>0.12812369063052659</v>
      </c>
      <c r="R5">
        <f>EXP(R8)/$E8</f>
        <v>0.14341978454547596</v>
      </c>
      <c r="T5">
        <f>EXP(T8)/$E8</f>
        <v>0.11543024718806794</v>
      </c>
      <c r="V5">
        <f>EXP(V8)/$E8</f>
        <v>0.12629532505501911</v>
      </c>
      <c r="Z5" s="23" t="s">
        <v>559</v>
      </c>
      <c r="AA5" s="35">
        <f>R5</f>
        <v>0.14341978454547596</v>
      </c>
      <c r="AB5" s="24">
        <f t="shared" si="0"/>
        <v>0.14341978454547596</v>
      </c>
    </row>
    <row r="6" spans="1:61" ht="15.5" x14ac:dyDescent="0.35">
      <c r="F6" t="s">
        <v>720</v>
      </c>
      <c r="H6">
        <v>2</v>
      </c>
      <c r="J6">
        <v>3</v>
      </c>
      <c r="L6">
        <v>1</v>
      </c>
      <c r="N6">
        <v>2</v>
      </c>
      <c r="P6">
        <v>2</v>
      </c>
      <c r="R6">
        <v>1</v>
      </c>
      <c r="T6">
        <v>1</v>
      </c>
      <c r="V6">
        <v>1</v>
      </c>
      <c r="X6">
        <f>SUM(H6:V6)</f>
        <v>13</v>
      </c>
      <c r="Z6" s="23" t="s">
        <v>543</v>
      </c>
      <c r="AA6" s="35">
        <f>P5</f>
        <v>0.12812369063052659</v>
      </c>
      <c r="AB6" s="24">
        <f>AA6</f>
        <v>0.12812369063052659</v>
      </c>
    </row>
    <row r="7" spans="1:61" ht="15.5" x14ac:dyDescent="0.35">
      <c r="E7">
        <f>SUM(D10:D78)</f>
        <v>11.999999999999996</v>
      </c>
      <c r="F7" t="s">
        <v>719</v>
      </c>
      <c r="H7" s="5">
        <f>SQRT(H9/($E7-H6))</f>
        <v>3.1945666463271785</v>
      </c>
      <c r="I7" s="5"/>
      <c r="J7" s="5">
        <f>SQRT(J9/($E7-J6))</f>
        <v>3.2524802264892196</v>
      </c>
      <c r="K7" s="5"/>
      <c r="L7" s="5">
        <f>SQRT(L9/($E7-L6))</f>
        <v>3.0732444369949676</v>
      </c>
      <c r="M7" s="5"/>
      <c r="N7" s="5">
        <f>SQRT(N9/($E7-N6))</f>
        <v>3.1393323551033276</v>
      </c>
      <c r="O7" s="5"/>
      <c r="P7" s="5">
        <f>SQRT(P9/($E7-P6))</f>
        <v>3.1482265294700893</v>
      </c>
      <c r="Q7" s="5"/>
      <c r="R7" s="5">
        <f>SQRT(R9/($E7-R6))</f>
        <v>2.9914981281379154</v>
      </c>
      <c r="S7" s="5"/>
      <c r="T7" s="5">
        <f>SQRT(T9/($E7-T6))</f>
        <v>3.0461142532586427</v>
      </c>
      <c r="U7" s="5"/>
      <c r="V7" s="5">
        <f>SQRT(V9/($E7-V6))</f>
        <v>3.0233647923057121</v>
      </c>
      <c r="X7" s="5" t="e">
        <f>SQRT(X9/($E7-X6))</f>
        <v>#NUM!</v>
      </c>
      <c r="Z7" s="23" t="s">
        <v>542</v>
      </c>
      <c r="AA7" s="35">
        <f>N5</f>
        <v>0.13254812208726077</v>
      </c>
      <c r="AB7" s="24">
        <f>AA7</f>
        <v>0.13254812208726077</v>
      </c>
    </row>
    <row r="8" spans="1:61" ht="16" thickBot="1" x14ac:dyDescent="0.4">
      <c r="E8">
        <f>EXP(H8)+EXP(J8)+EXP(L8)+EXP(N8)+EXP(P8)+EXP(R8)+EXP(T8)+EXP(V8)</f>
        <v>5.5476168508269188E-8</v>
      </c>
      <c r="F8" t="s">
        <v>718</v>
      </c>
      <c r="G8" t="s">
        <v>539</v>
      </c>
      <c r="H8">
        <f>-H9/2/H7^2-$E7*LN(H7)</f>
        <v>-18.937417324134508</v>
      </c>
      <c r="I8" t="s">
        <v>324</v>
      </c>
      <c r="J8">
        <f>-J9/2/J7^2-$E7*LN(J7)</f>
        <v>-18.653014222864837</v>
      </c>
      <c r="K8" t="s">
        <v>540</v>
      </c>
      <c r="L8">
        <f>-L9/2/L7^2-$E7*LN(L7)</f>
        <v>-18.972805881114247</v>
      </c>
      <c r="M8" t="s">
        <v>542</v>
      </c>
      <c r="N8">
        <f>-N9/2/N7^2-$E7*LN(N7)</f>
        <v>-18.728121818585933</v>
      </c>
      <c r="O8" t="s">
        <v>543</v>
      </c>
      <c r="P8">
        <f>-P9/2/P7^2-$E7*LN(P7)</f>
        <v>-18.762071453269137</v>
      </c>
      <c r="Q8" t="s">
        <v>541</v>
      </c>
      <c r="R8">
        <f>-R9/2/R7^2-$E7*LN(R7)</f>
        <v>-18.649291697449982</v>
      </c>
      <c r="S8" t="s">
        <v>544</v>
      </c>
      <c r="T8">
        <f>-T9/2/T7^2-$E7*LN(T7)</f>
        <v>-18.866401156561718</v>
      </c>
      <c r="U8" t="s">
        <v>723</v>
      </c>
      <c r="V8">
        <f>-V9/2/V7^2-$E7*LN(V7)</f>
        <v>-18.776444569577066</v>
      </c>
      <c r="X8" t="e">
        <f>-X9/2/X7^2-$E7*LN(X7)</f>
        <v>#NUM!</v>
      </c>
      <c r="Z8" s="23" t="s">
        <v>558</v>
      </c>
      <c r="AA8" s="35">
        <f>L5</f>
        <v>0.10377879912567443</v>
      </c>
      <c r="AB8" s="24">
        <f>AA8</f>
        <v>0.10377879912567443</v>
      </c>
      <c r="AQ8" s="2"/>
      <c r="AR8" s="2"/>
      <c r="BA8" s="2"/>
      <c r="BB8" s="2"/>
    </row>
    <row r="9" spans="1:61" ht="15.5" x14ac:dyDescent="0.35">
      <c r="B9" t="s">
        <v>544</v>
      </c>
      <c r="C9" t="s">
        <v>624</v>
      </c>
      <c r="D9" t="s">
        <v>623</v>
      </c>
      <c r="F9" t="s">
        <v>717</v>
      </c>
      <c r="H9">
        <f>SUM(H10:H78)</f>
        <v>102.05256057826072</v>
      </c>
      <c r="J9">
        <f>SUM(J10:J78)</f>
        <v>95.20764861333025</v>
      </c>
      <c r="L9">
        <f>SUM(L10:L78)</f>
        <v>103.89314506472564</v>
      </c>
      <c r="N9">
        <f>SUM(N10:N78)</f>
        <v>98.554076357986034</v>
      </c>
      <c r="P9">
        <f>SUM(P10:P78)</f>
        <v>99.113302808592806</v>
      </c>
      <c r="R9">
        <f>SUM(R10:R78)</f>
        <v>98.439671557179139</v>
      </c>
      <c r="T9">
        <f>SUM(T10:T78)</f>
        <v>102.06693248296</v>
      </c>
      <c r="V9">
        <f>SUM(V10:V78)</f>
        <v>100.54808134089134</v>
      </c>
      <c r="X9">
        <f>SUM(X10:X78)</f>
        <v>95.217584541099569</v>
      </c>
      <c r="Z9" s="23" t="s">
        <v>724</v>
      </c>
      <c r="AA9" s="11">
        <f>V5</f>
        <v>0.12629532505501911</v>
      </c>
      <c r="AB9" s="24">
        <f>AA9</f>
        <v>0.12629532505501911</v>
      </c>
    </row>
    <row r="10" spans="1:61" ht="15" thickBot="1" x14ac:dyDescent="0.4">
      <c r="A10" t="str">
        <f>Table1!A3</f>
        <v>d'Arge 1979</v>
      </c>
      <c r="B10">
        <f>Table1!C3</f>
        <v>-1</v>
      </c>
      <c r="C10">
        <f>Table1!E3</f>
        <v>-0.59642907312262095</v>
      </c>
      <c r="D10">
        <v>0</v>
      </c>
      <c r="G10">
        <f t="shared" ref="G10:G73" si="1">G$1*B10+G$2*B10^2</f>
        <v>0.32563785952225416</v>
      </c>
      <c r="H10">
        <f t="shared" ref="H10:H73" si="2">$D10*(G10-$C10)^2</f>
        <v>0</v>
      </c>
      <c r="I10">
        <f t="shared" ref="I10:I73" si="3">IF(B10&lt;=I$2,B10*I$1,I$1*I$2+I$3*(B10-I$2))</f>
        <v>-2.1288014646819167</v>
      </c>
      <c r="J10">
        <f t="shared" ref="J10:J73" si="4">$D10*(I10-$C10)^2</f>
        <v>0</v>
      </c>
      <c r="K10">
        <f t="shared" ref="K10:K73" si="5">K$1*B10^2</f>
        <v>-6.4382507605947076E-2</v>
      </c>
      <c r="L10">
        <f t="shared" ref="L10:L73" si="6">$D10*(K10-$C10)^2</f>
        <v>0</v>
      </c>
      <c r="M10">
        <f t="shared" ref="M10:M73" si="7">M$1*B10^2+M$2*B10^7</f>
        <v>-9.1291082837212795E-3</v>
      </c>
      <c r="N10">
        <f t="shared" ref="N10:N73" si="8">$D10*(M10-$C10)^2</f>
        <v>0</v>
      </c>
      <c r="O10" s="24">
        <f t="shared" ref="O10:O73" si="9">O$1*B10^2+O$2*B10^6</f>
        <v>-9.5228446589801837E-3</v>
      </c>
      <c r="P10">
        <f t="shared" ref="P10:P73" si="10">$D10*(O10-$C10)^2</f>
        <v>0</v>
      </c>
      <c r="Q10">
        <f t="shared" ref="Q10:Q73" si="11">Q$2+Q$1*EXP(B10)</f>
        <v>2.2502476471708728E-3</v>
      </c>
      <c r="R10">
        <f t="shared" ref="R10:R73" si="12">$D10*(Q10-$C10)^2</f>
        <v>0</v>
      </c>
      <c r="S10">
        <f t="shared" ref="S10:S73" si="13">S$1*B10</f>
        <v>0.3587338747647828</v>
      </c>
      <c r="T10">
        <f t="shared" ref="T10:T73" si="14">$D10*(S10-$C10)^2</f>
        <v>0</v>
      </c>
      <c r="U10">
        <f>(1-EXP(-2*U$1*B10))/2/EXP(-U$1*B10)</f>
        <v>0.2731451372422028</v>
      </c>
      <c r="V10">
        <f t="shared" ref="V10:V73" si="15">$D10*(U10-$C10)^2</f>
        <v>0</v>
      </c>
      <c r="W10" s="33">
        <f>G10*H$5+I10*J$5+K10*L$5+M10*N$5+O10*P$5+Q10*R$5+S10*T$5+U10*V$5</f>
        <v>-0.20204944055838714</v>
      </c>
      <c r="X10">
        <f t="shared" ref="X10:X73" si="16">$D10*(W10-$C10)^2</f>
        <v>0</v>
      </c>
    </row>
    <row r="11" spans="1:61" x14ac:dyDescent="0.35">
      <c r="A11" t="str">
        <f>Table1!A4</f>
        <v>Nordhaus 1982</v>
      </c>
      <c r="B11">
        <f>Table1!C4</f>
        <v>2.5</v>
      </c>
      <c r="C11">
        <f>Table1!E4</f>
        <v>-3</v>
      </c>
      <c r="D11">
        <v>0</v>
      </c>
      <c r="G11">
        <f t="shared" si="1"/>
        <v>-0.86235178298099413</v>
      </c>
      <c r="H11">
        <f t="shared" si="2"/>
        <v>0</v>
      </c>
      <c r="I11">
        <f t="shared" si="3"/>
        <v>-1.4735630447144925</v>
      </c>
      <c r="J11">
        <f t="shared" si="4"/>
        <v>0</v>
      </c>
      <c r="K11">
        <f t="shared" si="5"/>
        <v>-0.4023906725371692</v>
      </c>
      <c r="L11">
        <f t="shared" si="6"/>
        <v>0</v>
      </c>
      <c r="M11">
        <f t="shared" si="7"/>
        <v>-6.0020616762598469E-2</v>
      </c>
      <c r="N11">
        <f t="shared" si="8"/>
        <v>0</v>
      </c>
      <c r="O11" s="24">
        <f t="shared" si="9"/>
        <v>-6.6628612919400906E-2</v>
      </c>
      <c r="P11">
        <f t="shared" si="10"/>
        <v>0</v>
      </c>
      <c r="Q11">
        <f t="shared" si="11"/>
        <v>-3.9807882172363009E-2</v>
      </c>
      <c r="R11">
        <f t="shared" si="12"/>
        <v>0</v>
      </c>
      <c r="S11">
        <f t="shared" si="13"/>
        <v>-0.896834686911957</v>
      </c>
      <c r="T11">
        <f t="shared" si="14"/>
        <v>0</v>
      </c>
      <c r="U11">
        <f t="shared" ref="U11:U74" si="17">(1-EXP(-2*U$1*B11))/2/EXP(-U$1*B11)</f>
        <v>-0.72699892602523386</v>
      </c>
      <c r="V11">
        <f t="shared" si="15"/>
        <v>0</v>
      </c>
      <c r="W11" s="33">
        <f t="shared" ref="W11:W74" si="18">G11*H$5+I11*J$5+K11*L$5+M11*N$5+O11*P$5+Q11*R$5+S11*T$5+U11*V$5</f>
        <v>-0.5625700389661088</v>
      </c>
      <c r="X11">
        <f t="shared" si="16"/>
        <v>0</v>
      </c>
      <c r="AQ11" s="3"/>
      <c r="AR11" s="3"/>
      <c r="AS11" s="3"/>
      <c r="AT11" s="3"/>
      <c r="AU11" s="3"/>
      <c r="AV11" s="3"/>
      <c r="BA11" s="3"/>
      <c r="BB11" s="3"/>
      <c r="BC11" s="3"/>
      <c r="BD11" s="3"/>
      <c r="BE11" s="3"/>
      <c r="BF11" s="3"/>
    </row>
    <row r="12" spans="1:61" x14ac:dyDescent="0.35">
      <c r="A12" t="str">
        <f>Table1!A5</f>
        <v>Nordhaus 1991</v>
      </c>
      <c r="B12">
        <f>Table1!C5</f>
        <v>3</v>
      </c>
      <c r="C12">
        <f>Table1!E5</f>
        <v>-1</v>
      </c>
      <c r="D12">
        <v>0</v>
      </c>
      <c r="G12">
        <f t="shared" si="1"/>
        <v>-1.0430947911501116</v>
      </c>
      <c r="H12">
        <f t="shared" si="2"/>
        <v>0</v>
      </c>
      <c r="I12">
        <f t="shared" si="3"/>
        <v>-1.4804607041557705</v>
      </c>
      <c r="J12">
        <f t="shared" si="4"/>
        <v>0</v>
      </c>
      <c r="K12">
        <f t="shared" si="5"/>
        <v>-0.57944256845352371</v>
      </c>
      <c r="L12">
        <f t="shared" si="6"/>
        <v>0</v>
      </c>
      <c r="M12">
        <f t="shared" si="7"/>
        <v>-9.27170292474888E-2</v>
      </c>
      <c r="N12">
        <f t="shared" si="8"/>
        <v>0</v>
      </c>
      <c r="O12" s="24">
        <f t="shared" si="9"/>
        <v>-0.10722725851799414</v>
      </c>
      <c r="P12">
        <f t="shared" si="10"/>
        <v>0</v>
      </c>
      <c r="Q12">
        <f t="shared" si="11"/>
        <v>-6.794144559383633E-2</v>
      </c>
      <c r="R12">
        <f t="shared" si="12"/>
        <v>0</v>
      </c>
      <c r="S12">
        <f t="shared" si="13"/>
        <v>-1.0762016242943484</v>
      </c>
      <c r="T12">
        <f t="shared" si="14"/>
        <v>0</v>
      </c>
      <c r="U12">
        <f t="shared" si="17"/>
        <v>-0.9009509519494745</v>
      </c>
      <c r="V12">
        <f t="shared" si="15"/>
        <v>0</v>
      </c>
      <c r="W12" s="33">
        <f t="shared" si="18"/>
        <v>-0.65760693177857998</v>
      </c>
      <c r="X12">
        <f t="shared" si="16"/>
        <v>0</v>
      </c>
    </row>
    <row r="13" spans="1:61" x14ac:dyDescent="0.35">
      <c r="A13" t="str">
        <f>Table1!A6</f>
        <v>Nordhaus 1994b</v>
      </c>
      <c r="B13">
        <f>Table1!C6</f>
        <v>3</v>
      </c>
      <c r="C13">
        <f>Table1!E6</f>
        <v>-1.33</v>
      </c>
      <c r="D13">
        <v>0</v>
      </c>
      <c r="G13">
        <f t="shared" si="1"/>
        <v>-1.0430947911501116</v>
      </c>
      <c r="H13">
        <f t="shared" si="2"/>
        <v>0</v>
      </c>
      <c r="I13">
        <f t="shared" si="3"/>
        <v>-1.4804607041557705</v>
      </c>
      <c r="J13">
        <f t="shared" si="4"/>
        <v>0</v>
      </c>
      <c r="K13">
        <f t="shared" si="5"/>
        <v>-0.57944256845352371</v>
      </c>
      <c r="L13">
        <f t="shared" si="6"/>
        <v>0</v>
      </c>
      <c r="M13">
        <f t="shared" si="7"/>
        <v>-9.27170292474888E-2</v>
      </c>
      <c r="N13">
        <f t="shared" si="8"/>
        <v>0</v>
      </c>
      <c r="O13" s="24">
        <f t="shared" si="9"/>
        <v>-0.10722725851799414</v>
      </c>
      <c r="P13">
        <f t="shared" si="10"/>
        <v>0</v>
      </c>
      <c r="Q13">
        <f t="shared" si="11"/>
        <v>-6.794144559383633E-2</v>
      </c>
      <c r="R13">
        <f t="shared" si="12"/>
        <v>0</v>
      </c>
      <c r="S13">
        <f t="shared" si="13"/>
        <v>-1.0762016242943484</v>
      </c>
      <c r="T13">
        <f t="shared" si="14"/>
        <v>0</v>
      </c>
      <c r="U13">
        <f t="shared" si="17"/>
        <v>-0.9009509519494745</v>
      </c>
      <c r="V13">
        <f t="shared" si="15"/>
        <v>0</v>
      </c>
      <c r="W13" s="33">
        <f t="shared" si="18"/>
        <v>-0.65760693177857998</v>
      </c>
      <c r="X13">
        <f t="shared" si="16"/>
        <v>0</v>
      </c>
    </row>
    <row r="14" spans="1:61" ht="15" thickBot="1" x14ac:dyDescent="0.4">
      <c r="A14" t="str">
        <f>Table1!A7</f>
        <v>Nordhaus 1994a</v>
      </c>
      <c r="B14">
        <f>Table1!C7</f>
        <v>3</v>
      </c>
      <c r="C14">
        <f>Table1!E7</f>
        <v>-3.6</v>
      </c>
      <c r="D14">
        <v>0</v>
      </c>
      <c r="G14">
        <f t="shared" si="1"/>
        <v>-1.0430947911501116</v>
      </c>
      <c r="H14">
        <f t="shared" si="2"/>
        <v>0</v>
      </c>
      <c r="I14">
        <f t="shared" si="3"/>
        <v>-1.4804607041557705</v>
      </c>
      <c r="J14">
        <f t="shared" si="4"/>
        <v>0</v>
      </c>
      <c r="K14">
        <f t="shared" si="5"/>
        <v>-0.57944256845352371</v>
      </c>
      <c r="L14">
        <f t="shared" si="6"/>
        <v>0</v>
      </c>
      <c r="M14">
        <f t="shared" si="7"/>
        <v>-9.27170292474888E-2</v>
      </c>
      <c r="N14">
        <f t="shared" si="8"/>
        <v>0</v>
      </c>
      <c r="O14" s="24">
        <f t="shared" si="9"/>
        <v>-0.10722725851799414</v>
      </c>
      <c r="P14">
        <f t="shared" si="10"/>
        <v>0</v>
      </c>
      <c r="Q14">
        <f t="shared" si="11"/>
        <v>-6.794144559383633E-2</v>
      </c>
      <c r="R14">
        <f t="shared" si="12"/>
        <v>0</v>
      </c>
      <c r="S14">
        <f t="shared" si="13"/>
        <v>-1.0762016242943484</v>
      </c>
      <c r="T14">
        <f t="shared" si="14"/>
        <v>0</v>
      </c>
      <c r="U14">
        <f t="shared" si="17"/>
        <v>-0.9009509519494745</v>
      </c>
      <c r="V14">
        <f t="shared" si="15"/>
        <v>0</v>
      </c>
      <c r="W14" s="33">
        <f t="shared" si="18"/>
        <v>-0.65760693177857998</v>
      </c>
      <c r="X14">
        <f t="shared" si="16"/>
        <v>0</v>
      </c>
      <c r="AQ14" s="2"/>
      <c r="AR14" s="2"/>
      <c r="AS14" s="2"/>
      <c r="AT14" s="2"/>
      <c r="AU14" s="2"/>
      <c r="AV14" s="2"/>
      <c r="BA14" s="2"/>
      <c r="BB14" s="2"/>
      <c r="BC14" s="2"/>
      <c r="BD14" s="2"/>
      <c r="BE14" s="2"/>
      <c r="BF14" s="2"/>
    </row>
    <row r="15" spans="1:61" ht="15" thickBot="1" x14ac:dyDescent="0.4">
      <c r="A15">
        <f>Table1!A8</f>
        <v>0</v>
      </c>
      <c r="B15">
        <f>Table1!C8</f>
        <v>6</v>
      </c>
      <c r="C15">
        <f>Table1!E8</f>
        <v>-6.7</v>
      </c>
      <c r="D15">
        <v>0</v>
      </c>
      <c r="G15">
        <f t="shared" si="1"/>
        <v>-2.1854614011752473</v>
      </c>
      <c r="H15">
        <f t="shared" si="2"/>
        <v>0</v>
      </c>
      <c r="I15">
        <f t="shared" si="3"/>
        <v>-1.5218466608034373</v>
      </c>
      <c r="J15">
        <f t="shared" si="4"/>
        <v>0</v>
      </c>
      <c r="K15">
        <f t="shared" si="5"/>
        <v>-2.3177702738140948</v>
      </c>
      <c r="L15">
        <f t="shared" si="6"/>
        <v>0</v>
      </c>
      <c r="M15">
        <f t="shared" si="7"/>
        <v>-1.6743308548568658</v>
      </c>
      <c r="N15">
        <f t="shared" si="8"/>
        <v>0</v>
      </c>
      <c r="O15" s="24">
        <f t="shared" si="9"/>
        <v>-1.736349671742704</v>
      </c>
      <c r="P15">
        <f t="shared" si="10"/>
        <v>0</v>
      </c>
      <c r="Q15">
        <f t="shared" si="11"/>
        <v>-1.4325818596835818</v>
      </c>
      <c r="R15">
        <f t="shared" si="12"/>
        <v>0</v>
      </c>
      <c r="S15">
        <f t="shared" si="13"/>
        <v>-2.1524032485886968</v>
      </c>
      <c r="T15">
        <f t="shared" si="14"/>
        <v>0</v>
      </c>
      <c r="U15">
        <f t="shared" si="17"/>
        <v>-2.4253576987691465</v>
      </c>
      <c r="V15">
        <f t="shared" si="15"/>
        <v>0</v>
      </c>
      <c r="W15" s="33">
        <f t="shared" si="18"/>
        <v>-1.8975832107393087</v>
      </c>
      <c r="X15">
        <f t="shared" si="16"/>
        <v>0</v>
      </c>
    </row>
    <row r="16" spans="1:61" x14ac:dyDescent="0.35">
      <c r="A16" t="str">
        <f>Table1!A9</f>
        <v>Fankhauser 1995</v>
      </c>
      <c r="B16">
        <f>Table1!C9</f>
        <v>2.5</v>
      </c>
      <c r="C16">
        <f>Table1!E9</f>
        <v>-1.4</v>
      </c>
      <c r="D16">
        <v>0</v>
      </c>
      <c r="G16">
        <f t="shared" si="1"/>
        <v>-0.86235178298099413</v>
      </c>
      <c r="H16">
        <f t="shared" si="2"/>
        <v>0</v>
      </c>
      <c r="I16">
        <f t="shared" si="3"/>
        <v>-1.4735630447144925</v>
      </c>
      <c r="J16">
        <f t="shared" si="4"/>
        <v>0</v>
      </c>
      <c r="K16">
        <f t="shared" si="5"/>
        <v>-0.4023906725371692</v>
      </c>
      <c r="L16">
        <f t="shared" si="6"/>
        <v>0</v>
      </c>
      <c r="M16">
        <f t="shared" si="7"/>
        <v>-6.0020616762598469E-2</v>
      </c>
      <c r="N16">
        <f t="shared" si="8"/>
        <v>0</v>
      </c>
      <c r="O16" s="24">
        <f t="shared" si="9"/>
        <v>-6.6628612919400906E-2</v>
      </c>
      <c r="P16">
        <f t="shared" si="10"/>
        <v>0</v>
      </c>
      <c r="Q16">
        <f t="shared" si="11"/>
        <v>-3.9807882172363009E-2</v>
      </c>
      <c r="R16">
        <f t="shared" si="12"/>
        <v>0</v>
      </c>
      <c r="S16">
        <f t="shared" si="13"/>
        <v>-0.896834686911957</v>
      </c>
      <c r="T16">
        <f t="shared" si="14"/>
        <v>0</v>
      </c>
      <c r="U16">
        <f t="shared" si="17"/>
        <v>-0.72699892602523386</v>
      </c>
      <c r="V16">
        <f t="shared" si="15"/>
        <v>0</v>
      </c>
      <c r="W16" s="33">
        <f t="shared" si="18"/>
        <v>-0.5625700389661088</v>
      </c>
      <c r="X16">
        <f t="shared" si="16"/>
        <v>0</v>
      </c>
      <c r="AQ16" s="3"/>
      <c r="AR16" s="3"/>
      <c r="AS16" s="3"/>
      <c r="AT16" s="3"/>
      <c r="AU16" s="3"/>
      <c r="AV16" s="3"/>
      <c r="AW16" s="3"/>
      <c r="AX16" s="3"/>
      <c r="AY16" s="3"/>
      <c r="BA16" s="3"/>
      <c r="BB16" s="3"/>
      <c r="BC16" s="3"/>
      <c r="BD16" s="3"/>
      <c r="BE16" s="3"/>
      <c r="BF16" s="3"/>
      <c r="BG16" s="3"/>
      <c r="BH16" s="3"/>
      <c r="BI16" s="3"/>
    </row>
    <row r="17" spans="1:61" x14ac:dyDescent="0.35">
      <c r="A17" t="str">
        <f>Table1!A10</f>
        <v>Berz undated</v>
      </c>
      <c r="B17">
        <f>Table1!C10</f>
        <v>2.5</v>
      </c>
      <c r="C17">
        <f>Table1!E10</f>
        <v>-1.5</v>
      </c>
      <c r="D17">
        <v>0</v>
      </c>
      <c r="G17">
        <f t="shared" si="1"/>
        <v>-0.86235178298099413</v>
      </c>
      <c r="H17">
        <f t="shared" si="2"/>
        <v>0</v>
      </c>
      <c r="I17">
        <f t="shared" si="3"/>
        <v>-1.4735630447144925</v>
      </c>
      <c r="J17">
        <f t="shared" si="4"/>
        <v>0</v>
      </c>
      <c r="K17">
        <f t="shared" si="5"/>
        <v>-0.4023906725371692</v>
      </c>
      <c r="L17">
        <f t="shared" si="6"/>
        <v>0</v>
      </c>
      <c r="M17">
        <f t="shared" si="7"/>
        <v>-6.0020616762598469E-2</v>
      </c>
      <c r="N17">
        <f t="shared" si="8"/>
        <v>0</v>
      </c>
      <c r="O17" s="24">
        <f t="shared" si="9"/>
        <v>-6.6628612919400906E-2</v>
      </c>
      <c r="P17">
        <f t="shared" si="10"/>
        <v>0</v>
      </c>
      <c r="Q17">
        <f t="shared" si="11"/>
        <v>-3.9807882172363009E-2</v>
      </c>
      <c r="R17">
        <f t="shared" si="12"/>
        <v>0</v>
      </c>
      <c r="S17">
        <f t="shared" si="13"/>
        <v>-0.896834686911957</v>
      </c>
      <c r="T17">
        <f t="shared" si="14"/>
        <v>0</v>
      </c>
      <c r="U17">
        <f t="shared" si="17"/>
        <v>-0.72699892602523386</v>
      </c>
      <c r="V17">
        <f t="shared" si="15"/>
        <v>0</v>
      </c>
      <c r="W17" s="33">
        <f t="shared" si="18"/>
        <v>-0.5625700389661088</v>
      </c>
      <c r="X17">
        <f t="shared" si="16"/>
        <v>0</v>
      </c>
    </row>
    <row r="18" spans="1:61" ht="15" thickBot="1" x14ac:dyDescent="0.4">
      <c r="A18" t="str">
        <f>Table1!A11</f>
        <v>Tol 1995</v>
      </c>
      <c r="B18">
        <f>Table1!C11</f>
        <v>2.5</v>
      </c>
      <c r="C18">
        <f>Table1!E11</f>
        <v>-1.9</v>
      </c>
      <c r="D18">
        <v>0</v>
      </c>
      <c r="G18">
        <f t="shared" si="1"/>
        <v>-0.86235178298099413</v>
      </c>
      <c r="H18">
        <f t="shared" si="2"/>
        <v>0</v>
      </c>
      <c r="I18">
        <f t="shared" si="3"/>
        <v>-1.4735630447144925</v>
      </c>
      <c r="J18">
        <f t="shared" si="4"/>
        <v>0</v>
      </c>
      <c r="K18">
        <f t="shared" si="5"/>
        <v>-0.4023906725371692</v>
      </c>
      <c r="L18">
        <f t="shared" si="6"/>
        <v>0</v>
      </c>
      <c r="M18">
        <f t="shared" si="7"/>
        <v>-6.0020616762598469E-2</v>
      </c>
      <c r="N18">
        <f t="shared" si="8"/>
        <v>0</v>
      </c>
      <c r="O18" s="24">
        <f t="shared" si="9"/>
        <v>-6.6628612919400906E-2</v>
      </c>
      <c r="P18">
        <f t="shared" si="10"/>
        <v>0</v>
      </c>
      <c r="Q18">
        <f t="shared" si="11"/>
        <v>-3.9807882172363009E-2</v>
      </c>
      <c r="R18">
        <f t="shared" si="12"/>
        <v>0</v>
      </c>
      <c r="S18">
        <f t="shared" si="13"/>
        <v>-0.896834686911957</v>
      </c>
      <c r="T18">
        <f t="shared" si="14"/>
        <v>0</v>
      </c>
      <c r="U18">
        <f t="shared" si="17"/>
        <v>-0.72699892602523386</v>
      </c>
      <c r="V18">
        <f t="shared" si="15"/>
        <v>0</v>
      </c>
      <c r="W18" s="33">
        <f t="shared" si="18"/>
        <v>-0.5625700389661088</v>
      </c>
      <c r="X18">
        <f t="shared" si="16"/>
        <v>0</v>
      </c>
      <c r="AQ18" s="2"/>
      <c r="AR18" s="2"/>
      <c r="AS18" s="2"/>
      <c r="AT18" s="2"/>
      <c r="AU18" s="2"/>
      <c r="AV18" s="2"/>
      <c r="AW18" s="2"/>
      <c r="AX18" s="2"/>
      <c r="AY18" s="2"/>
      <c r="BA18" s="2"/>
      <c r="BB18" s="2"/>
      <c r="BC18" s="2"/>
      <c r="BD18" s="2"/>
      <c r="BE18" s="2"/>
      <c r="BF18" s="2"/>
      <c r="BG18" s="2"/>
      <c r="BH18" s="2"/>
      <c r="BI18" s="2"/>
    </row>
    <row r="19" spans="1:61" x14ac:dyDescent="0.35">
      <c r="A19" t="str">
        <f>Table1!A12</f>
        <v>Nordhaus and Yang 1996</v>
      </c>
      <c r="B19">
        <f>Table1!C12</f>
        <v>2.5</v>
      </c>
      <c r="C19">
        <f>Table1!E12</f>
        <v>-1.435622202473182</v>
      </c>
      <c r="D19">
        <v>0</v>
      </c>
      <c r="G19">
        <f t="shared" si="1"/>
        <v>-0.86235178298099413</v>
      </c>
      <c r="H19">
        <f t="shared" si="2"/>
        <v>0</v>
      </c>
      <c r="I19">
        <f t="shared" si="3"/>
        <v>-1.4735630447144925</v>
      </c>
      <c r="J19">
        <f t="shared" si="4"/>
        <v>0</v>
      </c>
      <c r="K19">
        <f t="shared" si="5"/>
        <v>-0.4023906725371692</v>
      </c>
      <c r="L19">
        <f t="shared" si="6"/>
        <v>0</v>
      </c>
      <c r="M19">
        <f t="shared" si="7"/>
        <v>-6.0020616762598469E-2</v>
      </c>
      <c r="N19">
        <f t="shared" si="8"/>
        <v>0</v>
      </c>
      <c r="O19" s="24">
        <f t="shared" si="9"/>
        <v>-6.6628612919400906E-2</v>
      </c>
      <c r="P19">
        <f t="shared" si="10"/>
        <v>0</v>
      </c>
      <c r="Q19">
        <f t="shared" si="11"/>
        <v>-3.9807882172363009E-2</v>
      </c>
      <c r="R19">
        <f t="shared" si="12"/>
        <v>0</v>
      </c>
      <c r="S19">
        <f t="shared" si="13"/>
        <v>-0.896834686911957</v>
      </c>
      <c r="T19">
        <f t="shared" si="14"/>
        <v>0</v>
      </c>
      <c r="U19">
        <f t="shared" si="17"/>
        <v>-0.72699892602523386</v>
      </c>
      <c r="V19">
        <f t="shared" si="15"/>
        <v>0</v>
      </c>
      <c r="W19" s="33">
        <f t="shared" si="18"/>
        <v>-0.5625700389661088</v>
      </c>
      <c r="X19">
        <f t="shared" si="16"/>
        <v>0</v>
      </c>
    </row>
    <row r="20" spans="1:61" x14ac:dyDescent="0.35">
      <c r="A20" t="str">
        <f>Table1!A13</f>
        <v>Plambeck and Hope 1996</v>
      </c>
      <c r="B20">
        <f>Table1!C13</f>
        <v>2.5</v>
      </c>
      <c r="C20">
        <f>Table1!E13</f>
        <v>-2.8909238132996098</v>
      </c>
      <c r="D20">
        <v>0</v>
      </c>
      <c r="G20">
        <f t="shared" si="1"/>
        <v>-0.86235178298099413</v>
      </c>
      <c r="H20">
        <f t="shared" si="2"/>
        <v>0</v>
      </c>
      <c r="I20">
        <f t="shared" si="3"/>
        <v>-1.4735630447144925</v>
      </c>
      <c r="J20">
        <f t="shared" si="4"/>
        <v>0</v>
      </c>
      <c r="K20">
        <f t="shared" si="5"/>
        <v>-0.4023906725371692</v>
      </c>
      <c r="L20">
        <f t="shared" si="6"/>
        <v>0</v>
      </c>
      <c r="M20">
        <f t="shared" si="7"/>
        <v>-6.0020616762598469E-2</v>
      </c>
      <c r="N20">
        <f t="shared" si="8"/>
        <v>0</v>
      </c>
      <c r="O20" s="24">
        <f t="shared" si="9"/>
        <v>-6.6628612919400906E-2</v>
      </c>
      <c r="P20">
        <f t="shared" si="10"/>
        <v>0</v>
      </c>
      <c r="Q20">
        <f t="shared" si="11"/>
        <v>-3.9807882172363009E-2</v>
      </c>
      <c r="R20">
        <f t="shared" si="12"/>
        <v>0</v>
      </c>
      <c r="S20">
        <f t="shared" si="13"/>
        <v>-0.896834686911957</v>
      </c>
      <c r="T20">
        <f t="shared" si="14"/>
        <v>0</v>
      </c>
      <c r="U20">
        <f t="shared" si="17"/>
        <v>-0.72699892602523386</v>
      </c>
      <c r="V20">
        <f t="shared" si="15"/>
        <v>0</v>
      </c>
      <c r="W20" s="33">
        <f t="shared" si="18"/>
        <v>-0.5625700389661088</v>
      </c>
      <c r="X20">
        <f t="shared" si="16"/>
        <v>0</v>
      </c>
      <c r="AF20" s="5"/>
    </row>
    <row r="21" spans="1:61" x14ac:dyDescent="0.35">
      <c r="A21" t="str">
        <f>Table1!A14</f>
        <v>Mendelsohn et al. 2000, 2006</v>
      </c>
      <c r="B21">
        <f>Table1!C14</f>
        <v>2.4900000000000002</v>
      </c>
      <c r="C21">
        <f>Table1!E14</f>
        <v>0.03</v>
      </c>
      <c r="D21">
        <f>1/6</f>
        <v>0.16666666666666666</v>
      </c>
      <c r="G21">
        <f t="shared" si="1"/>
        <v>-0.85876504983295976</v>
      </c>
      <c r="H21">
        <f t="shared" si="2"/>
        <v>0.13165055230076389</v>
      </c>
      <c r="I21">
        <f t="shared" si="3"/>
        <v>-1.473425091525667</v>
      </c>
      <c r="J21">
        <f t="shared" si="4"/>
        <v>0.37671450097149339</v>
      </c>
      <c r="K21">
        <f t="shared" si="5"/>
        <v>-0.3991779854076325</v>
      </c>
      <c r="L21">
        <f t="shared" si="6"/>
        <v>3.0698957193092336E-2</v>
      </c>
      <c r="M21">
        <f t="shared" si="7"/>
        <v>-5.9483671392642122E-2</v>
      </c>
      <c r="N21">
        <f t="shared" si="8"/>
        <v>1.3345545743177264E-3</v>
      </c>
      <c r="O21" s="24">
        <f t="shared" si="9"/>
        <v>-6.5981512975487946E-2</v>
      </c>
      <c r="P21">
        <f t="shared" si="10"/>
        <v>1.5354084721772934E-3</v>
      </c>
      <c r="Q21">
        <f t="shared" si="11"/>
        <v>-3.9376366133171227E-2</v>
      </c>
      <c r="R21">
        <f t="shared" si="12"/>
        <v>8.021800296406377E-4</v>
      </c>
      <c r="S21">
        <f t="shared" si="13"/>
        <v>-0.89324734816430928</v>
      </c>
      <c r="T21">
        <f t="shared" si="14"/>
        <v>0.14206427764873822</v>
      </c>
      <c r="U21">
        <f t="shared" si="17"/>
        <v>-0.72366521832138642</v>
      </c>
      <c r="V21">
        <f t="shared" si="15"/>
        <v>9.4668543551237175E-2</v>
      </c>
      <c r="W21" s="33">
        <f t="shared" si="18"/>
        <v>-0.56078019620057096</v>
      </c>
      <c r="X21">
        <f t="shared" si="16"/>
        <v>5.8170206703797522E-2</v>
      </c>
      <c r="AF21" s="5"/>
    </row>
    <row r="22" spans="1:61" x14ac:dyDescent="0.35">
      <c r="A22">
        <f>Table1!A15</f>
        <v>0</v>
      </c>
      <c r="B22">
        <f>Table1!C15</f>
        <v>2.4900000000000002</v>
      </c>
      <c r="C22">
        <f>Table1!E15</f>
        <v>0.1</v>
      </c>
      <c r="D22">
        <f t="shared" ref="D22:D26" si="19">1/6</f>
        <v>0.16666666666666666</v>
      </c>
      <c r="G22">
        <f t="shared" si="1"/>
        <v>-0.85876504983295976</v>
      </c>
      <c r="H22">
        <f t="shared" si="2"/>
        <v>0.15320507013019963</v>
      </c>
      <c r="I22">
        <f t="shared" si="3"/>
        <v>-1.473425091525667</v>
      </c>
      <c r="J22">
        <f t="shared" si="4"/>
        <v>0.41261108644042566</v>
      </c>
      <c r="K22">
        <f t="shared" si="5"/>
        <v>-0.3991779854076325</v>
      </c>
      <c r="L22">
        <f t="shared" si="6"/>
        <v>4.1529776852603756E-2</v>
      </c>
      <c r="M22">
        <f t="shared" si="7"/>
        <v>-5.9483671392642122E-2</v>
      </c>
      <c r="N22">
        <f t="shared" si="8"/>
        <v>4.2391735734793757E-3</v>
      </c>
      <c r="O22" s="24">
        <f t="shared" si="9"/>
        <v>-6.5981512975487946E-2</v>
      </c>
      <c r="P22">
        <f t="shared" si="10"/>
        <v>4.5916437749386795E-3</v>
      </c>
      <c r="Q22">
        <f t="shared" si="11"/>
        <v>-3.9376366133171227E-2</v>
      </c>
      <c r="R22">
        <f t="shared" si="12"/>
        <v>3.2376285727479664E-3</v>
      </c>
      <c r="S22">
        <f t="shared" si="13"/>
        <v>-0.89324734816430928</v>
      </c>
      <c r="T22">
        <f t="shared" si="14"/>
        <v>0.16442338243923876</v>
      </c>
      <c r="U22">
        <f t="shared" si="17"/>
        <v>-0.72366521832138642</v>
      </c>
      <c r="V22">
        <f t="shared" si="15"/>
        <v>0.11307073197873618</v>
      </c>
      <c r="W22" s="33">
        <f t="shared" si="18"/>
        <v>-0.56078019620057096</v>
      </c>
      <c r="X22">
        <f t="shared" si="16"/>
        <v>7.2771744615144157E-2</v>
      </c>
      <c r="AF22" s="5"/>
    </row>
    <row r="23" spans="1:61" x14ac:dyDescent="0.35">
      <c r="A23">
        <f>Table1!A16</f>
        <v>0</v>
      </c>
      <c r="B23">
        <f>Table1!C16</f>
        <v>4</v>
      </c>
      <c r="C23">
        <f>Table1!E16</f>
        <v>-0.01</v>
      </c>
      <c r="D23">
        <f t="shared" si="19"/>
        <v>0.16666666666666666</v>
      </c>
      <c r="G23">
        <f t="shared" si="1"/>
        <v>-1.4128534590612651</v>
      </c>
      <c r="H23">
        <f t="shared" si="2"/>
        <v>0.3279996379333594</v>
      </c>
      <c r="I23">
        <f t="shared" si="3"/>
        <v>-1.4942560230383259</v>
      </c>
      <c r="J23">
        <f t="shared" si="4"/>
        <v>0.36716932365425792</v>
      </c>
      <c r="K23">
        <f t="shared" si="5"/>
        <v>-1.0301201216951532</v>
      </c>
      <c r="L23">
        <f t="shared" si="6"/>
        <v>0.17344084378122238</v>
      </c>
      <c r="M23">
        <f t="shared" si="7"/>
        <v>-0.22489218835992092</v>
      </c>
      <c r="N23">
        <f t="shared" si="8"/>
        <v>7.6964421030192871E-3</v>
      </c>
      <c r="O23" s="24">
        <f t="shared" si="9"/>
        <v>-0.27432156853766027</v>
      </c>
      <c r="P23">
        <f t="shared" si="10"/>
        <v>1.1644315265701505E-2</v>
      </c>
      <c r="Q23">
        <f t="shared" si="11"/>
        <v>-0.19080080424580143</v>
      </c>
      <c r="R23">
        <f t="shared" si="12"/>
        <v>5.4481551359880998E-3</v>
      </c>
      <c r="S23">
        <f t="shared" si="13"/>
        <v>-1.4349354990591312</v>
      </c>
      <c r="T23">
        <f t="shared" si="14"/>
        <v>0.33840686274648252</v>
      </c>
      <c r="U23">
        <f t="shared" si="17"/>
        <v>-1.3016086254468726</v>
      </c>
      <c r="V23">
        <f t="shared" si="15"/>
        <v>0.2780421402214599</v>
      </c>
      <c r="W23" s="33">
        <f t="shared" si="18"/>
        <v>-0.89466297358895597</v>
      </c>
      <c r="X23">
        <f t="shared" si="16"/>
        <v>0.13043809613987561</v>
      </c>
    </row>
    <row r="24" spans="1:61" x14ac:dyDescent="0.35">
      <c r="A24">
        <f>Table1!A17</f>
        <v>0</v>
      </c>
      <c r="B24">
        <f>Table1!C17</f>
        <v>4</v>
      </c>
      <c r="C24">
        <f>Table1!E17</f>
        <v>-0.04</v>
      </c>
      <c r="D24">
        <f t="shared" si="19"/>
        <v>0.16666666666666666</v>
      </c>
      <c r="G24">
        <f t="shared" si="1"/>
        <v>-1.4128534590612651</v>
      </c>
      <c r="H24">
        <f t="shared" si="2"/>
        <v>0.31412110334274679</v>
      </c>
      <c r="I24">
        <f t="shared" si="3"/>
        <v>-1.4942560230383259</v>
      </c>
      <c r="J24">
        <f t="shared" si="4"/>
        <v>0.35247676342387463</v>
      </c>
      <c r="K24">
        <f t="shared" si="5"/>
        <v>-1.0301201216951532</v>
      </c>
      <c r="L24">
        <f t="shared" si="6"/>
        <v>0.1633896425642708</v>
      </c>
      <c r="M24">
        <f t="shared" si="7"/>
        <v>-0.22489218835992092</v>
      </c>
      <c r="N24">
        <f t="shared" si="8"/>
        <v>5.6975202194200786E-3</v>
      </c>
      <c r="O24" s="24">
        <f t="shared" si="9"/>
        <v>-0.27432156853766027</v>
      </c>
      <c r="P24">
        <f t="shared" si="10"/>
        <v>9.1510995803249021E-3</v>
      </c>
      <c r="Q24">
        <f t="shared" si="11"/>
        <v>-0.19080080424580143</v>
      </c>
      <c r="R24">
        <f t="shared" si="12"/>
        <v>3.7901470935300862E-3</v>
      </c>
      <c r="S24">
        <f t="shared" si="13"/>
        <v>-1.4349354990591312</v>
      </c>
      <c r="T24">
        <f t="shared" si="14"/>
        <v>0.32430750775589123</v>
      </c>
      <c r="U24">
        <f t="shared" si="17"/>
        <v>-1.3016086254468726</v>
      </c>
      <c r="V24">
        <f t="shared" si="15"/>
        <v>0.26527605396699117</v>
      </c>
      <c r="W24" s="33">
        <f t="shared" si="18"/>
        <v>-0.89466297358895597</v>
      </c>
      <c r="X24">
        <f t="shared" si="16"/>
        <v>0.12174146640398606</v>
      </c>
    </row>
    <row r="25" spans="1:61" ht="15" thickBot="1" x14ac:dyDescent="0.4">
      <c r="A25">
        <f>Table1!A18</f>
        <v>0</v>
      </c>
      <c r="B25">
        <f>Table1!C18</f>
        <v>5.2</v>
      </c>
      <c r="C25">
        <f>Table1!E18</f>
        <v>-0.01</v>
      </c>
      <c r="D25">
        <f t="shared" si="19"/>
        <v>0.16666666666666666</v>
      </c>
      <c r="G25">
        <f t="shared" si="1"/>
        <v>-1.8711237273229866</v>
      </c>
      <c r="H25">
        <f t="shared" si="2"/>
        <v>0.57729692140076772</v>
      </c>
      <c r="I25">
        <f t="shared" si="3"/>
        <v>-1.5108104056973928</v>
      </c>
      <c r="J25">
        <f t="shared" si="4"/>
        <v>0.37540531230826213</v>
      </c>
      <c r="K25">
        <f t="shared" si="5"/>
        <v>-1.7409030056648092</v>
      </c>
      <c r="L25">
        <f t="shared" si="6"/>
        <v>0.49933753583657836</v>
      </c>
      <c r="M25">
        <f t="shared" si="7"/>
        <v>-0.74112281551109516</v>
      </c>
      <c r="N25">
        <f t="shared" si="8"/>
        <v>8.90900952268118E-2</v>
      </c>
      <c r="O25" s="24">
        <f t="shared" si="9"/>
        <v>-0.84765650584760799</v>
      </c>
      <c r="P25">
        <f t="shared" si="10"/>
        <v>0.11694473696480395</v>
      </c>
      <c r="Q25">
        <f t="shared" si="11"/>
        <v>-0.64174022259541619</v>
      </c>
      <c r="R25">
        <f t="shared" si="12"/>
        <v>6.6515951474150986E-2</v>
      </c>
      <c r="S25">
        <f t="shared" si="13"/>
        <v>-1.8654161487768706</v>
      </c>
      <c r="T25">
        <f t="shared" si="14"/>
        <v>0.57376151419033228</v>
      </c>
      <c r="U25">
        <f t="shared" si="17"/>
        <v>-1.9113255385942736</v>
      </c>
      <c r="V25">
        <f t="shared" si="15"/>
        <v>0.60250646728513402</v>
      </c>
      <c r="W25" s="33">
        <f t="shared" si="18"/>
        <v>-1.3533161858713951</v>
      </c>
      <c r="X25">
        <f t="shared" si="16"/>
        <v>0.30074972920401211</v>
      </c>
    </row>
    <row r="26" spans="1:61" x14ac:dyDescent="0.35">
      <c r="A26">
        <f>Table1!A19</f>
        <v>0</v>
      </c>
      <c r="B26">
        <f>Table1!C19</f>
        <v>5.2</v>
      </c>
      <c r="C26">
        <f>Table1!E19</f>
        <v>-0.13</v>
      </c>
      <c r="D26">
        <f t="shared" si="19"/>
        <v>0.16666666666666666</v>
      </c>
      <c r="G26">
        <f t="shared" si="1"/>
        <v>-1.8711237273229866</v>
      </c>
      <c r="H26">
        <f t="shared" si="2"/>
        <v>0.50525197230784835</v>
      </c>
      <c r="I26">
        <f t="shared" si="3"/>
        <v>-1.5108104056973928</v>
      </c>
      <c r="J26">
        <f t="shared" si="4"/>
        <v>0.31777289608036641</v>
      </c>
      <c r="K26">
        <f t="shared" si="5"/>
        <v>-1.7409030056648092</v>
      </c>
      <c r="L26">
        <f t="shared" si="6"/>
        <v>0.4325014156099859</v>
      </c>
      <c r="M26">
        <f t="shared" si="7"/>
        <v>-0.74112281551109516</v>
      </c>
      <c r="N26">
        <f t="shared" si="8"/>
        <v>6.2245182606368001E-2</v>
      </c>
      <c r="O26" s="24">
        <f t="shared" si="9"/>
        <v>-0.84765650584760799</v>
      </c>
      <c r="P26">
        <f t="shared" si="10"/>
        <v>8.5838476730899629E-2</v>
      </c>
      <c r="Q26">
        <f t="shared" si="11"/>
        <v>-0.64174022259541619</v>
      </c>
      <c r="R26">
        <f t="shared" si="12"/>
        <v>4.3646342570334347E-2</v>
      </c>
      <c r="S26">
        <f t="shared" si="13"/>
        <v>-1.8654161487768706</v>
      </c>
      <c r="T26">
        <f t="shared" si="14"/>
        <v>0.50194486823925755</v>
      </c>
      <c r="U26">
        <f t="shared" si="17"/>
        <v>-1.9113255385942736</v>
      </c>
      <c r="V26">
        <f t="shared" si="15"/>
        <v>0.52885344574136306</v>
      </c>
      <c r="W26" s="33">
        <f t="shared" si="18"/>
        <v>-1.3533161858713951</v>
      </c>
      <c r="X26">
        <f t="shared" si="16"/>
        <v>0.24941708176915633</v>
      </c>
      <c r="AQ26" s="4"/>
      <c r="AR26" s="4"/>
    </row>
    <row r="27" spans="1:61" x14ac:dyDescent="0.35">
      <c r="A27" t="str">
        <f>Table1!A20</f>
        <v>Nordhaus and Boyer 2000</v>
      </c>
      <c r="B27">
        <f>Table1!C20</f>
        <v>2.5</v>
      </c>
      <c r="C27">
        <f>Table1!E20</f>
        <v>-1.5</v>
      </c>
      <c r="D27">
        <v>0</v>
      </c>
      <c r="G27">
        <f t="shared" si="1"/>
        <v>-0.86235178298099413</v>
      </c>
      <c r="H27">
        <f t="shared" si="2"/>
        <v>0</v>
      </c>
      <c r="I27">
        <f t="shared" si="3"/>
        <v>-1.4735630447144925</v>
      </c>
      <c r="J27">
        <f t="shared" si="4"/>
        <v>0</v>
      </c>
      <c r="K27">
        <f t="shared" si="5"/>
        <v>-0.4023906725371692</v>
      </c>
      <c r="L27">
        <f t="shared" si="6"/>
        <v>0</v>
      </c>
      <c r="M27">
        <f t="shared" si="7"/>
        <v>-6.0020616762598469E-2</v>
      </c>
      <c r="N27">
        <f t="shared" si="8"/>
        <v>0</v>
      </c>
      <c r="O27" s="24">
        <f t="shared" si="9"/>
        <v>-6.6628612919400906E-2</v>
      </c>
      <c r="P27">
        <f t="shared" si="10"/>
        <v>0</v>
      </c>
      <c r="Q27">
        <f t="shared" si="11"/>
        <v>-3.9807882172363009E-2</v>
      </c>
      <c r="R27">
        <f t="shared" si="12"/>
        <v>0</v>
      </c>
      <c r="S27">
        <f t="shared" si="13"/>
        <v>-0.896834686911957</v>
      </c>
      <c r="T27">
        <f t="shared" si="14"/>
        <v>0</v>
      </c>
      <c r="U27">
        <f t="shared" si="17"/>
        <v>-0.72699892602523386</v>
      </c>
      <c r="V27">
        <f t="shared" si="15"/>
        <v>0</v>
      </c>
      <c r="W27" s="33">
        <f t="shared" si="18"/>
        <v>-0.5625700389661088</v>
      </c>
      <c r="X27">
        <f t="shared" si="16"/>
        <v>0</v>
      </c>
    </row>
    <row r="28" spans="1:61" x14ac:dyDescent="0.35">
      <c r="A28" t="str">
        <f>Table1!A21</f>
        <v>Tol 2002</v>
      </c>
      <c r="B28">
        <f>Table1!C21</f>
        <v>1</v>
      </c>
      <c r="C28">
        <f>Table1!E21</f>
        <v>2.2999999999999998</v>
      </c>
      <c r="D28">
        <v>0</v>
      </c>
      <c r="G28">
        <f t="shared" si="1"/>
        <v>-0.33666806161947899</v>
      </c>
      <c r="H28">
        <f t="shared" si="2"/>
        <v>0</v>
      </c>
      <c r="I28">
        <f t="shared" si="3"/>
        <v>-1.4528700663906591</v>
      </c>
      <c r="J28">
        <f t="shared" si="4"/>
        <v>0</v>
      </c>
      <c r="K28">
        <f t="shared" si="5"/>
        <v>-6.4382507605947076E-2</v>
      </c>
      <c r="L28">
        <f t="shared" si="6"/>
        <v>0</v>
      </c>
      <c r="M28">
        <f t="shared" si="7"/>
        <v>-9.1387212661383985E-3</v>
      </c>
      <c r="N28">
        <f t="shared" si="8"/>
        <v>0</v>
      </c>
      <c r="O28" s="24">
        <f t="shared" si="9"/>
        <v>-9.5228446589801837E-3</v>
      </c>
      <c r="P28">
        <f t="shared" si="10"/>
        <v>0</v>
      </c>
      <c r="Q28">
        <f t="shared" si="11"/>
        <v>-6.1168072888373032E-3</v>
      </c>
      <c r="R28">
        <f t="shared" si="12"/>
        <v>0</v>
      </c>
      <c r="S28">
        <f t="shared" si="13"/>
        <v>-0.3587338747647828</v>
      </c>
      <c r="T28">
        <f t="shared" si="14"/>
        <v>0</v>
      </c>
      <c r="U28">
        <f t="shared" si="17"/>
        <v>-0.27314513724220274</v>
      </c>
      <c r="V28">
        <f t="shared" si="15"/>
        <v>0</v>
      </c>
      <c r="W28" s="33">
        <f t="shared" si="18"/>
        <v>-0.32968960311518641</v>
      </c>
      <c r="X28">
        <f t="shared" si="16"/>
        <v>0</v>
      </c>
    </row>
    <row r="29" spans="1:61" x14ac:dyDescent="0.35">
      <c r="A29" t="str">
        <f>Table1!A22</f>
        <v>Maddison 2003</v>
      </c>
      <c r="B29">
        <f>Table1!C22</f>
        <v>2.5</v>
      </c>
      <c r="C29">
        <f>Table1!E22</f>
        <v>3.3000365094043249E-2</v>
      </c>
      <c r="D29">
        <v>1</v>
      </c>
      <c r="G29">
        <f t="shared" si="1"/>
        <v>-0.86235178298099413</v>
      </c>
      <c r="H29">
        <f t="shared" si="2"/>
        <v>0.80165546906258367</v>
      </c>
      <c r="I29">
        <f t="shared" si="3"/>
        <v>-1.4735630447144925</v>
      </c>
      <c r="J29">
        <f t="shared" si="4"/>
        <v>2.2697333077739223</v>
      </c>
      <c r="K29">
        <f t="shared" si="5"/>
        <v>-0.4023906725371692</v>
      </c>
      <c r="L29">
        <f t="shared" si="6"/>
        <v>0.18956535564958385</v>
      </c>
      <c r="M29">
        <f t="shared" si="7"/>
        <v>-6.0020616762598469E-2</v>
      </c>
      <c r="N29">
        <f t="shared" si="8"/>
        <v>8.652903065573668E-3</v>
      </c>
      <c r="O29" s="24">
        <f t="shared" si="9"/>
        <v>-6.6628612919400906E-2</v>
      </c>
      <c r="P29">
        <f t="shared" si="10"/>
        <v>9.9259332600033397E-3</v>
      </c>
      <c r="Q29">
        <f t="shared" si="11"/>
        <v>-3.9807882172363009E-2</v>
      </c>
      <c r="R29">
        <f t="shared" si="12"/>
        <v>5.301040870006153E-3</v>
      </c>
      <c r="S29">
        <f t="shared" si="13"/>
        <v>-0.896834686911957</v>
      </c>
      <c r="T29">
        <f t="shared" si="14"/>
        <v>0.86459322393900118</v>
      </c>
      <c r="U29">
        <f t="shared" si="17"/>
        <v>-0.72699892602523386</v>
      </c>
      <c r="V29">
        <f t="shared" si="15"/>
        <v>0.57759892250180367</v>
      </c>
      <c r="W29" s="33">
        <f t="shared" si="18"/>
        <v>-0.5625700389661088</v>
      </c>
      <c r="X29">
        <f t="shared" si="16"/>
        <v>0.35470410619237275</v>
      </c>
    </row>
    <row r="30" spans="1:61" x14ac:dyDescent="0.35">
      <c r="A30" t="str">
        <f>Table1!A23</f>
        <v>Rehdanz and Maddison 2005</v>
      </c>
      <c r="B30">
        <f>Table1!C23</f>
        <v>0.6</v>
      </c>
      <c r="C30">
        <f>Table1!E23</f>
        <v>-0.17962065483383896</v>
      </c>
      <c r="D30">
        <v>0.5</v>
      </c>
      <c r="G30">
        <f t="shared" si="1"/>
        <v>-0.20067721272002043</v>
      </c>
      <c r="H30">
        <f t="shared" si="2"/>
        <v>2.2168931500705542E-4</v>
      </c>
      <c r="I30">
        <f t="shared" si="3"/>
        <v>-1.447351938837637</v>
      </c>
      <c r="J30">
        <f t="shared" si="4"/>
        <v>0.80357130422095913</v>
      </c>
      <c r="K30">
        <f t="shared" si="5"/>
        <v>-2.3177702738140946E-2</v>
      </c>
      <c r="L30">
        <f t="shared" si="6"/>
        <v>1.2237198630208434E-2</v>
      </c>
      <c r="M30">
        <f t="shared" si="7"/>
        <v>-3.2883438699670376E-3</v>
      </c>
      <c r="N30">
        <f t="shared" si="8"/>
        <v>1.5546541944929812E-2</v>
      </c>
      <c r="O30" s="24">
        <f t="shared" si="9"/>
        <v>-3.4188578522861288E-3</v>
      </c>
      <c r="P30">
        <f t="shared" si="10"/>
        <v>1.5523536629764181E-2</v>
      </c>
      <c r="Q30">
        <f t="shared" si="11"/>
        <v>-2.926610866291137E-3</v>
      </c>
      <c r="R30">
        <f t="shared" si="12"/>
        <v>1.561039258680286E-2</v>
      </c>
      <c r="S30">
        <f t="shared" si="13"/>
        <v>-0.21524032485886968</v>
      </c>
      <c r="T30">
        <f t="shared" si="14"/>
        <v>6.3438044634603601E-4</v>
      </c>
      <c r="U30">
        <f t="shared" si="17"/>
        <v>-0.16262311861829934</v>
      </c>
      <c r="V30">
        <f t="shared" si="15"/>
        <v>1.444581186992905E-4</v>
      </c>
      <c r="W30" s="33">
        <f t="shared" si="18"/>
        <v>-0.27746663361563956</v>
      </c>
      <c r="X30">
        <f t="shared" si="16"/>
        <v>4.7869177818842864E-3</v>
      </c>
    </row>
    <row r="31" spans="1:61" ht="15" thickBot="1" x14ac:dyDescent="0.4">
      <c r="A31">
        <f>Table1!A24</f>
        <v>0</v>
      </c>
      <c r="B31">
        <f>Table1!C24</f>
        <v>1</v>
      </c>
      <c r="C31">
        <f>Table1!E24</f>
        <v>-0.30947656699459297</v>
      </c>
      <c r="D31">
        <v>0.5</v>
      </c>
      <c r="G31">
        <f t="shared" si="1"/>
        <v>-0.33666806161947899</v>
      </c>
      <c r="H31">
        <f t="shared" si="2"/>
        <v>3.6968868996760249E-4</v>
      </c>
      <c r="I31">
        <f t="shared" si="3"/>
        <v>-1.4528700663906591</v>
      </c>
      <c r="J31">
        <f t="shared" si="4"/>
        <v>0.65367434723059092</v>
      </c>
      <c r="K31">
        <f t="shared" si="5"/>
        <v>-6.4382507605947076E-2</v>
      </c>
      <c r="L31">
        <f t="shared" si="6"/>
        <v>3.0035548973802541E-2</v>
      </c>
      <c r="M31">
        <f t="shared" si="7"/>
        <v>-9.1387212661383985E-3</v>
      </c>
      <c r="N31">
        <f t="shared" si="8"/>
        <v>4.5101410788404489E-2</v>
      </c>
      <c r="O31" s="24">
        <f t="shared" si="9"/>
        <v>-9.5228446589801837E-3</v>
      </c>
      <c r="P31">
        <f t="shared" si="10"/>
        <v>4.498611777149495E-2</v>
      </c>
      <c r="Q31">
        <f t="shared" si="11"/>
        <v>-6.1168072888373032E-3</v>
      </c>
      <c r="R31">
        <f t="shared" si="12"/>
        <v>4.6013571904366918E-2</v>
      </c>
      <c r="S31">
        <f t="shared" si="13"/>
        <v>-0.3587338747647828</v>
      </c>
      <c r="T31">
        <f t="shared" si="14"/>
        <v>1.2131411843836015E-3</v>
      </c>
      <c r="U31">
        <f t="shared" si="17"/>
        <v>-0.27314513724220274</v>
      </c>
      <c r="V31">
        <f t="shared" si="15"/>
        <v>6.5998639392643302E-4</v>
      </c>
      <c r="W31" s="33">
        <f t="shared" si="18"/>
        <v>-0.32968960311518641</v>
      </c>
      <c r="X31">
        <f t="shared" si="16"/>
        <v>2.0428341460620758E-4</v>
      </c>
      <c r="AQ31" s="2"/>
      <c r="AR31" s="2"/>
    </row>
    <row r="32" spans="1:61" x14ac:dyDescent="0.35">
      <c r="A32" t="str">
        <f>Table1!A25</f>
        <v>Hope 2006</v>
      </c>
      <c r="B32">
        <f>Table1!C25</f>
        <v>2.5</v>
      </c>
      <c r="C32">
        <f>Table1!E25</f>
        <v>-0.9804776851232514</v>
      </c>
      <c r="D32">
        <v>0</v>
      </c>
      <c r="G32">
        <f t="shared" si="1"/>
        <v>-0.86235178298099413</v>
      </c>
      <c r="H32">
        <f t="shared" si="2"/>
        <v>0</v>
      </c>
      <c r="I32">
        <f t="shared" si="3"/>
        <v>-1.4735630447144925</v>
      </c>
      <c r="J32">
        <f t="shared" si="4"/>
        <v>0</v>
      </c>
      <c r="K32">
        <f t="shared" si="5"/>
        <v>-0.4023906725371692</v>
      </c>
      <c r="L32">
        <f t="shared" si="6"/>
        <v>0</v>
      </c>
      <c r="M32">
        <f t="shared" si="7"/>
        <v>-6.0020616762598469E-2</v>
      </c>
      <c r="N32">
        <f t="shared" si="8"/>
        <v>0</v>
      </c>
      <c r="O32" s="24">
        <f t="shared" si="9"/>
        <v>-6.6628612919400906E-2</v>
      </c>
      <c r="P32">
        <f t="shared" si="10"/>
        <v>0</v>
      </c>
      <c r="Q32">
        <f t="shared" si="11"/>
        <v>-3.9807882172363009E-2</v>
      </c>
      <c r="R32">
        <f t="shared" si="12"/>
        <v>0</v>
      </c>
      <c r="S32">
        <f t="shared" si="13"/>
        <v>-0.896834686911957</v>
      </c>
      <c r="T32">
        <f t="shared" si="14"/>
        <v>0</v>
      </c>
      <c r="U32">
        <f t="shared" si="17"/>
        <v>-0.72699892602523386</v>
      </c>
      <c r="V32">
        <f t="shared" si="15"/>
        <v>0</v>
      </c>
      <c r="W32" s="33">
        <f t="shared" si="18"/>
        <v>-0.5625700389661088</v>
      </c>
      <c r="X32">
        <f t="shared" si="16"/>
        <v>0</v>
      </c>
    </row>
    <row r="33" spans="1:51" ht="15" thickBot="1" x14ac:dyDescent="0.4">
      <c r="A33" t="str">
        <f>Table1!A26</f>
        <v>Nordhaus 2006</v>
      </c>
      <c r="B33">
        <f>Table1!C26</f>
        <v>3</v>
      </c>
      <c r="C33">
        <f>Table1!E26</f>
        <v>-0.93</v>
      </c>
      <c r="D33">
        <v>0.5</v>
      </c>
      <c r="G33">
        <f t="shared" si="1"/>
        <v>-1.0430947911501116</v>
      </c>
      <c r="H33">
        <f t="shared" si="2"/>
        <v>6.3952158926436761E-3</v>
      </c>
      <c r="I33">
        <f t="shared" si="3"/>
        <v>-1.4804607041557705</v>
      </c>
      <c r="J33">
        <f t="shared" si="4"/>
        <v>0.1515034934098333</v>
      </c>
      <c r="K33">
        <f t="shared" si="5"/>
        <v>-0.57944256845352371</v>
      </c>
      <c r="L33">
        <f t="shared" si="6"/>
        <v>6.1445256406231219E-2</v>
      </c>
      <c r="M33">
        <f t="shared" si="7"/>
        <v>-9.27170292474888E-2</v>
      </c>
      <c r="N33">
        <f t="shared" si="8"/>
        <v>0.35052138655607529</v>
      </c>
      <c r="O33" s="24">
        <f t="shared" si="9"/>
        <v>-0.10722725851799414</v>
      </c>
      <c r="P33">
        <f t="shared" si="10"/>
        <v>0.33847749206290784</v>
      </c>
      <c r="Q33">
        <f t="shared" si="11"/>
        <v>-6.794144559383633E-2</v>
      </c>
      <c r="R33">
        <f t="shared" si="12"/>
        <v>0.3715724756124224</v>
      </c>
      <c r="S33">
        <f t="shared" si="13"/>
        <v>-1.0762016242943484</v>
      </c>
      <c r="T33">
        <f t="shared" si="14"/>
        <v>1.0687457473152895E-2</v>
      </c>
      <c r="U33">
        <f t="shared" si="17"/>
        <v>-0.9009509519494745</v>
      </c>
      <c r="V33">
        <f t="shared" si="15"/>
        <v>4.2192359632087115E-4</v>
      </c>
      <c r="W33" s="33">
        <f t="shared" si="18"/>
        <v>-0.65760693177857998</v>
      </c>
      <c r="X33">
        <f t="shared" si="16"/>
        <v>3.7098991807539602E-2</v>
      </c>
    </row>
    <row r="34" spans="1:51" x14ac:dyDescent="0.35">
      <c r="A34">
        <f>Table1!A27</f>
        <v>0</v>
      </c>
      <c r="B34">
        <f>Table1!C27</f>
        <v>3</v>
      </c>
      <c r="C34">
        <f>Table1!E27</f>
        <v>-1.05</v>
      </c>
      <c r="D34">
        <v>0.5</v>
      </c>
      <c r="G34">
        <f t="shared" si="1"/>
        <v>-1.0430947911501116</v>
      </c>
      <c r="H34">
        <f t="shared" si="2"/>
        <v>2.3840954630288771E-5</v>
      </c>
      <c r="I34">
        <f t="shared" si="3"/>
        <v>-1.4804607041557705</v>
      </c>
      <c r="J34">
        <f t="shared" si="4"/>
        <v>9.2648208911140853E-2</v>
      </c>
      <c r="K34">
        <f t="shared" si="5"/>
        <v>-0.57944256845352371</v>
      </c>
      <c r="L34">
        <f t="shared" si="6"/>
        <v>0.11071214819180838</v>
      </c>
      <c r="M34">
        <f t="shared" si="7"/>
        <v>-9.27170292474888E-2</v>
      </c>
      <c r="N34">
        <f t="shared" si="8"/>
        <v>0.45819534304637666</v>
      </c>
      <c r="O34" s="24">
        <f t="shared" si="9"/>
        <v>-0.10722725851799414</v>
      </c>
      <c r="P34">
        <f t="shared" si="10"/>
        <v>0.44441022104074862</v>
      </c>
      <c r="Q34">
        <f t="shared" si="11"/>
        <v>-6.794144559383633E-2</v>
      </c>
      <c r="R34">
        <f t="shared" si="12"/>
        <v>0.48221950214116205</v>
      </c>
      <c r="S34">
        <f t="shared" si="13"/>
        <v>-1.0762016242943484</v>
      </c>
      <c r="T34">
        <f t="shared" si="14"/>
        <v>3.4326255783109305E-4</v>
      </c>
      <c r="U34">
        <f t="shared" si="17"/>
        <v>-0.9009509519494745</v>
      </c>
      <c r="V34">
        <f t="shared" si="15"/>
        <v>1.1107809362383937E-2</v>
      </c>
      <c r="W34" s="33">
        <f t="shared" si="18"/>
        <v>-0.65760693177857998</v>
      </c>
      <c r="X34">
        <f t="shared" si="16"/>
        <v>7.6986159994110015E-2</v>
      </c>
      <c r="AQ34" s="3"/>
      <c r="AR34" s="3"/>
      <c r="AS34" s="3"/>
      <c r="AT34" s="3"/>
      <c r="AU34" s="3"/>
      <c r="AV34" s="3"/>
    </row>
    <row r="35" spans="1:51" x14ac:dyDescent="0.35">
      <c r="A35" t="str">
        <f>Table1!A28</f>
        <v>Nordhaus 2008</v>
      </c>
      <c r="B35">
        <f>Table1!C28</f>
        <v>3</v>
      </c>
      <c r="C35">
        <f>Table1!E28</f>
        <v>-2.5</v>
      </c>
      <c r="D35">
        <v>0</v>
      </c>
      <c r="G35">
        <f t="shared" si="1"/>
        <v>-1.0430947911501116</v>
      </c>
      <c r="H35">
        <f t="shared" si="2"/>
        <v>0</v>
      </c>
      <c r="I35">
        <f t="shared" si="3"/>
        <v>-1.4804607041557705</v>
      </c>
      <c r="J35">
        <f t="shared" si="4"/>
        <v>0</v>
      </c>
      <c r="K35">
        <f t="shared" si="5"/>
        <v>-0.57944256845352371</v>
      </c>
      <c r="L35">
        <f t="shared" si="6"/>
        <v>0</v>
      </c>
      <c r="M35">
        <f t="shared" si="7"/>
        <v>-9.27170292474888E-2</v>
      </c>
      <c r="N35">
        <f t="shared" si="8"/>
        <v>0</v>
      </c>
      <c r="O35" s="24">
        <f t="shared" si="9"/>
        <v>-0.10722725851799414</v>
      </c>
      <c r="P35">
        <f t="shared" si="10"/>
        <v>0</v>
      </c>
      <c r="Q35">
        <f t="shared" si="11"/>
        <v>-6.794144559383633E-2</v>
      </c>
      <c r="R35">
        <f t="shared" si="12"/>
        <v>0</v>
      </c>
      <c r="S35">
        <f t="shared" si="13"/>
        <v>-1.0762016242943484</v>
      </c>
      <c r="T35">
        <f t="shared" si="14"/>
        <v>0</v>
      </c>
      <c r="U35">
        <f t="shared" si="17"/>
        <v>-0.9009509519494745</v>
      </c>
      <c r="V35">
        <f t="shared" si="15"/>
        <v>0</v>
      </c>
      <c r="W35" s="33">
        <f t="shared" si="18"/>
        <v>-0.65760693177857998</v>
      </c>
      <c r="X35">
        <f t="shared" si="16"/>
        <v>0</v>
      </c>
    </row>
    <row r="36" spans="1:51" x14ac:dyDescent="0.35">
      <c r="A36" t="str">
        <f>Table1!A29</f>
        <v>Maddison and Rehdanz 2011</v>
      </c>
      <c r="B36">
        <f>Table1!C29</f>
        <v>3.2</v>
      </c>
      <c r="C36">
        <f>Table1!E29</f>
        <v>-5.1135252093739076</v>
      </c>
      <c r="D36">
        <v>1</v>
      </c>
      <c r="G36">
        <f t="shared" si="1"/>
        <v>-1.1161641085645644</v>
      </c>
      <c r="H36">
        <f t="shared" si="2"/>
        <v>15.978895770263685</v>
      </c>
      <c r="I36">
        <f t="shared" si="3"/>
        <v>-1.4832197679322816</v>
      </c>
      <c r="J36">
        <f t="shared" si="4"/>
        <v>13.179117598160682</v>
      </c>
      <c r="K36">
        <f t="shared" si="5"/>
        <v>-0.65927687788489819</v>
      </c>
      <c r="L36">
        <f t="shared" si="6"/>
        <v>19.840328198572625</v>
      </c>
      <c r="M36">
        <f t="shared" si="7"/>
        <v>-0.11004626533470221</v>
      </c>
      <c r="N36">
        <f t="shared" si="8"/>
        <v>25.034801543443681</v>
      </c>
      <c r="O36" s="24">
        <f t="shared" si="9"/>
        <v>-0.12930326408012316</v>
      </c>
      <c r="P36">
        <f t="shared" si="10"/>
        <v>24.842468399948157</v>
      </c>
      <c r="Q36">
        <f t="shared" si="11"/>
        <v>-8.3772027295168083E-2</v>
      </c>
      <c r="R36">
        <f t="shared" si="12"/>
        <v>25.298417072631203</v>
      </c>
      <c r="S36">
        <f t="shared" si="13"/>
        <v>-1.147948399247305</v>
      </c>
      <c r="T36">
        <f t="shared" si="14"/>
        <v>15.725799437013881</v>
      </c>
      <c r="U36">
        <f t="shared" si="17"/>
        <v>-0.97494441855459468</v>
      </c>
      <c r="V36">
        <f t="shared" si="15"/>
        <v>17.127850962138613</v>
      </c>
      <c r="W36" s="33">
        <f t="shared" si="18"/>
        <v>-0.69916509099555058</v>
      </c>
      <c r="X36">
        <f t="shared" si="16"/>
        <v>19.486575254729384</v>
      </c>
    </row>
    <row r="37" spans="1:51" ht="15" thickBot="1" x14ac:dyDescent="0.4">
      <c r="A37" t="str">
        <f>Table1!A30</f>
        <v>Bosello et al.  2012</v>
      </c>
      <c r="B37">
        <f>Table1!C30</f>
        <v>1.92</v>
      </c>
      <c r="C37">
        <f>Table1!E30</f>
        <v>-0.5</v>
      </c>
      <c r="D37">
        <v>0</v>
      </c>
      <c r="G37">
        <f t="shared" si="1"/>
        <v>-0.65614455280166861</v>
      </c>
      <c r="H37">
        <f t="shared" si="2"/>
        <v>0</v>
      </c>
      <c r="I37">
        <f t="shared" si="3"/>
        <v>-1.4655617597626103</v>
      </c>
      <c r="J37">
        <f t="shared" si="4"/>
        <v>0</v>
      </c>
      <c r="K37">
        <f t="shared" si="5"/>
        <v>-0.23733967603856329</v>
      </c>
      <c r="L37">
        <f t="shared" si="6"/>
        <v>0</v>
      </c>
      <c r="M37">
        <f t="shared" si="7"/>
        <v>-3.4133577115545682E-2</v>
      </c>
      <c r="N37">
        <f t="shared" si="8"/>
        <v>0</v>
      </c>
      <c r="O37" s="24">
        <f t="shared" si="9"/>
        <v>-3.6492267610540134E-2</v>
      </c>
      <c r="P37">
        <f t="shared" si="10"/>
        <v>0</v>
      </c>
      <c r="Q37">
        <f t="shared" si="11"/>
        <v>-2.07216770865278E-2</v>
      </c>
      <c r="R37">
        <f t="shared" si="12"/>
        <v>0</v>
      </c>
      <c r="S37">
        <f t="shared" si="13"/>
        <v>-0.68876903954838298</v>
      </c>
      <c r="T37">
        <f t="shared" si="14"/>
        <v>0</v>
      </c>
      <c r="U37">
        <f t="shared" si="17"/>
        <v>-0.54162263834357838</v>
      </c>
      <c r="V37">
        <f t="shared" si="15"/>
        <v>0</v>
      </c>
      <c r="W37" s="33">
        <f t="shared" si="18"/>
        <v>-0.464668129439198</v>
      </c>
      <c r="X37">
        <f t="shared" si="16"/>
        <v>0</v>
      </c>
      <c r="AQ37" s="2"/>
      <c r="AR37" s="2"/>
      <c r="AS37" s="2"/>
      <c r="AT37" s="2"/>
      <c r="AU37" s="2"/>
      <c r="AV37" s="2"/>
    </row>
    <row r="38" spans="1:51" ht="15" thickBot="1" x14ac:dyDescent="0.4">
      <c r="A38" t="str">
        <f>Table1!A31</f>
        <v>Roson and van der Mensbrugghe 2012</v>
      </c>
      <c r="B38">
        <f>Table1!C31</f>
        <v>2.9099999999999997</v>
      </c>
      <c r="C38">
        <f>Table1!E31</f>
        <v>-1.8</v>
      </c>
      <c r="D38">
        <v>0</v>
      </c>
      <c r="G38">
        <f t="shared" si="1"/>
        <v>-1.0103575424509765</v>
      </c>
      <c r="H38">
        <f t="shared" si="2"/>
        <v>0</v>
      </c>
      <c r="I38">
        <f t="shared" si="3"/>
        <v>-1.4792191254563405</v>
      </c>
      <c r="J38">
        <f t="shared" si="4"/>
        <v>0</v>
      </c>
      <c r="K38">
        <f t="shared" si="5"/>
        <v>-0.54519751265792027</v>
      </c>
      <c r="L38">
        <f t="shared" si="6"/>
        <v>0</v>
      </c>
      <c r="M38">
        <f t="shared" si="7"/>
        <v>-8.5840254762098722E-2</v>
      </c>
      <c r="N38">
        <f t="shared" si="8"/>
        <v>0</v>
      </c>
      <c r="O38" s="24">
        <f t="shared" si="9"/>
        <v>-9.8538303427944784E-2</v>
      </c>
      <c r="P38">
        <f t="shared" si="10"/>
        <v>0</v>
      </c>
      <c r="Q38">
        <f t="shared" si="11"/>
        <v>-6.1787414746059262E-2</v>
      </c>
      <c r="R38">
        <f t="shared" si="12"/>
        <v>0</v>
      </c>
      <c r="S38">
        <f t="shared" si="13"/>
        <v>-1.0439155755655178</v>
      </c>
      <c r="T38">
        <f t="shared" si="14"/>
        <v>0</v>
      </c>
      <c r="U38">
        <f t="shared" si="17"/>
        <v>-0.86852292066770675</v>
      </c>
      <c r="V38">
        <f t="shared" si="15"/>
        <v>0</v>
      </c>
      <c r="W38" s="33">
        <f t="shared" si="18"/>
        <v>-0.63962613074474761</v>
      </c>
      <c r="X38">
        <f t="shared" si="16"/>
        <v>0</v>
      </c>
    </row>
    <row r="39" spans="1:51" x14ac:dyDescent="0.35">
      <c r="A39">
        <f>Table1!A32</f>
        <v>0</v>
      </c>
      <c r="B39">
        <f>Table1!C32</f>
        <v>5.4</v>
      </c>
      <c r="C39">
        <f>Table1!E32</f>
        <v>-4.5999999999999996</v>
      </c>
      <c r="D39">
        <v>0</v>
      </c>
      <c r="G39">
        <f t="shared" si="1"/>
        <v>-1.9490463336602182</v>
      </c>
      <c r="H39">
        <f t="shared" si="2"/>
        <v>0</v>
      </c>
      <c r="I39">
        <f t="shared" si="3"/>
        <v>-1.5135694694739039</v>
      </c>
      <c r="J39">
        <f t="shared" si="4"/>
        <v>0</v>
      </c>
      <c r="K39">
        <f t="shared" si="5"/>
        <v>-1.8773939217894169</v>
      </c>
      <c r="L39">
        <f t="shared" si="6"/>
        <v>0</v>
      </c>
      <c r="M39">
        <f t="shared" si="7"/>
        <v>-0.90989817990767019</v>
      </c>
      <c r="N39">
        <f t="shared" si="8"/>
        <v>0</v>
      </c>
      <c r="O39" s="24">
        <f t="shared" si="9"/>
        <v>-1.0179639204167423</v>
      </c>
      <c r="P39">
        <f t="shared" si="10"/>
        <v>0</v>
      </c>
      <c r="Q39">
        <f t="shared" si="11"/>
        <v>-0.78461143615383011</v>
      </c>
      <c r="R39">
        <f t="shared" si="12"/>
        <v>0</v>
      </c>
      <c r="S39">
        <f t="shared" si="13"/>
        <v>-1.9371629237298273</v>
      </c>
      <c r="T39">
        <f t="shared" si="14"/>
        <v>0</v>
      </c>
      <c r="U39">
        <f t="shared" si="17"/>
        <v>-2.0305896680246671</v>
      </c>
      <c r="V39">
        <f t="shared" si="15"/>
        <v>0</v>
      </c>
      <c r="W39" s="33">
        <f t="shared" si="18"/>
        <v>-1.4642793796496849</v>
      </c>
      <c r="X39">
        <f t="shared" si="16"/>
        <v>0</v>
      </c>
      <c r="AQ39" s="3"/>
      <c r="AR39" s="3"/>
      <c r="AS39" s="3"/>
      <c r="AT39" s="3"/>
      <c r="AU39" s="3"/>
      <c r="AV39" s="3"/>
      <c r="AW39" s="3"/>
      <c r="AX39" s="3"/>
      <c r="AY39" s="3"/>
    </row>
    <row r="40" spans="1:51" x14ac:dyDescent="0.35">
      <c r="A40" t="str">
        <f>Table1!A33</f>
        <v>Nordhaus 2013</v>
      </c>
      <c r="B40">
        <f>Table1!C33</f>
        <v>2.9</v>
      </c>
      <c r="C40">
        <f>Table1!E33</f>
        <v>-2</v>
      </c>
      <c r="D40">
        <v>0</v>
      </c>
      <c r="G40">
        <f t="shared" si="1"/>
        <v>-1.0067255854743435</v>
      </c>
      <c r="H40">
        <f t="shared" si="2"/>
        <v>0</v>
      </c>
      <c r="I40">
        <f t="shared" si="3"/>
        <v>-1.4790811722675148</v>
      </c>
      <c r="J40">
        <f t="shared" si="4"/>
        <v>0</v>
      </c>
      <c r="K40">
        <f t="shared" si="5"/>
        <v>-0.54145688896601496</v>
      </c>
      <c r="L40">
        <f t="shared" si="6"/>
        <v>0</v>
      </c>
      <c r="M40">
        <f t="shared" si="7"/>
        <v>-8.5107361139955165E-2</v>
      </c>
      <c r="N40">
        <f t="shared" si="8"/>
        <v>0</v>
      </c>
      <c r="O40" s="24">
        <f t="shared" si="9"/>
        <v>-9.7615715405225206E-2</v>
      </c>
      <c r="P40">
        <f t="shared" si="10"/>
        <v>0</v>
      </c>
      <c r="Q40">
        <f t="shared" si="11"/>
        <v>-6.1137198703643626E-2</v>
      </c>
      <c r="R40">
        <f t="shared" si="12"/>
        <v>0</v>
      </c>
      <c r="S40">
        <f t="shared" si="13"/>
        <v>-1.0403282368178701</v>
      </c>
      <c r="T40">
        <f t="shared" si="14"/>
        <v>0</v>
      </c>
      <c r="U40">
        <f t="shared" si="17"/>
        <v>-0.86495177888771879</v>
      </c>
      <c r="V40">
        <f t="shared" si="15"/>
        <v>0</v>
      </c>
      <c r="W40" s="33">
        <f t="shared" si="18"/>
        <v>-0.63765401517672271</v>
      </c>
      <c r="X40">
        <f t="shared" si="16"/>
        <v>0</v>
      </c>
    </row>
    <row r="41" spans="1:51" ht="15" thickBot="1" x14ac:dyDescent="0.4">
      <c r="A41" t="str">
        <f>Table1!A34</f>
        <v>Sartori and Roson 2016</v>
      </c>
      <c r="B41">
        <f>Table1!C34</f>
        <v>3</v>
      </c>
      <c r="C41">
        <f>Table1!E34</f>
        <v>-0.71756668095998166</v>
      </c>
      <c r="D41">
        <v>0</v>
      </c>
      <c r="G41">
        <f t="shared" si="1"/>
        <v>-1.0430947911501116</v>
      </c>
      <c r="H41">
        <f t="shared" si="2"/>
        <v>0</v>
      </c>
      <c r="I41">
        <f t="shared" si="3"/>
        <v>-1.4804607041557705</v>
      </c>
      <c r="J41">
        <f t="shared" si="4"/>
        <v>0</v>
      </c>
      <c r="K41">
        <f t="shared" si="5"/>
        <v>-0.57944256845352371</v>
      </c>
      <c r="L41">
        <f t="shared" si="6"/>
        <v>0</v>
      </c>
      <c r="M41">
        <f t="shared" si="7"/>
        <v>-9.27170292474888E-2</v>
      </c>
      <c r="N41">
        <f t="shared" si="8"/>
        <v>0</v>
      </c>
      <c r="O41" s="24">
        <f t="shared" si="9"/>
        <v>-0.10722725851799414</v>
      </c>
      <c r="P41">
        <f t="shared" si="10"/>
        <v>0</v>
      </c>
      <c r="Q41">
        <f t="shared" si="11"/>
        <v>-6.794144559383633E-2</v>
      </c>
      <c r="R41">
        <f t="shared" si="12"/>
        <v>0</v>
      </c>
      <c r="S41">
        <f t="shared" si="13"/>
        <v>-1.0762016242943484</v>
      </c>
      <c r="T41">
        <f t="shared" si="14"/>
        <v>0</v>
      </c>
      <c r="U41">
        <f t="shared" si="17"/>
        <v>-0.9009509519494745</v>
      </c>
      <c r="V41">
        <f t="shared" si="15"/>
        <v>0</v>
      </c>
      <c r="W41" s="33">
        <f t="shared" si="18"/>
        <v>-0.65760693177857998</v>
      </c>
      <c r="X41">
        <f t="shared" si="16"/>
        <v>0</v>
      </c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35">
      <c r="A42" t="str">
        <f>Table1!A35</f>
        <v>Kompas et al. 2018</v>
      </c>
      <c r="B42">
        <f>Table1!C35</f>
        <v>1</v>
      </c>
      <c r="C42">
        <f>Table1!E35</f>
        <v>-0.4658664448796927</v>
      </c>
      <c r="D42">
        <v>0</v>
      </c>
      <c r="G42">
        <f t="shared" si="1"/>
        <v>-0.33666806161947899</v>
      </c>
      <c r="H42">
        <f t="shared" si="2"/>
        <v>0</v>
      </c>
      <c r="I42">
        <f t="shared" si="3"/>
        <v>-1.4528700663906591</v>
      </c>
      <c r="J42">
        <f t="shared" si="4"/>
        <v>0</v>
      </c>
      <c r="K42">
        <f t="shared" si="5"/>
        <v>-6.4382507605947076E-2</v>
      </c>
      <c r="L42">
        <f t="shared" si="6"/>
        <v>0</v>
      </c>
      <c r="M42">
        <f t="shared" si="7"/>
        <v>-9.1387212661383985E-3</v>
      </c>
      <c r="N42">
        <f t="shared" si="8"/>
        <v>0</v>
      </c>
      <c r="O42" s="24">
        <f t="shared" si="9"/>
        <v>-9.5228446589801837E-3</v>
      </c>
      <c r="P42">
        <f t="shared" si="10"/>
        <v>0</v>
      </c>
      <c r="Q42">
        <f t="shared" si="11"/>
        <v>-6.1168072888373032E-3</v>
      </c>
      <c r="R42">
        <f t="shared" si="12"/>
        <v>0</v>
      </c>
      <c r="S42">
        <f t="shared" si="13"/>
        <v>-0.3587338747647828</v>
      </c>
      <c r="T42">
        <f t="shared" si="14"/>
        <v>0</v>
      </c>
      <c r="U42">
        <f t="shared" si="17"/>
        <v>-0.27314513724220274</v>
      </c>
      <c r="V42">
        <f t="shared" si="15"/>
        <v>0</v>
      </c>
      <c r="W42" s="33">
        <f t="shared" si="18"/>
        <v>-0.32968960311518641</v>
      </c>
      <c r="X42">
        <f t="shared" si="16"/>
        <v>0</v>
      </c>
    </row>
    <row r="43" spans="1:51" x14ac:dyDescent="0.35">
      <c r="A43">
        <f>Table1!A36</f>
        <v>0</v>
      </c>
      <c r="B43">
        <f>Table1!C36</f>
        <v>2</v>
      </c>
      <c r="C43">
        <f>Table1!E36</f>
        <v>-1.0740738140966928</v>
      </c>
      <c r="D43">
        <v>0</v>
      </c>
      <c r="G43">
        <f t="shared" si="1"/>
        <v>-0.68436632533618291</v>
      </c>
      <c r="H43">
        <f t="shared" si="2"/>
        <v>0</v>
      </c>
      <c r="I43">
        <f t="shared" si="3"/>
        <v>-1.4666653852732148</v>
      </c>
      <c r="J43">
        <f t="shared" si="4"/>
        <v>0</v>
      </c>
      <c r="K43">
        <f t="shared" si="5"/>
        <v>-0.2575300304237883</v>
      </c>
      <c r="L43">
        <f t="shared" si="6"/>
        <v>0</v>
      </c>
      <c r="M43">
        <f t="shared" si="7"/>
        <v>-3.7150889974415006E-2</v>
      </c>
      <c r="N43">
        <f t="shared" si="8"/>
        <v>0</v>
      </c>
      <c r="O43" s="24">
        <f t="shared" si="9"/>
        <v>-3.9884850018185113E-2</v>
      </c>
      <c r="P43">
        <f t="shared" si="10"/>
        <v>0</v>
      </c>
      <c r="Q43">
        <f t="shared" si="11"/>
        <v>-2.2744013390269584E-2</v>
      </c>
      <c r="R43">
        <f t="shared" si="12"/>
        <v>0</v>
      </c>
      <c r="S43">
        <f t="shared" si="13"/>
        <v>-0.7174677495295656</v>
      </c>
      <c r="T43">
        <f t="shared" si="14"/>
        <v>0</v>
      </c>
      <c r="U43">
        <f t="shared" si="17"/>
        <v>-0.56630260234065166</v>
      </c>
      <c r="V43">
        <f t="shared" si="15"/>
        <v>0</v>
      </c>
      <c r="W43" s="33">
        <f t="shared" si="18"/>
        <v>-0.47750979363957108</v>
      </c>
      <c r="X43">
        <f t="shared" si="16"/>
        <v>0</v>
      </c>
    </row>
    <row r="44" spans="1:51" x14ac:dyDescent="0.35">
      <c r="A44">
        <f>Table1!A37</f>
        <v>0</v>
      </c>
      <c r="B44">
        <f>Table1!C37</f>
        <v>3</v>
      </c>
      <c r="C44">
        <f>Table1!E37</f>
        <v>-1.8369485050307706</v>
      </c>
      <c r="D44">
        <v>0</v>
      </c>
      <c r="G44">
        <f t="shared" si="1"/>
        <v>-1.0430947911501116</v>
      </c>
      <c r="H44">
        <f t="shared" si="2"/>
        <v>0</v>
      </c>
      <c r="I44">
        <f t="shared" si="3"/>
        <v>-1.4804607041557705</v>
      </c>
      <c r="J44">
        <f t="shared" si="4"/>
        <v>0</v>
      </c>
      <c r="K44">
        <f t="shared" si="5"/>
        <v>-0.57944256845352371</v>
      </c>
      <c r="L44">
        <f t="shared" si="6"/>
        <v>0</v>
      </c>
      <c r="M44">
        <f t="shared" si="7"/>
        <v>-9.27170292474888E-2</v>
      </c>
      <c r="N44">
        <f t="shared" si="8"/>
        <v>0</v>
      </c>
      <c r="O44" s="24">
        <f t="shared" si="9"/>
        <v>-0.10722725851799414</v>
      </c>
      <c r="P44">
        <f t="shared" si="10"/>
        <v>0</v>
      </c>
      <c r="Q44">
        <f t="shared" si="11"/>
        <v>-6.794144559383633E-2</v>
      </c>
      <c r="R44">
        <f t="shared" si="12"/>
        <v>0</v>
      </c>
      <c r="S44">
        <f t="shared" si="13"/>
        <v>-1.0762016242943484</v>
      </c>
      <c r="T44">
        <f t="shared" si="14"/>
        <v>0</v>
      </c>
      <c r="U44">
        <f t="shared" si="17"/>
        <v>-0.9009509519494745</v>
      </c>
      <c r="V44">
        <f t="shared" si="15"/>
        <v>0</v>
      </c>
      <c r="W44" s="33">
        <f t="shared" si="18"/>
        <v>-0.65760693177857998</v>
      </c>
      <c r="X44">
        <f t="shared" si="16"/>
        <v>0</v>
      </c>
    </row>
    <row r="45" spans="1:51" x14ac:dyDescent="0.35">
      <c r="A45">
        <f>Table1!A38</f>
        <v>0</v>
      </c>
      <c r="B45">
        <f>Table1!C38</f>
        <v>4</v>
      </c>
      <c r="C45">
        <f>Table1!E38</f>
        <v>-2.7931051587285425</v>
      </c>
      <c r="D45">
        <v>0</v>
      </c>
      <c r="G45">
        <f t="shared" si="1"/>
        <v>-1.4128534590612651</v>
      </c>
      <c r="H45">
        <f t="shared" si="2"/>
        <v>0</v>
      </c>
      <c r="I45">
        <f t="shared" si="3"/>
        <v>-1.4942560230383259</v>
      </c>
      <c r="J45">
        <f t="shared" si="4"/>
        <v>0</v>
      </c>
      <c r="K45">
        <f t="shared" si="5"/>
        <v>-1.0301201216951532</v>
      </c>
      <c r="L45">
        <f t="shared" si="6"/>
        <v>0</v>
      </c>
      <c r="M45">
        <f t="shared" si="7"/>
        <v>-0.22489218835992092</v>
      </c>
      <c r="N45">
        <f t="shared" si="8"/>
        <v>0</v>
      </c>
      <c r="O45" s="24">
        <f t="shared" si="9"/>
        <v>-0.27432156853766027</v>
      </c>
      <c r="P45">
        <f t="shared" si="10"/>
        <v>0</v>
      </c>
      <c r="Q45">
        <f t="shared" si="11"/>
        <v>-0.19080080424580143</v>
      </c>
      <c r="R45">
        <f t="shared" si="12"/>
        <v>0</v>
      </c>
      <c r="S45">
        <f t="shared" si="13"/>
        <v>-1.4349354990591312</v>
      </c>
      <c r="T45">
        <f t="shared" si="14"/>
        <v>0</v>
      </c>
      <c r="U45">
        <f t="shared" si="17"/>
        <v>-1.3016086254468726</v>
      </c>
      <c r="V45">
        <f t="shared" si="15"/>
        <v>0</v>
      </c>
      <c r="W45" s="33">
        <f t="shared" si="18"/>
        <v>-0.89466297358895597</v>
      </c>
      <c r="X45">
        <f t="shared" si="16"/>
        <v>0</v>
      </c>
    </row>
    <row r="46" spans="1:51" x14ac:dyDescent="0.35">
      <c r="A46" t="str">
        <f>Table1!A39</f>
        <v>Dellink et al. 2019</v>
      </c>
      <c r="B46">
        <f>Table1!C39</f>
        <v>2.5</v>
      </c>
      <c r="C46">
        <f>Table1!E39</f>
        <v>-2</v>
      </c>
      <c r="D46">
        <v>0</v>
      </c>
      <c r="G46">
        <f t="shared" si="1"/>
        <v>-0.86235178298099413</v>
      </c>
      <c r="H46">
        <f t="shared" si="2"/>
        <v>0</v>
      </c>
      <c r="I46">
        <f t="shared" si="3"/>
        <v>-1.4735630447144925</v>
      </c>
      <c r="J46">
        <f t="shared" si="4"/>
        <v>0</v>
      </c>
      <c r="K46">
        <f t="shared" si="5"/>
        <v>-0.4023906725371692</v>
      </c>
      <c r="L46">
        <f t="shared" si="6"/>
        <v>0</v>
      </c>
      <c r="M46">
        <f t="shared" si="7"/>
        <v>-6.0020616762598469E-2</v>
      </c>
      <c r="N46">
        <f t="shared" si="8"/>
        <v>0</v>
      </c>
      <c r="O46" s="24">
        <f t="shared" si="9"/>
        <v>-6.6628612919400906E-2</v>
      </c>
      <c r="P46">
        <f t="shared" si="10"/>
        <v>0</v>
      </c>
      <c r="Q46">
        <f t="shared" si="11"/>
        <v>-3.9807882172363009E-2</v>
      </c>
      <c r="R46">
        <f t="shared" si="12"/>
        <v>0</v>
      </c>
      <c r="S46">
        <f t="shared" si="13"/>
        <v>-0.896834686911957</v>
      </c>
      <c r="T46">
        <f t="shared" si="14"/>
        <v>0</v>
      </c>
      <c r="U46">
        <f t="shared" si="17"/>
        <v>-0.72699892602523386</v>
      </c>
      <c r="V46">
        <f t="shared" si="15"/>
        <v>0</v>
      </c>
      <c r="W46" s="33">
        <f t="shared" si="18"/>
        <v>-0.5625700389661088</v>
      </c>
      <c r="X46">
        <f t="shared" si="16"/>
        <v>0</v>
      </c>
    </row>
    <row r="47" spans="1:51" x14ac:dyDescent="0.35">
      <c r="A47" t="str">
        <f>Table1!A40</f>
        <v>Takakura</v>
      </c>
      <c r="B47">
        <f>Table1!C40</f>
        <v>2</v>
      </c>
      <c r="C47">
        <f>Table1!E40</f>
        <v>-1.0517705037403</v>
      </c>
      <c r="D47">
        <v>0</v>
      </c>
      <c r="G47">
        <f t="shared" si="1"/>
        <v>-0.68436632533618291</v>
      </c>
      <c r="H47">
        <f t="shared" si="2"/>
        <v>0</v>
      </c>
      <c r="I47">
        <f t="shared" si="3"/>
        <v>-1.4666653852732148</v>
      </c>
      <c r="J47">
        <f t="shared" si="4"/>
        <v>0</v>
      </c>
      <c r="K47">
        <f t="shared" si="5"/>
        <v>-0.2575300304237883</v>
      </c>
      <c r="L47">
        <f t="shared" si="6"/>
        <v>0</v>
      </c>
      <c r="M47">
        <f t="shared" si="7"/>
        <v>-3.7150889974415006E-2</v>
      </c>
      <c r="N47">
        <f t="shared" si="8"/>
        <v>0</v>
      </c>
      <c r="O47" s="24">
        <f t="shared" si="9"/>
        <v>-3.9884850018185113E-2</v>
      </c>
      <c r="P47">
        <f t="shared" si="10"/>
        <v>0</v>
      </c>
      <c r="Q47">
        <f t="shared" si="11"/>
        <v>-2.2744013390269584E-2</v>
      </c>
      <c r="R47">
        <f t="shared" si="12"/>
        <v>0</v>
      </c>
      <c r="S47">
        <f t="shared" si="13"/>
        <v>-0.7174677495295656</v>
      </c>
      <c r="T47">
        <f t="shared" si="14"/>
        <v>0</v>
      </c>
      <c r="U47">
        <f t="shared" si="17"/>
        <v>-0.56630260234065166</v>
      </c>
      <c r="V47">
        <f t="shared" si="15"/>
        <v>0</v>
      </c>
      <c r="W47" s="33">
        <f t="shared" si="18"/>
        <v>-0.47750979363957108</v>
      </c>
      <c r="X47">
        <f t="shared" si="16"/>
        <v>0</v>
      </c>
    </row>
    <row r="48" spans="1:51" x14ac:dyDescent="0.35">
      <c r="A48">
        <f>Table1!A41</f>
        <v>0</v>
      </c>
      <c r="B48">
        <f>Table1!C41</f>
        <v>4</v>
      </c>
      <c r="C48">
        <f>Table1!E41</f>
        <v>-4.6911160007283899</v>
      </c>
      <c r="D48">
        <v>0</v>
      </c>
      <c r="G48">
        <f t="shared" si="1"/>
        <v>-1.4128534590612651</v>
      </c>
      <c r="H48">
        <f t="shared" si="2"/>
        <v>0</v>
      </c>
      <c r="I48">
        <f t="shared" si="3"/>
        <v>-1.4942560230383259</v>
      </c>
      <c r="J48">
        <f t="shared" si="4"/>
        <v>0</v>
      </c>
      <c r="K48">
        <f t="shared" si="5"/>
        <v>-1.0301201216951532</v>
      </c>
      <c r="L48">
        <f t="shared" si="6"/>
        <v>0</v>
      </c>
      <c r="M48">
        <f t="shared" si="7"/>
        <v>-0.22489218835992092</v>
      </c>
      <c r="N48">
        <f t="shared" si="8"/>
        <v>0</v>
      </c>
      <c r="O48" s="24">
        <f t="shared" si="9"/>
        <v>-0.27432156853766027</v>
      </c>
      <c r="P48">
        <f t="shared" si="10"/>
        <v>0</v>
      </c>
      <c r="Q48">
        <f t="shared" si="11"/>
        <v>-0.19080080424580143</v>
      </c>
      <c r="R48">
        <f t="shared" si="12"/>
        <v>0</v>
      </c>
      <c r="S48">
        <f t="shared" si="13"/>
        <v>-1.4349354990591312</v>
      </c>
      <c r="T48">
        <f t="shared" si="14"/>
        <v>0</v>
      </c>
      <c r="U48">
        <f t="shared" si="17"/>
        <v>-1.3016086254468726</v>
      </c>
      <c r="V48">
        <f t="shared" si="15"/>
        <v>0</v>
      </c>
      <c r="W48" s="33">
        <f t="shared" si="18"/>
        <v>-0.89466297358895597</v>
      </c>
      <c r="X48">
        <f t="shared" si="16"/>
        <v>0</v>
      </c>
    </row>
    <row r="49" spans="1:24" x14ac:dyDescent="0.35">
      <c r="A49">
        <f>Table1!A42</f>
        <v>0</v>
      </c>
      <c r="B49">
        <f>Table1!C42</f>
        <v>6</v>
      </c>
      <c r="C49">
        <f>Table1!E42</f>
        <v>-9.49637530496768</v>
      </c>
      <c r="D49">
        <v>0</v>
      </c>
      <c r="G49">
        <f t="shared" si="1"/>
        <v>-2.1854614011752473</v>
      </c>
      <c r="H49">
        <f t="shared" si="2"/>
        <v>0</v>
      </c>
      <c r="I49">
        <f t="shared" si="3"/>
        <v>-1.5218466608034373</v>
      </c>
      <c r="J49">
        <f t="shared" si="4"/>
        <v>0</v>
      </c>
      <c r="K49">
        <f t="shared" si="5"/>
        <v>-2.3177702738140948</v>
      </c>
      <c r="L49">
        <f t="shared" si="6"/>
        <v>0</v>
      </c>
      <c r="M49">
        <f t="shared" si="7"/>
        <v>-1.6743308548568658</v>
      </c>
      <c r="N49">
        <f t="shared" si="8"/>
        <v>0</v>
      </c>
      <c r="O49" s="24">
        <f t="shared" si="9"/>
        <v>-1.736349671742704</v>
      </c>
      <c r="P49">
        <f t="shared" si="10"/>
        <v>0</v>
      </c>
      <c r="Q49">
        <f t="shared" si="11"/>
        <v>-1.4325818596835818</v>
      </c>
      <c r="R49">
        <f t="shared" si="12"/>
        <v>0</v>
      </c>
      <c r="S49">
        <f t="shared" si="13"/>
        <v>-2.1524032485886968</v>
      </c>
      <c r="T49">
        <f t="shared" si="14"/>
        <v>0</v>
      </c>
      <c r="U49">
        <f t="shared" si="17"/>
        <v>-2.4253576987691465</v>
      </c>
      <c r="V49">
        <f t="shared" si="15"/>
        <v>0</v>
      </c>
      <c r="W49" s="33">
        <f t="shared" si="18"/>
        <v>-1.8975832107393087</v>
      </c>
      <c r="X49">
        <f t="shared" si="16"/>
        <v>0</v>
      </c>
    </row>
    <row r="50" spans="1:24" x14ac:dyDescent="0.35">
      <c r="A50" t="str">
        <f>Table1!A43</f>
        <v>Howard &amp; Sylvan 2020</v>
      </c>
      <c r="B50">
        <f>Table1!C43</f>
        <v>3</v>
      </c>
      <c r="C50">
        <f>Table1!E43</f>
        <v>-9.1999999999999993</v>
      </c>
      <c r="D50">
        <v>0</v>
      </c>
      <c r="G50">
        <f t="shared" si="1"/>
        <v>-1.0430947911501116</v>
      </c>
      <c r="H50">
        <f t="shared" si="2"/>
        <v>0</v>
      </c>
      <c r="I50">
        <f t="shared" si="3"/>
        <v>-1.4804607041557705</v>
      </c>
      <c r="J50">
        <f t="shared" si="4"/>
        <v>0</v>
      </c>
      <c r="K50">
        <f t="shared" si="5"/>
        <v>-0.57944256845352371</v>
      </c>
      <c r="L50">
        <f t="shared" si="6"/>
        <v>0</v>
      </c>
      <c r="M50">
        <f t="shared" si="7"/>
        <v>-9.27170292474888E-2</v>
      </c>
      <c r="N50">
        <f t="shared" si="8"/>
        <v>0</v>
      </c>
      <c r="O50" s="24">
        <f t="shared" si="9"/>
        <v>-0.10722725851799414</v>
      </c>
      <c r="P50">
        <f t="shared" si="10"/>
        <v>0</v>
      </c>
      <c r="Q50">
        <f t="shared" si="11"/>
        <v>-6.794144559383633E-2</v>
      </c>
      <c r="R50">
        <f t="shared" si="12"/>
        <v>0</v>
      </c>
      <c r="S50">
        <f t="shared" si="13"/>
        <v>-1.0762016242943484</v>
      </c>
      <c r="T50">
        <f t="shared" si="14"/>
        <v>0</v>
      </c>
      <c r="U50">
        <f t="shared" si="17"/>
        <v>-0.9009509519494745</v>
      </c>
      <c r="V50">
        <f t="shared" si="15"/>
        <v>0</v>
      </c>
      <c r="W50" s="33">
        <f t="shared" si="18"/>
        <v>-0.65760693177857998</v>
      </c>
      <c r="X50">
        <f t="shared" si="16"/>
        <v>0</v>
      </c>
    </row>
    <row r="51" spans="1:24" x14ac:dyDescent="0.35">
      <c r="A51" t="str">
        <f>Table1!A44</f>
        <v>Howard &amp; Sylvan 2021</v>
      </c>
      <c r="B51">
        <f>Table1!C44</f>
        <v>1.2</v>
      </c>
      <c r="C51">
        <f>Table1!E44</f>
        <v>-2.2000000000000002</v>
      </c>
      <c r="D51">
        <v>0</v>
      </c>
      <c r="G51">
        <f t="shared" si="1"/>
        <v>-0.40532529819504182</v>
      </c>
      <c r="H51">
        <f t="shared" si="2"/>
        <v>0</v>
      </c>
      <c r="I51">
        <f t="shared" si="3"/>
        <v>-1.4556291301671702</v>
      </c>
      <c r="J51">
        <f t="shared" si="4"/>
        <v>0</v>
      </c>
      <c r="K51">
        <f t="shared" si="5"/>
        <v>-9.2710810952563782E-2</v>
      </c>
      <c r="L51">
        <f t="shared" si="6"/>
        <v>0</v>
      </c>
      <c r="M51">
        <f t="shared" si="7"/>
        <v>-1.3170059802912847E-2</v>
      </c>
      <c r="N51">
        <f t="shared" si="8"/>
        <v>0</v>
      </c>
      <c r="O51" s="24">
        <f t="shared" si="9"/>
        <v>-1.3759107609955442E-2</v>
      </c>
      <c r="P51">
        <f t="shared" si="10"/>
        <v>0</v>
      </c>
      <c r="Q51">
        <f t="shared" si="11"/>
        <v>-8.259243547187373E-3</v>
      </c>
      <c r="R51">
        <f t="shared" si="12"/>
        <v>0</v>
      </c>
      <c r="S51">
        <f t="shared" si="13"/>
        <v>-0.43048064971773936</v>
      </c>
      <c r="T51">
        <f t="shared" si="14"/>
        <v>0</v>
      </c>
      <c r="U51">
        <f t="shared" si="17"/>
        <v>-0.3295189485702032</v>
      </c>
      <c r="V51">
        <f t="shared" si="15"/>
        <v>0</v>
      </c>
      <c r="W51" s="33">
        <f t="shared" si="18"/>
        <v>-0.35719142059574011</v>
      </c>
      <c r="X51">
        <f t="shared" si="16"/>
        <v>0</v>
      </c>
    </row>
    <row r="52" spans="1:24" x14ac:dyDescent="0.35">
      <c r="A52">
        <f>Table1!A45</f>
        <v>0</v>
      </c>
      <c r="B52">
        <f>Table1!C45</f>
        <v>3</v>
      </c>
      <c r="C52">
        <f>Table1!E45</f>
        <v>-8.5</v>
      </c>
      <c r="D52">
        <v>0</v>
      </c>
      <c r="G52">
        <f t="shared" si="1"/>
        <v>-1.0430947911501116</v>
      </c>
      <c r="H52">
        <f t="shared" si="2"/>
        <v>0</v>
      </c>
      <c r="I52">
        <f t="shared" si="3"/>
        <v>-1.4804607041557705</v>
      </c>
      <c r="J52">
        <f t="shared" si="4"/>
        <v>0</v>
      </c>
      <c r="K52">
        <f t="shared" si="5"/>
        <v>-0.57944256845352371</v>
      </c>
      <c r="L52">
        <f t="shared" si="6"/>
        <v>0</v>
      </c>
      <c r="M52">
        <f t="shared" si="7"/>
        <v>-9.27170292474888E-2</v>
      </c>
      <c r="N52">
        <f t="shared" si="8"/>
        <v>0</v>
      </c>
      <c r="O52" s="24">
        <f t="shared" si="9"/>
        <v>-0.10722725851799414</v>
      </c>
      <c r="P52">
        <f t="shared" si="10"/>
        <v>0</v>
      </c>
      <c r="Q52">
        <f t="shared" si="11"/>
        <v>-6.794144559383633E-2</v>
      </c>
      <c r="R52">
        <f t="shared" si="12"/>
        <v>0</v>
      </c>
      <c r="S52">
        <f t="shared" si="13"/>
        <v>-1.0762016242943484</v>
      </c>
      <c r="T52">
        <f t="shared" si="14"/>
        <v>0</v>
      </c>
      <c r="U52">
        <f t="shared" si="17"/>
        <v>-0.9009509519494745</v>
      </c>
      <c r="V52">
        <f t="shared" si="15"/>
        <v>0</v>
      </c>
      <c r="W52" s="33">
        <f t="shared" si="18"/>
        <v>-0.65760693177857998</v>
      </c>
      <c r="X52">
        <f t="shared" si="16"/>
        <v>0</v>
      </c>
    </row>
    <row r="53" spans="1:24" x14ac:dyDescent="0.35">
      <c r="A53">
        <f>Table1!A46</f>
        <v>0</v>
      </c>
      <c r="B53">
        <f>Table1!C46</f>
        <v>5</v>
      </c>
      <c r="C53">
        <f>Table1!E46</f>
        <v>-16.100000000000001</v>
      </c>
      <c r="D53">
        <v>0</v>
      </c>
      <c r="G53">
        <f t="shared" si="1"/>
        <v>-1.7936423290696437</v>
      </c>
      <c r="H53">
        <f t="shared" si="2"/>
        <v>0</v>
      </c>
      <c r="I53">
        <f t="shared" si="3"/>
        <v>-1.5080513419208816</v>
      </c>
      <c r="J53">
        <f t="shared" si="4"/>
        <v>0</v>
      </c>
      <c r="K53">
        <f t="shared" si="5"/>
        <v>-1.6095626901486768</v>
      </c>
      <c r="L53">
        <f t="shared" si="6"/>
        <v>0</v>
      </c>
      <c r="M53">
        <f t="shared" si="7"/>
        <v>-0.60385499504197915</v>
      </c>
      <c r="N53">
        <f t="shared" si="8"/>
        <v>0</v>
      </c>
      <c r="O53" s="24">
        <f t="shared" si="9"/>
        <v>-0.7043736758632414</v>
      </c>
      <c r="P53">
        <f t="shared" si="10"/>
        <v>0</v>
      </c>
      <c r="Q53">
        <f t="shared" si="11"/>
        <v>-0.52476716632557086</v>
      </c>
      <c r="R53">
        <f t="shared" si="12"/>
        <v>0</v>
      </c>
      <c r="S53">
        <f t="shared" si="13"/>
        <v>-1.793669373823914</v>
      </c>
      <c r="T53">
        <f t="shared" si="14"/>
        <v>0</v>
      </c>
      <c r="U53">
        <f t="shared" si="17"/>
        <v>-1.7976303197573633</v>
      </c>
      <c r="V53">
        <f t="shared" si="15"/>
        <v>0</v>
      </c>
      <c r="W53" s="33">
        <f t="shared" si="18"/>
        <v>-1.2549913434755184</v>
      </c>
      <c r="X53">
        <f t="shared" si="16"/>
        <v>0</v>
      </c>
    </row>
    <row r="54" spans="1:24" x14ac:dyDescent="0.35">
      <c r="A54">
        <f>Table1!A47</f>
        <v>0</v>
      </c>
      <c r="B54">
        <f>Table1!C47</f>
        <v>7</v>
      </c>
      <c r="C54">
        <f>Table1!E47</f>
        <v>-25</v>
      </c>
      <c r="D54">
        <v>0</v>
      </c>
      <c r="G54">
        <f t="shared" si="1"/>
        <v>-2.5883106753780751</v>
      </c>
      <c r="H54">
        <f t="shared" si="2"/>
        <v>0</v>
      </c>
      <c r="I54">
        <f t="shared" si="3"/>
        <v>-1.5356419796859928</v>
      </c>
      <c r="J54">
        <f t="shared" si="4"/>
        <v>0</v>
      </c>
      <c r="K54">
        <f t="shared" si="5"/>
        <v>-3.1547428726914069</v>
      </c>
      <c r="L54">
        <f t="shared" si="6"/>
        <v>0</v>
      </c>
      <c r="M54">
        <f t="shared" si="7"/>
        <v>-4.4059140133425121</v>
      </c>
      <c r="N54">
        <f t="shared" si="8"/>
        <v>0</v>
      </c>
      <c r="O54" s="24">
        <f t="shared" si="9"/>
        <v>-3.9818232975281984</v>
      </c>
      <c r="P54">
        <f t="shared" si="10"/>
        <v>0</v>
      </c>
      <c r="Q54">
        <f t="shared" si="11"/>
        <v>-3.9002780442467828</v>
      </c>
      <c r="R54">
        <f t="shared" si="12"/>
        <v>0</v>
      </c>
      <c r="S54">
        <f t="shared" si="13"/>
        <v>-2.5111371233534796</v>
      </c>
      <c r="T54">
        <f t="shared" si="14"/>
        <v>0</v>
      </c>
      <c r="U54">
        <f t="shared" si="17"/>
        <v>-3.2307820118229964</v>
      </c>
      <c r="V54">
        <f t="shared" si="15"/>
        <v>0</v>
      </c>
      <c r="W54" s="33">
        <f t="shared" si="18"/>
        <v>-3.1765386997843477</v>
      </c>
      <c r="X54">
        <f t="shared" si="16"/>
        <v>0</v>
      </c>
    </row>
    <row r="55" spans="1:24" x14ac:dyDescent="0.35">
      <c r="A55" t="str">
        <f>Table1!A48</f>
        <v>Conte et al. 2021</v>
      </c>
      <c r="B55">
        <f>Table1!C48</f>
        <v>3.7</v>
      </c>
      <c r="C55">
        <f>Table1!E48</f>
        <v>-3.7</v>
      </c>
      <c r="D55">
        <v>1</v>
      </c>
      <c r="G55">
        <f t="shared" si="1"/>
        <v>-1.3007676874677105</v>
      </c>
      <c r="H55">
        <f t="shared" si="2"/>
        <v>5.7563156894990373</v>
      </c>
      <c r="I55">
        <f t="shared" si="3"/>
        <v>-1.4901174273735593</v>
      </c>
      <c r="J55">
        <f t="shared" si="4"/>
        <v>4.8835809847980567</v>
      </c>
      <c r="K55">
        <f t="shared" si="5"/>
        <v>-0.88139652912541555</v>
      </c>
      <c r="L55">
        <f t="shared" si="6"/>
        <v>7.9445255260262551</v>
      </c>
      <c r="M55">
        <f t="shared" si="7"/>
        <v>-0.17067221655397374</v>
      </c>
      <c r="N55">
        <f t="shared" si="8"/>
        <v>12.456154603004043</v>
      </c>
      <c r="O55" s="24">
        <f t="shared" si="9"/>
        <v>-0.20665114781540933</v>
      </c>
      <c r="P55">
        <f t="shared" si="10"/>
        <v>12.2034862030594</v>
      </c>
      <c r="Q55">
        <f t="shared" si="11"/>
        <v>-0.14042606680595232</v>
      </c>
      <c r="R55">
        <f t="shared" si="12"/>
        <v>12.670566585874543</v>
      </c>
      <c r="S55">
        <f t="shared" si="13"/>
        <v>-1.3273153366296964</v>
      </c>
      <c r="T55">
        <f t="shared" si="14"/>
        <v>5.6296325117926527</v>
      </c>
      <c r="U55">
        <f t="shared" si="17"/>
        <v>-1.1728479950180195</v>
      </c>
      <c r="V55">
        <f t="shared" si="15"/>
        <v>6.3864972562844446</v>
      </c>
      <c r="W55" s="33">
        <f t="shared" si="18"/>
        <v>-0.81481996417651914</v>
      </c>
      <c r="X55">
        <f t="shared" si="16"/>
        <v>8.3242638391143835</v>
      </c>
    </row>
    <row r="56" spans="1:24" x14ac:dyDescent="0.35">
      <c r="A56" t="str">
        <f>Table1!A49</f>
        <v>Desmet and Rossi-Hansberg 2015</v>
      </c>
      <c r="B56">
        <f>Table1!C49</f>
        <v>4.6487373814138984</v>
      </c>
      <c r="C56">
        <f>Table1!E49</f>
        <v>5.1295273109904338</v>
      </c>
      <c r="D56">
        <v>1</v>
      </c>
      <c r="G56">
        <f t="shared" si="1"/>
        <v>-1.6586286677249777</v>
      </c>
      <c r="H56">
        <f t="shared" si="2"/>
        <v>46.079061591369786</v>
      </c>
      <c r="I56">
        <f t="shared" si="3"/>
        <v>-1.5032055620859648</v>
      </c>
      <c r="J56">
        <f t="shared" si="4"/>
        <v>43.993145365588298</v>
      </c>
      <c r="K56">
        <f t="shared" si="5"/>
        <v>-1.391354871226826</v>
      </c>
      <c r="L56">
        <f t="shared" si="6"/>
        <v>42.52190443435854</v>
      </c>
      <c r="M56">
        <f t="shared" si="7"/>
        <v>-0.42290469379589246</v>
      </c>
      <c r="N56">
        <f t="shared" si="8"/>
        <v>30.829501167775504</v>
      </c>
      <c r="O56" s="24">
        <f t="shared" si="9"/>
        <v>-0.50683462531425982</v>
      </c>
      <c r="P56">
        <f t="shared" si="10"/>
        <v>31.768575877024393</v>
      </c>
      <c r="Q56">
        <f t="shared" si="11"/>
        <v>-0.3682761255061181</v>
      </c>
      <c r="R56">
        <f t="shared" si="12"/>
        <v>30.225842626353298</v>
      </c>
      <c r="S56">
        <f t="shared" si="13"/>
        <v>-1.6676595735984978</v>
      </c>
      <c r="T56">
        <f t="shared" si="14"/>
        <v>46.201749544027791</v>
      </c>
      <c r="U56">
        <f t="shared" si="17"/>
        <v>-1.6104301290741103</v>
      </c>
      <c r="V56">
        <f t="shared" si="15"/>
        <v>45.427026293881404</v>
      </c>
      <c r="W56" s="33">
        <f t="shared" si="18"/>
        <v>-1.1072114996635565</v>
      </c>
      <c r="X56">
        <f t="shared" si="16"/>
        <v>38.89691099231775</v>
      </c>
    </row>
    <row r="57" spans="1:24" x14ac:dyDescent="0.35">
      <c r="A57">
        <f>Table1!A50</f>
        <v>0</v>
      </c>
      <c r="B57">
        <f>Table1!C50</f>
        <v>9.2982230505350998</v>
      </c>
      <c r="C57">
        <f>Table1!E50</f>
        <v>-4.8593007850505128</v>
      </c>
      <c r="D57">
        <v>0</v>
      </c>
      <c r="G57">
        <f t="shared" si="1"/>
        <v>-3.5559529173027222</v>
      </c>
      <c r="H57">
        <f t="shared" si="2"/>
        <v>0</v>
      </c>
      <c r="I57">
        <f t="shared" si="3"/>
        <v>-1.5673466995313643</v>
      </c>
      <c r="J57">
        <f t="shared" si="4"/>
        <v>0</v>
      </c>
      <c r="K57">
        <f t="shared" si="5"/>
        <v>-5.5663153631279387</v>
      </c>
      <c r="L57">
        <f t="shared" si="6"/>
        <v>0</v>
      </c>
      <c r="M57">
        <f t="shared" si="7"/>
        <v>-29.671730930346961</v>
      </c>
      <c r="N57">
        <f t="shared" si="8"/>
        <v>0</v>
      </c>
      <c r="O57" s="24">
        <f t="shared" si="9"/>
        <v>-20.137877771235072</v>
      </c>
      <c r="P57">
        <f t="shared" si="10"/>
        <v>0</v>
      </c>
      <c r="Q57">
        <f t="shared" si="11"/>
        <v>-38.864902790993028</v>
      </c>
      <c r="R57">
        <f t="shared" si="12"/>
        <v>0</v>
      </c>
      <c r="S57">
        <f t="shared" si="13"/>
        <v>-3.3355875833456752</v>
      </c>
      <c r="T57">
        <f t="shared" si="14"/>
        <v>0</v>
      </c>
      <c r="U57">
        <f t="shared" si="17"/>
        <v>-6.1068700541069507</v>
      </c>
      <c r="V57">
        <f t="shared" si="15"/>
        <v>0</v>
      </c>
      <c r="W57" s="33">
        <f t="shared" si="18"/>
        <v>-14.427308963388311</v>
      </c>
      <c r="X57">
        <f t="shared" si="16"/>
        <v>0</v>
      </c>
    </row>
    <row r="58" spans="1:24" x14ac:dyDescent="0.35">
      <c r="A58">
        <f>Table1!A51</f>
        <v>0</v>
      </c>
      <c r="B58">
        <f>Table1!C51</f>
        <v>13.606208917250999</v>
      </c>
      <c r="C58">
        <f>Table1!E51</f>
        <v>-24.061208104792932</v>
      </c>
      <c r="D58">
        <v>0</v>
      </c>
      <c r="G58">
        <f t="shared" si="1"/>
        <v>-5.526741071979834</v>
      </c>
      <c r="H58">
        <f t="shared" si="2"/>
        <v>0</v>
      </c>
      <c r="I58">
        <f t="shared" si="3"/>
        <v>-1.6267767383042528</v>
      </c>
      <c r="J58">
        <f t="shared" si="4"/>
        <v>0</v>
      </c>
      <c r="K58">
        <f t="shared" si="5"/>
        <v>-11.91906417079384</v>
      </c>
      <c r="L58">
        <f t="shared" si="6"/>
        <v>0</v>
      </c>
      <c r="M58">
        <f t="shared" si="7"/>
        <v>-416.63362242205756</v>
      </c>
      <c r="N58">
        <f t="shared" si="8"/>
        <v>0</v>
      </c>
      <c r="O58" s="24">
        <f t="shared" si="9"/>
        <v>-191.41316893899599</v>
      </c>
      <c r="P58">
        <f t="shared" si="10"/>
        <v>0</v>
      </c>
      <c r="Q58">
        <f t="shared" si="11"/>
        <v>-2887.5619998447155</v>
      </c>
      <c r="R58">
        <f t="shared" si="12"/>
        <v>0</v>
      </c>
      <c r="S58">
        <f t="shared" si="13"/>
        <v>-4.8810080457445908</v>
      </c>
      <c r="T58">
        <f t="shared" si="14"/>
        <v>0</v>
      </c>
      <c r="U58">
        <f t="shared" si="17"/>
        <v>-19.647465638043229</v>
      </c>
      <c r="V58">
        <f t="shared" si="15"/>
        <v>0</v>
      </c>
      <c r="W58" s="33">
        <f t="shared" si="18"/>
        <v>-498.99049541794443</v>
      </c>
      <c r="X58">
        <f t="shared" si="16"/>
        <v>0</v>
      </c>
    </row>
    <row r="59" spans="1:24" x14ac:dyDescent="0.35">
      <c r="A59">
        <f>Table1!A52</f>
        <v>0</v>
      </c>
      <c r="B59">
        <f>Table1!C52</f>
        <v>16.682700289727595</v>
      </c>
      <c r="C59">
        <f>Table1!E52</f>
        <v>-78.907648460775576</v>
      </c>
      <c r="D59">
        <v>0</v>
      </c>
      <c r="G59">
        <f t="shared" si="1"/>
        <v>-7.0594470909477565</v>
      </c>
      <c r="H59">
        <f t="shared" si="2"/>
        <v>0</v>
      </c>
      <c r="I59">
        <f t="shared" si="3"/>
        <v>-1.6692179178269988</v>
      </c>
      <c r="J59">
        <f t="shared" si="4"/>
        <v>0</v>
      </c>
      <c r="K59">
        <f t="shared" si="5"/>
        <v>-17.918455937096208</v>
      </c>
      <c r="L59">
        <f t="shared" si="6"/>
        <v>0</v>
      </c>
      <c r="M59">
        <f t="shared" si="7"/>
        <v>-1731.1344284638055</v>
      </c>
      <c r="N59">
        <f t="shared" si="8"/>
        <v>0</v>
      </c>
      <c r="O59" s="24">
        <f t="shared" si="9"/>
        <v>-647.02087102052349</v>
      </c>
      <c r="P59">
        <f t="shared" si="10"/>
        <v>0</v>
      </c>
      <c r="Q59">
        <f t="shared" si="11"/>
        <v>-62608.753203357293</v>
      </c>
      <c r="R59">
        <f t="shared" si="12"/>
        <v>0</v>
      </c>
      <c r="S59">
        <f t="shared" si="13"/>
        <v>-5.9846497164735446</v>
      </c>
      <c r="T59">
        <f t="shared" si="14"/>
        <v>0</v>
      </c>
      <c r="U59">
        <f t="shared" si="17"/>
        <v>-45.091232479726244</v>
      </c>
      <c r="V59">
        <f t="shared" si="15"/>
        <v>0</v>
      </c>
      <c r="W59" s="33">
        <f t="shared" si="18"/>
        <v>-9300.9339127791118</v>
      </c>
      <c r="X59">
        <f t="shared" si="16"/>
        <v>0</v>
      </c>
    </row>
    <row r="60" spans="1:24" x14ac:dyDescent="0.35">
      <c r="A60" t="str">
        <f>Table1!A53</f>
        <v>Cruz and Rossi-Hansberg 2021</v>
      </c>
      <c r="B60">
        <f>Table1!C53</f>
        <v>7.2</v>
      </c>
      <c r="C60">
        <f>Table1!E53</f>
        <v>-5</v>
      </c>
      <c r="D60">
        <v>1</v>
      </c>
      <c r="G60">
        <f t="shared" si="1"/>
        <v>-2.6702041544703081</v>
      </c>
      <c r="H60">
        <f t="shared" si="2"/>
        <v>5.4279486818474121</v>
      </c>
      <c r="I60">
        <f t="shared" si="3"/>
        <v>-1.5384010434625039</v>
      </c>
      <c r="J60">
        <f t="shared" si="4"/>
        <v>11.98266733590148</v>
      </c>
      <c r="K60">
        <f t="shared" si="5"/>
        <v>-3.3375891942922968</v>
      </c>
      <c r="L60">
        <f t="shared" si="6"/>
        <v>2.763609686933735</v>
      </c>
      <c r="M60">
        <f t="shared" si="7"/>
        <v>-5.2947074640899352</v>
      </c>
      <c r="N60">
        <f t="shared" si="8"/>
        <v>8.6852489390320448E-2</v>
      </c>
      <c r="O60" s="24">
        <f t="shared" si="9"/>
        <v>-4.6563779878841531</v>
      </c>
      <c r="P60">
        <f t="shared" si="10"/>
        <v>0.1180760872105432</v>
      </c>
      <c r="Q60">
        <f t="shared" si="11"/>
        <v>-4.7645985190880422</v>
      </c>
      <c r="R60">
        <f t="shared" si="12"/>
        <v>5.5413857215542824E-2</v>
      </c>
      <c r="S60">
        <f t="shared" si="13"/>
        <v>-2.5828838983064362</v>
      </c>
      <c r="T60">
        <f t="shared" si="14"/>
        <v>5.8424502490662906</v>
      </c>
      <c r="U60">
        <f t="shared" si="17"/>
        <v>-3.4181093954109194</v>
      </c>
      <c r="V60">
        <f t="shared" si="15"/>
        <v>2.5023778848872071</v>
      </c>
      <c r="W60" s="33">
        <f t="shared" si="18"/>
        <v>-3.5648487743511934</v>
      </c>
      <c r="X60">
        <f t="shared" si="16"/>
        <v>2.0596590404812716</v>
      </c>
    </row>
    <row r="61" spans="1:24" x14ac:dyDescent="0.35">
      <c r="A61" t="str">
        <f>Table1!A54</f>
        <v>Kalkuhl and Wenz 2020</v>
      </c>
      <c r="B61">
        <f>Table1!C54</f>
        <v>1</v>
      </c>
      <c r="C61">
        <f>Table1!E54</f>
        <v>-2.2999999999999998</v>
      </c>
      <c r="D61">
        <v>1</v>
      </c>
      <c r="G61">
        <f t="shared" si="1"/>
        <v>-0.33666806161947899</v>
      </c>
      <c r="H61">
        <f t="shared" si="2"/>
        <v>3.8546723002650132</v>
      </c>
      <c r="I61">
        <f t="shared" si="3"/>
        <v>-1.4528700663906591</v>
      </c>
      <c r="J61">
        <f t="shared" si="4"/>
        <v>0.71762912441696602</v>
      </c>
      <c r="K61">
        <f t="shared" si="5"/>
        <v>-6.4382507605947076E-2</v>
      </c>
      <c r="L61">
        <f t="shared" si="6"/>
        <v>4.9979855722982718</v>
      </c>
      <c r="M61">
        <f t="shared" si="7"/>
        <v>-9.1387212661383985E-3</v>
      </c>
      <c r="N61">
        <f t="shared" si="8"/>
        <v>5.2480453984021427</v>
      </c>
      <c r="O61" s="24">
        <f t="shared" si="9"/>
        <v>-9.5228446589801837E-3</v>
      </c>
      <c r="P61">
        <f t="shared" si="10"/>
        <v>5.2462855991390898</v>
      </c>
      <c r="Q61">
        <f t="shared" si="11"/>
        <v>-6.1168072888373032E-3</v>
      </c>
      <c r="R61">
        <f t="shared" si="12"/>
        <v>5.2619001018027571</v>
      </c>
      <c r="S61">
        <f t="shared" si="13"/>
        <v>-0.3587338747647828</v>
      </c>
      <c r="T61">
        <f t="shared" si="14"/>
        <v>3.7685141689857531</v>
      </c>
      <c r="U61">
        <f t="shared" si="17"/>
        <v>-0.27314513724220274</v>
      </c>
      <c r="V61">
        <f t="shared" si="15"/>
        <v>4.1081406346849274</v>
      </c>
      <c r="W61" s="33">
        <f t="shared" si="18"/>
        <v>-0.32968960311518641</v>
      </c>
      <c r="X61">
        <f t="shared" si="16"/>
        <v>3.8821230600723911</v>
      </c>
    </row>
    <row r="62" spans="1:24" x14ac:dyDescent="0.35">
      <c r="A62" t="str">
        <f>Table1!A55</f>
        <v>Newell, Prest and Sexton</v>
      </c>
      <c r="B62">
        <f>Table1!C55</f>
        <v>4.3</v>
      </c>
      <c r="C62">
        <f>Table1!E55</f>
        <v>5.63</v>
      </c>
      <c r="D62">
        <f>1/9</f>
        <v>0.1111111111111111</v>
      </c>
      <c r="G62">
        <f t="shared" si="1"/>
        <v>-1.5259319488435701</v>
      </c>
      <c r="H62">
        <f t="shared" si="2"/>
        <v>5.6897068951644583</v>
      </c>
      <c r="I62">
        <f t="shared" si="3"/>
        <v>-1.4983946187030928</v>
      </c>
      <c r="J62">
        <f t="shared" si="4"/>
        <v>5.6460010933283558</v>
      </c>
      <c r="K62">
        <f t="shared" si="5"/>
        <v>-1.1904325656339614</v>
      </c>
      <c r="L62">
        <f t="shared" si="6"/>
        <v>5.1687000424844731</v>
      </c>
      <c r="M62">
        <f t="shared" si="7"/>
        <v>-0.29953546064932535</v>
      </c>
      <c r="N62">
        <f t="shared" si="8"/>
        <v>3.9065989754553114</v>
      </c>
      <c r="O62" s="24">
        <f t="shared" si="9"/>
        <v>-0.36447777173499168</v>
      </c>
      <c r="P62">
        <f t="shared" si="10"/>
        <v>3.9926404173138783</v>
      </c>
      <c r="Q62">
        <f t="shared" si="11"/>
        <v>-0.25879958725831043</v>
      </c>
      <c r="R62">
        <f t="shared" si="12"/>
        <v>3.8531067309881828</v>
      </c>
      <c r="S62">
        <f t="shared" si="13"/>
        <v>-1.542555661488566</v>
      </c>
      <c r="T62">
        <f t="shared" si="14"/>
        <v>5.7161727463501864</v>
      </c>
      <c r="U62">
        <f t="shared" si="17"/>
        <v>-1.4389047818149372</v>
      </c>
      <c r="V62">
        <f t="shared" si="15"/>
        <v>5.5521572015962315</v>
      </c>
      <c r="W62" s="33">
        <f t="shared" si="18"/>
        <v>-0.98500905970355168</v>
      </c>
      <c r="X62">
        <f t="shared" si="16"/>
        <v>4.8620383177733402</v>
      </c>
    </row>
    <row r="63" spans="1:24" x14ac:dyDescent="0.35">
      <c r="A63">
        <f>Table1!A56</f>
        <v>0</v>
      </c>
      <c r="B63">
        <f>Table1!C56</f>
        <v>4.3</v>
      </c>
      <c r="C63">
        <f>Table1!E56</f>
        <v>3.61</v>
      </c>
      <c r="D63">
        <f t="shared" ref="D63:D70" si="20">1/9</f>
        <v>0.1111111111111111</v>
      </c>
      <c r="G63">
        <f t="shared" si="1"/>
        <v>-1.5259319488435701</v>
      </c>
      <c r="H63">
        <f t="shared" si="2"/>
        <v>2.9308663314613459</v>
      </c>
      <c r="I63">
        <f t="shared" si="3"/>
        <v>-1.4983946187030928</v>
      </c>
      <c r="J63">
        <f t="shared" si="4"/>
        <v>2.8995217311549686</v>
      </c>
      <c r="K63">
        <f t="shared" si="5"/>
        <v>-1.1904325656339614</v>
      </c>
      <c r="L63">
        <f t="shared" si="6"/>
        <v>2.5604614241332286</v>
      </c>
      <c r="M63">
        <f t="shared" si="7"/>
        <v>-0.29953546064932535</v>
      </c>
      <c r="N63">
        <f t="shared" si="8"/>
        <v>1.6982741686749478</v>
      </c>
      <c r="O63" s="24">
        <f t="shared" si="9"/>
        <v>-0.36447777173499168</v>
      </c>
      <c r="P63">
        <f t="shared" si="10"/>
        <v>1.7551637286683939</v>
      </c>
      <c r="Q63">
        <f t="shared" si="11"/>
        <v>-0.25879958725831043</v>
      </c>
      <c r="R63">
        <f t="shared" si="12"/>
        <v>1.6630678051522303</v>
      </c>
      <c r="S63">
        <f t="shared" si="13"/>
        <v>-1.542555661488566</v>
      </c>
      <c r="T63">
        <f t="shared" si="14"/>
        <v>2.9498699827486523</v>
      </c>
      <c r="U63">
        <f t="shared" si="17"/>
        <v>-1.4389047818149372</v>
      </c>
      <c r="V63">
        <f t="shared" si="15"/>
        <v>2.8323821662037476</v>
      </c>
      <c r="W63" s="33">
        <f t="shared" si="18"/>
        <v>-0.98500905970355168</v>
      </c>
      <c r="X63">
        <f t="shared" si="16"/>
        <v>2.3460120287508572</v>
      </c>
    </row>
    <row r="64" spans="1:24" x14ac:dyDescent="0.35">
      <c r="A64">
        <f>Table1!A57</f>
        <v>0</v>
      </c>
      <c r="B64">
        <f>Table1!C57</f>
        <v>4.3</v>
      </c>
      <c r="C64">
        <f>Table1!E57</f>
        <v>-1.71</v>
      </c>
      <c r="D64">
        <f t="shared" si="20"/>
        <v>0.1111111111111111</v>
      </c>
      <c r="G64">
        <f t="shared" si="1"/>
        <v>-1.5259319488435701</v>
      </c>
      <c r="H64">
        <f t="shared" si="2"/>
        <v>3.7645608285028984E-3</v>
      </c>
      <c r="I64">
        <f t="shared" si="3"/>
        <v>-1.4983946187030928</v>
      </c>
      <c r="J64">
        <f t="shared" si="4"/>
        <v>4.9752041548677206E-3</v>
      </c>
      <c r="K64">
        <f t="shared" si="5"/>
        <v>-1.1904325656339614</v>
      </c>
      <c r="L64">
        <f t="shared" si="6"/>
        <v>2.9994479872634199E-2</v>
      </c>
      <c r="M64">
        <f t="shared" si="7"/>
        <v>-0.29953546064932535</v>
      </c>
      <c r="N64">
        <f t="shared" si="8"/>
        <v>0.22104557964063448</v>
      </c>
      <c r="O64" s="24">
        <f t="shared" si="9"/>
        <v>-0.36447777173499168</v>
      </c>
      <c r="P64">
        <f t="shared" si="10"/>
        <v>0.20115889630613701</v>
      </c>
      <c r="Q64">
        <f t="shared" si="11"/>
        <v>-0.25879958725831043</v>
      </c>
      <c r="R64">
        <f t="shared" si="12"/>
        <v>0.23399807088240557</v>
      </c>
      <c r="S64">
        <f t="shared" si="13"/>
        <v>-1.542555661488566</v>
      </c>
      <c r="T64">
        <f t="shared" si="14"/>
        <v>3.1152896110590747E-3</v>
      </c>
      <c r="U64">
        <f t="shared" si="17"/>
        <v>-1.4389047818149372</v>
      </c>
      <c r="V64">
        <f t="shared" si="15"/>
        <v>8.1658463692007542E-3</v>
      </c>
      <c r="W64" s="33">
        <f t="shared" si="18"/>
        <v>-0.98500905970355168</v>
      </c>
      <c r="X64">
        <f t="shared" si="16"/>
        <v>5.8401318167992024E-2</v>
      </c>
    </row>
    <row r="65" spans="1:24" x14ac:dyDescent="0.35">
      <c r="A65">
        <f>Table1!A58</f>
        <v>0</v>
      </c>
      <c r="B65">
        <f>Table1!C58</f>
        <v>4.3</v>
      </c>
      <c r="C65">
        <f>Table1!E58</f>
        <v>-1.63</v>
      </c>
      <c r="D65">
        <f t="shared" si="20"/>
        <v>0.1111111111111111</v>
      </c>
      <c r="G65">
        <f t="shared" si="1"/>
        <v>-1.5259319488435701</v>
      </c>
      <c r="H65">
        <f t="shared" si="2"/>
        <v>1.2033510301663658E-3</v>
      </c>
      <c r="I65">
        <f t="shared" si="3"/>
        <v>-1.4983946187030928</v>
      </c>
      <c r="J65">
        <f t="shared" si="4"/>
        <v>1.924441820700479E-3</v>
      </c>
      <c r="K65">
        <f t="shared" si="5"/>
        <v>-1.1904325656339614</v>
      </c>
      <c r="L65">
        <f t="shared" si="6"/>
        <v>2.1468836595015729E-2</v>
      </c>
      <c r="M65">
        <f t="shared" si="7"/>
        <v>-0.29953546064932535</v>
      </c>
      <c r="N65">
        <f t="shared" si="8"/>
        <v>0.19668176560773357</v>
      </c>
      <c r="O65" s="24">
        <f t="shared" si="9"/>
        <v>-0.36447777173499168</v>
      </c>
      <c r="P65">
        <f t="shared" si="10"/>
        <v>0.17794961224809239</v>
      </c>
      <c r="Q65">
        <f t="shared" si="11"/>
        <v>-0.25879958725831043</v>
      </c>
      <c r="R65">
        <f t="shared" si="12"/>
        <v>0.20891006354477548</v>
      </c>
      <c r="S65">
        <f t="shared" si="13"/>
        <v>-1.542555661488566</v>
      </c>
      <c r="T65">
        <f t="shared" si="14"/>
        <v>8.4961248196691475E-4</v>
      </c>
      <c r="U65">
        <f t="shared" si="17"/>
        <v>-1.4389047818149372</v>
      </c>
      <c r="V65">
        <f t="shared" si="15"/>
        <v>4.0574869347996352E-3</v>
      </c>
      <c r="W65" s="33">
        <f t="shared" si="18"/>
        <v>-0.98500905970355168</v>
      </c>
      <c r="X65">
        <f t="shared" si="16"/>
        <v>4.6223701451610706E-2</v>
      </c>
    </row>
    <row r="66" spans="1:24" x14ac:dyDescent="0.35">
      <c r="A66">
        <f>Table1!A59</f>
        <v>0</v>
      </c>
      <c r="B66">
        <f>Table1!C59</f>
        <v>4.3</v>
      </c>
      <c r="C66">
        <f>Table1!E59</f>
        <v>-2.17</v>
      </c>
      <c r="D66">
        <f t="shared" si="20"/>
        <v>0.1111111111111111</v>
      </c>
      <c r="G66">
        <f t="shared" si="1"/>
        <v>-1.5259319488435701</v>
      </c>
      <c r="H66">
        <f t="shared" si="2"/>
        <v>4.6091517168937945E-2</v>
      </c>
      <c r="I66">
        <f t="shared" si="3"/>
        <v>-1.4983946187030928</v>
      </c>
      <c r="J66">
        <f t="shared" si="4"/>
        <v>5.0117087576329336E-2</v>
      </c>
      <c r="K66">
        <f t="shared" si="5"/>
        <v>-1.1904325656339614</v>
      </c>
      <c r="L66">
        <f t="shared" si="6"/>
        <v>0.10661692871894035</v>
      </c>
      <c r="M66">
        <f t="shared" si="7"/>
        <v>-0.29953546064932535</v>
      </c>
      <c r="N66">
        <f t="shared" si="8"/>
        <v>0.38873751032981452</v>
      </c>
      <c r="O66" s="24">
        <f t="shared" si="9"/>
        <v>-0.36447777173499168</v>
      </c>
      <c r="P66">
        <f t="shared" si="10"/>
        <v>0.36221227963989339</v>
      </c>
      <c r="Q66">
        <f t="shared" si="11"/>
        <v>-0.25879958725831043</v>
      </c>
      <c r="R66">
        <f t="shared" si="12"/>
        <v>0.40585411307377822</v>
      </c>
      <c r="S66">
        <f t="shared" si="13"/>
        <v>-1.542555661488566</v>
      </c>
      <c r="T66">
        <f t="shared" si="14"/>
        <v>4.3742933103338981E-2</v>
      </c>
      <c r="U66">
        <f t="shared" si="17"/>
        <v>-1.4389047818149372</v>
      </c>
      <c r="V66">
        <f t="shared" si="15"/>
        <v>5.9388913117007162E-2</v>
      </c>
      <c r="W66" s="33">
        <f t="shared" si="18"/>
        <v>-0.98500905970355168</v>
      </c>
      <c r="X66">
        <f t="shared" si="16"/>
        <v>0.1560226142871845</v>
      </c>
    </row>
    <row r="67" spans="1:24" x14ac:dyDescent="0.35">
      <c r="A67">
        <f>Table1!A60</f>
        <v>0</v>
      </c>
      <c r="B67">
        <f>Table1!C60</f>
        <v>4.3</v>
      </c>
      <c r="C67">
        <f>Table1!E60</f>
        <v>-0.64</v>
      </c>
      <c r="D67">
        <f t="shared" si="20"/>
        <v>0.1111111111111111</v>
      </c>
      <c r="G67">
        <f t="shared" si="1"/>
        <v>-1.5259319488435701</v>
      </c>
      <c r="H67">
        <f t="shared" si="2"/>
        <v>8.7208379775751785E-2</v>
      </c>
      <c r="I67">
        <f t="shared" si="3"/>
        <v>-1.4983946187030928</v>
      </c>
      <c r="J67">
        <f t="shared" si="4"/>
        <v>8.1871257935380873E-2</v>
      </c>
      <c r="K67">
        <f t="shared" si="5"/>
        <v>-1.1904325656339614</v>
      </c>
      <c r="L67">
        <f t="shared" si="6"/>
        <v>3.3664001034487245E-2</v>
      </c>
      <c r="M67">
        <f t="shared" si="7"/>
        <v>-0.29953546064932535</v>
      </c>
      <c r="N67">
        <f t="shared" si="8"/>
        <v>1.2879566950585232E-2</v>
      </c>
      <c r="O67" s="24">
        <f t="shared" si="9"/>
        <v>-0.36447777173499168</v>
      </c>
      <c r="P67">
        <f t="shared" si="10"/>
        <v>8.4347220297905957E-3</v>
      </c>
      <c r="Q67">
        <f t="shared" si="11"/>
        <v>-0.25879958725831043</v>
      </c>
      <c r="R67">
        <f t="shared" si="12"/>
        <v>1.6145972741603832E-2</v>
      </c>
      <c r="S67">
        <f t="shared" si="13"/>
        <v>-1.542555661488566</v>
      </c>
      <c r="T67">
        <f t="shared" si="14"/>
        <v>9.051185800945144E-2</v>
      </c>
      <c r="U67">
        <f t="shared" si="17"/>
        <v>-1.4389047818149372</v>
      </c>
      <c r="V67">
        <f t="shared" si="15"/>
        <v>7.091653893408581E-2</v>
      </c>
      <c r="W67" s="33">
        <f t="shared" si="18"/>
        <v>-0.98500905970355168</v>
      </c>
      <c r="X67">
        <f t="shared" si="16"/>
        <v>1.3225694586392098E-2</v>
      </c>
    </row>
    <row r="68" spans="1:24" x14ac:dyDescent="0.35">
      <c r="A68">
        <f>Table1!A61</f>
        <v>0</v>
      </c>
      <c r="B68">
        <f>Table1!C61</f>
        <v>4.3</v>
      </c>
      <c r="C68">
        <f>Table1!E61</f>
        <v>-1.82</v>
      </c>
      <c r="D68">
        <f t="shared" si="20"/>
        <v>0.1111111111111111</v>
      </c>
      <c r="G68">
        <f t="shared" si="1"/>
        <v>-1.5259319488435701</v>
      </c>
      <c r="H68">
        <f t="shared" si="2"/>
        <v>9.6084465234378569E-3</v>
      </c>
      <c r="I68">
        <f t="shared" si="3"/>
        <v>-1.4983946187030928</v>
      </c>
      <c r="J68">
        <f t="shared" si="4"/>
        <v>1.1492224586569903E-2</v>
      </c>
      <c r="K68">
        <f t="shared" si="5"/>
        <v>-1.1904325656339614</v>
      </c>
      <c r="L68">
        <f t="shared" si="6"/>
        <v>4.4039461601581821E-2</v>
      </c>
      <c r="M68">
        <f t="shared" si="7"/>
        <v>-0.29953546064932535</v>
      </c>
      <c r="N68">
        <f t="shared" si="8"/>
        <v>0.25686804615809555</v>
      </c>
      <c r="O68" s="24">
        <f t="shared" si="9"/>
        <v>-0.36447777173499168</v>
      </c>
      <c r="P68">
        <f t="shared" si="10"/>
        <v>0.23539388410817061</v>
      </c>
      <c r="Q68">
        <f t="shared" si="11"/>
        <v>-0.25879958725831043</v>
      </c>
      <c r="R68">
        <f t="shared" si="12"/>
        <v>0.27081630319386912</v>
      </c>
      <c r="S68">
        <f t="shared" si="13"/>
        <v>-1.542555661488566</v>
      </c>
      <c r="T68">
        <f t="shared" si="14"/>
        <v>8.5528178857830206E-3</v>
      </c>
      <c r="U68">
        <f t="shared" si="17"/>
        <v>-1.4389047818149372</v>
      </c>
      <c r="V68">
        <f t="shared" si="15"/>
        <v>1.6137062813724519E-2</v>
      </c>
      <c r="W68" s="33">
        <f t="shared" si="18"/>
        <v>-0.98500905970355168</v>
      </c>
      <c r="X68">
        <f t="shared" si="16"/>
        <v>7.7467763375238544E-2</v>
      </c>
    </row>
    <row r="69" spans="1:24" x14ac:dyDescent="0.35">
      <c r="A69">
        <f>Table1!A62</f>
        <v>0</v>
      </c>
      <c r="B69">
        <f>Table1!C62</f>
        <v>4.3</v>
      </c>
      <c r="C69">
        <f>Table1!E62</f>
        <v>-1.75</v>
      </c>
      <c r="D69">
        <f t="shared" si="20"/>
        <v>0.1111111111111111</v>
      </c>
      <c r="G69">
        <f t="shared" si="1"/>
        <v>-1.5259319488435701</v>
      </c>
      <c r="H69">
        <f t="shared" si="2"/>
        <v>5.578499061004499E-3</v>
      </c>
      <c r="I69">
        <f t="shared" si="3"/>
        <v>-1.4983946187030928</v>
      </c>
      <c r="J69">
        <f t="shared" si="4"/>
        <v>7.0339186552846747E-3</v>
      </c>
      <c r="K69">
        <f t="shared" si="5"/>
        <v>-1.1904325656339614</v>
      </c>
      <c r="L69">
        <f t="shared" si="6"/>
        <v>3.479063484477677E-2</v>
      </c>
      <c r="M69">
        <f t="shared" si="7"/>
        <v>-0.29953546064932535</v>
      </c>
      <c r="N69">
        <f t="shared" si="8"/>
        <v>0.23376081999041826</v>
      </c>
      <c r="O69" s="24">
        <f t="shared" si="9"/>
        <v>-0.36447777173499168</v>
      </c>
      <c r="P69">
        <f t="shared" si="10"/>
        <v>0.21329687166849265</v>
      </c>
      <c r="Q69">
        <f t="shared" si="11"/>
        <v>-0.25879958725831043</v>
      </c>
      <c r="R69">
        <f t="shared" si="12"/>
        <v>0.24707540788455393</v>
      </c>
      <c r="S69">
        <f t="shared" si="13"/>
        <v>-1.542555661488566</v>
      </c>
      <c r="T69">
        <f t="shared" si="14"/>
        <v>4.7814615089384893E-3</v>
      </c>
      <c r="U69">
        <f t="shared" si="17"/>
        <v>-1.4389047818149372</v>
      </c>
      <c r="V69">
        <f t="shared" si="15"/>
        <v>1.0753359419734647E-2</v>
      </c>
      <c r="W69" s="33">
        <f t="shared" si="18"/>
        <v>-0.98500905970355168</v>
      </c>
      <c r="X69">
        <f t="shared" si="16"/>
        <v>6.5023459859516006E-2</v>
      </c>
    </row>
    <row r="70" spans="1:24" x14ac:dyDescent="0.35">
      <c r="A70">
        <f>Table1!A63</f>
        <v>0</v>
      </c>
      <c r="B70">
        <f>Table1!C63</f>
        <v>4.3</v>
      </c>
      <c r="C70">
        <f>Table1!E63</f>
        <v>-2.16</v>
      </c>
      <c r="D70">
        <f t="shared" si="20"/>
        <v>0.1111111111111111</v>
      </c>
      <c r="G70">
        <f t="shared" si="1"/>
        <v>-1.5259319488435701</v>
      </c>
      <c r="H70">
        <f t="shared" si="2"/>
        <v>4.4671365944145905E-2</v>
      </c>
      <c r="I70">
        <f t="shared" si="3"/>
        <v>-1.4983946187030928</v>
      </c>
      <c r="J70">
        <f t="shared" si="4"/>
        <v>4.863574228455847E-2</v>
      </c>
      <c r="K70">
        <f t="shared" si="5"/>
        <v>-1.1904325656339614</v>
      </c>
      <c r="L70">
        <f t="shared" si="6"/>
        <v>0.10445122330923809</v>
      </c>
      <c r="M70">
        <f t="shared" si="7"/>
        <v>-0.29953546064932535</v>
      </c>
      <c r="N70">
        <f t="shared" si="8"/>
        <v>0.38459203357570199</v>
      </c>
      <c r="O70" s="24">
        <f t="shared" si="9"/>
        <v>-0.36447777173499168</v>
      </c>
      <c r="P70">
        <f t="shared" si="10"/>
        <v>0.35821111913263787</v>
      </c>
      <c r="Q70">
        <f t="shared" si="11"/>
        <v>-0.25879958725831043</v>
      </c>
      <c r="R70">
        <f t="shared" si="12"/>
        <v>0.40161811215657456</v>
      </c>
      <c r="S70">
        <f t="shared" si="13"/>
        <v>-1.542555661488566</v>
      </c>
      <c r="T70">
        <f t="shared" si="14"/>
        <v>4.2359723462202487E-2</v>
      </c>
      <c r="U70">
        <f t="shared" si="17"/>
        <v>-1.4389047818149372</v>
      </c>
      <c r="V70">
        <f t="shared" si="15"/>
        <v>5.7775368187707059E-2</v>
      </c>
      <c r="W70" s="33">
        <f t="shared" si="18"/>
        <v>-0.98500905970355168</v>
      </c>
      <c r="X70">
        <f t="shared" si="16"/>
        <v>0.15340041219763689</v>
      </c>
    </row>
    <row r="71" spans="1:24" x14ac:dyDescent="0.35">
      <c r="A71" t="str">
        <f>Table1!A64</f>
        <v>Schauer 1995</v>
      </c>
      <c r="B71">
        <f>Table1!C64</f>
        <v>2.5</v>
      </c>
      <c r="C71">
        <f>Table1!E64</f>
        <v>-5.22</v>
      </c>
      <c r="D71">
        <v>0</v>
      </c>
      <c r="G71">
        <f t="shared" si="1"/>
        <v>-0.86235178298099413</v>
      </c>
      <c r="H71">
        <f t="shared" si="2"/>
        <v>0</v>
      </c>
      <c r="I71">
        <f t="shared" si="3"/>
        <v>-1.4735630447144925</v>
      </c>
      <c r="J71">
        <f t="shared" si="4"/>
        <v>0</v>
      </c>
      <c r="K71">
        <f t="shared" si="5"/>
        <v>-0.4023906725371692</v>
      </c>
      <c r="L71">
        <f t="shared" si="6"/>
        <v>0</v>
      </c>
      <c r="M71">
        <f t="shared" si="7"/>
        <v>-6.0020616762598469E-2</v>
      </c>
      <c r="N71">
        <f t="shared" si="8"/>
        <v>0</v>
      </c>
      <c r="O71" s="24">
        <f t="shared" si="9"/>
        <v>-6.6628612919400906E-2</v>
      </c>
      <c r="P71">
        <f t="shared" si="10"/>
        <v>0</v>
      </c>
      <c r="Q71">
        <f t="shared" si="11"/>
        <v>-3.9807882172363009E-2</v>
      </c>
      <c r="R71">
        <f t="shared" si="12"/>
        <v>0</v>
      </c>
      <c r="S71">
        <f t="shared" si="13"/>
        <v>-0.896834686911957</v>
      </c>
      <c r="T71">
        <f t="shared" si="14"/>
        <v>0</v>
      </c>
      <c r="U71">
        <f t="shared" si="17"/>
        <v>-0.72699892602523386</v>
      </c>
      <c r="V71">
        <f t="shared" si="15"/>
        <v>0</v>
      </c>
      <c r="W71" s="33">
        <f t="shared" si="18"/>
        <v>-0.5625700389661088</v>
      </c>
      <c r="X71">
        <f t="shared" si="16"/>
        <v>0</v>
      </c>
    </row>
    <row r="72" spans="1:24" x14ac:dyDescent="0.35">
      <c r="A72" t="str">
        <f>Table1!A65</f>
        <v>Horowitz 2009</v>
      </c>
      <c r="B72">
        <f>Table1!C65</f>
        <v>1</v>
      </c>
      <c r="C72">
        <f>Table1!E65</f>
        <v>-3.8</v>
      </c>
      <c r="D72">
        <v>1</v>
      </c>
      <c r="G72">
        <f t="shared" si="1"/>
        <v>-0.33666806161947899</v>
      </c>
      <c r="H72">
        <f t="shared" si="2"/>
        <v>11.994668115406578</v>
      </c>
      <c r="I72">
        <f t="shared" si="3"/>
        <v>-1.4528700663906591</v>
      </c>
      <c r="J72">
        <f t="shared" si="4"/>
        <v>5.5090189252449884</v>
      </c>
      <c r="K72">
        <f t="shared" si="5"/>
        <v>-6.4382507605947076E-2</v>
      </c>
      <c r="L72">
        <f t="shared" si="6"/>
        <v>13.954838049480429</v>
      </c>
      <c r="M72">
        <f t="shared" si="7"/>
        <v>-9.1387212661383985E-3</v>
      </c>
      <c r="N72">
        <f t="shared" si="8"/>
        <v>14.370629234603726</v>
      </c>
      <c r="O72" s="24">
        <f t="shared" si="9"/>
        <v>-9.5228446589801837E-3</v>
      </c>
      <c r="P72">
        <f t="shared" si="10"/>
        <v>14.367717065162148</v>
      </c>
      <c r="Q72">
        <f t="shared" si="11"/>
        <v>-6.1168072888373032E-3</v>
      </c>
      <c r="R72">
        <f t="shared" si="12"/>
        <v>14.393549679936246</v>
      </c>
      <c r="S72">
        <f t="shared" si="13"/>
        <v>-0.3587338747647828</v>
      </c>
      <c r="T72">
        <f t="shared" si="14"/>
        <v>11.842312544691405</v>
      </c>
      <c r="U72">
        <f t="shared" si="17"/>
        <v>-0.27314513724220274</v>
      </c>
      <c r="V72">
        <f t="shared" si="15"/>
        <v>12.438705222958319</v>
      </c>
      <c r="W72" s="33">
        <f t="shared" si="18"/>
        <v>-0.32968960311518641</v>
      </c>
      <c r="X72">
        <f t="shared" si="16"/>
        <v>12.043054250726831</v>
      </c>
    </row>
    <row r="73" spans="1:24" x14ac:dyDescent="0.35">
      <c r="A73" t="str">
        <f>Table1!A66</f>
        <v>Eboli 2010</v>
      </c>
      <c r="B73">
        <f>Table1!C66</f>
        <v>3.03</v>
      </c>
      <c r="C73">
        <f>Table1!E66</f>
        <v>-1.35</v>
      </c>
      <c r="D73">
        <v>0</v>
      </c>
      <c r="G73">
        <f t="shared" si="1"/>
        <v>-1.0540270617469316</v>
      </c>
      <c r="H73">
        <f t="shared" si="2"/>
        <v>0</v>
      </c>
      <c r="I73">
        <f t="shared" si="3"/>
        <v>-1.4808745637222471</v>
      </c>
      <c r="J73">
        <f t="shared" si="4"/>
        <v>0</v>
      </c>
      <c r="K73">
        <f t="shared" si="5"/>
        <v>-0.59108936407943946</v>
      </c>
      <c r="L73">
        <f t="shared" si="6"/>
        <v>0</v>
      </c>
      <c r="M73">
        <f t="shared" si="7"/>
        <v>-9.5127626555712289E-2</v>
      </c>
      <c r="N73">
        <f t="shared" si="8"/>
        <v>0</v>
      </c>
      <c r="O73" s="24">
        <f t="shared" si="9"/>
        <v>-0.11028509954944228</v>
      </c>
      <c r="P73">
        <f t="shared" si="10"/>
        <v>0</v>
      </c>
      <c r="Q73">
        <f t="shared" si="11"/>
        <v>-7.011898390425951E-2</v>
      </c>
      <c r="R73">
        <f t="shared" si="12"/>
        <v>0</v>
      </c>
      <c r="S73">
        <f t="shared" si="13"/>
        <v>-1.0869636405372918</v>
      </c>
      <c r="T73">
        <f t="shared" si="14"/>
        <v>0</v>
      </c>
      <c r="U73">
        <f t="shared" si="17"/>
        <v>-0.91187744628965273</v>
      </c>
      <c r="V73">
        <f t="shared" si="15"/>
        <v>0</v>
      </c>
      <c r="W73" s="33">
        <f t="shared" si="18"/>
        <v>-0.66369599524754086</v>
      </c>
      <c r="X73">
        <f t="shared" si="16"/>
        <v>0</v>
      </c>
    </row>
    <row r="74" spans="1:24" x14ac:dyDescent="0.35">
      <c r="A74" t="str">
        <f>Table1!A67</f>
        <v>Ng and Zhao 2011</v>
      </c>
      <c r="B74">
        <f>Table1!C67</f>
        <v>1</v>
      </c>
      <c r="C74">
        <f>Table1!E67</f>
        <v>-1.35</v>
      </c>
      <c r="D74">
        <v>0.5</v>
      </c>
      <c r="G74">
        <f t="shared" ref="G74:G78" si="21">G$1*B74+G$2*B74^2</f>
        <v>-0.33666806161947899</v>
      </c>
      <c r="H74">
        <f t="shared" ref="H74:H78" si="22">$D74*(G74-$C74)^2</f>
        <v>0.51342080867101203</v>
      </c>
      <c r="I74">
        <f t="shared" ref="I74:I78" si="23">IF(B74&lt;=I$2,B74*I$1,I$1*I$2+I$3*(B74-I$2))</f>
        <v>-1.4528700663906591</v>
      </c>
      <c r="J74">
        <f t="shared" ref="J74:J78" si="24">$D74*(I74-$C74)^2</f>
        <v>5.2911252796092939E-3</v>
      </c>
      <c r="K74">
        <f t="shared" ref="K74:K78" si="25">K$1*B74^2</f>
        <v>-6.4382507605947076E-2</v>
      </c>
      <c r="L74">
        <f t="shared" ref="L74:L78" si="26">$D74*(K74-$C74)^2</f>
        <v>0.82640616837478653</v>
      </c>
      <c r="M74">
        <f t="shared" ref="M74:M78" si="27">M$1*B74^2+M$2*B74^7</f>
        <v>-9.1387212661383985E-3</v>
      </c>
      <c r="N74">
        <f t="shared" ref="N74:N78" si="28">$D74*(M74-$C74)^2</f>
        <v>0.89895448440390324</v>
      </c>
      <c r="O74" s="24">
        <f t="shared" ref="O74:O78" si="29">O$1*B74^2+O$2*B74^6</f>
        <v>-9.5228446589801837E-3</v>
      </c>
      <c r="P74">
        <f t="shared" ref="P74:P78" si="30">$D74*(O74-$C74)^2</f>
        <v>0.89843950199557654</v>
      </c>
      <c r="Q74">
        <f t="shared" ref="Q74:Q78" si="31">Q$2+Q$1*EXP(B74)</f>
        <v>-6.1168072888373032E-3</v>
      </c>
      <c r="R74">
        <f t="shared" ref="R74:R78" si="32">$D74*(Q74-$C74)^2</f>
        <v>0.90301101782577409</v>
      </c>
      <c r="S74">
        <f t="shared" ref="S74:S78" si="33">S$1*B74</f>
        <v>-0.3587338747647828</v>
      </c>
      <c r="T74">
        <f t="shared" ref="T74:T78" si="34">$D74*(S74-$C74)^2</f>
        <v>0.49130426551942075</v>
      </c>
      <c r="U74">
        <f t="shared" si="17"/>
        <v>-0.27314513724220274</v>
      </c>
      <c r="V74">
        <f t="shared" ref="V74:V78" si="35">$D74*(U74-$C74)^2</f>
        <v>0.57980819772255732</v>
      </c>
      <c r="W74" s="33">
        <f t="shared" si="18"/>
        <v>-0.32968960311518641</v>
      </c>
      <c r="X74">
        <f t="shared" ref="X74:X78" si="36">$D74*(W74-$C74)^2</f>
        <v>0.52051665299562311</v>
      </c>
    </row>
    <row r="75" spans="1:24" x14ac:dyDescent="0.35">
      <c r="A75">
        <f>Table1!A68</f>
        <v>0</v>
      </c>
      <c r="B75">
        <f>Table1!C68</f>
        <v>1</v>
      </c>
      <c r="C75">
        <f>Table1!E68</f>
        <v>-1.61</v>
      </c>
      <c r="D75">
        <v>0.5</v>
      </c>
      <c r="G75">
        <f t="shared" si="21"/>
        <v>-0.33666806161947899</v>
      </c>
      <c r="H75">
        <f t="shared" si="22"/>
        <v>0.81068711264994753</v>
      </c>
      <c r="I75">
        <f t="shared" si="23"/>
        <v>-1.4528700663906591</v>
      </c>
      <c r="J75">
        <f t="shared" si="24"/>
        <v>1.2344908018037958E-2</v>
      </c>
      <c r="K75">
        <f t="shared" si="25"/>
        <v>-6.4382507605947076E-2</v>
      </c>
      <c r="L75">
        <f t="shared" si="26"/>
        <v>1.1944667163972404</v>
      </c>
      <c r="M75">
        <f t="shared" si="27"/>
        <v>-9.1387212661383985E-3</v>
      </c>
      <c r="N75">
        <f t="shared" si="28"/>
        <v>1.2813784168747073</v>
      </c>
      <c r="O75" s="24">
        <f t="shared" si="29"/>
        <v>-9.5228446589801837E-3</v>
      </c>
      <c r="P75">
        <f t="shared" si="30"/>
        <v>1.2807635623842417</v>
      </c>
      <c r="Q75">
        <f t="shared" si="31"/>
        <v>-6.1168072888373032E-3</v>
      </c>
      <c r="R75">
        <f t="shared" si="32"/>
        <v>1.2862206479306764</v>
      </c>
      <c r="S75">
        <f t="shared" si="33"/>
        <v>-0.3587338747647828</v>
      </c>
      <c r="T75">
        <f t="shared" si="34"/>
        <v>0.78283345808057725</v>
      </c>
      <c r="U75">
        <f t="shared" ref="U75:U78" si="37">(1-EXP(-2*U$1*B75))/2/EXP(-U$1*B75)</f>
        <v>-0.27314513724220274</v>
      </c>
      <c r="V75">
        <f t="shared" si="35"/>
        <v>0.8935904620395847</v>
      </c>
      <c r="W75" s="33">
        <f t="shared" ref="W75:W78" si="38">G75*H$5+I75*J$5+K75*L$5+M75*N$5+O75*P$5+Q75*R$5+S75*T$5+U75*V$5</f>
        <v>-0.32968960311518641</v>
      </c>
      <c r="X75">
        <f t="shared" si="36"/>
        <v>0.81959735618567464</v>
      </c>
    </row>
    <row r="76" spans="1:24" ht="15" thickBot="1" x14ac:dyDescent="0.4">
      <c r="A76" t="str">
        <f>Table1!A69</f>
        <v>Hope 2011</v>
      </c>
      <c r="B76">
        <f>Table1!C69</f>
        <v>3</v>
      </c>
      <c r="C76">
        <f>Table1!E69</f>
        <v>-0.7</v>
      </c>
      <c r="D76">
        <v>0</v>
      </c>
      <c r="G76">
        <f t="shared" si="21"/>
        <v>-1.0430947911501116</v>
      </c>
      <c r="H76">
        <f t="shared" si="22"/>
        <v>0</v>
      </c>
      <c r="I76">
        <f t="shared" si="23"/>
        <v>-1.4804607041557705</v>
      </c>
      <c r="J76">
        <f t="shared" si="24"/>
        <v>0</v>
      </c>
      <c r="K76">
        <f t="shared" si="25"/>
        <v>-0.57944256845352371</v>
      </c>
      <c r="L76">
        <f t="shared" si="26"/>
        <v>0</v>
      </c>
      <c r="M76">
        <f t="shared" si="27"/>
        <v>-9.27170292474888E-2</v>
      </c>
      <c r="N76">
        <f t="shared" si="28"/>
        <v>0</v>
      </c>
      <c r="O76" s="24">
        <f t="shared" si="29"/>
        <v>-0.10722725851799414</v>
      </c>
      <c r="P76">
        <f t="shared" si="30"/>
        <v>0</v>
      </c>
      <c r="Q76">
        <f t="shared" si="31"/>
        <v>-6.794144559383633E-2</v>
      </c>
      <c r="R76">
        <f t="shared" si="32"/>
        <v>0</v>
      </c>
      <c r="S76">
        <f t="shared" si="33"/>
        <v>-1.0762016242943484</v>
      </c>
      <c r="T76">
        <f t="shared" si="34"/>
        <v>0</v>
      </c>
      <c r="U76">
        <f t="shared" si="37"/>
        <v>-0.9009509519494745</v>
      </c>
      <c r="V76">
        <f t="shared" si="35"/>
        <v>0</v>
      </c>
      <c r="W76" s="33">
        <f t="shared" si="38"/>
        <v>-0.65760693177857998</v>
      </c>
      <c r="X76">
        <f t="shared" si="36"/>
        <v>0</v>
      </c>
    </row>
    <row r="77" spans="1:24" x14ac:dyDescent="0.35">
      <c r="A77" t="str">
        <f>Table1!A70</f>
        <v>McCallum 2013</v>
      </c>
      <c r="B77">
        <f>Table1!C70</f>
        <v>2</v>
      </c>
      <c r="C77">
        <f>Table1!E70</f>
        <v>-0.7</v>
      </c>
      <c r="D77">
        <v>0</v>
      </c>
      <c r="E77" s="3"/>
      <c r="G77">
        <f t="shared" si="21"/>
        <v>-0.68436632533618291</v>
      </c>
      <c r="H77">
        <f t="shared" si="22"/>
        <v>0</v>
      </c>
      <c r="I77">
        <f t="shared" si="23"/>
        <v>-1.4666653852732148</v>
      </c>
      <c r="J77">
        <f t="shared" si="24"/>
        <v>0</v>
      </c>
      <c r="K77">
        <f t="shared" si="25"/>
        <v>-0.2575300304237883</v>
      </c>
      <c r="L77">
        <f t="shared" si="26"/>
        <v>0</v>
      </c>
      <c r="M77">
        <f t="shared" si="27"/>
        <v>-3.7150889974415006E-2</v>
      </c>
      <c r="N77">
        <f t="shared" si="28"/>
        <v>0</v>
      </c>
      <c r="O77" s="24">
        <f t="shared" si="29"/>
        <v>-3.9884850018185113E-2</v>
      </c>
      <c r="P77">
        <f t="shared" si="30"/>
        <v>0</v>
      </c>
      <c r="Q77">
        <f t="shared" si="31"/>
        <v>-2.2744013390269584E-2</v>
      </c>
      <c r="R77">
        <f t="shared" si="32"/>
        <v>0</v>
      </c>
      <c r="S77">
        <f t="shared" si="33"/>
        <v>-0.7174677495295656</v>
      </c>
      <c r="T77">
        <f t="shared" si="34"/>
        <v>0</v>
      </c>
      <c r="U77">
        <f t="shared" si="37"/>
        <v>-0.56630260234065166</v>
      </c>
      <c r="V77">
        <f t="shared" si="35"/>
        <v>0</v>
      </c>
      <c r="W77" s="33">
        <f t="shared" si="38"/>
        <v>-0.47750979363957108</v>
      </c>
      <c r="X77">
        <f t="shared" si="36"/>
        <v>0</v>
      </c>
    </row>
    <row r="78" spans="1:24" x14ac:dyDescent="0.35">
      <c r="A78">
        <f>Table1!A71</f>
        <v>0</v>
      </c>
      <c r="B78">
        <f>Table1!C71</f>
        <v>4</v>
      </c>
      <c r="C78">
        <f>Table1!E71</f>
        <v>-1.8</v>
      </c>
      <c r="D78">
        <v>0</v>
      </c>
      <c r="G78">
        <f t="shared" si="21"/>
        <v>-1.4128534590612651</v>
      </c>
      <c r="H78">
        <f t="shared" si="22"/>
        <v>0</v>
      </c>
      <c r="I78">
        <f t="shared" si="23"/>
        <v>-1.4942560230383259</v>
      </c>
      <c r="J78">
        <f t="shared" si="24"/>
        <v>0</v>
      </c>
      <c r="K78">
        <f t="shared" si="25"/>
        <v>-1.0301201216951532</v>
      </c>
      <c r="L78">
        <f t="shared" si="26"/>
        <v>0</v>
      </c>
      <c r="M78">
        <f t="shared" si="27"/>
        <v>-0.22489218835992092</v>
      </c>
      <c r="N78">
        <f t="shared" si="28"/>
        <v>0</v>
      </c>
      <c r="O78" s="24">
        <f t="shared" si="29"/>
        <v>-0.27432156853766027</v>
      </c>
      <c r="P78">
        <f t="shared" si="30"/>
        <v>0</v>
      </c>
      <c r="Q78">
        <f t="shared" si="31"/>
        <v>-0.19080080424580143</v>
      </c>
      <c r="R78">
        <f t="shared" si="32"/>
        <v>0</v>
      </c>
      <c r="S78">
        <f t="shared" si="33"/>
        <v>-1.4349354990591312</v>
      </c>
      <c r="T78">
        <f t="shared" si="34"/>
        <v>0</v>
      </c>
      <c r="U78">
        <f t="shared" si="37"/>
        <v>-1.3016086254468726</v>
      </c>
      <c r="V78">
        <f t="shared" si="35"/>
        <v>0</v>
      </c>
      <c r="W78" s="33">
        <f t="shared" si="38"/>
        <v>-0.89466297358895597</v>
      </c>
      <c r="X78">
        <f t="shared" si="36"/>
        <v>0</v>
      </c>
    </row>
    <row r="79" spans="1:24" x14ac:dyDescent="0.35">
      <c r="O79" s="24"/>
      <c r="W79" s="33"/>
    </row>
    <row r="80" spans="1:24" ht="15" thickBot="1" x14ac:dyDescent="0.4">
      <c r="E80" s="2"/>
      <c r="O80" s="24"/>
      <c r="W80" s="33"/>
    </row>
    <row r="81" spans="2:19" x14ac:dyDescent="0.35">
      <c r="B81">
        <v>-1.5</v>
      </c>
      <c r="J81" s="5"/>
      <c r="Q81">
        <f t="shared" ref="Q81" si="39">Q$2+Q$1*EXP(B81)</f>
        <v>2.7655318354518786E-3</v>
      </c>
      <c r="R81" s="5">
        <f>Q81-R$7</f>
        <v>-2.9887325963024636</v>
      </c>
      <c r="S81" s="5">
        <f>Q81+R$7</f>
        <v>2.9942636599733672</v>
      </c>
    </row>
    <row r="82" spans="2:19" x14ac:dyDescent="0.35">
      <c r="B82">
        <f>0.1+B81</f>
        <v>-1.4</v>
      </c>
      <c r="J82" s="5"/>
      <c r="Q82">
        <f t="shared" ref="Q82:Q145" si="40">Q$2+Q$1*EXP(B82)</f>
        <v>2.6819937835965866E-3</v>
      </c>
      <c r="R82" s="5">
        <f t="shared" ref="R82:R145" si="41">Q82-R$7</f>
        <v>-2.9888161343543187</v>
      </c>
      <c r="S82" s="5">
        <f t="shared" ref="S82:S145" si="42">Q82+R$7</f>
        <v>2.9941801219215121</v>
      </c>
    </row>
    <row r="83" spans="2:19" x14ac:dyDescent="0.35">
      <c r="B83">
        <f t="shared" ref="B83:B146" si="43">0.1+B82</f>
        <v>-1.2999999999999998</v>
      </c>
      <c r="J83" s="5"/>
      <c r="Q83">
        <f t="shared" si="40"/>
        <v>2.5896699581334222E-3</v>
      </c>
      <c r="R83" s="5">
        <f t="shared" si="41"/>
        <v>-2.988908458179782</v>
      </c>
      <c r="S83" s="5">
        <f t="shared" si="42"/>
        <v>2.9940877980960487</v>
      </c>
    </row>
    <row r="84" spans="2:19" ht="15" thickBot="1" x14ac:dyDescent="0.4">
      <c r="B84">
        <f t="shared" si="43"/>
        <v>-1.1999999999999997</v>
      </c>
      <c r="G84" s="2"/>
      <c r="H84" s="2"/>
      <c r="J84" s="5"/>
      <c r="Q84">
        <f t="shared" si="40"/>
        <v>2.4876363511860409E-3</v>
      </c>
      <c r="R84" s="5">
        <f t="shared" si="41"/>
        <v>-2.9890104917867295</v>
      </c>
      <c r="S84" s="5">
        <f t="shared" si="42"/>
        <v>2.9939857644891013</v>
      </c>
    </row>
    <row r="85" spans="2:19" x14ac:dyDescent="0.35">
      <c r="B85">
        <f t="shared" si="43"/>
        <v>-1.0999999999999996</v>
      </c>
      <c r="J85" s="5"/>
      <c r="Q85">
        <f t="shared" si="40"/>
        <v>2.3748717761214342E-3</v>
      </c>
      <c r="R85" s="5">
        <f t="shared" si="41"/>
        <v>-2.9891232563617938</v>
      </c>
      <c r="S85" s="5">
        <f t="shared" si="42"/>
        <v>2.993872999914037</v>
      </c>
    </row>
    <row r="86" spans="2:19" ht="15" thickBot="1" x14ac:dyDescent="0.4">
      <c r="B86">
        <f t="shared" si="43"/>
        <v>-0.99999999999999967</v>
      </c>
      <c r="J86" s="5"/>
      <c r="Q86">
        <f t="shared" si="40"/>
        <v>2.2502476471708719E-3</v>
      </c>
      <c r="R86" s="5">
        <f t="shared" si="41"/>
        <v>-2.9892478804907445</v>
      </c>
      <c r="S86" s="5">
        <f t="shared" si="42"/>
        <v>2.9937483757850862</v>
      </c>
    </row>
    <row r="87" spans="2:19" x14ac:dyDescent="0.35">
      <c r="B87">
        <f t="shared" si="43"/>
        <v>-0.89999999999999969</v>
      </c>
      <c r="G87" s="3"/>
      <c r="H87" s="3"/>
      <c r="J87" s="5"/>
      <c r="K87" s="3"/>
      <c r="L87" s="3"/>
      <c r="Q87">
        <f t="shared" si="40"/>
        <v>2.1125166841642019E-3</v>
      </c>
      <c r="R87" s="5">
        <f t="shared" si="41"/>
        <v>-2.9893856114537511</v>
      </c>
      <c r="S87" s="5">
        <f t="shared" si="42"/>
        <v>2.9936106448220796</v>
      </c>
    </row>
    <row r="88" spans="2:19" x14ac:dyDescent="0.35">
      <c r="B88">
        <f t="shared" si="43"/>
        <v>-0.79999999999999971</v>
      </c>
      <c r="J88" s="5"/>
      <c r="Q88">
        <f t="shared" si="40"/>
        <v>1.9603004293306768E-3</v>
      </c>
      <c r="R88" s="5">
        <f t="shared" si="41"/>
        <v>-2.9895378277085847</v>
      </c>
      <c r="S88" s="5">
        <f t="shared" si="42"/>
        <v>2.9934584285672461</v>
      </c>
    </row>
    <row r="89" spans="2:19" x14ac:dyDescent="0.35">
      <c r="B89">
        <f t="shared" si="43"/>
        <v>-0.69999999999999973</v>
      </c>
      <c r="J89" s="5"/>
      <c r="Q89">
        <f t="shared" si="40"/>
        <v>1.7920754512302734E-3</v>
      </c>
      <c r="R89" s="5">
        <f t="shared" si="41"/>
        <v>-2.9897060526866852</v>
      </c>
      <c r="S89" s="5">
        <f t="shared" si="42"/>
        <v>2.9932902035891455</v>
      </c>
    </row>
    <row r="90" spans="2:19" ht="15" thickBot="1" x14ac:dyDescent="0.4">
      <c r="B90">
        <f t="shared" si="43"/>
        <v>-0.59999999999999976</v>
      </c>
      <c r="G90" s="2"/>
      <c r="H90" s="2"/>
      <c r="J90" s="5"/>
      <c r="K90" s="2"/>
      <c r="L90" s="2"/>
      <c r="Q90">
        <f t="shared" si="40"/>
        <v>1.6061580977397944E-3</v>
      </c>
      <c r="R90" s="5">
        <f t="shared" si="41"/>
        <v>-2.9898919700401754</v>
      </c>
      <c r="S90" s="5">
        <f t="shared" si="42"/>
        <v>2.9931042862356554</v>
      </c>
    </row>
    <row r="91" spans="2:19" ht="15" thickBot="1" x14ac:dyDescent="0.4">
      <c r="B91">
        <f t="shared" si="43"/>
        <v>-0.49999999999999978</v>
      </c>
      <c r="J91" s="5"/>
      <c r="Q91">
        <f t="shared" si="40"/>
        <v>1.4006876454965276E-3</v>
      </c>
      <c r="R91" s="5">
        <f t="shared" si="41"/>
        <v>-2.990097440492419</v>
      </c>
      <c r="S91" s="5">
        <f t="shared" si="42"/>
        <v>2.9928988157834118</v>
      </c>
    </row>
    <row r="92" spans="2:19" x14ac:dyDescent="0.35">
      <c r="B92">
        <f t="shared" si="43"/>
        <v>-0.3999999999999998</v>
      </c>
      <c r="G92" s="3"/>
      <c r="H92" s="3"/>
      <c r="J92" s="5"/>
      <c r="K92" s="3"/>
      <c r="L92" s="3"/>
      <c r="M92" s="3"/>
      <c r="N92" s="3"/>
      <c r="O92" s="3"/>
      <c r="Q92">
        <f t="shared" si="40"/>
        <v>1.1736076771534177E-3</v>
      </c>
      <c r="R92" s="5">
        <f t="shared" si="41"/>
        <v>-2.9903245204607618</v>
      </c>
      <c r="S92" s="5">
        <f t="shared" si="42"/>
        <v>2.992671735815069</v>
      </c>
    </row>
    <row r="93" spans="2:19" x14ac:dyDescent="0.35">
      <c r="B93">
        <f t="shared" si="43"/>
        <v>-0.29999999999999982</v>
      </c>
      <c r="J93" s="5"/>
      <c r="Q93">
        <f t="shared" si="40"/>
        <v>9.22645500063074E-4</v>
      </c>
      <c r="R93" s="5">
        <f t="shared" si="41"/>
        <v>-2.9905754826378521</v>
      </c>
      <c r="S93" s="5">
        <f t="shared" si="42"/>
        <v>2.9924207736379786</v>
      </c>
    </row>
    <row r="94" spans="2:19" x14ac:dyDescent="0.35">
      <c r="B94">
        <f t="shared" si="43"/>
        <v>-0.19999999999999982</v>
      </c>
      <c r="J94" s="5"/>
      <c r="Q94">
        <f t="shared" si="40"/>
        <v>6.452894004058754E-4</v>
      </c>
      <c r="R94" s="5">
        <f t="shared" si="41"/>
        <v>-2.9908528387375095</v>
      </c>
      <c r="S94" s="5">
        <f t="shared" si="42"/>
        <v>2.9921434175383212</v>
      </c>
    </row>
    <row r="95" spans="2:19" ht="15" thickBot="1" x14ac:dyDescent="0.4">
      <c r="B95">
        <f t="shared" si="43"/>
        <v>-9.9999999999999811E-2</v>
      </c>
      <c r="G95" s="2"/>
      <c r="H95" s="2"/>
      <c r="J95" s="5"/>
      <c r="K95" s="2"/>
      <c r="L95" s="2"/>
      <c r="M95" s="2"/>
      <c r="N95" s="2"/>
      <c r="O95" s="2"/>
      <c r="Q95">
        <f t="shared" si="40"/>
        <v>3.3876350511384849E-4</v>
      </c>
      <c r="R95" s="5">
        <f t="shared" si="41"/>
        <v>-2.9911593646328014</v>
      </c>
      <c r="S95" s="5">
        <f t="shared" si="42"/>
        <v>2.9918368916430294</v>
      </c>
    </row>
    <row r="96" spans="2:19" ht="15" thickBot="1" x14ac:dyDescent="0.4">
      <c r="B96">
        <v>0</v>
      </c>
      <c r="J96" s="5"/>
      <c r="Q96">
        <f t="shared" si="40"/>
        <v>0</v>
      </c>
      <c r="R96" s="5">
        <f t="shared" si="41"/>
        <v>-2.9914981281379154</v>
      </c>
      <c r="S96" s="5">
        <f t="shared" si="42"/>
        <v>2.9914981281379154</v>
      </c>
    </row>
    <row r="97" spans="2:19" x14ac:dyDescent="0.35">
      <c r="B97">
        <f t="shared" si="43"/>
        <v>0.1</v>
      </c>
      <c r="E97" s="3"/>
      <c r="J97" s="5"/>
      <c r="Q97">
        <f t="shared" si="40"/>
        <v>-3.7439157395719727E-4</v>
      </c>
      <c r="R97" s="5">
        <f t="shared" si="41"/>
        <v>-2.9918725197118725</v>
      </c>
      <c r="S97" s="5">
        <f t="shared" si="42"/>
        <v>2.9911237365639582</v>
      </c>
    </row>
    <row r="98" spans="2:19" ht="15" thickBot="1" x14ac:dyDescent="0.4">
      <c r="B98">
        <f t="shared" si="43"/>
        <v>0.2</v>
      </c>
      <c r="J98" s="5"/>
      <c r="Q98">
        <f t="shared" si="40"/>
        <v>-7.8815825346725951E-4</v>
      </c>
      <c r="R98" s="5">
        <f t="shared" si="41"/>
        <v>-2.9922862863913826</v>
      </c>
      <c r="S98" s="5">
        <f t="shared" si="42"/>
        <v>2.9907099698844481</v>
      </c>
    </row>
    <row r="99" spans="2:19" ht="15" thickBot="1" x14ac:dyDescent="0.4">
      <c r="B99">
        <f t="shared" si="43"/>
        <v>0.30000000000000004</v>
      </c>
      <c r="E99" s="2"/>
      <c r="G99" s="4"/>
      <c r="H99" s="4"/>
      <c r="J99" s="5"/>
      <c r="Q99">
        <f t="shared" si="40"/>
        <v>-1.2454411545305068E-3</v>
      </c>
      <c r="R99" s="5">
        <f t="shared" si="41"/>
        <v>-2.992743569292446</v>
      </c>
      <c r="S99" s="5">
        <f t="shared" si="42"/>
        <v>2.9902526869833848</v>
      </c>
    </row>
    <row r="100" spans="2:19" x14ac:dyDescent="0.35">
      <c r="B100">
        <f t="shared" si="43"/>
        <v>0.4</v>
      </c>
      <c r="J100" s="5"/>
      <c r="Q100">
        <f t="shared" si="40"/>
        <v>-1.7508169181188718E-3</v>
      </c>
      <c r="R100" s="5">
        <f t="shared" si="41"/>
        <v>-2.9932489450560342</v>
      </c>
      <c r="S100" s="5">
        <f t="shared" si="42"/>
        <v>2.9897473112197965</v>
      </c>
    </row>
    <row r="101" spans="2:19" x14ac:dyDescent="0.35">
      <c r="B101">
        <f t="shared" si="43"/>
        <v>0.5</v>
      </c>
      <c r="J101" s="5"/>
      <c r="Q101">
        <f t="shared" si="40"/>
        <v>-2.3093435147370071E-3</v>
      </c>
      <c r="R101" s="5">
        <f t="shared" si="41"/>
        <v>-2.9938074716526524</v>
      </c>
      <c r="S101" s="5">
        <f t="shared" si="42"/>
        <v>2.9891887846231784</v>
      </c>
    </row>
    <row r="102" spans="2:19" x14ac:dyDescent="0.35">
      <c r="B102">
        <f t="shared" si="43"/>
        <v>0.6</v>
      </c>
      <c r="J102" s="5"/>
      <c r="Q102">
        <f t="shared" si="40"/>
        <v>-2.926610866291137E-3</v>
      </c>
      <c r="R102" s="5">
        <f t="shared" si="41"/>
        <v>-2.9944247390042067</v>
      </c>
      <c r="S102" s="5">
        <f t="shared" si="42"/>
        <v>2.9885715172716241</v>
      </c>
    </row>
    <row r="103" spans="2:19" x14ac:dyDescent="0.35">
      <c r="B103">
        <f t="shared" si="43"/>
        <v>0.7</v>
      </c>
      <c r="J103" s="5"/>
      <c r="Q103">
        <f t="shared" si="40"/>
        <v>-3.6087967919063405E-3</v>
      </c>
      <c r="R103" s="5">
        <f t="shared" si="41"/>
        <v>-2.9951069249298219</v>
      </c>
      <c r="S103" s="5">
        <f t="shared" si="42"/>
        <v>2.9878893313460089</v>
      </c>
    </row>
    <row r="104" spans="2:19" ht="15" thickBot="1" x14ac:dyDescent="0.4">
      <c r="B104">
        <f t="shared" si="43"/>
        <v>0.79999999999999993</v>
      </c>
      <c r="G104" s="2"/>
      <c r="H104" s="2"/>
      <c r="J104" s="5"/>
      <c r="Q104">
        <f t="shared" si="40"/>
        <v>-4.3627288376167778E-3</v>
      </c>
      <c r="R104" s="5">
        <f t="shared" si="41"/>
        <v>-2.9958608569755323</v>
      </c>
      <c r="S104" s="5">
        <f t="shared" si="42"/>
        <v>2.9871353993002985</v>
      </c>
    </row>
    <row r="105" spans="2:19" x14ac:dyDescent="0.35">
      <c r="B105">
        <f t="shared" si="43"/>
        <v>0.89999999999999991</v>
      </c>
      <c r="J105" s="5"/>
      <c r="Q105">
        <f t="shared" si="40"/>
        <v>-5.1959526087412347E-3</v>
      </c>
      <c r="R105" s="5">
        <f t="shared" si="41"/>
        <v>-2.9966940807466567</v>
      </c>
      <c r="S105" s="5">
        <f t="shared" si="42"/>
        <v>2.9863021755291741</v>
      </c>
    </row>
    <row r="106" spans="2:19" ht="15" thickBot="1" x14ac:dyDescent="0.4">
      <c r="B106">
        <f t="shared" si="43"/>
        <v>0.99999999999999989</v>
      </c>
      <c r="J106" s="5"/>
      <c r="Q106">
        <f t="shared" si="40"/>
        <v>-6.1168072888373032E-3</v>
      </c>
      <c r="R106" s="5">
        <f t="shared" si="41"/>
        <v>-2.9976149354267525</v>
      </c>
      <c r="S106" s="5">
        <f t="shared" si="42"/>
        <v>2.9853813208490783</v>
      </c>
    </row>
    <row r="107" spans="2:19" x14ac:dyDescent="0.35">
      <c r="B107">
        <f t="shared" si="43"/>
        <v>1.0999999999999999</v>
      </c>
      <c r="G107" s="3"/>
      <c r="H107" s="3"/>
      <c r="J107" s="5"/>
      <c r="K107" s="3"/>
      <c r="L107" s="3"/>
      <c r="Q107">
        <f t="shared" si="40"/>
        <v>-7.1345091010533313E-3</v>
      </c>
      <c r="R107" s="5">
        <f t="shared" si="41"/>
        <v>-2.9986326372389689</v>
      </c>
      <c r="S107" s="5">
        <f t="shared" si="42"/>
        <v>2.9843636190368619</v>
      </c>
    </row>
    <row r="108" spans="2:19" x14ac:dyDescent="0.35">
      <c r="B108">
        <f t="shared" si="43"/>
        <v>1.2</v>
      </c>
      <c r="J108" s="5"/>
      <c r="Q108">
        <f t="shared" si="40"/>
        <v>-8.259243547187373E-3</v>
      </c>
      <c r="R108" s="5">
        <f t="shared" si="41"/>
        <v>-2.9997573716851029</v>
      </c>
      <c r="S108" s="5">
        <f t="shared" si="42"/>
        <v>2.9832388845907278</v>
      </c>
    </row>
    <row r="109" spans="2:19" x14ac:dyDescent="0.35">
      <c r="B109">
        <f t="shared" si="43"/>
        <v>1.3</v>
      </c>
      <c r="J109" s="5"/>
      <c r="Q109">
        <f t="shared" si="40"/>
        <v>-9.5022673476126349E-3</v>
      </c>
      <c r="R109" s="5">
        <f t="shared" si="41"/>
        <v>-3.0010003954855282</v>
      </c>
      <c r="S109" s="5">
        <f t="shared" si="42"/>
        <v>2.9819958607903025</v>
      </c>
    </row>
    <row r="110" spans="2:19" ht="15" thickBot="1" x14ac:dyDescent="0.4">
      <c r="B110">
        <f t="shared" si="43"/>
        <v>1.4000000000000001</v>
      </c>
      <c r="G110" s="2"/>
      <c r="H110" s="2"/>
      <c r="J110" s="5"/>
      <c r="K110" s="2"/>
      <c r="L110" s="2"/>
      <c r="Q110">
        <f t="shared" si="40"/>
        <v>-1.0876021102318504E-2</v>
      </c>
      <c r="R110" s="5">
        <f t="shared" si="41"/>
        <v>-3.002374149240234</v>
      </c>
      <c r="S110" s="5">
        <f t="shared" si="42"/>
        <v>2.9806221070355967</v>
      </c>
    </row>
    <row r="111" spans="2:19" ht="15" thickBot="1" x14ac:dyDescent="0.4">
      <c r="B111">
        <f t="shared" si="43"/>
        <v>1.5000000000000002</v>
      </c>
      <c r="J111" s="5"/>
      <c r="Q111">
        <f t="shared" si="40"/>
        <v>-1.2394253800616655E-2</v>
      </c>
      <c r="R111" s="5">
        <f t="shared" si="41"/>
        <v>-3.0038923819385319</v>
      </c>
      <c r="S111" s="5">
        <f t="shared" si="42"/>
        <v>2.9791038743372988</v>
      </c>
    </row>
    <row r="112" spans="2:19" x14ac:dyDescent="0.35">
      <c r="B112">
        <f t="shared" si="43"/>
        <v>1.6000000000000003</v>
      </c>
      <c r="E112" s="3"/>
      <c r="G112" s="3"/>
      <c r="H112" s="3"/>
      <c r="J112" s="5"/>
      <c r="K112" s="3"/>
      <c r="L112" s="3"/>
      <c r="M112" s="3"/>
      <c r="N112" s="3"/>
      <c r="O112" s="3"/>
      <c r="Q112">
        <f t="shared" si="40"/>
        <v>-1.4072160425647294E-2</v>
      </c>
      <c r="R112" s="5">
        <f t="shared" si="41"/>
        <v>-3.0055702885635625</v>
      </c>
      <c r="S112" s="5">
        <f t="shared" si="42"/>
        <v>2.9774259677122683</v>
      </c>
    </row>
    <row r="113" spans="2:19" x14ac:dyDescent="0.35">
      <c r="B113">
        <f t="shared" si="43"/>
        <v>1.7000000000000004</v>
      </c>
      <c r="J113" s="5"/>
      <c r="Q113">
        <f t="shared" si="40"/>
        <v>-1.5926534030877612E-2</v>
      </c>
      <c r="R113" s="5">
        <f t="shared" si="41"/>
        <v>-3.007424662168793</v>
      </c>
      <c r="S113" s="5">
        <f t="shared" si="42"/>
        <v>2.9755715941070378</v>
      </c>
    </row>
    <row r="114" spans="2:19" x14ac:dyDescent="0.35">
      <c r="B114">
        <f t="shared" si="43"/>
        <v>1.8000000000000005</v>
      </c>
      <c r="J114" s="5"/>
      <c r="Q114">
        <f t="shared" si="40"/>
        <v>-1.7975933810625254E-2</v>
      </c>
      <c r="R114" s="5">
        <f t="shared" si="41"/>
        <v>-3.0094740619485405</v>
      </c>
      <c r="S114" s="5">
        <f t="shared" si="42"/>
        <v>2.9735221943272903</v>
      </c>
    </row>
    <row r="115" spans="2:19" ht="15" thickBot="1" x14ac:dyDescent="0.4">
      <c r="B115">
        <f t="shared" si="43"/>
        <v>1.9000000000000006</v>
      </c>
      <c r="E115" s="2"/>
      <c r="G115" s="2"/>
      <c r="H115" s="2"/>
      <c r="J115" s="5"/>
      <c r="K115" s="2"/>
      <c r="L115" s="2"/>
      <c r="M115" s="2"/>
      <c r="N115" s="2"/>
      <c r="O115" s="2"/>
      <c r="Q115">
        <f t="shared" si="40"/>
        <v>-2.0240870846712986E-2</v>
      </c>
      <c r="R115" s="5">
        <f t="shared" si="41"/>
        <v>-3.0117389989846282</v>
      </c>
      <c r="S115" s="5">
        <f t="shared" si="42"/>
        <v>2.9712572572912026</v>
      </c>
    </row>
    <row r="116" spans="2:19" x14ac:dyDescent="0.35">
      <c r="B116">
        <f t="shared" si="43"/>
        <v>2.0000000000000004</v>
      </c>
      <c r="J116" s="5"/>
      <c r="Q116">
        <f t="shared" si="40"/>
        <v>-2.2744013390269595E-2</v>
      </c>
      <c r="R116" s="5">
        <f t="shared" si="41"/>
        <v>-3.014242141528185</v>
      </c>
      <c r="S116" s="5">
        <f t="shared" si="42"/>
        <v>2.9687541147476457</v>
      </c>
    </row>
    <row r="117" spans="2:19" x14ac:dyDescent="0.35">
      <c r="B117">
        <f t="shared" si="43"/>
        <v>2.1000000000000005</v>
      </c>
      <c r="J117" s="5"/>
      <c r="Q117">
        <f t="shared" si="40"/>
        <v>-2.5510413733206276E-2</v>
      </c>
      <c r="R117" s="5">
        <f t="shared" si="41"/>
        <v>-3.0170085418711214</v>
      </c>
      <c r="S117" s="5">
        <f t="shared" si="42"/>
        <v>2.9659877144047093</v>
      </c>
    </row>
    <row r="118" spans="2:19" x14ac:dyDescent="0.35">
      <c r="B118">
        <f t="shared" si="43"/>
        <v>2.2000000000000006</v>
      </c>
      <c r="J118" s="5"/>
      <c r="Q118">
        <f t="shared" si="40"/>
        <v>-2.8567758939974389E-2</v>
      </c>
      <c r="R118" s="5">
        <f t="shared" si="41"/>
        <v>-3.0200658870778896</v>
      </c>
      <c r="S118" s="5">
        <f t="shared" si="42"/>
        <v>2.9629303691979412</v>
      </c>
    </row>
    <row r="119" spans="2:19" x14ac:dyDescent="0.35">
      <c r="B119">
        <f t="shared" si="43"/>
        <v>2.3000000000000007</v>
      </c>
      <c r="J119" s="5"/>
      <c r="Q119">
        <f t="shared" si="40"/>
        <v>-3.1946647949012481E-2</v>
      </c>
      <c r="R119" s="5">
        <f t="shared" si="41"/>
        <v>-3.0234447760869281</v>
      </c>
      <c r="S119" s="5">
        <f t="shared" si="42"/>
        <v>2.9595514801889027</v>
      </c>
    </row>
    <row r="120" spans="2:19" x14ac:dyDescent="0.35">
      <c r="B120">
        <f t="shared" si="43"/>
        <v>2.4000000000000008</v>
      </c>
      <c r="J120" s="5"/>
      <c r="Q120">
        <f t="shared" si="40"/>
        <v>-3.5680897817206826E-2</v>
      </c>
      <c r="R120" s="5">
        <f t="shared" si="41"/>
        <v>-3.0271790259551223</v>
      </c>
      <c r="S120" s="5">
        <f t="shared" si="42"/>
        <v>2.9558172303207084</v>
      </c>
    </row>
    <row r="121" spans="2:19" x14ac:dyDescent="0.35">
      <c r="B121">
        <f t="shared" si="43"/>
        <v>2.5000000000000009</v>
      </c>
      <c r="J121" s="5"/>
      <c r="Q121">
        <f t="shared" si="40"/>
        <v>-3.9807882172363043E-2</v>
      </c>
      <c r="R121" s="5">
        <f t="shared" si="41"/>
        <v>-3.0313060103102782</v>
      </c>
      <c r="S121" s="5">
        <f t="shared" si="42"/>
        <v>2.9516902459655525</v>
      </c>
    </row>
    <row r="122" spans="2:19" x14ac:dyDescent="0.35">
      <c r="B122">
        <f t="shared" si="43"/>
        <v>2.600000000000001</v>
      </c>
      <c r="J122" s="5"/>
      <c r="Q122">
        <f t="shared" si="40"/>
        <v>-4.4368905261034874E-2</v>
      </c>
      <c r="R122" s="5">
        <f t="shared" si="41"/>
        <v>-3.0358670333989504</v>
      </c>
      <c r="S122" s="5">
        <f t="shared" si="42"/>
        <v>2.9471292228768804</v>
      </c>
    </row>
    <row r="123" spans="2:19" x14ac:dyDescent="0.35">
      <c r="B123">
        <f t="shared" si="43"/>
        <v>2.7000000000000011</v>
      </c>
      <c r="J123" s="5"/>
      <c r="Q123">
        <f t="shared" si="40"/>
        <v>-4.9409615335306543E-2</v>
      </c>
      <c r="R123" s="5">
        <f t="shared" si="41"/>
        <v>-3.0409077434732219</v>
      </c>
      <c r="S123" s="5">
        <f t="shared" si="42"/>
        <v>2.9420885128026089</v>
      </c>
    </row>
    <row r="124" spans="2:19" x14ac:dyDescent="0.35">
      <c r="B124">
        <f t="shared" si="43"/>
        <v>2.8000000000000012</v>
      </c>
      <c r="J124" s="5"/>
      <c r="Q124">
        <f t="shared" si="40"/>
        <v>-5.4980461515842537E-2</v>
      </c>
      <c r="R124" s="5">
        <f t="shared" si="41"/>
        <v>-3.0464785896537578</v>
      </c>
      <c r="S124" s="5">
        <f t="shared" si="42"/>
        <v>2.9365176666220729</v>
      </c>
    </row>
    <row r="125" spans="2:19" x14ac:dyDescent="0.35">
      <c r="B125">
        <f t="shared" si="43"/>
        <v>2.9000000000000012</v>
      </c>
      <c r="J125" s="5"/>
      <c r="Q125">
        <f t="shared" si="40"/>
        <v>-6.113719870364371E-2</v>
      </c>
      <c r="R125" s="5">
        <f t="shared" si="41"/>
        <v>-3.0526353268415591</v>
      </c>
      <c r="S125" s="5">
        <f t="shared" si="42"/>
        <v>2.9303609294342716</v>
      </c>
    </row>
    <row r="126" spans="2:19" x14ac:dyDescent="0.35">
      <c r="B126">
        <f t="shared" si="43"/>
        <v>3.0000000000000013</v>
      </c>
      <c r="J126" s="5"/>
      <c r="Q126">
        <f t="shared" si="40"/>
        <v>-6.7941445593836414E-2</v>
      </c>
      <c r="R126" s="5">
        <f t="shared" si="41"/>
        <v>-3.0594395737317517</v>
      </c>
      <c r="S126" s="5">
        <f t="shared" si="42"/>
        <v>2.9235566825440791</v>
      </c>
    </row>
    <row r="127" spans="2:19" x14ac:dyDescent="0.35">
      <c r="B127">
        <f t="shared" si="43"/>
        <v>3.1000000000000014</v>
      </c>
      <c r="J127" s="5"/>
      <c r="Q127">
        <f t="shared" si="40"/>
        <v>-7.5461301376284068E-2</v>
      </c>
      <c r="R127" s="5">
        <f t="shared" si="41"/>
        <v>-3.0669594295141995</v>
      </c>
      <c r="S127" s="5">
        <f t="shared" si="42"/>
        <v>2.9160368267616312</v>
      </c>
    </row>
    <row r="128" spans="2:19" x14ac:dyDescent="0.35">
      <c r="B128">
        <f t="shared" si="43"/>
        <v>3.2000000000000015</v>
      </c>
      <c r="J128" s="5"/>
      <c r="Q128">
        <f t="shared" si="40"/>
        <v>-8.3772027295168194E-2</v>
      </c>
      <c r="R128" s="5">
        <f t="shared" si="41"/>
        <v>-3.0752701554330835</v>
      </c>
      <c r="S128" s="5">
        <f t="shared" si="42"/>
        <v>2.9077261008427473</v>
      </c>
    </row>
    <row r="129" spans="2:19" x14ac:dyDescent="0.35">
      <c r="B129">
        <f t="shared" si="43"/>
        <v>3.3000000000000016</v>
      </c>
      <c r="J129" s="5"/>
      <c r="Q129">
        <f t="shared" si="40"/>
        <v>-9.2956799888816444E-2</v>
      </c>
      <c r="R129" s="5">
        <f t="shared" si="41"/>
        <v>-3.0844549280267319</v>
      </c>
      <c r="S129" s="5">
        <f t="shared" si="42"/>
        <v>2.8985413282490988</v>
      </c>
    </row>
    <row r="130" spans="2:19" x14ac:dyDescent="0.35">
      <c r="B130">
        <f t="shared" si="43"/>
        <v>3.4000000000000017</v>
      </c>
      <c r="J130" s="5"/>
      <c r="Q130">
        <f t="shared" si="40"/>
        <v>-0.10310754344845474</v>
      </c>
      <c r="R130" s="5">
        <f t="shared" si="41"/>
        <v>-3.0946056715863701</v>
      </c>
      <c r="S130" s="5">
        <f t="shared" si="42"/>
        <v>2.8883905846894606</v>
      </c>
    </row>
    <row r="131" spans="2:19" ht="15" thickBot="1" x14ac:dyDescent="0.4">
      <c r="B131">
        <f t="shared" si="43"/>
        <v>3.5000000000000018</v>
      </c>
      <c r="J131" s="5"/>
      <c r="Q131">
        <f t="shared" si="40"/>
        <v>-0.11432585002741068</v>
      </c>
      <c r="R131" s="5">
        <f t="shared" si="41"/>
        <v>-3.1058239781653261</v>
      </c>
      <c r="S131" s="5">
        <f t="shared" si="42"/>
        <v>2.8771722781105047</v>
      </c>
    </row>
    <row r="132" spans="2:19" x14ac:dyDescent="0.35">
      <c r="B132">
        <f t="shared" si="43"/>
        <v>3.6000000000000019</v>
      </c>
      <c r="E132" s="3"/>
      <c r="J132" s="5"/>
      <c r="Q132">
        <f t="shared" si="40"/>
        <v>-0.12672399620852945</v>
      </c>
      <c r="R132" s="5">
        <f t="shared" si="41"/>
        <v>-3.118222124346445</v>
      </c>
      <c r="S132" s="5">
        <f t="shared" si="42"/>
        <v>2.8647741319293858</v>
      </c>
    </row>
    <row r="133" spans="2:19" x14ac:dyDescent="0.35">
      <c r="B133">
        <f t="shared" si="43"/>
        <v>3.700000000000002</v>
      </c>
      <c r="J133" s="5"/>
      <c r="Q133">
        <f t="shared" si="40"/>
        <v>-0.1404260668059526</v>
      </c>
      <c r="R133" s="5">
        <f t="shared" si="41"/>
        <v>-3.1319241949438679</v>
      </c>
      <c r="S133" s="5">
        <f t="shared" si="42"/>
        <v>2.8510720613319629</v>
      </c>
    </row>
    <row r="134" spans="2:19" ht="15" thickBot="1" x14ac:dyDescent="0.4">
      <c r="B134">
        <f t="shared" si="43"/>
        <v>3.800000000000002</v>
      </c>
      <c r="E134" s="2"/>
      <c r="J134" s="5"/>
      <c r="Q134">
        <f t="shared" si="40"/>
        <v>-0.15556919674764405</v>
      </c>
      <c r="R134" s="5">
        <f t="shared" si="41"/>
        <v>-3.1470673248855596</v>
      </c>
      <c r="S134" s="5">
        <f t="shared" si="42"/>
        <v>2.8359289313902711</v>
      </c>
    </row>
    <row r="135" spans="2:19" x14ac:dyDescent="0.35">
      <c r="B135">
        <f t="shared" si="43"/>
        <v>3.9000000000000021</v>
      </c>
      <c r="J135" s="5"/>
      <c r="Q135">
        <f t="shared" si="40"/>
        <v>-0.17230494356784207</v>
      </c>
      <c r="R135" s="5">
        <f t="shared" si="41"/>
        <v>-3.1638030717057575</v>
      </c>
      <c r="S135" s="5">
        <f t="shared" si="42"/>
        <v>2.8191931845700733</v>
      </c>
    </row>
    <row r="136" spans="2:19" x14ac:dyDescent="0.35">
      <c r="B136">
        <f t="shared" si="43"/>
        <v>4.0000000000000018</v>
      </c>
      <c r="J136" s="5"/>
      <c r="Q136">
        <f t="shared" si="40"/>
        <v>-0.19080080424580179</v>
      </c>
      <c r="R136" s="5">
        <f t="shared" si="41"/>
        <v>-3.1822989323837172</v>
      </c>
      <c r="S136" s="5">
        <f t="shared" si="42"/>
        <v>2.8006973238921136</v>
      </c>
    </row>
    <row r="137" spans="2:19" x14ac:dyDescent="0.35">
      <c r="B137">
        <f t="shared" si="43"/>
        <v>4.1000000000000014</v>
      </c>
      <c r="J137" s="5"/>
      <c r="Q137">
        <f t="shared" si="40"/>
        <v>-0.2112418915718618</v>
      </c>
      <c r="R137" s="5">
        <f t="shared" si="41"/>
        <v>-3.2027400197097773</v>
      </c>
      <c r="S137" s="5">
        <f t="shared" si="42"/>
        <v>2.7802562365660535</v>
      </c>
    </row>
    <row r="138" spans="2:19" x14ac:dyDescent="0.35">
      <c r="B138">
        <f t="shared" si="43"/>
        <v>4.2000000000000011</v>
      </c>
      <c r="J138" s="5"/>
      <c r="Q138">
        <f t="shared" si="40"/>
        <v>-0.23383278681846803</v>
      </c>
      <c r="R138" s="5">
        <f t="shared" si="41"/>
        <v>-3.2253309149563836</v>
      </c>
      <c r="S138" s="5">
        <f t="shared" si="42"/>
        <v>2.7576653413194472</v>
      </c>
    </row>
    <row r="139" spans="2:19" x14ac:dyDescent="0.35">
      <c r="B139">
        <f t="shared" si="43"/>
        <v>4.3000000000000007</v>
      </c>
      <c r="J139" s="5"/>
      <c r="Q139">
        <f t="shared" si="40"/>
        <v>-0.25879958725831065</v>
      </c>
      <c r="R139" s="5">
        <f t="shared" si="41"/>
        <v>-3.250297715396226</v>
      </c>
      <c r="S139" s="5">
        <f t="shared" si="42"/>
        <v>2.7326985408796047</v>
      </c>
    </row>
    <row r="140" spans="2:19" x14ac:dyDescent="0.35">
      <c r="B140">
        <f t="shared" si="43"/>
        <v>4.4000000000000004</v>
      </c>
      <c r="J140" s="5"/>
      <c r="Q140">
        <f t="shared" si="40"/>
        <v>-0.28639216902182291</v>
      </c>
      <c r="R140" s="5">
        <f t="shared" si="41"/>
        <v>-3.2778902971597383</v>
      </c>
      <c r="S140" s="5">
        <f t="shared" si="42"/>
        <v>2.7051059591160924</v>
      </c>
    </row>
    <row r="141" spans="2:19" x14ac:dyDescent="0.35">
      <c r="B141">
        <f t="shared" si="43"/>
        <v>4.5</v>
      </c>
      <c r="J141" s="5"/>
      <c r="Q141">
        <f t="shared" si="40"/>
        <v>-0.31688668794148117</v>
      </c>
      <c r="R141" s="5">
        <f t="shared" si="41"/>
        <v>-3.3083848160793967</v>
      </c>
      <c r="S141" s="5">
        <f t="shared" si="42"/>
        <v>2.674611440196434</v>
      </c>
    </row>
    <row r="142" spans="2:19" x14ac:dyDescent="0.35">
      <c r="B142">
        <f t="shared" si="43"/>
        <v>4.5999999999999996</v>
      </c>
      <c r="J142" s="5"/>
      <c r="Q142">
        <f t="shared" si="40"/>
        <v>-0.35058834341219508</v>
      </c>
      <c r="R142" s="5">
        <f t="shared" si="41"/>
        <v>-3.3420864715501106</v>
      </c>
      <c r="S142" s="5">
        <f t="shared" si="42"/>
        <v>2.6409097847257201</v>
      </c>
    </row>
    <row r="143" spans="2:19" x14ac:dyDescent="0.35">
      <c r="B143">
        <f t="shared" si="43"/>
        <v>4.6999999999999993</v>
      </c>
      <c r="J143" s="5"/>
      <c r="Q143">
        <f t="shared" si="40"/>
        <v>-0.38783443292943315</v>
      </c>
      <c r="R143" s="5">
        <f t="shared" si="41"/>
        <v>-3.3793325610673484</v>
      </c>
      <c r="S143" s="5">
        <f t="shared" si="42"/>
        <v>2.6036636952084824</v>
      </c>
    </row>
    <row r="144" spans="2:19" x14ac:dyDescent="0.35">
      <c r="B144">
        <f t="shared" si="43"/>
        <v>4.7999999999999989</v>
      </c>
      <c r="J144" s="5"/>
      <c r="Q144">
        <f t="shared" si="40"/>
        <v>-0.42899772787592683</v>
      </c>
      <c r="R144" s="5">
        <f t="shared" si="41"/>
        <v>-3.4204958560138423</v>
      </c>
      <c r="S144" s="5">
        <f t="shared" si="42"/>
        <v>2.5625004002619884</v>
      </c>
    </row>
    <row r="145" spans="2:19" x14ac:dyDescent="0.35">
      <c r="B145">
        <f t="shared" si="43"/>
        <v>4.8999999999999986</v>
      </c>
      <c r="J145" s="5"/>
      <c r="Q145">
        <f t="shared" si="40"/>
        <v>-0.47449020434296196</v>
      </c>
      <c r="R145" s="5">
        <f t="shared" si="41"/>
        <v>-3.4659883324808773</v>
      </c>
      <c r="S145" s="5">
        <f t="shared" si="42"/>
        <v>2.5170079237949534</v>
      </c>
    </row>
    <row r="146" spans="2:19" x14ac:dyDescent="0.35">
      <c r="B146">
        <f t="shared" si="43"/>
        <v>4.9999999999999982</v>
      </c>
      <c r="J146" s="5"/>
      <c r="Q146">
        <f t="shared" ref="Q146:Q171" si="44">Q$2+Q$1*EXP(B146)</f>
        <v>-0.52476716632556997</v>
      </c>
      <c r="R146" s="5">
        <f t="shared" ref="R146:R171" si="45">Q146-R$7</f>
        <v>-3.5162652944634853</v>
      </c>
      <c r="S146" s="5">
        <f t="shared" ref="S146:S171" si="46">Q146+R$7</f>
        <v>2.4667309618123454</v>
      </c>
    </row>
    <row r="147" spans="2:19" x14ac:dyDescent="0.35">
      <c r="B147">
        <f t="shared" ref="B147:B171" si="47">0.1+B146</f>
        <v>5.0999999999999979</v>
      </c>
      <c r="J147" s="5"/>
      <c r="Q147">
        <f t="shared" si="44"/>
        <v>-0.58033180255794314</v>
      </c>
      <c r="R147" s="5">
        <f t="shared" si="45"/>
        <v>-3.5718299306958583</v>
      </c>
      <c r="S147" s="5">
        <f t="shared" si="46"/>
        <v>2.4111663255799725</v>
      </c>
    </row>
    <row r="148" spans="2:19" x14ac:dyDescent="0.35">
      <c r="B148">
        <f t="shared" si="47"/>
        <v>5.1999999999999975</v>
      </c>
      <c r="J148" s="5"/>
      <c r="Q148">
        <f t="shared" si="44"/>
        <v>-0.64174022259541452</v>
      </c>
      <c r="R148" s="5">
        <f t="shared" si="45"/>
        <v>-3.6332383507333299</v>
      </c>
      <c r="S148" s="5">
        <f t="shared" si="46"/>
        <v>2.3497579055425009</v>
      </c>
    </row>
    <row r="149" spans="2:19" x14ac:dyDescent="0.35">
      <c r="B149">
        <f t="shared" si="47"/>
        <v>5.2999999999999972</v>
      </c>
      <c r="J149" s="5"/>
      <c r="Q149">
        <f t="shared" si="44"/>
        <v>-0.70960702254580166</v>
      </c>
      <c r="R149" s="5">
        <f t="shared" si="45"/>
        <v>-3.7011051506837171</v>
      </c>
      <c r="S149" s="5">
        <f t="shared" si="46"/>
        <v>2.2818911055921136</v>
      </c>
    </row>
    <row r="150" spans="2:19" ht="15" thickBot="1" x14ac:dyDescent="0.4">
      <c r="B150">
        <f t="shared" si="47"/>
        <v>5.3999999999999968</v>
      </c>
      <c r="J150" s="5"/>
      <c r="Q150">
        <f t="shared" si="44"/>
        <v>-0.78461143615382722</v>
      </c>
      <c r="R150" s="5">
        <f t="shared" si="45"/>
        <v>-3.7761095642917426</v>
      </c>
      <c r="S150" s="5">
        <f t="shared" si="46"/>
        <v>2.2068866919840882</v>
      </c>
    </row>
    <row r="151" spans="2:19" x14ac:dyDescent="0.35">
      <c r="B151">
        <f t="shared" si="47"/>
        <v>5.4999999999999964</v>
      </c>
      <c r="E151" s="3"/>
      <c r="J151" s="5"/>
      <c r="Q151">
        <f t="shared" si="44"/>
        <v>-0.86750413280073457</v>
      </c>
      <c r="R151" s="5">
        <f t="shared" si="45"/>
        <v>-3.8590022609386501</v>
      </c>
      <c r="S151" s="5">
        <f t="shared" si="46"/>
        <v>2.1239939953371807</v>
      </c>
    </row>
    <row r="152" spans="2:19" x14ac:dyDescent="0.35">
      <c r="B152">
        <f t="shared" si="47"/>
        <v>5.5999999999999961</v>
      </c>
      <c r="J152" s="5"/>
      <c r="Q152">
        <f t="shared" si="44"/>
        <v>-0.95911473045576323</v>
      </c>
      <c r="R152" s="5">
        <f t="shared" si="45"/>
        <v>-3.9506128585936784</v>
      </c>
      <c r="S152" s="5">
        <f t="shared" si="46"/>
        <v>2.0323833976821524</v>
      </c>
    </row>
    <row r="153" spans="2:19" ht="15" thickBot="1" x14ac:dyDescent="0.4">
      <c r="B153">
        <f t="shared" si="47"/>
        <v>5.6999999999999957</v>
      </c>
      <c r="E153" s="2"/>
      <c r="J153" s="5"/>
      <c r="Q153">
        <f t="shared" si="44"/>
        <v>-1.06036009877163</v>
      </c>
      <c r="R153" s="5">
        <f t="shared" si="45"/>
        <v>-4.0518582269095456</v>
      </c>
      <c r="S153" s="5">
        <f t="shared" si="46"/>
        <v>1.9311380293662854</v>
      </c>
    </row>
    <row r="154" spans="2:19" x14ac:dyDescent="0.35">
      <c r="B154">
        <f t="shared" si="47"/>
        <v>5.7999999999999954</v>
      </c>
      <c r="J154" s="5"/>
      <c r="Q154">
        <f t="shared" si="44"/>
        <v>-1.1722535354241834</v>
      </c>
      <c r="R154" s="5">
        <f t="shared" si="45"/>
        <v>-4.163751663562099</v>
      </c>
      <c r="S154" s="5">
        <f t="shared" si="46"/>
        <v>1.819244592713732</v>
      </c>
    </row>
    <row r="155" spans="2:19" x14ac:dyDescent="0.35">
      <c r="B155">
        <f t="shared" si="47"/>
        <v>5.899999999999995</v>
      </c>
      <c r="J155" s="5"/>
      <c r="Q155">
        <f t="shared" si="44"/>
        <v>-1.2959149075361251</v>
      </c>
      <c r="R155" s="5">
        <f t="shared" si="45"/>
        <v>-4.2874130356740405</v>
      </c>
      <c r="S155" s="5">
        <f t="shared" si="46"/>
        <v>1.6955832206017902</v>
      </c>
    </row>
    <row r="156" spans="2:19" x14ac:dyDescent="0.35">
      <c r="B156">
        <f t="shared" si="47"/>
        <v>5.9999999999999947</v>
      </c>
      <c r="J156" s="5"/>
      <c r="Q156">
        <f t="shared" si="44"/>
        <v>-1.4325818596835742</v>
      </c>
      <c r="R156" s="5">
        <f t="shared" si="45"/>
        <v>-4.4240799878214894</v>
      </c>
      <c r="S156" s="5">
        <f t="shared" si="46"/>
        <v>1.5589162684543412</v>
      </c>
    </row>
    <row r="157" spans="2:19" x14ac:dyDescent="0.35">
      <c r="B157">
        <f t="shared" si="47"/>
        <v>6.0999999999999943</v>
      </c>
      <c r="J157" s="5"/>
      <c r="Q157">
        <f t="shared" si="44"/>
        <v>-1.5836222006589709</v>
      </c>
      <c r="R157" s="5">
        <f t="shared" si="45"/>
        <v>-4.5751203287968867</v>
      </c>
      <c r="S157" s="5">
        <f t="shared" si="46"/>
        <v>1.4078759274789445</v>
      </c>
    </row>
    <row r="158" spans="2:19" x14ac:dyDescent="0.35">
      <c r="B158">
        <f t="shared" si="47"/>
        <v>6.199999999999994</v>
      </c>
      <c r="J158" s="5"/>
      <c r="Q158">
        <f t="shared" si="44"/>
        <v>-1.7505475929612089</v>
      </c>
      <c r="R158" s="5">
        <f t="shared" si="45"/>
        <v>-4.7420457210991245</v>
      </c>
      <c r="S158" s="5">
        <f t="shared" si="46"/>
        <v>1.2409505351767065</v>
      </c>
    </row>
    <row r="159" spans="2:19" x14ac:dyDescent="0.35">
      <c r="B159">
        <f t="shared" si="47"/>
        <v>6.2999999999999936</v>
      </c>
      <c r="J159" s="5"/>
      <c r="Q159">
        <f t="shared" si="44"/>
        <v>-1.9350286820220111</v>
      </c>
      <c r="R159" s="5">
        <f t="shared" si="45"/>
        <v>-4.9265268101599267</v>
      </c>
      <c r="S159" s="5">
        <f t="shared" si="46"/>
        <v>1.0564694461159043</v>
      </c>
    </row>
    <row r="160" spans="2:19" x14ac:dyDescent="0.35">
      <c r="B160">
        <f t="shared" si="47"/>
        <v>6.3999999999999932</v>
      </c>
      <c r="J160" s="5"/>
      <c r="Q160">
        <f t="shared" si="44"/>
        <v>-2.1389118165869325</v>
      </c>
      <c r="R160" s="5">
        <f t="shared" si="45"/>
        <v>-5.1304099447248479</v>
      </c>
      <c r="S160" s="5">
        <f t="shared" si="46"/>
        <v>0.85258631155098286</v>
      </c>
    </row>
    <row r="161" spans="2:19" x14ac:dyDescent="0.35">
      <c r="B161">
        <f t="shared" si="47"/>
        <v>6.4999999999999929</v>
      </c>
      <c r="J161" s="5"/>
      <c r="Q161">
        <f t="shared" si="44"/>
        <v>-2.364237527594188</v>
      </c>
      <c r="R161" s="5">
        <f t="shared" si="45"/>
        <v>-5.3557356557321034</v>
      </c>
      <c r="S161" s="5">
        <f t="shared" si="46"/>
        <v>0.62726060054372734</v>
      </c>
    </row>
    <row r="162" spans="2:19" x14ac:dyDescent="0.35">
      <c r="B162">
        <f t="shared" si="47"/>
        <v>6.5999999999999925</v>
      </c>
      <c r="J162" s="5"/>
      <c r="Q162">
        <f t="shared" si="44"/>
        <v>-2.6132609504941242</v>
      </c>
      <c r="R162" s="5">
        <f t="shared" si="45"/>
        <v>-5.6047590786320391</v>
      </c>
      <c r="S162" s="5">
        <f t="shared" si="46"/>
        <v>0.37823717764379117</v>
      </c>
    </row>
    <row r="163" spans="2:19" x14ac:dyDescent="0.35">
      <c r="B163">
        <f t="shared" si="47"/>
        <v>6.6999999999999922</v>
      </c>
      <c r="J163" s="5"/>
      <c r="Q163">
        <f t="shared" si="44"/>
        <v>-2.8884743954027869</v>
      </c>
      <c r="R163" s="5">
        <f t="shared" si="45"/>
        <v>-5.8799725235407028</v>
      </c>
      <c r="S163" s="5">
        <f t="shared" si="46"/>
        <v>0.10302373273512844</v>
      </c>
    </row>
    <row r="164" spans="2:19" x14ac:dyDescent="0.35">
      <c r="B164">
        <f t="shared" si="47"/>
        <v>6.7999999999999918</v>
      </c>
      <c r="J164" s="5"/>
      <c r="Q164">
        <f t="shared" si="44"/>
        <v>-3.1926322909792555</v>
      </c>
      <c r="R164" s="5">
        <f t="shared" si="45"/>
        <v>-6.1841304191171709</v>
      </c>
      <c r="S164" s="5">
        <f t="shared" si="46"/>
        <v>-0.20113416284134011</v>
      </c>
    </row>
    <row r="165" spans="2:19" x14ac:dyDescent="0.35">
      <c r="B165">
        <f t="shared" si="47"/>
        <v>6.8999999999999915</v>
      </c>
      <c r="J165" s="5"/>
      <c r="Q165">
        <f t="shared" si="44"/>
        <v>-3.5287787516734572</v>
      </c>
      <c r="R165" s="5">
        <f t="shared" si="45"/>
        <v>-6.520276879811373</v>
      </c>
      <c r="S165" s="5">
        <f t="shared" si="46"/>
        <v>-0.53728062353554185</v>
      </c>
    </row>
    <row r="166" spans="2:19" x14ac:dyDescent="0.35">
      <c r="B166">
        <f t="shared" si="47"/>
        <v>6.9999999999999911</v>
      </c>
      <c r="J166" s="5"/>
      <c r="Q166">
        <f t="shared" si="44"/>
        <v>-3.9002780442467491</v>
      </c>
      <c r="R166" s="5">
        <f t="shared" si="45"/>
        <v>-6.8917761723846649</v>
      </c>
      <c r="S166" s="5">
        <f t="shared" si="46"/>
        <v>-0.90877991610883369</v>
      </c>
    </row>
    <row r="167" spans="2:19" x14ac:dyDescent="0.35">
      <c r="B167">
        <f t="shared" si="47"/>
        <v>7.0999999999999908</v>
      </c>
      <c r="J167" s="5"/>
      <c r="Q167">
        <f t="shared" si="44"/>
        <v>-4.3108482584844259</v>
      </c>
      <c r="R167" s="5">
        <f t="shared" si="45"/>
        <v>-7.3023463866223413</v>
      </c>
      <c r="S167" s="5">
        <f t="shared" si="46"/>
        <v>-1.3193501303465105</v>
      </c>
    </row>
    <row r="168" spans="2:19" x14ac:dyDescent="0.35">
      <c r="B168">
        <f t="shared" si="47"/>
        <v>7.1999999999999904</v>
      </c>
      <c r="J168" s="5"/>
      <c r="Q168">
        <f t="shared" si="44"/>
        <v>-4.764598519087996</v>
      </c>
      <c r="R168" s="5">
        <f t="shared" si="45"/>
        <v>-7.7560966472259114</v>
      </c>
      <c r="S168" s="5">
        <f t="shared" si="46"/>
        <v>-1.7731003909500807</v>
      </c>
    </row>
    <row r="169" spans="2:19" x14ac:dyDescent="0.35">
      <c r="B169">
        <f t="shared" si="47"/>
        <v>7.2999999999999901</v>
      </c>
      <c r="J169" s="5"/>
      <c r="Q169">
        <f t="shared" si="44"/>
        <v>-5.2660701111763064</v>
      </c>
      <c r="R169" s="5">
        <f t="shared" si="45"/>
        <v>-8.2575682393142209</v>
      </c>
      <c r="S169" s="5">
        <f t="shared" si="46"/>
        <v>-2.274571983038391</v>
      </c>
    </row>
    <row r="170" spans="2:19" x14ac:dyDescent="0.35">
      <c r="B170">
        <f t="shared" si="47"/>
        <v>7.3999999999999897</v>
      </c>
      <c r="J170" s="5"/>
      <c r="Q170">
        <f t="shared" si="44"/>
        <v>-5.820281930993402</v>
      </c>
      <c r="R170" s="5">
        <f t="shared" si="45"/>
        <v>-8.8117800591313173</v>
      </c>
      <c r="S170" s="5">
        <f t="shared" si="46"/>
        <v>-2.8287838028554866</v>
      </c>
    </row>
    <row r="171" spans="2:19" x14ac:dyDescent="0.35">
      <c r="B171">
        <f t="shared" si="47"/>
        <v>7.4999999999999893</v>
      </c>
      <c r="J171" s="5"/>
      <c r="Q171">
        <f t="shared" si="44"/>
        <v>-6.4327807167090354</v>
      </c>
      <c r="R171" s="5">
        <f t="shared" si="45"/>
        <v>-9.4242788448469508</v>
      </c>
      <c r="S171" s="5">
        <f t="shared" si="46"/>
        <v>-3.44128258857112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F66E9-5924-4505-BD13-28371DA57AA3}">
  <dimension ref="A1:BI171"/>
  <sheetViews>
    <sheetView topLeftCell="L1" zoomScaleNormal="100" workbookViewId="0">
      <selection activeCell="M7" sqref="M7"/>
    </sheetView>
  </sheetViews>
  <sheetFormatPr defaultRowHeight="14.5" x14ac:dyDescent="0.35"/>
  <cols>
    <col min="1" max="1" width="15.453125" customWidth="1"/>
    <col min="5" max="5" width="12" bestFit="1" customWidth="1"/>
    <col min="6" max="6" width="11.81640625" customWidth="1"/>
    <col min="19" max="19" width="12" bestFit="1" customWidth="1"/>
    <col min="26" max="26" width="19.81640625" customWidth="1"/>
    <col min="27" max="27" width="10.54296875" customWidth="1"/>
  </cols>
  <sheetData>
    <row r="1" spans="1:61" ht="16" thickBot="1" x14ac:dyDescent="0.4">
      <c r="G1">
        <v>0.19779008066045647</v>
      </c>
      <c r="I1">
        <v>-0.46586062024567204</v>
      </c>
      <c r="K1" s="2">
        <v>-0.19672964064378451</v>
      </c>
      <c r="M1">
        <v>-0.15323653046099978</v>
      </c>
      <c r="O1">
        <v>-0.15095276283467579</v>
      </c>
      <c r="Q1">
        <v>-2.478277439302087E-2</v>
      </c>
      <c r="S1" s="2">
        <v>-0.74990083901194882</v>
      </c>
      <c r="U1">
        <v>-0.45455259488337069</v>
      </c>
      <c r="Z1" s="23" t="s">
        <v>560</v>
      </c>
      <c r="AA1" s="23" t="s">
        <v>561</v>
      </c>
    </row>
    <row r="2" spans="1:61" ht="16" thickBot="1" x14ac:dyDescent="0.4">
      <c r="G2" s="2">
        <v>-0.24188414680741668</v>
      </c>
      <c r="I2">
        <v>3.600830264140674</v>
      </c>
      <c r="M2" s="2">
        <v>-1.0970915512348632E-5</v>
      </c>
      <c r="O2" s="2">
        <v>-6.4493588549759473E-5</v>
      </c>
      <c r="Q2">
        <f>-Q1</f>
        <v>2.478277439302087E-2</v>
      </c>
      <c r="Z2" s="23" t="s">
        <v>556</v>
      </c>
      <c r="AA2" s="35">
        <f>J5</f>
        <v>0.11744814908182744</v>
      </c>
      <c r="AB2" s="24">
        <f t="shared" ref="AB2:AB5" si="0">AA2</f>
        <v>0.11744814908182744</v>
      </c>
    </row>
    <row r="3" spans="1:61" ht="15.5" x14ac:dyDescent="0.35">
      <c r="I3">
        <v>-2.5388969310330141</v>
      </c>
      <c r="Z3" s="23" t="s">
        <v>557</v>
      </c>
      <c r="AA3" s="35">
        <f>H5</f>
        <v>0.10969627053984496</v>
      </c>
      <c r="AB3" s="24">
        <f t="shared" si="0"/>
        <v>0.10969627053984496</v>
      </c>
      <c r="AQ3" s="4"/>
      <c r="AR3" s="4"/>
      <c r="BA3" s="4"/>
      <c r="BB3" s="4"/>
    </row>
    <row r="4" spans="1:61" ht="15.5" x14ac:dyDescent="0.35">
      <c r="Z4" s="23" t="s">
        <v>555</v>
      </c>
      <c r="AA4" s="35">
        <f>T5</f>
        <v>3.3446548412103577E-3</v>
      </c>
      <c r="AB4" s="24">
        <f t="shared" si="0"/>
        <v>3.3446548412103577E-3</v>
      </c>
    </row>
    <row r="5" spans="1:61" ht="15.5" x14ac:dyDescent="0.35">
      <c r="F5" t="s">
        <v>721</v>
      </c>
      <c r="H5">
        <f>EXP(H8)/$E8</f>
        <v>0.10969627053984496</v>
      </c>
      <c r="J5">
        <f>EXP(J8)/$E8</f>
        <v>0.11744814908182744</v>
      </c>
      <c r="L5">
        <f>EXP(L8)/$E8</f>
        <v>9.8737207162418336E-2</v>
      </c>
      <c r="N5">
        <f>EXP(N8)/$E8</f>
        <v>0.27126684433129028</v>
      </c>
      <c r="P5">
        <f>EXP(P8)/$E8</f>
        <v>0.23567601895685511</v>
      </c>
      <c r="R5">
        <f>EXP(R8)/$E8</f>
        <v>1.1727266966887692E-2</v>
      </c>
      <c r="T5">
        <f>EXP(T8)/$E8</f>
        <v>3.3446548412103577E-3</v>
      </c>
      <c r="V5">
        <f>EXP(V8)/$E8</f>
        <v>0.15210358811966579</v>
      </c>
      <c r="Z5" s="23" t="s">
        <v>559</v>
      </c>
      <c r="AA5" s="35">
        <f>R5</f>
        <v>1.1727266966887692E-2</v>
      </c>
      <c r="AB5" s="24">
        <f t="shared" si="0"/>
        <v>1.1727266966887692E-2</v>
      </c>
    </row>
    <row r="6" spans="1:61" ht="15.5" x14ac:dyDescent="0.35">
      <c r="F6" t="s">
        <v>720</v>
      </c>
      <c r="H6">
        <v>2</v>
      </c>
      <c r="J6">
        <v>3</v>
      </c>
      <c r="L6">
        <v>1</v>
      </c>
      <c r="N6">
        <v>2</v>
      </c>
      <c r="P6">
        <v>2</v>
      </c>
      <c r="R6">
        <v>1</v>
      </c>
      <c r="T6">
        <v>1</v>
      </c>
      <c r="V6">
        <v>1</v>
      </c>
      <c r="X6">
        <f>SUM(H6:V6)</f>
        <v>13</v>
      </c>
      <c r="Z6" s="23" t="s">
        <v>543</v>
      </c>
      <c r="AA6" s="35">
        <f>P5</f>
        <v>0.23567601895685511</v>
      </c>
      <c r="AB6" s="24">
        <f>AA6</f>
        <v>0.23567601895685511</v>
      </c>
    </row>
    <row r="7" spans="1:61" ht="15.5" x14ac:dyDescent="0.35">
      <c r="E7">
        <f>SUM(D10:D78)</f>
        <v>7.9999999999999991</v>
      </c>
      <c r="F7" t="s">
        <v>719</v>
      </c>
      <c r="H7" s="5">
        <f>SQRT(H9/($E7-H6))</f>
        <v>1.0013551074091565</v>
      </c>
      <c r="I7" s="5"/>
      <c r="J7" s="5">
        <f>SQRT(J9/($E7-J6))</f>
        <v>1.0568776967909328</v>
      </c>
      <c r="K7" s="5"/>
      <c r="L7" s="5">
        <f>SQRT(L9/($E7-L6))</f>
        <v>0.95314415755981863</v>
      </c>
      <c r="M7" s="5"/>
      <c r="N7" s="5">
        <f>SQRT(N9/($E7-N6))</f>
        <v>0.89420585815290465</v>
      </c>
      <c r="O7" s="5"/>
      <c r="P7" s="5">
        <f>SQRT(P9/($E7-P6))</f>
        <v>0.91006555254659827</v>
      </c>
      <c r="Q7" s="5"/>
      <c r="R7" s="5">
        <f>SQRT(R9/($E7-R6))</f>
        <v>1.2439963139612573</v>
      </c>
      <c r="S7" s="5"/>
      <c r="T7" s="5">
        <f>SQRT(T9/($E7-T6))</f>
        <v>1.4552070218831821</v>
      </c>
      <c r="U7" s="5"/>
      <c r="V7" s="5">
        <f>SQRT(V9/($E7-V6))</f>
        <v>0.90302809563894848</v>
      </c>
      <c r="X7" s="5" t="e">
        <f>SQRT(X9/($E7-X6))</f>
        <v>#NUM!</v>
      </c>
      <c r="Z7" s="23" t="s">
        <v>542</v>
      </c>
      <c r="AA7" s="35">
        <f>N5</f>
        <v>0.27126684433129028</v>
      </c>
      <c r="AB7" s="24">
        <f>AA7</f>
        <v>0.27126684433129028</v>
      </c>
    </row>
    <row r="8" spans="1:61" ht="16" thickBot="1" x14ac:dyDescent="0.4">
      <c r="E8">
        <f>EXP(H8)+EXP(J8)+EXP(L8)+EXP(N8)+EXP(P8)+EXP(R8)+EXP(T8)+EXP(V8)</f>
        <v>0.44897251296390883</v>
      </c>
      <c r="F8" t="s">
        <v>718</v>
      </c>
      <c r="G8" t="s">
        <v>539</v>
      </c>
      <c r="H8">
        <f>-H9/2/H7^2-$E7*LN(H7)</f>
        <v>-3.0108335206379011</v>
      </c>
      <c r="I8" t="s">
        <v>324</v>
      </c>
      <c r="J8">
        <f>-J9/2/J7^2-$E7*LN(J7)</f>
        <v>-2.9425519386595109</v>
      </c>
      <c r="K8" t="s">
        <v>540</v>
      </c>
      <c r="L8">
        <f>-L9/2/L7^2-$E7*LN(L7)</f>
        <v>-3.1160870427722722</v>
      </c>
      <c r="M8" t="s">
        <v>542</v>
      </c>
      <c r="N8">
        <f>-N9/2/N7^2-$E7*LN(N7)</f>
        <v>-2.105445888595316</v>
      </c>
      <c r="O8" t="s">
        <v>543</v>
      </c>
      <c r="P8">
        <f>-P9/2/P7^2-$E7*LN(P7)</f>
        <v>-2.2460908295984003</v>
      </c>
      <c r="Q8" t="s">
        <v>541</v>
      </c>
      <c r="R8">
        <f>-R9/2/R7^2-$E7*LN(R7)</f>
        <v>-5.2466322500715687</v>
      </c>
      <c r="S8" t="s">
        <v>544</v>
      </c>
      <c r="T8">
        <f>-T9/2/T7^2-$E7*LN(T7)</f>
        <v>-6.5011853886672242</v>
      </c>
      <c r="U8" t="s">
        <v>723</v>
      </c>
      <c r="V8">
        <f>-V9/2/V7^2-$E7*LN(V7)</f>
        <v>-2.6839871009217844</v>
      </c>
      <c r="X8" t="e">
        <f>-X9/2/X7^2-$E7*LN(X7)</f>
        <v>#NUM!</v>
      </c>
      <c r="Z8" s="23" t="s">
        <v>558</v>
      </c>
      <c r="AA8" s="35">
        <f>L5</f>
        <v>9.8737207162418336E-2</v>
      </c>
      <c r="AB8" s="24">
        <f>AA8</f>
        <v>9.8737207162418336E-2</v>
      </c>
      <c r="AQ8" s="2"/>
      <c r="AR8" s="2"/>
      <c r="BA8" s="2"/>
      <c r="BB8" s="2"/>
    </row>
    <row r="9" spans="1:61" ht="15.5" x14ac:dyDescent="0.35">
      <c r="B9" t="s">
        <v>544</v>
      </c>
      <c r="C9" t="s">
        <v>624</v>
      </c>
      <c r="D9" t="s">
        <v>623</v>
      </c>
      <c r="F9" t="s">
        <v>717</v>
      </c>
      <c r="H9">
        <f>SUM(H10:H78)</f>
        <v>6.0162723068064183</v>
      </c>
      <c r="J9">
        <f>SUM(J10:J78)</f>
        <v>5.5849523298705339</v>
      </c>
      <c r="L9">
        <f>SUM(L10:L78)</f>
        <v>6.359386495632914</v>
      </c>
      <c r="N9">
        <f>SUM(N10:N78)</f>
        <v>4.7976247005298349</v>
      </c>
      <c r="P9">
        <f>SUM(P10:P78)</f>
        <v>4.9693158595916707</v>
      </c>
      <c r="R9">
        <f>SUM(R10:R78)</f>
        <v>10.832687804044365</v>
      </c>
      <c r="T9">
        <f>SUM(T10:T78)</f>
        <v>14.823392335766838</v>
      </c>
      <c r="V9">
        <f>SUM(V10:V78)</f>
        <v>5.70821819059314</v>
      </c>
      <c r="X9">
        <f>SUM(X10:X78)</f>
        <v>5.017137112345778</v>
      </c>
      <c r="Z9" s="23" t="s">
        <v>724</v>
      </c>
      <c r="AA9" s="11">
        <f>V5</f>
        <v>0.15210358811966579</v>
      </c>
      <c r="AB9" s="24">
        <f>AA9</f>
        <v>0.15210358811966579</v>
      </c>
    </row>
    <row r="10" spans="1:61" ht="15" thickBot="1" x14ac:dyDescent="0.4">
      <c r="A10" t="str">
        <f>Table1!A3</f>
        <v>d'Arge 1979</v>
      </c>
      <c r="B10">
        <f>Table1!C3</f>
        <v>-1</v>
      </c>
      <c r="C10">
        <f>Table1!E3</f>
        <v>-0.59642907312262095</v>
      </c>
      <c r="D10">
        <v>0</v>
      </c>
      <c r="G10">
        <f t="shared" ref="G10:G73" si="1">G$1*B10+G$2*B10^2</f>
        <v>-0.43967422746787316</v>
      </c>
      <c r="H10">
        <f t="shared" ref="H10:H73" si="2">$D10*(G10-$C10)^2</f>
        <v>0</v>
      </c>
      <c r="I10">
        <f t="shared" ref="I10:I73" si="3">IF(B10&lt;=I$2,B10*I$1,I$1*I$2+I$3*(B10-I$2))</f>
        <v>0.46586062024567204</v>
      </c>
      <c r="J10">
        <f t="shared" ref="J10:J73" si="4">$D10*(I10-$C10)^2</f>
        <v>0</v>
      </c>
      <c r="K10">
        <f t="shared" ref="K10:K73" si="5">K$1*B10^2</f>
        <v>-0.19672964064378451</v>
      </c>
      <c r="L10">
        <f t="shared" ref="L10:L73" si="6">$D10*(K10-$C10)^2</f>
        <v>0</v>
      </c>
      <c r="M10">
        <f t="shared" ref="M10:M73" si="7">M$1*B10^2+M$2*B10^7</f>
        <v>-0.15322555954548742</v>
      </c>
      <c r="N10">
        <f t="shared" ref="N10:N73" si="8">$D10*(M10-$C10)^2</f>
        <v>0</v>
      </c>
      <c r="O10" s="24">
        <f t="shared" ref="O10:O73" si="9">O$1*B10^2+O$2*B10^6</f>
        <v>-0.15101725642322555</v>
      </c>
      <c r="P10">
        <f t="shared" ref="P10:P73" si="10">$D10*(O10-$C10)^2</f>
        <v>0</v>
      </c>
      <c r="Q10">
        <f t="shared" ref="Q10:Q73" si="11">Q$2+Q$1*EXP(B10)</f>
        <v>1.5665701198638422E-2</v>
      </c>
      <c r="R10">
        <f t="shared" ref="R10:R73" si="12">$D10*(Q10-$C10)^2</f>
        <v>0</v>
      </c>
      <c r="S10">
        <f t="shared" ref="S10:S73" si="13">S$1*B10</f>
        <v>0.74990083901194882</v>
      </c>
      <c r="T10">
        <f t="shared" ref="T10:T73" si="14">$D10*(S10-$C10)^2</f>
        <v>0</v>
      </c>
      <c r="U10">
        <f>(1-EXP(-2*U$1*B10))/2/EXP(-U$1*B10)</f>
        <v>0.47036823300131358</v>
      </c>
      <c r="V10">
        <f t="shared" ref="V10:V73" si="15">$D10*(U10-$C10)^2</f>
        <v>0</v>
      </c>
      <c r="W10" s="33">
        <f>G10*H$5+I10*J$5+K10*L$5+M10*N$5+O10*P$5+Q10*R$5+S10*T$5+U10*V$5</f>
        <v>-1.586027919857752E-2</v>
      </c>
      <c r="X10">
        <f t="shared" ref="X10:X73" si="16">$D10*(W10-$C10)^2</f>
        <v>0</v>
      </c>
    </row>
    <row r="11" spans="1:61" x14ac:dyDescent="0.35">
      <c r="A11" t="str">
        <f>Table1!A4</f>
        <v>Nordhaus 1982</v>
      </c>
      <c r="B11">
        <f>Table1!C4</f>
        <v>2.5</v>
      </c>
      <c r="C11">
        <f>Table1!E4</f>
        <v>-3</v>
      </c>
      <c r="D11">
        <v>0</v>
      </c>
      <c r="G11">
        <f t="shared" si="1"/>
        <v>-1.0173007158952132</v>
      </c>
      <c r="H11">
        <f t="shared" si="2"/>
        <v>0</v>
      </c>
      <c r="I11">
        <f t="shared" si="3"/>
        <v>-1.1646515506141801</v>
      </c>
      <c r="J11">
        <f t="shared" si="4"/>
        <v>0</v>
      </c>
      <c r="K11">
        <f t="shared" si="5"/>
        <v>-1.2295602540236532</v>
      </c>
      <c r="L11">
        <f t="shared" si="6"/>
        <v>0</v>
      </c>
      <c r="M11">
        <f t="shared" si="7"/>
        <v>-0.96442443080626605</v>
      </c>
      <c r="N11">
        <f t="shared" si="8"/>
        <v>0</v>
      </c>
      <c r="O11" s="24">
        <f t="shared" si="9"/>
        <v>-0.95920027273375474</v>
      </c>
      <c r="P11">
        <f t="shared" si="10"/>
        <v>0</v>
      </c>
      <c r="Q11">
        <f t="shared" si="11"/>
        <v>-0.2771332249794326</v>
      </c>
      <c r="R11">
        <f t="shared" si="12"/>
        <v>0</v>
      </c>
      <c r="S11">
        <f t="shared" si="13"/>
        <v>-1.8747520975298722</v>
      </c>
      <c r="T11">
        <f t="shared" si="14"/>
        <v>0</v>
      </c>
      <c r="U11">
        <f t="shared" ref="U11:U74" si="17">(1-EXP(-2*U$1*B11))/2/EXP(-U$1*B11)</f>
        <v>-1.3972480861056602</v>
      </c>
      <c r="V11">
        <f t="shared" si="15"/>
        <v>0</v>
      </c>
      <c r="W11" s="33">
        <f t="shared" ref="W11:W74" si="18">G11*H$5+I11*J$5+K11*L$5+M11*N$5+O11*P$5+Q11*R$5+S11*T$5+U11*V$5</f>
        <v>-1.0795073440011891</v>
      </c>
      <c r="X11">
        <f t="shared" si="16"/>
        <v>0</v>
      </c>
      <c r="AQ11" s="3"/>
      <c r="AR11" s="3"/>
      <c r="AS11" s="3"/>
      <c r="AT11" s="3"/>
      <c r="AU11" s="3"/>
      <c r="AV11" s="3"/>
      <c r="BA11" s="3"/>
      <c r="BB11" s="3"/>
      <c r="BC11" s="3"/>
      <c r="BD11" s="3"/>
      <c r="BE11" s="3"/>
      <c r="BF11" s="3"/>
    </row>
    <row r="12" spans="1:61" x14ac:dyDescent="0.35">
      <c r="A12" t="str">
        <f>Table1!A5</f>
        <v>Nordhaus 1991</v>
      </c>
      <c r="B12">
        <f>Table1!C5</f>
        <v>3</v>
      </c>
      <c r="C12">
        <f>Table1!E5</f>
        <v>-1</v>
      </c>
      <c r="D12">
        <v>0</v>
      </c>
      <c r="G12">
        <f t="shared" si="1"/>
        <v>-1.583587079285381</v>
      </c>
      <c r="H12">
        <f t="shared" si="2"/>
        <v>0</v>
      </c>
      <c r="I12">
        <f t="shared" si="3"/>
        <v>-1.3975818607370161</v>
      </c>
      <c r="J12">
        <f t="shared" si="4"/>
        <v>0</v>
      </c>
      <c r="K12">
        <f t="shared" si="5"/>
        <v>-1.7705667657940607</v>
      </c>
      <c r="L12">
        <f t="shared" si="6"/>
        <v>0</v>
      </c>
      <c r="M12">
        <f t="shared" si="7"/>
        <v>-1.4031221663745044</v>
      </c>
      <c r="N12">
        <f t="shared" si="8"/>
        <v>0</v>
      </c>
      <c r="O12" s="24">
        <f t="shared" si="9"/>
        <v>-1.4055906915648568</v>
      </c>
      <c r="P12">
        <f t="shared" si="10"/>
        <v>0</v>
      </c>
      <c r="Q12">
        <f t="shared" si="11"/>
        <v>-0.4729925557370297</v>
      </c>
      <c r="R12">
        <f t="shared" si="12"/>
        <v>0</v>
      </c>
      <c r="S12">
        <f t="shared" si="13"/>
        <v>-2.2497025170358462</v>
      </c>
      <c r="T12">
        <f t="shared" si="14"/>
        <v>0</v>
      </c>
      <c r="U12">
        <f t="shared" si="17"/>
        <v>-1.8273735760024097</v>
      </c>
      <c r="V12">
        <f t="shared" si="15"/>
        <v>0</v>
      </c>
      <c r="W12" s="33">
        <f t="shared" si="18"/>
        <v>-1.5155838238446031</v>
      </c>
      <c r="X12">
        <f t="shared" si="16"/>
        <v>0</v>
      </c>
    </row>
    <row r="13" spans="1:61" x14ac:dyDescent="0.35">
      <c r="A13" t="str">
        <f>Table1!A6</f>
        <v>Nordhaus 1994b</v>
      </c>
      <c r="B13">
        <f>Table1!C6</f>
        <v>3</v>
      </c>
      <c r="C13">
        <f>Table1!E6</f>
        <v>-1.33</v>
      </c>
      <c r="D13">
        <v>0</v>
      </c>
      <c r="G13">
        <f t="shared" si="1"/>
        <v>-1.583587079285381</v>
      </c>
      <c r="H13">
        <f t="shared" si="2"/>
        <v>0</v>
      </c>
      <c r="I13">
        <f t="shared" si="3"/>
        <v>-1.3975818607370161</v>
      </c>
      <c r="J13">
        <f t="shared" si="4"/>
        <v>0</v>
      </c>
      <c r="K13">
        <f t="shared" si="5"/>
        <v>-1.7705667657940607</v>
      </c>
      <c r="L13">
        <f t="shared" si="6"/>
        <v>0</v>
      </c>
      <c r="M13">
        <f t="shared" si="7"/>
        <v>-1.4031221663745044</v>
      </c>
      <c r="N13">
        <f t="shared" si="8"/>
        <v>0</v>
      </c>
      <c r="O13" s="24">
        <f t="shared" si="9"/>
        <v>-1.4055906915648568</v>
      </c>
      <c r="P13">
        <f t="shared" si="10"/>
        <v>0</v>
      </c>
      <c r="Q13">
        <f t="shared" si="11"/>
        <v>-0.4729925557370297</v>
      </c>
      <c r="R13">
        <f t="shared" si="12"/>
        <v>0</v>
      </c>
      <c r="S13">
        <f t="shared" si="13"/>
        <v>-2.2497025170358462</v>
      </c>
      <c r="T13">
        <f t="shared" si="14"/>
        <v>0</v>
      </c>
      <c r="U13">
        <f t="shared" si="17"/>
        <v>-1.8273735760024097</v>
      </c>
      <c r="V13">
        <f t="shared" si="15"/>
        <v>0</v>
      </c>
      <c r="W13" s="33">
        <f t="shared" si="18"/>
        <v>-1.5155838238446031</v>
      </c>
      <c r="X13">
        <f t="shared" si="16"/>
        <v>0</v>
      </c>
    </row>
    <row r="14" spans="1:61" ht="15" thickBot="1" x14ac:dyDescent="0.4">
      <c r="A14" t="str">
        <f>Table1!A7</f>
        <v>Nordhaus 1994a</v>
      </c>
      <c r="B14">
        <f>Table1!C7</f>
        <v>3</v>
      </c>
      <c r="C14">
        <f>Table1!E7</f>
        <v>-3.6</v>
      </c>
      <c r="D14">
        <v>0</v>
      </c>
      <c r="G14">
        <f t="shared" si="1"/>
        <v>-1.583587079285381</v>
      </c>
      <c r="H14">
        <f t="shared" si="2"/>
        <v>0</v>
      </c>
      <c r="I14">
        <f t="shared" si="3"/>
        <v>-1.3975818607370161</v>
      </c>
      <c r="J14">
        <f t="shared" si="4"/>
        <v>0</v>
      </c>
      <c r="K14">
        <f t="shared" si="5"/>
        <v>-1.7705667657940607</v>
      </c>
      <c r="L14">
        <f t="shared" si="6"/>
        <v>0</v>
      </c>
      <c r="M14">
        <f t="shared" si="7"/>
        <v>-1.4031221663745044</v>
      </c>
      <c r="N14">
        <f t="shared" si="8"/>
        <v>0</v>
      </c>
      <c r="O14" s="24">
        <f t="shared" si="9"/>
        <v>-1.4055906915648568</v>
      </c>
      <c r="P14">
        <f t="shared" si="10"/>
        <v>0</v>
      </c>
      <c r="Q14">
        <f t="shared" si="11"/>
        <v>-0.4729925557370297</v>
      </c>
      <c r="R14">
        <f t="shared" si="12"/>
        <v>0</v>
      </c>
      <c r="S14">
        <f t="shared" si="13"/>
        <v>-2.2497025170358462</v>
      </c>
      <c r="T14">
        <f t="shared" si="14"/>
        <v>0</v>
      </c>
      <c r="U14">
        <f t="shared" si="17"/>
        <v>-1.8273735760024097</v>
      </c>
      <c r="V14">
        <f t="shared" si="15"/>
        <v>0</v>
      </c>
      <c r="W14" s="33">
        <f t="shared" si="18"/>
        <v>-1.5155838238446031</v>
      </c>
      <c r="X14">
        <f t="shared" si="16"/>
        <v>0</v>
      </c>
      <c r="AQ14" s="2"/>
      <c r="AR14" s="2"/>
      <c r="AS14" s="2"/>
      <c r="AT14" s="2"/>
      <c r="AU14" s="2"/>
      <c r="AV14" s="2"/>
      <c r="BA14" s="2"/>
      <c r="BB14" s="2"/>
      <c r="BC14" s="2"/>
      <c r="BD14" s="2"/>
      <c r="BE14" s="2"/>
      <c r="BF14" s="2"/>
    </row>
    <row r="15" spans="1:61" ht="15" thickBot="1" x14ac:dyDescent="0.4">
      <c r="A15">
        <f>Table1!A8</f>
        <v>0</v>
      </c>
      <c r="B15">
        <f>Table1!C8</f>
        <v>6</v>
      </c>
      <c r="C15">
        <f>Table1!E8</f>
        <v>-6.7</v>
      </c>
      <c r="D15">
        <v>0</v>
      </c>
      <c r="G15">
        <f t="shared" si="1"/>
        <v>-7.5210888011042627</v>
      </c>
      <c r="H15">
        <f t="shared" si="2"/>
        <v>0</v>
      </c>
      <c r="I15">
        <f t="shared" si="3"/>
        <v>-7.7687296996524919</v>
      </c>
      <c r="J15">
        <f t="shared" si="4"/>
        <v>0</v>
      </c>
      <c r="K15">
        <f t="shared" si="5"/>
        <v>-7.0822670631762428</v>
      </c>
      <c r="L15">
        <f t="shared" si="6"/>
        <v>0</v>
      </c>
      <c r="M15">
        <f t="shared" si="7"/>
        <v>-8.5876693014608172</v>
      </c>
      <c r="N15">
        <f t="shared" si="8"/>
        <v>0</v>
      </c>
      <c r="O15" s="24">
        <f t="shared" si="9"/>
        <v>-8.4433123294259076</v>
      </c>
      <c r="P15">
        <f t="shared" si="10"/>
        <v>0</v>
      </c>
      <c r="Q15">
        <f t="shared" si="11"/>
        <v>-9.9733019983860398</v>
      </c>
      <c r="R15">
        <f t="shared" si="12"/>
        <v>0</v>
      </c>
      <c r="S15">
        <f t="shared" si="13"/>
        <v>-4.4994050340716925</v>
      </c>
      <c r="T15">
        <f t="shared" si="14"/>
        <v>0</v>
      </c>
      <c r="U15">
        <f t="shared" si="17"/>
        <v>-7.613193771011141</v>
      </c>
      <c r="V15">
        <f t="shared" si="15"/>
        <v>0</v>
      </c>
      <c r="W15" s="33">
        <f t="shared" si="18"/>
        <v>-8.0461803957214677</v>
      </c>
      <c r="X15">
        <f t="shared" si="16"/>
        <v>0</v>
      </c>
    </row>
    <row r="16" spans="1:61" x14ac:dyDescent="0.35">
      <c r="A16" t="str">
        <f>Table1!A9</f>
        <v>Fankhauser 1995</v>
      </c>
      <c r="B16">
        <f>Table1!C9</f>
        <v>2.5</v>
      </c>
      <c r="C16">
        <f>Table1!E9</f>
        <v>-1.4</v>
      </c>
      <c r="D16">
        <v>0</v>
      </c>
      <c r="G16">
        <f t="shared" si="1"/>
        <v>-1.0173007158952132</v>
      </c>
      <c r="H16">
        <f t="shared" si="2"/>
        <v>0</v>
      </c>
      <c r="I16">
        <f t="shared" si="3"/>
        <v>-1.1646515506141801</v>
      </c>
      <c r="J16">
        <f t="shared" si="4"/>
        <v>0</v>
      </c>
      <c r="K16">
        <f t="shared" si="5"/>
        <v>-1.2295602540236532</v>
      </c>
      <c r="L16">
        <f t="shared" si="6"/>
        <v>0</v>
      </c>
      <c r="M16">
        <f t="shared" si="7"/>
        <v>-0.96442443080626605</v>
      </c>
      <c r="N16">
        <f t="shared" si="8"/>
        <v>0</v>
      </c>
      <c r="O16" s="24">
        <f t="shared" si="9"/>
        <v>-0.95920027273375474</v>
      </c>
      <c r="P16">
        <f t="shared" si="10"/>
        <v>0</v>
      </c>
      <c r="Q16">
        <f t="shared" si="11"/>
        <v>-0.2771332249794326</v>
      </c>
      <c r="R16">
        <f t="shared" si="12"/>
        <v>0</v>
      </c>
      <c r="S16">
        <f t="shared" si="13"/>
        <v>-1.8747520975298722</v>
      </c>
      <c r="T16">
        <f t="shared" si="14"/>
        <v>0</v>
      </c>
      <c r="U16">
        <f t="shared" si="17"/>
        <v>-1.3972480861056602</v>
      </c>
      <c r="V16">
        <f t="shared" si="15"/>
        <v>0</v>
      </c>
      <c r="W16" s="33">
        <f t="shared" si="18"/>
        <v>-1.0795073440011891</v>
      </c>
      <c r="X16">
        <f t="shared" si="16"/>
        <v>0</v>
      </c>
      <c r="AQ16" s="3"/>
      <c r="AR16" s="3"/>
      <c r="AS16" s="3"/>
      <c r="AT16" s="3"/>
      <c r="AU16" s="3"/>
      <c r="AV16" s="3"/>
      <c r="AW16" s="3"/>
      <c r="AX16" s="3"/>
      <c r="AY16" s="3"/>
      <c r="BA16" s="3"/>
      <c r="BB16" s="3"/>
      <c r="BC16" s="3"/>
      <c r="BD16" s="3"/>
      <c r="BE16" s="3"/>
      <c r="BF16" s="3"/>
      <c r="BG16" s="3"/>
      <c r="BH16" s="3"/>
      <c r="BI16" s="3"/>
    </row>
    <row r="17" spans="1:61" x14ac:dyDescent="0.35">
      <c r="A17" t="str">
        <f>Table1!A10</f>
        <v>Berz undated</v>
      </c>
      <c r="B17">
        <f>Table1!C10</f>
        <v>2.5</v>
      </c>
      <c r="C17">
        <f>Table1!E10</f>
        <v>-1.5</v>
      </c>
      <c r="D17">
        <v>0</v>
      </c>
      <c r="G17">
        <f t="shared" si="1"/>
        <v>-1.0173007158952132</v>
      </c>
      <c r="H17">
        <f t="shared" si="2"/>
        <v>0</v>
      </c>
      <c r="I17">
        <f t="shared" si="3"/>
        <v>-1.1646515506141801</v>
      </c>
      <c r="J17">
        <f t="shared" si="4"/>
        <v>0</v>
      </c>
      <c r="K17">
        <f t="shared" si="5"/>
        <v>-1.2295602540236532</v>
      </c>
      <c r="L17">
        <f t="shared" si="6"/>
        <v>0</v>
      </c>
      <c r="M17">
        <f t="shared" si="7"/>
        <v>-0.96442443080626605</v>
      </c>
      <c r="N17">
        <f t="shared" si="8"/>
        <v>0</v>
      </c>
      <c r="O17" s="24">
        <f t="shared" si="9"/>
        <v>-0.95920027273375474</v>
      </c>
      <c r="P17">
        <f t="shared" si="10"/>
        <v>0</v>
      </c>
      <c r="Q17">
        <f t="shared" si="11"/>
        <v>-0.2771332249794326</v>
      </c>
      <c r="R17">
        <f t="shared" si="12"/>
        <v>0</v>
      </c>
      <c r="S17">
        <f t="shared" si="13"/>
        <v>-1.8747520975298722</v>
      </c>
      <c r="T17">
        <f t="shared" si="14"/>
        <v>0</v>
      </c>
      <c r="U17">
        <f t="shared" si="17"/>
        <v>-1.3972480861056602</v>
      </c>
      <c r="V17">
        <f t="shared" si="15"/>
        <v>0</v>
      </c>
      <c r="W17" s="33">
        <f t="shared" si="18"/>
        <v>-1.0795073440011891</v>
      </c>
      <c r="X17">
        <f t="shared" si="16"/>
        <v>0</v>
      </c>
    </row>
    <row r="18" spans="1:61" ht="15" thickBot="1" x14ac:dyDescent="0.4">
      <c r="A18" t="str">
        <f>Table1!A11</f>
        <v>Tol 1995</v>
      </c>
      <c r="B18">
        <f>Table1!C11</f>
        <v>2.5</v>
      </c>
      <c r="C18">
        <f>Table1!E11</f>
        <v>-1.9</v>
      </c>
      <c r="D18">
        <v>0</v>
      </c>
      <c r="G18">
        <f t="shared" si="1"/>
        <v>-1.0173007158952132</v>
      </c>
      <c r="H18">
        <f t="shared" si="2"/>
        <v>0</v>
      </c>
      <c r="I18">
        <f t="shared" si="3"/>
        <v>-1.1646515506141801</v>
      </c>
      <c r="J18">
        <f t="shared" si="4"/>
        <v>0</v>
      </c>
      <c r="K18">
        <f t="shared" si="5"/>
        <v>-1.2295602540236532</v>
      </c>
      <c r="L18">
        <f t="shared" si="6"/>
        <v>0</v>
      </c>
      <c r="M18">
        <f t="shared" si="7"/>
        <v>-0.96442443080626605</v>
      </c>
      <c r="N18">
        <f t="shared" si="8"/>
        <v>0</v>
      </c>
      <c r="O18" s="24">
        <f t="shared" si="9"/>
        <v>-0.95920027273375474</v>
      </c>
      <c r="P18">
        <f t="shared" si="10"/>
        <v>0</v>
      </c>
      <c r="Q18">
        <f t="shared" si="11"/>
        <v>-0.2771332249794326</v>
      </c>
      <c r="R18">
        <f t="shared" si="12"/>
        <v>0</v>
      </c>
      <c r="S18">
        <f t="shared" si="13"/>
        <v>-1.8747520975298722</v>
      </c>
      <c r="T18">
        <f t="shared" si="14"/>
        <v>0</v>
      </c>
      <c r="U18">
        <f t="shared" si="17"/>
        <v>-1.3972480861056602</v>
      </c>
      <c r="V18">
        <f t="shared" si="15"/>
        <v>0</v>
      </c>
      <c r="W18" s="33">
        <f t="shared" si="18"/>
        <v>-1.0795073440011891</v>
      </c>
      <c r="X18">
        <f t="shared" si="16"/>
        <v>0</v>
      </c>
      <c r="AQ18" s="2"/>
      <c r="AR18" s="2"/>
      <c r="AS18" s="2"/>
      <c r="AT18" s="2"/>
      <c r="AU18" s="2"/>
      <c r="AV18" s="2"/>
      <c r="AW18" s="2"/>
      <c r="AX18" s="2"/>
      <c r="AY18" s="2"/>
      <c r="BA18" s="2"/>
      <c r="BB18" s="2"/>
      <c r="BC18" s="2"/>
      <c r="BD18" s="2"/>
      <c r="BE18" s="2"/>
      <c r="BF18" s="2"/>
      <c r="BG18" s="2"/>
      <c r="BH18" s="2"/>
      <c r="BI18" s="2"/>
    </row>
    <row r="19" spans="1:61" x14ac:dyDescent="0.35">
      <c r="A19" t="str">
        <f>Table1!A12</f>
        <v>Nordhaus and Yang 1996</v>
      </c>
      <c r="B19">
        <f>Table1!C12</f>
        <v>2.5</v>
      </c>
      <c r="C19">
        <f>Table1!E12</f>
        <v>-1.435622202473182</v>
      </c>
      <c r="D19">
        <v>0</v>
      </c>
      <c r="G19">
        <f t="shared" si="1"/>
        <v>-1.0173007158952132</v>
      </c>
      <c r="H19">
        <f t="shared" si="2"/>
        <v>0</v>
      </c>
      <c r="I19">
        <f t="shared" si="3"/>
        <v>-1.1646515506141801</v>
      </c>
      <c r="J19">
        <f t="shared" si="4"/>
        <v>0</v>
      </c>
      <c r="K19">
        <f t="shared" si="5"/>
        <v>-1.2295602540236532</v>
      </c>
      <c r="L19">
        <f t="shared" si="6"/>
        <v>0</v>
      </c>
      <c r="M19">
        <f t="shared" si="7"/>
        <v>-0.96442443080626605</v>
      </c>
      <c r="N19">
        <f t="shared" si="8"/>
        <v>0</v>
      </c>
      <c r="O19" s="24">
        <f t="shared" si="9"/>
        <v>-0.95920027273375474</v>
      </c>
      <c r="P19">
        <f t="shared" si="10"/>
        <v>0</v>
      </c>
      <c r="Q19">
        <f t="shared" si="11"/>
        <v>-0.2771332249794326</v>
      </c>
      <c r="R19">
        <f t="shared" si="12"/>
        <v>0</v>
      </c>
      <c r="S19">
        <f t="shared" si="13"/>
        <v>-1.8747520975298722</v>
      </c>
      <c r="T19">
        <f t="shared" si="14"/>
        <v>0</v>
      </c>
      <c r="U19">
        <f t="shared" si="17"/>
        <v>-1.3972480861056602</v>
      </c>
      <c r="V19">
        <f t="shared" si="15"/>
        <v>0</v>
      </c>
      <c r="W19" s="33">
        <f t="shared" si="18"/>
        <v>-1.0795073440011891</v>
      </c>
      <c r="X19">
        <f t="shared" si="16"/>
        <v>0</v>
      </c>
    </row>
    <row r="20" spans="1:61" x14ac:dyDescent="0.35">
      <c r="A20" t="str">
        <f>Table1!A13</f>
        <v>Plambeck and Hope 1996</v>
      </c>
      <c r="B20">
        <f>Table1!C13</f>
        <v>2.5</v>
      </c>
      <c r="C20">
        <f>Table1!E13</f>
        <v>-2.8909238132996098</v>
      </c>
      <c r="D20">
        <v>0</v>
      </c>
      <c r="G20">
        <f t="shared" si="1"/>
        <v>-1.0173007158952132</v>
      </c>
      <c r="H20">
        <f t="shared" si="2"/>
        <v>0</v>
      </c>
      <c r="I20">
        <f t="shared" si="3"/>
        <v>-1.1646515506141801</v>
      </c>
      <c r="J20">
        <f t="shared" si="4"/>
        <v>0</v>
      </c>
      <c r="K20">
        <f t="shared" si="5"/>
        <v>-1.2295602540236532</v>
      </c>
      <c r="L20">
        <f t="shared" si="6"/>
        <v>0</v>
      </c>
      <c r="M20">
        <f t="shared" si="7"/>
        <v>-0.96442443080626605</v>
      </c>
      <c r="N20">
        <f t="shared" si="8"/>
        <v>0</v>
      </c>
      <c r="O20" s="24">
        <f t="shared" si="9"/>
        <v>-0.95920027273375474</v>
      </c>
      <c r="P20">
        <f t="shared" si="10"/>
        <v>0</v>
      </c>
      <c r="Q20">
        <f t="shared" si="11"/>
        <v>-0.2771332249794326</v>
      </c>
      <c r="R20">
        <f t="shared" si="12"/>
        <v>0</v>
      </c>
      <c r="S20">
        <f t="shared" si="13"/>
        <v>-1.8747520975298722</v>
      </c>
      <c r="T20">
        <f t="shared" si="14"/>
        <v>0</v>
      </c>
      <c r="U20">
        <f t="shared" si="17"/>
        <v>-1.3972480861056602</v>
      </c>
      <c r="V20">
        <f t="shared" si="15"/>
        <v>0</v>
      </c>
      <c r="W20" s="33">
        <f t="shared" si="18"/>
        <v>-1.0795073440011891</v>
      </c>
      <c r="X20">
        <f t="shared" si="16"/>
        <v>0</v>
      </c>
      <c r="AF20" s="5"/>
    </row>
    <row r="21" spans="1:61" x14ac:dyDescent="0.35">
      <c r="A21" t="str">
        <f>Table1!A14</f>
        <v>Mendelsohn et al. 2000, 2006</v>
      </c>
      <c r="B21">
        <f>Table1!C14</f>
        <v>2.4900000000000002</v>
      </c>
      <c r="C21">
        <f>Table1!E14</f>
        <v>0.03</v>
      </c>
      <c r="D21">
        <v>0</v>
      </c>
      <c r="G21">
        <f t="shared" si="1"/>
        <v>-1.0072085977761276</v>
      </c>
      <c r="H21">
        <f t="shared" si="2"/>
        <v>0</v>
      </c>
      <c r="I21">
        <f t="shared" si="3"/>
        <v>-1.1599929444117234</v>
      </c>
      <c r="J21">
        <f t="shared" si="4"/>
        <v>0</v>
      </c>
      <c r="K21">
        <f t="shared" si="5"/>
        <v>-1.2197434449555284</v>
      </c>
      <c r="L21">
        <f t="shared" si="6"/>
        <v>0</v>
      </c>
      <c r="M21">
        <f t="shared" si="7"/>
        <v>-0.95659267165969941</v>
      </c>
      <c r="N21">
        <f t="shared" si="8"/>
        <v>0</v>
      </c>
      <c r="O21" s="24">
        <f t="shared" si="9"/>
        <v>-0.95129359657521961</v>
      </c>
      <c r="P21">
        <f t="shared" si="10"/>
        <v>0</v>
      </c>
      <c r="Q21">
        <f t="shared" si="11"/>
        <v>-0.27412911059189066</v>
      </c>
      <c r="R21">
        <f t="shared" si="12"/>
        <v>0</v>
      </c>
      <c r="S21">
        <f t="shared" si="13"/>
        <v>-1.8672530891397527</v>
      </c>
      <c r="T21">
        <f t="shared" si="14"/>
        <v>0</v>
      </c>
      <c r="U21">
        <f t="shared" si="17"/>
        <v>-1.3894522510482945</v>
      </c>
      <c r="V21">
        <f t="shared" si="15"/>
        <v>0</v>
      </c>
      <c r="W21" s="33">
        <f t="shared" si="18"/>
        <v>-1.071649850615036</v>
      </c>
      <c r="X21">
        <f t="shared" si="16"/>
        <v>0</v>
      </c>
      <c r="AF21" s="5"/>
    </row>
    <row r="22" spans="1:61" x14ac:dyDescent="0.35">
      <c r="A22">
        <f>Table1!A15</f>
        <v>0</v>
      </c>
      <c r="B22">
        <f>Table1!C15</f>
        <v>2.4900000000000002</v>
      </c>
      <c r="C22">
        <f>Table1!E15</f>
        <v>0.1</v>
      </c>
      <c r="D22">
        <v>0</v>
      </c>
      <c r="G22">
        <f t="shared" si="1"/>
        <v>-1.0072085977761276</v>
      </c>
      <c r="H22">
        <f t="shared" si="2"/>
        <v>0</v>
      </c>
      <c r="I22">
        <f t="shared" si="3"/>
        <v>-1.1599929444117234</v>
      </c>
      <c r="J22">
        <f t="shared" si="4"/>
        <v>0</v>
      </c>
      <c r="K22">
        <f t="shared" si="5"/>
        <v>-1.2197434449555284</v>
      </c>
      <c r="L22">
        <f t="shared" si="6"/>
        <v>0</v>
      </c>
      <c r="M22">
        <f t="shared" si="7"/>
        <v>-0.95659267165969941</v>
      </c>
      <c r="N22">
        <f t="shared" si="8"/>
        <v>0</v>
      </c>
      <c r="O22" s="24">
        <f t="shared" si="9"/>
        <v>-0.95129359657521961</v>
      </c>
      <c r="P22">
        <f t="shared" si="10"/>
        <v>0</v>
      </c>
      <c r="Q22">
        <f t="shared" si="11"/>
        <v>-0.27412911059189066</v>
      </c>
      <c r="R22">
        <f t="shared" si="12"/>
        <v>0</v>
      </c>
      <c r="S22">
        <f t="shared" si="13"/>
        <v>-1.8672530891397527</v>
      </c>
      <c r="T22">
        <f t="shared" si="14"/>
        <v>0</v>
      </c>
      <c r="U22">
        <f t="shared" si="17"/>
        <v>-1.3894522510482945</v>
      </c>
      <c r="V22">
        <f t="shared" si="15"/>
        <v>0</v>
      </c>
      <c r="W22" s="33">
        <f t="shared" si="18"/>
        <v>-1.071649850615036</v>
      </c>
      <c r="X22">
        <f t="shared" si="16"/>
        <v>0</v>
      </c>
      <c r="AF22" s="5"/>
    </row>
    <row r="23" spans="1:61" x14ac:dyDescent="0.35">
      <c r="A23">
        <f>Table1!A16</f>
        <v>0</v>
      </c>
      <c r="B23">
        <f>Table1!C16</f>
        <v>4</v>
      </c>
      <c r="C23">
        <f>Table1!E16</f>
        <v>-0.01</v>
      </c>
      <c r="D23">
        <v>0</v>
      </c>
      <c r="G23">
        <f t="shared" si="1"/>
        <v>-3.0789860262768411</v>
      </c>
      <c r="H23">
        <f t="shared" si="2"/>
        <v>0</v>
      </c>
      <c r="I23">
        <f t="shared" si="3"/>
        <v>-2.6909358375864629</v>
      </c>
      <c r="J23">
        <f t="shared" si="4"/>
        <v>0</v>
      </c>
      <c r="K23">
        <f t="shared" si="5"/>
        <v>-3.1476742503005521</v>
      </c>
      <c r="L23">
        <f t="shared" si="6"/>
        <v>0</v>
      </c>
      <c r="M23">
        <f t="shared" si="7"/>
        <v>-2.6315319671303166</v>
      </c>
      <c r="N23">
        <f t="shared" si="8"/>
        <v>0</v>
      </c>
      <c r="O23" s="24">
        <f t="shared" si="9"/>
        <v>-2.6794099440546275</v>
      </c>
      <c r="P23">
        <f t="shared" si="10"/>
        <v>0</v>
      </c>
      <c r="Q23">
        <f t="shared" si="11"/>
        <v>-1.3283108601546976</v>
      </c>
      <c r="R23">
        <f t="shared" si="12"/>
        <v>0</v>
      </c>
      <c r="S23">
        <f t="shared" si="13"/>
        <v>-2.9996033560477953</v>
      </c>
      <c r="T23">
        <f t="shared" si="14"/>
        <v>0</v>
      </c>
      <c r="U23">
        <f t="shared" si="17"/>
        <v>-2.9992535340366504</v>
      </c>
      <c r="V23">
        <f t="shared" si="15"/>
        <v>0</v>
      </c>
      <c r="W23" s="33">
        <f t="shared" si="18"/>
        <v>-2.7917186414957764</v>
      </c>
      <c r="X23">
        <f t="shared" si="16"/>
        <v>0</v>
      </c>
    </row>
    <row r="24" spans="1:61" x14ac:dyDescent="0.35">
      <c r="A24">
        <f>Table1!A17</f>
        <v>0</v>
      </c>
      <c r="B24">
        <f>Table1!C17</f>
        <v>4</v>
      </c>
      <c r="C24">
        <f>Table1!E17</f>
        <v>-0.04</v>
      </c>
      <c r="D24">
        <v>0</v>
      </c>
      <c r="G24">
        <f t="shared" si="1"/>
        <v>-3.0789860262768411</v>
      </c>
      <c r="H24">
        <f t="shared" si="2"/>
        <v>0</v>
      </c>
      <c r="I24">
        <f t="shared" si="3"/>
        <v>-2.6909358375864629</v>
      </c>
      <c r="J24">
        <f t="shared" si="4"/>
        <v>0</v>
      </c>
      <c r="K24">
        <f t="shared" si="5"/>
        <v>-3.1476742503005521</v>
      </c>
      <c r="L24">
        <f t="shared" si="6"/>
        <v>0</v>
      </c>
      <c r="M24">
        <f t="shared" si="7"/>
        <v>-2.6315319671303166</v>
      </c>
      <c r="N24">
        <f t="shared" si="8"/>
        <v>0</v>
      </c>
      <c r="O24" s="24">
        <f t="shared" si="9"/>
        <v>-2.6794099440546275</v>
      </c>
      <c r="P24">
        <f t="shared" si="10"/>
        <v>0</v>
      </c>
      <c r="Q24">
        <f t="shared" si="11"/>
        <v>-1.3283108601546976</v>
      </c>
      <c r="R24">
        <f t="shared" si="12"/>
        <v>0</v>
      </c>
      <c r="S24">
        <f t="shared" si="13"/>
        <v>-2.9996033560477953</v>
      </c>
      <c r="T24">
        <f t="shared" si="14"/>
        <v>0</v>
      </c>
      <c r="U24">
        <f t="shared" si="17"/>
        <v>-2.9992535340366504</v>
      </c>
      <c r="V24">
        <f t="shared" si="15"/>
        <v>0</v>
      </c>
      <c r="W24" s="33">
        <f t="shared" si="18"/>
        <v>-2.7917186414957764</v>
      </c>
      <c r="X24">
        <f t="shared" si="16"/>
        <v>0</v>
      </c>
    </row>
    <row r="25" spans="1:61" ht="15" thickBot="1" x14ac:dyDescent="0.4">
      <c r="A25">
        <f>Table1!A18</f>
        <v>0</v>
      </c>
      <c r="B25">
        <f>Table1!C18</f>
        <v>5.2</v>
      </c>
      <c r="C25">
        <f>Table1!E18</f>
        <v>-0.01</v>
      </c>
      <c r="D25">
        <v>0</v>
      </c>
      <c r="G25">
        <f t="shared" si="1"/>
        <v>-5.5120389102381742</v>
      </c>
      <c r="H25">
        <f t="shared" si="2"/>
        <v>0</v>
      </c>
      <c r="I25">
        <f t="shared" si="3"/>
        <v>-5.7376121548260812</v>
      </c>
      <c r="J25">
        <f t="shared" si="4"/>
        <v>0</v>
      </c>
      <c r="K25">
        <f t="shared" si="5"/>
        <v>-5.3195694830079336</v>
      </c>
      <c r="L25">
        <f t="shared" si="6"/>
        <v>0</v>
      </c>
      <c r="M25">
        <f t="shared" si="7"/>
        <v>-5.2714045625725454</v>
      </c>
      <c r="N25">
        <f t="shared" si="8"/>
        <v>0</v>
      </c>
      <c r="O25" s="24">
        <f t="shared" si="9"/>
        <v>-5.3568402720975481</v>
      </c>
      <c r="P25">
        <f t="shared" si="10"/>
        <v>0</v>
      </c>
      <c r="Q25">
        <f t="shared" si="11"/>
        <v>-4.4676462997159625</v>
      </c>
      <c r="R25">
        <f t="shared" si="12"/>
        <v>0</v>
      </c>
      <c r="S25">
        <f t="shared" si="13"/>
        <v>-3.8994843628621338</v>
      </c>
      <c r="T25">
        <f t="shared" si="14"/>
        <v>0</v>
      </c>
      <c r="U25">
        <f t="shared" si="17"/>
        <v>-5.267927391430022</v>
      </c>
      <c r="V25">
        <f t="shared" si="15"/>
        <v>0</v>
      </c>
      <c r="W25" s="33">
        <f t="shared" si="18"/>
        <v>-5.362903912027563</v>
      </c>
      <c r="X25">
        <f t="shared" si="16"/>
        <v>0</v>
      </c>
    </row>
    <row r="26" spans="1:61" x14ac:dyDescent="0.35">
      <c r="A26">
        <f>Table1!A19</f>
        <v>0</v>
      </c>
      <c r="B26">
        <f>Table1!C19</f>
        <v>5.2</v>
      </c>
      <c r="C26">
        <f>Table1!E19</f>
        <v>-0.13</v>
      </c>
      <c r="D26">
        <v>0</v>
      </c>
      <c r="G26">
        <f t="shared" si="1"/>
        <v>-5.5120389102381742</v>
      </c>
      <c r="H26">
        <f t="shared" si="2"/>
        <v>0</v>
      </c>
      <c r="I26">
        <f t="shared" si="3"/>
        <v>-5.7376121548260812</v>
      </c>
      <c r="J26">
        <f t="shared" si="4"/>
        <v>0</v>
      </c>
      <c r="K26">
        <f t="shared" si="5"/>
        <v>-5.3195694830079336</v>
      </c>
      <c r="L26">
        <f t="shared" si="6"/>
        <v>0</v>
      </c>
      <c r="M26">
        <f t="shared" si="7"/>
        <v>-5.2714045625725454</v>
      </c>
      <c r="N26">
        <f t="shared" si="8"/>
        <v>0</v>
      </c>
      <c r="O26" s="24">
        <f t="shared" si="9"/>
        <v>-5.3568402720975481</v>
      </c>
      <c r="P26">
        <f t="shared" si="10"/>
        <v>0</v>
      </c>
      <c r="Q26">
        <f t="shared" si="11"/>
        <v>-4.4676462997159625</v>
      </c>
      <c r="R26">
        <f t="shared" si="12"/>
        <v>0</v>
      </c>
      <c r="S26">
        <f t="shared" si="13"/>
        <v>-3.8994843628621338</v>
      </c>
      <c r="T26">
        <f t="shared" si="14"/>
        <v>0</v>
      </c>
      <c r="U26">
        <f t="shared" si="17"/>
        <v>-5.267927391430022</v>
      </c>
      <c r="V26">
        <f t="shared" si="15"/>
        <v>0</v>
      </c>
      <c r="W26" s="33">
        <f t="shared" si="18"/>
        <v>-5.362903912027563</v>
      </c>
      <c r="X26">
        <f t="shared" si="16"/>
        <v>0</v>
      </c>
      <c r="AQ26" s="4"/>
      <c r="AR26" s="4"/>
    </row>
    <row r="27" spans="1:61" x14ac:dyDescent="0.35">
      <c r="A27" t="str">
        <f>Table1!A20</f>
        <v>Nordhaus and Boyer 2000</v>
      </c>
      <c r="B27">
        <f>Table1!C20</f>
        <v>2.5</v>
      </c>
      <c r="C27">
        <f>Table1!E20</f>
        <v>-1.5</v>
      </c>
      <c r="D27">
        <v>0</v>
      </c>
      <c r="G27">
        <f t="shared" si="1"/>
        <v>-1.0173007158952132</v>
      </c>
      <c r="H27">
        <f t="shared" si="2"/>
        <v>0</v>
      </c>
      <c r="I27">
        <f t="shared" si="3"/>
        <v>-1.1646515506141801</v>
      </c>
      <c r="J27">
        <f t="shared" si="4"/>
        <v>0</v>
      </c>
      <c r="K27">
        <f t="shared" si="5"/>
        <v>-1.2295602540236532</v>
      </c>
      <c r="L27">
        <f t="shared" si="6"/>
        <v>0</v>
      </c>
      <c r="M27">
        <f t="shared" si="7"/>
        <v>-0.96442443080626605</v>
      </c>
      <c r="N27">
        <f t="shared" si="8"/>
        <v>0</v>
      </c>
      <c r="O27" s="24">
        <f t="shared" si="9"/>
        <v>-0.95920027273375474</v>
      </c>
      <c r="P27">
        <f t="shared" si="10"/>
        <v>0</v>
      </c>
      <c r="Q27">
        <f t="shared" si="11"/>
        <v>-0.2771332249794326</v>
      </c>
      <c r="R27">
        <f t="shared" si="12"/>
        <v>0</v>
      </c>
      <c r="S27">
        <f t="shared" si="13"/>
        <v>-1.8747520975298722</v>
      </c>
      <c r="T27">
        <f t="shared" si="14"/>
        <v>0</v>
      </c>
      <c r="U27">
        <f t="shared" si="17"/>
        <v>-1.3972480861056602</v>
      </c>
      <c r="V27">
        <f t="shared" si="15"/>
        <v>0</v>
      </c>
      <c r="W27" s="33">
        <f t="shared" si="18"/>
        <v>-1.0795073440011891</v>
      </c>
      <c r="X27">
        <f t="shared" si="16"/>
        <v>0</v>
      </c>
    </row>
    <row r="28" spans="1:61" x14ac:dyDescent="0.35">
      <c r="A28" t="str">
        <f>Table1!A21</f>
        <v>Tol 2002</v>
      </c>
      <c r="B28">
        <f>Table1!C21</f>
        <v>1</v>
      </c>
      <c r="C28">
        <f>Table1!E21</f>
        <v>2.2999999999999998</v>
      </c>
      <c r="D28">
        <v>0</v>
      </c>
      <c r="G28">
        <f t="shared" si="1"/>
        <v>-4.4094066146960209E-2</v>
      </c>
      <c r="H28">
        <f t="shared" si="2"/>
        <v>0</v>
      </c>
      <c r="I28">
        <f t="shared" si="3"/>
        <v>-0.46586062024567204</v>
      </c>
      <c r="J28">
        <f t="shared" si="4"/>
        <v>0</v>
      </c>
      <c r="K28">
        <f t="shared" si="5"/>
        <v>-0.19672964064378451</v>
      </c>
      <c r="L28">
        <f t="shared" si="6"/>
        <v>0</v>
      </c>
      <c r="M28">
        <f t="shared" si="7"/>
        <v>-0.15324750137651214</v>
      </c>
      <c r="N28">
        <f t="shared" si="8"/>
        <v>0</v>
      </c>
      <c r="O28" s="24">
        <f t="shared" si="9"/>
        <v>-0.15101725642322555</v>
      </c>
      <c r="P28">
        <f t="shared" si="10"/>
        <v>0</v>
      </c>
      <c r="Q28">
        <f t="shared" si="11"/>
        <v>-4.2583790898327895E-2</v>
      </c>
      <c r="R28">
        <f t="shared" si="12"/>
        <v>0</v>
      </c>
      <c r="S28">
        <f t="shared" si="13"/>
        <v>-0.74990083901194882</v>
      </c>
      <c r="T28">
        <f t="shared" si="14"/>
        <v>0</v>
      </c>
      <c r="U28">
        <f t="shared" si="17"/>
        <v>-0.47036823300131358</v>
      </c>
      <c r="V28">
        <f t="shared" si="15"/>
        <v>0</v>
      </c>
      <c r="W28" s="33">
        <f t="shared" si="18"/>
        <v>-0.23069031629109499</v>
      </c>
      <c r="X28">
        <f t="shared" si="16"/>
        <v>0</v>
      </c>
    </row>
    <row r="29" spans="1:61" x14ac:dyDescent="0.35">
      <c r="A29" t="str">
        <f>Table1!A22</f>
        <v>Maddison 2003</v>
      </c>
      <c r="B29">
        <f>Table1!C22</f>
        <v>2.5</v>
      </c>
      <c r="C29">
        <f>Table1!E22</f>
        <v>3.3000365094043249E-2</v>
      </c>
      <c r="D29">
        <v>0</v>
      </c>
      <c r="G29">
        <f t="shared" si="1"/>
        <v>-1.0173007158952132</v>
      </c>
      <c r="H29">
        <f t="shared" si="2"/>
        <v>0</v>
      </c>
      <c r="I29">
        <f t="shared" si="3"/>
        <v>-1.1646515506141801</v>
      </c>
      <c r="J29">
        <f t="shared" si="4"/>
        <v>0</v>
      </c>
      <c r="K29">
        <f t="shared" si="5"/>
        <v>-1.2295602540236532</v>
      </c>
      <c r="L29">
        <f t="shared" si="6"/>
        <v>0</v>
      </c>
      <c r="M29">
        <f t="shared" si="7"/>
        <v>-0.96442443080626605</v>
      </c>
      <c r="N29">
        <f t="shared" si="8"/>
        <v>0</v>
      </c>
      <c r="O29" s="24">
        <f t="shared" si="9"/>
        <v>-0.95920027273375474</v>
      </c>
      <c r="P29">
        <f t="shared" si="10"/>
        <v>0</v>
      </c>
      <c r="Q29">
        <f t="shared" si="11"/>
        <v>-0.2771332249794326</v>
      </c>
      <c r="R29">
        <f t="shared" si="12"/>
        <v>0</v>
      </c>
      <c r="S29">
        <f t="shared" si="13"/>
        <v>-1.8747520975298722</v>
      </c>
      <c r="T29">
        <f t="shared" si="14"/>
        <v>0</v>
      </c>
      <c r="U29">
        <f t="shared" si="17"/>
        <v>-1.3972480861056602</v>
      </c>
      <c r="V29">
        <f t="shared" si="15"/>
        <v>0</v>
      </c>
      <c r="W29" s="33">
        <f t="shared" si="18"/>
        <v>-1.0795073440011891</v>
      </c>
      <c r="X29">
        <f t="shared" si="16"/>
        <v>0</v>
      </c>
    </row>
    <row r="30" spans="1:61" x14ac:dyDescent="0.35">
      <c r="A30" t="str">
        <f>Table1!A23</f>
        <v>Rehdanz and Maddison 2005</v>
      </c>
      <c r="B30">
        <f>Table1!C23</f>
        <v>0.6</v>
      </c>
      <c r="C30">
        <f>Table1!E23</f>
        <v>-0.17962065483383896</v>
      </c>
      <c r="D30">
        <v>0</v>
      </c>
      <c r="G30">
        <f t="shared" si="1"/>
        <v>3.1595755545603871E-2</v>
      </c>
      <c r="H30">
        <f t="shared" si="2"/>
        <v>0</v>
      </c>
      <c r="I30">
        <f t="shared" si="3"/>
        <v>-0.27951637214740321</v>
      </c>
      <c r="J30">
        <f t="shared" si="4"/>
        <v>0</v>
      </c>
      <c r="K30">
        <f t="shared" si="5"/>
        <v>-7.0822670631762424E-2</v>
      </c>
      <c r="L30">
        <f t="shared" si="6"/>
        <v>0</v>
      </c>
      <c r="M30">
        <f t="shared" si="7"/>
        <v>-5.5165458081380403E-2</v>
      </c>
      <c r="N30">
        <f t="shared" si="8"/>
        <v>0</v>
      </c>
      <c r="O30" s="24">
        <f t="shared" si="9"/>
        <v>-5.434600363335066E-2</v>
      </c>
      <c r="P30">
        <f t="shared" si="10"/>
        <v>0</v>
      </c>
      <c r="Q30">
        <f t="shared" si="11"/>
        <v>-2.0374384754338937E-2</v>
      </c>
      <c r="R30">
        <f t="shared" si="12"/>
        <v>0</v>
      </c>
      <c r="S30">
        <f t="shared" si="13"/>
        <v>-0.44994050340716929</v>
      </c>
      <c r="T30">
        <f t="shared" si="14"/>
        <v>0</v>
      </c>
      <c r="U30">
        <f t="shared" si="17"/>
        <v>-0.27612522980370929</v>
      </c>
      <c r="V30">
        <f t="shared" si="15"/>
        <v>0</v>
      </c>
      <c r="W30" s="33">
        <f t="shared" si="18"/>
        <v>-0.10787165596864057</v>
      </c>
      <c r="X30">
        <f t="shared" si="16"/>
        <v>0</v>
      </c>
    </row>
    <row r="31" spans="1:61" ht="15" thickBot="1" x14ac:dyDescent="0.4">
      <c r="A31">
        <f>Table1!A24</f>
        <v>0</v>
      </c>
      <c r="B31">
        <f>Table1!C24</f>
        <v>1</v>
      </c>
      <c r="C31">
        <f>Table1!E24</f>
        <v>-0.30947656699459297</v>
      </c>
      <c r="D31">
        <v>0</v>
      </c>
      <c r="G31">
        <f t="shared" si="1"/>
        <v>-4.4094066146960209E-2</v>
      </c>
      <c r="H31">
        <f t="shared" si="2"/>
        <v>0</v>
      </c>
      <c r="I31">
        <f t="shared" si="3"/>
        <v>-0.46586062024567204</v>
      </c>
      <c r="J31">
        <f t="shared" si="4"/>
        <v>0</v>
      </c>
      <c r="K31">
        <f t="shared" si="5"/>
        <v>-0.19672964064378451</v>
      </c>
      <c r="L31">
        <f t="shared" si="6"/>
        <v>0</v>
      </c>
      <c r="M31">
        <f t="shared" si="7"/>
        <v>-0.15324750137651214</v>
      </c>
      <c r="N31">
        <f t="shared" si="8"/>
        <v>0</v>
      </c>
      <c r="O31" s="24">
        <f t="shared" si="9"/>
        <v>-0.15101725642322555</v>
      </c>
      <c r="P31">
        <f t="shared" si="10"/>
        <v>0</v>
      </c>
      <c r="Q31">
        <f t="shared" si="11"/>
        <v>-4.2583790898327895E-2</v>
      </c>
      <c r="R31">
        <f t="shared" si="12"/>
        <v>0</v>
      </c>
      <c r="S31">
        <f t="shared" si="13"/>
        <v>-0.74990083901194882</v>
      </c>
      <c r="T31">
        <f t="shared" si="14"/>
        <v>0</v>
      </c>
      <c r="U31">
        <f t="shared" si="17"/>
        <v>-0.47036823300131358</v>
      </c>
      <c r="V31">
        <f t="shared" si="15"/>
        <v>0</v>
      </c>
      <c r="W31" s="33">
        <f t="shared" si="18"/>
        <v>-0.23069031629109499</v>
      </c>
      <c r="X31">
        <f t="shared" si="16"/>
        <v>0</v>
      </c>
      <c r="AQ31" s="2"/>
      <c r="AR31" s="2"/>
    </row>
    <row r="32" spans="1:61" x14ac:dyDescent="0.35">
      <c r="A32" t="str">
        <f>Table1!A25</f>
        <v>Hope 2006</v>
      </c>
      <c r="B32">
        <f>Table1!C25</f>
        <v>2.5</v>
      </c>
      <c r="C32">
        <f>Table1!E25</f>
        <v>-0.9804776851232514</v>
      </c>
      <c r="D32">
        <v>0</v>
      </c>
      <c r="G32">
        <f t="shared" si="1"/>
        <v>-1.0173007158952132</v>
      </c>
      <c r="H32">
        <f t="shared" si="2"/>
        <v>0</v>
      </c>
      <c r="I32">
        <f t="shared" si="3"/>
        <v>-1.1646515506141801</v>
      </c>
      <c r="J32">
        <f t="shared" si="4"/>
        <v>0</v>
      </c>
      <c r="K32">
        <f t="shared" si="5"/>
        <v>-1.2295602540236532</v>
      </c>
      <c r="L32">
        <f t="shared" si="6"/>
        <v>0</v>
      </c>
      <c r="M32">
        <f t="shared" si="7"/>
        <v>-0.96442443080626605</v>
      </c>
      <c r="N32">
        <f t="shared" si="8"/>
        <v>0</v>
      </c>
      <c r="O32" s="24">
        <f t="shared" si="9"/>
        <v>-0.95920027273375474</v>
      </c>
      <c r="P32">
        <f t="shared" si="10"/>
        <v>0</v>
      </c>
      <c r="Q32">
        <f t="shared" si="11"/>
        <v>-0.2771332249794326</v>
      </c>
      <c r="R32">
        <f t="shared" si="12"/>
        <v>0</v>
      </c>
      <c r="S32">
        <f t="shared" si="13"/>
        <v>-1.8747520975298722</v>
      </c>
      <c r="T32">
        <f t="shared" si="14"/>
        <v>0</v>
      </c>
      <c r="U32">
        <f t="shared" si="17"/>
        <v>-1.3972480861056602</v>
      </c>
      <c r="V32">
        <f t="shared" si="15"/>
        <v>0</v>
      </c>
      <c r="W32" s="33">
        <f t="shared" si="18"/>
        <v>-1.0795073440011891</v>
      </c>
      <c r="X32">
        <f t="shared" si="16"/>
        <v>0</v>
      </c>
    </row>
    <row r="33" spans="1:51" ht="15" thickBot="1" x14ac:dyDescent="0.4">
      <c r="A33" t="str">
        <f>Table1!A26</f>
        <v>Nordhaus 2006</v>
      </c>
      <c r="B33">
        <f>Table1!C26</f>
        <v>3</v>
      </c>
      <c r="C33">
        <f>Table1!E26</f>
        <v>-0.93</v>
      </c>
      <c r="D33">
        <v>0</v>
      </c>
      <c r="G33">
        <f t="shared" si="1"/>
        <v>-1.583587079285381</v>
      </c>
      <c r="H33">
        <f t="shared" si="2"/>
        <v>0</v>
      </c>
      <c r="I33">
        <f t="shared" si="3"/>
        <v>-1.3975818607370161</v>
      </c>
      <c r="J33">
        <f t="shared" si="4"/>
        <v>0</v>
      </c>
      <c r="K33">
        <f t="shared" si="5"/>
        <v>-1.7705667657940607</v>
      </c>
      <c r="L33">
        <f t="shared" si="6"/>
        <v>0</v>
      </c>
      <c r="M33">
        <f t="shared" si="7"/>
        <v>-1.4031221663745044</v>
      </c>
      <c r="N33">
        <f t="shared" si="8"/>
        <v>0</v>
      </c>
      <c r="O33" s="24">
        <f t="shared" si="9"/>
        <v>-1.4055906915648568</v>
      </c>
      <c r="P33">
        <f t="shared" si="10"/>
        <v>0</v>
      </c>
      <c r="Q33">
        <f t="shared" si="11"/>
        <v>-0.4729925557370297</v>
      </c>
      <c r="R33">
        <f t="shared" si="12"/>
        <v>0</v>
      </c>
      <c r="S33">
        <f t="shared" si="13"/>
        <v>-2.2497025170358462</v>
      </c>
      <c r="T33">
        <f t="shared" si="14"/>
        <v>0</v>
      </c>
      <c r="U33">
        <f t="shared" si="17"/>
        <v>-1.8273735760024097</v>
      </c>
      <c r="V33">
        <f t="shared" si="15"/>
        <v>0</v>
      </c>
      <c r="W33" s="33">
        <f t="shared" si="18"/>
        <v>-1.5155838238446031</v>
      </c>
      <c r="X33">
        <f t="shared" si="16"/>
        <v>0</v>
      </c>
    </row>
    <row r="34" spans="1:51" x14ac:dyDescent="0.35">
      <c r="A34">
        <f>Table1!A27</f>
        <v>0</v>
      </c>
      <c r="B34">
        <f>Table1!C27</f>
        <v>3</v>
      </c>
      <c r="C34">
        <f>Table1!E27</f>
        <v>-1.05</v>
      </c>
      <c r="D34">
        <v>0</v>
      </c>
      <c r="G34">
        <f t="shared" si="1"/>
        <v>-1.583587079285381</v>
      </c>
      <c r="H34">
        <f t="shared" si="2"/>
        <v>0</v>
      </c>
      <c r="I34">
        <f t="shared" si="3"/>
        <v>-1.3975818607370161</v>
      </c>
      <c r="J34">
        <f t="shared" si="4"/>
        <v>0</v>
      </c>
      <c r="K34">
        <f t="shared" si="5"/>
        <v>-1.7705667657940607</v>
      </c>
      <c r="L34">
        <f t="shared" si="6"/>
        <v>0</v>
      </c>
      <c r="M34">
        <f t="shared" si="7"/>
        <v>-1.4031221663745044</v>
      </c>
      <c r="N34">
        <f t="shared" si="8"/>
        <v>0</v>
      </c>
      <c r="O34" s="24">
        <f t="shared" si="9"/>
        <v>-1.4055906915648568</v>
      </c>
      <c r="P34">
        <f t="shared" si="10"/>
        <v>0</v>
      </c>
      <c r="Q34">
        <f t="shared" si="11"/>
        <v>-0.4729925557370297</v>
      </c>
      <c r="R34">
        <f t="shared" si="12"/>
        <v>0</v>
      </c>
      <c r="S34">
        <f t="shared" si="13"/>
        <v>-2.2497025170358462</v>
      </c>
      <c r="T34">
        <f t="shared" si="14"/>
        <v>0</v>
      </c>
      <c r="U34">
        <f t="shared" si="17"/>
        <v>-1.8273735760024097</v>
      </c>
      <c r="V34">
        <f t="shared" si="15"/>
        <v>0</v>
      </c>
      <c r="W34" s="33">
        <f t="shared" si="18"/>
        <v>-1.5155838238446031</v>
      </c>
      <c r="X34">
        <f t="shared" si="16"/>
        <v>0</v>
      </c>
      <c r="AQ34" s="3"/>
      <c r="AR34" s="3"/>
      <c r="AS34" s="3"/>
      <c r="AT34" s="3"/>
      <c r="AU34" s="3"/>
      <c r="AV34" s="3"/>
    </row>
    <row r="35" spans="1:51" x14ac:dyDescent="0.35">
      <c r="A35" t="str">
        <f>Table1!A28</f>
        <v>Nordhaus 2008</v>
      </c>
      <c r="B35">
        <f>Table1!C28</f>
        <v>3</v>
      </c>
      <c r="C35">
        <f>Table1!E28</f>
        <v>-2.5</v>
      </c>
      <c r="D35">
        <v>0</v>
      </c>
      <c r="G35">
        <f t="shared" si="1"/>
        <v>-1.583587079285381</v>
      </c>
      <c r="H35">
        <f t="shared" si="2"/>
        <v>0</v>
      </c>
      <c r="I35">
        <f t="shared" si="3"/>
        <v>-1.3975818607370161</v>
      </c>
      <c r="J35">
        <f t="shared" si="4"/>
        <v>0</v>
      </c>
      <c r="K35">
        <f t="shared" si="5"/>
        <v>-1.7705667657940607</v>
      </c>
      <c r="L35">
        <f t="shared" si="6"/>
        <v>0</v>
      </c>
      <c r="M35">
        <f t="shared" si="7"/>
        <v>-1.4031221663745044</v>
      </c>
      <c r="N35">
        <f t="shared" si="8"/>
        <v>0</v>
      </c>
      <c r="O35" s="24">
        <f t="shared" si="9"/>
        <v>-1.4055906915648568</v>
      </c>
      <c r="P35">
        <f t="shared" si="10"/>
        <v>0</v>
      </c>
      <c r="Q35">
        <f t="shared" si="11"/>
        <v>-0.4729925557370297</v>
      </c>
      <c r="R35">
        <f t="shared" si="12"/>
        <v>0</v>
      </c>
      <c r="S35">
        <f t="shared" si="13"/>
        <v>-2.2497025170358462</v>
      </c>
      <c r="T35">
        <f t="shared" si="14"/>
        <v>0</v>
      </c>
      <c r="U35">
        <f t="shared" si="17"/>
        <v>-1.8273735760024097</v>
      </c>
      <c r="V35">
        <f t="shared" si="15"/>
        <v>0</v>
      </c>
      <c r="W35" s="33">
        <f t="shared" si="18"/>
        <v>-1.5155838238446031</v>
      </c>
      <c r="X35">
        <f t="shared" si="16"/>
        <v>0</v>
      </c>
    </row>
    <row r="36" spans="1:51" x14ac:dyDescent="0.35">
      <c r="A36" t="str">
        <f>Table1!A29</f>
        <v>Maddison and Rehdanz 2011</v>
      </c>
      <c r="B36">
        <f>Table1!C29</f>
        <v>3.2</v>
      </c>
      <c r="C36">
        <f>Table1!E29</f>
        <v>-5.1135252093739076</v>
      </c>
      <c r="D36">
        <v>0</v>
      </c>
      <c r="G36">
        <f t="shared" si="1"/>
        <v>-1.8439654051944865</v>
      </c>
      <c r="H36">
        <f t="shared" si="2"/>
        <v>0</v>
      </c>
      <c r="I36">
        <f t="shared" si="3"/>
        <v>-1.4907539847861506</v>
      </c>
      <c r="J36">
        <f t="shared" si="4"/>
        <v>0</v>
      </c>
      <c r="K36">
        <f t="shared" si="5"/>
        <v>-2.0145115201923538</v>
      </c>
      <c r="L36">
        <f t="shared" si="6"/>
        <v>0</v>
      </c>
      <c r="M36">
        <f t="shared" si="7"/>
        <v>-1.6068378505868111</v>
      </c>
      <c r="N36">
        <f t="shared" si="8"/>
        <v>0</v>
      </c>
      <c r="O36" s="24">
        <f t="shared" si="9"/>
        <v>-1.6150057548328047</v>
      </c>
      <c r="P36">
        <f t="shared" si="10"/>
        <v>0</v>
      </c>
      <c r="Q36">
        <f t="shared" si="11"/>
        <v>-0.58320138677191202</v>
      </c>
      <c r="R36">
        <f t="shared" si="12"/>
        <v>0</v>
      </c>
      <c r="S36">
        <f t="shared" si="13"/>
        <v>-2.3996826848382362</v>
      </c>
      <c r="T36">
        <f t="shared" si="14"/>
        <v>0</v>
      </c>
      <c r="U36">
        <f t="shared" si="17"/>
        <v>-2.0245665625300404</v>
      </c>
      <c r="V36">
        <f t="shared" si="15"/>
        <v>0</v>
      </c>
      <c r="W36" s="33">
        <f t="shared" si="18"/>
        <v>-1.7155789326915589</v>
      </c>
      <c r="X36">
        <f t="shared" si="16"/>
        <v>0</v>
      </c>
    </row>
    <row r="37" spans="1:51" ht="15" thickBot="1" x14ac:dyDescent="0.4">
      <c r="A37" t="str">
        <f>Table1!A30</f>
        <v>Bosello et al.  2012</v>
      </c>
      <c r="B37">
        <f>Table1!C30</f>
        <v>1.92</v>
      </c>
      <c r="C37">
        <f>Table1!E30</f>
        <v>-0.5</v>
      </c>
      <c r="D37">
        <v>1</v>
      </c>
      <c r="G37">
        <f t="shared" si="1"/>
        <v>-0.51192476392278441</v>
      </c>
      <c r="H37">
        <f t="shared" si="2"/>
        <v>1.4219999461414061E-4</v>
      </c>
      <c r="I37">
        <f t="shared" si="3"/>
        <v>-0.89445239087169026</v>
      </c>
      <c r="J37">
        <f t="shared" si="4"/>
        <v>0.15559268866439271</v>
      </c>
      <c r="K37">
        <f t="shared" si="5"/>
        <v>-0.72522414726924722</v>
      </c>
      <c r="L37">
        <f t="shared" si="6"/>
        <v>5.0725916513159559E-2</v>
      </c>
      <c r="M37">
        <f t="shared" si="7"/>
        <v>-0.56594638644109896</v>
      </c>
      <c r="N37">
        <f t="shared" si="8"/>
        <v>4.3489258846387607E-3</v>
      </c>
      <c r="O37" s="24">
        <f t="shared" si="9"/>
        <v>-0.55970316787840624</v>
      </c>
      <c r="P37">
        <f t="shared" si="10"/>
        <v>3.5644682547171583E-3</v>
      </c>
      <c r="Q37">
        <f t="shared" si="11"/>
        <v>-0.14425950049557673</v>
      </c>
      <c r="R37">
        <f t="shared" si="12"/>
        <v>0.12655130298765657</v>
      </c>
      <c r="S37">
        <f t="shared" si="13"/>
        <v>-1.4398096109029417</v>
      </c>
      <c r="T37">
        <f t="shared" si="14"/>
        <v>0.88324210474553866</v>
      </c>
      <c r="U37">
        <f t="shared" si="17"/>
        <v>-0.98782876268431308</v>
      </c>
      <c r="V37">
        <f t="shared" si="15"/>
        <v>0.23797690170210783</v>
      </c>
      <c r="W37" s="33">
        <f t="shared" si="18"/>
        <v>-0.67500546184326715</v>
      </c>
      <c r="X37">
        <f t="shared" si="16"/>
        <v>3.0626911674975235E-2</v>
      </c>
      <c r="AQ37" s="2"/>
      <c r="AR37" s="2"/>
      <c r="AS37" s="2"/>
      <c r="AT37" s="2"/>
      <c r="AU37" s="2"/>
      <c r="AV37" s="2"/>
    </row>
    <row r="38" spans="1:51" ht="15" thickBot="1" x14ac:dyDescent="0.4">
      <c r="A38" t="str">
        <f>Table1!A31</f>
        <v>Roson and van der Mensbrugghe 2012</v>
      </c>
      <c r="B38">
        <f>Table1!C31</f>
        <v>2.9099999999999997</v>
      </c>
      <c r="C38">
        <f>Table1!E31</f>
        <v>-1.8</v>
      </c>
      <c r="D38">
        <v>0.5</v>
      </c>
      <c r="G38">
        <f t="shared" si="1"/>
        <v>-1.4727300088579562</v>
      </c>
      <c r="H38">
        <f t="shared" si="2"/>
        <v>5.3552823551056714E-2</v>
      </c>
      <c r="I38">
        <f t="shared" si="3"/>
        <v>-1.3556544049149055</v>
      </c>
      <c r="J38">
        <f t="shared" si="4"/>
        <v>9.8721503935763386E-2</v>
      </c>
      <c r="K38">
        <f t="shared" si="5"/>
        <v>-1.6659262699356312</v>
      </c>
      <c r="L38">
        <f t="shared" si="6"/>
        <v>8.9878825466866204E-3</v>
      </c>
      <c r="M38">
        <f t="shared" si="7"/>
        <v>-1.3170085129031059</v>
      </c>
      <c r="N38">
        <f t="shared" si="8"/>
        <v>0.11664038830403461</v>
      </c>
      <c r="O38" s="24">
        <f t="shared" si="9"/>
        <v>-1.3174459578508906</v>
      </c>
      <c r="P38">
        <f t="shared" si="10"/>
        <v>0.11642920179722226</v>
      </c>
      <c r="Q38">
        <f t="shared" si="11"/>
        <v>-0.430149623071513</v>
      </c>
      <c r="R38">
        <f t="shared" si="12"/>
        <v>0.93824502758555905</v>
      </c>
      <c r="S38">
        <f t="shared" si="13"/>
        <v>-2.1822114415247706</v>
      </c>
      <c r="T38">
        <f t="shared" si="14"/>
        <v>7.3042793016221574E-2</v>
      </c>
      <c r="U38">
        <f t="shared" si="17"/>
        <v>-1.7436602149968916</v>
      </c>
      <c r="V38">
        <f t="shared" si="15"/>
        <v>1.5870856870982409E-3</v>
      </c>
      <c r="W38" s="33">
        <f t="shared" si="18"/>
        <v>-1.4305723578478726</v>
      </c>
      <c r="X38">
        <f t="shared" si="16"/>
        <v>6.8238391393040151E-2</v>
      </c>
    </row>
    <row r="39" spans="1:51" x14ac:dyDescent="0.35">
      <c r="A39">
        <f>Table1!A32</f>
        <v>0</v>
      </c>
      <c r="B39">
        <f>Table1!C32</f>
        <v>5.4</v>
      </c>
      <c r="C39">
        <f>Table1!E32</f>
        <v>-4.5999999999999996</v>
      </c>
      <c r="D39">
        <v>0.5</v>
      </c>
      <c r="G39">
        <f t="shared" si="1"/>
        <v>-5.9852752853378064</v>
      </c>
      <c r="H39">
        <f t="shared" si="2"/>
        <v>0.95949380808387097</v>
      </c>
      <c r="I39">
        <f t="shared" si="3"/>
        <v>-6.2453915410326841</v>
      </c>
      <c r="J39">
        <f t="shared" si="4"/>
        <v>1.3536566616509562</v>
      </c>
      <c r="K39">
        <f t="shared" si="5"/>
        <v>-5.7366363211727567</v>
      </c>
      <c r="L39">
        <f t="shared" si="6"/>
        <v>0.64597106330456944</v>
      </c>
      <c r="M39">
        <f t="shared" si="7"/>
        <v>-5.9373007638515656</v>
      </c>
      <c r="N39">
        <f t="shared" si="8"/>
        <v>0.89418666649899081</v>
      </c>
      <c r="O39" s="24">
        <f t="shared" si="9"/>
        <v>-6.000895371511155</v>
      </c>
      <c r="P39">
        <f t="shared" si="10"/>
        <v>0.98125392096068909</v>
      </c>
      <c r="Q39">
        <f t="shared" si="11"/>
        <v>-5.4622824875626295</v>
      </c>
      <c r="R39">
        <f t="shared" si="12"/>
        <v>0.37176554417859842</v>
      </c>
      <c r="S39">
        <f t="shared" si="13"/>
        <v>-4.0494645306645243</v>
      </c>
      <c r="T39">
        <f t="shared" si="14"/>
        <v>0.15154465149821608</v>
      </c>
      <c r="U39">
        <f t="shared" si="17"/>
        <v>-5.7778454316181698</v>
      </c>
      <c r="V39">
        <f t="shared" si="15"/>
        <v>0.69365993039189677</v>
      </c>
      <c r="W39" s="33">
        <f t="shared" si="18"/>
        <v>-5.9377842038676256</v>
      </c>
      <c r="X39">
        <f t="shared" si="16"/>
        <v>0.89483328805886897</v>
      </c>
      <c r="AQ39" s="3"/>
      <c r="AR39" s="3"/>
      <c r="AS39" s="3"/>
      <c r="AT39" s="3"/>
      <c r="AU39" s="3"/>
      <c r="AV39" s="3"/>
      <c r="AW39" s="3"/>
      <c r="AX39" s="3"/>
      <c r="AY39" s="3"/>
    </row>
    <row r="40" spans="1:51" x14ac:dyDescent="0.35">
      <c r="A40" t="str">
        <f>Table1!A33</f>
        <v>Nordhaus 2013</v>
      </c>
      <c r="B40">
        <f>Table1!C33</f>
        <v>2.9</v>
      </c>
      <c r="C40">
        <f>Table1!E33</f>
        <v>-2</v>
      </c>
      <c r="D40">
        <v>0</v>
      </c>
      <c r="G40">
        <f t="shared" si="1"/>
        <v>-1.4606544407350508</v>
      </c>
      <c r="H40">
        <f t="shared" si="2"/>
        <v>0</v>
      </c>
      <c r="I40">
        <f t="shared" si="3"/>
        <v>-1.3509957987124488</v>
      </c>
      <c r="J40">
        <f t="shared" si="4"/>
        <v>0</v>
      </c>
      <c r="K40">
        <f t="shared" si="5"/>
        <v>-1.6544962778142278</v>
      </c>
      <c r="L40">
        <f t="shared" si="6"/>
        <v>0</v>
      </c>
      <c r="M40">
        <f t="shared" si="7"/>
        <v>-1.3076439147354586</v>
      </c>
      <c r="N40">
        <f t="shared" si="8"/>
        <v>0</v>
      </c>
      <c r="O40" s="24">
        <f t="shared" si="9"/>
        <v>-1.3078750259639988</v>
      </c>
      <c r="P40">
        <f t="shared" si="10"/>
        <v>0</v>
      </c>
      <c r="Q40">
        <f t="shared" si="11"/>
        <v>-0.42562297008385147</v>
      </c>
      <c r="R40">
        <f t="shared" si="12"/>
        <v>0</v>
      </c>
      <c r="S40">
        <f t="shared" si="13"/>
        <v>-2.1747124331346517</v>
      </c>
      <c r="T40">
        <f t="shared" si="14"/>
        <v>0</v>
      </c>
      <c r="U40">
        <f t="shared" si="17"/>
        <v>-1.7345414062451268</v>
      </c>
      <c r="V40">
        <f t="shared" si="15"/>
        <v>0</v>
      </c>
      <c r="W40" s="33">
        <f t="shared" si="18"/>
        <v>-1.4213108883729368</v>
      </c>
      <c r="X40">
        <f t="shared" si="16"/>
        <v>0</v>
      </c>
    </row>
    <row r="41" spans="1:51" ht="15" thickBot="1" x14ac:dyDescent="0.4">
      <c r="A41" t="str">
        <f>Table1!A34</f>
        <v>Sartori and Roson 2016</v>
      </c>
      <c r="B41">
        <f>Table1!C34</f>
        <v>3</v>
      </c>
      <c r="C41">
        <f>Table1!E34</f>
        <v>-0.71756668095998166</v>
      </c>
      <c r="D41">
        <v>1</v>
      </c>
      <c r="G41">
        <f t="shared" si="1"/>
        <v>-1.583587079285381</v>
      </c>
      <c r="H41">
        <f t="shared" si="2"/>
        <v>0.74999133031568332</v>
      </c>
      <c r="I41">
        <f t="shared" si="3"/>
        <v>-1.3975818607370161</v>
      </c>
      <c r="J41">
        <f t="shared" si="4"/>
        <v>0.46242064472719241</v>
      </c>
      <c r="K41">
        <f t="shared" si="5"/>
        <v>-1.7705667657940607</v>
      </c>
      <c r="L41">
        <f t="shared" si="6"/>
        <v>1.1088091786605776</v>
      </c>
      <c r="M41">
        <f t="shared" si="7"/>
        <v>-1.4031221663745044</v>
      </c>
      <c r="N41">
        <f t="shared" si="8"/>
        <v>0.46998632358194187</v>
      </c>
      <c r="O41" s="24">
        <f t="shared" si="9"/>
        <v>-1.4055906915648568</v>
      </c>
      <c r="P41">
        <f t="shared" si="10"/>
        <v>0.4733770391688174</v>
      </c>
      <c r="Q41">
        <f t="shared" si="11"/>
        <v>-0.4729925557370297</v>
      </c>
      <c r="R41">
        <f t="shared" si="12"/>
        <v>5.9816502728572189E-2</v>
      </c>
      <c r="S41">
        <f t="shared" si="13"/>
        <v>-2.2497025170358462</v>
      </c>
      <c r="T41">
        <f t="shared" si="14"/>
        <v>2.3474402201878886</v>
      </c>
      <c r="U41">
        <f t="shared" si="17"/>
        <v>-1.8273735760024097</v>
      </c>
      <c r="V41">
        <f t="shared" si="15"/>
        <v>1.2316713442837148</v>
      </c>
      <c r="W41" s="33">
        <f t="shared" si="18"/>
        <v>-1.5155838238446031</v>
      </c>
      <c r="X41">
        <f t="shared" si="16"/>
        <v>0.63683136033773435</v>
      </c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35">
      <c r="A42" t="str">
        <f>Table1!A35</f>
        <v>Kompas et al. 2018</v>
      </c>
      <c r="B42">
        <f>Table1!C35</f>
        <v>1</v>
      </c>
      <c r="C42">
        <f>Table1!E35</f>
        <v>-0.4658664448796927</v>
      </c>
      <c r="D42">
        <v>0.25</v>
      </c>
      <c r="G42">
        <f t="shared" si="1"/>
        <v>-4.4094066146960209E-2</v>
      </c>
      <c r="H42">
        <f t="shared" si="2"/>
        <v>4.4472984865466886E-2</v>
      </c>
      <c r="I42">
        <f t="shared" si="3"/>
        <v>-0.46586062024567204</v>
      </c>
      <c r="J42">
        <f t="shared" si="4"/>
        <v>8.4815903686484878E-12</v>
      </c>
      <c r="K42">
        <f t="shared" si="5"/>
        <v>-0.19672964064378451</v>
      </c>
      <c r="L42">
        <f t="shared" si="6"/>
        <v>1.8108654848579393E-2</v>
      </c>
      <c r="M42">
        <f t="shared" si="7"/>
        <v>-0.15324750137651214</v>
      </c>
      <c r="N42">
        <f t="shared" si="8"/>
        <v>2.4432650959261195E-2</v>
      </c>
      <c r="O42" s="24">
        <f t="shared" si="9"/>
        <v>-0.15101725642322555</v>
      </c>
      <c r="P42">
        <f t="shared" si="10"/>
        <v>2.4782502867923991E-2</v>
      </c>
      <c r="Q42">
        <f t="shared" si="11"/>
        <v>-4.2583790898327895E-2</v>
      </c>
      <c r="R42">
        <f t="shared" si="12"/>
        <v>4.4792051290376944E-2</v>
      </c>
      <c r="S42">
        <f t="shared" si="13"/>
        <v>-0.74990083901194882</v>
      </c>
      <c r="T42">
        <f t="shared" si="14"/>
        <v>2.0168884262519452E-2</v>
      </c>
      <c r="U42">
        <f t="shared" si="17"/>
        <v>-0.47036823300131358</v>
      </c>
      <c r="V42">
        <f t="shared" si="15"/>
        <v>5.066524072991728E-6</v>
      </c>
      <c r="W42" s="33">
        <f t="shared" si="18"/>
        <v>-0.23069031629109499</v>
      </c>
      <c r="X42">
        <f t="shared" si="16"/>
        <v>1.3826952864480161E-2</v>
      </c>
    </row>
    <row r="43" spans="1:51" x14ac:dyDescent="0.35">
      <c r="A43">
        <f>Table1!A36</f>
        <v>0</v>
      </c>
      <c r="B43">
        <f>Table1!C36</f>
        <v>2</v>
      </c>
      <c r="C43">
        <f>Table1!E36</f>
        <v>-1.0740738140966928</v>
      </c>
      <c r="D43">
        <v>0.25</v>
      </c>
      <c r="G43">
        <f t="shared" si="1"/>
        <v>-0.57195642590875373</v>
      </c>
      <c r="H43">
        <f t="shared" si="2"/>
        <v>6.3030467880169375E-2</v>
      </c>
      <c r="I43">
        <f t="shared" si="3"/>
        <v>-0.93172124049134408</v>
      </c>
      <c r="J43">
        <f t="shared" si="4"/>
        <v>5.0660638030165543E-3</v>
      </c>
      <c r="K43">
        <f t="shared" si="5"/>
        <v>-0.78691856257513804</v>
      </c>
      <c r="L43">
        <f t="shared" si="6"/>
        <v>2.0614534619101843E-2</v>
      </c>
      <c r="M43">
        <f t="shared" si="7"/>
        <v>-0.61435039902957977</v>
      </c>
      <c r="N43">
        <f t="shared" si="8"/>
        <v>5.2836404590242268E-2</v>
      </c>
      <c r="O43" s="24">
        <f t="shared" si="9"/>
        <v>-0.60793864100588779</v>
      </c>
      <c r="P43">
        <f t="shared" si="10"/>
        <v>5.432049989809868E-2</v>
      </c>
      <c r="Q43">
        <f t="shared" si="11"/>
        <v>-0.15833853588415234</v>
      </c>
      <c r="R43">
        <f t="shared" si="12"/>
        <v>0.2096427749407497</v>
      </c>
      <c r="S43">
        <f t="shared" si="13"/>
        <v>-1.4998016780238976</v>
      </c>
      <c r="T43">
        <f t="shared" si="14"/>
        <v>4.531105353100516E-2</v>
      </c>
      <c r="U43">
        <f t="shared" si="17"/>
        <v>-1.0396079812094186</v>
      </c>
      <c r="V43">
        <f t="shared" si="15"/>
        <v>2.9697340915337846E-4</v>
      </c>
      <c r="W43" s="33">
        <f t="shared" si="18"/>
        <v>-0.7247993172675995</v>
      </c>
      <c r="X43">
        <f t="shared" si="16"/>
        <v>3.0498168533804073E-2</v>
      </c>
    </row>
    <row r="44" spans="1:51" x14ac:dyDescent="0.35">
      <c r="A44">
        <f>Table1!A37</f>
        <v>0</v>
      </c>
      <c r="B44">
        <f>Table1!C37</f>
        <v>3</v>
      </c>
      <c r="C44">
        <f>Table1!E37</f>
        <v>-1.8369485050307706</v>
      </c>
      <c r="D44">
        <v>0.25</v>
      </c>
      <c r="G44">
        <f t="shared" si="1"/>
        <v>-1.583587079285381</v>
      </c>
      <c r="H44">
        <f t="shared" si="2"/>
        <v>1.6048003013934137E-2</v>
      </c>
      <c r="I44">
        <f t="shared" si="3"/>
        <v>-1.3975818607370161</v>
      </c>
      <c r="J44">
        <f t="shared" si="4"/>
        <v>4.8260762029488646E-2</v>
      </c>
      <c r="K44">
        <f t="shared" si="5"/>
        <v>-1.7705667657940607</v>
      </c>
      <c r="L44">
        <f t="shared" si="6"/>
        <v>1.1016338260226367E-3</v>
      </c>
      <c r="M44">
        <f t="shared" si="7"/>
        <v>-1.4031221663745044</v>
      </c>
      <c r="N44">
        <f t="shared" si="8"/>
        <v>4.7051323027975336E-2</v>
      </c>
      <c r="O44" s="24">
        <f t="shared" si="9"/>
        <v>-1.4055906915648568</v>
      </c>
      <c r="P44">
        <f t="shared" si="10"/>
        <v>4.6517390809523509E-2</v>
      </c>
      <c r="Q44">
        <f t="shared" si="11"/>
        <v>-0.4729925557370297</v>
      </c>
      <c r="R44">
        <f t="shared" si="12"/>
        <v>0.46509395790344737</v>
      </c>
      <c r="S44">
        <f t="shared" si="13"/>
        <v>-2.2497025170358462</v>
      </c>
      <c r="T44">
        <f t="shared" si="14"/>
        <v>4.2591468606571536E-2</v>
      </c>
      <c r="U44">
        <f t="shared" si="17"/>
        <v>-1.8273735760024097</v>
      </c>
      <c r="V44">
        <f t="shared" si="15"/>
        <v>2.2919816474536952E-5</v>
      </c>
      <c r="W44" s="33">
        <f t="shared" si="18"/>
        <v>-1.5155838238446031</v>
      </c>
      <c r="X44">
        <f t="shared" si="16"/>
        <v>2.5818814578471763E-2</v>
      </c>
    </row>
    <row r="45" spans="1:51" x14ac:dyDescent="0.35">
      <c r="A45">
        <f>Table1!A38</f>
        <v>0</v>
      </c>
      <c r="B45">
        <f>Table1!C38</f>
        <v>4</v>
      </c>
      <c r="C45">
        <f>Table1!E38</f>
        <v>-2.7931051587285425</v>
      </c>
      <c r="D45">
        <v>0.25</v>
      </c>
      <c r="G45">
        <f t="shared" si="1"/>
        <v>-3.0789860262768411</v>
      </c>
      <c r="H45">
        <f t="shared" si="2"/>
        <v>2.043196760754197E-2</v>
      </c>
      <c r="I45">
        <f t="shared" si="3"/>
        <v>-2.6909358375864629</v>
      </c>
      <c r="J45">
        <f t="shared" si="4"/>
        <v>2.6096425456583459E-3</v>
      </c>
      <c r="K45">
        <f t="shared" si="5"/>
        <v>-3.1476742503005521</v>
      </c>
      <c r="L45">
        <f t="shared" si="6"/>
        <v>3.1429810174550044E-2</v>
      </c>
      <c r="M45">
        <f t="shared" si="7"/>
        <v>-2.6315319671303166</v>
      </c>
      <c r="N45">
        <f t="shared" si="8"/>
        <v>6.5264740608092552E-3</v>
      </c>
      <c r="O45" s="24">
        <f t="shared" si="9"/>
        <v>-2.6794099440546275</v>
      </c>
      <c r="P45">
        <f t="shared" si="10"/>
        <v>3.2316504599369023E-3</v>
      </c>
      <c r="Q45">
        <f t="shared" si="11"/>
        <v>-1.3283108601546976</v>
      </c>
      <c r="R45">
        <f t="shared" si="12"/>
        <v>0.53640558428361063</v>
      </c>
      <c r="S45">
        <f t="shared" si="13"/>
        <v>-2.9996033560477953</v>
      </c>
      <c r="T45">
        <f t="shared" si="14"/>
        <v>1.0660376374025265E-2</v>
      </c>
      <c r="U45">
        <f t="shared" si="17"/>
        <v>-2.9992535340366504</v>
      </c>
      <c r="V45">
        <f t="shared" si="15"/>
        <v>1.062428816054313E-2</v>
      </c>
      <c r="W45" s="33">
        <f t="shared" si="18"/>
        <v>-2.7917186414957764</v>
      </c>
      <c r="X45">
        <f t="shared" si="16"/>
        <v>4.8060750918931327E-7</v>
      </c>
    </row>
    <row r="46" spans="1:51" x14ac:dyDescent="0.35">
      <c r="A46" t="str">
        <f>Table1!A39</f>
        <v>Dellink et al. 2019</v>
      </c>
      <c r="B46">
        <f>Table1!C39</f>
        <v>2.5</v>
      </c>
      <c r="C46">
        <f>Table1!E39</f>
        <v>-2</v>
      </c>
      <c r="D46">
        <v>1</v>
      </c>
      <c r="G46">
        <f t="shared" si="1"/>
        <v>-1.0173007158952132</v>
      </c>
      <c r="H46">
        <f t="shared" si="2"/>
        <v>0.96569788298006043</v>
      </c>
      <c r="I46">
        <f t="shared" si="3"/>
        <v>-1.1646515506141801</v>
      </c>
      <c r="J46">
        <f t="shared" si="4"/>
        <v>0.69780703189129367</v>
      </c>
      <c r="K46">
        <f t="shared" si="5"/>
        <v>-1.2295602540236532</v>
      </c>
      <c r="L46">
        <f t="shared" si="6"/>
        <v>0.5935774021800978</v>
      </c>
      <c r="M46">
        <f t="shared" si="7"/>
        <v>-0.96442443080626605</v>
      </c>
      <c r="N46">
        <f t="shared" si="8"/>
        <v>1.0724167595109262</v>
      </c>
      <c r="O46" s="24">
        <f t="shared" si="9"/>
        <v>-0.95920027273375474</v>
      </c>
      <c r="P46">
        <f t="shared" si="10"/>
        <v>1.0832640722774904</v>
      </c>
      <c r="Q46">
        <f t="shared" si="11"/>
        <v>-0.2771332249794326</v>
      </c>
      <c r="R46">
        <f t="shared" si="12"/>
        <v>2.9682699244697708</v>
      </c>
      <c r="S46">
        <f t="shared" si="13"/>
        <v>-1.8747520975298722</v>
      </c>
      <c r="T46">
        <f t="shared" si="14"/>
        <v>1.5687037073166658E-2</v>
      </c>
      <c r="U46">
        <f t="shared" si="17"/>
        <v>-1.3972480861056602</v>
      </c>
      <c r="V46">
        <f t="shared" si="15"/>
        <v>0.3633098697032896</v>
      </c>
      <c r="W46" s="33">
        <f t="shared" si="18"/>
        <v>-1.0795073440011891</v>
      </c>
      <c r="X46">
        <f t="shared" si="16"/>
        <v>0.84730672974774524</v>
      </c>
    </row>
    <row r="47" spans="1:51" x14ac:dyDescent="0.35">
      <c r="A47" t="str">
        <f>Table1!A40</f>
        <v>Takakura</v>
      </c>
      <c r="B47">
        <f>Table1!C40</f>
        <v>2</v>
      </c>
      <c r="C47">
        <f>Table1!E40</f>
        <v>-1.0517705037403</v>
      </c>
      <c r="D47">
        <f>1/3</f>
        <v>0.33333333333333331</v>
      </c>
      <c r="G47">
        <f t="shared" si="1"/>
        <v>-0.57195642590875373</v>
      </c>
      <c r="H47">
        <f t="shared" si="2"/>
        <v>7.6740516428445704E-2</v>
      </c>
      <c r="I47">
        <f t="shared" si="3"/>
        <v>-0.93172124049134408</v>
      </c>
      <c r="J47">
        <f t="shared" si="4"/>
        <v>4.8039418688723733E-3</v>
      </c>
      <c r="K47">
        <f t="shared" si="5"/>
        <v>-0.78691856257513804</v>
      </c>
      <c r="L47">
        <f t="shared" si="6"/>
        <v>2.338218357965147E-2</v>
      </c>
      <c r="M47">
        <f t="shared" si="7"/>
        <v>-0.61435039902957977</v>
      </c>
      <c r="N47">
        <f t="shared" si="8"/>
        <v>6.377878266837915E-2</v>
      </c>
      <c r="O47" s="24">
        <f t="shared" si="9"/>
        <v>-0.60793864100588779</v>
      </c>
      <c r="P47">
        <f t="shared" si="10"/>
        <v>6.566224079276603E-2</v>
      </c>
      <c r="Q47">
        <f t="shared" si="11"/>
        <v>-0.15833853588415234</v>
      </c>
      <c r="R47">
        <f t="shared" si="12"/>
        <v>0.26607356039576946</v>
      </c>
      <c r="S47">
        <f t="shared" si="13"/>
        <v>-1.4998016780238976</v>
      </c>
      <c r="T47">
        <f t="shared" si="14"/>
        <v>6.6910644376646469E-2</v>
      </c>
      <c r="U47">
        <f t="shared" si="17"/>
        <v>-1.0396079812094186</v>
      </c>
      <c r="V47">
        <f t="shared" si="15"/>
        <v>4.930898477139971E-5</v>
      </c>
      <c r="W47" s="33">
        <f t="shared" si="18"/>
        <v>-0.7247993172675995</v>
      </c>
      <c r="X47">
        <f t="shared" si="16"/>
        <v>3.5636718927788497E-2</v>
      </c>
    </row>
    <row r="48" spans="1:51" x14ac:dyDescent="0.35">
      <c r="A48">
        <f>Table1!A41</f>
        <v>0</v>
      </c>
      <c r="B48">
        <f>Table1!C41</f>
        <v>4</v>
      </c>
      <c r="C48">
        <f>Table1!E41</f>
        <v>-4.6911160007283899</v>
      </c>
      <c r="D48">
        <f>1/3</f>
        <v>0.33333333333333331</v>
      </c>
      <c r="G48">
        <f t="shared" si="1"/>
        <v>-3.0789860262768411</v>
      </c>
      <c r="H48">
        <f t="shared" si="2"/>
        <v>0.86632101817505025</v>
      </c>
      <c r="I48">
        <f t="shared" si="3"/>
        <v>-2.6909358375864629</v>
      </c>
      <c r="J48">
        <f t="shared" si="4"/>
        <v>1.3335735616754882</v>
      </c>
      <c r="K48">
        <f t="shared" si="5"/>
        <v>-3.1476742503005521</v>
      </c>
      <c r="L48">
        <f t="shared" si="6"/>
        <v>0.79407081232124921</v>
      </c>
      <c r="M48">
        <f t="shared" si="7"/>
        <v>-2.6315319671303166</v>
      </c>
      <c r="N48">
        <f t="shared" si="8"/>
        <v>1.4139621304840366</v>
      </c>
      <c r="O48" s="24">
        <f t="shared" si="9"/>
        <v>-2.6794099440546275</v>
      </c>
      <c r="P48">
        <f t="shared" si="10"/>
        <v>1.348987086152633</v>
      </c>
      <c r="Q48">
        <f t="shared" si="11"/>
        <v>-1.3283108601546976</v>
      </c>
      <c r="R48">
        <f t="shared" si="12"/>
        <v>3.7694861378229492</v>
      </c>
      <c r="S48">
        <f t="shared" si="13"/>
        <v>-2.9996033560477953</v>
      </c>
      <c r="T48">
        <f t="shared" si="14"/>
        <v>0.95373834237144639</v>
      </c>
      <c r="U48">
        <f t="shared" si="17"/>
        <v>-2.9992535340366504</v>
      </c>
      <c r="V48">
        <f t="shared" si="15"/>
        <v>0.95413286873341907</v>
      </c>
      <c r="W48" s="33">
        <f t="shared" si="18"/>
        <v>-2.7917186414957764</v>
      </c>
      <c r="X48">
        <f t="shared" si="16"/>
        <v>1.2025701094199417</v>
      </c>
    </row>
    <row r="49" spans="1:24" x14ac:dyDescent="0.35">
      <c r="A49">
        <f>Table1!A42</f>
        <v>0</v>
      </c>
      <c r="B49">
        <f>Table1!C42</f>
        <v>6</v>
      </c>
      <c r="C49">
        <f>Table1!E42</f>
        <v>-9.49637530496768</v>
      </c>
      <c r="D49">
        <f>1/3</f>
        <v>0.33333333333333331</v>
      </c>
      <c r="G49">
        <f t="shared" si="1"/>
        <v>-7.5210888011042627</v>
      </c>
      <c r="H49">
        <f t="shared" si="2"/>
        <v>1.3005855907816539</v>
      </c>
      <c r="I49">
        <f t="shared" si="3"/>
        <v>-7.7687296996524919</v>
      </c>
      <c r="J49">
        <f t="shared" si="4"/>
        <v>0.99491977918829422</v>
      </c>
      <c r="K49">
        <f t="shared" si="5"/>
        <v>-7.0822670631762428</v>
      </c>
      <c r="L49">
        <f t="shared" si="6"/>
        <v>1.9426395343617815</v>
      </c>
      <c r="M49">
        <f t="shared" si="7"/>
        <v>-8.5876693014608172</v>
      </c>
      <c r="N49">
        <f t="shared" si="8"/>
        <v>0.27524886693647149</v>
      </c>
      <c r="O49" s="24">
        <f t="shared" si="9"/>
        <v>-8.4433123294259076</v>
      </c>
      <c r="P49">
        <f t="shared" si="10"/>
        <v>0.36964721015229718</v>
      </c>
      <c r="Q49">
        <f t="shared" si="11"/>
        <v>-9.9733019983860398</v>
      </c>
      <c r="R49">
        <f t="shared" si="12"/>
        <v>7.5819690298323389E-2</v>
      </c>
      <c r="S49">
        <f t="shared" si="13"/>
        <v>-4.4994050340716925</v>
      </c>
      <c r="T49">
        <f t="shared" si="14"/>
        <v>8.3232372960727723</v>
      </c>
      <c r="U49">
        <f t="shared" si="17"/>
        <v>-7.613193771011141</v>
      </c>
      <c r="V49">
        <f t="shared" si="15"/>
        <v>1.1821242299449677</v>
      </c>
      <c r="W49" s="33">
        <f t="shared" si="18"/>
        <v>-8.0461803957214677</v>
      </c>
      <c r="X49">
        <f t="shared" si="16"/>
        <v>0.7010217582678766</v>
      </c>
    </row>
    <row r="50" spans="1:24" x14ac:dyDescent="0.35">
      <c r="A50" t="str">
        <f>Table1!A43</f>
        <v>Howard &amp; Sylvan 2020</v>
      </c>
      <c r="B50">
        <f>Table1!C43</f>
        <v>3</v>
      </c>
      <c r="C50">
        <f>Table1!E43</f>
        <v>-9.1999999999999993</v>
      </c>
      <c r="D50">
        <v>0</v>
      </c>
      <c r="G50">
        <f t="shared" si="1"/>
        <v>-1.583587079285381</v>
      </c>
      <c r="H50">
        <f t="shared" si="2"/>
        <v>0</v>
      </c>
      <c r="I50">
        <f t="shared" si="3"/>
        <v>-1.3975818607370161</v>
      </c>
      <c r="J50">
        <f t="shared" si="4"/>
        <v>0</v>
      </c>
      <c r="K50">
        <f t="shared" si="5"/>
        <v>-1.7705667657940607</v>
      </c>
      <c r="L50">
        <f t="shared" si="6"/>
        <v>0</v>
      </c>
      <c r="M50">
        <f t="shared" si="7"/>
        <v>-1.4031221663745044</v>
      </c>
      <c r="N50">
        <f t="shared" si="8"/>
        <v>0</v>
      </c>
      <c r="O50" s="24">
        <f t="shared" si="9"/>
        <v>-1.4055906915648568</v>
      </c>
      <c r="P50">
        <f t="shared" si="10"/>
        <v>0</v>
      </c>
      <c r="Q50">
        <f t="shared" si="11"/>
        <v>-0.4729925557370297</v>
      </c>
      <c r="R50">
        <f t="shared" si="12"/>
        <v>0</v>
      </c>
      <c r="S50">
        <f t="shared" si="13"/>
        <v>-2.2497025170358462</v>
      </c>
      <c r="T50">
        <f t="shared" si="14"/>
        <v>0</v>
      </c>
      <c r="U50">
        <f t="shared" si="17"/>
        <v>-1.8273735760024097</v>
      </c>
      <c r="V50">
        <f t="shared" si="15"/>
        <v>0</v>
      </c>
      <c r="W50" s="33">
        <f t="shared" si="18"/>
        <v>-1.5155838238446031</v>
      </c>
      <c r="X50">
        <f t="shared" si="16"/>
        <v>0</v>
      </c>
    </row>
    <row r="51" spans="1:24" x14ac:dyDescent="0.35">
      <c r="A51" t="str">
        <f>Table1!A44</f>
        <v>Howard &amp; Sylvan 2021</v>
      </c>
      <c r="B51">
        <f>Table1!C44</f>
        <v>1.2</v>
      </c>
      <c r="C51">
        <f>Table1!E44</f>
        <v>-2.2000000000000002</v>
      </c>
      <c r="D51">
        <v>0</v>
      </c>
      <c r="G51">
        <f t="shared" si="1"/>
        <v>-0.11096507461013227</v>
      </c>
      <c r="H51">
        <f t="shared" si="2"/>
        <v>0</v>
      </c>
      <c r="I51">
        <f t="shared" si="3"/>
        <v>-0.55903274429480643</v>
      </c>
      <c r="J51">
        <f t="shared" si="4"/>
        <v>0</v>
      </c>
      <c r="K51">
        <f t="shared" si="5"/>
        <v>-0.2832906825270497</v>
      </c>
      <c r="L51">
        <f t="shared" si="6"/>
        <v>0</v>
      </c>
      <c r="M51">
        <f t="shared" si="7"/>
        <v>-0.22069991463766195</v>
      </c>
      <c r="N51">
        <f t="shared" si="8"/>
        <v>0</v>
      </c>
      <c r="O51" s="24">
        <f t="shared" si="9"/>
        <v>-0.2175645553054453</v>
      </c>
      <c r="P51">
        <f t="shared" si="10"/>
        <v>0</v>
      </c>
      <c r="Q51">
        <f t="shared" si="11"/>
        <v>-5.749893426160968E-2</v>
      </c>
      <c r="R51">
        <f t="shared" si="12"/>
        <v>0</v>
      </c>
      <c r="S51">
        <f t="shared" si="13"/>
        <v>-0.89988100681433858</v>
      </c>
      <c r="T51">
        <f t="shared" si="14"/>
        <v>0</v>
      </c>
      <c r="U51">
        <f t="shared" si="17"/>
        <v>-0.57291697232392869</v>
      </c>
      <c r="V51">
        <f t="shared" si="15"/>
        <v>0</v>
      </c>
      <c r="W51" s="33">
        <f t="shared" si="18"/>
        <v>-0.30777128829824951</v>
      </c>
      <c r="X51">
        <f t="shared" si="16"/>
        <v>0</v>
      </c>
    </row>
    <row r="52" spans="1:24" x14ac:dyDescent="0.35">
      <c r="A52">
        <f>Table1!A45</f>
        <v>0</v>
      </c>
      <c r="B52">
        <f>Table1!C45</f>
        <v>3</v>
      </c>
      <c r="C52">
        <f>Table1!E45</f>
        <v>-8.5</v>
      </c>
      <c r="D52">
        <v>0</v>
      </c>
      <c r="G52">
        <f t="shared" si="1"/>
        <v>-1.583587079285381</v>
      </c>
      <c r="H52">
        <f t="shared" si="2"/>
        <v>0</v>
      </c>
      <c r="I52">
        <f t="shared" si="3"/>
        <v>-1.3975818607370161</v>
      </c>
      <c r="J52">
        <f t="shared" si="4"/>
        <v>0</v>
      </c>
      <c r="K52">
        <f t="shared" si="5"/>
        <v>-1.7705667657940607</v>
      </c>
      <c r="L52">
        <f t="shared" si="6"/>
        <v>0</v>
      </c>
      <c r="M52">
        <f t="shared" si="7"/>
        <v>-1.4031221663745044</v>
      </c>
      <c r="N52">
        <f t="shared" si="8"/>
        <v>0</v>
      </c>
      <c r="O52" s="24">
        <f t="shared" si="9"/>
        <v>-1.4055906915648568</v>
      </c>
      <c r="P52">
        <f t="shared" si="10"/>
        <v>0</v>
      </c>
      <c r="Q52">
        <f t="shared" si="11"/>
        <v>-0.4729925557370297</v>
      </c>
      <c r="R52">
        <f t="shared" si="12"/>
        <v>0</v>
      </c>
      <c r="S52">
        <f t="shared" si="13"/>
        <v>-2.2497025170358462</v>
      </c>
      <c r="T52">
        <f t="shared" si="14"/>
        <v>0</v>
      </c>
      <c r="U52">
        <f t="shared" si="17"/>
        <v>-1.8273735760024097</v>
      </c>
      <c r="V52">
        <f t="shared" si="15"/>
        <v>0</v>
      </c>
      <c r="W52" s="33">
        <f t="shared" si="18"/>
        <v>-1.5155838238446031</v>
      </c>
      <c r="X52">
        <f t="shared" si="16"/>
        <v>0</v>
      </c>
    </row>
    <row r="53" spans="1:24" x14ac:dyDescent="0.35">
      <c r="A53">
        <f>Table1!A46</f>
        <v>0</v>
      </c>
      <c r="B53">
        <f>Table1!C46</f>
        <v>5</v>
      </c>
      <c r="C53">
        <f>Table1!E46</f>
        <v>-16.100000000000001</v>
      </c>
      <c r="D53">
        <v>0</v>
      </c>
      <c r="G53">
        <f t="shared" si="1"/>
        <v>-5.058153266883135</v>
      </c>
      <c r="H53">
        <f t="shared" si="2"/>
        <v>0</v>
      </c>
      <c r="I53">
        <f t="shared" si="3"/>
        <v>-5.2298327686194774</v>
      </c>
      <c r="J53">
        <f t="shared" si="4"/>
        <v>0</v>
      </c>
      <c r="K53">
        <f t="shared" si="5"/>
        <v>-4.9182410160946128</v>
      </c>
      <c r="L53">
        <f t="shared" si="6"/>
        <v>0</v>
      </c>
      <c r="M53">
        <f t="shared" si="7"/>
        <v>-4.6880160359272312</v>
      </c>
      <c r="N53">
        <f t="shared" si="8"/>
        <v>0</v>
      </c>
      <c r="O53" s="24">
        <f t="shared" si="9"/>
        <v>-4.7815313919568867</v>
      </c>
      <c r="P53">
        <f t="shared" si="10"/>
        <v>0</v>
      </c>
      <c r="Q53">
        <f t="shared" si="11"/>
        <v>-3.6533070646016466</v>
      </c>
      <c r="R53">
        <f t="shared" si="12"/>
        <v>0</v>
      </c>
      <c r="S53">
        <f t="shared" si="13"/>
        <v>-3.7495041950597443</v>
      </c>
      <c r="T53">
        <f t="shared" si="14"/>
        <v>0</v>
      </c>
      <c r="U53">
        <f t="shared" si="17"/>
        <v>-4.8015773030981972</v>
      </c>
      <c r="V53">
        <f t="shared" si="15"/>
        <v>0</v>
      </c>
      <c r="W53" s="33">
        <f t="shared" si="18"/>
        <v>-4.8390249502247196</v>
      </c>
      <c r="X53">
        <f t="shared" si="16"/>
        <v>0</v>
      </c>
    </row>
    <row r="54" spans="1:24" x14ac:dyDescent="0.35">
      <c r="A54">
        <f>Table1!A47</f>
        <v>0</v>
      </c>
      <c r="B54">
        <f>Table1!C47</f>
        <v>7</v>
      </c>
      <c r="C54">
        <f>Table1!E47</f>
        <v>-25</v>
      </c>
      <c r="D54">
        <v>0</v>
      </c>
      <c r="G54">
        <f t="shared" si="1"/>
        <v>-10.467792628940222</v>
      </c>
      <c r="H54">
        <f t="shared" si="2"/>
        <v>0</v>
      </c>
      <c r="I54">
        <f t="shared" si="3"/>
        <v>-10.307626630685505</v>
      </c>
      <c r="J54">
        <f t="shared" si="4"/>
        <v>0</v>
      </c>
      <c r="K54">
        <f t="shared" si="5"/>
        <v>-9.6397523915454411</v>
      </c>
      <c r="L54">
        <f t="shared" si="6"/>
        <v>0</v>
      </c>
      <c r="M54">
        <f t="shared" si="7"/>
        <v>-16.543610666375116</v>
      </c>
      <c r="N54">
        <f t="shared" si="8"/>
        <v>0</v>
      </c>
      <c r="O54" s="24">
        <f t="shared" si="9"/>
        <v>-14.984291578189765</v>
      </c>
      <c r="P54">
        <f t="shared" si="10"/>
        <v>0</v>
      </c>
      <c r="Q54">
        <f t="shared" si="11"/>
        <v>-27.152829382845379</v>
      </c>
      <c r="R54">
        <f t="shared" si="12"/>
        <v>0</v>
      </c>
      <c r="S54">
        <f t="shared" si="13"/>
        <v>-5.2493058730836415</v>
      </c>
      <c r="T54">
        <f t="shared" si="14"/>
        <v>0</v>
      </c>
      <c r="U54">
        <f t="shared" si="17"/>
        <v>-12.02510539257379</v>
      </c>
      <c r="V54">
        <f t="shared" si="15"/>
        <v>0</v>
      </c>
      <c r="W54" s="33">
        <f t="shared" si="18"/>
        <v>-13.494910228715773</v>
      </c>
      <c r="X54">
        <f t="shared" si="16"/>
        <v>0</v>
      </c>
    </row>
    <row r="55" spans="1:24" x14ac:dyDescent="0.35">
      <c r="A55" t="str">
        <f>Table1!A48</f>
        <v>Conte et al. 2021</v>
      </c>
      <c r="B55">
        <f>Table1!C48</f>
        <v>3.7</v>
      </c>
      <c r="C55">
        <f>Table1!E48</f>
        <v>-3.7</v>
      </c>
      <c r="D55">
        <v>0</v>
      </c>
      <c r="G55">
        <f t="shared" si="1"/>
        <v>-2.5795706713498454</v>
      </c>
      <c r="H55">
        <f t="shared" si="2"/>
        <v>0</v>
      </c>
      <c r="I55">
        <f t="shared" si="3"/>
        <v>-1.9292667582765595</v>
      </c>
      <c r="J55">
        <f t="shared" si="4"/>
        <v>0</v>
      </c>
      <c r="K55">
        <f t="shared" si="5"/>
        <v>-2.6932287804134103</v>
      </c>
      <c r="L55">
        <f t="shared" si="6"/>
        <v>0</v>
      </c>
      <c r="M55">
        <f t="shared" si="7"/>
        <v>-2.2019570623565676</v>
      </c>
      <c r="N55">
        <f t="shared" si="8"/>
        <v>0</v>
      </c>
      <c r="O55" s="24">
        <f t="shared" si="9"/>
        <v>-2.2320162265600096</v>
      </c>
      <c r="P55">
        <f t="shared" si="10"/>
        <v>0</v>
      </c>
      <c r="Q55">
        <f t="shared" si="11"/>
        <v>-0.97761364436837872</v>
      </c>
      <c r="R55">
        <f t="shared" si="12"/>
        <v>0</v>
      </c>
      <c r="S55">
        <f t="shared" si="13"/>
        <v>-2.7746331043442107</v>
      </c>
      <c r="T55">
        <f t="shared" si="14"/>
        <v>0</v>
      </c>
      <c r="U55">
        <f t="shared" si="17"/>
        <v>-2.5947159540131017</v>
      </c>
      <c r="V55">
        <f t="shared" si="15"/>
        <v>0</v>
      </c>
      <c r="W55" s="33">
        <f t="shared" si="18"/>
        <v>-2.3142411552941589</v>
      </c>
      <c r="X55">
        <f t="shared" si="16"/>
        <v>0</v>
      </c>
    </row>
    <row r="56" spans="1:24" x14ac:dyDescent="0.35">
      <c r="A56" t="str">
        <f>Table1!A49</f>
        <v>Desmet and Rossi-Hansberg 2015</v>
      </c>
      <c r="B56">
        <f>Table1!C49</f>
        <v>4.6487373814138984</v>
      </c>
      <c r="C56">
        <f>Table1!E49</f>
        <v>5.1295273109904338</v>
      </c>
      <c r="D56">
        <v>0</v>
      </c>
      <c r="G56">
        <f t="shared" si="1"/>
        <v>-4.3078259193165032</v>
      </c>
      <c r="H56">
        <f t="shared" si="2"/>
        <v>0</v>
      </c>
      <c r="I56">
        <f t="shared" si="3"/>
        <v>-4.3380131843046037</v>
      </c>
      <c r="J56">
        <f t="shared" si="4"/>
        <v>0</v>
      </c>
      <c r="K56">
        <f t="shared" si="5"/>
        <v>-4.2514768995911041</v>
      </c>
      <c r="L56">
        <f t="shared" si="6"/>
        <v>0</v>
      </c>
      <c r="M56">
        <f t="shared" si="7"/>
        <v>-3.8262978141076176</v>
      </c>
      <c r="N56">
        <f t="shared" si="8"/>
        <v>0</v>
      </c>
      <c r="O56" s="24">
        <f t="shared" si="9"/>
        <v>-3.9131223185295516</v>
      </c>
      <c r="P56">
        <f t="shared" si="10"/>
        <v>0</v>
      </c>
      <c r="Q56">
        <f t="shared" si="11"/>
        <v>-2.5638528043900299</v>
      </c>
      <c r="R56">
        <f t="shared" si="12"/>
        <v>0</v>
      </c>
      <c r="S56">
        <f t="shared" si="13"/>
        <v>-3.4860920626684924</v>
      </c>
      <c r="T56">
        <f t="shared" si="14"/>
        <v>0</v>
      </c>
      <c r="U56">
        <f t="shared" si="17"/>
        <v>-4.076475595962342</v>
      </c>
      <c r="V56">
        <f t="shared" si="15"/>
        <v>0</v>
      </c>
      <c r="W56" s="33">
        <f t="shared" si="18"/>
        <v>-4.0237731613044732</v>
      </c>
      <c r="X56">
        <f t="shared" si="16"/>
        <v>0</v>
      </c>
    </row>
    <row r="57" spans="1:24" x14ac:dyDescent="0.35">
      <c r="A57">
        <f>Table1!A50</f>
        <v>0</v>
      </c>
      <c r="B57">
        <f>Table1!C50</f>
        <v>9.2982230505350998</v>
      </c>
      <c r="C57">
        <f>Table1!E50</f>
        <v>-4.8593007850505128</v>
      </c>
      <c r="D57">
        <v>0</v>
      </c>
      <c r="G57">
        <f t="shared" si="1"/>
        <v>-19.073469758132944</v>
      </c>
      <c r="H57">
        <f t="shared" si="2"/>
        <v>0</v>
      </c>
      <c r="I57">
        <f t="shared" si="3"/>
        <v>-16.142578080518401</v>
      </c>
      <c r="J57">
        <f t="shared" si="4"/>
        <v>0</v>
      </c>
      <c r="K57">
        <f t="shared" si="5"/>
        <v>-17.008645077952583</v>
      </c>
      <c r="L57">
        <f t="shared" si="6"/>
        <v>0</v>
      </c>
      <c r="M57">
        <f t="shared" si="7"/>
        <v>-79.172217647702439</v>
      </c>
      <c r="N57">
        <f t="shared" si="8"/>
        <v>0</v>
      </c>
      <c r="O57" s="24">
        <f t="shared" si="9"/>
        <v>-54.729820983140229</v>
      </c>
      <c r="P57">
        <f t="shared" si="10"/>
        <v>0</v>
      </c>
      <c r="Q57">
        <f t="shared" si="11"/>
        <v>-270.56842165941055</v>
      </c>
      <c r="R57">
        <f t="shared" si="12"/>
        <v>0</v>
      </c>
      <c r="S57">
        <f t="shared" si="13"/>
        <v>-6.9727452669165135</v>
      </c>
      <c r="T57">
        <f t="shared" si="14"/>
        <v>0</v>
      </c>
      <c r="U57">
        <f t="shared" si="17"/>
        <v>-34.2323452908051</v>
      </c>
      <c r="V57">
        <f t="shared" si="15"/>
        <v>0</v>
      </c>
      <c r="W57" s="33">
        <f t="shared" si="18"/>
        <v>-48.446106584137155</v>
      </c>
      <c r="X57">
        <f t="shared" si="16"/>
        <v>0</v>
      </c>
    </row>
    <row r="58" spans="1:24" x14ac:dyDescent="0.35">
      <c r="A58">
        <f>Table1!A51</f>
        <v>0</v>
      </c>
      <c r="B58">
        <f>Table1!C51</f>
        <v>13.606208917250999</v>
      </c>
      <c r="C58">
        <f>Table1!E51</f>
        <v>-24.061208104792932</v>
      </c>
      <c r="D58">
        <v>0</v>
      </c>
      <c r="G58">
        <f t="shared" si="1"/>
        <v>-42.088577970396088</v>
      </c>
      <c r="H58">
        <f t="shared" si="2"/>
        <v>0</v>
      </c>
      <c r="I58">
        <f t="shared" si="3"/>
        <v>-27.080110176456998</v>
      </c>
      <c r="J58">
        <f t="shared" si="4"/>
        <v>0</v>
      </c>
      <c r="K58">
        <f t="shared" si="5"/>
        <v>-36.420346120751049</v>
      </c>
      <c r="L58">
        <f t="shared" si="6"/>
        <v>0</v>
      </c>
      <c r="M58">
        <f t="shared" si="7"/>
        <v>-975.48373430105028</v>
      </c>
      <c r="N58">
        <f t="shared" si="8"/>
        <v>0</v>
      </c>
      <c r="O58" s="24">
        <f t="shared" si="9"/>
        <v>-437.14923472907122</v>
      </c>
      <c r="P58">
        <f t="shared" si="10"/>
        <v>0</v>
      </c>
      <c r="Q58">
        <f t="shared" si="11"/>
        <v>-20102.5356204606</v>
      </c>
      <c r="R58">
        <f t="shared" si="12"/>
        <v>0</v>
      </c>
      <c r="S58">
        <f t="shared" si="13"/>
        <v>-10.203307482818383</v>
      </c>
      <c r="T58">
        <f t="shared" si="14"/>
        <v>0</v>
      </c>
      <c r="U58">
        <f t="shared" si="17"/>
        <v>-242.64176634456427</v>
      </c>
      <c r="V58">
        <f t="shared" si="15"/>
        <v>0</v>
      </c>
      <c r="W58" s="33">
        <f t="shared" si="18"/>
        <v>-651.72410950699964</v>
      </c>
      <c r="X58">
        <f t="shared" si="16"/>
        <v>0</v>
      </c>
    </row>
    <row r="59" spans="1:24" x14ac:dyDescent="0.35">
      <c r="A59">
        <f>Table1!A52</f>
        <v>0</v>
      </c>
      <c r="B59">
        <f>Table1!C52</f>
        <v>16.682700289727595</v>
      </c>
      <c r="C59">
        <f>Table1!E52</f>
        <v>-78.907648460775576</v>
      </c>
      <c r="D59">
        <v>0</v>
      </c>
      <c r="G59">
        <f t="shared" si="1"/>
        <v>-64.019706301243374</v>
      </c>
      <c r="H59">
        <f t="shared" si="2"/>
        <v>0</v>
      </c>
      <c r="I59">
        <f t="shared" si="3"/>
        <v>-34.891004680387375</v>
      </c>
      <c r="J59">
        <f t="shared" si="4"/>
        <v>0</v>
      </c>
      <c r="K59">
        <f t="shared" si="5"/>
        <v>-54.752315939163694</v>
      </c>
      <c r="L59">
        <f t="shared" si="6"/>
        <v>0</v>
      </c>
      <c r="M59">
        <f t="shared" si="7"/>
        <v>-3988.1953920498195</v>
      </c>
      <c r="N59">
        <f t="shared" si="8"/>
        <v>0</v>
      </c>
      <c r="O59" s="24">
        <f t="shared" si="9"/>
        <v>-1432.3315849499184</v>
      </c>
      <c r="P59">
        <f t="shared" si="10"/>
        <v>0</v>
      </c>
      <c r="Q59">
        <f t="shared" si="11"/>
        <v>-435867.59054551908</v>
      </c>
      <c r="R59">
        <f t="shared" si="12"/>
        <v>0</v>
      </c>
      <c r="S59">
        <f t="shared" si="13"/>
        <v>-12.510370944251605</v>
      </c>
      <c r="T59">
        <f t="shared" si="14"/>
        <v>0</v>
      </c>
      <c r="U59">
        <f t="shared" si="17"/>
        <v>-982.41838026323205</v>
      </c>
      <c r="V59">
        <f t="shared" si="15"/>
        <v>0</v>
      </c>
      <c r="W59" s="33">
        <f t="shared" si="18"/>
        <v>-6696.964882135122</v>
      </c>
      <c r="X59">
        <f t="shared" si="16"/>
        <v>0</v>
      </c>
    </row>
    <row r="60" spans="1:24" x14ac:dyDescent="0.35">
      <c r="A60" t="str">
        <f>Table1!A53</f>
        <v>Cruz and Rossi-Hansberg 2021</v>
      </c>
      <c r="B60">
        <f>Table1!C53</f>
        <v>7.2</v>
      </c>
      <c r="C60">
        <f>Table1!E53</f>
        <v>-5</v>
      </c>
      <c r="D60">
        <v>0</v>
      </c>
      <c r="G60">
        <f t="shared" si="1"/>
        <v>-11.115185589741195</v>
      </c>
      <c r="H60">
        <f t="shared" si="2"/>
        <v>0</v>
      </c>
      <c r="I60">
        <f t="shared" si="3"/>
        <v>-10.815406016892108</v>
      </c>
      <c r="J60">
        <f t="shared" si="4"/>
        <v>0</v>
      </c>
      <c r="K60">
        <f t="shared" si="5"/>
        <v>-10.19846457097379</v>
      </c>
      <c r="L60">
        <f t="shared" si="6"/>
        <v>0</v>
      </c>
      <c r="M60">
        <f t="shared" si="7"/>
        <v>-18.948282519809148</v>
      </c>
      <c r="N60">
        <f t="shared" si="8"/>
        <v>0</v>
      </c>
      <c r="O60" s="24">
        <f t="shared" si="9"/>
        <v>-16.810255503133167</v>
      </c>
      <c r="P60">
        <f t="shared" si="10"/>
        <v>0</v>
      </c>
      <c r="Q60">
        <f t="shared" si="11"/>
        <v>-33.170027674665334</v>
      </c>
      <c r="R60">
        <f t="shared" si="12"/>
        <v>0</v>
      </c>
      <c r="S60">
        <f t="shared" si="13"/>
        <v>-5.3992860408860315</v>
      </c>
      <c r="T60">
        <f t="shared" si="14"/>
        <v>0</v>
      </c>
      <c r="U60">
        <f t="shared" si="17"/>
        <v>-13.173325461552295</v>
      </c>
      <c r="V60">
        <f t="shared" si="15"/>
        <v>0</v>
      </c>
      <c r="W60" s="33">
        <f t="shared" si="18"/>
        <v>-15.009089220366304</v>
      </c>
      <c r="X60">
        <f t="shared" si="16"/>
        <v>0</v>
      </c>
    </row>
    <row r="61" spans="1:24" x14ac:dyDescent="0.35">
      <c r="A61" t="str">
        <f>Table1!A54</f>
        <v>Kalkuhl and Wenz 2020</v>
      </c>
      <c r="B61">
        <f>Table1!C54</f>
        <v>1</v>
      </c>
      <c r="C61">
        <f>Table1!E54</f>
        <v>-2.2999999999999998</v>
      </c>
      <c r="D61">
        <v>0</v>
      </c>
      <c r="G61">
        <f t="shared" si="1"/>
        <v>-4.4094066146960209E-2</v>
      </c>
      <c r="H61">
        <f t="shared" si="2"/>
        <v>0</v>
      </c>
      <c r="I61">
        <f t="shared" si="3"/>
        <v>-0.46586062024567204</v>
      </c>
      <c r="J61">
        <f t="shared" si="4"/>
        <v>0</v>
      </c>
      <c r="K61">
        <f t="shared" si="5"/>
        <v>-0.19672964064378451</v>
      </c>
      <c r="L61">
        <f t="shared" si="6"/>
        <v>0</v>
      </c>
      <c r="M61">
        <f t="shared" si="7"/>
        <v>-0.15324750137651214</v>
      </c>
      <c r="N61">
        <f t="shared" si="8"/>
        <v>0</v>
      </c>
      <c r="O61" s="24">
        <f t="shared" si="9"/>
        <v>-0.15101725642322555</v>
      </c>
      <c r="P61">
        <f t="shared" si="10"/>
        <v>0</v>
      </c>
      <c r="Q61">
        <f t="shared" si="11"/>
        <v>-4.2583790898327895E-2</v>
      </c>
      <c r="R61">
        <f t="shared" si="12"/>
        <v>0</v>
      </c>
      <c r="S61">
        <f t="shared" si="13"/>
        <v>-0.74990083901194882</v>
      </c>
      <c r="T61">
        <f t="shared" si="14"/>
        <v>0</v>
      </c>
      <c r="U61">
        <f t="shared" si="17"/>
        <v>-0.47036823300131358</v>
      </c>
      <c r="V61">
        <f t="shared" si="15"/>
        <v>0</v>
      </c>
      <c r="W61" s="33">
        <f t="shared" si="18"/>
        <v>-0.23069031629109499</v>
      </c>
      <c r="X61">
        <f t="shared" si="16"/>
        <v>0</v>
      </c>
    </row>
    <row r="62" spans="1:24" x14ac:dyDescent="0.35">
      <c r="A62" t="str">
        <f>Table1!A55</f>
        <v>Newell, Prest and Sexton</v>
      </c>
      <c r="B62">
        <f>Table1!C55</f>
        <v>4.3</v>
      </c>
      <c r="C62">
        <f>Table1!E55</f>
        <v>5.63</v>
      </c>
      <c r="D62">
        <v>0</v>
      </c>
      <c r="G62">
        <f t="shared" si="1"/>
        <v>-3.621940527629171</v>
      </c>
      <c r="H62">
        <f t="shared" si="2"/>
        <v>0</v>
      </c>
      <c r="I62">
        <f t="shared" si="3"/>
        <v>-3.4526049168963668</v>
      </c>
      <c r="J62">
        <f t="shared" si="4"/>
        <v>0</v>
      </c>
      <c r="K62">
        <f t="shared" si="5"/>
        <v>-3.6375310555035751</v>
      </c>
      <c r="L62">
        <f t="shared" si="6"/>
        <v>0</v>
      </c>
      <c r="M62">
        <f t="shared" si="7"/>
        <v>-3.1315533499377706</v>
      </c>
      <c r="N62">
        <f t="shared" si="8"/>
        <v>0</v>
      </c>
      <c r="O62" s="24">
        <f t="shared" si="9"/>
        <v>-3.198803972369014</v>
      </c>
      <c r="P62">
        <f t="shared" si="10"/>
        <v>0</v>
      </c>
      <c r="Q62">
        <f t="shared" si="11"/>
        <v>-1.8017025856762423</v>
      </c>
      <c r="R62">
        <f t="shared" si="12"/>
        <v>0</v>
      </c>
      <c r="S62">
        <f t="shared" si="13"/>
        <v>-3.2245736077513798</v>
      </c>
      <c r="T62">
        <f t="shared" si="14"/>
        <v>0</v>
      </c>
      <c r="U62">
        <f t="shared" si="17"/>
        <v>-3.459650591069988</v>
      </c>
      <c r="V62">
        <f t="shared" si="15"/>
        <v>0</v>
      </c>
      <c r="W62" s="33">
        <f t="shared" si="18"/>
        <v>-3.3234824645965526</v>
      </c>
      <c r="X62">
        <f t="shared" si="16"/>
        <v>0</v>
      </c>
    </row>
    <row r="63" spans="1:24" x14ac:dyDescent="0.35">
      <c r="A63">
        <f>Table1!A56</f>
        <v>0</v>
      </c>
      <c r="B63">
        <f>Table1!C56</f>
        <v>4.3</v>
      </c>
      <c r="C63">
        <f>Table1!E56</f>
        <v>3.61</v>
      </c>
      <c r="D63">
        <v>0</v>
      </c>
      <c r="G63">
        <f t="shared" si="1"/>
        <v>-3.621940527629171</v>
      </c>
      <c r="H63">
        <f t="shared" si="2"/>
        <v>0</v>
      </c>
      <c r="I63">
        <f t="shared" si="3"/>
        <v>-3.4526049168963668</v>
      </c>
      <c r="J63">
        <f t="shared" si="4"/>
        <v>0</v>
      </c>
      <c r="K63">
        <f t="shared" si="5"/>
        <v>-3.6375310555035751</v>
      </c>
      <c r="L63">
        <f t="shared" si="6"/>
        <v>0</v>
      </c>
      <c r="M63">
        <f t="shared" si="7"/>
        <v>-3.1315533499377706</v>
      </c>
      <c r="N63">
        <f t="shared" si="8"/>
        <v>0</v>
      </c>
      <c r="O63" s="24">
        <f t="shared" si="9"/>
        <v>-3.198803972369014</v>
      </c>
      <c r="P63">
        <f t="shared" si="10"/>
        <v>0</v>
      </c>
      <c r="Q63">
        <f t="shared" si="11"/>
        <v>-1.8017025856762423</v>
      </c>
      <c r="R63">
        <f t="shared" si="12"/>
        <v>0</v>
      </c>
      <c r="S63">
        <f t="shared" si="13"/>
        <v>-3.2245736077513798</v>
      </c>
      <c r="T63">
        <f t="shared" si="14"/>
        <v>0</v>
      </c>
      <c r="U63">
        <f t="shared" si="17"/>
        <v>-3.459650591069988</v>
      </c>
      <c r="V63">
        <f t="shared" si="15"/>
        <v>0</v>
      </c>
      <c r="W63" s="33">
        <f t="shared" si="18"/>
        <v>-3.3234824645965526</v>
      </c>
      <c r="X63">
        <f t="shared" si="16"/>
        <v>0</v>
      </c>
    </row>
    <row r="64" spans="1:24" x14ac:dyDescent="0.35">
      <c r="A64">
        <f>Table1!A57</f>
        <v>0</v>
      </c>
      <c r="B64">
        <f>Table1!C57</f>
        <v>4.3</v>
      </c>
      <c r="C64">
        <f>Table1!E57</f>
        <v>-1.71</v>
      </c>
      <c r="D64">
        <v>0</v>
      </c>
      <c r="G64">
        <f t="shared" si="1"/>
        <v>-3.621940527629171</v>
      </c>
      <c r="H64">
        <f t="shared" si="2"/>
        <v>0</v>
      </c>
      <c r="I64">
        <f t="shared" si="3"/>
        <v>-3.4526049168963668</v>
      </c>
      <c r="J64">
        <f t="shared" si="4"/>
        <v>0</v>
      </c>
      <c r="K64">
        <f t="shared" si="5"/>
        <v>-3.6375310555035751</v>
      </c>
      <c r="L64">
        <f t="shared" si="6"/>
        <v>0</v>
      </c>
      <c r="M64">
        <f t="shared" si="7"/>
        <v>-3.1315533499377706</v>
      </c>
      <c r="N64">
        <f t="shared" si="8"/>
        <v>0</v>
      </c>
      <c r="O64" s="24">
        <f t="shared" si="9"/>
        <v>-3.198803972369014</v>
      </c>
      <c r="P64">
        <f t="shared" si="10"/>
        <v>0</v>
      </c>
      <c r="Q64">
        <f t="shared" si="11"/>
        <v>-1.8017025856762423</v>
      </c>
      <c r="R64">
        <f t="shared" si="12"/>
        <v>0</v>
      </c>
      <c r="S64">
        <f t="shared" si="13"/>
        <v>-3.2245736077513798</v>
      </c>
      <c r="T64">
        <f t="shared" si="14"/>
        <v>0</v>
      </c>
      <c r="U64">
        <f t="shared" si="17"/>
        <v>-3.459650591069988</v>
      </c>
      <c r="V64">
        <f t="shared" si="15"/>
        <v>0</v>
      </c>
      <c r="W64" s="33">
        <f t="shared" si="18"/>
        <v>-3.3234824645965526</v>
      </c>
      <c r="X64">
        <f t="shared" si="16"/>
        <v>0</v>
      </c>
    </row>
    <row r="65" spans="1:24" x14ac:dyDescent="0.35">
      <c r="A65">
        <f>Table1!A58</f>
        <v>0</v>
      </c>
      <c r="B65">
        <f>Table1!C58</f>
        <v>4.3</v>
      </c>
      <c r="C65">
        <f>Table1!E58</f>
        <v>-1.63</v>
      </c>
      <c r="D65">
        <v>0</v>
      </c>
      <c r="G65">
        <f t="shared" si="1"/>
        <v>-3.621940527629171</v>
      </c>
      <c r="H65">
        <f t="shared" si="2"/>
        <v>0</v>
      </c>
      <c r="I65">
        <f t="shared" si="3"/>
        <v>-3.4526049168963668</v>
      </c>
      <c r="J65">
        <f t="shared" si="4"/>
        <v>0</v>
      </c>
      <c r="K65">
        <f t="shared" si="5"/>
        <v>-3.6375310555035751</v>
      </c>
      <c r="L65">
        <f t="shared" si="6"/>
        <v>0</v>
      </c>
      <c r="M65">
        <f t="shared" si="7"/>
        <v>-3.1315533499377706</v>
      </c>
      <c r="N65">
        <f t="shared" si="8"/>
        <v>0</v>
      </c>
      <c r="O65" s="24">
        <f t="shared" si="9"/>
        <v>-3.198803972369014</v>
      </c>
      <c r="P65">
        <f t="shared" si="10"/>
        <v>0</v>
      </c>
      <c r="Q65">
        <f t="shared" si="11"/>
        <v>-1.8017025856762423</v>
      </c>
      <c r="R65">
        <f t="shared" si="12"/>
        <v>0</v>
      </c>
      <c r="S65">
        <f t="shared" si="13"/>
        <v>-3.2245736077513798</v>
      </c>
      <c r="T65">
        <f t="shared" si="14"/>
        <v>0</v>
      </c>
      <c r="U65">
        <f t="shared" si="17"/>
        <v>-3.459650591069988</v>
      </c>
      <c r="V65">
        <f t="shared" si="15"/>
        <v>0</v>
      </c>
      <c r="W65" s="33">
        <f t="shared" si="18"/>
        <v>-3.3234824645965526</v>
      </c>
      <c r="X65">
        <f t="shared" si="16"/>
        <v>0</v>
      </c>
    </row>
    <row r="66" spans="1:24" x14ac:dyDescent="0.35">
      <c r="A66">
        <f>Table1!A59</f>
        <v>0</v>
      </c>
      <c r="B66">
        <f>Table1!C59</f>
        <v>4.3</v>
      </c>
      <c r="C66">
        <f>Table1!E59</f>
        <v>-2.17</v>
      </c>
      <c r="D66">
        <v>0</v>
      </c>
      <c r="G66">
        <f t="shared" si="1"/>
        <v>-3.621940527629171</v>
      </c>
      <c r="H66">
        <f t="shared" si="2"/>
        <v>0</v>
      </c>
      <c r="I66">
        <f t="shared" si="3"/>
        <v>-3.4526049168963668</v>
      </c>
      <c r="J66">
        <f t="shared" si="4"/>
        <v>0</v>
      </c>
      <c r="K66">
        <f t="shared" si="5"/>
        <v>-3.6375310555035751</v>
      </c>
      <c r="L66">
        <f t="shared" si="6"/>
        <v>0</v>
      </c>
      <c r="M66">
        <f t="shared" si="7"/>
        <v>-3.1315533499377706</v>
      </c>
      <c r="N66">
        <f t="shared" si="8"/>
        <v>0</v>
      </c>
      <c r="O66" s="24">
        <f t="shared" si="9"/>
        <v>-3.198803972369014</v>
      </c>
      <c r="P66">
        <f t="shared" si="10"/>
        <v>0</v>
      </c>
      <c r="Q66">
        <f t="shared" si="11"/>
        <v>-1.8017025856762423</v>
      </c>
      <c r="R66">
        <f t="shared" si="12"/>
        <v>0</v>
      </c>
      <c r="S66">
        <f t="shared" si="13"/>
        <v>-3.2245736077513798</v>
      </c>
      <c r="T66">
        <f t="shared" si="14"/>
        <v>0</v>
      </c>
      <c r="U66">
        <f t="shared" si="17"/>
        <v>-3.459650591069988</v>
      </c>
      <c r="V66">
        <f t="shared" si="15"/>
        <v>0</v>
      </c>
      <c r="W66" s="33">
        <f t="shared" si="18"/>
        <v>-3.3234824645965526</v>
      </c>
      <c r="X66">
        <f t="shared" si="16"/>
        <v>0</v>
      </c>
    </row>
    <row r="67" spans="1:24" x14ac:dyDescent="0.35">
      <c r="A67">
        <f>Table1!A60</f>
        <v>0</v>
      </c>
      <c r="B67">
        <f>Table1!C60</f>
        <v>4.3</v>
      </c>
      <c r="C67">
        <f>Table1!E60</f>
        <v>-0.64</v>
      </c>
      <c r="D67">
        <v>0</v>
      </c>
      <c r="G67">
        <f t="shared" si="1"/>
        <v>-3.621940527629171</v>
      </c>
      <c r="H67">
        <f t="shared" si="2"/>
        <v>0</v>
      </c>
      <c r="I67">
        <f t="shared" si="3"/>
        <v>-3.4526049168963668</v>
      </c>
      <c r="J67">
        <f t="shared" si="4"/>
        <v>0</v>
      </c>
      <c r="K67">
        <f t="shared" si="5"/>
        <v>-3.6375310555035751</v>
      </c>
      <c r="L67">
        <f t="shared" si="6"/>
        <v>0</v>
      </c>
      <c r="M67">
        <f t="shared" si="7"/>
        <v>-3.1315533499377706</v>
      </c>
      <c r="N67">
        <f t="shared" si="8"/>
        <v>0</v>
      </c>
      <c r="O67" s="24">
        <f t="shared" si="9"/>
        <v>-3.198803972369014</v>
      </c>
      <c r="P67">
        <f t="shared" si="10"/>
        <v>0</v>
      </c>
      <c r="Q67">
        <f t="shared" si="11"/>
        <v>-1.8017025856762423</v>
      </c>
      <c r="R67">
        <f t="shared" si="12"/>
        <v>0</v>
      </c>
      <c r="S67">
        <f t="shared" si="13"/>
        <v>-3.2245736077513798</v>
      </c>
      <c r="T67">
        <f t="shared" si="14"/>
        <v>0</v>
      </c>
      <c r="U67">
        <f t="shared" si="17"/>
        <v>-3.459650591069988</v>
      </c>
      <c r="V67">
        <f t="shared" si="15"/>
        <v>0</v>
      </c>
      <c r="W67" s="33">
        <f t="shared" si="18"/>
        <v>-3.3234824645965526</v>
      </c>
      <c r="X67">
        <f t="shared" si="16"/>
        <v>0</v>
      </c>
    </row>
    <row r="68" spans="1:24" x14ac:dyDescent="0.35">
      <c r="A68">
        <f>Table1!A61</f>
        <v>0</v>
      </c>
      <c r="B68">
        <f>Table1!C61</f>
        <v>4.3</v>
      </c>
      <c r="C68">
        <f>Table1!E61</f>
        <v>-1.82</v>
      </c>
      <c r="D68">
        <v>0</v>
      </c>
      <c r="G68">
        <f t="shared" si="1"/>
        <v>-3.621940527629171</v>
      </c>
      <c r="H68">
        <f t="shared" si="2"/>
        <v>0</v>
      </c>
      <c r="I68">
        <f t="shared" si="3"/>
        <v>-3.4526049168963668</v>
      </c>
      <c r="J68">
        <f t="shared" si="4"/>
        <v>0</v>
      </c>
      <c r="K68">
        <f t="shared" si="5"/>
        <v>-3.6375310555035751</v>
      </c>
      <c r="L68">
        <f t="shared" si="6"/>
        <v>0</v>
      </c>
      <c r="M68">
        <f t="shared" si="7"/>
        <v>-3.1315533499377706</v>
      </c>
      <c r="N68">
        <f t="shared" si="8"/>
        <v>0</v>
      </c>
      <c r="O68" s="24">
        <f t="shared" si="9"/>
        <v>-3.198803972369014</v>
      </c>
      <c r="P68">
        <f t="shared" si="10"/>
        <v>0</v>
      </c>
      <c r="Q68">
        <f t="shared" si="11"/>
        <v>-1.8017025856762423</v>
      </c>
      <c r="R68">
        <f t="shared" si="12"/>
        <v>0</v>
      </c>
      <c r="S68">
        <f t="shared" si="13"/>
        <v>-3.2245736077513798</v>
      </c>
      <c r="T68">
        <f t="shared" si="14"/>
        <v>0</v>
      </c>
      <c r="U68">
        <f t="shared" si="17"/>
        <v>-3.459650591069988</v>
      </c>
      <c r="V68">
        <f t="shared" si="15"/>
        <v>0</v>
      </c>
      <c r="W68" s="33">
        <f t="shared" si="18"/>
        <v>-3.3234824645965526</v>
      </c>
      <c r="X68">
        <f t="shared" si="16"/>
        <v>0</v>
      </c>
    </row>
    <row r="69" spans="1:24" x14ac:dyDescent="0.35">
      <c r="A69">
        <f>Table1!A62</f>
        <v>0</v>
      </c>
      <c r="B69">
        <f>Table1!C62</f>
        <v>4.3</v>
      </c>
      <c r="C69">
        <f>Table1!E62</f>
        <v>-1.75</v>
      </c>
      <c r="D69">
        <v>0</v>
      </c>
      <c r="G69">
        <f t="shared" si="1"/>
        <v>-3.621940527629171</v>
      </c>
      <c r="H69">
        <f t="shared" si="2"/>
        <v>0</v>
      </c>
      <c r="I69">
        <f t="shared" si="3"/>
        <v>-3.4526049168963668</v>
      </c>
      <c r="J69">
        <f t="shared" si="4"/>
        <v>0</v>
      </c>
      <c r="K69">
        <f t="shared" si="5"/>
        <v>-3.6375310555035751</v>
      </c>
      <c r="L69">
        <f t="shared" si="6"/>
        <v>0</v>
      </c>
      <c r="M69">
        <f t="shared" si="7"/>
        <v>-3.1315533499377706</v>
      </c>
      <c r="N69">
        <f t="shared" si="8"/>
        <v>0</v>
      </c>
      <c r="O69" s="24">
        <f t="shared" si="9"/>
        <v>-3.198803972369014</v>
      </c>
      <c r="P69">
        <f t="shared" si="10"/>
        <v>0</v>
      </c>
      <c r="Q69">
        <f t="shared" si="11"/>
        <v>-1.8017025856762423</v>
      </c>
      <c r="R69">
        <f t="shared" si="12"/>
        <v>0</v>
      </c>
      <c r="S69">
        <f t="shared" si="13"/>
        <v>-3.2245736077513798</v>
      </c>
      <c r="T69">
        <f t="shared" si="14"/>
        <v>0</v>
      </c>
      <c r="U69">
        <f t="shared" si="17"/>
        <v>-3.459650591069988</v>
      </c>
      <c r="V69">
        <f t="shared" si="15"/>
        <v>0</v>
      </c>
      <c r="W69" s="33">
        <f t="shared" si="18"/>
        <v>-3.3234824645965526</v>
      </c>
      <c r="X69">
        <f t="shared" si="16"/>
        <v>0</v>
      </c>
    </row>
    <row r="70" spans="1:24" x14ac:dyDescent="0.35">
      <c r="A70">
        <f>Table1!A63</f>
        <v>0</v>
      </c>
      <c r="B70">
        <f>Table1!C63</f>
        <v>4.3</v>
      </c>
      <c r="C70">
        <f>Table1!E63</f>
        <v>-2.16</v>
      </c>
      <c r="D70">
        <v>0</v>
      </c>
      <c r="G70">
        <f t="shared" si="1"/>
        <v>-3.621940527629171</v>
      </c>
      <c r="H70">
        <f t="shared" si="2"/>
        <v>0</v>
      </c>
      <c r="I70">
        <f t="shared" si="3"/>
        <v>-3.4526049168963668</v>
      </c>
      <c r="J70">
        <f t="shared" si="4"/>
        <v>0</v>
      </c>
      <c r="K70">
        <f t="shared" si="5"/>
        <v>-3.6375310555035751</v>
      </c>
      <c r="L70">
        <f t="shared" si="6"/>
        <v>0</v>
      </c>
      <c r="M70">
        <f t="shared" si="7"/>
        <v>-3.1315533499377706</v>
      </c>
      <c r="N70">
        <f t="shared" si="8"/>
        <v>0</v>
      </c>
      <c r="O70" s="24">
        <f t="shared" si="9"/>
        <v>-3.198803972369014</v>
      </c>
      <c r="P70">
        <f t="shared" si="10"/>
        <v>0</v>
      </c>
      <c r="Q70">
        <f t="shared" si="11"/>
        <v>-1.8017025856762423</v>
      </c>
      <c r="R70">
        <f t="shared" si="12"/>
        <v>0</v>
      </c>
      <c r="S70">
        <f t="shared" si="13"/>
        <v>-3.2245736077513798</v>
      </c>
      <c r="T70">
        <f t="shared" si="14"/>
        <v>0</v>
      </c>
      <c r="U70">
        <f t="shared" si="17"/>
        <v>-3.459650591069988</v>
      </c>
      <c r="V70">
        <f t="shared" si="15"/>
        <v>0</v>
      </c>
      <c r="W70" s="33">
        <f t="shared" si="18"/>
        <v>-3.3234824645965526</v>
      </c>
      <c r="X70">
        <f t="shared" si="16"/>
        <v>0</v>
      </c>
    </row>
    <row r="71" spans="1:24" x14ac:dyDescent="0.35">
      <c r="A71" t="str">
        <f>Table1!A64</f>
        <v>Schauer 1995</v>
      </c>
      <c r="B71">
        <f>Table1!C64</f>
        <v>2.5</v>
      </c>
      <c r="C71">
        <f>Table1!E64</f>
        <v>-5.22</v>
      </c>
      <c r="D71">
        <v>0</v>
      </c>
      <c r="G71">
        <f t="shared" si="1"/>
        <v>-1.0173007158952132</v>
      </c>
      <c r="H71">
        <f t="shared" si="2"/>
        <v>0</v>
      </c>
      <c r="I71">
        <f t="shared" si="3"/>
        <v>-1.1646515506141801</v>
      </c>
      <c r="J71">
        <f t="shared" si="4"/>
        <v>0</v>
      </c>
      <c r="K71">
        <f t="shared" si="5"/>
        <v>-1.2295602540236532</v>
      </c>
      <c r="L71">
        <f t="shared" si="6"/>
        <v>0</v>
      </c>
      <c r="M71">
        <f t="shared" si="7"/>
        <v>-0.96442443080626605</v>
      </c>
      <c r="N71">
        <f t="shared" si="8"/>
        <v>0</v>
      </c>
      <c r="O71" s="24">
        <f t="shared" si="9"/>
        <v>-0.95920027273375474</v>
      </c>
      <c r="P71">
        <f t="shared" si="10"/>
        <v>0</v>
      </c>
      <c r="Q71">
        <f t="shared" si="11"/>
        <v>-0.2771332249794326</v>
      </c>
      <c r="R71">
        <f t="shared" si="12"/>
        <v>0</v>
      </c>
      <c r="S71">
        <f t="shared" si="13"/>
        <v>-1.8747520975298722</v>
      </c>
      <c r="T71">
        <f t="shared" si="14"/>
        <v>0</v>
      </c>
      <c r="U71">
        <f t="shared" si="17"/>
        <v>-1.3972480861056602</v>
      </c>
      <c r="V71">
        <f t="shared" si="15"/>
        <v>0</v>
      </c>
      <c r="W71" s="33">
        <f t="shared" si="18"/>
        <v>-1.0795073440011891</v>
      </c>
      <c r="X71">
        <f t="shared" si="16"/>
        <v>0</v>
      </c>
    </row>
    <row r="72" spans="1:24" x14ac:dyDescent="0.35">
      <c r="A72" t="str">
        <f>Table1!A65</f>
        <v>Horowitz 2009</v>
      </c>
      <c r="B72">
        <f>Table1!C65</f>
        <v>1</v>
      </c>
      <c r="C72">
        <f>Table1!E65</f>
        <v>-3.8</v>
      </c>
      <c r="D72">
        <v>0</v>
      </c>
      <c r="G72">
        <f t="shared" si="1"/>
        <v>-4.4094066146960209E-2</v>
      </c>
      <c r="H72">
        <f t="shared" si="2"/>
        <v>0</v>
      </c>
      <c r="I72">
        <f t="shared" si="3"/>
        <v>-0.46586062024567204</v>
      </c>
      <c r="J72">
        <f t="shared" si="4"/>
        <v>0</v>
      </c>
      <c r="K72">
        <f t="shared" si="5"/>
        <v>-0.19672964064378451</v>
      </c>
      <c r="L72">
        <f t="shared" si="6"/>
        <v>0</v>
      </c>
      <c r="M72">
        <f t="shared" si="7"/>
        <v>-0.15324750137651214</v>
      </c>
      <c r="N72">
        <f t="shared" si="8"/>
        <v>0</v>
      </c>
      <c r="O72" s="24">
        <f t="shared" si="9"/>
        <v>-0.15101725642322555</v>
      </c>
      <c r="P72">
        <f t="shared" si="10"/>
        <v>0</v>
      </c>
      <c r="Q72">
        <f t="shared" si="11"/>
        <v>-4.2583790898327895E-2</v>
      </c>
      <c r="R72">
        <f t="shared" si="12"/>
        <v>0</v>
      </c>
      <c r="S72">
        <f t="shared" si="13"/>
        <v>-0.74990083901194882</v>
      </c>
      <c r="T72">
        <f t="shared" si="14"/>
        <v>0</v>
      </c>
      <c r="U72">
        <f t="shared" si="17"/>
        <v>-0.47036823300131358</v>
      </c>
      <c r="V72">
        <f t="shared" si="15"/>
        <v>0</v>
      </c>
      <c r="W72" s="33">
        <f t="shared" si="18"/>
        <v>-0.23069031629109499</v>
      </c>
      <c r="X72">
        <f t="shared" si="16"/>
        <v>0</v>
      </c>
    </row>
    <row r="73" spans="1:24" x14ac:dyDescent="0.35">
      <c r="A73" t="str">
        <f>Table1!A66</f>
        <v>Eboli 2010</v>
      </c>
      <c r="B73">
        <f>Table1!C66</f>
        <v>3.03</v>
      </c>
      <c r="C73">
        <f>Table1!E66</f>
        <v>-1.35</v>
      </c>
      <c r="D73">
        <v>1</v>
      </c>
      <c r="G73">
        <f t="shared" si="1"/>
        <v>-1.6214102190230286</v>
      </c>
      <c r="H73">
        <f t="shared" si="2"/>
        <v>7.3663506990128316E-2</v>
      </c>
      <c r="I73">
        <f t="shared" si="3"/>
        <v>-1.4115576793443863</v>
      </c>
      <c r="J73">
        <f t="shared" si="4"/>
        <v>3.7893478862662667E-3</v>
      </c>
      <c r="K73">
        <f t="shared" si="5"/>
        <v>-1.8061551577865211</v>
      </c>
      <c r="L73">
        <f t="shared" si="6"/>
        <v>0.20807752797524592</v>
      </c>
      <c r="M73">
        <f t="shared" si="7"/>
        <v>-1.4325734265313277</v>
      </c>
      <c r="N73">
        <f t="shared" si="8"/>
        <v>6.8183707691245564E-3</v>
      </c>
      <c r="O73" s="24">
        <f t="shared" si="9"/>
        <v>-1.4357904670610466</v>
      </c>
      <c r="P73">
        <f t="shared" si="10"/>
        <v>7.3600042385525109E-3</v>
      </c>
      <c r="Q73">
        <f t="shared" si="11"/>
        <v>-0.48815207142969824</v>
      </c>
      <c r="R73">
        <f t="shared" si="12"/>
        <v>0.74278185198092006</v>
      </c>
      <c r="S73">
        <f t="shared" si="13"/>
        <v>-2.2721995422062049</v>
      </c>
      <c r="T73">
        <f t="shared" si="14"/>
        <v>0.85045199564533369</v>
      </c>
      <c r="U73">
        <f t="shared" si="17"/>
        <v>-1.8559506827264551</v>
      </c>
      <c r="V73">
        <f t="shared" si="15"/>
        <v>0.25598609335136596</v>
      </c>
      <c r="W73" s="33">
        <f t="shared" si="18"/>
        <v>-1.5445944318832319</v>
      </c>
      <c r="X73">
        <f t="shared" si="16"/>
        <v>3.786699291995773E-2</v>
      </c>
    </row>
    <row r="74" spans="1:24" x14ac:dyDescent="0.35">
      <c r="A74" t="str">
        <f>Table1!A67</f>
        <v>Ng and Zhao 2011</v>
      </c>
      <c r="B74">
        <f>Table1!C67</f>
        <v>1</v>
      </c>
      <c r="C74">
        <f>Table1!E67</f>
        <v>-1.35</v>
      </c>
      <c r="D74">
        <v>0</v>
      </c>
      <c r="G74">
        <f t="shared" ref="G74:G78" si="19">G$1*B74+G$2*B74^2</f>
        <v>-4.4094066146960209E-2</v>
      </c>
      <c r="H74">
        <f t="shared" ref="H74:H78" si="20">$D74*(G74-$C74)^2</f>
        <v>0</v>
      </c>
      <c r="I74">
        <f t="shared" ref="I74:I78" si="21">IF(B74&lt;=I$2,B74*I$1,I$1*I$2+I$3*(B74-I$2))</f>
        <v>-0.46586062024567204</v>
      </c>
      <c r="J74">
        <f t="shared" ref="J74:J78" si="22">$D74*(I74-$C74)^2</f>
        <v>0</v>
      </c>
      <c r="K74">
        <f t="shared" ref="K74:K78" si="23">K$1*B74^2</f>
        <v>-0.19672964064378451</v>
      </c>
      <c r="L74">
        <f t="shared" ref="L74:L78" si="24">$D74*(K74-$C74)^2</f>
        <v>0</v>
      </c>
      <c r="M74">
        <f t="shared" ref="M74:M78" si="25">M$1*B74^2+M$2*B74^7</f>
        <v>-0.15324750137651214</v>
      </c>
      <c r="N74">
        <f t="shared" ref="N74:N78" si="26">$D74*(M74-$C74)^2</f>
        <v>0</v>
      </c>
      <c r="O74" s="24">
        <f t="shared" ref="O74:O78" si="27">O$1*B74^2+O$2*B74^6</f>
        <v>-0.15101725642322555</v>
      </c>
      <c r="P74">
        <f t="shared" ref="P74:P78" si="28">$D74*(O74-$C74)^2</f>
        <v>0</v>
      </c>
      <c r="Q74">
        <f t="shared" ref="Q74:Q78" si="29">Q$2+Q$1*EXP(B74)</f>
        <v>-4.2583790898327895E-2</v>
      </c>
      <c r="R74">
        <f t="shared" ref="R74:R78" si="30">$D74*(Q74-$C74)^2</f>
        <v>0</v>
      </c>
      <c r="S74">
        <f t="shared" ref="S74:S78" si="31">S$1*B74</f>
        <v>-0.74990083901194882</v>
      </c>
      <c r="T74">
        <f t="shared" ref="T74:T78" si="32">$D74*(S74-$C74)^2</f>
        <v>0</v>
      </c>
      <c r="U74">
        <f t="shared" si="17"/>
        <v>-0.47036823300131358</v>
      </c>
      <c r="V74">
        <f t="shared" ref="V74:V78" si="33">$D74*(U74-$C74)^2</f>
        <v>0</v>
      </c>
      <c r="W74" s="33">
        <f t="shared" si="18"/>
        <v>-0.23069031629109499</v>
      </c>
      <c r="X74">
        <f t="shared" ref="X74:X78" si="34">$D74*(W74-$C74)^2</f>
        <v>0</v>
      </c>
    </row>
    <row r="75" spans="1:24" x14ac:dyDescent="0.35">
      <c r="A75">
        <f>Table1!A68</f>
        <v>0</v>
      </c>
      <c r="B75">
        <f>Table1!C68</f>
        <v>1</v>
      </c>
      <c r="C75">
        <f>Table1!E68</f>
        <v>-1.61</v>
      </c>
      <c r="D75">
        <v>0</v>
      </c>
      <c r="G75">
        <f t="shared" si="19"/>
        <v>-4.4094066146960209E-2</v>
      </c>
      <c r="H75">
        <f t="shared" si="20"/>
        <v>0</v>
      </c>
      <c r="I75">
        <f t="shared" si="21"/>
        <v>-0.46586062024567204</v>
      </c>
      <c r="J75">
        <f t="shared" si="22"/>
        <v>0</v>
      </c>
      <c r="K75">
        <f t="shared" si="23"/>
        <v>-0.19672964064378451</v>
      </c>
      <c r="L75">
        <f t="shared" si="24"/>
        <v>0</v>
      </c>
      <c r="M75">
        <f t="shared" si="25"/>
        <v>-0.15324750137651214</v>
      </c>
      <c r="N75">
        <f t="shared" si="26"/>
        <v>0</v>
      </c>
      <c r="O75" s="24">
        <f t="shared" si="27"/>
        <v>-0.15101725642322555</v>
      </c>
      <c r="P75">
        <f t="shared" si="28"/>
        <v>0</v>
      </c>
      <c r="Q75">
        <f t="shared" si="29"/>
        <v>-4.2583790898327895E-2</v>
      </c>
      <c r="R75">
        <f t="shared" si="30"/>
        <v>0</v>
      </c>
      <c r="S75">
        <f t="shared" si="31"/>
        <v>-0.74990083901194882</v>
      </c>
      <c r="T75">
        <f t="shared" si="32"/>
        <v>0</v>
      </c>
      <c r="U75">
        <f t="shared" ref="U75:U78" si="35">(1-EXP(-2*U$1*B75))/2/EXP(-U$1*B75)</f>
        <v>-0.47036823300131358</v>
      </c>
      <c r="V75">
        <f t="shared" si="33"/>
        <v>0</v>
      </c>
      <c r="W75" s="33">
        <f t="shared" ref="W75:W78" si="36">G75*H$5+I75*J$5+K75*L$5+M75*N$5+O75*P$5+Q75*R$5+S75*T$5+U75*V$5</f>
        <v>-0.23069031629109499</v>
      </c>
      <c r="X75">
        <f t="shared" si="34"/>
        <v>0</v>
      </c>
    </row>
    <row r="76" spans="1:24" ht="15" thickBot="1" x14ac:dyDescent="0.4">
      <c r="A76" t="str">
        <f>Table1!A69</f>
        <v>Hope 2011</v>
      </c>
      <c r="B76">
        <f>Table1!C69</f>
        <v>3</v>
      </c>
      <c r="C76">
        <f>Table1!E69</f>
        <v>-0.7</v>
      </c>
      <c r="D76">
        <v>0</v>
      </c>
      <c r="G76">
        <f t="shared" si="19"/>
        <v>-1.583587079285381</v>
      </c>
      <c r="H76">
        <f t="shared" si="20"/>
        <v>0</v>
      </c>
      <c r="I76">
        <f t="shared" si="21"/>
        <v>-1.3975818607370161</v>
      </c>
      <c r="J76">
        <f t="shared" si="22"/>
        <v>0</v>
      </c>
      <c r="K76">
        <f t="shared" si="23"/>
        <v>-1.7705667657940607</v>
      </c>
      <c r="L76">
        <f t="shared" si="24"/>
        <v>0</v>
      </c>
      <c r="M76">
        <f t="shared" si="25"/>
        <v>-1.4031221663745044</v>
      </c>
      <c r="N76">
        <f t="shared" si="26"/>
        <v>0</v>
      </c>
      <c r="O76" s="24">
        <f t="shared" si="27"/>
        <v>-1.4055906915648568</v>
      </c>
      <c r="P76">
        <f t="shared" si="28"/>
        <v>0</v>
      </c>
      <c r="Q76">
        <f t="shared" si="29"/>
        <v>-0.4729925557370297</v>
      </c>
      <c r="R76">
        <f t="shared" si="30"/>
        <v>0</v>
      </c>
      <c r="S76">
        <f t="shared" si="31"/>
        <v>-2.2497025170358462</v>
      </c>
      <c r="T76">
        <f t="shared" si="32"/>
        <v>0</v>
      </c>
      <c r="U76">
        <f t="shared" si="35"/>
        <v>-1.8273735760024097</v>
      </c>
      <c r="V76">
        <f t="shared" si="33"/>
        <v>0</v>
      </c>
      <c r="W76" s="33">
        <f t="shared" si="36"/>
        <v>-1.5155838238446031</v>
      </c>
      <c r="X76">
        <f t="shared" si="34"/>
        <v>0</v>
      </c>
    </row>
    <row r="77" spans="1:24" x14ac:dyDescent="0.35">
      <c r="A77" t="str">
        <f>Table1!A70</f>
        <v>McCallum 2013</v>
      </c>
      <c r="B77">
        <f>Table1!C70</f>
        <v>2</v>
      </c>
      <c r="C77">
        <f>Table1!E70</f>
        <v>-0.7</v>
      </c>
      <c r="D77">
        <v>0.5</v>
      </c>
      <c r="E77" s="3"/>
      <c r="G77">
        <f t="shared" si="19"/>
        <v>-0.57195642590875373</v>
      </c>
      <c r="H77">
        <f t="shared" si="20"/>
        <v>8.1975784330302302E-3</v>
      </c>
      <c r="I77">
        <f t="shared" si="21"/>
        <v>-0.93172124049134408</v>
      </c>
      <c r="J77">
        <f t="shared" si="22"/>
        <v>2.6847366647423671E-2</v>
      </c>
      <c r="K77">
        <f t="shared" si="23"/>
        <v>-0.78691856257513804</v>
      </c>
      <c r="L77">
        <f t="shared" si="24"/>
        <v>3.7774182600640973E-3</v>
      </c>
      <c r="M77">
        <f t="shared" si="25"/>
        <v>-0.61435039902957977</v>
      </c>
      <c r="N77">
        <f t="shared" si="26"/>
        <v>3.6679270731961007E-3</v>
      </c>
      <c r="O77" s="24">
        <f t="shared" si="27"/>
        <v>-0.60793864100588779</v>
      </c>
      <c r="P77">
        <f t="shared" si="28"/>
        <v>4.2376469099213981E-3</v>
      </c>
      <c r="Q77">
        <f t="shared" si="29"/>
        <v>-0.15833853588415234</v>
      </c>
      <c r="R77">
        <f t="shared" si="30"/>
        <v>0.14669857085406182</v>
      </c>
      <c r="S77">
        <f t="shared" si="31"/>
        <v>-1.4998016780238976</v>
      </c>
      <c r="T77">
        <f t="shared" si="32"/>
        <v>0.31984136208492125</v>
      </c>
      <c r="U77">
        <f t="shared" si="35"/>
        <v>-1.0396079812094186</v>
      </c>
      <c r="V77">
        <f t="shared" si="33"/>
        <v>5.7666790450568405E-2</v>
      </c>
      <c r="W77" s="33">
        <f t="shared" si="36"/>
        <v>-0.7247993172675995</v>
      </c>
      <c r="X77">
        <f t="shared" si="34"/>
        <v>3.0750306846953038E-4</v>
      </c>
    </row>
    <row r="78" spans="1:24" x14ac:dyDescent="0.35">
      <c r="A78">
        <f>Table1!A71</f>
        <v>0</v>
      </c>
      <c r="B78">
        <f>Table1!C71</f>
        <v>4</v>
      </c>
      <c r="C78">
        <f>Table1!E71</f>
        <v>-1.8</v>
      </c>
      <c r="D78">
        <v>0.5</v>
      </c>
      <c r="G78">
        <f t="shared" si="19"/>
        <v>-3.0789860262768411</v>
      </c>
      <c r="H78">
        <f t="shared" si="20"/>
        <v>0.8179026277057122</v>
      </c>
      <c r="I78">
        <f t="shared" si="21"/>
        <v>-2.6909358375864629</v>
      </c>
      <c r="J78">
        <f t="shared" si="22"/>
        <v>0.39688333334794607</v>
      </c>
      <c r="K78">
        <f t="shared" si="23"/>
        <v>-3.1476742503005521</v>
      </c>
      <c r="L78">
        <f t="shared" si="24"/>
        <v>0.90811294246157759</v>
      </c>
      <c r="M78">
        <f t="shared" si="25"/>
        <v>-2.6315319671303166</v>
      </c>
      <c r="N78">
        <f t="shared" si="26"/>
        <v>0.34572270617980688</v>
      </c>
      <c r="O78" s="24">
        <f t="shared" si="27"/>
        <v>-2.6794099440546275</v>
      </c>
      <c r="P78">
        <f t="shared" si="28"/>
        <v>0.38668092485108152</v>
      </c>
      <c r="Q78">
        <f t="shared" si="29"/>
        <v>-1.3283108601546976</v>
      </c>
      <c r="R78">
        <f t="shared" si="30"/>
        <v>0.11124532232400065</v>
      </c>
      <c r="S78">
        <f t="shared" si="31"/>
        <v>-2.9996033560477953</v>
      </c>
      <c r="T78">
        <f t="shared" si="32"/>
        <v>0.7195241059205667</v>
      </c>
      <c r="U78">
        <f t="shared" si="35"/>
        <v>-2.9992535340366504</v>
      </c>
      <c r="V78">
        <f t="shared" si="33"/>
        <v>0.71910451944969767</v>
      </c>
      <c r="W78" s="33">
        <f t="shared" si="36"/>
        <v>-2.7917186414957764</v>
      </c>
      <c r="X78">
        <f t="shared" si="34"/>
        <v>0.4917529319451141</v>
      </c>
    </row>
    <row r="79" spans="1:24" x14ac:dyDescent="0.35">
      <c r="O79" s="24"/>
      <c r="W79" s="33"/>
    </row>
    <row r="80" spans="1:24" ht="15" thickBot="1" x14ac:dyDescent="0.4">
      <c r="E80" s="2"/>
      <c r="O80" s="24"/>
      <c r="W80" s="33"/>
    </row>
    <row r="81" spans="2:15" x14ac:dyDescent="0.35">
      <c r="B81">
        <v>-1.5</v>
      </c>
      <c r="J81" s="5"/>
      <c r="M81">
        <f t="shared" ref="M81" si="37">M$1*B81^2+M$2*B81^7</f>
        <v>-0.34459474516048771</v>
      </c>
      <c r="N81" s="5">
        <f>M81-N$7</f>
        <v>-1.2388006033133925</v>
      </c>
      <c r="O81" s="5">
        <f>M81+N$7</f>
        <v>0.54961111299241694</v>
      </c>
    </row>
    <row r="82" spans="2:15" x14ac:dyDescent="0.35">
      <c r="B82">
        <f>0.1+B81</f>
        <v>-1.4</v>
      </c>
      <c r="J82" s="5"/>
      <c r="M82">
        <f t="shared" ref="M82:M145" si="38">M$1*B82^2+M$2*B82^7</f>
        <v>-0.30022795143893505</v>
      </c>
      <c r="N82" s="5">
        <f t="shared" ref="N82:N145" si="39">M82-N$7</f>
        <v>-1.1944338095918396</v>
      </c>
      <c r="O82" s="5">
        <f t="shared" ref="O82:O145" si="40">M82+N$7</f>
        <v>0.59397790671396966</v>
      </c>
    </row>
    <row r="83" spans="2:15" x14ac:dyDescent="0.35">
      <c r="B83">
        <f t="shared" ref="B83:B146" si="41">0.1+B82</f>
        <v>-1.2999999999999998</v>
      </c>
      <c r="J83" s="5"/>
      <c r="M83">
        <f t="shared" si="38"/>
        <v>-0.25890089561123636</v>
      </c>
      <c r="N83" s="5">
        <f t="shared" si="39"/>
        <v>-1.1531067537641411</v>
      </c>
      <c r="O83" s="5">
        <f t="shared" si="40"/>
        <v>0.63530496254166824</v>
      </c>
    </row>
    <row r="84" spans="2:15" ht="15" thickBot="1" x14ac:dyDescent="0.4">
      <c r="B84">
        <f t="shared" si="41"/>
        <v>-1.1999999999999997</v>
      </c>
      <c r="G84" s="2"/>
      <c r="H84" s="2"/>
      <c r="J84" s="5"/>
      <c r="M84">
        <f t="shared" si="38"/>
        <v>-0.2206212930900173</v>
      </c>
      <c r="N84" s="5">
        <f t="shared" si="39"/>
        <v>-1.114827151242922</v>
      </c>
      <c r="O84" s="5">
        <f t="shared" si="40"/>
        <v>0.67358456506288733</v>
      </c>
    </row>
    <row r="85" spans="2:15" x14ac:dyDescent="0.35">
      <c r="B85">
        <f t="shared" si="41"/>
        <v>-1.0999999999999996</v>
      </c>
      <c r="J85" s="5"/>
      <c r="M85">
        <f t="shared" si="38"/>
        <v>-0.18539482264714807</v>
      </c>
      <c r="N85" s="5">
        <f t="shared" si="39"/>
        <v>-1.0796006808000527</v>
      </c>
      <c r="O85" s="5">
        <f t="shared" si="40"/>
        <v>0.70881103550575664</v>
      </c>
    </row>
    <row r="86" spans="2:15" ht="15" thickBot="1" x14ac:dyDescent="0.4">
      <c r="B86">
        <f t="shared" si="41"/>
        <v>-0.99999999999999967</v>
      </c>
      <c r="J86" s="5"/>
      <c r="M86">
        <f t="shared" si="38"/>
        <v>-0.15322555954548731</v>
      </c>
      <c r="N86" s="5">
        <f t="shared" si="39"/>
        <v>-1.0474314176983919</v>
      </c>
      <c r="O86" s="5">
        <f t="shared" si="40"/>
        <v>0.74098029860741732</v>
      </c>
    </row>
    <row r="87" spans="2:15" x14ac:dyDescent="0.35">
      <c r="B87">
        <f t="shared" si="41"/>
        <v>-0.89999999999999969</v>
      </c>
      <c r="G87" s="3"/>
      <c r="H87" s="3"/>
      <c r="J87" s="5"/>
      <c r="K87" s="3"/>
      <c r="L87" s="3"/>
      <c r="M87">
        <f t="shared" si="38"/>
        <v>-0.12411634231853</v>
      </c>
      <c r="N87" s="5">
        <f t="shared" si="39"/>
        <v>-1.0183222004714347</v>
      </c>
      <c r="O87" s="5">
        <f t="shared" si="40"/>
        <v>0.77008951583437468</v>
      </c>
    </row>
    <row r="88" spans="2:15" x14ac:dyDescent="0.35">
      <c r="B88">
        <f t="shared" si="41"/>
        <v>-0.79999999999999971</v>
      </c>
      <c r="J88" s="5"/>
      <c r="M88">
        <f t="shared" si="38"/>
        <v>-9.8069078727298933E-2</v>
      </c>
      <c r="N88" s="5">
        <f t="shared" si="39"/>
        <v>-0.99227493688020363</v>
      </c>
      <c r="O88" s="5">
        <f t="shared" si="40"/>
        <v>0.79613677942560568</v>
      </c>
    </row>
    <row r="89" spans="2:15" x14ac:dyDescent="0.35">
      <c r="B89">
        <f t="shared" si="41"/>
        <v>-0.69999999999999973</v>
      </c>
      <c r="J89" s="5"/>
      <c r="M89">
        <f t="shared" si="38"/>
        <v>-7.508499642382245E-2</v>
      </c>
      <c r="N89" s="5">
        <f t="shared" si="39"/>
        <v>-0.96929085457672715</v>
      </c>
      <c r="O89" s="5">
        <f t="shared" si="40"/>
        <v>0.81912086172908216</v>
      </c>
    </row>
    <row r="90" spans="2:15" ht="15" thickBot="1" x14ac:dyDescent="0.4">
      <c r="B90">
        <f t="shared" si="41"/>
        <v>-0.59999999999999976</v>
      </c>
      <c r="G90" s="2"/>
      <c r="H90" s="2"/>
      <c r="J90" s="5"/>
      <c r="K90" s="2"/>
      <c r="L90" s="2"/>
      <c r="M90">
        <f t="shared" si="38"/>
        <v>-5.5164843850539394E-2</v>
      </c>
      <c r="N90" s="5">
        <f t="shared" si="39"/>
        <v>-0.94937070200344409</v>
      </c>
      <c r="O90" s="5">
        <f t="shared" si="40"/>
        <v>0.83904101430236522</v>
      </c>
    </row>
    <row r="91" spans="2:15" ht="15" thickBot="1" x14ac:dyDescent="0.4">
      <c r="B91">
        <f t="shared" si="41"/>
        <v>-0.49999999999999978</v>
      </c>
      <c r="J91" s="5"/>
      <c r="M91">
        <f t="shared" si="38"/>
        <v>-3.8309046904972471E-2</v>
      </c>
      <c r="N91" s="5">
        <f t="shared" si="39"/>
        <v>-0.93251490505787715</v>
      </c>
      <c r="O91" s="5">
        <f t="shared" si="40"/>
        <v>0.85589681124793215</v>
      </c>
    </row>
    <row r="92" spans="2:15" x14ac:dyDescent="0.35">
      <c r="B92">
        <f t="shared" si="41"/>
        <v>-0.3999999999999998</v>
      </c>
      <c r="G92" s="3"/>
      <c r="H92" s="3"/>
      <c r="J92" s="5"/>
      <c r="K92" s="3"/>
      <c r="L92" s="3"/>
      <c r="M92">
        <f t="shared" si="38"/>
        <v>-2.4517826899011965E-2</v>
      </c>
      <c r="N92" s="5">
        <f t="shared" si="39"/>
        <v>-0.91872368505191659</v>
      </c>
      <c r="O92" s="5">
        <f t="shared" si="40"/>
        <v>0.86968803125389271</v>
      </c>
    </row>
    <row r="93" spans="2:15" x14ac:dyDescent="0.35">
      <c r="B93">
        <f t="shared" si="41"/>
        <v>-0.29999999999999982</v>
      </c>
      <c r="J93" s="5"/>
      <c r="M93">
        <f t="shared" si="38"/>
        <v>-1.3791285342150742E-2</v>
      </c>
      <c r="N93" s="5">
        <f t="shared" si="39"/>
        <v>-0.90799714349505545</v>
      </c>
      <c r="O93" s="5">
        <f t="shared" si="40"/>
        <v>0.88041457281075386</v>
      </c>
    </row>
    <row r="94" spans="2:15" x14ac:dyDescent="0.35">
      <c r="B94">
        <f t="shared" si="41"/>
        <v>-0.19999999999999982</v>
      </c>
      <c r="J94" s="5"/>
      <c r="M94">
        <f t="shared" si="38"/>
        <v>-6.1294610780122608E-3</v>
      </c>
      <c r="N94" s="5">
        <f t="shared" si="39"/>
        <v>-0.90033531923091692</v>
      </c>
      <c r="O94" s="5">
        <f t="shared" si="40"/>
        <v>0.88807639707489239</v>
      </c>
    </row>
    <row r="95" spans="2:15" ht="15" thickBot="1" x14ac:dyDescent="0.4">
      <c r="B95">
        <f t="shared" si="41"/>
        <v>-9.9999999999999811E-2</v>
      </c>
      <c r="G95" s="2"/>
      <c r="H95" s="2"/>
      <c r="J95" s="5"/>
      <c r="K95" s="2"/>
      <c r="L95" s="2"/>
      <c r="M95">
        <f t="shared" si="38"/>
        <v>-1.5323653035129003E-3</v>
      </c>
      <c r="N95" s="5">
        <f t="shared" si="39"/>
        <v>-0.89573822345641751</v>
      </c>
      <c r="O95" s="5">
        <f t="shared" si="40"/>
        <v>0.89267349284939179</v>
      </c>
    </row>
    <row r="96" spans="2:15" ht="15" thickBot="1" x14ac:dyDescent="0.4">
      <c r="B96">
        <v>0</v>
      </c>
      <c r="J96" s="5"/>
      <c r="M96">
        <f t="shared" si="38"/>
        <v>0</v>
      </c>
      <c r="N96" s="5">
        <f t="shared" si="39"/>
        <v>-0.89420585815290465</v>
      </c>
      <c r="O96" s="5">
        <f t="shared" si="40"/>
        <v>0.89420585815290465</v>
      </c>
    </row>
    <row r="97" spans="2:15" x14ac:dyDescent="0.35">
      <c r="B97">
        <f t="shared" si="41"/>
        <v>0.1</v>
      </c>
      <c r="E97" s="3"/>
      <c r="J97" s="5"/>
      <c r="M97">
        <f t="shared" si="38"/>
        <v>-1.5323653057070896E-3</v>
      </c>
      <c r="N97" s="5">
        <f t="shared" si="39"/>
        <v>-0.89573822345861176</v>
      </c>
      <c r="O97" s="5">
        <f t="shared" si="40"/>
        <v>0.89267349284719755</v>
      </c>
    </row>
    <row r="98" spans="2:15" ht="15" thickBot="1" x14ac:dyDescent="0.4">
      <c r="B98">
        <f t="shared" si="41"/>
        <v>0.2</v>
      </c>
      <c r="J98" s="5"/>
      <c r="M98">
        <f t="shared" si="38"/>
        <v>-6.1294613588677108E-3</v>
      </c>
      <c r="N98" s="5">
        <f t="shared" si="39"/>
        <v>-0.90033531951177237</v>
      </c>
      <c r="O98" s="5">
        <f t="shared" si="40"/>
        <v>0.88807639679403694</v>
      </c>
    </row>
    <row r="99" spans="2:15" ht="15" thickBot="1" x14ac:dyDescent="0.4">
      <c r="B99">
        <f t="shared" si="41"/>
        <v>0.30000000000000004</v>
      </c>
      <c r="E99" s="2"/>
      <c r="G99" s="4"/>
      <c r="H99" s="4"/>
      <c r="J99" s="5"/>
      <c r="M99">
        <f t="shared" si="38"/>
        <v>-1.3791290140829205E-2</v>
      </c>
      <c r="N99" s="5">
        <f t="shared" si="39"/>
        <v>-0.9079971482937339</v>
      </c>
      <c r="O99" s="5">
        <f t="shared" si="40"/>
        <v>0.8804145680120754</v>
      </c>
    </row>
    <row r="100" spans="2:15" x14ac:dyDescent="0.35">
      <c r="B100">
        <f t="shared" si="41"/>
        <v>0.4</v>
      </c>
      <c r="J100" s="5"/>
      <c r="M100">
        <f t="shared" si="38"/>
        <v>-2.4517862848507942E-2</v>
      </c>
      <c r="N100" s="5">
        <f t="shared" si="39"/>
        <v>-0.91872372100141264</v>
      </c>
      <c r="O100" s="5">
        <f t="shared" si="40"/>
        <v>0.86968799530439667</v>
      </c>
    </row>
    <row r="101" spans="2:15" x14ac:dyDescent="0.35">
      <c r="B101">
        <f t="shared" si="41"/>
        <v>0.5</v>
      </c>
      <c r="J101" s="5"/>
      <c r="M101">
        <f t="shared" si="38"/>
        <v>-3.8309218325527382E-2</v>
      </c>
      <c r="N101" s="5">
        <f t="shared" si="39"/>
        <v>-0.93251507647843201</v>
      </c>
      <c r="O101" s="5">
        <f t="shared" si="40"/>
        <v>0.85589663982737729</v>
      </c>
    </row>
    <row r="102" spans="2:15" x14ac:dyDescent="0.35">
      <c r="B102">
        <f t="shared" si="41"/>
        <v>0.6</v>
      </c>
      <c r="J102" s="5"/>
      <c r="M102">
        <f t="shared" si="38"/>
        <v>-5.5165458081380403E-2</v>
      </c>
      <c r="N102" s="5">
        <f t="shared" si="39"/>
        <v>-0.94937131623428506</v>
      </c>
      <c r="O102" s="5">
        <f t="shared" si="40"/>
        <v>0.83904040007152425</v>
      </c>
    </row>
    <row r="103" spans="2:15" x14ac:dyDescent="0.35">
      <c r="B103">
        <f t="shared" si="41"/>
        <v>0.7</v>
      </c>
      <c r="J103" s="5"/>
      <c r="M103">
        <f t="shared" si="38"/>
        <v>-7.508680342795726E-2</v>
      </c>
      <c r="N103" s="5">
        <f t="shared" si="39"/>
        <v>-0.96929266158086191</v>
      </c>
      <c r="O103" s="5">
        <f t="shared" si="40"/>
        <v>0.81911905472494739</v>
      </c>
    </row>
    <row r="104" spans="2:15" ht="15" thickBot="1" x14ac:dyDescent="0.4">
      <c r="B104">
        <f t="shared" si="41"/>
        <v>0.79999999999999993</v>
      </c>
      <c r="G104" s="2"/>
      <c r="H104" s="2"/>
      <c r="J104" s="5"/>
      <c r="M104">
        <f t="shared" si="38"/>
        <v>-9.8073680262780696E-2</v>
      </c>
      <c r="N104" s="5">
        <f t="shared" si="39"/>
        <v>-0.99227953841568539</v>
      </c>
      <c r="O104" s="5">
        <f t="shared" si="40"/>
        <v>0.79613217789012392</v>
      </c>
    </row>
    <row r="105" spans="2:15" x14ac:dyDescent="0.35">
      <c r="B105">
        <f t="shared" si="41"/>
        <v>0.89999999999999991</v>
      </c>
      <c r="J105" s="5"/>
      <c r="M105">
        <f t="shared" si="38"/>
        <v>-0.12412683702828951</v>
      </c>
      <c r="N105" s="5">
        <f t="shared" si="39"/>
        <v>-1.0183326951811942</v>
      </c>
      <c r="O105" s="5">
        <f t="shared" si="40"/>
        <v>0.77007902112461513</v>
      </c>
    </row>
    <row r="106" spans="2:15" ht="15" thickBot="1" x14ac:dyDescent="0.4">
      <c r="B106">
        <f t="shared" si="41"/>
        <v>0.99999999999999989</v>
      </c>
      <c r="J106" s="5"/>
      <c r="M106">
        <f t="shared" si="38"/>
        <v>-0.15324750137651211</v>
      </c>
      <c r="N106" s="5">
        <f t="shared" si="39"/>
        <v>-1.0474533595294169</v>
      </c>
      <c r="O106" s="5">
        <f t="shared" si="40"/>
        <v>0.74095835677639255</v>
      </c>
    </row>
    <row r="107" spans="2:15" x14ac:dyDescent="0.35">
      <c r="B107">
        <f t="shared" si="41"/>
        <v>1.0999999999999999</v>
      </c>
      <c r="G107" s="3"/>
      <c r="H107" s="3"/>
      <c r="J107" s="5"/>
      <c r="K107" s="3"/>
      <c r="L107" s="3"/>
      <c r="M107">
        <f t="shared" si="38"/>
        <v>-0.18543758106847125</v>
      </c>
      <c r="N107" s="5">
        <f t="shared" si="39"/>
        <v>-1.0796434392213758</v>
      </c>
      <c r="O107" s="5">
        <f t="shared" si="40"/>
        <v>0.70876827708443346</v>
      </c>
    </row>
    <row r="108" spans="2:15" x14ac:dyDescent="0.35">
      <c r="B108">
        <f t="shared" si="41"/>
        <v>1.2</v>
      </c>
      <c r="J108" s="5"/>
      <c r="M108">
        <f t="shared" si="38"/>
        <v>-0.22069991463766195</v>
      </c>
      <c r="N108" s="5">
        <f t="shared" si="39"/>
        <v>-1.1149057727905667</v>
      </c>
      <c r="O108" s="5">
        <f t="shared" si="40"/>
        <v>0.67350594351524273</v>
      </c>
    </row>
    <row r="109" spans="2:15" x14ac:dyDescent="0.35">
      <c r="B109">
        <f t="shared" si="41"/>
        <v>1.3</v>
      </c>
      <c r="J109" s="5"/>
      <c r="M109">
        <f t="shared" si="38"/>
        <v>-0.25903857734694286</v>
      </c>
      <c r="N109" s="5">
        <f t="shared" si="39"/>
        <v>-1.1532444354998475</v>
      </c>
      <c r="O109" s="5">
        <f t="shared" si="40"/>
        <v>0.63516728080596185</v>
      </c>
    </row>
    <row r="110" spans="2:15" ht="15" thickBot="1" x14ac:dyDescent="0.4">
      <c r="B110">
        <f t="shared" si="41"/>
        <v>1.4000000000000001</v>
      </c>
      <c r="G110" s="2"/>
      <c r="H110" s="2"/>
      <c r="J110" s="5"/>
      <c r="K110" s="2"/>
      <c r="L110" s="2"/>
      <c r="M110">
        <f t="shared" si="38"/>
        <v>-0.30045924796818407</v>
      </c>
      <c r="N110" s="5">
        <f t="shared" si="39"/>
        <v>-1.1946651061210887</v>
      </c>
      <c r="O110" s="5">
        <f t="shared" si="40"/>
        <v>0.59374661018472064</v>
      </c>
    </row>
    <row r="111" spans="2:15" ht="15" thickBot="1" x14ac:dyDescent="0.4">
      <c r="B111">
        <f t="shared" si="41"/>
        <v>1.5000000000000002</v>
      </c>
      <c r="J111" s="5"/>
      <c r="M111">
        <f t="shared" si="38"/>
        <v>-0.34496964191401142</v>
      </c>
      <c r="N111" s="5">
        <f t="shared" si="39"/>
        <v>-1.239175500066916</v>
      </c>
      <c r="O111" s="5">
        <f t="shared" si="40"/>
        <v>0.54923621623889329</v>
      </c>
    </row>
    <row r="112" spans="2:15" x14ac:dyDescent="0.35">
      <c r="B112">
        <f t="shared" si="41"/>
        <v>1.6000000000000003</v>
      </c>
      <c r="E112" s="3"/>
      <c r="G112" s="3"/>
      <c r="H112" s="3"/>
      <c r="J112" s="5"/>
      <c r="K112" s="3"/>
      <c r="L112" s="3"/>
      <c r="M112">
        <f t="shared" si="38"/>
        <v>-0.39258001625098909</v>
      </c>
      <c r="N112" s="5">
        <f t="shared" si="39"/>
        <v>-1.2867858744038938</v>
      </c>
      <c r="O112" s="5">
        <f t="shared" si="40"/>
        <v>0.5016258419019155</v>
      </c>
    </row>
    <row r="113" spans="2:15" x14ac:dyDescent="0.35">
      <c r="B113">
        <f t="shared" si="41"/>
        <v>1.7000000000000004</v>
      </c>
      <c r="J113" s="5"/>
      <c r="M113">
        <f t="shared" si="38"/>
        <v>-0.44330375212358281</v>
      </c>
      <c r="N113" s="5">
        <f t="shared" si="39"/>
        <v>-1.3375096102764874</v>
      </c>
      <c r="O113" s="5">
        <f t="shared" si="40"/>
        <v>0.45090210602932185</v>
      </c>
    </row>
    <row r="114" spans="2:15" x14ac:dyDescent="0.35">
      <c r="B114">
        <f t="shared" si="41"/>
        <v>1.8000000000000005</v>
      </c>
      <c r="J114" s="5"/>
      <c r="M114">
        <f t="shared" si="38"/>
        <v>-0.49715802011824345</v>
      </c>
      <c r="N114" s="5">
        <f t="shared" si="39"/>
        <v>-1.3913638782711482</v>
      </c>
      <c r="O114" s="5">
        <f t="shared" si="40"/>
        <v>0.3970478380346612</v>
      </c>
    </row>
    <row r="115" spans="2:15" ht="15" thickBot="1" x14ac:dyDescent="0.4">
      <c r="B115">
        <f t="shared" si="41"/>
        <v>1.9000000000000006</v>
      </c>
      <c r="E115" s="2"/>
      <c r="G115" s="2"/>
      <c r="H115" s="2"/>
      <c r="J115" s="5"/>
      <c r="K115" s="2"/>
      <c r="L115" s="2"/>
      <c r="M115">
        <f t="shared" si="38"/>
        <v>-0.55416453409695399</v>
      </c>
      <c r="N115" s="5">
        <f t="shared" si="39"/>
        <v>-1.4483703922498585</v>
      </c>
      <c r="O115" s="5">
        <f t="shared" si="40"/>
        <v>0.34004132405595067</v>
      </c>
    </row>
    <row r="116" spans="2:15" x14ac:dyDescent="0.35">
      <c r="B116">
        <f t="shared" si="41"/>
        <v>2.0000000000000004</v>
      </c>
      <c r="J116" s="5"/>
      <c r="M116">
        <f t="shared" si="38"/>
        <v>-0.61435039902958</v>
      </c>
      <c r="N116" s="5">
        <f t="shared" si="39"/>
        <v>-1.5085562571824847</v>
      </c>
      <c r="O116" s="5">
        <f t="shared" si="40"/>
        <v>0.27985545912332466</v>
      </c>
    </row>
    <row r="117" spans="2:15" x14ac:dyDescent="0.35">
      <c r="B117">
        <f t="shared" si="41"/>
        <v>2.1000000000000005</v>
      </c>
      <c r="J117" s="5"/>
      <c r="M117">
        <f t="shared" si="38"/>
        <v>-0.67774905835436638</v>
      </c>
      <c r="N117" s="5">
        <f t="shared" si="39"/>
        <v>-1.571954916507271</v>
      </c>
      <c r="O117" s="5">
        <f t="shared" si="40"/>
        <v>0.21645679979853827</v>
      </c>
    </row>
    <row r="118" spans="2:15" x14ac:dyDescent="0.35">
      <c r="B118">
        <f t="shared" si="41"/>
        <v>2.2000000000000006</v>
      </c>
      <c r="J118" s="5"/>
      <c r="M118">
        <f t="shared" si="38"/>
        <v>-0.74440134639592015</v>
      </c>
      <c r="N118" s="5">
        <f t="shared" si="39"/>
        <v>-1.6386072045488249</v>
      </c>
      <c r="O118" s="5">
        <f t="shared" si="40"/>
        <v>0.1498045117569845</v>
      </c>
    </row>
    <row r="119" spans="2:15" x14ac:dyDescent="0.35">
      <c r="B119">
        <f t="shared" si="41"/>
        <v>2.3000000000000007</v>
      </c>
      <c r="J119" s="5"/>
      <c r="M119">
        <f t="shared" si="38"/>
        <v>-0.81435665137002256</v>
      </c>
      <c r="N119" s="5">
        <f t="shared" si="39"/>
        <v>-1.7085625095229271</v>
      </c>
      <c r="O119" s="5">
        <f t="shared" si="40"/>
        <v>7.9849206782882098E-2</v>
      </c>
    </row>
    <row r="120" spans="2:15" x14ac:dyDescent="0.35">
      <c r="B120">
        <f t="shared" si="41"/>
        <v>2.4000000000000008</v>
      </c>
      <c r="J120" s="5"/>
      <c r="M120">
        <f t="shared" si="38"/>
        <v>-0.88767419450460994</v>
      </c>
      <c r="N120" s="5">
        <f t="shared" si="39"/>
        <v>-1.7818800526575145</v>
      </c>
      <c r="O120" s="5">
        <f t="shared" si="40"/>
        <v>6.5316636482947166E-3</v>
      </c>
    </row>
    <row r="121" spans="2:15" x14ac:dyDescent="0.35">
      <c r="B121">
        <f t="shared" si="41"/>
        <v>2.5000000000000009</v>
      </c>
      <c r="J121" s="5"/>
      <c r="M121">
        <f t="shared" si="38"/>
        <v>-0.96442443080626672</v>
      </c>
      <c r="N121" s="5">
        <f t="shared" si="39"/>
        <v>-1.8586302889591715</v>
      </c>
      <c r="O121" s="5">
        <f t="shared" si="40"/>
        <v>-7.0218572653362066E-2</v>
      </c>
    </row>
    <row r="122" spans="2:15" x14ac:dyDescent="0.35">
      <c r="B122">
        <f t="shared" si="41"/>
        <v>2.600000000000001</v>
      </c>
      <c r="J122" s="5"/>
      <c r="M122">
        <f t="shared" si="38"/>
        <v>-1.0446905770015711</v>
      </c>
      <c r="N122" s="5">
        <f t="shared" si="39"/>
        <v>-1.9388964351544757</v>
      </c>
      <c r="O122" s="5">
        <f t="shared" si="40"/>
        <v>-0.15048471884866643</v>
      </c>
    </row>
    <row r="123" spans="2:15" x14ac:dyDescent="0.35">
      <c r="B123">
        <f t="shared" si="41"/>
        <v>2.7000000000000011</v>
      </c>
      <c r="J123" s="5"/>
      <c r="M123">
        <f t="shared" si="38"/>
        <v>-1.1285702721826329</v>
      </c>
      <c r="N123" s="5">
        <f t="shared" si="39"/>
        <v>-2.0227761303355374</v>
      </c>
      <c r="O123" s="5">
        <f t="shared" si="40"/>
        <v>-0.2343644140297283</v>
      </c>
    </row>
    <row r="124" spans="2:15" x14ac:dyDescent="0.35">
      <c r="B124">
        <f t="shared" si="41"/>
        <v>2.8000000000000012</v>
      </c>
      <c r="J124" s="5"/>
      <c r="M124">
        <f t="shared" si="38"/>
        <v>-1.2161773766861703</v>
      </c>
      <c r="N124" s="5">
        <f t="shared" si="39"/>
        <v>-2.110383234839075</v>
      </c>
      <c r="O124" s="5">
        <f t="shared" si="40"/>
        <v>-0.32197151853326567</v>
      </c>
    </row>
    <row r="125" spans="2:15" x14ac:dyDescent="0.35">
      <c r="B125">
        <f t="shared" si="41"/>
        <v>2.9000000000000012</v>
      </c>
      <c r="J125" s="5"/>
      <c r="M125">
        <f t="shared" si="38"/>
        <v>-1.3076439147354597</v>
      </c>
      <c r="N125" s="5">
        <f t="shared" si="39"/>
        <v>-2.2018497728883641</v>
      </c>
      <c r="O125" s="5">
        <f t="shared" si="40"/>
        <v>-0.41343805658255506</v>
      </c>
    </row>
    <row r="126" spans="2:15" x14ac:dyDescent="0.35">
      <c r="B126">
        <f t="shared" si="41"/>
        <v>3.0000000000000013</v>
      </c>
      <c r="J126" s="5"/>
      <c r="M126">
        <f t="shared" si="38"/>
        <v>-1.4031221663745055</v>
      </c>
      <c r="N126" s="5">
        <f t="shared" si="39"/>
        <v>-2.2973280245274101</v>
      </c>
      <c r="O126" s="5">
        <f t="shared" si="40"/>
        <v>-0.50891630822160083</v>
      </c>
    </row>
    <row r="127" spans="2:15" x14ac:dyDescent="0.35">
      <c r="B127">
        <f t="shared" si="41"/>
        <v>3.1000000000000014</v>
      </c>
      <c r="J127" s="5"/>
      <c r="M127">
        <f t="shared" si="38"/>
        <v>-1.5027869142237724</v>
      </c>
      <c r="N127" s="5">
        <f t="shared" si="39"/>
        <v>-2.3969927723766773</v>
      </c>
      <c r="O127" s="5">
        <f t="shared" si="40"/>
        <v>-0.60858105607086777</v>
      </c>
    </row>
    <row r="128" spans="2:15" x14ac:dyDescent="0.35">
      <c r="B128">
        <f t="shared" si="41"/>
        <v>3.2000000000000015</v>
      </c>
      <c r="J128" s="5"/>
      <c r="M128">
        <f t="shared" si="38"/>
        <v>-1.6068378505868124</v>
      </c>
      <c r="N128" s="5">
        <f t="shared" si="39"/>
        <v>-2.5010437087397168</v>
      </c>
      <c r="O128" s="5">
        <f t="shared" si="40"/>
        <v>-0.71263199243390773</v>
      </c>
    </row>
    <row r="129" spans="2:15" x14ac:dyDescent="0.35">
      <c r="B129">
        <f t="shared" si="41"/>
        <v>3.3000000000000016</v>
      </c>
      <c r="J129" s="5"/>
      <c r="M129">
        <f t="shared" si="38"/>
        <v>-1.715502150437141</v>
      </c>
      <c r="N129" s="5">
        <f t="shared" si="39"/>
        <v>-2.6097080085900455</v>
      </c>
      <c r="O129" s="5">
        <f t="shared" si="40"/>
        <v>-0.8212962922842364</v>
      </c>
    </row>
    <row r="130" spans="2:15" x14ac:dyDescent="0.35">
      <c r="B130">
        <f t="shared" si="41"/>
        <v>3.4000000000000017</v>
      </c>
      <c r="J130" s="5"/>
      <c r="M130">
        <f t="shared" si="38"/>
        <v>-1.8290372158146921</v>
      </c>
      <c r="N130" s="5">
        <f t="shared" si="39"/>
        <v>-2.7232430739675966</v>
      </c>
      <c r="O130" s="5">
        <f t="shared" si="40"/>
        <v>-0.93483135766178749</v>
      </c>
    </row>
    <row r="131" spans="2:15" ht="15" thickBot="1" x14ac:dyDescent="0.4">
      <c r="B131">
        <f t="shared" si="41"/>
        <v>3.5000000000000018</v>
      </c>
      <c r="J131" s="5"/>
      <c r="M131">
        <f t="shared" si="38"/>
        <v>-1.9477335971612035</v>
      </c>
      <c r="N131" s="5">
        <f t="shared" si="39"/>
        <v>-2.8419394553141082</v>
      </c>
      <c r="O131" s="5">
        <f t="shared" si="40"/>
        <v>-1.0535277390082989</v>
      </c>
    </row>
    <row r="132" spans="2:15" x14ac:dyDescent="0.35">
      <c r="B132">
        <f t="shared" si="41"/>
        <v>3.6000000000000019</v>
      </c>
      <c r="E132" s="3"/>
      <c r="J132" s="5"/>
      <c r="M132">
        <f t="shared" si="38"/>
        <v>-2.0719180971238633</v>
      </c>
      <c r="N132" s="5">
        <f t="shared" si="39"/>
        <v>-2.966123955276768</v>
      </c>
      <c r="O132" s="5">
        <f t="shared" si="40"/>
        <v>-1.1777122389709587</v>
      </c>
    </row>
    <row r="133" spans="2:15" x14ac:dyDescent="0.35">
      <c r="B133">
        <f t="shared" si="41"/>
        <v>3.700000000000002</v>
      </c>
      <c r="J133" s="5"/>
      <c r="M133">
        <f t="shared" si="38"/>
        <v>-2.2019570623565698</v>
      </c>
      <c r="N133" s="5">
        <f t="shared" si="39"/>
        <v>-3.0961629205094745</v>
      </c>
      <c r="O133" s="5">
        <f t="shared" si="40"/>
        <v>-1.3077512042036652</v>
      </c>
    </row>
    <row r="134" spans="2:15" ht="15" thickBot="1" x14ac:dyDescent="0.4">
      <c r="B134">
        <f t="shared" si="41"/>
        <v>3.800000000000002</v>
      </c>
      <c r="E134" s="2"/>
      <c r="J134" s="5"/>
      <c r="M134">
        <f t="shared" si="38"/>
        <v>-2.3382598688481373</v>
      </c>
      <c r="N134" s="5">
        <f t="shared" si="39"/>
        <v>-3.232465727001042</v>
      </c>
      <c r="O134" s="5">
        <f t="shared" si="40"/>
        <v>-1.4440540106952326</v>
      </c>
    </row>
    <row r="135" spans="2:15" x14ac:dyDescent="0.35">
      <c r="B135">
        <f t="shared" si="41"/>
        <v>3.9000000000000021</v>
      </c>
      <c r="J135" s="5"/>
      <c r="M135">
        <f t="shared" si="38"/>
        <v>-2.4812826063067956</v>
      </c>
      <c r="N135" s="5">
        <f t="shared" si="39"/>
        <v>-3.3754884644597003</v>
      </c>
      <c r="O135" s="5">
        <f t="shared" si="40"/>
        <v>-1.587076748153891</v>
      </c>
    </row>
    <row r="136" spans="2:15" x14ac:dyDescent="0.35">
      <c r="B136">
        <f t="shared" si="41"/>
        <v>4.0000000000000018</v>
      </c>
      <c r="J136" s="5"/>
      <c r="M136">
        <f t="shared" si="38"/>
        <v>-2.6315319671303192</v>
      </c>
      <c r="N136" s="5">
        <f t="shared" si="39"/>
        <v>-3.5257378252832239</v>
      </c>
      <c r="O136" s="5">
        <f t="shared" si="40"/>
        <v>-1.7373261089774146</v>
      </c>
    </row>
    <row r="137" spans="2:15" x14ac:dyDescent="0.35">
      <c r="B137">
        <f t="shared" si="41"/>
        <v>4.1000000000000014</v>
      </c>
      <c r="J137" s="5"/>
      <c r="M137">
        <f t="shared" si="38"/>
        <v>-2.7895693454911341</v>
      </c>
      <c r="N137" s="5">
        <f t="shared" si="39"/>
        <v>-3.6837752036440388</v>
      </c>
      <c r="O137" s="5">
        <f t="shared" si="40"/>
        <v>-1.8953634873382295</v>
      </c>
    </row>
    <row r="138" spans="2:15" x14ac:dyDescent="0.35">
      <c r="B138">
        <f t="shared" si="41"/>
        <v>4.2000000000000011</v>
      </c>
      <c r="J138" s="5"/>
      <c r="M138">
        <f t="shared" si="38"/>
        <v>-2.9560151520657372</v>
      </c>
      <c r="N138" s="5">
        <f t="shared" si="39"/>
        <v>-3.8502210102186418</v>
      </c>
      <c r="O138" s="5">
        <f t="shared" si="40"/>
        <v>-2.0618092939128325</v>
      </c>
    </row>
    <row r="139" spans="2:15" x14ac:dyDescent="0.35">
      <c r="B139">
        <f t="shared" si="41"/>
        <v>4.3000000000000007</v>
      </c>
      <c r="J139" s="5"/>
      <c r="M139">
        <f t="shared" si="38"/>
        <v>-3.1315533499377715</v>
      </c>
      <c r="N139" s="5">
        <f t="shared" si="39"/>
        <v>-4.0257592080906761</v>
      </c>
      <c r="O139" s="5">
        <f t="shared" si="40"/>
        <v>-2.2373474917848668</v>
      </c>
    </row>
    <row r="140" spans="2:15" x14ac:dyDescent="0.35">
      <c r="B140">
        <f t="shared" si="41"/>
        <v>4.4000000000000004</v>
      </c>
      <c r="J140" s="5"/>
      <c r="M140">
        <f t="shared" si="38"/>
        <v>-3.3169362172041037</v>
      </c>
      <c r="N140" s="5">
        <f t="shared" si="39"/>
        <v>-4.2111420753570084</v>
      </c>
      <c r="O140" s="5">
        <f t="shared" si="40"/>
        <v>-2.422730359051199</v>
      </c>
    </row>
    <row r="141" spans="2:15" x14ac:dyDescent="0.35">
      <c r="B141">
        <f t="shared" si="41"/>
        <v>4.5</v>
      </c>
      <c r="J141" s="5"/>
      <c r="M141">
        <f t="shared" si="38"/>
        <v>-3.5129893418132347</v>
      </c>
      <c r="N141" s="5">
        <f t="shared" si="39"/>
        <v>-4.4071951999661394</v>
      </c>
      <c r="O141" s="5">
        <f t="shared" si="40"/>
        <v>-2.6187834836603301</v>
      </c>
    </row>
    <row r="142" spans="2:15" x14ac:dyDescent="0.35">
      <c r="B142">
        <f t="shared" si="41"/>
        <v>4.5999999999999996</v>
      </c>
      <c r="J142" s="5"/>
      <c r="M142">
        <f t="shared" si="38"/>
        <v>-3.7206168541653999</v>
      </c>
      <c r="N142" s="5">
        <f t="shared" si="39"/>
        <v>-4.6148227123183041</v>
      </c>
      <c r="O142" s="5">
        <f t="shared" si="40"/>
        <v>-2.8264109960124952</v>
      </c>
    </row>
    <row r="143" spans="2:15" x14ac:dyDescent="0.35">
      <c r="B143">
        <f t="shared" si="41"/>
        <v>4.6999999999999993</v>
      </c>
      <c r="J143" s="5"/>
      <c r="M143">
        <f t="shared" si="38"/>
        <v>-3.9408069030036827</v>
      </c>
      <c r="N143" s="5">
        <f t="shared" si="39"/>
        <v>-4.8350127611565874</v>
      </c>
      <c r="O143" s="5">
        <f t="shared" si="40"/>
        <v>-3.0466010448507781</v>
      </c>
    </row>
    <row r="144" spans="2:15" x14ac:dyDescent="0.35">
      <c r="B144">
        <f t="shared" si="41"/>
        <v>4.7999999999999989</v>
      </c>
      <c r="J144" s="5"/>
      <c r="M144">
        <f t="shared" si="38"/>
        <v>-4.1746373801254997</v>
      </c>
      <c r="N144" s="5">
        <f t="shared" si="39"/>
        <v>-5.0688432382784043</v>
      </c>
      <c r="O144" s="5">
        <f t="shared" si="40"/>
        <v>-3.280431521972595</v>
      </c>
    </row>
    <row r="145" spans="2:15" x14ac:dyDescent="0.35">
      <c r="B145">
        <f t="shared" si="41"/>
        <v>4.8999999999999986</v>
      </c>
      <c r="J145" s="5"/>
      <c r="M145">
        <f t="shared" si="38"/>
        <v>-4.4232818994437864</v>
      </c>
      <c r="N145" s="5">
        <f t="shared" si="39"/>
        <v>-5.317487757596691</v>
      </c>
      <c r="O145" s="5">
        <f t="shared" si="40"/>
        <v>-3.5290760412908817</v>
      </c>
    </row>
    <row r="146" spans="2:15" x14ac:dyDescent="0.35">
      <c r="B146">
        <f t="shared" si="41"/>
        <v>4.9999999999999982</v>
      </c>
      <c r="J146" s="5"/>
      <c r="M146">
        <f t="shared" ref="M146:M171" si="42">M$1*B146^2+M$2*B146^7</f>
        <v>-4.6880160359272267</v>
      </c>
      <c r="N146" s="5">
        <f t="shared" ref="N146:N171" si="43">M146-N$7</f>
        <v>-5.5822218940801314</v>
      </c>
      <c r="O146" s="5">
        <f t="shared" ref="O146:O171" si="44">M146+N$7</f>
        <v>-3.7938101777743221</v>
      </c>
    </row>
    <row r="147" spans="2:15" x14ac:dyDescent="0.35">
      <c r="B147">
        <f t="shared" ref="B147:B171" si="45">0.1+B146</f>
        <v>5.0999999999999979</v>
      </c>
      <c r="J147" s="5"/>
      <c r="M147">
        <f t="shared" si="42"/>
        <v>-4.970223829948881</v>
      </c>
      <c r="N147" s="5">
        <f t="shared" si="43"/>
        <v>-5.8644296881017857</v>
      </c>
      <c r="O147" s="5">
        <f t="shared" si="44"/>
        <v>-4.0760179717959764</v>
      </c>
    </row>
    <row r="148" spans="2:15" x14ac:dyDescent="0.35">
      <c r="B148">
        <f t="shared" si="45"/>
        <v>5.1999999999999975</v>
      </c>
      <c r="J148" s="5"/>
      <c r="M148">
        <f t="shared" si="42"/>
        <v>-5.2714045625725365</v>
      </c>
      <c r="N148" s="5">
        <f t="shared" si="43"/>
        <v>-6.1656104207254412</v>
      </c>
      <c r="O148" s="5">
        <f t="shared" si="44"/>
        <v>-4.3771987044196319</v>
      </c>
    </row>
    <row r="149" spans="2:15" x14ac:dyDescent="0.35">
      <c r="B149">
        <f t="shared" si="45"/>
        <v>5.2999999999999972</v>
      </c>
      <c r="J149" s="5"/>
      <c r="M149">
        <f t="shared" si="42"/>
        <v>-5.5931798073061234</v>
      </c>
      <c r="N149" s="5">
        <f t="shared" si="43"/>
        <v>-6.4873856654590281</v>
      </c>
      <c r="O149" s="5">
        <f t="shared" si="44"/>
        <v>-4.6989739491532188</v>
      </c>
    </row>
    <row r="150" spans="2:15" ht="15" thickBot="1" x14ac:dyDescent="0.4">
      <c r="B150">
        <f t="shared" si="45"/>
        <v>5.3999999999999968</v>
      </c>
      <c r="J150" s="5"/>
      <c r="M150">
        <f t="shared" si="42"/>
        <v>-5.9373007638515531</v>
      </c>
      <c r="N150" s="5">
        <f t="shared" si="43"/>
        <v>-6.8315066220044578</v>
      </c>
      <c r="O150" s="5">
        <f t="shared" si="44"/>
        <v>-5.0430949056986485</v>
      </c>
    </row>
    <row r="151" spans="2:15" x14ac:dyDescent="0.35">
      <c r="B151">
        <f t="shared" si="45"/>
        <v>5.4999999999999964</v>
      </c>
      <c r="E151" s="3"/>
      <c r="J151" s="5"/>
      <c r="M151">
        <f t="shared" si="42"/>
        <v>-6.3056558793803115</v>
      </c>
      <c r="N151" s="5">
        <f t="shared" si="43"/>
        <v>-7.1998617375332161</v>
      </c>
      <c r="O151" s="5">
        <f t="shared" si="44"/>
        <v>-5.4114500212274068</v>
      </c>
    </row>
    <row r="152" spans="2:15" x14ac:dyDescent="0.35">
      <c r="B152">
        <f t="shared" si="45"/>
        <v>5.5999999999999961</v>
      </c>
      <c r="J152" s="5"/>
      <c r="M152">
        <f t="shared" si="42"/>
        <v>-6.70027876286413</v>
      </c>
      <c r="N152" s="5">
        <f t="shared" si="43"/>
        <v>-7.5944846210170347</v>
      </c>
      <c r="O152" s="5">
        <f t="shared" si="44"/>
        <v>-5.8060729047112254</v>
      </c>
    </row>
    <row r="153" spans="2:15" ht="15" thickBot="1" x14ac:dyDescent="0.4">
      <c r="B153">
        <f t="shared" si="45"/>
        <v>5.6999999999999957</v>
      </c>
      <c r="E153" s="2"/>
      <c r="J153" s="5"/>
      <c r="M153">
        <f t="shared" si="42"/>
        <v>-7.1233563979901184</v>
      </c>
      <c r="N153" s="5">
        <f t="shared" si="43"/>
        <v>-8.0175622561430231</v>
      </c>
      <c r="O153" s="5">
        <f t="shared" si="44"/>
        <v>-6.2291505398372138</v>
      </c>
    </row>
    <row r="154" spans="2:15" x14ac:dyDescent="0.35">
      <c r="B154">
        <f t="shared" si="45"/>
        <v>5.7999999999999954</v>
      </c>
      <c r="J154" s="5"/>
      <c r="M154">
        <f t="shared" si="42"/>
        <v>-7.5772376601896516</v>
      </c>
      <c r="N154" s="5">
        <f t="shared" si="43"/>
        <v>-8.4714435183425572</v>
      </c>
      <c r="O154" s="5">
        <f t="shared" si="44"/>
        <v>-6.683031802036747</v>
      </c>
    </row>
    <row r="155" spans="2:15" x14ac:dyDescent="0.35">
      <c r="B155">
        <f t="shared" si="45"/>
        <v>5.899999999999995</v>
      </c>
      <c r="J155" s="5"/>
      <c r="M155">
        <f t="shared" si="42"/>
        <v>-8.0644421433103979</v>
      </c>
      <c r="N155" s="5">
        <f t="shared" si="43"/>
        <v>-8.9586480014633025</v>
      </c>
      <c r="O155" s="5">
        <f t="shared" si="44"/>
        <v>-7.1702362851574932</v>
      </c>
    </row>
    <row r="156" spans="2:15" x14ac:dyDescent="0.35">
      <c r="B156">
        <f t="shared" si="45"/>
        <v>5.9999999999999947</v>
      </c>
      <c r="J156" s="5"/>
      <c r="M156">
        <f t="shared" si="42"/>
        <v>-8.5876693014607888</v>
      </c>
      <c r="N156" s="5">
        <f t="shared" si="43"/>
        <v>-9.4818751596136934</v>
      </c>
      <c r="O156" s="5">
        <f t="shared" si="44"/>
        <v>-7.6934634433078841</v>
      </c>
    </row>
    <row r="157" spans="2:15" x14ac:dyDescent="0.35">
      <c r="B157">
        <f t="shared" si="45"/>
        <v>6.0999999999999943</v>
      </c>
      <c r="J157" s="5"/>
      <c r="M157">
        <f t="shared" si="42"/>
        <v>-9.1498079115562998</v>
      </c>
      <c r="N157" s="5">
        <f t="shared" si="43"/>
        <v>-10.044013769709204</v>
      </c>
      <c r="O157" s="5">
        <f t="shared" si="44"/>
        <v>-8.2556020534033951</v>
      </c>
    </row>
    <row r="158" spans="2:15" x14ac:dyDescent="0.35">
      <c r="B158">
        <f t="shared" si="45"/>
        <v>6.199999999999994</v>
      </c>
      <c r="J158" s="5"/>
      <c r="M158">
        <f t="shared" si="42"/>
        <v>-9.7539458620968809</v>
      </c>
      <c r="N158" s="5">
        <f t="shared" si="43"/>
        <v>-10.648151720249786</v>
      </c>
      <c r="O158" s="5">
        <f t="shared" si="44"/>
        <v>-8.8597400039439762</v>
      </c>
    </row>
    <row r="159" spans="2:15" x14ac:dyDescent="0.35">
      <c r="B159">
        <f t="shared" si="45"/>
        <v>6.2999999999999936</v>
      </c>
      <c r="J159" s="5"/>
      <c r="M159">
        <f t="shared" si="42"/>
        <v>-10.403380273704855</v>
      </c>
      <c r="N159" s="5">
        <f t="shared" si="43"/>
        <v>-11.297586131857759</v>
      </c>
      <c r="O159" s="5">
        <f t="shared" si="44"/>
        <v>-9.50917441555195</v>
      </c>
    </row>
    <row r="160" spans="2:15" x14ac:dyDescent="0.35">
      <c r="B160">
        <f t="shared" si="45"/>
        <v>6.3999999999999932</v>
      </c>
      <c r="J160" s="5"/>
      <c r="M160">
        <f t="shared" si="42"/>
        <v>-11.101627956952669</v>
      </c>
      <c r="N160" s="5">
        <f t="shared" si="43"/>
        <v>-11.995833815105573</v>
      </c>
      <c r="O160" s="5">
        <f t="shared" si="44"/>
        <v>-10.207422098799764</v>
      </c>
    </row>
    <row r="161" spans="2:15" x14ac:dyDescent="0.35">
      <c r="B161">
        <f t="shared" si="45"/>
        <v>6.4999999999999929</v>
      </c>
      <c r="J161" s="5"/>
      <c r="M161">
        <f t="shared" si="42"/>
        <v>-11.852436213009778</v>
      </c>
      <c r="N161" s="5">
        <f t="shared" si="43"/>
        <v>-12.746642071162682</v>
      </c>
      <c r="O161" s="5">
        <f t="shared" si="44"/>
        <v>-10.958230354856873</v>
      </c>
    </row>
    <row r="162" spans="2:15" x14ac:dyDescent="0.35">
      <c r="B162">
        <f t="shared" si="45"/>
        <v>6.5999999999999925</v>
      </c>
      <c r="J162" s="5"/>
      <c r="M162">
        <f t="shared" si="42"/>
        <v>-12.659793982638078</v>
      </c>
      <c r="N162" s="5">
        <f t="shared" si="43"/>
        <v>-13.553999840790983</v>
      </c>
      <c r="O162" s="5">
        <f t="shared" si="44"/>
        <v>-11.765588124485173</v>
      </c>
    </row>
    <row r="163" spans="2:15" x14ac:dyDescent="0.35">
      <c r="B163">
        <f t="shared" si="45"/>
        <v>6.6999999999999922</v>
      </c>
      <c r="J163" s="5"/>
      <c r="M163">
        <f t="shared" si="42"/>
        <v>-13.527943349065158</v>
      </c>
      <c r="N163" s="5">
        <f t="shared" si="43"/>
        <v>-14.422149207218062</v>
      </c>
      <c r="O163" s="5">
        <f t="shared" si="44"/>
        <v>-12.633737490912253</v>
      </c>
    </row>
    <row r="164" spans="2:15" x14ac:dyDescent="0.35">
      <c r="B164">
        <f t="shared" si="45"/>
        <v>6.7999999999999918</v>
      </c>
      <c r="J164" s="5"/>
      <c r="M164">
        <f t="shared" si="42"/>
        <v>-14.461391400264754</v>
      </c>
      <c r="N164" s="5">
        <f t="shared" si="43"/>
        <v>-15.355597258417658</v>
      </c>
      <c r="O164" s="5">
        <f t="shared" si="44"/>
        <v>-13.567185542111849</v>
      </c>
    </row>
    <row r="165" spans="2:15" x14ac:dyDescent="0.35">
      <c r="B165">
        <f t="shared" si="45"/>
        <v>6.8999999999999915</v>
      </c>
      <c r="J165" s="5"/>
      <c r="M165">
        <f t="shared" si="42"/>
        <v>-15.464922456173749</v>
      </c>
      <c r="N165" s="5">
        <f t="shared" si="43"/>
        <v>-16.359128314326654</v>
      </c>
      <c r="O165" s="5">
        <f t="shared" si="44"/>
        <v>-14.570716598020844</v>
      </c>
    </row>
    <row r="166" spans="2:15" x14ac:dyDescent="0.35">
      <c r="B166">
        <f t="shared" si="45"/>
        <v>6.9999999999999911</v>
      </c>
      <c r="J166" s="5"/>
      <c r="M166">
        <f t="shared" si="42"/>
        <v>-16.543610666375017</v>
      </c>
      <c r="N166" s="5">
        <f t="shared" si="43"/>
        <v>-17.437816524527921</v>
      </c>
      <c r="O166" s="5">
        <f t="shared" si="44"/>
        <v>-15.649404808222112</v>
      </c>
    </row>
    <row r="167" spans="2:15" x14ac:dyDescent="0.35">
      <c r="B167">
        <f t="shared" si="45"/>
        <v>7.0999999999999908</v>
      </c>
      <c r="J167" s="5"/>
      <c r="M167">
        <f t="shared" si="42"/>
        <v>-17.702832983775544</v>
      </c>
      <c r="N167" s="5">
        <f t="shared" si="43"/>
        <v>-18.597038841928448</v>
      </c>
      <c r="O167" s="5">
        <f t="shared" si="44"/>
        <v>-16.808627125622639</v>
      </c>
    </row>
    <row r="168" spans="2:15" x14ac:dyDescent="0.35">
      <c r="B168">
        <f t="shared" si="45"/>
        <v>7.1999999999999904</v>
      </c>
      <c r="J168" s="5"/>
      <c r="M168">
        <f t="shared" si="42"/>
        <v>-18.948282519809016</v>
      </c>
      <c r="N168" s="5">
        <f t="shared" si="43"/>
        <v>-19.842488377961921</v>
      </c>
      <c r="O168" s="5">
        <f t="shared" si="44"/>
        <v>-18.054076661656111</v>
      </c>
    </row>
    <row r="169" spans="2:15" x14ac:dyDescent="0.35">
      <c r="B169">
        <f t="shared" si="45"/>
        <v>7.2999999999999901</v>
      </c>
      <c r="J169" s="5"/>
      <c r="M169">
        <f t="shared" si="42"/>
        <v>-20.285982286692402</v>
      </c>
      <c r="N169" s="5">
        <f t="shared" si="43"/>
        <v>-21.180188144845307</v>
      </c>
      <c r="O169" s="5">
        <f t="shared" si="44"/>
        <v>-19.391776428539497</v>
      </c>
    </row>
    <row r="170" spans="2:15" x14ac:dyDescent="0.35">
      <c r="B170">
        <f t="shared" si="45"/>
        <v>7.3999999999999897</v>
      </c>
      <c r="J170" s="5"/>
      <c r="M170">
        <f t="shared" si="42"/>
        <v>-21.722299332265688</v>
      </c>
      <c r="N170" s="5">
        <f t="shared" si="43"/>
        <v>-22.616505190418593</v>
      </c>
      <c r="O170" s="5">
        <f t="shared" si="44"/>
        <v>-20.828093474112784</v>
      </c>
    </row>
    <row r="171" spans="2:15" x14ac:dyDescent="0.35">
      <c r="B171">
        <f t="shared" si="45"/>
        <v>7.4999999999999893</v>
      </c>
      <c r="J171" s="5"/>
      <c r="M171">
        <f t="shared" si="42"/>
        <v>-23.263959272944291</v>
      </c>
      <c r="N171" s="5">
        <f t="shared" si="43"/>
        <v>-24.158165131097196</v>
      </c>
      <c r="O171" s="5">
        <f t="shared" si="44"/>
        <v>-22.369753414791386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102"/>
  <sheetViews>
    <sheetView workbookViewId="0">
      <pane xSplit="1" ySplit="2" topLeftCell="B75" activePane="bottomRight" state="frozen"/>
      <selection pane="topRight" activeCell="B1" sqref="B1"/>
      <selection pane="bottomLeft" activeCell="A2" sqref="A2"/>
      <selection pane="bottomRight" activeCell="B90" sqref="B90"/>
    </sheetView>
  </sheetViews>
  <sheetFormatPr defaultRowHeight="14.5" x14ac:dyDescent="0.35"/>
  <cols>
    <col min="1" max="1" width="28" customWidth="1"/>
    <col min="5" max="5" width="11.54296875" customWidth="1"/>
  </cols>
  <sheetData>
    <row r="1" spans="1:44" x14ac:dyDescent="0.35">
      <c r="B1">
        <v>2.5</v>
      </c>
      <c r="C1">
        <f>graph!B48</f>
        <v>-1.4841973467916216</v>
      </c>
      <c r="F1" s="5">
        <f>AVERAGE(F10:F11)/$K1</f>
        <v>3.6999110709045498E-2</v>
      </c>
      <c r="G1" s="5">
        <f>AVERAGE(G10:G11)/$K1</f>
        <v>0.31870086737279441</v>
      </c>
      <c r="H1" s="5">
        <f>AVERAGE(H10:H11)/$K1</f>
        <v>0.64430002191816005</v>
      </c>
      <c r="I1" s="5"/>
      <c r="K1" s="5">
        <f>AVERAGE(K10:K11)</f>
        <v>-0.36696687927457161</v>
      </c>
      <c r="L1" s="5">
        <f>AVERAGE(L10:L12)/$O1</f>
        <v>0.11611978125016607</v>
      </c>
      <c r="M1" s="5">
        <f>AVERAGE(M10:M12)/$O1</f>
        <v>0.28248346380180045</v>
      </c>
      <c r="N1" s="5">
        <f>AVERAGE(N10:N12)/$O1</f>
        <v>0.60139675494803357</v>
      </c>
      <c r="O1" s="5">
        <f>AVERAGE(O10:O12)</f>
        <v>-0.26909468864983227</v>
      </c>
    </row>
    <row r="2" spans="1:44" x14ac:dyDescent="0.35">
      <c r="A2" t="str">
        <f>Table1!A1</f>
        <v>Study</v>
      </c>
      <c r="B2" t="str">
        <f>Table1!C1</f>
        <v>Estimates</v>
      </c>
      <c r="E2" t="s">
        <v>568</v>
      </c>
      <c r="F2" t="s">
        <v>577</v>
      </c>
      <c r="G2" t="s">
        <v>578</v>
      </c>
      <c r="H2" t="s">
        <v>579</v>
      </c>
      <c r="I2" t="s">
        <v>689</v>
      </c>
      <c r="J2" t="s">
        <v>860</v>
      </c>
      <c r="K2" s="22" t="s">
        <v>859</v>
      </c>
      <c r="L2" t="s">
        <v>580</v>
      </c>
      <c r="M2" t="s">
        <v>581</v>
      </c>
      <c r="N2" t="s">
        <v>582</v>
      </c>
      <c r="O2" s="22" t="s">
        <v>570</v>
      </c>
      <c r="P2" t="s">
        <v>586</v>
      </c>
      <c r="Q2" t="s">
        <v>571</v>
      </c>
      <c r="R2" t="s">
        <v>584</v>
      </c>
      <c r="S2" t="s">
        <v>572</v>
      </c>
      <c r="T2" t="s">
        <v>573</v>
      </c>
      <c r="U2" t="s">
        <v>574</v>
      </c>
      <c r="V2" t="s">
        <v>585</v>
      </c>
      <c r="W2" t="s">
        <v>587</v>
      </c>
      <c r="Y2" t="s">
        <v>21</v>
      </c>
      <c r="AA2" t="s">
        <v>568</v>
      </c>
      <c r="AB2" t="s">
        <v>577</v>
      </c>
      <c r="AC2" t="s">
        <v>578</v>
      </c>
      <c r="AD2" t="s">
        <v>579</v>
      </c>
      <c r="AE2" t="s">
        <v>569</v>
      </c>
      <c r="AF2" t="s">
        <v>580</v>
      </c>
      <c r="AG2" t="s">
        <v>581</v>
      </c>
      <c r="AH2" t="s">
        <v>582</v>
      </c>
      <c r="AI2" t="s">
        <v>570</v>
      </c>
      <c r="AJ2" t="s">
        <v>583</v>
      </c>
      <c r="AK2" t="s">
        <v>571</v>
      </c>
      <c r="AL2" t="s">
        <v>584</v>
      </c>
      <c r="AM2" t="s">
        <v>572</v>
      </c>
      <c r="AN2" t="s">
        <v>573</v>
      </c>
      <c r="AO2" t="s">
        <v>574</v>
      </c>
      <c r="AP2" t="s">
        <v>585</v>
      </c>
      <c r="AQ2" t="s">
        <v>587</v>
      </c>
      <c r="AR2" t="s">
        <v>21</v>
      </c>
    </row>
    <row r="3" spans="1:44" x14ac:dyDescent="0.35">
      <c r="B3" t="str">
        <f>Table1!C2</f>
        <v>warming</v>
      </c>
      <c r="C3" t="str">
        <f>Table1!E2</f>
        <v>impact</v>
      </c>
      <c r="E3" t="s">
        <v>575</v>
      </c>
      <c r="AA3" t="s">
        <v>576</v>
      </c>
    </row>
    <row r="4" spans="1:44" x14ac:dyDescent="0.35">
      <c r="A4" t="str">
        <f>Table1!A3</f>
        <v>d'Arge 1979</v>
      </c>
      <c r="B4">
        <f>Table1!C3</f>
        <v>-1</v>
      </c>
      <c r="C4">
        <f>Table1!E3</f>
        <v>-0.59642907312262095</v>
      </c>
    </row>
    <row r="5" spans="1:44" x14ac:dyDescent="0.35">
      <c r="A5" t="str">
        <f>Table1!A4</f>
        <v>Nordhaus 1982</v>
      </c>
      <c r="B5">
        <f>Table1!C4</f>
        <v>2.5</v>
      </c>
      <c r="C5">
        <f>Table1!E4</f>
        <v>-3</v>
      </c>
    </row>
    <row r="6" spans="1:44" x14ac:dyDescent="0.35">
      <c r="A6" t="str">
        <f>Table1!A5</f>
        <v>Nordhaus 1991</v>
      </c>
      <c r="B6">
        <f>Table1!C5</f>
        <v>3</v>
      </c>
      <c r="C6">
        <f>Table1!E5</f>
        <v>-1</v>
      </c>
    </row>
    <row r="7" spans="1:44" x14ac:dyDescent="0.35">
      <c r="A7" t="str">
        <f>Table1!A6</f>
        <v>Nordhaus 1994b</v>
      </c>
      <c r="B7">
        <f>Table1!C6</f>
        <v>3</v>
      </c>
      <c r="C7">
        <f>Table1!E6</f>
        <v>-1.33</v>
      </c>
    </row>
    <row r="8" spans="1:44" x14ac:dyDescent="0.35">
      <c r="A8" t="str">
        <f>Table1!A7</f>
        <v>Nordhaus 1994a</v>
      </c>
      <c r="B8">
        <f>Table1!C7</f>
        <v>3</v>
      </c>
      <c r="C8">
        <f>Table1!E7</f>
        <v>-3.6</v>
      </c>
    </row>
    <row r="9" spans="1:44" x14ac:dyDescent="0.35">
      <c r="A9">
        <f>Table1!A8</f>
        <v>0</v>
      </c>
      <c r="B9">
        <f>Table1!C8</f>
        <v>6</v>
      </c>
      <c r="C9">
        <f>Table1!E8</f>
        <v>-6.7</v>
      </c>
    </row>
    <row r="10" spans="1:44" x14ac:dyDescent="0.35">
      <c r="A10" t="str">
        <f>Table1!A9</f>
        <v>Fankhauser 1995</v>
      </c>
      <c r="B10">
        <f>Table1!C9</f>
        <v>2.5</v>
      </c>
      <c r="C10" s="5">
        <f>Table1!E9</f>
        <v>-1.4</v>
      </c>
      <c r="E10" s="5">
        <f t="shared" ref="E10:H11" si="0">AA10*$C10/$AR10</f>
        <v>-0.20311688311688311</v>
      </c>
      <c r="F10" s="5">
        <f t="shared" si="0"/>
        <v>-1.038961038961039E-2</v>
      </c>
      <c r="G10" s="5">
        <f t="shared" si="0"/>
        <v>-0.12000000000000001</v>
      </c>
      <c r="H10" s="5">
        <f t="shared" si="0"/>
        <v>-0.24259740259740259</v>
      </c>
      <c r="I10" s="5"/>
      <c r="K10" s="5">
        <f>SUM(F10:I10)</f>
        <v>-0.37298701298701298</v>
      </c>
      <c r="L10" s="5">
        <f t="shared" ref="L10:N12" si="1">AF10*$C10/$AR10</f>
        <v>-4.6753246753246753E-3</v>
      </c>
      <c r="M10" s="5">
        <f t="shared" si="1"/>
        <v>-7.2727272727272724E-2</v>
      </c>
      <c r="N10" s="5">
        <f t="shared" si="1"/>
        <v>-0.16415584415584417</v>
      </c>
      <c r="O10" s="5">
        <f>SUM(L10:N10)</f>
        <v>-0.24155844155844158</v>
      </c>
      <c r="P10" s="5">
        <f t="shared" ref="P10:R11" si="2">AJ10*$C10/$AR10</f>
        <v>-0.21038961038961038</v>
      </c>
      <c r="Q10" s="5">
        <f t="shared" si="2"/>
        <v>-0.25558441558441558</v>
      </c>
      <c r="R10" s="5">
        <f t="shared" si="2"/>
        <v>-0.08</v>
      </c>
      <c r="S10" s="5"/>
      <c r="T10" s="5"/>
      <c r="U10" s="5">
        <f t="shared" ref="U10:V12" si="3">AO10*$C10/$AR10</f>
        <v>-1.4025974025974025E-2</v>
      </c>
      <c r="V10" s="5">
        <f t="shared" si="3"/>
        <v>-2.2337662337662337E-2</v>
      </c>
      <c r="W10" s="5"/>
      <c r="Y10" s="1">
        <f>SUM(E10:W10)-K10-O10</f>
        <v>-1.4000000000000001</v>
      </c>
      <c r="AA10">
        <v>-39.1</v>
      </c>
      <c r="AB10">
        <v>-2</v>
      </c>
      <c r="AC10">
        <v>-23.1</v>
      </c>
      <c r="AD10">
        <v>-46.7</v>
      </c>
      <c r="AF10">
        <v>-0.9</v>
      </c>
      <c r="AG10">
        <v>-14</v>
      </c>
      <c r="AH10">
        <v>-31.6</v>
      </c>
      <c r="AJ10">
        <v>-40.5</v>
      </c>
      <c r="AK10">
        <v>-49.2</v>
      </c>
      <c r="AL10">
        <v>-15.4</v>
      </c>
      <c r="AO10">
        <v>-2.7</v>
      </c>
      <c r="AP10">
        <v>-4.3</v>
      </c>
      <c r="AR10">
        <f>SUM(AA10:AQ10)</f>
        <v>-269.5</v>
      </c>
    </row>
    <row r="11" spans="1:44" x14ac:dyDescent="0.35">
      <c r="A11" t="str">
        <f>Table1!A10</f>
        <v>Berz undated</v>
      </c>
      <c r="B11">
        <f>Table1!C10</f>
        <v>2.5</v>
      </c>
      <c r="C11" s="5">
        <f>Table1!E10</f>
        <v>-1.5</v>
      </c>
      <c r="E11" s="5">
        <f t="shared" si="0"/>
        <v>-0.19280078895463512</v>
      </c>
      <c r="F11" s="5">
        <f t="shared" si="0"/>
        <v>-1.6765285996055226E-2</v>
      </c>
      <c r="G11" s="5">
        <f t="shared" si="0"/>
        <v>-0.11390532544378701</v>
      </c>
      <c r="H11" s="5">
        <f t="shared" si="0"/>
        <v>-0.23027613412228801</v>
      </c>
      <c r="I11" s="5"/>
      <c r="K11" s="5">
        <f>SUM(F11:I11)</f>
        <v>-0.36094674556213024</v>
      </c>
      <c r="L11" s="5">
        <f t="shared" si="1"/>
        <v>-5.4240631163708095E-3</v>
      </c>
      <c r="M11" s="5">
        <f t="shared" si="1"/>
        <v>-6.9033530571992116E-2</v>
      </c>
      <c r="N11" s="5">
        <f t="shared" si="1"/>
        <v>-0.15581854043392507</v>
      </c>
      <c r="O11" s="5">
        <f>SUM(L11:N11)</f>
        <v>-0.23027613412228798</v>
      </c>
      <c r="P11" s="5">
        <f t="shared" si="2"/>
        <v>-0.19970414201183434</v>
      </c>
      <c r="Q11" s="5">
        <f t="shared" si="2"/>
        <v>-0.40433925049309666</v>
      </c>
      <c r="R11" s="5">
        <f t="shared" si="2"/>
        <v>-7.5936883629191335E-2</v>
      </c>
      <c r="S11" s="5"/>
      <c r="T11" s="5"/>
      <c r="U11" s="5">
        <f t="shared" si="3"/>
        <v>-1.4792899408284025E-2</v>
      </c>
      <c r="V11" s="5">
        <f t="shared" si="3"/>
        <v>-2.1203155818540431E-2</v>
      </c>
      <c r="W11" s="5"/>
      <c r="Y11" s="1">
        <f>SUM(E11:W11)-K11-O11</f>
        <v>-1.5000000000000004</v>
      </c>
      <c r="AA11">
        <v>-39.1</v>
      </c>
      <c r="AB11">
        <v>-3.4</v>
      </c>
      <c r="AC11">
        <v>-23.1</v>
      </c>
      <c r="AD11">
        <v>-46.7</v>
      </c>
      <c r="AF11">
        <v>-1.1000000000000001</v>
      </c>
      <c r="AG11">
        <v>-14</v>
      </c>
      <c r="AH11">
        <v>-31.6</v>
      </c>
      <c r="AJ11">
        <v>-40.5</v>
      </c>
      <c r="AK11">
        <v>-82</v>
      </c>
      <c r="AL11">
        <v>-15.4</v>
      </c>
      <c r="AO11">
        <v>-3</v>
      </c>
      <c r="AP11">
        <v>-4.3</v>
      </c>
      <c r="AR11">
        <f>SUM(AA11:AQ11)</f>
        <v>-304.2</v>
      </c>
    </row>
    <row r="12" spans="1:44" x14ac:dyDescent="0.35">
      <c r="A12" t="str">
        <f>Table1!A11</f>
        <v>Tol 1995</v>
      </c>
      <c r="B12">
        <f>Table1!C11</f>
        <v>2.5</v>
      </c>
      <c r="C12" s="5">
        <f>Table1!E11</f>
        <v>-1.9</v>
      </c>
      <c r="E12" s="5">
        <f>AA12*$C12/$AR12</f>
        <v>-0.12766450417052824</v>
      </c>
      <c r="F12" s="5"/>
      <c r="G12" s="5"/>
      <c r="H12" s="5"/>
      <c r="I12" s="5"/>
      <c r="K12" s="5"/>
      <c r="L12" s="5">
        <f t="shared" si="1"/>
        <v>-8.3642261353104722E-2</v>
      </c>
      <c r="M12" s="5">
        <f t="shared" si="1"/>
        <v>-8.6283595922150139E-2</v>
      </c>
      <c r="N12" s="5">
        <f t="shared" si="1"/>
        <v>-0.1655236329935125</v>
      </c>
      <c r="O12" s="5">
        <f>SUM(L12:N12)</f>
        <v>-0.33544949026876736</v>
      </c>
      <c r="P12" s="5">
        <f>AJ12*$C12/$AR12</f>
        <v>-0.19369786839666356</v>
      </c>
      <c r="Q12" s="5">
        <f>AK12*$C12/$AR12</f>
        <v>-0.77479147358665423</v>
      </c>
      <c r="R12" s="5"/>
      <c r="S12" s="5"/>
      <c r="T12" s="5"/>
      <c r="U12" s="5">
        <f t="shared" si="3"/>
        <v>-1.2326227988878589E-2</v>
      </c>
      <c r="V12" s="5">
        <f t="shared" si="3"/>
        <v>-0.12150139017608896</v>
      </c>
      <c r="W12" s="5">
        <f>AQ12*$C12/$AR12</f>
        <v>-0.33456904541241889</v>
      </c>
      <c r="Y12" s="1">
        <f>SUM(E12:W12)-K12-O12</f>
        <v>-1.8999999999999995</v>
      </c>
      <c r="AA12">
        <v>-14.5</v>
      </c>
      <c r="AF12">
        <v>-9.5</v>
      </c>
      <c r="AG12">
        <v>-9.8000000000000007</v>
      </c>
      <c r="AH12">
        <v>-18.8</v>
      </c>
      <c r="AJ12">
        <v>-22</v>
      </c>
      <c r="AK12">
        <v>-88</v>
      </c>
      <c r="AO12">
        <v>-1.4</v>
      </c>
      <c r="AP12">
        <v>-13.8</v>
      </c>
      <c r="AQ12">
        <v>-38</v>
      </c>
      <c r="AR12">
        <f>SUM(AA12:AQ12)</f>
        <v>-215.8</v>
      </c>
    </row>
    <row r="13" spans="1:44" x14ac:dyDescent="0.35">
      <c r="A13" t="str">
        <f>Table1!A12</f>
        <v>Nordhaus and Yang 1996</v>
      </c>
      <c r="B13">
        <f>Table1!C12</f>
        <v>2.5</v>
      </c>
      <c r="C13">
        <f>Table1!E12</f>
        <v>-1.435622202473182</v>
      </c>
      <c r="E13" s="5"/>
      <c r="F13" s="5"/>
      <c r="G13" s="5"/>
      <c r="H13" s="5"/>
      <c r="I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</row>
    <row r="14" spans="1:44" x14ac:dyDescent="0.35">
      <c r="A14" t="str">
        <f>Table1!A13</f>
        <v>Plambeck and Hope 1996</v>
      </c>
      <c r="B14">
        <f>Table1!C13</f>
        <v>2.5</v>
      </c>
      <c r="C14">
        <f>Table1!E13</f>
        <v>-2.8909238132996098</v>
      </c>
      <c r="E14" s="5"/>
      <c r="F14" s="5"/>
      <c r="G14" s="5"/>
      <c r="H14" s="5"/>
      <c r="I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</row>
    <row r="15" spans="1:44" x14ac:dyDescent="0.35">
      <c r="A15" t="str">
        <f>Table1!A14</f>
        <v>Mendelsohn et al. 2000, 2006</v>
      </c>
      <c r="B15">
        <f>Table1!C14</f>
        <v>2.4900000000000002</v>
      </c>
      <c r="C15">
        <f>Table1!E14</f>
        <v>0.03</v>
      </c>
      <c r="E15" s="5"/>
      <c r="F15" s="5"/>
      <c r="G15" s="5"/>
      <c r="H15" s="5"/>
      <c r="I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44" x14ac:dyDescent="0.35">
      <c r="A16">
        <f>Table1!A15</f>
        <v>0</v>
      </c>
      <c r="B16">
        <f>Table1!C15</f>
        <v>2.4900000000000002</v>
      </c>
      <c r="C16">
        <f>Table1!E15</f>
        <v>0.1</v>
      </c>
      <c r="E16" s="5"/>
      <c r="F16" s="5"/>
      <c r="G16" s="5"/>
      <c r="H16" s="5"/>
      <c r="I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</row>
    <row r="17" spans="1:25" x14ac:dyDescent="0.35">
      <c r="A17" t="str">
        <f>Table1!A20</f>
        <v>Nordhaus and Boyer 2000</v>
      </c>
      <c r="B17">
        <f>Table1!C20</f>
        <v>2.5</v>
      </c>
      <c r="C17">
        <f>Table1!E20</f>
        <v>-1.5</v>
      </c>
      <c r="E17" s="5">
        <v>-0.13</v>
      </c>
      <c r="F17" s="5">
        <f>F1*$K17</f>
        <v>-1.8499555354522749E-3</v>
      </c>
      <c r="G17" s="5">
        <f>G1*$K17</f>
        <v>-1.5935043368639722E-2</v>
      </c>
      <c r="H17" s="5">
        <f>H1*$K17</f>
        <v>-3.2215001095908004E-2</v>
      </c>
      <c r="I17" s="5"/>
      <c r="K17" s="5">
        <v>-0.05</v>
      </c>
      <c r="L17" s="5">
        <f>L$1*$O17</f>
        <v>-3.7158330000053141E-2</v>
      </c>
      <c r="M17" s="5">
        <f>M$1*$O17</f>
        <v>-9.0394708416576139E-2</v>
      </c>
      <c r="N17" s="5">
        <f>N$1*$O17</f>
        <v>-0.19244696158337074</v>
      </c>
      <c r="O17" s="5">
        <v>-0.32</v>
      </c>
      <c r="P17" s="5"/>
      <c r="Q17" s="5">
        <v>-0.1</v>
      </c>
      <c r="R17" s="5"/>
      <c r="S17" s="5">
        <v>0.28999999999999998</v>
      </c>
      <c r="T17" s="5">
        <v>-0.17</v>
      </c>
      <c r="U17" s="5">
        <v>-1.02</v>
      </c>
      <c r="V17" s="5"/>
      <c r="W17" s="5"/>
      <c r="Y17" s="1">
        <f>SUM(E17:W17)-K17-O17</f>
        <v>-1.5</v>
      </c>
    </row>
    <row r="18" spans="1:25" x14ac:dyDescent="0.35">
      <c r="A18" t="str">
        <f>Table1!A21</f>
        <v>Tol 2002</v>
      </c>
      <c r="B18">
        <f>Table1!C21</f>
        <v>1</v>
      </c>
      <c r="C18">
        <f>Table1!E21</f>
        <v>2.2999999999999998</v>
      </c>
    </row>
    <row r="19" spans="1:25" x14ac:dyDescent="0.35">
      <c r="A19" t="str">
        <f>Table1!A22</f>
        <v>Maddison 2003</v>
      </c>
      <c r="B19">
        <f>Table1!C22</f>
        <v>2.5</v>
      </c>
      <c r="C19">
        <f>Table1!E22</f>
        <v>3.3000365094043249E-2</v>
      </c>
    </row>
    <row r="20" spans="1:25" x14ac:dyDescent="0.35">
      <c r="A20" t="str">
        <f>Table1!A23</f>
        <v>Rehdanz and Maddison 2005</v>
      </c>
      <c r="B20">
        <f>Table1!C23</f>
        <v>0.6</v>
      </c>
      <c r="C20">
        <f>Table1!E23</f>
        <v>-0.17962065483383896</v>
      </c>
    </row>
    <row r="21" spans="1:25" x14ac:dyDescent="0.35">
      <c r="A21">
        <f>Table1!A24</f>
        <v>0</v>
      </c>
      <c r="B21">
        <f>Table1!C24</f>
        <v>1</v>
      </c>
      <c r="C21">
        <f>Table1!E24</f>
        <v>-0.30947656699459297</v>
      </c>
    </row>
    <row r="22" spans="1:25" x14ac:dyDescent="0.35">
      <c r="A22" t="str">
        <f>Table1!A25</f>
        <v>Hope 2006</v>
      </c>
      <c r="B22">
        <f>Table1!C25</f>
        <v>2.5</v>
      </c>
      <c r="C22">
        <f>Table1!E25</f>
        <v>-0.9804776851232514</v>
      </c>
    </row>
    <row r="23" spans="1:25" x14ac:dyDescent="0.35">
      <c r="A23" t="str">
        <f>Table1!A26</f>
        <v>Nordhaus 2006</v>
      </c>
      <c r="B23">
        <f>Table1!C26</f>
        <v>3</v>
      </c>
      <c r="C23">
        <f>Table1!E26</f>
        <v>-0.93</v>
      </c>
    </row>
    <row r="24" spans="1:25" x14ac:dyDescent="0.35">
      <c r="A24">
        <f>Table1!A27</f>
        <v>0</v>
      </c>
      <c r="B24">
        <f>Table1!C27</f>
        <v>3</v>
      </c>
      <c r="C24">
        <f>Table1!E27</f>
        <v>-1.05</v>
      </c>
    </row>
    <row r="25" spans="1:25" x14ac:dyDescent="0.35">
      <c r="A25" t="str">
        <f>Table1!A28</f>
        <v>Nordhaus 2008</v>
      </c>
      <c r="B25">
        <f>Table1!C28</f>
        <v>3</v>
      </c>
      <c r="C25">
        <f>Table1!E28</f>
        <v>-2.5</v>
      </c>
    </row>
    <row r="26" spans="1:25" x14ac:dyDescent="0.35">
      <c r="A26" t="str">
        <f>Table1!A29</f>
        <v>Maddison and Rehdanz 2011</v>
      </c>
      <c r="B26">
        <f>Table1!C29</f>
        <v>3.2</v>
      </c>
      <c r="C26">
        <f>Table1!E29</f>
        <v>-5.1135252093739076</v>
      </c>
    </row>
    <row r="27" spans="1:25" x14ac:dyDescent="0.35">
      <c r="A27" t="str">
        <f>Table1!A30</f>
        <v>Bosello et al.  2012</v>
      </c>
      <c r="B27">
        <f>Table1!C30</f>
        <v>1.92</v>
      </c>
      <c r="C27">
        <f>Table1!E30</f>
        <v>-0.5</v>
      </c>
      <c r="D27">
        <f>graph!B42</f>
        <v>-1.0260344880815064</v>
      </c>
      <c r="E27">
        <f>C1/D27*-0.27</f>
        <v>-0.39056512065499333</v>
      </c>
      <c r="F27">
        <f>C1/D27*-0.005</f>
        <v>-7.2326874195369128E-3</v>
      </c>
      <c r="G27">
        <f>C1/D27*-0.015</f>
        <v>-2.1698062258610738E-2</v>
      </c>
      <c r="H27">
        <f>C1/D27*-0.005</f>
        <v>-7.2326874195369128E-3</v>
      </c>
      <c r="I27">
        <f>C1/D27*-0.115</f>
        <v>-0.16635181064934901</v>
      </c>
      <c r="K27" s="5">
        <f>SUM(F27:I27)</f>
        <v>-0.20251524774703356</v>
      </c>
      <c r="L27" s="5">
        <f>L$1*$O27/($L$1+$M$1)</f>
        <v>-3.1605039275255806E-2</v>
      </c>
      <c r="M27" s="5">
        <f>M$1*$O27/($L$1+$M$1)</f>
        <v>-7.6885272017797879E-2</v>
      </c>
      <c r="N27" s="5"/>
      <c r="O27">
        <f>C1/D27*-0.075</f>
        <v>-0.10849031129305368</v>
      </c>
      <c r="Q27">
        <f>C1/D27*-0.01</f>
        <v>-1.4465374839073826E-2</v>
      </c>
      <c r="Y27" s="1">
        <f>SUM(E27:W27)-K27-O27</f>
        <v>-0.71603605453415453</v>
      </c>
    </row>
    <row r="28" spans="1:25" x14ac:dyDescent="0.35">
      <c r="A28" t="str">
        <f>Table1!A31</f>
        <v>Roson and van der Mensbrugghe 2012</v>
      </c>
      <c r="B28">
        <f>Table1!C31</f>
        <v>2.9099999999999997</v>
      </c>
      <c r="C28">
        <f>Table1!E31</f>
        <v>-1.8</v>
      </c>
    </row>
    <row r="29" spans="1:25" x14ac:dyDescent="0.35">
      <c r="B29">
        <f>Table1!C32</f>
        <v>5.4</v>
      </c>
      <c r="C29">
        <f>Table1!E32</f>
        <v>-4.5999999999999996</v>
      </c>
    </row>
    <row r="30" spans="1:25" x14ac:dyDescent="0.35">
      <c r="A30" t="str">
        <f>Table1!A33</f>
        <v>Nordhaus 2013</v>
      </c>
      <c r="B30">
        <f>Table1!C33</f>
        <v>2.9</v>
      </c>
      <c r="C30">
        <f>Table1!E33</f>
        <v>-2</v>
      </c>
    </row>
    <row r="31" spans="1:25" x14ac:dyDescent="0.35">
      <c r="A31" t="str">
        <f>Table1!A34</f>
        <v>Sartori and Roson 2016</v>
      </c>
      <c r="B31">
        <f>Table1!C34</f>
        <v>3</v>
      </c>
      <c r="C31">
        <f>Table1!E34</f>
        <v>-0.71756668095998166</v>
      </c>
      <c r="D31">
        <f>graph!B53</f>
        <v>-1.9190280160093469</v>
      </c>
      <c r="E31">
        <f>$C$1/$D$31*SartoriRoson!E201</f>
        <v>-9.9910235864893809E-2</v>
      </c>
      <c r="I31">
        <f>$C$1/$D$31*SartoriRoson!H201</f>
        <v>3.6526303142510694E-2</v>
      </c>
      <c r="J31">
        <f>$C$1/$D$31*SartoriRoson!F201</f>
        <v>-0.29507498265579146</v>
      </c>
      <c r="L31" s="5">
        <f>L$1*$O31/($L$1+$M$1)</f>
        <v>-3.6805604054287625E-5</v>
      </c>
      <c r="M31" s="5">
        <f>M$1*$O31/($L$1+$M$1)</f>
        <v>-8.9536635434868153E-5</v>
      </c>
      <c r="N31" s="9"/>
      <c r="O31">
        <f>$C$1/$D$31*SartoriRoson!D201</f>
        <v>-1.2634223948915579E-4</v>
      </c>
      <c r="Q31">
        <f>$C$1/$D$31*SartoriRoson!G201</f>
        <v>-0.19734476195581732</v>
      </c>
      <c r="Y31" s="1">
        <f>SUM(E31:W31)-K31-O31</f>
        <v>-0.55593001957348109</v>
      </c>
    </row>
    <row r="32" spans="1:25" x14ac:dyDescent="0.35">
      <c r="A32" t="str">
        <f>Table1!A35</f>
        <v>Kompas et al. 2018</v>
      </c>
      <c r="B32">
        <f>Table1!C35</f>
        <v>1</v>
      </c>
      <c r="C32">
        <f>Table1!E35</f>
        <v>-0.4658664448796927</v>
      </c>
    </row>
    <row r="33" spans="1:25" x14ac:dyDescent="0.35">
      <c r="B33">
        <f>Table1!C36</f>
        <v>2</v>
      </c>
      <c r="C33">
        <f>Table1!E36</f>
        <v>-1.0740738140966928</v>
      </c>
    </row>
    <row r="34" spans="1:25" x14ac:dyDescent="0.35">
      <c r="B34">
        <f>Table1!C37</f>
        <v>3</v>
      </c>
      <c r="C34">
        <f>Table1!E37</f>
        <v>-1.8369485050307706</v>
      </c>
      <c r="D34">
        <f>graph!B53</f>
        <v>-1.9190280160093469</v>
      </c>
      <c r="E34">
        <f>$C$1/$D$31*Kompas!AI2</f>
        <v>-0.21873615242776043</v>
      </c>
      <c r="F34">
        <f>$C$1/$D$31*Kompas!AI3</f>
        <v>-2.1491178892213247E-2</v>
      </c>
      <c r="G34">
        <f>$C$1/$D$31*Kompas!AI4</f>
        <v>-6.0526781081621496E-2</v>
      </c>
      <c r="H34">
        <f>$C$1/$D$31*Kompas!AI5</f>
        <v>-1.2384646867126188E-2</v>
      </c>
      <c r="I34">
        <f>$C$1/$D$31*Kompas!AI6</f>
        <v>-9.9112677985840267E-2</v>
      </c>
      <c r="J34">
        <f>$C$1/$D$31*Kompas!AI8</f>
        <v>-0.99172502663525175</v>
      </c>
      <c r="K34" s="5">
        <f>SUM(F34:I34)</f>
        <v>-0.19351528482680119</v>
      </c>
      <c r="L34">
        <f>$C$1/$D$31*Kompas!AI7</f>
        <v>-1.6739687523698039E-2</v>
      </c>
      <c r="Y34" s="1">
        <f>SUM(E34:W34)-K34-O34</f>
        <v>-1.4207161514135114</v>
      </c>
    </row>
    <row r="35" spans="1:25" x14ac:dyDescent="0.35">
      <c r="B35">
        <f>Table1!C38</f>
        <v>4</v>
      </c>
      <c r="C35">
        <f>Table1!E38</f>
        <v>-2.7931051587285425</v>
      </c>
    </row>
    <row r="36" spans="1:25" x14ac:dyDescent="0.35">
      <c r="A36" t="str">
        <f>Table1!A39</f>
        <v>Dellink et al. 2019</v>
      </c>
      <c r="B36">
        <f>Table1!C39</f>
        <v>2.5</v>
      </c>
      <c r="C36">
        <f>Table1!E39</f>
        <v>-2</v>
      </c>
      <c r="E36" s="5">
        <f>Dellink!D32</f>
        <v>-0.75104629136055356</v>
      </c>
      <c r="G36" s="5">
        <f>Dellink!D30</f>
        <v>-6.4040962606498386E-2</v>
      </c>
      <c r="I36" s="5">
        <f>Dellink!D28</f>
        <v>-0.14424710367738292</v>
      </c>
      <c r="K36" s="5">
        <f>SUM(F36:I36)</f>
        <v>-0.2082880662838813</v>
      </c>
      <c r="L36" s="5">
        <f>L$1*$O36/($L$1+$M$1)</f>
        <v>-4.1976453999717458E-2</v>
      </c>
      <c r="M36" s="5">
        <f>M$1*$O36/($L$1+$M$1)</f>
        <v>-0.10211571186489958</v>
      </c>
      <c r="N36" s="5"/>
      <c r="O36" s="5">
        <f>Dellink!D31</f>
        <v>-0.14409216586461704</v>
      </c>
      <c r="Q36" s="5">
        <f>Dellink!D29</f>
        <v>-0.8965734764909481</v>
      </c>
      <c r="Y36" s="1">
        <f>SUM(E36:W36)-K36-O36</f>
        <v>-1.9999999999999998</v>
      </c>
    </row>
    <row r="37" spans="1:25" x14ac:dyDescent="0.35">
      <c r="A37" t="str">
        <f>Table1!A40</f>
        <v>Takakura</v>
      </c>
      <c r="B37">
        <f>Table1!C40</f>
        <v>2</v>
      </c>
      <c r="C37">
        <f>Table1!E40</f>
        <v>-1.0517705037403</v>
      </c>
      <c r="E37">
        <f>-AD67</f>
        <v>3.1031597998614929E-3</v>
      </c>
      <c r="G37">
        <f>-AD69-AD72-AD74</f>
        <v>-0.43483609460070094</v>
      </c>
      <c r="K37" s="5">
        <f>SUM(F37:I37)</f>
        <v>-0.43483609460070094</v>
      </c>
      <c r="M37">
        <f>-AD68</f>
        <v>-2.419870750297299E-2</v>
      </c>
      <c r="O37" s="5">
        <f>SUM(L37:N37)</f>
        <v>-2.419870750297299E-2</v>
      </c>
      <c r="Q37">
        <f>-AD71-AD73-AD75</f>
        <v>-1.213934996526679</v>
      </c>
      <c r="U37">
        <f>-AD70</f>
        <v>3.8350571544404615E-3</v>
      </c>
      <c r="Y37" s="1">
        <f>SUM(E37:W37)-K37-O37</f>
        <v>-1.6660315816760514</v>
      </c>
    </row>
    <row r="38" spans="1:25" x14ac:dyDescent="0.35">
      <c r="B38">
        <f>Table1!C41</f>
        <v>4</v>
      </c>
      <c r="C38">
        <f>Table1!E41</f>
        <v>-4.6911160007283899</v>
      </c>
    </row>
    <row r="39" spans="1:25" x14ac:dyDescent="0.35">
      <c r="B39">
        <f>Table1!C42</f>
        <v>6</v>
      </c>
      <c r="C39">
        <f>Table1!E42</f>
        <v>-9.49637530496768</v>
      </c>
    </row>
    <row r="40" spans="1:25" x14ac:dyDescent="0.35">
      <c r="A40" t="str">
        <f>Table1!A43</f>
        <v>Howard &amp; Sylvan 2020</v>
      </c>
      <c r="B40">
        <f>Table1!C43</f>
        <v>3</v>
      </c>
      <c r="C40">
        <f>Table1!E43</f>
        <v>-9.1999999999999993</v>
      </c>
    </row>
    <row r="41" spans="1:25" x14ac:dyDescent="0.35">
      <c r="A41" t="str">
        <f>Table1!A44</f>
        <v>Howard &amp; Sylvan 2021</v>
      </c>
      <c r="B41">
        <f>Table1!C44</f>
        <v>1.2</v>
      </c>
      <c r="C41">
        <f>Table1!E44</f>
        <v>-2.2000000000000002</v>
      </c>
    </row>
    <row r="42" spans="1:25" x14ac:dyDescent="0.35">
      <c r="B42">
        <f>Table1!C45</f>
        <v>3</v>
      </c>
      <c r="C42">
        <f>Table1!E45</f>
        <v>-8.5</v>
      </c>
    </row>
    <row r="43" spans="1:25" x14ac:dyDescent="0.35">
      <c r="B43">
        <f>Table1!C46</f>
        <v>5</v>
      </c>
      <c r="C43">
        <f>Table1!E46</f>
        <v>-16.100000000000001</v>
      </c>
    </row>
    <row r="44" spans="1:25" x14ac:dyDescent="0.35">
      <c r="B44">
        <f>Table1!C47</f>
        <v>7</v>
      </c>
      <c r="C44">
        <f>Table1!E47</f>
        <v>-25</v>
      </c>
    </row>
    <row r="45" spans="1:25" x14ac:dyDescent="0.35">
      <c r="A45" t="str">
        <f>Table1!A48</f>
        <v>Conte et al. 2021</v>
      </c>
      <c r="B45">
        <f>Table1!C48</f>
        <v>3.7</v>
      </c>
      <c r="C45">
        <f>Table1!E48</f>
        <v>-3.7</v>
      </c>
    </row>
    <row r="46" spans="1:25" x14ac:dyDescent="0.35">
      <c r="A46" t="str">
        <f>Table1!A49</f>
        <v>Desmet and Rossi-Hansberg 2015</v>
      </c>
      <c r="B46">
        <f>Table1!C49</f>
        <v>4.6487373814138984</v>
      </c>
      <c r="C46">
        <f>Table1!E49</f>
        <v>5.1295273109904338</v>
      </c>
    </row>
    <row r="47" spans="1:25" x14ac:dyDescent="0.35">
      <c r="B47">
        <f>Table1!C50</f>
        <v>9.2982230505350998</v>
      </c>
      <c r="C47">
        <f>Table1!E50</f>
        <v>-4.8593007850505128</v>
      </c>
    </row>
    <row r="48" spans="1:25" x14ac:dyDescent="0.35">
      <c r="B48">
        <f>Table1!C51</f>
        <v>13.606208917250999</v>
      </c>
      <c r="C48">
        <f>Table1!E51</f>
        <v>-24.061208104792932</v>
      </c>
    </row>
    <row r="49" spans="1:25" x14ac:dyDescent="0.35">
      <c r="B49">
        <f>Table1!C52</f>
        <v>16.682700289727595</v>
      </c>
      <c r="C49">
        <f>Table1!E52</f>
        <v>-78.907648460775576</v>
      </c>
    </row>
    <row r="50" spans="1:25" x14ac:dyDescent="0.35">
      <c r="A50" t="str">
        <f>Table1!A53</f>
        <v>Cruz and Rossi-Hansberg 2021</v>
      </c>
      <c r="B50">
        <f>Table1!C53</f>
        <v>7.2</v>
      </c>
      <c r="C50">
        <f>Table1!E53</f>
        <v>-5</v>
      </c>
    </row>
    <row r="51" spans="1:25" x14ac:dyDescent="0.35">
      <c r="A51" t="str">
        <f>Table1!A54</f>
        <v>Kalkuhl and Wenz 2020</v>
      </c>
      <c r="B51">
        <f>Table1!C54</f>
        <v>1</v>
      </c>
      <c r="C51">
        <f>Table1!E54</f>
        <v>-2.2999999999999998</v>
      </c>
    </row>
    <row r="52" spans="1:25" x14ac:dyDescent="0.35">
      <c r="A52" t="str">
        <f>Table1!A55</f>
        <v>Newell, Prest and Sexton</v>
      </c>
      <c r="B52">
        <f>Table1!C55</f>
        <v>4.3</v>
      </c>
      <c r="C52">
        <f>Table1!E55</f>
        <v>5.63</v>
      </c>
    </row>
    <row r="53" spans="1:25" x14ac:dyDescent="0.35">
      <c r="B53">
        <f>Table1!C56</f>
        <v>4.3</v>
      </c>
      <c r="C53">
        <f>Table1!E56</f>
        <v>3.61</v>
      </c>
    </row>
    <row r="54" spans="1:25" x14ac:dyDescent="0.35">
      <c r="B54">
        <f>Table1!C57</f>
        <v>4.3</v>
      </c>
      <c r="C54">
        <f>Table1!E57</f>
        <v>-1.71</v>
      </c>
    </row>
    <row r="55" spans="1:25" x14ac:dyDescent="0.35">
      <c r="B55">
        <f>Table1!C58</f>
        <v>4.3</v>
      </c>
      <c r="C55">
        <f>Table1!E58</f>
        <v>-1.63</v>
      </c>
    </row>
    <row r="56" spans="1:25" x14ac:dyDescent="0.35">
      <c r="B56">
        <f>Table1!C59</f>
        <v>4.3</v>
      </c>
      <c r="C56">
        <f>Table1!E59</f>
        <v>-2.17</v>
      </c>
    </row>
    <row r="57" spans="1:25" x14ac:dyDescent="0.35">
      <c r="B57">
        <f>Table1!C60</f>
        <v>4.3</v>
      </c>
      <c r="C57">
        <f>Table1!E60</f>
        <v>-0.64</v>
      </c>
    </row>
    <row r="58" spans="1:25" x14ac:dyDescent="0.35">
      <c r="B58">
        <f>Table1!C61</f>
        <v>4.3</v>
      </c>
      <c r="C58">
        <f>Table1!E61</f>
        <v>-1.82</v>
      </c>
    </row>
    <row r="59" spans="1:25" x14ac:dyDescent="0.35">
      <c r="B59">
        <f>Table1!C62</f>
        <v>4.3</v>
      </c>
      <c r="C59">
        <f>Table1!E62</f>
        <v>-1.75</v>
      </c>
    </row>
    <row r="60" spans="1:25" x14ac:dyDescent="0.35">
      <c r="B60">
        <f>Table1!C63</f>
        <v>4.3</v>
      </c>
      <c r="C60">
        <f>Table1!E63</f>
        <v>-2.16</v>
      </c>
    </row>
    <row r="62" spans="1:25" x14ac:dyDescent="0.35">
      <c r="A62" t="s">
        <v>588</v>
      </c>
      <c r="E62" s="5">
        <f t="shared" ref="E62:W62" si="4">AVERAGE(E10:E60)</f>
        <v>-0.23452631297226509</v>
      </c>
      <c r="F62" s="5">
        <f t="shared" si="4"/>
        <v>-1.154574364657361E-2</v>
      </c>
      <c r="G62" s="5">
        <f t="shared" si="4"/>
        <v>-0.11870603847997975</v>
      </c>
      <c r="H62" s="5">
        <f t="shared" si="4"/>
        <v>-0.10494117442045232</v>
      </c>
      <c r="I62" s="5">
        <f t="shared" si="4"/>
        <v>-9.3296322292515374E-2</v>
      </c>
      <c r="J62" s="5">
        <f t="shared" si="4"/>
        <v>-0.64340000464552161</v>
      </c>
      <c r="K62" s="5">
        <f t="shared" si="4"/>
        <v>-0.26044120742965143</v>
      </c>
      <c r="L62" s="5">
        <f t="shared" si="4"/>
        <v>-2.7657245693447366E-2</v>
      </c>
      <c r="M62" s="5">
        <f t="shared" si="4"/>
        <v>-6.5216041957387061E-2</v>
      </c>
      <c r="N62" s="5">
        <f t="shared" si="4"/>
        <v>-0.1694862447916631</v>
      </c>
      <c r="O62" s="5">
        <f t="shared" si="4"/>
        <v>-0.17552394910620375</v>
      </c>
      <c r="P62" s="5">
        <f t="shared" si="4"/>
        <v>-0.20126387359936945</v>
      </c>
      <c r="Q62" s="5">
        <f t="shared" si="4"/>
        <v>-0.48212921868458558</v>
      </c>
      <c r="R62" s="5">
        <f t="shared" si="4"/>
        <v>-7.7968441814595668E-2</v>
      </c>
      <c r="S62" s="5">
        <f t="shared" si="4"/>
        <v>0.28999999999999998</v>
      </c>
      <c r="T62" s="5">
        <f t="shared" si="4"/>
        <v>-0.17</v>
      </c>
      <c r="U62" s="5">
        <f t="shared" si="4"/>
        <v>-0.2114620088537392</v>
      </c>
      <c r="V62" s="5">
        <f t="shared" si="4"/>
        <v>-5.5014069444097237E-2</v>
      </c>
      <c r="W62" s="5">
        <f t="shared" si="4"/>
        <v>-0.33456904541241889</v>
      </c>
      <c r="Y62" s="5">
        <f>AVERAGE(Y10:Y60)</f>
        <v>-1.4065237563552442</v>
      </c>
    </row>
    <row r="65" spans="1:30" x14ac:dyDescent="0.35">
      <c r="E65" s="5"/>
      <c r="F65" s="5"/>
      <c r="G65" s="5"/>
      <c r="H65" s="5"/>
      <c r="K65" s="5"/>
      <c r="L65" s="5"/>
      <c r="M65" s="5"/>
      <c r="N65" s="5"/>
      <c r="O65" s="5"/>
      <c r="P65" s="5"/>
      <c r="Q65" s="5"/>
      <c r="R65" s="5"/>
      <c r="S65" s="5"/>
      <c r="T65" s="5"/>
    </row>
    <row r="66" spans="1:30" x14ac:dyDescent="0.35">
      <c r="E66" t="s">
        <v>568</v>
      </c>
      <c r="F66" t="s">
        <v>577</v>
      </c>
      <c r="G66" t="s">
        <v>578</v>
      </c>
      <c r="H66" t="s">
        <v>579</v>
      </c>
      <c r="I66" t="s">
        <v>689</v>
      </c>
      <c r="J66" t="s">
        <v>860</v>
      </c>
      <c r="K66" s="22" t="s">
        <v>859</v>
      </c>
      <c r="L66" t="s">
        <v>580</v>
      </c>
      <c r="M66" t="s">
        <v>581</v>
      </c>
      <c r="N66" t="s">
        <v>582</v>
      </c>
      <c r="O66" s="22" t="s">
        <v>570</v>
      </c>
      <c r="P66" t="s">
        <v>586</v>
      </c>
      <c r="Q66" t="s">
        <v>571</v>
      </c>
      <c r="R66" t="s">
        <v>584</v>
      </c>
      <c r="S66" t="s">
        <v>572</v>
      </c>
      <c r="T66" t="s">
        <v>573</v>
      </c>
      <c r="U66" t="s">
        <v>574</v>
      </c>
      <c r="V66" t="s">
        <v>585</v>
      </c>
      <c r="W66" t="s">
        <v>587</v>
      </c>
      <c r="Y66" t="s">
        <v>21</v>
      </c>
      <c r="Z66" t="s">
        <v>591</v>
      </c>
    </row>
    <row r="67" spans="1:30" x14ac:dyDescent="0.35">
      <c r="A67" t="s">
        <v>296</v>
      </c>
      <c r="E67" s="5">
        <f t="shared" ref="E67:H67" si="5">IF(ISBLANK(E10),E$62,E10)</f>
        <v>-0.20311688311688311</v>
      </c>
      <c r="F67" s="5">
        <f t="shared" si="5"/>
        <v>-1.038961038961039E-2</v>
      </c>
      <c r="G67" s="5">
        <f t="shared" si="5"/>
        <v>-0.12000000000000001</v>
      </c>
      <c r="H67" s="5">
        <f t="shared" si="5"/>
        <v>-0.24259740259740259</v>
      </c>
      <c r="I67" s="5">
        <f t="shared" ref="I67:W67" si="6">IF(ISBLANK(I10),I$62,I10)</f>
        <v>-9.3296322292515374E-2</v>
      </c>
      <c r="J67" s="5">
        <f t="shared" si="6"/>
        <v>-0.64340000464552161</v>
      </c>
      <c r="K67" s="5">
        <f t="shared" si="6"/>
        <v>-0.37298701298701298</v>
      </c>
      <c r="L67" s="5">
        <f t="shared" si="6"/>
        <v>-4.6753246753246753E-3</v>
      </c>
      <c r="M67" s="5">
        <f t="shared" si="6"/>
        <v>-7.2727272727272724E-2</v>
      </c>
      <c r="N67" s="5">
        <f t="shared" si="6"/>
        <v>-0.16415584415584417</v>
      </c>
      <c r="O67" s="5">
        <f t="shared" si="6"/>
        <v>-0.24155844155844158</v>
      </c>
      <c r="P67" s="5">
        <f t="shared" si="6"/>
        <v>-0.21038961038961038</v>
      </c>
      <c r="Q67" s="5">
        <f t="shared" si="6"/>
        <v>-0.25558441558441558</v>
      </c>
      <c r="R67" s="5">
        <f t="shared" si="6"/>
        <v>-0.08</v>
      </c>
      <c r="S67" s="5">
        <f t="shared" si="6"/>
        <v>0.28999999999999998</v>
      </c>
      <c r="T67" s="5">
        <f t="shared" si="6"/>
        <v>-0.17</v>
      </c>
      <c r="U67" s="5">
        <f t="shared" si="6"/>
        <v>-1.4025974025974025E-2</v>
      </c>
      <c r="V67" s="5">
        <f t="shared" si="6"/>
        <v>-2.2337662337662337E-2</v>
      </c>
      <c r="W67" s="5">
        <f t="shared" si="6"/>
        <v>-0.33456904541241889</v>
      </c>
      <c r="Y67" s="1">
        <f t="shared" ref="Y67:Y72" si="7">SUM(E67:W67)-K67-O67</f>
        <v>-2.3512653723504555</v>
      </c>
      <c r="Z67" s="5">
        <f>Y67/Y10</f>
        <v>1.6794752659646108</v>
      </c>
      <c r="AC67" t="s">
        <v>1103</v>
      </c>
      <c r="AD67">
        <v>-3.1031597998614929E-3</v>
      </c>
    </row>
    <row r="68" spans="1:30" x14ac:dyDescent="0.35">
      <c r="A68" t="s">
        <v>297</v>
      </c>
      <c r="E68" s="5">
        <f t="shared" ref="E68:H68" si="8">IF(ISBLANK(E11),E$62,E11)</f>
        <v>-0.19280078895463512</v>
      </c>
      <c r="F68" s="5">
        <f t="shared" si="8"/>
        <v>-1.6765285996055226E-2</v>
      </c>
      <c r="G68" s="5">
        <f t="shared" si="8"/>
        <v>-0.11390532544378701</v>
      </c>
      <c r="H68" s="5">
        <f t="shared" si="8"/>
        <v>-0.23027613412228801</v>
      </c>
      <c r="I68" s="5">
        <f t="shared" ref="I68:W68" si="9">IF(ISBLANK(I11),I$62,I11)</f>
        <v>-9.3296322292515374E-2</v>
      </c>
      <c r="J68" s="5">
        <f t="shared" si="9"/>
        <v>-0.64340000464552161</v>
      </c>
      <c r="K68" s="5">
        <f t="shared" si="9"/>
        <v>-0.36094674556213024</v>
      </c>
      <c r="L68" s="5">
        <f t="shared" si="9"/>
        <v>-5.4240631163708095E-3</v>
      </c>
      <c r="M68" s="5">
        <f t="shared" si="9"/>
        <v>-6.9033530571992116E-2</v>
      </c>
      <c r="N68" s="5">
        <f t="shared" si="9"/>
        <v>-0.15581854043392507</v>
      </c>
      <c r="O68" s="5">
        <f t="shared" si="9"/>
        <v>-0.23027613412228798</v>
      </c>
      <c r="P68" s="5">
        <f t="shared" si="9"/>
        <v>-0.19970414201183434</v>
      </c>
      <c r="Q68" s="5">
        <f t="shared" si="9"/>
        <v>-0.40433925049309666</v>
      </c>
      <c r="R68" s="5">
        <f t="shared" si="9"/>
        <v>-7.5936883629191335E-2</v>
      </c>
      <c r="S68" s="5">
        <f t="shared" si="9"/>
        <v>0.28999999999999998</v>
      </c>
      <c r="T68" s="5">
        <f t="shared" si="9"/>
        <v>-0.17</v>
      </c>
      <c r="U68" s="5">
        <f t="shared" si="9"/>
        <v>-1.4792899408284025E-2</v>
      </c>
      <c r="V68" s="5">
        <f t="shared" si="9"/>
        <v>-2.1203155818540431E-2</v>
      </c>
      <c r="W68" s="5">
        <f t="shared" si="9"/>
        <v>-0.33456904541241889</v>
      </c>
      <c r="Y68" s="1">
        <f t="shared" si="7"/>
        <v>-2.4512653723504561</v>
      </c>
      <c r="Z68" s="5">
        <f>Y68/Y11</f>
        <v>1.6341769149003036</v>
      </c>
      <c r="AC68" t="s">
        <v>1104</v>
      </c>
      <c r="AD68">
        <v>2.419870750297299E-2</v>
      </c>
    </row>
    <row r="69" spans="1:30" x14ac:dyDescent="0.35">
      <c r="A69" t="s">
        <v>590</v>
      </c>
      <c r="E69" s="5">
        <f t="shared" ref="E69:H69" si="10">IF(ISBLANK(E12),E$62,E12)</f>
        <v>-0.12766450417052824</v>
      </c>
      <c r="F69" s="5">
        <f t="shared" si="10"/>
        <v>-1.154574364657361E-2</v>
      </c>
      <c r="G69" s="5">
        <f t="shared" si="10"/>
        <v>-0.11870603847997975</v>
      </c>
      <c r="H69" s="5">
        <f t="shared" si="10"/>
        <v>-0.10494117442045232</v>
      </c>
      <c r="I69" s="5">
        <f t="shared" ref="I69:W69" si="11">IF(ISBLANK(I12),I$62,I12)</f>
        <v>-9.3296322292515374E-2</v>
      </c>
      <c r="J69" s="5">
        <f t="shared" si="11"/>
        <v>-0.64340000464552161</v>
      </c>
      <c r="K69" s="5">
        <f t="shared" si="11"/>
        <v>-0.26044120742965143</v>
      </c>
      <c r="L69" s="5">
        <f t="shared" si="11"/>
        <v>-8.3642261353104722E-2</v>
      </c>
      <c r="M69" s="5">
        <f t="shared" si="11"/>
        <v>-8.6283595922150139E-2</v>
      </c>
      <c r="N69" s="5">
        <f t="shared" si="11"/>
        <v>-0.1655236329935125</v>
      </c>
      <c r="O69" s="5">
        <f t="shared" si="11"/>
        <v>-0.33544949026876736</v>
      </c>
      <c r="P69" s="5">
        <f t="shared" si="11"/>
        <v>-0.19369786839666356</v>
      </c>
      <c r="Q69" s="5">
        <f t="shared" si="11"/>
        <v>-0.77479147358665423</v>
      </c>
      <c r="R69" s="5">
        <f t="shared" si="11"/>
        <v>-7.7968441814595668E-2</v>
      </c>
      <c r="S69" s="5">
        <f t="shared" si="11"/>
        <v>0.28999999999999998</v>
      </c>
      <c r="T69" s="5">
        <f t="shared" si="11"/>
        <v>-0.17</v>
      </c>
      <c r="U69" s="5">
        <f t="shared" si="11"/>
        <v>-1.2326227988878589E-2</v>
      </c>
      <c r="V69" s="5">
        <f t="shared" si="11"/>
        <v>-0.12150139017608896</v>
      </c>
      <c r="W69" s="5">
        <f t="shared" si="11"/>
        <v>-0.33456904541241889</v>
      </c>
      <c r="Y69" s="1">
        <f t="shared" si="7"/>
        <v>-2.8298577252996386</v>
      </c>
      <c r="Z69" s="5">
        <f>Y69/Y12</f>
        <v>1.4893988027892839</v>
      </c>
      <c r="AC69" t="s">
        <v>1105</v>
      </c>
      <c r="AD69">
        <v>0.33522925641527729</v>
      </c>
    </row>
    <row r="70" spans="1:30" x14ac:dyDescent="0.35">
      <c r="A70" t="s">
        <v>589</v>
      </c>
      <c r="E70" s="5">
        <f t="shared" ref="E70:H70" si="12">IF(ISBLANK(E17),E$62,E17)</f>
        <v>-0.13</v>
      </c>
      <c r="F70" s="5">
        <f t="shared" si="12"/>
        <v>-1.8499555354522749E-3</v>
      </c>
      <c r="G70" s="5">
        <f t="shared" si="12"/>
        <v>-1.5935043368639722E-2</v>
      </c>
      <c r="H70" s="5">
        <f t="shared" si="12"/>
        <v>-3.2215001095908004E-2</v>
      </c>
      <c r="I70" s="5">
        <f t="shared" ref="I70:W70" si="13">IF(ISBLANK(I17),I$62,I17)</f>
        <v>-9.3296322292515374E-2</v>
      </c>
      <c r="J70" s="5">
        <f t="shared" si="13"/>
        <v>-0.64340000464552161</v>
      </c>
      <c r="K70" s="5">
        <f t="shared" si="13"/>
        <v>-0.05</v>
      </c>
      <c r="L70" s="5">
        <f t="shared" si="13"/>
        <v>-3.7158330000053141E-2</v>
      </c>
      <c r="M70" s="5">
        <f t="shared" si="13"/>
        <v>-9.0394708416576139E-2</v>
      </c>
      <c r="N70" s="5">
        <f t="shared" si="13"/>
        <v>-0.19244696158337074</v>
      </c>
      <c r="O70" s="5">
        <f t="shared" si="13"/>
        <v>-0.32</v>
      </c>
      <c r="P70" s="5">
        <f t="shared" si="13"/>
        <v>-0.20126387359936945</v>
      </c>
      <c r="Q70" s="5">
        <f t="shared" si="13"/>
        <v>-0.1</v>
      </c>
      <c r="R70" s="5">
        <f t="shared" si="13"/>
        <v>-7.7968441814595668E-2</v>
      </c>
      <c r="S70" s="5">
        <f t="shared" si="13"/>
        <v>0.28999999999999998</v>
      </c>
      <c r="T70" s="5">
        <f t="shared" si="13"/>
        <v>-0.17</v>
      </c>
      <c r="U70" s="5">
        <f t="shared" si="13"/>
        <v>-1.02</v>
      </c>
      <c r="V70" s="5">
        <f t="shared" si="13"/>
        <v>-5.5014069444097237E-2</v>
      </c>
      <c r="W70" s="5">
        <f t="shared" si="13"/>
        <v>-0.33456904541241889</v>
      </c>
      <c r="Y70" s="1">
        <f t="shared" si="7"/>
        <v>-2.9055117572085187</v>
      </c>
      <c r="Z70" s="5">
        <f>Y70/Y17</f>
        <v>1.9370078381390126</v>
      </c>
      <c r="AC70" t="s">
        <v>1106</v>
      </c>
      <c r="AD70">
        <v>-3.8350571544404615E-3</v>
      </c>
    </row>
    <row r="71" spans="1:30" x14ac:dyDescent="0.35">
      <c r="A71" t="s">
        <v>505</v>
      </c>
      <c r="E71" s="5">
        <f t="shared" ref="E71:H71" si="14">IF(ISBLANK(E27),E$62,E27)</f>
        <v>-0.39056512065499333</v>
      </c>
      <c r="F71" s="5">
        <f t="shared" si="14"/>
        <v>-7.2326874195369128E-3</v>
      </c>
      <c r="G71" s="5">
        <f t="shared" si="14"/>
        <v>-2.1698062258610738E-2</v>
      </c>
      <c r="H71" s="5">
        <f t="shared" si="14"/>
        <v>-7.2326874195369128E-3</v>
      </c>
      <c r="I71" s="5">
        <f t="shared" ref="I71:W71" si="15">IF(ISBLANK(I27),I$62,I27)</f>
        <v>-0.16635181064934901</v>
      </c>
      <c r="J71" s="5">
        <f t="shared" si="15"/>
        <v>-0.64340000464552161</v>
      </c>
      <c r="K71" s="5">
        <f t="shared" si="15"/>
        <v>-0.20251524774703356</v>
      </c>
      <c r="L71" s="5">
        <f t="shared" si="15"/>
        <v>-3.1605039275255806E-2</v>
      </c>
      <c r="M71" s="5">
        <f t="shared" si="15"/>
        <v>-7.6885272017797879E-2</v>
      </c>
      <c r="N71" s="5">
        <f t="shared" si="15"/>
        <v>-0.1694862447916631</v>
      </c>
      <c r="O71" s="5">
        <f t="shared" si="15"/>
        <v>-0.10849031129305368</v>
      </c>
      <c r="P71" s="5">
        <f t="shared" si="15"/>
        <v>-0.20126387359936945</v>
      </c>
      <c r="Q71" s="5">
        <f t="shared" si="15"/>
        <v>-1.4465374839073826E-2</v>
      </c>
      <c r="R71" s="5">
        <f t="shared" si="15"/>
        <v>-7.7968441814595668E-2</v>
      </c>
      <c r="S71" s="5">
        <f t="shared" si="15"/>
        <v>0.28999999999999998</v>
      </c>
      <c r="T71" s="5">
        <f t="shared" si="15"/>
        <v>-0.17</v>
      </c>
      <c r="U71" s="5">
        <f t="shared" si="15"/>
        <v>-0.2114620088537392</v>
      </c>
      <c r="V71" s="5">
        <f t="shared" si="15"/>
        <v>-5.5014069444097237E-2</v>
      </c>
      <c r="W71" s="5">
        <f t="shared" si="15"/>
        <v>-0.33456904541241889</v>
      </c>
      <c r="Y71" s="1">
        <f t="shared" si="7"/>
        <v>-2.2891997430955597</v>
      </c>
      <c r="Z71" s="5">
        <f>Y71/Y27</f>
        <v>3.1970453563052614</v>
      </c>
      <c r="AC71" t="s">
        <v>1107</v>
      </c>
      <c r="AD71">
        <v>0.71246683210393524</v>
      </c>
    </row>
    <row r="72" spans="1:30" x14ac:dyDescent="0.35">
      <c r="A72" t="s">
        <v>708</v>
      </c>
      <c r="E72" s="5">
        <f t="shared" ref="E72:T73" si="16">IF(ISBLANK(E36),E$62,E36)</f>
        <v>-0.75104629136055356</v>
      </c>
      <c r="F72" s="5">
        <f t="shared" si="16"/>
        <v>-1.154574364657361E-2</v>
      </c>
      <c r="G72" s="5">
        <f t="shared" si="16"/>
        <v>-6.4040962606498386E-2</v>
      </c>
      <c r="H72" s="5">
        <f t="shared" si="16"/>
        <v>-0.10494117442045232</v>
      </c>
      <c r="I72" s="5">
        <f t="shared" ref="I72:W73" si="17">IF(ISBLANK(I36),I$62,I36)</f>
        <v>-0.14424710367738292</v>
      </c>
      <c r="J72" s="5">
        <f t="shared" si="17"/>
        <v>-0.64340000464552161</v>
      </c>
      <c r="K72" s="5">
        <f t="shared" si="17"/>
        <v>-0.2082880662838813</v>
      </c>
      <c r="L72" s="5">
        <f t="shared" si="17"/>
        <v>-4.1976453999717458E-2</v>
      </c>
      <c r="M72" s="5">
        <f t="shared" si="17"/>
        <v>-0.10211571186489958</v>
      </c>
      <c r="N72" s="5">
        <f t="shared" si="17"/>
        <v>-0.1694862447916631</v>
      </c>
      <c r="O72" s="5">
        <f t="shared" si="17"/>
        <v>-0.14409216586461704</v>
      </c>
      <c r="P72" s="5">
        <f t="shared" si="17"/>
        <v>-0.20126387359936945</v>
      </c>
      <c r="Q72" s="5">
        <f t="shared" si="17"/>
        <v>-0.8965734764909481</v>
      </c>
      <c r="R72" s="5">
        <f t="shared" si="17"/>
        <v>-7.7968441814595668E-2</v>
      </c>
      <c r="S72" s="5">
        <f t="shared" si="17"/>
        <v>0.28999999999999998</v>
      </c>
      <c r="T72" s="5">
        <f t="shared" si="17"/>
        <v>-0.17</v>
      </c>
      <c r="U72" s="5">
        <f t="shared" si="17"/>
        <v>-0.2114620088537392</v>
      </c>
      <c r="V72" s="5">
        <f t="shared" si="17"/>
        <v>-5.5014069444097237E-2</v>
      </c>
      <c r="W72" s="5">
        <f t="shared" si="17"/>
        <v>-0.33456904541241889</v>
      </c>
      <c r="Y72" s="1">
        <f t="shared" si="7"/>
        <v>-3.6896506066284305</v>
      </c>
      <c r="Z72" s="5">
        <f>Y72/Y36</f>
        <v>1.8448253033142155</v>
      </c>
      <c r="AC72" t="s">
        <v>1108</v>
      </c>
      <c r="AD72">
        <v>-2.4053232161159459E-3</v>
      </c>
    </row>
    <row r="73" spans="1:30" x14ac:dyDescent="0.35">
      <c r="A73" t="s">
        <v>707</v>
      </c>
      <c r="E73" s="5">
        <f t="shared" si="16"/>
        <v>3.1031597998614929E-3</v>
      </c>
      <c r="F73" s="5">
        <f t="shared" si="16"/>
        <v>-1.154574364657361E-2</v>
      </c>
      <c r="G73" s="5">
        <f t="shared" si="16"/>
        <v>-0.43483609460070094</v>
      </c>
      <c r="H73" s="5">
        <f t="shared" si="16"/>
        <v>-0.10494117442045232</v>
      </c>
      <c r="I73" s="5">
        <f t="shared" si="16"/>
        <v>-9.3296322292515374E-2</v>
      </c>
      <c r="J73" s="5">
        <f t="shared" si="16"/>
        <v>-0.64340000464552161</v>
      </c>
      <c r="K73" s="5">
        <f t="shared" si="16"/>
        <v>-0.43483609460070094</v>
      </c>
      <c r="L73" s="5">
        <f t="shared" si="16"/>
        <v>-2.7657245693447366E-2</v>
      </c>
      <c r="M73" s="5">
        <f t="shared" si="16"/>
        <v>-2.419870750297299E-2</v>
      </c>
      <c r="N73" s="5">
        <f t="shared" si="16"/>
        <v>-0.1694862447916631</v>
      </c>
      <c r="O73" s="5">
        <f t="shared" si="16"/>
        <v>-2.419870750297299E-2</v>
      </c>
      <c r="P73" s="5">
        <f t="shared" si="16"/>
        <v>-0.20126387359936945</v>
      </c>
      <c r="Q73" s="5">
        <f t="shared" si="16"/>
        <v>-1.213934996526679</v>
      </c>
      <c r="R73" s="5">
        <f t="shared" si="16"/>
        <v>-7.7968441814595668E-2</v>
      </c>
      <c r="S73" s="5">
        <f t="shared" si="16"/>
        <v>0.28999999999999998</v>
      </c>
      <c r="T73" s="5">
        <f t="shared" si="16"/>
        <v>-0.17</v>
      </c>
      <c r="U73" s="5">
        <f t="shared" si="17"/>
        <v>3.8350571544404615E-3</v>
      </c>
      <c r="V73" s="5">
        <f t="shared" si="17"/>
        <v>-5.5014069444097237E-2</v>
      </c>
      <c r="W73" s="5">
        <f t="shared" si="17"/>
        <v>-0.33456904541241889</v>
      </c>
      <c r="Y73" s="1">
        <f t="shared" ref="Y73" si="18">SUM(E73:W73)-K73-O73</f>
        <v>-3.2651737474367062</v>
      </c>
      <c r="Z73" s="5">
        <f>Y73/Y37</f>
        <v>1.9598510516540719</v>
      </c>
      <c r="AC73" t="s">
        <v>1109</v>
      </c>
      <c r="AD73">
        <v>0.63047767200962812</v>
      </c>
    </row>
    <row r="74" spans="1:30" x14ac:dyDescent="0.35">
      <c r="A74" t="s">
        <v>685</v>
      </c>
      <c r="E74" s="5">
        <f t="shared" ref="E74:W74" si="19">IF(ISBLANK(E31),E$62,E31)</f>
        <v>-9.9910235864893809E-2</v>
      </c>
      <c r="F74" s="5">
        <f t="shared" si="19"/>
        <v>-1.154574364657361E-2</v>
      </c>
      <c r="G74" s="5">
        <f t="shared" si="19"/>
        <v>-0.11870603847997975</v>
      </c>
      <c r="H74" s="5">
        <f t="shared" si="19"/>
        <v>-0.10494117442045232</v>
      </c>
      <c r="I74" s="5">
        <f t="shared" si="19"/>
        <v>3.6526303142510694E-2</v>
      </c>
      <c r="J74" s="5">
        <f t="shared" si="19"/>
        <v>-0.29507498265579146</v>
      </c>
      <c r="K74" s="5">
        <f t="shared" si="19"/>
        <v>-0.26044120742965143</v>
      </c>
      <c r="L74" s="5">
        <f t="shared" si="19"/>
        <v>-3.6805604054287625E-5</v>
      </c>
      <c r="M74" s="5">
        <f t="shared" si="19"/>
        <v>-8.9536635434868153E-5</v>
      </c>
      <c r="N74" s="5">
        <f t="shared" si="19"/>
        <v>-0.1694862447916631</v>
      </c>
      <c r="O74" s="5">
        <f t="shared" si="19"/>
        <v>-1.2634223948915579E-4</v>
      </c>
      <c r="P74" s="5">
        <f t="shared" si="19"/>
        <v>-0.20126387359936945</v>
      </c>
      <c r="Q74" s="5">
        <f t="shared" si="19"/>
        <v>-0.19734476195581732</v>
      </c>
      <c r="R74" s="5">
        <f t="shared" si="19"/>
        <v>-7.7968441814595668E-2</v>
      </c>
      <c r="S74" s="5">
        <f t="shared" si="19"/>
        <v>0.28999999999999998</v>
      </c>
      <c r="T74" s="5">
        <f t="shared" si="19"/>
        <v>-0.17</v>
      </c>
      <c r="U74" s="5">
        <f t="shared" si="19"/>
        <v>-0.2114620088537392</v>
      </c>
      <c r="V74" s="5">
        <f t="shared" si="19"/>
        <v>-5.5014069444097237E-2</v>
      </c>
      <c r="W74" s="5">
        <f t="shared" si="19"/>
        <v>-0.33456904541241889</v>
      </c>
      <c r="Y74" s="1">
        <f>SUM(E74:W74)-K74-O74</f>
        <v>-1.7208866600363699</v>
      </c>
      <c r="Z74" s="5">
        <f>Y74/Y31</f>
        <v>3.0955095055968793</v>
      </c>
      <c r="AC74" t="s">
        <v>1110</v>
      </c>
      <c r="AD74">
        <v>0.10201216140153965</v>
      </c>
    </row>
    <row r="75" spans="1:30" x14ac:dyDescent="0.35">
      <c r="A75" t="s">
        <v>996</v>
      </c>
      <c r="E75" s="5">
        <f t="shared" ref="E75:W75" si="20">IF(ISBLANK(E34),E$62,E34)</f>
        <v>-0.21873615242776043</v>
      </c>
      <c r="F75" s="5">
        <f t="shared" si="20"/>
        <v>-2.1491178892213247E-2</v>
      </c>
      <c r="G75" s="5">
        <f t="shared" si="20"/>
        <v>-6.0526781081621496E-2</v>
      </c>
      <c r="H75" s="5">
        <f t="shared" si="20"/>
        <v>-1.2384646867126188E-2</v>
      </c>
      <c r="I75" s="5">
        <f t="shared" si="20"/>
        <v>-9.9112677985840267E-2</v>
      </c>
      <c r="J75" s="5">
        <f t="shared" si="20"/>
        <v>-0.99172502663525175</v>
      </c>
      <c r="K75" s="5">
        <f t="shared" si="20"/>
        <v>-0.19351528482680119</v>
      </c>
      <c r="L75" s="5">
        <f t="shared" si="20"/>
        <v>-1.6739687523698039E-2</v>
      </c>
      <c r="M75" s="5">
        <f t="shared" si="20"/>
        <v>-6.5216041957387061E-2</v>
      </c>
      <c r="N75" s="5">
        <f t="shared" si="20"/>
        <v>-0.1694862447916631</v>
      </c>
      <c r="O75" s="5">
        <f t="shared" si="20"/>
        <v>-0.17552394910620375</v>
      </c>
      <c r="P75" s="5">
        <f t="shared" si="20"/>
        <v>-0.20126387359936945</v>
      </c>
      <c r="Q75" s="5">
        <f t="shared" si="20"/>
        <v>-0.48212921868458558</v>
      </c>
      <c r="R75" s="5">
        <f t="shared" si="20"/>
        <v>-7.7968441814595668E-2</v>
      </c>
      <c r="S75" s="5">
        <f t="shared" si="20"/>
        <v>0.28999999999999998</v>
      </c>
      <c r="T75" s="5">
        <f t="shared" si="20"/>
        <v>-0.17</v>
      </c>
      <c r="U75" s="5">
        <f t="shared" si="20"/>
        <v>-0.2114620088537392</v>
      </c>
      <c r="V75" s="5">
        <f t="shared" si="20"/>
        <v>-5.5014069444097237E-2</v>
      </c>
      <c r="W75" s="5">
        <f t="shared" si="20"/>
        <v>-0.33456904541241889</v>
      </c>
      <c r="Y75" s="1">
        <f>SUM(E75:W75)-K75-O75</f>
        <v>-2.8978250959713669</v>
      </c>
      <c r="Z75" s="5">
        <f>Y75/Y34</f>
        <v>2.0396932160503964</v>
      </c>
      <c r="AC75" t="s">
        <v>1111</v>
      </c>
      <c r="AD75">
        <v>-0.12900950758688434</v>
      </c>
    </row>
    <row r="77" spans="1:30" x14ac:dyDescent="0.35">
      <c r="E77" s="5">
        <f t="shared" ref="E77:W77" si="21">AVERAGE(E67:E75)</f>
        <v>-0.23452631297226512</v>
      </c>
      <c r="F77" s="5">
        <f t="shared" si="21"/>
        <v>-1.154574364657361E-2</v>
      </c>
      <c r="G77" s="5">
        <f t="shared" si="21"/>
        <v>-0.11870603847997975</v>
      </c>
      <c r="H77" s="5">
        <f t="shared" si="21"/>
        <v>-0.10494117442045234</v>
      </c>
      <c r="I77" s="5">
        <f t="shared" si="21"/>
        <v>-9.329632229251536E-2</v>
      </c>
      <c r="J77" s="5">
        <f t="shared" si="21"/>
        <v>-0.64340000464552149</v>
      </c>
      <c r="K77" s="5">
        <f t="shared" si="21"/>
        <v>-0.26044120742965149</v>
      </c>
      <c r="L77" s="5">
        <f t="shared" si="21"/>
        <v>-2.7657245693447366E-2</v>
      </c>
      <c r="M77" s="5">
        <f t="shared" si="21"/>
        <v>-6.5216041957387061E-2</v>
      </c>
      <c r="N77" s="5">
        <f t="shared" si="21"/>
        <v>-0.16948624479166313</v>
      </c>
      <c r="O77" s="5">
        <f t="shared" si="21"/>
        <v>-0.17552394910620375</v>
      </c>
      <c r="P77" s="5">
        <f t="shared" si="21"/>
        <v>-0.20126387359936945</v>
      </c>
      <c r="Q77" s="5">
        <f t="shared" si="21"/>
        <v>-0.48212921868458558</v>
      </c>
      <c r="R77" s="5">
        <f t="shared" si="21"/>
        <v>-7.7968441814595668E-2</v>
      </c>
      <c r="S77" s="5">
        <f t="shared" si="21"/>
        <v>0.28999999999999998</v>
      </c>
      <c r="T77" s="5">
        <f t="shared" si="21"/>
        <v>-0.16999999999999998</v>
      </c>
      <c r="U77" s="5">
        <f t="shared" si="21"/>
        <v>-0.21146200885373917</v>
      </c>
      <c r="V77" s="5">
        <f t="shared" si="21"/>
        <v>-5.5014069444097244E-2</v>
      </c>
      <c r="W77" s="5">
        <f t="shared" si="21"/>
        <v>-0.33456904541241889</v>
      </c>
      <c r="Y77" s="5">
        <f>AVERAGE(Y67:Y75)</f>
        <v>-2.7111817867086114</v>
      </c>
      <c r="Z77" s="5">
        <f>Y78/Y62</f>
        <v>1.927576249216121</v>
      </c>
    </row>
    <row r="78" spans="1:30" x14ac:dyDescent="0.35">
      <c r="Y78" s="5">
        <f>SUM(E77:W77)-K77-O77</f>
        <v>-2.711181786708611</v>
      </c>
    </row>
    <row r="79" spans="1:30" x14ac:dyDescent="0.35">
      <c r="E79">
        <f>16/55*G79</f>
        <v>-0.42742949355873228</v>
      </c>
      <c r="F79" t="s">
        <v>608</v>
      </c>
      <c r="G79" s="5">
        <f>SUM(Y83:Y90,Y96)</f>
        <v>-1.4692888841081422</v>
      </c>
      <c r="H79" s="21">
        <f>G79/Y$100</f>
        <v>0.54193669023273672</v>
      </c>
      <c r="J79" t="s">
        <v>1098</v>
      </c>
      <c r="K79" s="5">
        <f>(Y85+Y87+Y89+Y96)/Y100</f>
        <v>0.15110001419833652</v>
      </c>
    </row>
    <row r="80" spans="1:30" x14ac:dyDescent="0.35">
      <c r="E80" s="5"/>
      <c r="F80" t="s">
        <v>609</v>
      </c>
      <c r="G80" s="5">
        <f>SUM(Y91:Y95,Y97:Y99)</f>
        <v>-1.241892902600469</v>
      </c>
      <c r="H80" s="21">
        <f>G80/Y$100</f>
        <v>0.45806330976726334</v>
      </c>
      <c r="J80" s="5"/>
      <c r="K80" s="5">
        <f>H79-K79</f>
        <v>0.3908366760344002</v>
      </c>
      <c r="L80" s="5"/>
      <c r="M80" s="5"/>
      <c r="N80" s="5"/>
      <c r="O80" s="5"/>
      <c r="P80" s="5"/>
      <c r="Q80" s="5"/>
    </row>
    <row r="82" spans="5:26" x14ac:dyDescent="0.35">
      <c r="F82" t="s">
        <v>766</v>
      </c>
      <c r="G82" t="s">
        <v>296</v>
      </c>
      <c r="H82" t="s">
        <v>766</v>
      </c>
      <c r="I82" t="s">
        <v>297</v>
      </c>
      <c r="J82" t="s">
        <v>766</v>
      </c>
      <c r="K82" t="s">
        <v>590</v>
      </c>
      <c r="L82" t="s">
        <v>766</v>
      </c>
      <c r="M82" t="s">
        <v>593</v>
      </c>
      <c r="N82" t="s">
        <v>766</v>
      </c>
      <c r="O82" t="s">
        <v>505</v>
      </c>
      <c r="P82" t="s">
        <v>766</v>
      </c>
      <c r="Q82" t="s">
        <v>708</v>
      </c>
      <c r="R82" t="s">
        <v>766</v>
      </c>
      <c r="S82" t="s">
        <v>685</v>
      </c>
      <c r="T82" t="s">
        <v>766</v>
      </c>
      <c r="U82" t="s">
        <v>996</v>
      </c>
      <c r="V82" t="s">
        <v>766</v>
      </c>
      <c r="W82" t="s">
        <v>707</v>
      </c>
      <c r="X82" t="s">
        <v>766</v>
      </c>
      <c r="Y82" t="s">
        <v>588</v>
      </c>
      <c r="Z82" s="39" t="s">
        <v>767</v>
      </c>
    </row>
    <row r="83" spans="5:26" x14ac:dyDescent="0.35">
      <c r="E83" t="s">
        <v>568</v>
      </c>
      <c r="F83" t="s">
        <v>766</v>
      </c>
      <c r="G83" s="5">
        <f>E67</f>
        <v>-0.20311688311688311</v>
      </c>
      <c r="H83" t="s">
        <v>766</v>
      </c>
      <c r="I83" s="5">
        <f>E68</f>
        <v>-0.19280078895463512</v>
      </c>
      <c r="J83" t="s">
        <v>766</v>
      </c>
      <c r="K83" s="5">
        <f>E69</f>
        <v>-0.12766450417052824</v>
      </c>
      <c r="L83" t="s">
        <v>766</v>
      </c>
      <c r="M83" s="5">
        <f>E70</f>
        <v>-0.13</v>
      </c>
      <c r="N83" t="s">
        <v>766</v>
      </c>
      <c r="O83" s="5">
        <f>E71</f>
        <v>-0.39056512065499333</v>
      </c>
      <c r="P83" t="s">
        <v>766</v>
      </c>
      <c r="Q83" s="5">
        <f>E72</f>
        <v>-0.75104629136055356</v>
      </c>
      <c r="R83" t="s">
        <v>766</v>
      </c>
      <c r="S83" s="5">
        <f>E74</f>
        <v>-9.9910235864893809E-2</v>
      </c>
      <c r="T83" t="s">
        <v>766</v>
      </c>
      <c r="U83" s="5">
        <f>E75</f>
        <v>-0.21873615242776043</v>
      </c>
      <c r="V83" t="s">
        <v>766</v>
      </c>
      <c r="W83" s="5">
        <f>E73</f>
        <v>3.1031597998614929E-3</v>
      </c>
      <c r="X83" t="s">
        <v>766</v>
      </c>
      <c r="Y83" s="5">
        <f>E77</f>
        <v>-0.23452631297226512</v>
      </c>
      <c r="Z83" s="39" t="s">
        <v>767</v>
      </c>
    </row>
    <row r="84" spans="5:26" x14ac:dyDescent="0.35">
      <c r="E84" t="s">
        <v>577</v>
      </c>
      <c r="F84" t="s">
        <v>766</v>
      </c>
      <c r="G84" s="5">
        <f>F67</f>
        <v>-1.038961038961039E-2</v>
      </c>
      <c r="H84" t="s">
        <v>766</v>
      </c>
      <c r="I84" s="5">
        <f>F68</f>
        <v>-1.6765285996055226E-2</v>
      </c>
      <c r="J84" t="s">
        <v>766</v>
      </c>
      <c r="K84" s="5">
        <f>F69</f>
        <v>-1.154574364657361E-2</v>
      </c>
      <c r="L84" t="s">
        <v>766</v>
      </c>
      <c r="M84" s="5">
        <f>F70</f>
        <v>-1.8499555354522749E-3</v>
      </c>
      <c r="N84" t="s">
        <v>766</v>
      </c>
      <c r="O84" s="5">
        <f>F71</f>
        <v>-7.2326874195369128E-3</v>
      </c>
      <c r="P84" t="s">
        <v>766</v>
      </c>
      <c r="Q84" s="5">
        <f>F72</f>
        <v>-1.154574364657361E-2</v>
      </c>
      <c r="R84" t="s">
        <v>766</v>
      </c>
      <c r="S84" s="5">
        <f>F74</f>
        <v>-1.154574364657361E-2</v>
      </c>
      <c r="T84" t="s">
        <v>766</v>
      </c>
      <c r="U84" s="5">
        <f>F75</f>
        <v>-2.1491178892213247E-2</v>
      </c>
      <c r="V84" t="s">
        <v>766</v>
      </c>
      <c r="W84" s="5">
        <f>F73</f>
        <v>-1.154574364657361E-2</v>
      </c>
      <c r="X84" t="s">
        <v>766</v>
      </c>
      <c r="Y84" s="5">
        <f>F77</f>
        <v>-1.154574364657361E-2</v>
      </c>
      <c r="Z84" s="39" t="s">
        <v>767</v>
      </c>
    </row>
    <row r="85" spans="5:26" x14ac:dyDescent="0.35">
      <c r="E85" t="s">
        <v>578</v>
      </c>
      <c r="F85" t="s">
        <v>766</v>
      </c>
      <c r="G85" s="5">
        <f>G67</f>
        <v>-0.12000000000000001</v>
      </c>
      <c r="H85" t="s">
        <v>766</v>
      </c>
      <c r="I85" s="5">
        <f>G68</f>
        <v>-0.11390532544378701</v>
      </c>
      <c r="J85" t="s">
        <v>766</v>
      </c>
      <c r="K85" s="5">
        <f>G69</f>
        <v>-0.11870603847997975</v>
      </c>
      <c r="L85" t="s">
        <v>766</v>
      </c>
      <c r="M85" s="5">
        <f>G70</f>
        <v>-1.5935043368639722E-2</v>
      </c>
      <c r="N85" t="s">
        <v>766</v>
      </c>
      <c r="O85" s="5">
        <f>G71</f>
        <v>-2.1698062258610738E-2</v>
      </c>
      <c r="P85" t="s">
        <v>766</v>
      </c>
      <c r="Q85" s="5">
        <f>G72</f>
        <v>-6.4040962606498386E-2</v>
      </c>
      <c r="R85" t="s">
        <v>766</v>
      </c>
      <c r="S85" s="5">
        <f>G74</f>
        <v>-0.11870603847997975</v>
      </c>
      <c r="T85" t="s">
        <v>766</v>
      </c>
      <c r="U85" s="5">
        <f>G75</f>
        <v>-6.0526781081621496E-2</v>
      </c>
      <c r="V85" t="s">
        <v>766</v>
      </c>
      <c r="W85" s="5">
        <f>G73</f>
        <v>-0.43483609460070094</v>
      </c>
      <c r="X85" t="s">
        <v>766</v>
      </c>
      <c r="Y85" s="5">
        <f>G77</f>
        <v>-0.11870603847997975</v>
      </c>
      <c r="Z85" s="39" t="s">
        <v>767</v>
      </c>
    </row>
    <row r="86" spans="5:26" x14ac:dyDescent="0.35">
      <c r="E86" t="s">
        <v>579</v>
      </c>
      <c r="F86" t="s">
        <v>766</v>
      </c>
      <c r="G86" s="5">
        <f>H67</f>
        <v>-0.24259740259740259</v>
      </c>
      <c r="H86" t="s">
        <v>766</v>
      </c>
      <c r="I86" s="5">
        <f>H68</f>
        <v>-0.23027613412228801</v>
      </c>
      <c r="J86" t="s">
        <v>766</v>
      </c>
      <c r="K86" s="5">
        <f>H69</f>
        <v>-0.10494117442045232</v>
      </c>
      <c r="L86" t="s">
        <v>766</v>
      </c>
      <c r="M86" s="5">
        <f>H70</f>
        <v>-3.2215001095908004E-2</v>
      </c>
      <c r="N86" t="s">
        <v>766</v>
      </c>
      <c r="O86" s="5">
        <f>H71</f>
        <v>-7.2326874195369128E-3</v>
      </c>
      <c r="P86" t="s">
        <v>766</v>
      </c>
      <c r="Q86" s="5">
        <f>H72</f>
        <v>-0.10494117442045232</v>
      </c>
      <c r="R86" t="s">
        <v>766</v>
      </c>
      <c r="S86" s="5">
        <f>H74</f>
        <v>-0.10494117442045232</v>
      </c>
      <c r="T86" t="s">
        <v>766</v>
      </c>
      <c r="U86" s="5">
        <f>H75</f>
        <v>-1.2384646867126188E-2</v>
      </c>
      <c r="V86" t="s">
        <v>766</v>
      </c>
      <c r="W86" s="5">
        <f>H73</f>
        <v>-0.10494117442045232</v>
      </c>
      <c r="X86" t="s">
        <v>766</v>
      </c>
      <c r="Y86" s="5">
        <f>H77</f>
        <v>-0.10494117442045234</v>
      </c>
      <c r="Z86" s="39" t="s">
        <v>767</v>
      </c>
    </row>
    <row r="87" spans="5:26" x14ac:dyDescent="0.35">
      <c r="E87" t="s">
        <v>689</v>
      </c>
      <c r="F87" t="s">
        <v>766</v>
      </c>
      <c r="G87" s="5">
        <f>I67</f>
        <v>-9.3296322292515374E-2</v>
      </c>
      <c r="H87" t="s">
        <v>766</v>
      </c>
      <c r="I87" s="5">
        <f>I68</f>
        <v>-9.3296322292515374E-2</v>
      </c>
      <c r="J87" t="s">
        <v>766</v>
      </c>
      <c r="K87" s="5">
        <f>I69</f>
        <v>-9.3296322292515374E-2</v>
      </c>
      <c r="L87" t="s">
        <v>766</v>
      </c>
      <c r="M87" s="5">
        <f>I70</f>
        <v>-9.3296322292515374E-2</v>
      </c>
      <c r="N87" t="s">
        <v>766</v>
      </c>
      <c r="O87" s="5">
        <f>I71</f>
        <v>-0.16635181064934901</v>
      </c>
      <c r="P87" t="s">
        <v>766</v>
      </c>
      <c r="Q87" s="5">
        <f>I72</f>
        <v>-0.14424710367738292</v>
      </c>
      <c r="R87" t="s">
        <v>766</v>
      </c>
      <c r="S87" s="5">
        <f>I74</f>
        <v>3.6526303142510694E-2</v>
      </c>
      <c r="T87" t="s">
        <v>766</v>
      </c>
      <c r="U87" s="5">
        <f>I75</f>
        <v>-9.9112677985840267E-2</v>
      </c>
      <c r="V87" t="s">
        <v>766</v>
      </c>
      <c r="W87" s="5">
        <f>I73</f>
        <v>-9.3296322292515374E-2</v>
      </c>
      <c r="X87" t="s">
        <v>766</v>
      </c>
      <c r="Y87" s="5">
        <f>I77</f>
        <v>-9.329632229251536E-2</v>
      </c>
      <c r="Z87" s="39" t="s">
        <v>767</v>
      </c>
    </row>
    <row r="88" spans="5:26" x14ac:dyDescent="0.35">
      <c r="E88" t="s">
        <v>860</v>
      </c>
      <c r="F88" t="s">
        <v>766</v>
      </c>
      <c r="G88" s="5">
        <f>J67</f>
        <v>-0.64340000464552161</v>
      </c>
      <c r="H88" t="s">
        <v>766</v>
      </c>
      <c r="I88" s="5">
        <f>J68</f>
        <v>-0.64340000464552161</v>
      </c>
      <c r="J88" t="s">
        <v>766</v>
      </c>
      <c r="K88" s="5">
        <f>J69</f>
        <v>-0.64340000464552161</v>
      </c>
      <c r="L88" t="s">
        <v>766</v>
      </c>
      <c r="M88" s="5">
        <f>J70</f>
        <v>-0.64340000464552161</v>
      </c>
      <c r="N88" t="s">
        <v>766</v>
      </c>
      <c r="O88" s="5">
        <f>J71</f>
        <v>-0.64340000464552161</v>
      </c>
      <c r="P88" t="s">
        <v>766</v>
      </c>
      <c r="Q88" s="5">
        <f>J72</f>
        <v>-0.64340000464552161</v>
      </c>
      <c r="R88" t="s">
        <v>766</v>
      </c>
      <c r="S88" s="5">
        <f>J74</f>
        <v>-0.29507498265579146</v>
      </c>
      <c r="T88" t="s">
        <v>766</v>
      </c>
      <c r="U88" s="5">
        <f>J75</f>
        <v>-0.99172502663525175</v>
      </c>
      <c r="V88" t="s">
        <v>766</v>
      </c>
      <c r="W88" s="5">
        <f>J73</f>
        <v>-0.64340000464552161</v>
      </c>
      <c r="X88" t="s">
        <v>766</v>
      </c>
      <c r="Y88" s="5">
        <f>J77</f>
        <v>-0.64340000464552149</v>
      </c>
      <c r="Z88" s="39" t="s">
        <v>767</v>
      </c>
    </row>
    <row r="89" spans="5:26" x14ac:dyDescent="0.35">
      <c r="E89" t="s">
        <v>580</v>
      </c>
      <c r="F89" t="s">
        <v>766</v>
      </c>
      <c r="G89" s="5">
        <f>L67</f>
        <v>-4.6753246753246753E-3</v>
      </c>
      <c r="H89" t="s">
        <v>766</v>
      </c>
      <c r="I89" s="5">
        <f>L68</f>
        <v>-5.4240631163708095E-3</v>
      </c>
      <c r="J89" t="s">
        <v>766</v>
      </c>
      <c r="K89" s="5">
        <f>L69</f>
        <v>-8.3642261353104722E-2</v>
      </c>
      <c r="L89" t="s">
        <v>766</v>
      </c>
      <c r="M89" s="5">
        <f>L70</f>
        <v>-3.7158330000053141E-2</v>
      </c>
      <c r="N89" t="s">
        <v>766</v>
      </c>
      <c r="O89" s="5">
        <f>L71</f>
        <v>-3.1605039275255806E-2</v>
      </c>
      <c r="P89" t="s">
        <v>766</v>
      </c>
      <c r="Q89" s="5">
        <f>L72</f>
        <v>-4.1976453999717458E-2</v>
      </c>
      <c r="R89" t="s">
        <v>766</v>
      </c>
      <c r="S89" s="5">
        <f>L74</f>
        <v>-3.6805604054287625E-5</v>
      </c>
      <c r="T89" t="s">
        <v>766</v>
      </c>
      <c r="U89" s="5">
        <f>L75</f>
        <v>-1.6739687523698039E-2</v>
      </c>
      <c r="V89" t="s">
        <v>766</v>
      </c>
      <c r="W89" s="5">
        <f>L73</f>
        <v>-2.7657245693447366E-2</v>
      </c>
      <c r="X89" t="s">
        <v>766</v>
      </c>
      <c r="Y89" s="5">
        <f>L77</f>
        <v>-2.7657245693447366E-2</v>
      </c>
      <c r="Z89" s="39" t="s">
        <v>767</v>
      </c>
    </row>
    <row r="90" spans="5:26" x14ac:dyDescent="0.35">
      <c r="E90" t="s">
        <v>581</v>
      </c>
      <c r="F90" t="s">
        <v>766</v>
      </c>
      <c r="G90" s="5">
        <f>M67</f>
        <v>-7.2727272727272724E-2</v>
      </c>
      <c r="H90" t="s">
        <v>766</v>
      </c>
      <c r="I90" s="5">
        <f>M68</f>
        <v>-6.9033530571992116E-2</v>
      </c>
      <c r="J90" t="s">
        <v>766</v>
      </c>
      <c r="K90" s="5">
        <f>M69</f>
        <v>-8.6283595922150139E-2</v>
      </c>
      <c r="L90" t="s">
        <v>766</v>
      </c>
      <c r="M90" s="5">
        <f>M70</f>
        <v>-9.0394708416576139E-2</v>
      </c>
      <c r="N90" t="s">
        <v>766</v>
      </c>
      <c r="O90" s="5">
        <f>M71</f>
        <v>-7.6885272017797879E-2</v>
      </c>
      <c r="P90" t="s">
        <v>766</v>
      </c>
      <c r="Q90" s="5">
        <f>M72</f>
        <v>-0.10211571186489958</v>
      </c>
      <c r="R90" t="s">
        <v>766</v>
      </c>
      <c r="S90" s="5">
        <f>M74</f>
        <v>-8.9536635434868153E-5</v>
      </c>
      <c r="T90" t="s">
        <v>766</v>
      </c>
      <c r="U90" s="5">
        <f>M75</f>
        <v>-6.5216041957387061E-2</v>
      </c>
      <c r="V90" t="s">
        <v>766</v>
      </c>
      <c r="W90" s="5">
        <f>M73</f>
        <v>-2.419870750297299E-2</v>
      </c>
      <c r="X90" t="s">
        <v>766</v>
      </c>
      <c r="Y90" s="5">
        <f>M77</f>
        <v>-6.5216041957387061E-2</v>
      </c>
      <c r="Z90" s="39" t="s">
        <v>767</v>
      </c>
    </row>
    <row r="91" spans="5:26" x14ac:dyDescent="0.35">
      <c r="E91" t="s">
        <v>582</v>
      </c>
      <c r="F91" t="s">
        <v>766</v>
      </c>
      <c r="G91" s="5">
        <f>N67</f>
        <v>-0.16415584415584417</v>
      </c>
      <c r="H91" t="s">
        <v>766</v>
      </c>
      <c r="I91" s="5">
        <f>N68</f>
        <v>-0.15581854043392507</v>
      </c>
      <c r="J91" t="s">
        <v>766</v>
      </c>
      <c r="K91" s="5">
        <f>N69</f>
        <v>-0.1655236329935125</v>
      </c>
      <c r="L91" t="s">
        <v>766</v>
      </c>
      <c r="M91" s="5">
        <f>N70</f>
        <v>-0.19244696158337074</v>
      </c>
      <c r="N91" t="s">
        <v>766</v>
      </c>
      <c r="O91" s="5">
        <f>N71</f>
        <v>-0.1694862447916631</v>
      </c>
      <c r="P91" t="s">
        <v>766</v>
      </c>
      <c r="Q91" s="5">
        <f>N72</f>
        <v>-0.1694862447916631</v>
      </c>
      <c r="R91" t="s">
        <v>766</v>
      </c>
      <c r="S91" s="5">
        <f>N74</f>
        <v>-0.1694862447916631</v>
      </c>
      <c r="T91" t="s">
        <v>766</v>
      </c>
      <c r="U91" s="5">
        <f>N75</f>
        <v>-0.1694862447916631</v>
      </c>
      <c r="V91" t="s">
        <v>766</v>
      </c>
      <c r="W91" s="5">
        <f>N73</f>
        <v>-0.1694862447916631</v>
      </c>
      <c r="X91" t="s">
        <v>766</v>
      </c>
      <c r="Y91" s="5">
        <f>N77</f>
        <v>-0.16948624479166313</v>
      </c>
      <c r="Z91" s="39" t="s">
        <v>767</v>
      </c>
    </row>
    <row r="92" spans="5:26" x14ac:dyDescent="0.35">
      <c r="E92" t="s">
        <v>586</v>
      </c>
      <c r="F92" t="s">
        <v>766</v>
      </c>
      <c r="G92" s="5">
        <f>P67</f>
        <v>-0.21038961038961038</v>
      </c>
      <c r="H92" t="s">
        <v>766</v>
      </c>
      <c r="I92" s="5">
        <f>P68</f>
        <v>-0.19970414201183434</v>
      </c>
      <c r="J92" t="s">
        <v>766</v>
      </c>
      <c r="K92" s="5">
        <f>P69</f>
        <v>-0.19369786839666356</v>
      </c>
      <c r="L92" t="s">
        <v>766</v>
      </c>
      <c r="M92" s="5">
        <f>P70</f>
        <v>-0.20126387359936945</v>
      </c>
      <c r="N92" t="s">
        <v>766</v>
      </c>
      <c r="O92" s="5">
        <f>P71</f>
        <v>-0.20126387359936945</v>
      </c>
      <c r="P92" t="s">
        <v>766</v>
      </c>
      <c r="Q92" s="5">
        <f>P72</f>
        <v>-0.20126387359936945</v>
      </c>
      <c r="R92" t="s">
        <v>766</v>
      </c>
      <c r="S92" s="5">
        <f>P74</f>
        <v>-0.20126387359936945</v>
      </c>
      <c r="T92" t="s">
        <v>766</v>
      </c>
      <c r="U92" s="5">
        <f>P75</f>
        <v>-0.20126387359936945</v>
      </c>
      <c r="V92" t="s">
        <v>766</v>
      </c>
      <c r="W92" s="5">
        <f>P73</f>
        <v>-0.20126387359936945</v>
      </c>
      <c r="X92" t="s">
        <v>766</v>
      </c>
      <c r="Y92" s="5">
        <f>P77</f>
        <v>-0.20126387359936945</v>
      </c>
      <c r="Z92" s="39" t="s">
        <v>767</v>
      </c>
    </row>
    <row r="93" spans="5:26" x14ac:dyDescent="0.35">
      <c r="E93" t="s">
        <v>571</v>
      </c>
      <c r="F93" t="s">
        <v>766</v>
      </c>
      <c r="G93" s="5">
        <f>Q67</f>
        <v>-0.25558441558441558</v>
      </c>
      <c r="H93" t="s">
        <v>766</v>
      </c>
      <c r="I93" s="5">
        <f>Q68</f>
        <v>-0.40433925049309666</v>
      </c>
      <c r="J93" t="s">
        <v>766</v>
      </c>
      <c r="K93" s="5">
        <f>Q69</f>
        <v>-0.77479147358665423</v>
      </c>
      <c r="L93" t="s">
        <v>766</v>
      </c>
      <c r="M93" s="5">
        <f>Q70</f>
        <v>-0.1</v>
      </c>
      <c r="N93" t="s">
        <v>766</v>
      </c>
      <c r="O93" s="5">
        <f>Q71</f>
        <v>-1.4465374839073826E-2</v>
      </c>
      <c r="P93" t="s">
        <v>766</v>
      </c>
      <c r="Q93" s="5">
        <f>Q72</f>
        <v>-0.8965734764909481</v>
      </c>
      <c r="R93" t="s">
        <v>766</v>
      </c>
      <c r="S93" s="5">
        <f>Q74</f>
        <v>-0.19734476195581732</v>
      </c>
      <c r="T93" t="s">
        <v>766</v>
      </c>
      <c r="U93" s="5">
        <f>Q75</f>
        <v>-0.48212921868458558</v>
      </c>
      <c r="V93" t="s">
        <v>766</v>
      </c>
      <c r="W93" s="5">
        <f>Q73</f>
        <v>-1.213934996526679</v>
      </c>
      <c r="X93" t="s">
        <v>766</v>
      </c>
      <c r="Y93" s="5">
        <f>Q77</f>
        <v>-0.48212921868458558</v>
      </c>
      <c r="Z93" s="39" t="s">
        <v>767</v>
      </c>
    </row>
    <row r="94" spans="5:26" x14ac:dyDescent="0.35">
      <c r="E94" t="s">
        <v>584</v>
      </c>
      <c r="F94" t="s">
        <v>766</v>
      </c>
      <c r="G94" s="5">
        <f>R67</f>
        <v>-0.08</v>
      </c>
      <c r="H94" t="s">
        <v>766</v>
      </c>
      <c r="I94" s="5">
        <f>R68</f>
        <v>-7.5936883629191335E-2</v>
      </c>
      <c r="J94" t="s">
        <v>766</v>
      </c>
      <c r="K94" s="5">
        <f>R69</f>
        <v>-7.7968441814595668E-2</v>
      </c>
      <c r="L94" t="s">
        <v>766</v>
      </c>
      <c r="M94" s="5">
        <f>R70</f>
        <v>-7.7968441814595668E-2</v>
      </c>
      <c r="N94" t="s">
        <v>766</v>
      </c>
      <c r="O94" s="5">
        <f>R71</f>
        <v>-7.7968441814595668E-2</v>
      </c>
      <c r="P94" t="s">
        <v>766</v>
      </c>
      <c r="Q94" s="5">
        <f>R72</f>
        <v>-7.7968441814595668E-2</v>
      </c>
      <c r="R94" t="s">
        <v>766</v>
      </c>
      <c r="S94" s="5">
        <f>R74</f>
        <v>-7.7968441814595668E-2</v>
      </c>
      <c r="T94" t="s">
        <v>766</v>
      </c>
      <c r="U94" s="5">
        <f>R75</f>
        <v>-7.7968441814595668E-2</v>
      </c>
      <c r="V94" t="s">
        <v>766</v>
      </c>
      <c r="W94" s="5">
        <f>R73</f>
        <v>-7.7968441814595668E-2</v>
      </c>
      <c r="X94" t="s">
        <v>766</v>
      </c>
      <c r="Y94" s="5">
        <f>R77</f>
        <v>-7.7968441814595668E-2</v>
      </c>
      <c r="Z94" s="39" t="s">
        <v>767</v>
      </c>
    </row>
    <row r="95" spans="5:26" x14ac:dyDescent="0.35">
      <c r="E95" t="s">
        <v>572</v>
      </c>
      <c r="F95" t="s">
        <v>766</v>
      </c>
      <c r="G95" s="5">
        <f>S67</f>
        <v>0.28999999999999998</v>
      </c>
      <c r="H95" t="s">
        <v>766</v>
      </c>
      <c r="I95" s="5">
        <f>S68</f>
        <v>0.28999999999999998</v>
      </c>
      <c r="J95" t="s">
        <v>766</v>
      </c>
      <c r="K95" s="5">
        <f>S69</f>
        <v>0.28999999999999998</v>
      </c>
      <c r="L95" t="s">
        <v>766</v>
      </c>
      <c r="M95" s="5">
        <f>S70</f>
        <v>0.28999999999999998</v>
      </c>
      <c r="N95" t="s">
        <v>766</v>
      </c>
      <c r="O95" s="5">
        <f>S71</f>
        <v>0.28999999999999998</v>
      </c>
      <c r="P95" t="s">
        <v>766</v>
      </c>
      <c r="Q95" s="5">
        <f>S72</f>
        <v>0.28999999999999998</v>
      </c>
      <c r="R95" t="s">
        <v>766</v>
      </c>
      <c r="S95" s="5">
        <f>S74</f>
        <v>0.28999999999999998</v>
      </c>
      <c r="T95" t="s">
        <v>766</v>
      </c>
      <c r="U95" s="5">
        <f>S75</f>
        <v>0.28999999999999998</v>
      </c>
      <c r="V95" t="s">
        <v>766</v>
      </c>
      <c r="W95" s="5">
        <f>S73</f>
        <v>0.28999999999999998</v>
      </c>
      <c r="X95" t="s">
        <v>766</v>
      </c>
      <c r="Y95" s="5">
        <f>S77</f>
        <v>0.28999999999999998</v>
      </c>
      <c r="Z95" s="39" t="s">
        <v>767</v>
      </c>
    </row>
    <row r="96" spans="5:26" x14ac:dyDescent="0.35">
      <c r="E96" t="s">
        <v>573</v>
      </c>
      <c r="F96" t="s">
        <v>766</v>
      </c>
      <c r="G96" s="5">
        <f>T67</f>
        <v>-0.17</v>
      </c>
      <c r="H96" t="s">
        <v>766</v>
      </c>
      <c r="I96" s="5">
        <f>T68</f>
        <v>-0.17</v>
      </c>
      <c r="J96" t="s">
        <v>766</v>
      </c>
      <c r="K96" s="5">
        <f>T69</f>
        <v>-0.17</v>
      </c>
      <c r="L96" t="s">
        <v>766</v>
      </c>
      <c r="M96" s="5">
        <f>T70</f>
        <v>-0.17</v>
      </c>
      <c r="N96" t="s">
        <v>766</v>
      </c>
      <c r="O96" s="5">
        <f>T71</f>
        <v>-0.17</v>
      </c>
      <c r="P96" t="s">
        <v>766</v>
      </c>
      <c r="Q96" s="5">
        <f>T72</f>
        <v>-0.17</v>
      </c>
      <c r="R96" t="s">
        <v>766</v>
      </c>
      <c r="S96" s="5">
        <f>T74</f>
        <v>-0.17</v>
      </c>
      <c r="T96" t="s">
        <v>766</v>
      </c>
      <c r="U96" s="5">
        <f>T75</f>
        <v>-0.17</v>
      </c>
      <c r="V96" t="s">
        <v>766</v>
      </c>
      <c r="W96" s="5">
        <f>T73</f>
        <v>-0.17</v>
      </c>
      <c r="X96" t="s">
        <v>766</v>
      </c>
      <c r="Y96" s="5">
        <f>T77</f>
        <v>-0.16999999999999998</v>
      </c>
      <c r="Z96" s="39" t="s">
        <v>767</v>
      </c>
    </row>
    <row r="97" spans="5:26" x14ac:dyDescent="0.35">
      <c r="E97" t="s">
        <v>574</v>
      </c>
      <c r="F97" t="s">
        <v>766</v>
      </c>
      <c r="G97" s="5">
        <f>U67</f>
        <v>-1.4025974025974025E-2</v>
      </c>
      <c r="H97" t="s">
        <v>766</v>
      </c>
      <c r="I97" s="5">
        <f>U68</f>
        <v>-1.4792899408284025E-2</v>
      </c>
      <c r="J97" t="s">
        <v>766</v>
      </c>
      <c r="K97" s="5">
        <f>U69</f>
        <v>-1.2326227988878589E-2</v>
      </c>
      <c r="L97" t="s">
        <v>766</v>
      </c>
      <c r="M97" s="5">
        <f>U70</f>
        <v>-1.02</v>
      </c>
      <c r="N97" t="s">
        <v>766</v>
      </c>
      <c r="O97" s="5">
        <f>U71</f>
        <v>-0.2114620088537392</v>
      </c>
      <c r="P97" t="s">
        <v>766</v>
      </c>
      <c r="Q97" s="5">
        <f>U72</f>
        <v>-0.2114620088537392</v>
      </c>
      <c r="R97" t="s">
        <v>766</v>
      </c>
      <c r="S97" s="5">
        <f>U74</f>
        <v>-0.2114620088537392</v>
      </c>
      <c r="T97" t="s">
        <v>766</v>
      </c>
      <c r="U97" s="5">
        <f>U75</f>
        <v>-0.2114620088537392</v>
      </c>
      <c r="V97" t="s">
        <v>766</v>
      </c>
      <c r="W97" s="5">
        <f>U73</f>
        <v>3.8350571544404615E-3</v>
      </c>
      <c r="X97" t="s">
        <v>766</v>
      </c>
      <c r="Y97" s="5">
        <f>U77</f>
        <v>-0.21146200885373917</v>
      </c>
      <c r="Z97" s="39" t="s">
        <v>767</v>
      </c>
    </row>
    <row r="98" spans="5:26" x14ac:dyDescent="0.35">
      <c r="E98" t="s">
        <v>585</v>
      </c>
      <c r="F98" t="s">
        <v>766</v>
      </c>
      <c r="G98" s="5">
        <f>V67</f>
        <v>-2.2337662337662337E-2</v>
      </c>
      <c r="H98" t="s">
        <v>766</v>
      </c>
      <c r="I98" s="5">
        <f>V68</f>
        <v>-2.1203155818540431E-2</v>
      </c>
      <c r="J98" t="s">
        <v>766</v>
      </c>
      <c r="K98" s="5">
        <f>V69</f>
        <v>-0.12150139017608896</v>
      </c>
      <c r="L98" t="s">
        <v>766</v>
      </c>
      <c r="M98" s="5">
        <f>V70</f>
        <v>-5.5014069444097237E-2</v>
      </c>
      <c r="N98" t="s">
        <v>766</v>
      </c>
      <c r="O98" s="5">
        <f>V71</f>
        <v>-5.5014069444097237E-2</v>
      </c>
      <c r="P98" t="s">
        <v>766</v>
      </c>
      <c r="Q98" s="5">
        <f>V72</f>
        <v>-5.5014069444097237E-2</v>
      </c>
      <c r="R98" t="s">
        <v>766</v>
      </c>
      <c r="S98" s="5">
        <f>V74</f>
        <v>-5.5014069444097237E-2</v>
      </c>
      <c r="T98" t="s">
        <v>766</v>
      </c>
      <c r="U98" s="5">
        <f>V75</f>
        <v>-5.5014069444097237E-2</v>
      </c>
      <c r="V98" t="s">
        <v>766</v>
      </c>
      <c r="W98" s="5">
        <f>V73</f>
        <v>-5.5014069444097237E-2</v>
      </c>
      <c r="X98" t="s">
        <v>766</v>
      </c>
      <c r="Y98" s="5">
        <f>V77</f>
        <v>-5.5014069444097244E-2</v>
      </c>
      <c r="Z98" s="39" t="s">
        <v>767</v>
      </c>
    </row>
    <row r="99" spans="5:26" x14ac:dyDescent="0.35">
      <c r="E99" t="s">
        <v>587</v>
      </c>
      <c r="F99" t="s">
        <v>766</v>
      </c>
      <c r="G99" s="5">
        <f>W67</f>
        <v>-0.33456904541241889</v>
      </c>
      <c r="H99" t="s">
        <v>766</v>
      </c>
      <c r="I99" s="5">
        <f>W68</f>
        <v>-0.33456904541241889</v>
      </c>
      <c r="J99" t="s">
        <v>766</v>
      </c>
      <c r="K99" s="5">
        <f>W69</f>
        <v>-0.33456904541241889</v>
      </c>
      <c r="L99" t="s">
        <v>766</v>
      </c>
      <c r="M99" s="5">
        <f>W70</f>
        <v>-0.33456904541241889</v>
      </c>
      <c r="N99" t="s">
        <v>766</v>
      </c>
      <c r="O99" s="5">
        <f>W71</f>
        <v>-0.33456904541241889</v>
      </c>
      <c r="P99" t="s">
        <v>766</v>
      </c>
      <c r="Q99" s="5">
        <f>W72</f>
        <v>-0.33456904541241889</v>
      </c>
      <c r="R99" t="s">
        <v>766</v>
      </c>
      <c r="S99" s="5">
        <f>W74</f>
        <v>-0.33456904541241889</v>
      </c>
      <c r="T99" t="s">
        <v>766</v>
      </c>
      <c r="U99" s="5">
        <f>W75</f>
        <v>-0.33456904541241889</v>
      </c>
      <c r="V99" t="s">
        <v>766</v>
      </c>
      <c r="W99" s="5">
        <f>W73</f>
        <v>-0.33456904541241889</v>
      </c>
      <c r="X99" t="s">
        <v>766</v>
      </c>
      <c r="Y99" s="5">
        <f>W77</f>
        <v>-0.33456904541241889</v>
      </c>
      <c r="Z99" s="39" t="s">
        <v>767</v>
      </c>
    </row>
    <row r="100" spans="5:26" x14ac:dyDescent="0.35">
      <c r="E100" t="s">
        <v>21</v>
      </c>
      <c r="F100" t="s">
        <v>766</v>
      </c>
      <c r="G100" s="5">
        <f>Y67</f>
        <v>-2.3512653723504555</v>
      </c>
      <c r="H100" t="s">
        <v>766</v>
      </c>
      <c r="I100" s="5">
        <f>Y68</f>
        <v>-2.4512653723504561</v>
      </c>
      <c r="J100" t="s">
        <v>766</v>
      </c>
      <c r="K100" s="5">
        <f>Y69</f>
        <v>-2.8298577252996386</v>
      </c>
      <c r="L100" t="s">
        <v>766</v>
      </c>
      <c r="M100" s="5">
        <f>Y70</f>
        <v>-2.9055117572085187</v>
      </c>
      <c r="N100" t="s">
        <v>766</v>
      </c>
      <c r="O100" s="5">
        <f>Y71</f>
        <v>-2.2891997430955597</v>
      </c>
      <c r="P100" t="s">
        <v>766</v>
      </c>
      <c r="Q100" s="5">
        <f>Y72</f>
        <v>-3.6896506066284305</v>
      </c>
      <c r="R100" t="s">
        <v>766</v>
      </c>
      <c r="S100" s="5">
        <f>Y74</f>
        <v>-1.7208866600363699</v>
      </c>
      <c r="T100" t="s">
        <v>766</v>
      </c>
      <c r="U100" s="5">
        <f>Y75</f>
        <v>-2.8978250959713669</v>
      </c>
      <c r="V100" t="s">
        <v>766</v>
      </c>
      <c r="W100" s="5">
        <f>Y73</f>
        <v>-3.2651737474367062</v>
      </c>
      <c r="X100" t="s">
        <v>766</v>
      </c>
      <c r="Y100" s="5">
        <f>Y78</f>
        <v>-2.711181786708611</v>
      </c>
      <c r="Z100" s="39" t="s">
        <v>767</v>
      </c>
    </row>
    <row r="101" spans="5:26" x14ac:dyDescent="0.35">
      <c r="E101" t="s">
        <v>592</v>
      </c>
      <c r="F101" t="s">
        <v>766</v>
      </c>
      <c r="G101" s="5">
        <f>C10</f>
        <v>-1.4</v>
      </c>
      <c r="H101" t="s">
        <v>766</v>
      </c>
      <c r="I101" s="5">
        <f>C11</f>
        <v>-1.5</v>
      </c>
      <c r="J101" t="s">
        <v>766</v>
      </c>
      <c r="K101" s="5">
        <f>C12</f>
        <v>-1.9</v>
      </c>
      <c r="L101" t="s">
        <v>766</v>
      </c>
      <c r="M101" s="5">
        <f>C17</f>
        <v>-1.5</v>
      </c>
      <c r="N101" t="s">
        <v>766</v>
      </c>
      <c r="O101" s="5">
        <f>C27</f>
        <v>-0.5</v>
      </c>
      <c r="P101" t="s">
        <v>766</v>
      </c>
      <c r="Q101" s="5">
        <f>C36</f>
        <v>-2</v>
      </c>
      <c r="R101" t="s">
        <v>766</v>
      </c>
      <c r="S101" s="5">
        <f>$C$1/$D$31*C31</f>
        <v>-0.55497395303356922</v>
      </c>
      <c r="T101" t="s">
        <v>766</v>
      </c>
      <c r="U101" s="5">
        <f>$C$1/$D$34*C34</f>
        <v>-1.4207161514135114</v>
      </c>
      <c r="V101" t="s">
        <v>766</v>
      </c>
      <c r="W101" s="5">
        <f>Y37</f>
        <v>-1.6660315816760514</v>
      </c>
      <c r="X101" t="s">
        <v>766</v>
      </c>
      <c r="Y101" s="5">
        <f>AVERAGE(G101:M101)</f>
        <v>-1.575</v>
      </c>
      <c r="Z101" s="39" t="s">
        <v>767</v>
      </c>
    </row>
    <row r="102" spans="5:26" x14ac:dyDescent="0.35">
      <c r="E102" t="s">
        <v>591</v>
      </c>
      <c r="F102" t="s">
        <v>766</v>
      </c>
      <c r="G102" s="5">
        <f>Z67</f>
        <v>1.6794752659646108</v>
      </c>
      <c r="H102" t="s">
        <v>766</v>
      </c>
      <c r="I102" s="5">
        <f>Z68</f>
        <v>1.6341769149003036</v>
      </c>
      <c r="J102" t="s">
        <v>766</v>
      </c>
      <c r="K102" s="5">
        <f>Z69</f>
        <v>1.4893988027892839</v>
      </c>
      <c r="L102" t="s">
        <v>766</v>
      </c>
      <c r="M102" s="5">
        <f>Z70</f>
        <v>1.9370078381390126</v>
      </c>
      <c r="N102" t="s">
        <v>766</v>
      </c>
      <c r="O102" s="5">
        <f>Z71</f>
        <v>3.1970453563052614</v>
      </c>
      <c r="P102" t="s">
        <v>766</v>
      </c>
      <c r="Q102" s="5">
        <f>Z72</f>
        <v>1.8448253033142155</v>
      </c>
      <c r="R102" t="s">
        <v>766</v>
      </c>
      <c r="S102" s="5">
        <f>Z74</f>
        <v>3.0955095055968793</v>
      </c>
      <c r="T102" t="s">
        <v>766</v>
      </c>
      <c r="U102" s="5">
        <f>Z75</f>
        <v>2.0396932160503964</v>
      </c>
      <c r="V102" t="s">
        <v>766</v>
      </c>
      <c r="W102" s="5">
        <f>Z73</f>
        <v>1.9598510516540719</v>
      </c>
      <c r="X102" t="s">
        <v>766</v>
      </c>
      <c r="Y102" s="5">
        <f>Y100/Y101</f>
        <v>1.7213852614022926</v>
      </c>
      <c r="Z102" s="39" t="s">
        <v>767</v>
      </c>
    </row>
  </sheetData>
  <hyperlinks>
    <hyperlink ref="Z82" r:id="rId1" xr:uid="{BE32D141-1441-40AC-B40F-021EEFE7D1C5}"/>
    <hyperlink ref="Z83:Z102" r:id="rId2" display="\\" xr:uid="{E93E93B3-72BB-49BB-8B07-506C7B1D2FFC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07AF1-BDEF-412E-8FD4-D2C41EFF545C}">
  <dimension ref="A1:XFD1048555"/>
  <sheetViews>
    <sheetView topLeftCell="I1" zoomScaleNormal="100" workbookViewId="0">
      <selection activeCell="Q2" sqref="Q2"/>
    </sheetView>
  </sheetViews>
  <sheetFormatPr defaultRowHeight="14.5" x14ac:dyDescent="0.35"/>
  <cols>
    <col min="3" max="3" width="11" bestFit="1" customWidth="1"/>
    <col min="4" max="4" width="9.54296875" bestFit="1" customWidth="1"/>
    <col min="5" max="5" width="12" bestFit="1" customWidth="1"/>
    <col min="7" max="8" width="23.453125" customWidth="1"/>
    <col min="9" max="9" width="9.81640625" bestFit="1" customWidth="1"/>
    <col min="10" max="10" width="14.81640625" customWidth="1"/>
    <col min="11" max="11" width="9.54296875" customWidth="1"/>
    <col min="17" max="17" width="10.1796875" bestFit="1" customWidth="1"/>
    <col min="18" max="18" width="11.54296875" bestFit="1" customWidth="1"/>
    <col min="19" max="19" width="12.54296875" bestFit="1" customWidth="1"/>
    <col min="20" max="20" width="13.1796875" customWidth="1"/>
    <col min="21" max="25" width="13.453125" bestFit="1" customWidth="1"/>
    <col min="26" max="26" width="12.54296875" bestFit="1" customWidth="1"/>
    <col min="27" max="27" width="12.1796875" bestFit="1" customWidth="1"/>
    <col min="74" max="74" width="15.1796875" customWidth="1"/>
    <col min="75" max="75" width="11.1796875" bestFit="1" customWidth="1"/>
    <col min="76" max="80" width="9.453125" bestFit="1" customWidth="1"/>
    <col min="81" max="81" width="10" customWidth="1"/>
    <col min="82" max="82" width="13" customWidth="1"/>
    <col min="83" max="87" width="9.453125" bestFit="1" customWidth="1"/>
    <col min="89" max="89" width="9" bestFit="1" customWidth="1"/>
    <col min="90" max="90" width="12.1796875" bestFit="1" customWidth="1"/>
    <col min="91" max="95" width="9.453125" bestFit="1" customWidth="1"/>
    <col min="118" max="118" width="12" bestFit="1" customWidth="1"/>
    <col min="120" max="120" width="12.54296875" bestFit="1" customWidth="1"/>
    <col min="122" max="122" width="12.453125" bestFit="1" customWidth="1"/>
    <col min="124" max="124" width="10.453125" bestFit="1" customWidth="1"/>
    <col min="129" max="129" width="12.54296875" bestFit="1" customWidth="1"/>
  </cols>
  <sheetData>
    <row r="1" spans="1:137" x14ac:dyDescent="0.35">
      <c r="A1" t="s">
        <v>729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S1" t="s">
        <v>1097</v>
      </c>
      <c r="T1">
        <f>J1</f>
        <v>1</v>
      </c>
      <c r="U1">
        <f t="shared" ref="U1:Y1" si="0">K1</f>
        <v>2</v>
      </c>
      <c r="V1">
        <f t="shared" si="0"/>
        <v>3</v>
      </c>
      <c r="W1">
        <f t="shared" si="0"/>
        <v>4</v>
      </c>
      <c r="X1">
        <f t="shared" si="0"/>
        <v>5</v>
      </c>
      <c r="Y1">
        <f t="shared" si="0"/>
        <v>6</v>
      </c>
      <c r="CT1" t="s">
        <v>544</v>
      </c>
      <c r="CU1" t="s">
        <v>748</v>
      </c>
      <c r="CV1" t="s">
        <v>754</v>
      </c>
      <c r="DN1" t="s">
        <v>755</v>
      </c>
      <c r="DQ1" t="s">
        <v>756</v>
      </c>
      <c r="DR1" t="s">
        <v>754</v>
      </c>
      <c r="DS1">
        <f>1/(1-0.3)</f>
        <v>1.4285714285714286</v>
      </c>
      <c r="DT1" s="33">
        <f>sectors!H79-sectors!K79</f>
        <v>0.3908366760344002</v>
      </c>
      <c r="DU1" t="s">
        <v>757</v>
      </c>
      <c r="DY1">
        <f t="shared" ref="DY1:ED1" si="1">DY83</f>
        <v>-99.991261733883078</v>
      </c>
      <c r="DZ1">
        <f t="shared" si="1"/>
        <v>-99.75262946884726</v>
      </c>
      <c r="EA1">
        <f t="shared" si="1"/>
        <v>-84.343556824665612</v>
      </c>
      <c r="EB1">
        <f t="shared" si="1"/>
        <v>-50.274195413019875</v>
      </c>
      <c r="EC1">
        <f t="shared" si="1"/>
        <v>-36.000599982332403</v>
      </c>
      <c r="ED1">
        <f t="shared" si="1"/>
        <v>274.84589581927878</v>
      </c>
      <c r="EE1">
        <f t="shared" ref="EE1" si="2">EE83</f>
        <v>492.23448905367968</v>
      </c>
      <c r="EF1">
        <f>EF83</f>
        <v>783.04588177223332</v>
      </c>
      <c r="EG1">
        <f>EG83</f>
        <v>5251.4738289595407</v>
      </c>
    </row>
    <row r="2" spans="1:137" x14ac:dyDescent="0.35">
      <c r="B2" t="s">
        <v>626</v>
      </c>
      <c r="C2">
        <v>2018</v>
      </c>
      <c r="D2">
        <f>-1.523/100</f>
        <v>-1.5229999999999999E-2</v>
      </c>
      <c r="E2">
        <f>0.406/100</f>
        <v>4.0600000000000002E-3</v>
      </c>
      <c r="F2" t="s">
        <v>690</v>
      </c>
      <c r="G2" t="s">
        <v>691</v>
      </c>
      <c r="H2" t="s">
        <v>735</v>
      </c>
      <c r="I2" t="s">
        <v>733</v>
      </c>
      <c r="J2" s="33">
        <f>(J23/J24/J24+Q23/Q24/Q24+X23/X24/X24+AE23/AE24/AE24+AL23/AL24/AL24+AS23/AS24/AS24+BN23/BN24/BN24+BV28/BV35/BV35)/J4</f>
        <v>-1.95282817827296E-3</v>
      </c>
      <c r="K2" s="33">
        <f t="shared" ref="K2:O2" si="3">(K23/K24/K24+R23/R24/R24+Y23/Y24/Y24+AF23/AF24/AF24+AM23/AM24/AM24+AT23/AT24/AT24+BO23/BO24/BO24+BW28/BW35/BW35)/K4</f>
        <v>-4.000076540523553E-3</v>
      </c>
      <c r="L2" s="33">
        <f t="shared" si="3"/>
        <v>-6.1332179063519239E-3</v>
      </c>
      <c r="M2" s="33">
        <f t="shared" si="3"/>
        <v>-8.3448946759972931E-3</v>
      </c>
      <c r="N2" s="33">
        <f t="shared" si="3"/>
        <v>-1.0628095988315506E-2</v>
      </c>
      <c r="O2" s="33">
        <f t="shared" si="3"/>
        <v>-1.297617915252415E-2</v>
      </c>
      <c r="P2" t="s">
        <v>749</v>
      </c>
      <c r="Q2">
        <v>-2.005525367775434E-3</v>
      </c>
      <c r="S2" t="s">
        <v>1019</v>
      </c>
      <c r="T2" s="33">
        <f>BN23</f>
        <v>4.0057575210797475E-3</v>
      </c>
      <c r="U2" s="33">
        <f t="shared" ref="U2:Y2" si="4">BO23</f>
        <v>6.4315150421594691E-3</v>
      </c>
      <c r="V2" s="33">
        <f t="shared" si="4"/>
        <v>7.2772725632392135E-3</v>
      </c>
      <c r="W2" s="33">
        <f t="shared" si="4"/>
        <v>6.5430300843189876E-3</v>
      </c>
      <c r="X2" s="33">
        <f t="shared" si="4"/>
        <v>4.228787605398715E-3</v>
      </c>
      <c r="Y2" s="33">
        <f t="shared" si="4"/>
        <v>3.3454512647840273E-4</v>
      </c>
      <c r="AA2" s="33">
        <v>4.7957576558229423E-3</v>
      </c>
      <c r="CV2" t="s">
        <v>1029</v>
      </c>
      <c r="CX2" t="s">
        <v>633</v>
      </c>
      <c r="CZ2" t="s">
        <v>629</v>
      </c>
      <c r="DB2" t="s">
        <v>630</v>
      </c>
      <c r="DD2" t="s">
        <v>732</v>
      </c>
      <c r="DF2" t="s">
        <v>750</v>
      </c>
      <c r="DH2" t="s">
        <v>997</v>
      </c>
      <c r="DJ2" t="s">
        <v>628</v>
      </c>
      <c r="DL2" t="s">
        <v>1091</v>
      </c>
      <c r="DN2" t="s">
        <v>1029</v>
      </c>
      <c r="DQ2" t="s">
        <v>755</v>
      </c>
      <c r="DR2" t="s">
        <v>1089</v>
      </c>
      <c r="DS2" t="s">
        <v>1090</v>
      </c>
      <c r="DU2" t="s">
        <v>756</v>
      </c>
      <c r="DV2" t="s">
        <v>754</v>
      </c>
      <c r="DW2" t="s">
        <v>755</v>
      </c>
      <c r="DY2" t="s">
        <v>997</v>
      </c>
      <c r="DZ2" t="s">
        <v>628</v>
      </c>
      <c r="EA2" t="s">
        <v>633</v>
      </c>
      <c r="EB2" t="s">
        <v>732</v>
      </c>
      <c r="EC2" t="s">
        <v>733</v>
      </c>
      <c r="ED2" t="s">
        <v>630</v>
      </c>
      <c r="EE2" t="s">
        <v>750</v>
      </c>
      <c r="EF2" t="s">
        <v>629</v>
      </c>
      <c r="EG2" t="s">
        <v>1091</v>
      </c>
    </row>
    <row r="3" spans="1:137" x14ac:dyDescent="0.35">
      <c r="D3">
        <f>D2*H3*2</f>
        <v>-4.6554016126284826E-3</v>
      </c>
      <c r="E3">
        <f>E2*H3*2</f>
        <v>1.2410328658746974E-3</v>
      </c>
      <c r="H3" s="7">
        <f>SUMIF(E26:E223,"&lt;"&amp;E24,D26:D223)/SUM(D26:D223)</f>
        <v>0.1528365598367854</v>
      </c>
      <c r="J3" s="33">
        <f>SQRT(1/J4)</f>
        <v>5.9609152848411377E-4</v>
      </c>
      <c r="K3" s="33">
        <f t="shared" ref="K3:O3" si="5">SQRT(1/K4)</f>
        <v>1.1937549318778997E-3</v>
      </c>
      <c r="L3" s="33">
        <f t="shared" si="5"/>
        <v>1.7929348412893467E-3</v>
      </c>
      <c r="M3" s="33">
        <f t="shared" si="5"/>
        <v>2.3935718448850093E-3</v>
      </c>
      <c r="N3" s="33">
        <f t="shared" si="5"/>
        <v>2.9956044737408992E-3</v>
      </c>
      <c r="O3" s="33">
        <f t="shared" si="5"/>
        <v>3.5989700600775778E-3</v>
      </c>
      <c r="Q3" s="65">
        <v>-2.319921850945262E-5</v>
      </c>
      <c r="T3">
        <f>T1*$AA2+T1*T1*$AA3</f>
        <v>4.0057576292074825E-3</v>
      </c>
      <c r="U3">
        <f t="shared" ref="U3:Y3" si="6">U1*$AA2+U1*U1*$AA3</f>
        <v>6.4315152051840447E-3</v>
      </c>
      <c r="V3">
        <f t="shared" si="6"/>
        <v>7.2772727279296874E-3</v>
      </c>
      <c r="W3">
        <f t="shared" si="6"/>
        <v>6.5430301974444098E-3</v>
      </c>
      <c r="X3">
        <f t="shared" si="6"/>
        <v>4.2287876137282118E-3</v>
      </c>
      <c r="Y3">
        <f t="shared" si="6"/>
        <v>3.345449767810961E-4</v>
      </c>
      <c r="AA3">
        <v>-7.9000002661545996E-4</v>
      </c>
      <c r="CS3">
        <v>2020</v>
      </c>
      <c r="CT3">
        <v>1.1000000000000001</v>
      </c>
      <c r="CU3">
        <v>0.04</v>
      </c>
      <c r="CV3">
        <f>Q$2*$CT3+Q$3*$CT3^2</f>
        <v>-2.2341489589494151E-3</v>
      </c>
      <c r="CW3">
        <f>1</f>
        <v>1</v>
      </c>
      <c r="CX3">
        <f>S$7*$CT3+S$7*$CT3^2</f>
        <v>-4.9216035833909736E-3</v>
      </c>
      <c r="CY3">
        <f>1</f>
        <v>1</v>
      </c>
      <c r="CZ3">
        <f>T$7*$CT3+T$7*$CT3^2</f>
        <v>5.9747276874302247E-3</v>
      </c>
      <c r="DA3">
        <f>1</f>
        <v>1</v>
      </c>
      <c r="DB3">
        <f>U$7*$CT3+U$7*$CT3^2</f>
        <v>3.5991687036635647E-3</v>
      </c>
      <c r="DC3">
        <f>1</f>
        <v>1</v>
      </c>
      <c r="DD3">
        <f>V$7*$CT3+V$7*$CT3^2</f>
        <v>-1.8719153556553654E-3</v>
      </c>
      <c r="DE3">
        <f>1</f>
        <v>1</v>
      </c>
      <c r="DF3">
        <f>W$7*$CT3+W$7*$CT3^2</f>
        <v>4.8631296925738653E-3</v>
      </c>
      <c r="DG3">
        <f>1</f>
        <v>1</v>
      </c>
      <c r="DH3">
        <f>X$7*$CT3+X$7*$CT3^2</f>
        <v>-2.3326516227205128E-2</v>
      </c>
      <c r="DI3">
        <f>1</f>
        <v>1</v>
      </c>
      <c r="DJ3">
        <f>Y$7*$CT3+Y$7*$CT3^2</f>
        <v>-1.5398683604713026E-2</v>
      </c>
      <c r="DK3">
        <f>1</f>
        <v>1</v>
      </c>
      <c r="DL3">
        <f>Z$7*$CT3+Z$7*$CT3^2</f>
        <v>1.1078200184950999E-2</v>
      </c>
      <c r="DM3">
        <f>1</f>
        <v>1</v>
      </c>
      <c r="DN3">
        <f>BV$56*(2-CT3)+BW$56*(CT3-1)</f>
        <v>-1.8004075971503279E-4</v>
      </c>
      <c r="DO3">
        <f>1</f>
        <v>1</v>
      </c>
      <c r="DP3">
        <f>graph!A34</f>
        <v>1.0999999999999999</v>
      </c>
      <c r="DQ3">
        <f>DS1*graph!B34</f>
        <v>-0.74003031298910682</v>
      </c>
      <c r="DR3">
        <f>0.01*DT$1*(DQ4-DQ3)/(1+DT$1*DQ3/100)</f>
        <v>-1.3025757740393946E-4</v>
      </c>
      <c r="DS3">
        <f>DS$1*DR3</f>
        <v>-1.8608225343419923E-4</v>
      </c>
      <c r="DT3">
        <f>1</f>
        <v>1</v>
      </c>
      <c r="DU3">
        <f>(DT3-1)*100</f>
        <v>0</v>
      </c>
      <c r="DV3">
        <f t="shared" ref="DV3:DV34" si="7">(CW3-1)*100</f>
        <v>0</v>
      </c>
      <c r="DW3">
        <f t="shared" ref="DW3:DW34" si="8">(DO3-1)*100</f>
        <v>0</v>
      </c>
      <c r="DY3">
        <f t="shared" ref="DY3:DY34" si="9">(DI3-1)*100</f>
        <v>0</v>
      </c>
      <c r="DZ3">
        <f t="shared" ref="DZ3:DZ34" si="10">(DK3-1)*100</f>
        <v>0</v>
      </c>
      <c r="EA3">
        <f t="shared" ref="EA3:EA34" si="11">(CY3-1)*100</f>
        <v>0</v>
      </c>
      <c r="EB3">
        <f t="shared" ref="EB3:EB34" si="12">(DE3-1)*100</f>
        <v>0</v>
      </c>
      <c r="EC3">
        <f t="shared" ref="EC3:EC34" si="13">DV3</f>
        <v>0</v>
      </c>
      <c r="ED3">
        <f t="shared" ref="ED3:ED34" si="14">(DC3-1)*100</f>
        <v>0</v>
      </c>
      <c r="EE3">
        <f t="shared" ref="EE3:EE34" si="15">(DG3-1)*100</f>
        <v>0</v>
      </c>
      <c r="EF3">
        <f t="shared" ref="EF3:EF34" si="16">(DA3-1)*100</f>
        <v>0</v>
      </c>
      <c r="EG3">
        <f>(DM3-1)*100</f>
        <v>0</v>
      </c>
    </row>
    <row r="4" spans="1:137" x14ac:dyDescent="0.35">
      <c r="B4" t="s">
        <v>728</v>
      </c>
      <c r="C4">
        <v>2021</v>
      </c>
      <c r="D4">
        <v>-0.90800000000000003</v>
      </c>
      <c r="E4">
        <v>0.28999999999999998</v>
      </c>
      <c r="F4" t="s">
        <v>690</v>
      </c>
      <c r="G4" t="s">
        <v>730</v>
      </c>
      <c r="J4">
        <f>1/J24/J24+1/Q24/Q24+1/X24/X24+1/AE24/AE24+1/AL24/AL24+1/AS24/AS24+1/BN24/BN24+1/BV35/BV35</f>
        <v>2814324.039946937</v>
      </c>
      <c r="K4">
        <f t="shared" ref="K4:O4" si="17">1/K24/K24+1/R24/R24+1/Y24/Y24+1/AF24/AF24+1/AM24/AM24+1/AT24/AT24+1/BO24/BO24+1/BW35/BW35</f>
        <v>701729.35152023053</v>
      </c>
      <c r="L4">
        <f t="shared" si="17"/>
        <v>311079.20937458635</v>
      </c>
      <c r="M4">
        <f t="shared" si="17"/>
        <v>174544.86015479336</v>
      </c>
      <c r="N4">
        <f t="shared" si="17"/>
        <v>111437.42262899021</v>
      </c>
      <c r="O4">
        <f t="shared" si="17"/>
        <v>77204.663155057671</v>
      </c>
      <c r="P4" t="s">
        <v>14</v>
      </c>
      <c r="Q4">
        <v>6.0670129925162171E-4</v>
      </c>
      <c r="T4" s="37">
        <f>(T2-T3)^2</f>
        <v>1.1691607090123581E-20</v>
      </c>
      <c r="U4" s="37">
        <f t="shared" ref="U4:Y4" si="18">(U2-U3)^2</f>
        <v>2.657701225277143E-20</v>
      </c>
      <c r="V4" s="37">
        <f t="shared" si="18"/>
        <v>2.7122952203919302E-20</v>
      </c>
      <c r="W4" s="37">
        <f t="shared" si="18"/>
        <v>1.2797361153401657E-20</v>
      </c>
      <c r="X4" s="37">
        <f t="shared" si="18"/>
        <v>6.9380517182891661E-23</v>
      </c>
      <c r="Y4" s="37">
        <f t="shared" si="18"/>
        <v>2.2409283613457249E-20</v>
      </c>
      <c r="AA4" s="37">
        <f>SUM(T4:Y4)</f>
        <v>1.0066759683085611E-19</v>
      </c>
      <c r="CS4">
        <f>1+CS3</f>
        <v>2021</v>
      </c>
      <c r="CT4">
        <f>CT3+CU3</f>
        <v>1.1400000000000001</v>
      </c>
      <c r="CU4">
        <f>CU3</f>
        <v>0.04</v>
      </c>
      <c r="CV4">
        <f t="shared" ref="CV4:CV67" si="19">Q$2*CT4+Q$3*CT4^2</f>
        <v>-2.3164486236388797E-3</v>
      </c>
      <c r="CW4">
        <f>CW3*(1+CV3)</f>
        <v>0.99776585104105053</v>
      </c>
      <c r="CX4">
        <f t="shared" ref="CX4:CX67" si="20">S$7*$CT4+S$7*$CT4^2</f>
        <v>-5.1977247194981042E-3</v>
      </c>
      <c r="CY4">
        <f>CY3*(1+CX3)</f>
        <v>0.995078396416609</v>
      </c>
      <c r="CZ4">
        <f t="shared" ref="CZ4:CZ67" si="21">T$7*$CT4+T$7*$CT4^2</f>
        <v>6.3099331888548816E-3</v>
      </c>
      <c r="DA4">
        <f>DA3*(1+CZ3)</f>
        <v>1.0059747276874302</v>
      </c>
      <c r="DB4">
        <f t="shared" ref="DB4:DB67" si="22">U$7*$CT4+U$7*$CT4^2</f>
        <v>3.8010960906743E-3</v>
      </c>
      <c r="DC4">
        <f>DC3*(1+DB3)</f>
        <v>1.0035991687036636</v>
      </c>
      <c r="DD4">
        <f t="shared" ref="DD4:DD67" si="23">V$7*$CT4+V$7*$CT4^2</f>
        <v>-1.9769371002843418E-3</v>
      </c>
      <c r="DE4">
        <f>DE3*(1+DD3)</f>
        <v>0.99812808464434466</v>
      </c>
      <c r="DF4">
        <f t="shared" ref="DF4:DF67" si="24">W$7*$CT4+W$7*$CT4^2</f>
        <v>5.1359702155858019E-3</v>
      </c>
      <c r="DG4">
        <f>DG3*(1+DF3)</f>
        <v>1.0048631296925739</v>
      </c>
      <c r="DH4">
        <f t="shared" ref="DH4:DH67" si="25">X$7*$CT4+X$7*$CT4^2</f>
        <v>-2.4635224670082095E-2</v>
      </c>
      <c r="DI4">
        <f>DI3*(1+DH3)</f>
        <v>0.97667348377279484</v>
      </c>
      <c r="DJ4">
        <f t="shared" ref="DJ4:DJ67" si="26">Y$7*$CT4+Y$7*$CT4^2</f>
        <v>-1.6262609749808615E-2</v>
      </c>
      <c r="DK4">
        <f>DK3*(1+DJ3)</f>
        <v>0.98460131639528692</v>
      </c>
      <c r="DL4">
        <f t="shared" ref="DL4:DL67" si="27">Z$7*$CT4+Z$7*$CT4^2</f>
        <v>1.1699730377145653E-2</v>
      </c>
      <c r="DM4">
        <f>DM3*(1+DL3)</f>
        <v>1.011078200184951</v>
      </c>
      <c r="DN4">
        <f t="shared" ref="DN4:DN25" si="28">BV$56*(2-CT4)+BW$56*(CT4-1)</f>
        <v>-1.8015874170690605E-4</v>
      </c>
      <c r="DO4">
        <f>DO3*(1+DN3)</f>
        <v>0.99981995924028499</v>
      </c>
      <c r="DQ4">
        <f>(DQ8-DQ3)/5+DQ3</f>
        <v>-0.77326179818238405</v>
      </c>
      <c r="DR4">
        <f t="shared" ref="DR4:DR67" si="29">0.01*DT$1*(DQ5-DQ4)/(1+DT$1*DQ4/100)</f>
        <v>-1.3027454665078358E-4</v>
      </c>
      <c r="DS4">
        <f t="shared" ref="DS4:DS67" si="30">DS$1*DR4</f>
        <v>-1.8610649521540512E-4</v>
      </c>
      <c r="DT4">
        <f>DT3*(1+DS3)</f>
        <v>0.99981391774656581</v>
      </c>
      <c r="DU4">
        <f t="shared" ref="DU4:DU67" si="31">(DT4-1)*100</f>
        <v>-1.8608225343419438E-2</v>
      </c>
      <c r="DV4">
        <f t="shared" si="7"/>
        <v>-0.22341489589494667</v>
      </c>
      <c r="DW4">
        <f t="shared" si="8"/>
        <v>-1.8004075971500555E-2</v>
      </c>
      <c r="DY4">
        <f t="shared" si="9"/>
        <v>-2.3326516227205163</v>
      </c>
      <c r="DZ4">
        <f t="shared" si="10"/>
        <v>-1.5398683604713082</v>
      </c>
      <c r="EA4">
        <f t="shared" si="11"/>
        <v>-0.49216035833909988</v>
      </c>
      <c r="EB4">
        <f t="shared" si="12"/>
        <v>-0.18719153556553403</v>
      </c>
      <c r="EC4">
        <f t="shared" si="13"/>
        <v>-0.22341489589494667</v>
      </c>
      <c r="ED4">
        <f t="shared" si="14"/>
        <v>0.35991687036636133</v>
      </c>
      <c r="EE4">
        <f t="shared" si="15"/>
        <v>0.48631296925738532</v>
      </c>
      <c r="EF4">
        <f t="shared" si="16"/>
        <v>0.59747276874302369</v>
      </c>
      <c r="EG4">
        <f t="shared" ref="EG4:EG67" si="32">(DM4-1)*100</f>
        <v>1.1078200184950981</v>
      </c>
    </row>
    <row r="5" spans="1:137" x14ac:dyDescent="0.35">
      <c r="D5">
        <v>-0.80600000000000005</v>
      </c>
      <c r="E5">
        <v>0.38</v>
      </c>
      <c r="F5" t="s">
        <v>690</v>
      </c>
      <c r="G5" t="s">
        <v>731</v>
      </c>
      <c r="Q5">
        <v>-1.1351223293868333E-6</v>
      </c>
      <c r="CS5">
        <f t="shared" ref="CS5:CS68" si="33">1+CS4</f>
        <v>2022</v>
      </c>
      <c r="CT5">
        <f t="shared" ref="CT5:CT68" si="34">CT4+CU4</f>
        <v>1.1800000000000002</v>
      </c>
      <c r="CU5">
        <f t="shared" ref="CU5:CU68" si="35">CU4</f>
        <v>0.04</v>
      </c>
      <c r="CV5">
        <f t="shared" si="19"/>
        <v>-2.3988225258275743E-3</v>
      </c>
      <c r="CW5">
        <f t="shared" ref="CW5:DO68" si="36">CW4*(1+CV4)</f>
        <v>0.99545457770869261</v>
      </c>
      <c r="CX5">
        <f t="shared" si="20"/>
        <v>-5.4806636614350398E-3</v>
      </c>
      <c r="CY5">
        <f t="shared" si="36"/>
        <v>0.98990625283771583</v>
      </c>
      <c r="CZ5">
        <f t="shared" si="21"/>
        <v>6.6534153693270613E-3</v>
      </c>
      <c r="DA5">
        <f t="shared" si="36"/>
        <v>1.0123223610088146</v>
      </c>
      <c r="DB5">
        <f t="shared" si="22"/>
        <v>4.0080093390927078E-3</v>
      </c>
      <c r="DC5">
        <f t="shared" ref="DC5:DC68" si="37">DC4*(1+DB4)</f>
        <v>1.007413945580427</v>
      </c>
      <c r="DD5">
        <f t="shared" si="23"/>
        <v>-2.0845519744103298E-3</v>
      </c>
      <c r="DE5">
        <f t="shared" ref="DE5:DE68" si="38">DE4*(1+DD4)</f>
        <v>0.99615484820297551</v>
      </c>
      <c r="DF5">
        <f t="shared" si="24"/>
        <v>5.4155475416350699E-3</v>
      </c>
      <c r="DG5">
        <f t="shared" ref="DG5:DG68" si="39">DG4*(1+DF4)</f>
        <v>1.0100240767974151</v>
      </c>
      <c r="DH5">
        <f t="shared" si="25"/>
        <v>-2.5976246901672072E-2</v>
      </c>
      <c r="DI5">
        <f t="shared" ref="DI5:DI68" si="40">DI4*(1+DH4)</f>
        <v>0.95261291307074025</v>
      </c>
      <c r="DJ5">
        <f t="shared" si="26"/>
        <v>-1.714786740465965E-2</v>
      </c>
      <c r="DK5">
        <f t="shared" ref="DK5:DK68" si="41">DK4*(1+DJ4)</f>
        <v>0.96858912942760245</v>
      </c>
      <c r="DL5">
        <f t="shared" si="27"/>
        <v>1.2336606993838938E-2</v>
      </c>
      <c r="DM5">
        <f t="shared" ref="DM5:DM68" si="42">DM4*(1+DL4)</f>
        <v>1.0229075425173244</v>
      </c>
      <c r="DN5">
        <f t="shared" si="28"/>
        <v>-1.8027672369877928E-4</v>
      </c>
      <c r="DO5">
        <f t="shared" si="36"/>
        <v>0.99963983293449477</v>
      </c>
      <c r="DQ5">
        <f>(DQ8-DQ3)/5+DQ4</f>
        <v>-0.80649328337566129</v>
      </c>
      <c r="DR5">
        <f t="shared" si="29"/>
        <v>-1.3029152031952565E-4</v>
      </c>
      <c r="DS5">
        <f t="shared" si="30"/>
        <v>-1.8613074331360807E-4</v>
      </c>
      <c r="DT5">
        <f t="shared" ref="DT5:DT68" si="43">DT4*(1+DS4)</f>
        <v>0.99962784588246634</v>
      </c>
      <c r="DU5">
        <f t="shared" si="31"/>
        <v>-3.721541175336629E-2</v>
      </c>
      <c r="DV5">
        <f t="shared" si="7"/>
        <v>-0.45454222913073883</v>
      </c>
      <c r="DW5">
        <f t="shared" si="8"/>
        <v>-3.601670655052347E-2</v>
      </c>
      <c r="DY5">
        <f t="shared" si="9"/>
        <v>-4.7387086929259752</v>
      </c>
      <c r="DZ5">
        <f t="shared" si="10"/>
        <v>-3.1410870572397553</v>
      </c>
      <c r="EA5">
        <f t="shared" si="11"/>
        <v>-1.0093747162284172</v>
      </c>
      <c r="EB5">
        <f t="shared" si="12"/>
        <v>-0.38451517970244931</v>
      </c>
      <c r="EC5">
        <f t="shared" si="13"/>
        <v>-0.45454222913073883</v>
      </c>
      <c r="ED5">
        <f t="shared" si="14"/>
        <v>0.74139455804269616</v>
      </c>
      <c r="EE5">
        <f t="shared" si="15"/>
        <v>1.0024076797415127</v>
      </c>
      <c r="EF5">
        <f t="shared" si="16"/>
        <v>1.2322361008814564</v>
      </c>
      <c r="EG5">
        <f t="shared" si="32"/>
        <v>2.2907542517324408</v>
      </c>
    </row>
    <row r="6" spans="1:137" x14ac:dyDescent="0.35">
      <c r="D6">
        <f>(D4+D5)/100</f>
        <v>-1.7139999999999999E-2</v>
      </c>
      <c r="E6">
        <f>SQRT(E4^2+E5^2)/100</f>
        <v>4.780167361086848E-3</v>
      </c>
      <c r="G6" t="s">
        <v>691</v>
      </c>
      <c r="I6" t="s">
        <v>1097</v>
      </c>
      <c r="J6">
        <f>$Q2*J1+$Q3*J1*J1</f>
        <v>-2.0287245862848865E-3</v>
      </c>
      <c r="K6">
        <f t="shared" ref="K6:O6" si="44">$Q2*K1+$Q3*K1*K1</f>
        <v>-4.1038476095886789E-3</v>
      </c>
      <c r="L6">
        <f t="shared" si="44"/>
        <v>-6.225369069911375E-3</v>
      </c>
      <c r="M6">
        <f t="shared" si="44"/>
        <v>-8.3932889672529779E-3</v>
      </c>
      <c r="N6">
        <f t="shared" si="44"/>
        <v>-1.0607607301613486E-2</v>
      </c>
      <c r="O6">
        <f t="shared" si="44"/>
        <v>-1.2868324072992897E-2</v>
      </c>
      <c r="S6" t="s">
        <v>633</v>
      </c>
      <c r="T6" t="s">
        <v>629</v>
      </c>
      <c r="U6" t="s">
        <v>630</v>
      </c>
      <c r="V6" t="s">
        <v>732</v>
      </c>
      <c r="W6" t="s">
        <v>750</v>
      </c>
      <c r="X6" t="s">
        <v>997</v>
      </c>
      <c r="Y6" t="s">
        <v>628</v>
      </c>
      <c r="Z6" s="37" t="s">
        <v>1091</v>
      </c>
      <c r="CS6">
        <f t="shared" si="33"/>
        <v>2023</v>
      </c>
      <c r="CT6">
        <f t="shared" si="34"/>
        <v>1.2200000000000002</v>
      </c>
      <c r="CU6">
        <f t="shared" si="35"/>
        <v>0.04</v>
      </c>
      <c r="CV6">
        <f t="shared" si="19"/>
        <v>-2.4812706655154989E-3</v>
      </c>
      <c r="CW6">
        <f t="shared" si="36"/>
        <v>0.99306665884424683</v>
      </c>
      <c r="CX6">
        <f t="shared" si="20"/>
        <v>-5.7704204092017819E-3</v>
      </c>
      <c r="CY6">
        <f t="shared" si="36"/>
        <v>0.98448090960956081</v>
      </c>
      <c r="CZ6">
        <f t="shared" si="21"/>
        <v>7.0051742288467621E-3</v>
      </c>
      <c r="DA6">
        <f t="shared" si="36"/>
        <v>1.019057762164264</v>
      </c>
      <c r="DB6">
        <f t="shared" si="22"/>
        <v>4.2199084489187872E-3</v>
      </c>
      <c r="DC6">
        <f t="shared" si="37"/>
        <v>1.0114516700826455</v>
      </c>
      <c r="DD6">
        <f t="shared" si="23"/>
        <v>-2.1947599780333298E-3</v>
      </c>
      <c r="DE6">
        <f t="shared" si="38"/>
        <v>0.99407831164733551</v>
      </c>
      <c r="DF6">
        <f t="shared" si="24"/>
        <v>5.70186167072167E-3</v>
      </c>
      <c r="DG6">
        <f t="shared" si="39"/>
        <v>1.0154939102035077</v>
      </c>
      <c r="DH6">
        <f t="shared" si="25"/>
        <v>-2.7349582921975056E-2</v>
      </c>
      <c r="DI6">
        <f t="shared" si="40"/>
        <v>0.92786760483909358</v>
      </c>
      <c r="DJ6">
        <f t="shared" si="26"/>
        <v>-1.8054456569266131E-2</v>
      </c>
      <c r="DK6">
        <f t="shared" si="41"/>
        <v>0.95197989146658313</v>
      </c>
      <c r="DL6">
        <f t="shared" si="27"/>
        <v>1.298883003503086E-2</v>
      </c>
      <c r="DM6">
        <f t="shared" si="42"/>
        <v>1.0355267508603943</v>
      </c>
      <c r="DN6">
        <f t="shared" si="28"/>
        <v>-1.8039470569065251E-4</v>
      </c>
      <c r="DO6">
        <f t="shared" si="36"/>
        <v>0.99945962114053455</v>
      </c>
      <c r="DQ6">
        <f>(DQ8-DQ3)/5+DQ5</f>
        <v>-0.83972476856893852</v>
      </c>
      <c r="DR6">
        <f t="shared" si="29"/>
        <v>-1.3030849841189429E-4</v>
      </c>
      <c r="DS6">
        <f t="shared" si="30"/>
        <v>-1.8615499773127757E-4</v>
      </c>
      <c r="DT6">
        <f t="shared" si="43"/>
        <v>0.9994417844084752</v>
      </c>
      <c r="DU6">
        <f t="shared" si="31"/>
        <v>-5.5821559152480216E-2</v>
      </c>
      <c r="DV6">
        <f t="shared" si="7"/>
        <v>-0.69333411557531699</v>
      </c>
      <c r="DW6">
        <f t="shared" si="8"/>
        <v>-5.4037885946545128E-2</v>
      </c>
      <c r="DY6">
        <f t="shared" si="9"/>
        <v>-7.213239516090642</v>
      </c>
      <c r="DZ6">
        <f t="shared" si="10"/>
        <v>-4.8020108533416872</v>
      </c>
      <c r="EA6">
        <f t="shared" si="11"/>
        <v>-1.5519090390439194</v>
      </c>
      <c r="EB6">
        <f t="shared" si="12"/>
        <v>-0.59216883526644892</v>
      </c>
      <c r="EC6">
        <f t="shared" si="13"/>
        <v>-0.69333411557531699</v>
      </c>
      <c r="ED6">
        <f t="shared" si="14"/>
        <v>1.1451670082645471</v>
      </c>
      <c r="EE6">
        <f t="shared" si="15"/>
        <v>1.5493910203507655</v>
      </c>
      <c r="EF6">
        <f t="shared" si="16"/>
        <v>1.9057762164264025</v>
      </c>
      <c r="EG6">
        <f t="shared" si="32"/>
        <v>3.5526750860394252</v>
      </c>
    </row>
    <row r="7" spans="1:137" x14ac:dyDescent="0.35">
      <c r="A7" t="s">
        <v>727</v>
      </c>
      <c r="B7" t="s">
        <v>997</v>
      </c>
      <c r="C7">
        <v>2021</v>
      </c>
      <c r="D7">
        <f>0.0136-0.00674</f>
        <v>6.8599999999999989E-3</v>
      </c>
      <c r="E7">
        <f>SQRT((0.0136/3.64)^2+(0.00674/1.56)^2)</f>
        <v>5.7119609364153648E-3</v>
      </c>
      <c r="J7" s="37">
        <f>(J6-J2)^2</f>
        <v>5.7602647491128264E-9</v>
      </c>
      <c r="K7" s="37">
        <f t="shared" ref="K7:O7" si="45">(K6-K2)^2</f>
        <v>1.0768434774919132E-8</v>
      </c>
      <c r="L7" s="37">
        <f t="shared" si="45"/>
        <v>8.4918369453607073E-9</v>
      </c>
      <c r="M7" s="37">
        <f t="shared" si="45"/>
        <v>2.3420074261400421E-9</v>
      </c>
      <c r="N7" s="37">
        <f t="shared" si="45"/>
        <v>4.1978628277355978E-10</v>
      </c>
      <c r="O7" s="37">
        <f t="shared" si="45"/>
        <v>1.1632718180693031E-8</v>
      </c>
      <c r="Q7" s="37">
        <f>SUM(J7:O7)</f>
        <v>3.9415048358999299E-8</v>
      </c>
      <c r="S7" s="37">
        <v>-2.1305643218142742E-3</v>
      </c>
      <c r="T7" s="37">
        <v>2.5864622023507463E-3</v>
      </c>
      <c r="U7" s="37">
        <v>1.5580816898976468E-3</v>
      </c>
      <c r="V7" s="37">
        <v>-8.1035296781617537E-4</v>
      </c>
      <c r="W7" s="37">
        <v>2.1052509491661753E-3</v>
      </c>
      <c r="X7" s="37">
        <v>-1.0098058972816073E-2</v>
      </c>
      <c r="Y7" s="37">
        <v>-6.6660967985770671E-3</v>
      </c>
      <c r="Z7" s="37">
        <v>4.7957576558229423E-3</v>
      </c>
      <c r="CS7">
        <f t="shared" si="33"/>
        <v>2024</v>
      </c>
      <c r="CT7">
        <f t="shared" si="34"/>
        <v>1.2600000000000002</v>
      </c>
      <c r="CU7">
        <f t="shared" si="35"/>
        <v>0.04</v>
      </c>
      <c r="CV7">
        <f t="shared" si="19"/>
        <v>-2.5637930427026543E-3</v>
      </c>
      <c r="CW7">
        <f t="shared" si="36"/>
        <v>0.99060259167475506</v>
      </c>
      <c r="CX7">
        <f t="shared" si="20"/>
        <v>-6.0669949627983281E-3</v>
      </c>
      <c r="CY7">
        <f t="shared" si="36"/>
        <v>0.97880004087628036</v>
      </c>
      <c r="CZ7">
        <f t="shared" si="21"/>
        <v>7.3652097674139867E-3</v>
      </c>
      <c r="DA7">
        <f t="shared" si="36"/>
        <v>1.0261964393374834</v>
      </c>
      <c r="DB7">
        <f t="shared" si="22"/>
        <v>4.4367934201525409E-3</v>
      </c>
      <c r="DC7">
        <f t="shared" si="37"/>
        <v>1.0157199035309001</v>
      </c>
      <c r="DD7">
        <f t="shared" si="23"/>
        <v>-2.3075611111533418E-3</v>
      </c>
      <c r="DE7">
        <f t="shared" si="38"/>
        <v>0.99189654835390106</v>
      </c>
      <c r="DF7">
        <f t="shared" si="24"/>
        <v>5.9949126028456022E-3</v>
      </c>
      <c r="DG7">
        <f t="shared" si="39"/>
        <v>1.0212841160069484</v>
      </c>
      <c r="DH7">
        <f t="shared" si="25"/>
        <v>-2.8755232730991058E-2</v>
      </c>
      <c r="DI7">
        <f t="shared" si="40"/>
        <v>0.90249081283993238</v>
      </c>
      <c r="DJ7">
        <f t="shared" si="26"/>
        <v>-1.898237724362806E-2</v>
      </c>
      <c r="DK7">
        <f t="shared" si="41"/>
        <v>0.93479241186128492</v>
      </c>
      <c r="DL7">
        <f t="shared" si="27"/>
        <v>1.3656399500721415E-2</v>
      </c>
      <c r="DM7">
        <f t="shared" si="42"/>
        <v>1.0489770318240477</v>
      </c>
      <c r="DN7">
        <f t="shared" si="28"/>
        <v>-1.8051268768252575E-4</v>
      </c>
      <c r="DO7">
        <f t="shared" si="36"/>
        <v>0.99927932391632923</v>
      </c>
      <c r="DQ7">
        <f>(DQ8-DQ3)/5+DQ6</f>
        <v>-0.87295625376221575</v>
      </c>
      <c r="DR7">
        <f t="shared" si="29"/>
        <v>-1.3032548092961992E-4</v>
      </c>
      <c r="DS7">
        <f t="shared" si="30"/>
        <v>-1.8617925847088561E-4</v>
      </c>
      <c r="DT7">
        <f t="shared" si="43"/>
        <v>0.9992557333253661</v>
      </c>
      <c r="DU7">
        <f t="shared" si="31"/>
        <v>-7.4426667463389773E-2</v>
      </c>
      <c r="DV7">
        <f t="shared" si="7"/>
        <v>-0.93974083252449381</v>
      </c>
      <c r="DW7">
        <f t="shared" si="8"/>
        <v>-7.2067608367076819E-2</v>
      </c>
      <c r="DY7">
        <f t="shared" si="9"/>
        <v>-9.7509187160067619</v>
      </c>
      <c r="DZ7">
        <f t="shared" si="10"/>
        <v>-6.5207588138715078</v>
      </c>
      <c r="EA7">
        <f t="shared" si="11"/>
        <v>-2.1199959123719636</v>
      </c>
      <c r="EB7">
        <f t="shared" si="12"/>
        <v>-0.81034516460989359</v>
      </c>
      <c r="EC7">
        <f t="shared" si="13"/>
        <v>-0.93974083252449381</v>
      </c>
      <c r="ED7">
        <f t="shared" si="14"/>
        <v>1.5719903530900137</v>
      </c>
      <c r="EE7">
        <f t="shared" si="15"/>
        <v>2.128411600694835</v>
      </c>
      <c r="EF7">
        <f t="shared" si="16"/>
        <v>2.619643933748339</v>
      </c>
      <c r="EG7">
        <f t="shared" si="32"/>
        <v>4.8977031824047668</v>
      </c>
    </row>
    <row r="8" spans="1:137" x14ac:dyDescent="0.35">
      <c r="B8">
        <f>-D7/2/D8</f>
        <v>4.5072273324572922</v>
      </c>
      <c r="D8">
        <f>-0.000517+-0.000244</f>
        <v>-7.6099999999999996E-4</v>
      </c>
      <c r="E8">
        <f>SQRT((0.000517/4.33)^2+(0.000244/2.01)^2)</f>
        <v>1.7027189610801144E-4</v>
      </c>
      <c r="S8" s="66">
        <v>4.4502651970233528E-9</v>
      </c>
      <c r="T8" s="37">
        <v>-4.0000053659299385E-4</v>
      </c>
      <c r="U8" s="37">
        <v>-5.0000148183584978E-4</v>
      </c>
      <c r="V8" s="37">
        <v>-4.5472557075024867E-4</v>
      </c>
      <c r="W8" s="37">
        <v>-5.1000297051285689E-4</v>
      </c>
      <c r="X8" s="37">
        <v>-7.6099043150990855E-4</v>
      </c>
      <c r="Y8" s="37">
        <v>-1.5385288901611661E-5</v>
      </c>
      <c r="Z8" s="37">
        <v>-7.9000002661545996E-4</v>
      </c>
      <c r="CS8">
        <f t="shared" si="33"/>
        <v>2025</v>
      </c>
      <c r="CT8">
        <f t="shared" si="34"/>
        <v>1.3000000000000003</v>
      </c>
      <c r="CU8">
        <f t="shared" si="35"/>
        <v>0.04</v>
      </c>
      <c r="CV8">
        <f t="shared" si="19"/>
        <v>-2.6463896573890393E-3</v>
      </c>
      <c r="CW8">
        <f t="shared" si="36"/>
        <v>0.98806289164213612</v>
      </c>
      <c r="CX8">
        <f t="shared" si="20"/>
        <v>-6.3703873222246818E-3</v>
      </c>
      <c r="CY8">
        <f t="shared" si="36"/>
        <v>0.97286166595869727</v>
      </c>
      <c r="CZ8">
        <f t="shared" si="21"/>
        <v>7.7335219850287341E-3</v>
      </c>
      <c r="DA8">
        <f t="shared" si="36"/>
        <v>1.0337545913757773</v>
      </c>
      <c r="DB8">
        <f t="shared" si="22"/>
        <v>4.6586642527939653E-3</v>
      </c>
      <c r="DC8">
        <f t="shared" si="37"/>
        <v>1.020226442915604</v>
      </c>
      <c r="DD8">
        <f t="shared" si="23"/>
        <v>-2.422955373770365E-3</v>
      </c>
      <c r="DE8">
        <f t="shared" si="38"/>
        <v>0.98960768645263231</v>
      </c>
      <c r="DF8">
        <f t="shared" si="24"/>
        <v>6.2947003380068658E-3</v>
      </c>
      <c r="DG8">
        <f t="shared" si="39"/>
        <v>1.0274066250250844</v>
      </c>
      <c r="DH8">
        <f t="shared" si="25"/>
        <v>-3.0193196328720064E-2</v>
      </c>
      <c r="DI8">
        <f t="shared" si="40"/>
        <v>0.87653947947913891</v>
      </c>
      <c r="DJ8">
        <f t="shared" si="26"/>
        <v>-1.9931629427745436E-2</v>
      </c>
      <c r="DK8">
        <f t="shared" si="41"/>
        <v>0.9170478296548531</v>
      </c>
      <c r="DL8">
        <f t="shared" si="27"/>
        <v>1.4339315390910601E-2</v>
      </c>
      <c r="DM8">
        <f t="shared" si="42"/>
        <v>1.063302281237718</v>
      </c>
      <c r="DN8">
        <f t="shared" si="28"/>
        <v>-1.8063066967439898E-4</v>
      </c>
      <c r="DO8">
        <f t="shared" si="36"/>
        <v>0.99909894131982357</v>
      </c>
      <c r="DP8">
        <f>graph!A36</f>
        <v>1.3</v>
      </c>
      <c r="DQ8">
        <f>DS1*graph!B36</f>
        <v>-0.9061877389554932</v>
      </c>
      <c r="DR8">
        <f t="shared" si="29"/>
        <v>-1.3825202933799097E-4</v>
      </c>
      <c r="DS8">
        <f t="shared" si="30"/>
        <v>-1.9750289905427282E-4</v>
      </c>
      <c r="DT8">
        <f t="shared" si="43"/>
        <v>0.99906969263391288</v>
      </c>
      <c r="DU8">
        <f t="shared" si="31"/>
        <v>-9.3030736608712417E-2</v>
      </c>
      <c r="DV8">
        <f t="shared" si="7"/>
        <v>-1.1937108357863879</v>
      </c>
      <c r="DW8">
        <f t="shared" si="8"/>
        <v>-9.0105868017642532E-2</v>
      </c>
      <c r="DY8">
        <f t="shared" si="9"/>
        <v>-12.34605205208611</v>
      </c>
      <c r="DZ8">
        <f t="shared" si="10"/>
        <v>-8.2952170345146907</v>
      </c>
      <c r="EA8">
        <f t="shared" si="11"/>
        <v>-2.7138334041302725</v>
      </c>
      <c r="EB8">
        <f t="shared" si="12"/>
        <v>-1.0392313547367693</v>
      </c>
      <c r="EC8">
        <f t="shared" si="13"/>
        <v>-1.1937108357863879</v>
      </c>
      <c r="ED8">
        <f t="shared" si="14"/>
        <v>2.0226442915604048</v>
      </c>
      <c r="EE8">
        <f t="shared" si="15"/>
        <v>2.7406625025084397</v>
      </c>
      <c r="EF8">
        <f t="shared" si="16"/>
        <v>3.3754591375777299</v>
      </c>
      <c r="EG8">
        <f t="shared" si="32"/>
        <v>6.3302281237717972</v>
      </c>
    </row>
    <row r="9" spans="1:137" x14ac:dyDescent="0.35">
      <c r="B9" t="s">
        <v>726</v>
      </c>
      <c r="C9">
        <v>2019</v>
      </c>
      <c r="D9">
        <v>9.2800000000000001E-3</v>
      </c>
      <c r="E9">
        <v>4.1799999999999997E-3</v>
      </c>
      <c r="F9" t="s">
        <v>690</v>
      </c>
      <c r="G9" t="s">
        <v>631</v>
      </c>
      <c r="J9">
        <f>$Q4*J1+$Q5*J1^2</f>
        <v>6.0556617692223487E-4</v>
      </c>
      <c r="K9">
        <f t="shared" ref="K9:O9" si="46">$Q4*K1+$Q5*K1^2</f>
        <v>1.2088621091856961E-3</v>
      </c>
      <c r="L9">
        <f t="shared" si="46"/>
        <v>1.8098877967903837E-3</v>
      </c>
      <c r="M9">
        <f t="shared" si="46"/>
        <v>2.4086432397362975E-3</v>
      </c>
      <c r="N9">
        <f t="shared" si="46"/>
        <v>3.0051284380234375E-3</v>
      </c>
      <c r="O9">
        <f t="shared" si="46"/>
        <v>3.5993433916518044E-3</v>
      </c>
      <c r="Z9" s="37"/>
      <c r="CS9">
        <f t="shared" si="33"/>
        <v>2026</v>
      </c>
      <c r="CT9">
        <f t="shared" si="34"/>
        <v>1.3400000000000003</v>
      </c>
      <c r="CU9">
        <f t="shared" si="35"/>
        <v>0.04</v>
      </c>
      <c r="CV9">
        <f t="shared" si="19"/>
        <v>-2.7290605095746552E-3</v>
      </c>
      <c r="CW9">
        <f t="shared" si="36"/>
        <v>0.98544809222484442</v>
      </c>
      <c r="CX9">
        <f t="shared" si="20"/>
        <v>-6.6805974874808403E-3</v>
      </c>
      <c r="CY9">
        <f t="shared" si="36"/>
        <v>0.96666416033559555</v>
      </c>
      <c r="CZ9">
        <f t="shared" si="21"/>
        <v>8.1101108816910034E-3</v>
      </c>
      <c r="DA9">
        <f t="shared" si="36"/>
        <v>1.0417491552353062</v>
      </c>
      <c r="DB9">
        <f t="shared" si="22"/>
        <v>4.8855209468430631E-3</v>
      </c>
      <c r="DC9">
        <f t="shared" si="37"/>
        <v>1.0249793353749701</v>
      </c>
      <c r="DD9">
        <f t="shared" si="23"/>
        <v>-2.5409427658844002E-3</v>
      </c>
      <c r="DE9">
        <f t="shared" si="38"/>
        <v>0.98720991119081747</v>
      </c>
      <c r="DF9">
        <f t="shared" si="24"/>
        <v>6.6012248762054616E-3</v>
      </c>
      <c r="DG9">
        <f t="shared" si="39"/>
        <v>1.0338738418549003</v>
      </c>
      <c r="DH9">
        <f t="shared" si="25"/>
        <v>-3.1663473715162087E-2</v>
      </c>
      <c r="DI9">
        <f t="shared" si="40"/>
        <v>0.8500739508853512</v>
      </c>
      <c r="DJ9">
        <f t="shared" si="26"/>
        <v>-2.090221312161826E-2</v>
      </c>
      <c r="DK9">
        <f t="shared" si="41"/>
        <v>0.89876957214665443</v>
      </c>
      <c r="DL9">
        <f t="shared" si="27"/>
        <v>1.5037577705598423E-2</v>
      </c>
      <c r="DM9">
        <f t="shared" si="42"/>
        <v>1.0785493080042603</v>
      </c>
      <c r="DN9">
        <f t="shared" si="28"/>
        <v>-1.8074865166627224E-4</v>
      </c>
      <c r="DO9">
        <f t="shared" si="36"/>
        <v>0.99891847340898199</v>
      </c>
      <c r="DQ9">
        <f>(DQ13-DQ8)/5+DQ8</f>
        <v>-0.94143580768403734</v>
      </c>
      <c r="DR9">
        <f t="shared" si="29"/>
        <v>-1.3827114560446968E-4</v>
      </c>
      <c r="DS9">
        <f t="shared" si="30"/>
        <v>-1.9753020800638524E-4</v>
      </c>
      <c r="DT9">
        <f t="shared" si="43"/>
        <v>0.99887237347326041</v>
      </c>
      <c r="DU9">
        <f t="shared" si="31"/>
        <v>-0.11276265267395891</v>
      </c>
      <c r="DV9">
        <f t="shared" si="7"/>
        <v>-1.4551907775155581</v>
      </c>
      <c r="DW9">
        <f t="shared" si="8"/>
        <v>-0.10815265910180116</v>
      </c>
      <c r="DY9">
        <f t="shared" si="9"/>
        <v>-14.992604911464881</v>
      </c>
      <c r="DZ9">
        <f t="shared" si="10"/>
        <v>-10.123042785334558</v>
      </c>
      <c r="EA9">
        <f t="shared" si="11"/>
        <v>-3.3335839664404454</v>
      </c>
      <c r="EB9">
        <f t="shared" si="12"/>
        <v>-1.2790088809182532</v>
      </c>
      <c r="EC9">
        <f t="shared" si="13"/>
        <v>-1.4551907775155581</v>
      </c>
      <c r="ED9">
        <f t="shared" si="14"/>
        <v>2.4979335374970102</v>
      </c>
      <c r="EE9">
        <f t="shared" si="15"/>
        <v>3.3873841854900277</v>
      </c>
      <c r="EF9">
        <f t="shared" si="16"/>
        <v>4.1749155235306201</v>
      </c>
      <c r="EG9">
        <f t="shared" si="32"/>
        <v>7.8549308004260299</v>
      </c>
    </row>
    <row r="10" spans="1:137" x14ac:dyDescent="0.35">
      <c r="B10">
        <f>-D9/2/D10</f>
        <v>10.242825607064018</v>
      </c>
      <c r="D10">
        <v>-4.5300000000000001E-4</v>
      </c>
      <c r="E10">
        <v>1.15E-4</v>
      </c>
      <c r="G10" t="s">
        <v>632</v>
      </c>
      <c r="J10" s="37">
        <f>(J9-J3)^2</f>
        <v>8.9768963025990745E-11</v>
      </c>
      <c r="K10" s="37">
        <f t="shared" ref="K10:O10" si="47">(K9-K3)^2</f>
        <v>2.2822680620919739E-10</v>
      </c>
      <c r="L10" s="37">
        <f t="shared" si="47"/>
        <v>2.8740270022014062E-10</v>
      </c>
      <c r="M10" s="37">
        <f t="shared" si="47"/>
        <v>2.2714694276343442E-10</v>
      </c>
      <c r="N10" s="37">
        <f t="shared" si="47"/>
        <v>9.0705895655066485E-11</v>
      </c>
      <c r="O10" s="37">
        <f t="shared" si="47"/>
        <v>1.3937646431446314E-13</v>
      </c>
      <c r="Q10" s="37">
        <f>SUM(J10:O10)</f>
        <v>9.2339068433814416E-10</v>
      </c>
      <c r="Z10" s="37"/>
      <c r="BV10" t="s">
        <v>628</v>
      </c>
      <c r="CC10" t="s">
        <v>741</v>
      </c>
      <c r="CK10" t="s">
        <v>747</v>
      </c>
      <c r="CS10">
        <f t="shared" si="33"/>
        <v>2027</v>
      </c>
      <c r="CT10">
        <f t="shared" si="34"/>
        <v>1.3800000000000003</v>
      </c>
      <c r="CU10">
        <f t="shared" si="35"/>
        <v>0.04</v>
      </c>
      <c r="CV10">
        <f t="shared" si="19"/>
        <v>-2.8118055992595011E-3</v>
      </c>
      <c r="CW10">
        <f t="shared" si="36"/>
        <v>0.98275874475211789</v>
      </c>
      <c r="CX10">
        <f t="shared" si="20"/>
        <v>-6.9976254585668047E-3</v>
      </c>
      <c r="CY10">
        <f t="shared" si="36"/>
        <v>0.96020626617481974</v>
      </c>
      <c r="CZ10">
        <f t="shared" si="21"/>
        <v>8.4949764574007956E-3</v>
      </c>
      <c r="DA10">
        <f t="shared" si="36"/>
        <v>1.0501978563951724</v>
      </c>
      <c r="DB10">
        <f t="shared" si="22"/>
        <v>5.1173635022998334E-3</v>
      </c>
      <c r="DC10">
        <f t="shared" si="37"/>
        <v>1.0299868933880258</v>
      </c>
      <c r="DD10">
        <f t="shared" si="23"/>
        <v>-2.6615232874954474E-3</v>
      </c>
      <c r="DE10">
        <f t="shared" si="38"/>
        <v>0.98470146730856778</v>
      </c>
      <c r="DF10">
        <f t="shared" si="24"/>
        <v>6.9144862174413887E-3</v>
      </c>
      <c r="DG10">
        <f t="shared" si="39"/>
        <v>1.040698675578611</v>
      </c>
      <c r="DH10">
        <f t="shared" si="25"/>
        <v>-3.3166064890317121E-2</v>
      </c>
      <c r="DI10">
        <f t="shared" si="40"/>
        <v>0.82315765668554886</v>
      </c>
      <c r="DJ10">
        <f t="shared" si="26"/>
        <v>-2.189412832524653E-2</v>
      </c>
      <c r="DK10">
        <f t="shared" si="41"/>
        <v>0.87998329900241945</v>
      </c>
      <c r="DL10">
        <f t="shared" si="27"/>
        <v>1.5751186444784879E-2</v>
      </c>
      <c r="DM10">
        <f t="shared" si="42"/>
        <v>1.0947680770326937</v>
      </c>
      <c r="DN10">
        <f t="shared" si="28"/>
        <v>-1.8086663365814544E-4</v>
      </c>
      <c r="DO10">
        <f t="shared" si="36"/>
        <v>0.99873792024178876</v>
      </c>
      <c r="DQ10">
        <f>(DQ13-DQ8)/5+DQ9</f>
        <v>-0.97668387641258148</v>
      </c>
      <c r="DR10">
        <f t="shared" si="29"/>
        <v>-1.3829026715813601E-4</v>
      </c>
      <c r="DS10">
        <f t="shared" si="30"/>
        <v>-1.9755752451162286E-4</v>
      </c>
      <c r="DT10">
        <f t="shared" si="43"/>
        <v>0.99867506600555644</v>
      </c>
      <c r="DU10">
        <f t="shared" si="31"/>
        <v>-0.13249339944435556</v>
      </c>
      <c r="DV10">
        <f t="shared" si="7"/>
        <v>-1.7241255247882115</v>
      </c>
      <c r="DW10">
        <f t="shared" si="8"/>
        <v>-0.12620797582112431</v>
      </c>
      <c r="DY10">
        <f t="shared" si="9"/>
        <v>-17.684234331445115</v>
      </c>
      <c r="DZ10">
        <f t="shared" si="10"/>
        <v>-12.001670099758055</v>
      </c>
      <c r="EA10">
        <f t="shared" si="11"/>
        <v>-3.9793733825180255</v>
      </c>
      <c r="EB10">
        <f t="shared" si="12"/>
        <v>-1.5298532691432221</v>
      </c>
      <c r="EC10">
        <f t="shared" si="13"/>
        <v>-1.7241255247882115</v>
      </c>
      <c r="ED10">
        <f t="shared" si="14"/>
        <v>2.9986893388025848</v>
      </c>
      <c r="EE10">
        <f t="shared" si="15"/>
        <v>4.0698675578610954</v>
      </c>
      <c r="EF10">
        <f t="shared" si="16"/>
        <v>5.019785639517238</v>
      </c>
      <c r="EG10">
        <f t="shared" si="32"/>
        <v>9.4768077032693743</v>
      </c>
    </row>
    <row r="11" spans="1:137" x14ac:dyDescent="0.35">
      <c r="B11" t="s">
        <v>627</v>
      </c>
      <c r="C11">
        <v>2012</v>
      </c>
      <c r="D11">
        <f>-1.394/100</f>
        <v>-1.3939999999999999E-2</v>
      </c>
      <c r="E11">
        <f>0.408/100</f>
        <v>4.0799999999999994E-3</v>
      </c>
      <c r="F11" t="s">
        <v>690</v>
      </c>
      <c r="G11" t="s">
        <v>631</v>
      </c>
      <c r="H11" t="s">
        <v>736</v>
      </c>
      <c r="Z11" s="37"/>
      <c r="BU11" t="s">
        <v>743</v>
      </c>
      <c r="BV11">
        <v>6.4099999999999999E-3</v>
      </c>
      <c r="BW11">
        <f>BV11/BX11</f>
        <v>6.1634615384615378E-3</v>
      </c>
      <c r="BX11">
        <v>1.04</v>
      </c>
      <c r="CC11">
        <v>2.1700000000000001E-3</v>
      </c>
      <c r="CD11">
        <v>2.0999999999999999E-3</v>
      </c>
      <c r="CK11">
        <v>9.6000000000000002E-4</v>
      </c>
      <c r="CL11">
        <v>2E-3</v>
      </c>
      <c r="CS11">
        <f t="shared" si="33"/>
        <v>2028</v>
      </c>
      <c r="CT11">
        <f t="shared" si="34"/>
        <v>1.4200000000000004</v>
      </c>
      <c r="CU11">
        <f t="shared" si="35"/>
        <v>0.04</v>
      </c>
      <c r="CV11">
        <f t="shared" si="19"/>
        <v>-2.8946249264435774E-3</v>
      </c>
      <c r="CW11">
        <f t="shared" si="36"/>
        <v>0.97999541821090264</v>
      </c>
      <c r="CX11">
        <f t="shared" si="20"/>
        <v>-7.3214712354825748E-3</v>
      </c>
      <c r="CY11">
        <f t="shared" si="36"/>
        <v>0.95348710236115941</v>
      </c>
      <c r="CZ11">
        <f t="shared" si="21"/>
        <v>8.8881187121581072E-3</v>
      </c>
      <c r="DA11">
        <f t="shared" si="36"/>
        <v>1.0591192624608621</v>
      </c>
      <c r="DB11">
        <f t="shared" si="22"/>
        <v>5.3541919191642754E-3</v>
      </c>
      <c r="DC11">
        <f t="shared" si="37"/>
        <v>1.035257710724097</v>
      </c>
      <c r="DD11">
        <f t="shared" si="23"/>
        <v>-2.7846969386035062E-3</v>
      </c>
      <c r="DE11">
        <f t="shared" si="38"/>
        <v>0.98208066142209505</v>
      </c>
      <c r="DF11">
        <f t="shared" si="24"/>
        <v>7.2344843617146472E-3</v>
      </c>
      <c r="DG11">
        <f t="shared" si="39"/>
        <v>1.0478945722274087</v>
      </c>
      <c r="DH11">
        <f t="shared" si="25"/>
        <v>-3.4700969854185165E-2</v>
      </c>
      <c r="DI11">
        <f t="shared" si="40"/>
        <v>0.79585675642895448</v>
      </c>
      <c r="DJ11">
        <f t="shared" si="26"/>
        <v>-2.2907375038630242E-2</v>
      </c>
      <c r="DK11">
        <f t="shared" si="41"/>
        <v>0.8607168317299867</v>
      </c>
      <c r="DL11">
        <f t="shared" si="27"/>
        <v>1.6480141608469966E-2</v>
      </c>
      <c r="DM11">
        <f t="shared" si="42"/>
        <v>1.1120119731278342</v>
      </c>
      <c r="DN11">
        <f t="shared" si="28"/>
        <v>-1.809846156500187E-4</v>
      </c>
      <c r="DO11">
        <f t="shared" si="36"/>
        <v>0.99855728187624793</v>
      </c>
      <c r="DQ11">
        <f>(DQ13-DQ8)/5+DQ10</f>
        <v>-1.0119319451411257</v>
      </c>
      <c r="DR11">
        <f t="shared" si="29"/>
        <v>-1.3830939400118249E-4</v>
      </c>
      <c r="DS11">
        <f t="shared" si="30"/>
        <v>-1.9758484857311786E-4</v>
      </c>
      <c r="DT11">
        <f t="shared" si="43"/>
        <v>0.9984777702317249</v>
      </c>
      <c r="DU11">
        <f t="shared" si="31"/>
        <v>-0.15222297682750963</v>
      </c>
      <c r="DV11">
        <f t="shared" si="7"/>
        <v>-2.0004581789097364</v>
      </c>
      <c r="DW11">
        <f t="shared" si="8"/>
        <v>-0.14427181237520736</v>
      </c>
      <c r="DY11">
        <f t="shared" si="9"/>
        <v>-20.414324357104551</v>
      </c>
      <c r="DZ11">
        <f t="shared" si="10"/>
        <v>-13.92831682700133</v>
      </c>
      <c r="EA11">
        <f t="shared" si="11"/>
        <v>-4.6512897638840585</v>
      </c>
      <c r="EB11">
        <f t="shared" si="12"/>
        <v>-1.7919338577904953</v>
      </c>
      <c r="EC11">
        <f t="shared" si="13"/>
        <v>-2.0004581789097364</v>
      </c>
      <c r="ED11">
        <f t="shared" si="14"/>
        <v>3.5257710724097002</v>
      </c>
      <c r="EE11">
        <f t="shared" si="15"/>
        <v>4.7894572227408672</v>
      </c>
      <c r="EF11">
        <f t="shared" si="16"/>
        <v>5.9119262460862076</v>
      </c>
      <c r="EG11">
        <f t="shared" si="32"/>
        <v>11.201197312783417</v>
      </c>
    </row>
    <row r="12" spans="1:137" x14ac:dyDescent="0.35">
      <c r="B12" t="s">
        <v>629</v>
      </c>
      <c r="C12">
        <v>2018</v>
      </c>
      <c r="D12">
        <v>1.15E-2</v>
      </c>
      <c r="E12">
        <v>2.8999999999999998E-3</v>
      </c>
      <c r="F12" t="s">
        <v>690</v>
      </c>
      <c r="G12" t="s">
        <v>631</v>
      </c>
      <c r="J12" s="33">
        <f t="shared" ref="J12:O12" si="48">MAX(J23+J24,Q23+Q24,X23+X24,AE23+AE24,AL23+AL24,AS23+AS24,BV28+BV35)</f>
        <v>7.0058058085509549E-3</v>
      </c>
      <c r="K12" s="33">
        <f t="shared" si="48"/>
        <v>1.3327326794152128E-2</v>
      </c>
      <c r="L12" s="33">
        <f t="shared" si="48"/>
        <v>1.8971784899504344E-2</v>
      </c>
      <c r="M12" s="33">
        <f t="shared" si="48"/>
        <v>2.3945681877250158E-2</v>
      </c>
      <c r="N12" s="33">
        <f t="shared" si="48"/>
        <v>2.8254876121682392E-2</v>
      </c>
      <c r="O12" s="33">
        <f t="shared" si="48"/>
        <v>3.1904651565146838E-2</v>
      </c>
      <c r="Z12" s="37"/>
      <c r="BU12" t="s">
        <v>743</v>
      </c>
      <c r="BV12">
        <v>3.4499999999999999E-3</v>
      </c>
      <c r="BW12">
        <f>BV12/BX12</f>
        <v>5.1492537313432831E-3</v>
      </c>
      <c r="BX12">
        <v>0.67</v>
      </c>
      <c r="CC12">
        <v>-3.0699999999999998E-4</v>
      </c>
      <c r="CD12">
        <v>2.0999999999999999E-3</v>
      </c>
      <c r="CK12">
        <v>-2.3E-3</v>
      </c>
      <c r="CL12">
        <v>2.3999999999999998E-3</v>
      </c>
      <c r="CS12">
        <f t="shared" si="33"/>
        <v>2029</v>
      </c>
      <c r="CT12">
        <f t="shared" si="34"/>
        <v>1.4600000000000004</v>
      </c>
      <c r="CU12">
        <f t="shared" si="35"/>
        <v>0.04</v>
      </c>
      <c r="CV12">
        <f t="shared" si="19"/>
        <v>-2.9775184911268837E-3</v>
      </c>
      <c r="CW12">
        <f t="shared" si="36"/>
        <v>0.97715869904554886</v>
      </c>
      <c r="CX12">
        <f t="shared" si="20"/>
        <v>-7.6521348182281498E-3</v>
      </c>
      <c r="CY12">
        <f t="shared" si="36"/>
        <v>0.94650617396781855</v>
      </c>
      <c r="CZ12">
        <f t="shared" si="21"/>
        <v>9.2895376459629433E-3</v>
      </c>
      <c r="DA12">
        <f t="shared" si="36"/>
        <v>1.0685328401959475</v>
      </c>
      <c r="DB12">
        <f t="shared" si="22"/>
        <v>5.5960061974363907E-3</v>
      </c>
      <c r="DC12">
        <f t="shared" si="37"/>
        <v>1.0408006791931084</v>
      </c>
      <c r="DD12">
        <f t="shared" si="23"/>
        <v>-2.9104637192085767E-3</v>
      </c>
      <c r="DE12">
        <f t="shared" si="38"/>
        <v>0.97934586441077121</v>
      </c>
      <c r="DF12">
        <f t="shared" si="24"/>
        <v>7.5612193090252387E-3</v>
      </c>
      <c r="DG12">
        <f t="shared" si="39"/>
        <v>1.0554755491229135</v>
      </c>
      <c r="DH12">
        <f t="shared" si="25"/>
        <v>-3.626818860676622E-2</v>
      </c>
      <c r="DI12">
        <f t="shared" si="40"/>
        <v>0.76823975511586373</v>
      </c>
      <c r="DJ12">
        <f t="shared" si="26"/>
        <v>-2.3941953261769407E-2</v>
      </c>
      <c r="DK12">
        <f t="shared" si="41"/>
        <v>0.84100006846348629</v>
      </c>
      <c r="DL12">
        <f t="shared" si="27"/>
        <v>1.7224443196653685E-2</v>
      </c>
      <c r="DM12">
        <f t="shared" si="42"/>
        <v>1.1303380879152949</v>
      </c>
      <c r="DN12">
        <f t="shared" si="28"/>
        <v>-1.8110259764189194E-4</v>
      </c>
      <c r="DO12">
        <f t="shared" si="36"/>
        <v>0.99837655837038308</v>
      </c>
      <c r="DQ12">
        <f>(DQ13-DQ8)/5+DQ11</f>
        <v>-1.0471800138696699</v>
      </c>
      <c r="DR12">
        <f t="shared" si="29"/>
        <v>-1.383285261358054E-4</v>
      </c>
      <c r="DS12">
        <f t="shared" si="30"/>
        <v>-1.9761218019400772E-4</v>
      </c>
      <c r="DT12">
        <f t="shared" si="43"/>
        <v>0.99828048615269005</v>
      </c>
      <c r="DU12">
        <f t="shared" si="31"/>
        <v>-0.17195138473099503</v>
      </c>
      <c r="DV12">
        <f t="shared" si="7"/>
        <v>-2.2841300954451138</v>
      </c>
      <c r="DW12">
        <f t="shared" si="8"/>
        <v>-0.16234416296169174</v>
      </c>
      <c r="DY12">
        <f t="shared" si="9"/>
        <v>-23.176024488413628</v>
      </c>
      <c r="DZ12">
        <f t="shared" si="10"/>
        <v>-15.899993153651371</v>
      </c>
      <c r="EA12">
        <f t="shared" si="11"/>
        <v>-5.3493826032181442</v>
      </c>
      <c r="EB12">
        <f t="shared" si="12"/>
        <v>-2.0654135589228795</v>
      </c>
      <c r="EC12">
        <f t="shared" si="13"/>
        <v>-2.2841300954451138</v>
      </c>
      <c r="ED12">
        <f t="shared" si="14"/>
        <v>4.0800679193108369</v>
      </c>
      <c r="EE12">
        <f t="shared" si="15"/>
        <v>5.5475549122913526</v>
      </c>
      <c r="EF12">
        <f t="shared" si="16"/>
        <v>6.853284019594752</v>
      </c>
      <c r="EG12">
        <f t="shared" si="32"/>
        <v>13.033808791529488</v>
      </c>
    </row>
    <row r="13" spans="1:137" x14ac:dyDescent="0.35">
      <c r="B13">
        <f>-D12/2/D13</f>
        <v>14.374999999999998</v>
      </c>
      <c r="D13">
        <v>-4.0000000000000002E-4</v>
      </c>
      <c r="E13">
        <v>1E-4</v>
      </c>
      <c r="G13" t="s">
        <v>632</v>
      </c>
      <c r="J13" s="33">
        <f t="shared" ref="J13:O13" si="49">MIN(J23-J24,Q23-Q24,X23-X24,AE23-AE24,AL23-AL24,AS23-AS24,BV28-BV35)</f>
        <v>-1.7812027111065051E-2</v>
      </c>
      <c r="K13" s="33">
        <f t="shared" si="49"/>
        <v>-3.734300615216006E-2</v>
      </c>
      <c r="L13" s="33">
        <f t="shared" si="49"/>
        <v>-5.8601031437426607E-2</v>
      </c>
      <c r="M13" s="33">
        <f t="shared" si="49"/>
        <v>-8.1593745858571876E-2</v>
      </c>
      <c r="N13" s="33">
        <f t="shared" si="49"/>
        <v>-0.10632835867225318</v>
      </c>
      <c r="O13" s="33">
        <f t="shared" si="49"/>
        <v>-0.13281166402808775</v>
      </c>
      <c r="BV13" s="33">
        <f>BV11+BV12</f>
        <v>9.8600000000000007E-3</v>
      </c>
      <c r="BW13">
        <f>SQRT(BW11^2+BW12^2)</f>
        <v>8.0313804620281443E-3</v>
      </c>
      <c r="CC13" s="33">
        <f>CC11+CC12</f>
        <v>1.8630000000000001E-3</v>
      </c>
      <c r="CD13">
        <f>SQRT(CD11^2+CD12^2)</f>
        <v>2.9698484809834993E-3</v>
      </c>
      <c r="CK13" s="33">
        <f>CK11+CK12</f>
        <v>-1.34E-3</v>
      </c>
      <c r="CL13">
        <f>SQRT(CL11^2+CL12^2)</f>
        <v>3.1240998703626613E-3</v>
      </c>
      <c r="CS13">
        <f t="shared" si="33"/>
        <v>2030</v>
      </c>
      <c r="CT13">
        <f t="shared" si="34"/>
        <v>1.5000000000000004</v>
      </c>
      <c r="CU13">
        <f t="shared" si="35"/>
        <v>0.04</v>
      </c>
      <c r="CV13">
        <f t="shared" si="19"/>
        <v>-3.0604862933094204E-3</v>
      </c>
      <c r="CW13">
        <f t="shared" si="36"/>
        <v>0.97424919095037521</v>
      </c>
      <c r="CX13">
        <f t="shared" si="20"/>
        <v>-7.9896162068035324E-3</v>
      </c>
      <c r="CY13">
        <f t="shared" si="36"/>
        <v>0.93926338111833152</v>
      </c>
      <c r="CZ13">
        <f t="shared" si="21"/>
        <v>9.6992332588153023E-3</v>
      </c>
      <c r="DA13">
        <f t="shared" si="36"/>
        <v>1.0784590162408956</v>
      </c>
      <c r="DB13">
        <f t="shared" si="22"/>
        <v>5.8428063371161786E-3</v>
      </c>
      <c r="DC13">
        <f t="shared" si="37"/>
        <v>1.0466250062441691</v>
      </c>
      <c r="DD13">
        <f t="shared" si="23"/>
        <v>-3.0388236293106591E-3</v>
      </c>
      <c r="DE13">
        <f t="shared" si="38"/>
        <v>0.97649551380384669</v>
      </c>
      <c r="DF13">
        <f t="shared" si="24"/>
        <v>7.8946910593731615E-3</v>
      </c>
      <c r="DG13">
        <f t="shared" si="39"/>
        <v>1.0634562312251459</v>
      </c>
      <c r="DH13">
        <f t="shared" si="25"/>
        <v>-3.7867721148060293E-2</v>
      </c>
      <c r="DI13">
        <f t="shared" si="40"/>
        <v>0.74037709078210567</v>
      </c>
      <c r="DJ13">
        <f t="shared" si="26"/>
        <v>-2.4997862994664014E-2</v>
      </c>
      <c r="DK13">
        <f t="shared" si="41"/>
        <v>0.82086488413118863</v>
      </c>
      <c r="DL13">
        <f t="shared" si="27"/>
        <v>1.7984091209336042E-2</v>
      </c>
      <c r="DM13">
        <f t="shared" si="42"/>
        <v>1.1498075321036061</v>
      </c>
      <c r="DN13">
        <f t="shared" si="28"/>
        <v>-1.812205796337652E-4</v>
      </c>
      <c r="DO13">
        <f t="shared" si="36"/>
        <v>0.99819574978223735</v>
      </c>
      <c r="DP13">
        <f>graph!A38</f>
        <v>1.5000000000000002</v>
      </c>
      <c r="DQ13">
        <f>DS1*graph!B38</f>
        <v>-1.082428082598214</v>
      </c>
      <c r="DR13">
        <f t="shared" si="29"/>
        <v>-1.4638084609742153E-4</v>
      </c>
      <c r="DS13">
        <f t="shared" si="30"/>
        <v>-2.0911549442488789E-4</v>
      </c>
      <c r="DT13">
        <f t="shared" si="43"/>
        <v>0.99808321376937625</v>
      </c>
      <c r="DU13">
        <f t="shared" si="31"/>
        <v>-0.1916786230623746</v>
      </c>
      <c r="DV13">
        <f t="shared" si="7"/>
        <v>-2.575080904962479</v>
      </c>
      <c r="DW13">
        <f t="shared" si="8"/>
        <v>-0.18042502177626485</v>
      </c>
      <c r="DY13">
        <f t="shared" si="9"/>
        <v>-25.962290921789432</v>
      </c>
      <c r="DZ13">
        <f t="shared" si="10"/>
        <v>-17.913511586881135</v>
      </c>
      <c r="EA13">
        <f t="shared" si="11"/>
        <v>-6.073661888166848</v>
      </c>
      <c r="EB13">
        <f t="shared" si="12"/>
        <v>-2.3504486196153307</v>
      </c>
      <c r="EC13">
        <f t="shared" si="13"/>
        <v>-2.575080904962479</v>
      </c>
      <c r="ED13">
        <f t="shared" si="14"/>
        <v>4.6625006244169098</v>
      </c>
      <c r="EE13">
        <f t="shared" si="15"/>
        <v>6.3456231225145876</v>
      </c>
      <c r="EF13">
        <f t="shared" si="16"/>
        <v>7.8459016240895574</v>
      </c>
      <c r="EG13">
        <f t="shared" si="32"/>
        <v>14.980753210360609</v>
      </c>
    </row>
    <row r="14" spans="1:137" x14ac:dyDescent="0.35">
      <c r="B14" t="s">
        <v>630</v>
      </c>
      <c r="C14">
        <v>2015</v>
      </c>
      <c r="D14">
        <v>1.2699999999999999E-2</v>
      </c>
      <c r="E14">
        <v>3.7000000000000002E-3</v>
      </c>
      <c r="F14" t="s">
        <v>690</v>
      </c>
      <c r="G14" t="s">
        <v>631</v>
      </c>
      <c r="BU14" t="s">
        <v>744</v>
      </c>
      <c r="BV14">
        <v>-1.09E-3</v>
      </c>
      <c r="BW14">
        <f>BV14/BX14</f>
        <v>5.3431372549019604E-4</v>
      </c>
      <c r="BX14">
        <v>-2.04</v>
      </c>
      <c r="CC14">
        <v>-1.0200000000000001E-3</v>
      </c>
      <c r="CD14">
        <v>2.0000000000000001E-4</v>
      </c>
      <c r="CK14">
        <v>-1.1000000000000001E-3</v>
      </c>
      <c r="CL14">
        <v>2.0000000000000001E-4</v>
      </c>
      <c r="CS14">
        <f t="shared" si="33"/>
        <v>2031</v>
      </c>
      <c r="CT14">
        <f t="shared" si="34"/>
        <v>1.5400000000000005</v>
      </c>
      <c r="CU14">
        <f t="shared" si="35"/>
        <v>0.04</v>
      </c>
      <c r="CV14">
        <f t="shared" si="19"/>
        <v>-3.1435283329911872E-3</v>
      </c>
      <c r="CW14">
        <f t="shared" si="36"/>
        <v>0.97126751465520378</v>
      </c>
      <c r="CX14">
        <f t="shared" si="20"/>
        <v>-8.3339154012087181E-3</v>
      </c>
      <c r="CY14">
        <f t="shared" si="36"/>
        <v>0.93175902718609149</v>
      </c>
      <c r="CZ14">
        <f t="shared" si="21"/>
        <v>1.0117205550715182E-2</v>
      </c>
      <c r="DA14">
        <f t="shared" si="36"/>
        <v>1.0889192417994884</v>
      </c>
      <c r="DB14">
        <f t="shared" si="22"/>
        <v>6.0945923382036381E-3</v>
      </c>
      <c r="DC14">
        <f t="shared" si="37"/>
        <v>1.0527402334632368</v>
      </c>
      <c r="DD14">
        <f t="shared" si="23"/>
        <v>-3.1697766689097531E-3</v>
      </c>
      <c r="DE14">
        <f t="shared" si="38"/>
        <v>0.97352811616258372</v>
      </c>
      <c r="DF14">
        <f t="shared" si="24"/>
        <v>8.2348996127584138E-3</v>
      </c>
      <c r="DG14">
        <f t="shared" si="39"/>
        <v>1.0718518896258338</v>
      </c>
      <c r="DH14">
        <f t="shared" si="25"/>
        <v>-3.9499567478067363E-2</v>
      </c>
      <c r="DI14">
        <f t="shared" si="40"/>
        <v>0.71234069756395679</v>
      </c>
      <c r="DJ14">
        <f t="shared" si="26"/>
        <v>-2.6075104237314069E-2</v>
      </c>
      <c r="DK14">
        <f t="shared" si="41"/>
        <v>0.80034501622054643</v>
      </c>
      <c r="DL14">
        <f t="shared" si="27"/>
        <v>1.8759085646517029E-2</v>
      </c>
      <c r="DM14">
        <f t="shared" si="42"/>
        <v>1.1704857756341389</v>
      </c>
      <c r="DN14">
        <f t="shared" si="28"/>
        <v>-1.8133856162563843E-4</v>
      </c>
      <c r="DO14">
        <f t="shared" si="36"/>
        <v>0.99801485616987384</v>
      </c>
      <c r="DQ14">
        <f>(DQ18-DQ13)/5+DQ13</f>
        <v>-1.1197228369211882</v>
      </c>
      <c r="DR14">
        <f t="shared" si="29"/>
        <v>-1.4640227658653887E-4</v>
      </c>
      <c r="DS14">
        <f t="shared" si="30"/>
        <v>-2.0914610940934124E-4</v>
      </c>
      <c r="DT14">
        <f t="shared" si="43"/>
        <v>0.99787449910465165</v>
      </c>
      <c r="DU14">
        <f t="shared" si="31"/>
        <v>-0.21255008953483534</v>
      </c>
      <c r="DV14">
        <f t="shared" si="7"/>
        <v>-2.8732485344796221</v>
      </c>
      <c r="DW14">
        <f t="shared" si="8"/>
        <v>-0.1985143830126157</v>
      </c>
      <c r="DY14">
        <f t="shared" si="9"/>
        <v>-28.76593024360432</v>
      </c>
      <c r="DZ14">
        <f t="shared" si="10"/>
        <v>-19.965498377945355</v>
      </c>
      <c r="EA14">
        <f t="shared" si="11"/>
        <v>-6.8240972813908503</v>
      </c>
      <c r="EB14">
        <f t="shared" si="12"/>
        <v>-2.6471883837416277</v>
      </c>
      <c r="EC14">
        <f t="shared" si="13"/>
        <v>-2.8732485344796221</v>
      </c>
      <c r="ED14">
        <f t="shared" si="14"/>
        <v>5.2740233463236752</v>
      </c>
      <c r="EE14">
        <f t="shared" si="15"/>
        <v>7.1851889625833776</v>
      </c>
      <c r="EF14">
        <f t="shared" si="16"/>
        <v>8.8919241799488411</v>
      </c>
      <c r="EG14">
        <f t="shared" si="32"/>
        <v>17.048577563413893</v>
      </c>
    </row>
    <row r="15" spans="1:137" x14ac:dyDescent="0.35">
      <c r="B15">
        <f>-D14/2/D15</f>
        <v>12.7</v>
      </c>
      <c r="D15">
        <v>-5.0000000000000001E-4</v>
      </c>
      <c r="E15">
        <v>2.0000000000000001E-4</v>
      </c>
      <c r="G15" t="s">
        <v>632</v>
      </c>
      <c r="BU15" t="s">
        <v>745</v>
      </c>
      <c r="BV15">
        <v>-7.18E-4</v>
      </c>
      <c r="BW15">
        <f>BV15/BX15</f>
        <v>4.2485207100591716E-4</v>
      </c>
      <c r="BX15">
        <v>-1.69</v>
      </c>
      <c r="CC15">
        <v>-7.4600000000000003E-4</v>
      </c>
      <c r="CD15">
        <v>2.0000000000000001E-4</v>
      </c>
      <c r="CK15">
        <v>-6.4999999999999997E-4</v>
      </c>
      <c r="CL15">
        <v>2.1000000000000001E-4</v>
      </c>
      <c r="CS15">
        <f t="shared" si="33"/>
        <v>2032</v>
      </c>
      <c r="CT15">
        <f t="shared" si="34"/>
        <v>1.5800000000000005</v>
      </c>
      <c r="CU15">
        <f t="shared" si="35"/>
        <v>0.04</v>
      </c>
      <c r="CV15">
        <f t="shared" si="19"/>
        <v>-3.2266446101721839E-3</v>
      </c>
      <c r="CW15">
        <f t="shared" si="36"/>
        <v>0.96821430770397121</v>
      </c>
      <c r="CX15">
        <f t="shared" si="20"/>
        <v>-8.6850324014437121E-3</v>
      </c>
      <c r="CY15">
        <f t="shared" si="36"/>
        <v>0.92399382627921001</v>
      </c>
      <c r="CZ15">
        <f t="shared" si="21"/>
        <v>1.0543454521662589E-2</v>
      </c>
      <c r="DA15">
        <f t="shared" si="36"/>
        <v>1.0999360615969029</v>
      </c>
      <c r="DB15">
        <f t="shared" si="22"/>
        <v>6.3513642006987709E-3</v>
      </c>
      <c r="DC15">
        <f t="shared" si="37"/>
        <v>1.0591562560242205</v>
      </c>
      <c r="DD15">
        <f t="shared" si="23"/>
        <v>-3.3033228380058592E-3</v>
      </c>
      <c r="DE15">
        <f t="shared" si="38"/>
        <v>0.97044224945344393</v>
      </c>
      <c r="DF15">
        <f t="shared" si="24"/>
        <v>8.581844969181001E-3</v>
      </c>
      <c r="DG15">
        <f t="shared" si="39"/>
        <v>1.080678482336648</v>
      </c>
      <c r="DH15">
        <f t="shared" si="25"/>
        <v>-4.1163727596787464E-2</v>
      </c>
      <c r="DI15">
        <f t="shared" si="40"/>
        <v>0.68420354811315565</v>
      </c>
      <c r="DJ15">
        <f t="shared" si="26"/>
        <v>-2.7173676989719571E-2</v>
      </c>
      <c r="DK15">
        <f t="shared" si="41"/>
        <v>0.77947593649678082</v>
      </c>
      <c r="DL15">
        <f t="shared" si="27"/>
        <v>1.9549426508196653E-2</v>
      </c>
      <c r="DM15">
        <f t="shared" si="42"/>
        <v>1.1924430185472896</v>
      </c>
      <c r="DN15">
        <f t="shared" si="28"/>
        <v>-1.8145654361751166E-4</v>
      </c>
      <c r="DO15">
        <f t="shared" si="36"/>
        <v>0.99783387759137498</v>
      </c>
      <c r="DQ15">
        <f>(DQ18-DQ13)/5+DQ14</f>
        <v>-1.1570175912441625</v>
      </c>
      <c r="DR15">
        <f t="shared" si="29"/>
        <v>-1.4642371335151977E-4</v>
      </c>
      <c r="DS15">
        <f t="shared" si="30"/>
        <v>-2.0917673335931397E-4</v>
      </c>
      <c r="DT15">
        <f t="shared" si="43"/>
        <v>0.99766579753548512</v>
      </c>
      <c r="DU15">
        <f t="shared" si="31"/>
        <v>-0.23342024645148785</v>
      </c>
      <c r="DV15">
        <f t="shared" si="7"/>
        <v>-3.1785692296028789</v>
      </c>
      <c r="DW15">
        <f t="shared" si="8"/>
        <v>-0.21661224086250153</v>
      </c>
      <c r="DY15">
        <f t="shared" si="9"/>
        <v>-31.579645188684434</v>
      </c>
      <c r="DZ15">
        <f t="shared" si="10"/>
        <v>-22.052406350321917</v>
      </c>
      <c r="EA15">
        <f t="shared" si="11"/>
        <v>-7.6006173720789993</v>
      </c>
      <c r="EB15">
        <f t="shared" si="12"/>
        <v>-2.9557750546556072</v>
      </c>
      <c r="EC15">
        <f t="shared" si="13"/>
        <v>-3.1785692296028789</v>
      </c>
      <c r="ED15">
        <f t="shared" si="14"/>
        <v>5.9156256024220477</v>
      </c>
      <c r="EE15">
        <f t="shared" si="15"/>
        <v>8.0678482336647974</v>
      </c>
      <c r="EF15">
        <f t="shared" si="16"/>
        <v>9.9936061596902945</v>
      </c>
      <c r="EG15">
        <f t="shared" si="32"/>
        <v>19.244301854728963</v>
      </c>
    </row>
    <row r="16" spans="1:137" x14ac:dyDescent="0.35">
      <c r="B16" t="s">
        <v>750</v>
      </c>
      <c r="C16">
        <v>2020</v>
      </c>
      <c r="D16">
        <v>1.3469999999999999E-2</v>
      </c>
      <c r="E16">
        <v>3.5699999999999998E-3</v>
      </c>
      <c r="G16" t="s">
        <v>631</v>
      </c>
      <c r="BV16" s="33">
        <f>BV14+BV15</f>
        <v>-1.8080000000000001E-3</v>
      </c>
      <c r="BW16">
        <f>SQRT(BW14^2+BW15^2)</f>
        <v>6.8263492401519378E-4</v>
      </c>
      <c r="CC16" s="33">
        <f>CC14+CC15</f>
        <v>-1.7660000000000002E-3</v>
      </c>
      <c r="CD16">
        <f>SQRT(CD14^2+CD15^2)</f>
        <v>2.8284271247461902E-4</v>
      </c>
      <c r="CK16" s="33">
        <f>CK14+CK15</f>
        <v>-1.75E-3</v>
      </c>
      <c r="CL16">
        <f>SQRT(CL14^2+CL15^2)</f>
        <v>2.9E-4</v>
      </c>
      <c r="CS16">
        <f t="shared" si="33"/>
        <v>2033</v>
      </c>
      <c r="CT16">
        <f t="shared" si="34"/>
        <v>1.6200000000000006</v>
      </c>
      <c r="CU16">
        <f t="shared" si="35"/>
        <v>0.04</v>
      </c>
      <c r="CV16">
        <f t="shared" si="19"/>
        <v>-3.3098351248524115E-3</v>
      </c>
      <c r="CW16">
        <f t="shared" si="36"/>
        <v>0.96509022422652657</v>
      </c>
      <c r="CX16">
        <f t="shared" si="20"/>
        <v>-9.0429672075085094E-3</v>
      </c>
      <c r="CY16">
        <f t="shared" si="36"/>
        <v>0.91596890995924118</v>
      </c>
      <c r="CZ16">
        <f t="shared" si="21"/>
        <v>1.0977980171657513E-2</v>
      </c>
      <c r="DA16">
        <f t="shared" si="36"/>
        <v>1.1115331874390864</v>
      </c>
      <c r="DB16">
        <f t="shared" si="22"/>
        <v>6.6131219246015754E-3</v>
      </c>
      <c r="DC16">
        <f t="shared" si="37"/>
        <v>1.0658833431516788</v>
      </c>
      <c r="DD16">
        <f t="shared" si="23"/>
        <v>-3.4394621365989768E-3</v>
      </c>
      <c r="DE16">
        <f t="shared" si="38"/>
        <v>0.96723656540785863</v>
      </c>
      <c r="DF16">
        <f t="shared" si="24"/>
        <v>8.9355271286409195E-3</v>
      </c>
      <c r="DG16">
        <f t="shared" si="39"/>
        <v>1.0899526975335909</v>
      </c>
      <c r="DH16">
        <f t="shared" si="25"/>
        <v>-4.2860201504220569E-2</v>
      </c>
      <c r="DI16">
        <f t="shared" si="40"/>
        <v>0.65603917963787028</v>
      </c>
      <c r="DJ16">
        <f t="shared" si="26"/>
        <v>-2.8293581251880518E-2</v>
      </c>
      <c r="DK16">
        <f t="shared" si="41"/>
        <v>0.75829470917715813</v>
      </c>
      <c r="DL16">
        <f t="shared" si="27"/>
        <v>2.0355113794374907E-2</v>
      </c>
      <c r="DM16">
        <f t="shared" si="42"/>
        <v>1.215754595703592</v>
      </c>
      <c r="DN16">
        <f t="shared" si="28"/>
        <v>-1.8157452560938489E-4</v>
      </c>
      <c r="DO16">
        <f t="shared" si="36"/>
        <v>0.99765281410484274</v>
      </c>
      <c r="DQ16">
        <f>(DQ18-DQ13)/5+DQ15</f>
        <v>-1.1943123455671367</v>
      </c>
      <c r="DR16">
        <f t="shared" si="29"/>
        <v>-1.4644515639512147E-4</v>
      </c>
      <c r="DS16">
        <f t="shared" si="30"/>
        <v>-2.0920736627874496E-4</v>
      </c>
      <c r="DT16">
        <f t="shared" si="43"/>
        <v>0.99745710906297236</v>
      </c>
      <c r="DU16">
        <f t="shared" si="31"/>
        <v>-0.2542890937027642</v>
      </c>
      <c r="DV16">
        <f t="shared" si="7"/>
        <v>-3.4909775773473428</v>
      </c>
      <c r="DW16">
        <f t="shared" si="8"/>
        <v>-0.23471858951572555</v>
      </c>
      <c r="DY16">
        <f t="shared" si="9"/>
        <v>-34.396082036212974</v>
      </c>
      <c r="DZ16">
        <f t="shared" si="10"/>
        <v>-24.170529082284187</v>
      </c>
      <c r="EA16">
        <f t="shared" si="11"/>
        <v>-8.4031090040758816</v>
      </c>
      <c r="EB16">
        <f t="shared" si="12"/>
        <v>-3.2763434592141372</v>
      </c>
      <c r="EC16">
        <f t="shared" si="13"/>
        <v>-3.4909775773473428</v>
      </c>
      <c r="ED16">
        <f t="shared" si="14"/>
        <v>6.5883343151678764</v>
      </c>
      <c r="EE16">
        <f t="shared" si="15"/>
        <v>8.9952697533590928</v>
      </c>
      <c r="EF16">
        <f t="shared" si="16"/>
        <v>11.153318743908635</v>
      </c>
      <c r="EG16">
        <f t="shared" si="32"/>
        <v>21.5754595703592</v>
      </c>
    </row>
    <row r="17" spans="2:137" x14ac:dyDescent="0.35">
      <c r="B17">
        <f>-D16/2/D17</f>
        <v>13.205882352941176</v>
      </c>
      <c r="D17">
        <v>-5.1000000000000004E-4</v>
      </c>
      <c r="E17">
        <v>1.1E-4</v>
      </c>
      <c r="G17" t="s">
        <v>632</v>
      </c>
      <c r="BU17" t="s">
        <v>544</v>
      </c>
      <c r="BV17">
        <v>-6.7499999999999999E-3</v>
      </c>
      <c r="BW17">
        <f>BV17/BX17</f>
        <v>9.1216216216216221E-3</v>
      </c>
      <c r="BX17">
        <v>-0.74</v>
      </c>
      <c r="CS17">
        <f t="shared" si="33"/>
        <v>2034</v>
      </c>
      <c r="CT17">
        <f t="shared" si="34"/>
        <v>1.6600000000000006</v>
      </c>
      <c r="CU17">
        <f t="shared" si="35"/>
        <v>0.04</v>
      </c>
      <c r="CV17">
        <f t="shared" si="19"/>
        <v>-3.3930998770318691E-3</v>
      </c>
      <c r="CW17">
        <f t="shared" si="36"/>
        <v>0.96189593470372992</v>
      </c>
      <c r="CX17">
        <f t="shared" si="20"/>
        <v>-9.407719819403115E-3</v>
      </c>
      <c r="CY17">
        <f t="shared" si="36"/>
        <v>0.90768583314338247</v>
      </c>
      <c r="CZ17">
        <f t="shared" si="21"/>
        <v>1.1420782500699962E-2</v>
      </c>
      <c r="DA17">
        <f t="shared" si="36"/>
        <v>1.1237355767309318</v>
      </c>
      <c r="DB17">
        <f t="shared" si="22"/>
        <v>6.8798655099120542E-3</v>
      </c>
      <c r="DC17">
        <f t="shared" si="37"/>
        <v>1.0729321596573427</v>
      </c>
      <c r="DD17">
        <f t="shared" si="23"/>
        <v>-3.5781945646891061E-3</v>
      </c>
      <c r="DE17">
        <f t="shared" si="38"/>
        <v>0.96390979186400427</v>
      </c>
      <c r="DF17">
        <f t="shared" si="24"/>
        <v>9.2959460911381693E-3</v>
      </c>
      <c r="DG17">
        <f t="shared" si="39"/>
        <v>1.0996919994313377</v>
      </c>
      <c r="DH17">
        <f t="shared" si="25"/>
        <v>-4.4588989200366677E-2</v>
      </c>
      <c r="DI17">
        <f t="shared" si="40"/>
        <v>0.62792120820392761</v>
      </c>
      <c r="DJ17">
        <f t="shared" si="26"/>
        <v>-2.9434817023796918E-2</v>
      </c>
      <c r="DK17">
        <f t="shared" si="41"/>
        <v>0.73683983621018312</v>
      </c>
      <c r="DL17">
        <f t="shared" si="27"/>
        <v>2.1176147505051798E-2</v>
      </c>
      <c r="DM17">
        <f t="shared" si="42"/>
        <v>1.2405014188451728</v>
      </c>
      <c r="DN17">
        <f t="shared" si="28"/>
        <v>-1.8169250760125813E-4</v>
      </c>
      <c r="DO17">
        <f t="shared" si="36"/>
        <v>0.99747166576839874</v>
      </c>
      <c r="DQ17">
        <f>(DQ18-DQ13)/5+DQ16</f>
        <v>-1.231607099890111</v>
      </c>
      <c r="DR17">
        <f t="shared" si="29"/>
        <v>-1.4646660572010457E-4</v>
      </c>
      <c r="DS17">
        <f t="shared" si="30"/>
        <v>-2.0923800817157796E-4</v>
      </c>
      <c r="DT17">
        <f t="shared" si="43"/>
        <v>0.99724843368820926</v>
      </c>
      <c r="DU17">
        <f t="shared" si="31"/>
        <v>-0.2751566311790743</v>
      </c>
      <c r="DV17">
        <f t="shared" si="7"/>
        <v>-3.8104065296270084</v>
      </c>
      <c r="DW17">
        <f t="shared" si="8"/>
        <v>-0.25283342316012591</v>
      </c>
      <c r="DY17">
        <f t="shared" si="9"/>
        <v>-37.207879179607239</v>
      </c>
      <c r="DZ17">
        <f t="shared" si="10"/>
        <v>-26.316016378981686</v>
      </c>
      <c r="EA17">
        <f t="shared" si="11"/>
        <v>-9.2314166856617526</v>
      </c>
      <c r="EB17">
        <f t="shared" si="12"/>
        <v>-3.6090208135995727</v>
      </c>
      <c r="EC17">
        <f t="shared" si="13"/>
        <v>-3.8104065296270084</v>
      </c>
      <c r="ED17">
        <f t="shared" si="14"/>
        <v>7.2932159657342677</v>
      </c>
      <c r="EE17">
        <f t="shared" si="15"/>
        <v>9.9691999431337663</v>
      </c>
      <c r="EF17">
        <f t="shared" si="16"/>
        <v>12.373557673093183</v>
      </c>
      <c r="EG17">
        <f t="shared" si="32"/>
        <v>24.050141884517284</v>
      </c>
    </row>
    <row r="18" spans="2:137" x14ac:dyDescent="0.35">
      <c r="B18" t="s">
        <v>1091</v>
      </c>
      <c r="C18">
        <v>2020</v>
      </c>
      <c r="D18">
        <f>0.693/100</f>
        <v>6.9299999999999995E-3</v>
      </c>
      <c r="E18">
        <f>0.225/100</f>
        <v>2.2500000000000003E-3</v>
      </c>
      <c r="F18" t="s">
        <v>1092</v>
      </c>
      <c r="G18" t="s">
        <v>1095</v>
      </c>
      <c r="CS18">
        <f t="shared" si="33"/>
        <v>2035</v>
      </c>
      <c r="CT18">
        <f t="shared" si="34"/>
        <v>1.7000000000000006</v>
      </c>
      <c r="CU18">
        <f t="shared" si="35"/>
        <v>0.04</v>
      </c>
      <c r="CV18">
        <f t="shared" si="19"/>
        <v>-3.4764388667105572E-3</v>
      </c>
      <c r="CW18">
        <f t="shared" si="36"/>
        <v>0.95863212572596923</v>
      </c>
      <c r="CX18">
        <f t="shared" si="20"/>
        <v>-9.7792902371275237E-3</v>
      </c>
      <c r="CY18">
        <f t="shared" si="36"/>
        <v>0.89914657914112806</v>
      </c>
      <c r="CZ18">
        <f t="shared" si="21"/>
        <v>1.1871861508789931E-2</v>
      </c>
      <c r="DA18">
        <f t="shared" si="36"/>
        <v>1.1365695163410745</v>
      </c>
      <c r="DB18">
        <f t="shared" si="22"/>
        <v>7.1515949566302028E-3</v>
      </c>
      <c r="DC18">
        <f t="shared" si="37"/>
        <v>1.0803137886170446</v>
      </c>
      <c r="DD18">
        <f t="shared" si="23"/>
        <v>-3.7195201222762469E-3</v>
      </c>
      <c r="DE18">
        <f t="shared" si="38"/>
        <v>0.9604607350859059</v>
      </c>
      <c r="DF18">
        <f t="shared" si="24"/>
        <v>9.6631018566727504E-3</v>
      </c>
      <c r="DG18">
        <f t="shared" si="39"/>
        <v>1.1099146769749073</v>
      </c>
      <c r="DH18">
        <f t="shared" si="25"/>
        <v>-4.6350090685225796E-2</v>
      </c>
      <c r="DI18">
        <f t="shared" si="40"/>
        <v>0.59992283623264142</v>
      </c>
      <c r="DJ18">
        <f t="shared" si="26"/>
        <v>-3.0597384305468753E-2</v>
      </c>
      <c r="DK18">
        <f t="shared" si="41"/>
        <v>0.71515109045549186</v>
      </c>
      <c r="DL18">
        <f t="shared" si="27"/>
        <v>2.201252764022732E-2</v>
      </c>
      <c r="DM18">
        <f t="shared" si="42"/>
        <v>1.2667704598708642</v>
      </c>
      <c r="DN18">
        <f t="shared" si="28"/>
        <v>-1.8181048959313139E-4</v>
      </c>
      <c r="DO18">
        <f t="shared" si="36"/>
        <v>0.99729043264018413</v>
      </c>
      <c r="DP18">
        <f>graph!A40</f>
        <v>1.7000000000000004</v>
      </c>
      <c r="DQ18">
        <f>DS1*graph!B40</f>
        <v>-1.2689018542130857</v>
      </c>
      <c r="DR18">
        <f t="shared" si="29"/>
        <v>-1.5464849861154115E-4</v>
      </c>
      <c r="DS18">
        <f t="shared" si="30"/>
        <v>-2.2092642658791593E-4</v>
      </c>
      <c r="DT18">
        <f t="shared" si="43"/>
        <v>0.99703977141229205</v>
      </c>
      <c r="DU18">
        <f t="shared" si="31"/>
        <v>-0.29602285877079471</v>
      </c>
      <c r="DV18">
        <f t="shared" si="7"/>
        <v>-4.1367874274030765</v>
      </c>
      <c r="DW18">
        <f t="shared" si="8"/>
        <v>-0.27095673598158676</v>
      </c>
      <c r="DY18">
        <f t="shared" si="9"/>
        <v>-40.007716376735857</v>
      </c>
      <c r="DZ18">
        <f t="shared" si="10"/>
        <v>-28.484890954450815</v>
      </c>
      <c r="EA18">
        <f t="shared" si="11"/>
        <v>-10.085342085887195</v>
      </c>
      <c r="EB18">
        <f t="shared" si="12"/>
        <v>-3.9539264914094097</v>
      </c>
      <c r="EC18">
        <f t="shared" si="13"/>
        <v>-4.1367874274030765</v>
      </c>
      <c r="ED18">
        <f t="shared" si="14"/>
        <v>8.0313788617044644</v>
      </c>
      <c r="EE18">
        <f t="shared" si="15"/>
        <v>10.99146769749073</v>
      </c>
      <c r="EF18">
        <f t="shared" si="16"/>
        <v>13.65695163410745</v>
      </c>
      <c r="EG18">
        <f t="shared" si="32"/>
        <v>26.677045987086423</v>
      </c>
    </row>
    <row r="19" spans="2:137" x14ac:dyDescent="0.35">
      <c r="D19">
        <f>-0.021/100</f>
        <v>-2.1000000000000001E-4</v>
      </c>
      <c r="E19">
        <f>0.006/100</f>
        <v>6.0000000000000002E-5</v>
      </c>
      <c r="G19" t="s">
        <v>1096</v>
      </c>
      <c r="Q19" s="33">
        <f t="shared" ref="Q19:V19" si="50">$D12*Q25</f>
        <v>1.15E-2</v>
      </c>
      <c r="R19" s="33">
        <f t="shared" si="50"/>
        <v>2.3E-2</v>
      </c>
      <c r="S19" s="33">
        <f t="shared" si="50"/>
        <v>3.4500000000000003E-2</v>
      </c>
      <c r="T19" s="33">
        <f t="shared" si="50"/>
        <v>4.5999999999999999E-2</v>
      </c>
      <c r="U19" s="33">
        <f t="shared" si="50"/>
        <v>5.7499999999999996E-2</v>
      </c>
      <c r="V19" s="33">
        <f t="shared" si="50"/>
        <v>6.9000000000000006E-2</v>
      </c>
      <c r="X19" s="33">
        <f t="shared" ref="X19:AC19" si="51">$D14*X25</f>
        <v>1.2699999999999999E-2</v>
      </c>
      <c r="Y19" s="33">
        <f t="shared" si="51"/>
        <v>2.5399999999999999E-2</v>
      </c>
      <c r="Z19" s="33">
        <f t="shared" si="51"/>
        <v>3.8099999999999995E-2</v>
      </c>
      <c r="AA19" s="33">
        <f t="shared" si="51"/>
        <v>5.0799999999999998E-2</v>
      </c>
      <c r="AB19" s="33">
        <f t="shared" si="51"/>
        <v>6.3500000000000001E-2</v>
      </c>
      <c r="AC19" s="33">
        <f t="shared" si="51"/>
        <v>7.619999999999999E-2</v>
      </c>
      <c r="AE19" s="33">
        <f t="shared" ref="AE19:AJ19" si="52">$D9*AE25</f>
        <v>9.2800000000000001E-3</v>
      </c>
      <c r="AF19" s="33">
        <f t="shared" si="52"/>
        <v>1.856E-2</v>
      </c>
      <c r="AG19" s="33">
        <f t="shared" si="52"/>
        <v>2.784E-2</v>
      </c>
      <c r="AH19" s="33">
        <f t="shared" si="52"/>
        <v>3.712E-2</v>
      </c>
      <c r="AI19" s="33">
        <f t="shared" si="52"/>
        <v>4.6399999999999997E-2</v>
      </c>
      <c r="AJ19" s="33">
        <f t="shared" si="52"/>
        <v>5.568E-2</v>
      </c>
      <c r="AL19" s="33">
        <f t="shared" ref="AL19:AQ19" si="53">$D16*AL25</f>
        <v>1.3469999999999999E-2</v>
      </c>
      <c r="AM19" s="33">
        <f t="shared" si="53"/>
        <v>2.6939999999999999E-2</v>
      </c>
      <c r="AN19" s="33">
        <f t="shared" si="53"/>
        <v>4.0410000000000001E-2</v>
      </c>
      <c r="AO19" s="33">
        <f t="shared" si="53"/>
        <v>5.3879999999999997E-2</v>
      </c>
      <c r="AP19" s="33">
        <f t="shared" si="53"/>
        <v>6.7349999999999993E-2</v>
      </c>
      <c r="AQ19" s="33">
        <f t="shared" si="53"/>
        <v>8.0820000000000003E-2</v>
      </c>
      <c r="AS19" s="33">
        <f t="shared" ref="AS19:AX19" si="54">$D7*AS25</f>
        <v>6.8599999999999989E-3</v>
      </c>
      <c r="AT19" s="33">
        <f t="shared" si="54"/>
        <v>1.3719999999999998E-2</v>
      </c>
      <c r="AU19" s="33">
        <f t="shared" si="54"/>
        <v>2.0579999999999998E-2</v>
      </c>
      <c r="AV19" s="33">
        <f t="shared" si="54"/>
        <v>2.7439999999999996E-2</v>
      </c>
      <c r="AW19" s="33">
        <f t="shared" si="54"/>
        <v>3.4299999999999997E-2</v>
      </c>
      <c r="AX19" s="33">
        <f t="shared" si="54"/>
        <v>4.1159999999999995E-2</v>
      </c>
      <c r="AZ19" s="33">
        <f>$D18*AZ25</f>
        <v>6.9299999999999995E-3</v>
      </c>
      <c r="BA19" s="33">
        <f t="shared" ref="BA19:BE19" si="55">$D18*BA25</f>
        <v>1.3859999999999999E-2</v>
      </c>
      <c r="BB19" s="33">
        <f t="shared" si="55"/>
        <v>2.0789999999999999E-2</v>
      </c>
      <c r="BC19" s="33">
        <f t="shared" si="55"/>
        <v>2.7719999999999998E-2</v>
      </c>
      <c r="BD19" s="33">
        <f t="shared" si="55"/>
        <v>3.465E-2</v>
      </c>
      <c r="BE19" s="33">
        <f t="shared" si="55"/>
        <v>4.1579999999999999E-2</v>
      </c>
      <c r="BG19" s="33">
        <f>$D20*BG25</f>
        <v>7.4399999999999996E-3</v>
      </c>
      <c r="BH19" s="33">
        <f t="shared" ref="BH19:BL19" si="56">$D20*BH25</f>
        <v>1.4879999999999999E-2</v>
      </c>
      <c r="BI19" s="33">
        <f t="shared" si="56"/>
        <v>2.232E-2</v>
      </c>
      <c r="BJ19" s="33">
        <f t="shared" si="56"/>
        <v>2.9759999999999998E-2</v>
      </c>
      <c r="BK19" s="33">
        <f t="shared" si="56"/>
        <v>3.7199999999999997E-2</v>
      </c>
      <c r="BL19" s="33">
        <f t="shared" si="56"/>
        <v>4.4639999999999999E-2</v>
      </c>
      <c r="BN19" s="33">
        <f>$D22*BN25</f>
        <v>2.2400000000000003E-2</v>
      </c>
      <c r="BO19" s="33">
        <f t="shared" ref="BO19:BS19" si="57">$D22*BO25</f>
        <v>4.4800000000000006E-2</v>
      </c>
      <c r="BP19" s="33">
        <f t="shared" si="57"/>
        <v>6.720000000000001E-2</v>
      </c>
      <c r="BQ19" s="33">
        <f t="shared" si="57"/>
        <v>8.9600000000000013E-2</v>
      </c>
      <c r="BR19" s="33">
        <f t="shared" si="57"/>
        <v>0.11200000000000002</v>
      </c>
      <c r="BS19" s="33">
        <f t="shared" si="57"/>
        <v>0.13440000000000002</v>
      </c>
      <c r="BU19" t="s">
        <v>628</v>
      </c>
      <c r="BV19">
        <v>1</v>
      </c>
      <c r="BW19">
        <v>2</v>
      </c>
      <c r="BX19">
        <v>3</v>
      </c>
      <c r="BY19">
        <v>4</v>
      </c>
      <c r="BZ19">
        <v>5</v>
      </c>
      <c r="CA19">
        <v>6</v>
      </c>
      <c r="CC19" t="s">
        <v>742</v>
      </c>
      <c r="CD19">
        <v>1</v>
      </c>
      <c r="CE19">
        <v>2</v>
      </c>
      <c r="CF19">
        <v>3</v>
      </c>
      <c r="CG19">
        <v>4</v>
      </c>
      <c r="CH19">
        <v>5</v>
      </c>
      <c r="CI19">
        <v>6</v>
      </c>
      <c r="CK19" t="s">
        <v>742</v>
      </c>
      <c r="CL19">
        <v>1</v>
      </c>
      <c r="CM19">
        <v>2</v>
      </c>
      <c r="CN19">
        <v>3</v>
      </c>
      <c r="CO19">
        <v>4</v>
      </c>
      <c r="CP19">
        <v>5</v>
      </c>
      <c r="CQ19">
        <v>6</v>
      </c>
      <c r="CS19">
        <f t="shared" si="33"/>
        <v>2036</v>
      </c>
      <c r="CT19">
        <f t="shared" si="34"/>
        <v>1.7400000000000007</v>
      </c>
      <c r="CU19">
        <f t="shared" si="35"/>
        <v>0.04</v>
      </c>
      <c r="CV19">
        <f t="shared" si="19"/>
        <v>-3.5598520938884752E-3</v>
      </c>
      <c r="CW19">
        <f t="shared" si="36"/>
        <v>0.95529949974521811</v>
      </c>
      <c r="CX19">
        <f t="shared" si="20"/>
        <v>-1.0157678460681739E-2</v>
      </c>
      <c r="CY19">
        <f t="shared" si="36"/>
        <v>0.89035356377798658</v>
      </c>
      <c r="CZ19">
        <f t="shared" si="21"/>
        <v>1.2331217195927426E-2</v>
      </c>
      <c r="DA19">
        <f t="shared" si="36"/>
        <v>1.150062712234188</v>
      </c>
      <c r="DB19">
        <f t="shared" si="22"/>
        <v>7.4283102647560249E-3</v>
      </c>
      <c r="DC19">
        <f t="shared" si="37"/>
        <v>1.0880397552592962</v>
      </c>
      <c r="DD19">
        <f t="shared" si="23"/>
        <v>-3.8634388093604002E-3</v>
      </c>
      <c r="DE19">
        <f t="shared" si="38"/>
        <v>0.95688828205509757</v>
      </c>
      <c r="DF19">
        <f t="shared" si="24"/>
        <v>1.0036994425244663E-2</v>
      </c>
      <c r="DG19">
        <f t="shared" si="39"/>
        <v>1.120639895550732</v>
      </c>
      <c r="DH19">
        <f t="shared" si="25"/>
        <v>-4.8143505958797933E-2</v>
      </c>
      <c r="DI19">
        <f t="shared" si="40"/>
        <v>0.57211635836912067</v>
      </c>
      <c r="DJ19">
        <f t="shared" si="26"/>
        <v>-3.178128309689604E-2</v>
      </c>
      <c r="DK19">
        <f t="shared" si="41"/>
        <v>0.69326933770435006</v>
      </c>
      <c r="DL19">
        <f t="shared" si="27"/>
        <v>2.2864254199901474E-2</v>
      </c>
      <c r="DM19">
        <f t="shared" si="42"/>
        <v>1.294655279632595</v>
      </c>
      <c r="DN19">
        <f t="shared" si="28"/>
        <v>-1.8192847158500462E-4</v>
      </c>
      <c r="DO19">
        <f t="shared" si="36"/>
        <v>0.99710911477835928</v>
      </c>
      <c r="DQ19">
        <f>(DQ23-DQ18)/5+DQ18</f>
        <v>-1.3082741942508989</v>
      </c>
      <c r="DR19">
        <f t="shared" si="29"/>
        <v>-1.5467241846883398E-4</v>
      </c>
      <c r="DS19">
        <f t="shared" si="30"/>
        <v>-2.2096059781261996E-4</v>
      </c>
      <c r="DT19">
        <f t="shared" si="43"/>
        <v>0.99681949897842792</v>
      </c>
      <c r="DU19">
        <f t="shared" si="31"/>
        <v>-0.31805010215720797</v>
      </c>
      <c r="DV19">
        <f t="shared" si="7"/>
        <v>-4.470050025478189</v>
      </c>
      <c r="DW19">
        <f t="shared" si="8"/>
        <v>-0.28908852216407155</v>
      </c>
      <c r="DY19">
        <f t="shared" si="9"/>
        <v>-42.788364163087934</v>
      </c>
      <c r="DZ19">
        <f t="shared" si="10"/>
        <v>-30.673066229564995</v>
      </c>
      <c r="EA19">
        <f t="shared" si="11"/>
        <v>-10.964643622201342</v>
      </c>
      <c r="EB19">
        <f t="shared" si="12"/>
        <v>-4.3111717944902423</v>
      </c>
      <c r="EC19">
        <f t="shared" si="13"/>
        <v>-4.470050025478189</v>
      </c>
      <c r="ED19">
        <f t="shared" si="14"/>
        <v>8.8039755259296193</v>
      </c>
      <c r="EE19">
        <f t="shared" si="15"/>
        <v>12.063989555073196</v>
      </c>
      <c r="EF19">
        <f t="shared" si="16"/>
        <v>15.0062712234188</v>
      </c>
      <c r="EG19">
        <f t="shared" si="32"/>
        <v>29.465527963259497</v>
      </c>
    </row>
    <row r="20" spans="2:137" x14ac:dyDescent="0.35">
      <c r="D20">
        <f>0.744/100</f>
        <v>7.4399999999999996E-3</v>
      </c>
      <c r="E20">
        <f>0.221/100</f>
        <v>2.2100000000000002E-3</v>
      </c>
      <c r="F20" t="s">
        <v>1093</v>
      </c>
      <c r="G20" t="s">
        <v>1095</v>
      </c>
      <c r="Q20" s="33">
        <f t="shared" ref="Q20:V20" si="58">$E12*Q25</f>
        <v>2.8999999999999998E-3</v>
      </c>
      <c r="R20" s="33">
        <f t="shared" si="58"/>
        <v>5.7999999999999996E-3</v>
      </c>
      <c r="S20" s="33">
        <f t="shared" si="58"/>
        <v>8.6999999999999994E-3</v>
      </c>
      <c r="T20" s="33">
        <f t="shared" si="58"/>
        <v>1.1599999999999999E-2</v>
      </c>
      <c r="U20" s="33">
        <f t="shared" si="58"/>
        <v>1.4499999999999999E-2</v>
      </c>
      <c r="V20" s="33">
        <f t="shared" si="58"/>
        <v>1.7399999999999999E-2</v>
      </c>
      <c r="X20" s="33">
        <f t="shared" ref="X20:AC20" si="59">$E14*X25</f>
        <v>3.7000000000000002E-3</v>
      </c>
      <c r="Y20" s="33">
        <f t="shared" si="59"/>
        <v>7.4000000000000003E-3</v>
      </c>
      <c r="Z20" s="33">
        <f t="shared" si="59"/>
        <v>1.11E-2</v>
      </c>
      <c r="AA20" s="33">
        <f t="shared" si="59"/>
        <v>1.4800000000000001E-2</v>
      </c>
      <c r="AB20" s="33">
        <f t="shared" si="59"/>
        <v>1.8500000000000003E-2</v>
      </c>
      <c r="AC20" s="33">
        <f t="shared" si="59"/>
        <v>2.2200000000000001E-2</v>
      </c>
      <c r="AE20" s="33">
        <f t="shared" ref="AE20:AJ20" si="60">$E9*AE25</f>
        <v>4.1799999999999997E-3</v>
      </c>
      <c r="AF20" s="33">
        <f t="shared" si="60"/>
        <v>8.3599999999999994E-3</v>
      </c>
      <c r="AG20" s="33">
        <f t="shared" si="60"/>
        <v>1.2539999999999999E-2</v>
      </c>
      <c r="AH20" s="33">
        <f t="shared" si="60"/>
        <v>1.6719999999999999E-2</v>
      </c>
      <c r="AI20" s="33">
        <f t="shared" si="60"/>
        <v>2.0899999999999998E-2</v>
      </c>
      <c r="AJ20" s="33">
        <f t="shared" si="60"/>
        <v>2.5079999999999998E-2</v>
      </c>
      <c r="AL20" s="33">
        <f t="shared" ref="AL20:AQ20" si="61">$E16*AL25</f>
        <v>3.5699999999999998E-3</v>
      </c>
      <c r="AM20" s="33">
        <f t="shared" si="61"/>
        <v>7.1399999999999996E-3</v>
      </c>
      <c r="AN20" s="33">
        <f t="shared" si="61"/>
        <v>1.0709999999999999E-2</v>
      </c>
      <c r="AO20" s="33">
        <f t="shared" si="61"/>
        <v>1.4279999999999999E-2</v>
      </c>
      <c r="AP20" s="33">
        <f t="shared" si="61"/>
        <v>1.7849999999999998E-2</v>
      </c>
      <c r="AQ20" s="33">
        <f t="shared" si="61"/>
        <v>2.1419999999999998E-2</v>
      </c>
      <c r="AS20" s="33">
        <f t="shared" ref="AS20:AX20" si="62">$E7*AS25</f>
        <v>5.7119609364153648E-3</v>
      </c>
      <c r="AT20" s="33">
        <f t="shared" si="62"/>
        <v>1.142392187283073E-2</v>
      </c>
      <c r="AU20" s="33">
        <f t="shared" si="62"/>
        <v>1.7135882809246095E-2</v>
      </c>
      <c r="AV20" s="33">
        <f t="shared" si="62"/>
        <v>2.2847843745661459E-2</v>
      </c>
      <c r="AW20" s="33">
        <f t="shared" si="62"/>
        <v>2.8559804682076823E-2</v>
      </c>
      <c r="AX20" s="33">
        <f t="shared" si="62"/>
        <v>3.4271765618492191E-2</v>
      </c>
      <c r="AZ20" s="33">
        <f>$E18*AZ25</f>
        <v>2.2500000000000003E-3</v>
      </c>
      <c r="BA20" s="33">
        <f t="shared" ref="BA20:BE20" si="63">$E18*BA25</f>
        <v>4.5000000000000005E-3</v>
      </c>
      <c r="BB20" s="33">
        <f t="shared" si="63"/>
        <v>6.7500000000000008E-3</v>
      </c>
      <c r="BC20" s="33">
        <f t="shared" si="63"/>
        <v>9.0000000000000011E-3</v>
      </c>
      <c r="BD20" s="33">
        <f t="shared" si="63"/>
        <v>1.1250000000000001E-2</v>
      </c>
      <c r="BE20" s="33">
        <f t="shared" si="63"/>
        <v>1.3500000000000002E-2</v>
      </c>
      <c r="BG20" s="33">
        <f>$E20*BG25</f>
        <v>2.2100000000000002E-3</v>
      </c>
      <c r="BH20" s="33">
        <f t="shared" ref="BH20:BL20" si="64">$E20*BH25</f>
        <v>4.4200000000000003E-3</v>
      </c>
      <c r="BI20" s="33">
        <f t="shared" si="64"/>
        <v>6.6300000000000005E-3</v>
      </c>
      <c r="BJ20" s="33">
        <f t="shared" si="64"/>
        <v>8.8400000000000006E-3</v>
      </c>
      <c r="BK20" s="33">
        <f t="shared" si="64"/>
        <v>1.1050000000000001E-2</v>
      </c>
      <c r="BL20" s="33">
        <f t="shared" si="64"/>
        <v>1.3260000000000001E-2</v>
      </c>
      <c r="BN20" s="33">
        <f>$E22*BN25</f>
        <v>6.28E-3</v>
      </c>
      <c r="BO20" s="33">
        <f t="shared" ref="BO20:BS20" si="65">$E22*BO25</f>
        <v>1.256E-2</v>
      </c>
      <c r="BP20" s="33">
        <f t="shared" si="65"/>
        <v>1.8839999999999999E-2</v>
      </c>
      <c r="BQ20" s="33">
        <f t="shared" si="65"/>
        <v>2.512E-2</v>
      </c>
      <c r="BR20" s="33">
        <f t="shared" si="65"/>
        <v>3.1399999999999997E-2</v>
      </c>
      <c r="BS20" s="33">
        <f t="shared" si="65"/>
        <v>3.7679999999999998E-2</v>
      </c>
      <c r="BU20" t="s">
        <v>737</v>
      </c>
      <c r="BV20">
        <f t="shared" ref="BV20:CA20" si="66">BV$19*$BV$16</f>
        <v>-1.8080000000000001E-3</v>
      </c>
      <c r="BW20">
        <f t="shared" si="66"/>
        <v>-3.6160000000000003E-3</v>
      </c>
      <c r="BX20">
        <f t="shared" si="66"/>
        <v>-5.424E-3</v>
      </c>
      <c r="BY20">
        <f t="shared" si="66"/>
        <v>-7.2320000000000006E-3</v>
      </c>
      <c r="BZ20">
        <f t="shared" si="66"/>
        <v>-9.0400000000000012E-3</v>
      </c>
      <c r="CA20">
        <f t="shared" si="66"/>
        <v>-1.0848E-2</v>
      </c>
      <c r="CC20" t="s">
        <v>737</v>
      </c>
      <c r="CD20">
        <f t="shared" ref="CD20:CI20" si="67">BV$19*$CC$16</f>
        <v>-1.7660000000000002E-3</v>
      </c>
      <c r="CE20">
        <f t="shared" si="67"/>
        <v>-3.5320000000000004E-3</v>
      </c>
      <c r="CF20">
        <f t="shared" si="67"/>
        <v>-5.2980000000000006E-3</v>
      </c>
      <c r="CG20">
        <f t="shared" si="67"/>
        <v>-7.0640000000000008E-3</v>
      </c>
      <c r="CH20">
        <f t="shared" si="67"/>
        <v>-8.830000000000001E-3</v>
      </c>
      <c r="CI20">
        <f t="shared" si="67"/>
        <v>-1.0596000000000001E-2</v>
      </c>
      <c r="CK20" t="s">
        <v>737</v>
      </c>
      <c r="CL20">
        <f>CD$19*$CK$16</f>
        <v>-1.75E-3</v>
      </c>
      <c r="CM20">
        <f t="shared" ref="CM20:CQ20" si="68">CE$19*$CK$16</f>
        <v>-3.5000000000000001E-3</v>
      </c>
      <c r="CN20">
        <f t="shared" si="68"/>
        <v>-5.2500000000000003E-3</v>
      </c>
      <c r="CO20">
        <f t="shared" si="68"/>
        <v>-7.0000000000000001E-3</v>
      </c>
      <c r="CP20">
        <f t="shared" si="68"/>
        <v>-8.7500000000000008E-3</v>
      </c>
      <c r="CQ20">
        <f t="shared" si="68"/>
        <v>-1.0500000000000001E-2</v>
      </c>
      <c r="CS20">
        <f t="shared" si="33"/>
        <v>2037</v>
      </c>
      <c r="CT20">
        <f t="shared" si="34"/>
        <v>1.7800000000000007</v>
      </c>
      <c r="CU20">
        <f t="shared" si="35"/>
        <v>0.04</v>
      </c>
      <c r="CV20">
        <f t="shared" si="19"/>
        <v>-3.6433395585656237E-3</v>
      </c>
      <c r="CW20">
        <f t="shared" si="36"/>
        <v>0.95189877482075957</v>
      </c>
      <c r="CX20">
        <f t="shared" si="20"/>
        <v>-1.0542884490065761E-2</v>
      </c>
      <c r="CY20">
        <f t="shared" si="36"/>
        <v>0.88130963856080768</v>
      </c>
      <c r="CZ20">
        <f t="shared" si="21"/>
        <v>1.2798849562112441E-2</v>
      </c>
      <c r="DA20">
        <f t="shared" si="36"/>
        <v>1.1642443853276851</v>
      </c>
      <c r="DB20">
        <f t="shared" si="22"/>
        <v>7.7100114342895203E-3</v>
      </c>
      <c r="DC20">
        <f t="shared" si="37"/>
        <v>1.0961220521417516</v>
      </c>
      <c r="DD20">
        <f t="shared" si="23"/>
        <v>-4.0099506259415642E-3</v>
      </c>
      <c r="DE20">
        <f t="shared" si="38"/>
        <v>0.95319140272998371</v>
      </c>
      <c r="DF20">
        <f t="shared" si="24"/>
        <v>1.0417623796853908E-2</v>
      </c>
      <c r="DG20">
        <f t="shared" si="39"/>
        <v>1.1318877519350816</v>
      </c>
      <c r="DH20">
        <f t="shared" si="25"/>
        <v>-4.996923502108308E-2</v>
      </c>
      <c r="DI20">
        <f t="shared" si="40"/>
        <v>0.54457267106085117</v>
      </c>
      <c r="DJ20">
        <f t="shared" si="26"/>
        <v>-3.298651339807878E-2</v>
      </c>
      <c r="DK20">
        <f t="shared" si="41"/>
        <v>0.67123634862037052</v>
      </c>
      <c r="DL20">
        <f t="shared" si="27"/>
        <v>2.3731327184074263E-2</v>
      </c>
      <c r="DM20">
        <f t="shared" si="42"/>
        <v>1.3242566070473594</v>
      </c>
      <c r="DN20">
        <f t="shared" si="28"/>
        <v>-1.8204645357687785E-4</v>
      </c>
      <c r="DO20">
        <f t="shared" si="36"/>
        <v>0.9969277122411041</v>
      </c>
      <c r="DQ20">
        <f>(DQ23-DQ18)/5+DQ19</f>
        <v>-1.3476465342887121</v>
      </c>
      <c r="DR20">
        <f t="shared" si="29"/>
        <v>-1.5469634572675583E-4</v>
      </c>
      <c r="DS20">
        <f t="shared" si="30"/>
        <v>-2.2099477960965119E-4</v>
      </c>
      <c r="DT20">
        <f t="shared" si="43"/>
        <v>0.99659924114602239</v>
      </c>
      <c r="DU20">
        <f t="shared" si="31"/>
        <v>-0.34007588539776146</v>
      </c>
      <c r="DV20">
        <f t="shared" si="7"/>
        <v>-4.810122517924043</v>
      </c>
      <c r="DW20">
        <f t="shared" si="8"/>
        <v>-0.30722877588958974</v>
      </c>
      <c r="DY20">
        <f t="shared" si="9"/>
        <v>-45.542732893914881</v>
      </c>
      <c r="DZ20">
        <f t="shared" si="10"/>
        <v>-32.876365137962949</v>
      </c>
      <c r="EA20">
        <f t="shared" si="11"/>
        <v>-11.869036143919232</v>
      </c>
      <c r="EB20">
        <f t="shared" si="12"/>
        <v>-4.6808597270016294</v>
      </c>
      <c r="EC20">
        <f t="shared" si="13"/>
        <v>-4.810122517924043</v>
      </c>
      <c r="ED20">
        <f t="shared" si="14"/>
        <v>9.6122052141751624</v>
      </c>
      <c r="EE20">
        <f t="shared" si="15"/>
        <v>13.188775193508162</v>
      </c>
      <c r="EF20">
        <f t="shared" si="16"/>
        <v>16.424438532768516</v>
      </c>
      <c r="EG20">
        <f t="shared" si="32"/>
        <v>32.42566070473594</v>
      </c>
    </row>
    <row r="21" spans="2:137" x14ac:dyDescent="0.35">
      <c r="D21">
        <f>-0.025/100</f>
        <v>-2.5000000000000001E-4</v>
      </c>
      <c r="E21">
        <f>0.005/100</f>
        <v>5.0000000000000002E-5</v>
      </c>
      <c r="G21" t="s">
        <v>1096</v>
      </c>
      <c r="Q21" s="33">
        <f t="shared" ref="Q21:V21" si="69">SUMPRODUCT(Q26:Q223,$D26:$D223)/SUM($D26:$D223)</f>
        <v>-9.3135404956558292E-3</v>
      </c>
      <c r="R21" s="33">
        <f t="shared" si="69"/>
        <v>-1.9427080991311671E-2</v>
      </c>
      <c r="S21" s="33">
        <f t="shared" si="69"/>
        <v>-3.0340621486967485E-2</v>
      </c>
      <c r="T21" s="33">
        <f t="shared" si="69"/>
        <v>-4.2054161982623309E-2</v>
      </c>
      <c r="U21" s="33">
        <f t="shared" si="69"/>
        <v>-5.4567702478279127E-2</v>
      </c>
      <c r="V21" s="33">
        <f t="shared" si="69"/>
        <v>-6.7881242973934927E-2</v>
      </c>
      <c r="X21" s="33">
        <f t="shared" ref="X21:AC21" si="70">SUMPRODUCT(X26:X223,$D26:$D223)/SUM($D26:$D223)</f>
        <v>-1.1641925619569794E-2</v>
      </c>
      <c r="Y21" s="33">
        <f t="shared" si="70"/>
        <v>-2.4283851239139568E-2</v>
      </c>
      <c r="Z21" s="33">
        <f t="shared" si="70"/>
        <v>-3.7925776858709355E-2</v>
      </c>
      <c r="AA21" s="33">
        <f t="shared" si="70"/>
        <v>-5.2567702478279174E-2</v>
      </c>
      <c r="AB21" s="33">
        <f t="shared" si="70"/>
        <v>-6.8209628097848932E-2</v>
      </c>
      <c r="AC21" s="33">
        <f t="shared" si="70"/>
        <v>-8.4851553717418718E-2</v>
      </c>
      <c r="AE21" s="33">
        <f t="shared" ref="AE21:AJ21" si="71">SUMPRODUCT(AE26:AE223,$D26:$D223)/SUM($D26:$D223)</f>
        <v>-1.0547584611330233E-2</v>
      </c>
      <c r="AF21" s="33">
        <f t="shared" si="71"/>
        <v>-2.2001169222660454E-2</v>
      </c>
      <c r="AG21" s="33">
        <f t="shared" si="71"/>
        <v>-3.4360753833990676E-2</v>
      </c>
      <c r="AH21" s="33">
        <f t="shared" si="71"/>
        <v>-4.7626338445320868E-2</v>
      </c>
      <c r="AI21" s="33">
        <f t="shared" si="71"/>
        <v>-6.1797923056651105E-2</v>
      </c>
      <c r="AJ21" s="33">
        <f t="shared" si="71"/>
        <v>-7.6875507667981374E-2</v>
      </c>
      <c r="AL21" s="33">
        <f t="shared" ref="AL21:AQ21" si="72">SUMPRODUCT(AL26:AL223,$D26:$D223)/SUM($D26:$D223)</f>
        <v>-1.1874764131961186E-2</v>
      </c>
      <c r="AM21" s="33">
        <f t="shared" si="72"/>
        <v>-2.4769528263922352E-2</v>
      </c>
      <c r="AN21" s="33">
        <f t="shared" si="72"/>
        <v>-3.8684292395883557E-2</v>
      </c>
      <c r="AO21" s="33">
        <f t="shared" si="72"/>
        <v>-5.3619056527844731E-2</v>
      </c>
      <c r="AP21" s="33">
        <f t="shared" si="72"/>
        <v>-6.9573820659805913E-2</v>
      </c>
      <c r="AQ21" s="33">
        <f t="shared" si="72"/>
        <v>-8.6548584791767053E-2</v>
      </c>
      <c r="AS21" s="33">
        <f t="shared" ref="AS21:AX21" si="73">SUMPRODUCT(AS26:AS223,$D26:$D223)/SUM($D26:$D223)</f>
        <v>-1.7719010792985219E-2</v>
      </c>
      <c r="AT21" s="33">
        <f t="shared" si="73"/>
        <v>-3.6960021585970421E-2</v>
      </c>
      <c r="AU21" s="33">
        <f t="shared" si="73"/>
        <v>-5.7723032378955652E-2</v>
      </c>
      <c r="AV21" s="33">
        <f t="shared" si="73"/>
        <v>-8.000804317194081E-2</v>
      </c>
      <c r="AW21" s="33">
        <f t="shared" si="73"/>
        <v>-0.10381505396492606</v>
      </c>
      <c r="AX21" s="33">
        <f t="shared" si="73"/>
        <v>-0.12914406475791129</v>
      </c>
      <c r="AZ21" s="33">
        <f t="shared" ref="AZ21:BE21" si="74">SUMPRODUCT(AZ26:AZ223,$D26:$D223)/SUM($D26:$D223)</f>
        <v>-4.8896087602193104E-3</v>
      </c>
      <c r="BA21" s="33">
        <f t="shared" si="74"/>
        <v>-1.0199217520438621E-2</v>
      </c>
      <c r="BB21" s="33">
        <f t="shared" si="74"/>
        <v>-1.5928826280657934E-2</v>
      </c>
      <c r="BC21" s="33">
        <f t="shared" si="74"/>
        <v>-2.2078435040877236E-2</v>
      </c>
      <c r="BD21" s="33">
        <f t="shared" si="74"/>
        <v>-2.8648043801096545E-2</v>
      </c>
      <c r="BE21" s="33">
        <f t="shared" si="74"/>
        <v>-3.5637652561315826E-2</v>
      </c>
      <c r="BG21" s="33">
        <f t="shared" ref="BG21:BL21" si="75">SUMPRODUCT(BG26:BG223,$D26:$D223)/SUM($D26:$D223)</f>
        <v>-5.820962809784897E-3</v>
      </c>
      <c r="BH21" s="33">
        <f t="shared" si="75"/>
        <v>-1.2141925619569784E-2</v>
      </c>
      <c r="BI21" s="33">
        <f t="shared" si="75"/>
        <v>-1.8962888429354677E-2</v>
      </c>
      <c r="BJ21" s="33">
        <f t="shared" si="75"/>
        <v>-2.6283851239139587E-2</v>
      </c>
      <c r="BK21" s="33">
        <f t="shared" si="75"/>
        <v>-3.4104814048924466E-2</v>
      </c>
      <c r="BL21" s="33">
        <f t="shared" si="75"/>
        <v>-4.2425776858709359E-2</v>
      </c>
      <c r="BN21" s="33">
        <f t="shared" ref="BN21:BS21" si="76">SUMPRODUCT(BN26:BN223,$D26:$D223)/SUM($D26:$D223)</f>
        <v>-1.8394242478920256E-2</v>
      </c>
      <c r="BO21" s="33">
        <f t="shared" si="76"/>
        <v>-3.8368484957840537E-2</v>
      </c>
      <c r="BP21" s="33">
        <f t="shared" si="76"/>
        <v>-5.9922727436760796E-2</v>
      </c>
      <c r="BQ21" s="33">
        <f t="shared" si="76"/>
        <v>-8.3056969915681025E-2</v>
      </c>
      <c r="BR21" s="33">
        <f t="shared" si="76"/>
        <v>-0.1077712123946013</v>
      </c>
      <c r="BS21" s="33">
        <f t="shared" si="76"/>
        <v>-0.13406545487352162</v>
      </c>
      <c r="BV21">
        <f t="shared" ref="BV21:CA21" si="77">BV$19*$BW$16</f>
        <v>6.8263492401519378E-4</v>
      </c>
      <c r="BW21">
        <f t="shared" si="77"/>
        <v>1.3652698480303876E-3</v>
      </c>
      <c r="BX21">
        <f t="shared" si="77"/>
        <v>2.0479047720455812E-3</v>
      </c>
      <c r="BY21">
        <f t="shared" si="77"/>
        <v>2.7305396960607751E-3</v>
      </c>
      <c r="BZ21">
        <f t="shared" si="77"/>
        <v>3.413174620075969E-3</v>
      </c>
      <c r="CA21">
        <f t="shared" si="77"/>
        <v>4.0958095440911625E-3</v>
      </c>
      <c r="CD21">
        <f t="shared" ref="CD21:CI21" si="78">BV$19*$CD$16</f>
        <v>2.8284271247461902E-4</v>
      </c>
      <c r="CE21">
        <f t="shared" si="78"/>
        <v>5.6568542494923803E-4</v>
      </c>
      <c r="CF21">
        <f t="shared" si="78"/>
        <v>8.485281374238571E-4</v>
      </c>
      <c r="CG21">
        <f t="shared" si="78"/>
        <v>1.1313708498984761E-3</v>
      </c>
      <c r="CH21">
        <f t="shared" si="78"/>
        <v>1.414213562373095E-3</v>
      </c>
      <c r="CI21">
        <f t="shared" si="78"/>
        <v>1.6970562748477142E-3</v>
      </c>
      <c r="CL21">
        <f>CD$19*$CL$16</f>
        <v>2.9E-4</v>
      </c>
      <c r="CM21">
        <f t="shared" ref="CM21:CQ21" si="79">CE$19*$CL$16</f>
        <v>5.8E-4</v>
      </c>
      <c r="CN21">
        <f t="shared" si="79"/>
        <v>8.7000000000000001E-4</v>
      </c>
      <c r="CO21">
        <f t="shared" si="79"/>
        <v>1.16E-3</v>
      </c>
      <c r="CP21">
        <f t="shared" si="79"/>
        <v>1.4499999999999999E-3</v>
      </c>
      <c r="CQ21">
        <f t="shared" si="79"/>
        <v>1.74E-3</v>
      </c>
      <c r="CS21">
        <f t="shared" si="33"/>
        <v>2038</v>
      </c>
      <c r="CT21">
        <f t="shared" si="34"/>
        <v>1.8200000000000007</v>
      </c>
      <c r="CU21">
        <f t="shared" si="35"/>
        <v>0.04</v>
      </c>
      <c r="CV21">
        <f t="shared" si="19"/>
        <v>-3.7269012607420021E-3</v>
      </c>
      <c r="CW21">
        <f t="shared" si="36"/>
        <v>0.94843068435870492</v>
      </c>
      <c r="CX21">
        <f t="shared" si="20"/>
        <v>-1.0934908325279588E-2</v>
      </c>
      <c r="CY21">
        <f t="shared" si="36"/>
        <v>0.87201809284147946</v>
      </c>
      <c r="CZ21">
        <f t="shared" si="21"/>
        <v>1.3274758607344977E-2</v>
      </c>
      <c r="DA21">
        <f t="shared" si="36"/>
        <v>1.1791453740690283</v>
      </c>
      <c r="DB21">
        <f t="shared" si="22"/>
        <v>7.9966984652306873E-3</v>
      </c>
      <c r="DC21">
        <f t="shared" si="37"/>
        <v>1.1045731656971416</v>
      </c>
      <c r="DD21">
        <f t="shared" si="23"/>
        <v>-4.1590555720197406E-3</v>
      </c>
      <c r="DE21">
        <f t="shared" si="38"/>
        <v>0.94936915226796448</v>
      </c>
      <c r="DF21">
        <f t="shared" si="24"/>
        <v>1.0804989971500485E-2</v>
      </c>
      <c r="DG21">
        <f t="shared" si="39"/>
        <v>1.1436793327150079</v>
      </c>
      <c r="DH21">
        <f t="shared" si="25"/>
        <v>-5.1827277872081245E-2</v>
      </c>
      <c r="DI21">
        <f t="shared" si="40"/>
        <v>0.51736079127455248</v>
      </c>
      <c r="DJ21">
        <f t="shared" si="26"/>
        <v>-3.4213075209016959E-2</v>
      </c>
      <c r="DK21">
        <f t="shared" si="41"/>
        <v>0.64909460181332723</v>
      </c>
      <c r="DL21">
        <f t="shared" si="27"/>
        <v>2.4613746592745685E-2</v>
      </c>
      <c r="DM21">
        <f t="shared" si="42"/>
        <v>1.3556829738648724</v>
      </c>
      <c r="DN21">
        <f t="shared" si="28"/>
        <v>-1.8216443556875108E-4</v>
      </c>
      <c r="DO21">
        <f t="shared" si="36"/>
        <v>0.99674622508661814</v>
      </c>
      <c r="DQ21">
        <f>(DQ23-DQ18)/5+DQ20</f>
        <v>-1.3870188743265253</v>
      </c>
      <c r="DR21">
        <f t="shared" si="29"/>
        <v>-1.5472028038874178E-4</v>
      </c>
      <c r="DS21">
        <f t="shared" si="30"/>
        <v>-2.2102897198391681E-4</v>
      </c>
      <c r="DT21">
        <f t="shared" si="43"/>
        <v>0.99637899791636619</v>
      </c>
      <c r="DU21">
        <f t="shared" si="31"/>
        <v>-0.36210020836338064</v>
      </c>
      <c r="DV21">
        <f t="shared" si="7"/>
        <v>-5.1569315641295077</v>
      </c>
      <c r="DW21">
        <f t="shared" si="8"/>
        <v>-0.32537749133818572</v>
      </c>
      <c r="DY21">
        <f t="shared" si="9"/>
        <v>-48.263920872544752</v>
      </c>
      <c r="DZ21">
        <f t="shared" si="10"/>
        <v>-35.090539818667274</v>
      </c>
      <c r="EA21">
        <f t="shared" si="11"/>
        <v>-12.798190715852053</v>
      </c>
      <c r="EB21">
        <f t="shared" si="12"/>
        <v>-5.0630847732035527</v>
      </c>
      <c r="EC21">
        <f t="shared" si="13"/>
        <v>-5.1569315641295077</v>
      </c>
      <c r="ED21">
        <f t="shared" si="14"/>
        <v>10.457316569714159</v>
      </c>
      <c r="EE21">
        <f t="shared" si="15"/>
        <v>14.367933271500789</v>
      </c>
      <c r="EF21">
        <f t="shared" si="16"/>
        <v>17.914537406902831</v>
      </c>
      <c r="EG21">
        <f t="shared" si="32"/>
        <v>35.568297386487238</v>
      </c>
    </row>
    <row r="22" spans="2:137" x14ac:dyDescent="0.35">
      <c r="D22">
        <f>2.24/100</f>
        <v>2.2400000000000003E-2</v>
      </c>
      <c r="E22">
        <f>0.628/100</f>
        <v>6.28E-3</v>
      </c>
      <c r="F22" t="s">
        <v>1094</v>
      </c>
      <c r="G22" t="s">
        <v>1095</v>
      </c>
      <c r="Q22" s="33">
        <f t="shared" ref="Q22:V22" si="80">$E13/$D13*Q21</f>
        <v>2.3283851239139573E-3</v>
      </c>
      <c r="R22" s="33">
        <f t="shared" si="80"/>
        <v>4.8567702478279177E-3</v>
      </c>
      <c r="S22" s="33">
        <f t="shared" si="80"/>
        <v>7.5851553717418713E-3</v>
      </c>
      <c r="T22" s="33">
        <f t="shared" si="80"/>
        <v>1.0513540495655827E-2</v>
      </c>
      <c r="U22" s="33">
        <f t="shared" si="80"/>
        <v>1.3641925619569782E-2</v>
      </c>
      <c r="V22" s="33">
        <f t="shared" si="80"/>
        <v>1.6970310743483732E-2</v>
      </c>
      <c r="X22" s="33">
        <f t="shared" ref="X22:AC22" si="81">$E15/$D15*X21</f>
        <v>4.6567702478279181E-3</v>
      </c>
      <c r="Y22" s="33">
        <f t="shared" si="81"/>
        <v>9.7135404956558286E-3</v>
      </c>
      <c r="Z22" s="33">
        <f t="shared" si="81"/>
        <v>1.5170310743483743E-2</v>
      </c>
      <c r="AA22" s="33">
        <f t="shared" si="81"/>
        <v>2.1027080991311672E-2</v>
      </c>
      <c r="AB22" s="33">
        <f t="shared" si="81"/>
        <v>2.7283851239139574E-2</v>
      </c>
      <c r="AC22" s="33">
        <f t="shared" si="81"/>
        <v>3.3940621486967491E-2</v>
      </c>
      <c r="AE22" s="33">
        <f t="shared" ref="AE22:AJ22" si="82">$E10/$D10*AE21</f>
        <v>2.6776428925010527E-3</v>
      </c>
      <c r="AF22" s="33">
        <f t="shared" si="82"/>
        <v>5.5852857850021021E-3</v>
      </c>
      <c r="AG22" s="33">
        <f t="shared" si="82"/>
        <v>8.7229286775031521E-3</v>
      </c>
      <c r="AH22" s="33">
        <f t="shared" si="82"/>
        <v>1.2090571570004194E-2</v>
      </c>
      <c r="AI22" s="33">
        <f t="shared" si="82"/>
        <v>1.5688214462505248E-2</v>
      </c>
      <c r="AJ22" s="33">
        <f t="shared" si="82"/>
        <v>1.951585735500631E-2</v>
      </c>
      <c r="AL22" s="33">
        <f t="shared" ref="AL22:AQ22" si="83">$E17/$D17*AL21</f>
        <v>2.5612236363053535E-3</v>
      </c>
      <c r="AM22" s="33">
        <f t="shared" si="83"/>
        <v>5.3424472726107033E-3</v>
      </c>
      <c r="AN22" s="33">
        <f t="shared" si="83"/>
        <v>8.3436709089160614E-3</v>
      </c>
      <c r="AO22" s="33">
        <f t="shared" si="83"/>
        <v>1.1564894545221412E-2</v>
      </c>
      <c r="AP22" s="33">
        <f t="shared" si="83"/>
        <v>1.5006118181526765E-2</v>
      </c>
      <c r="AQ22" s="33">
        <f t="shared" si="83"/>
        <v>1.8667341817832108E-2</v>
      </c>
      <c r="AS22" s="33">
        <f t="shared" ref="AS22:AX22" si="84">$E8/$D8*AS21</f>
        <v>3.9645854991851677E-3</v>
      </c>
      <c r="AT22" s="33">
        <f t="shared" si="84"/>
        <v>8.2697147905863543E-3</v>
      </c>
      <c r="AU22" s="33">
        <f t="shared" si="84"/>
        <v>1.2915387874203571E-2</v>
      </c>
      <c r="AV22" s="33">
        <f t="shared" si="84"/>
        <v>1.7901604750036795E-2</v>
      </c>
      <c r="AW22" s="33">
        <f t="shared" si="84"/>
        <v>2.322836541808606E-2</v>
      </c>
      <c r="AX22" s="33">
        <f t="shared" si="84"/>
        <v>2.8895669878351345E-2</v>
      </c>
      <c r="AZ22" s="33">
        <f>$E19/$D19*AZ21</f>
        <v>1.3970310743483742E-3</v>
      </c>
      <c r="BA22" s="33">
        <f t="shared" ref="BA22:BE22" si="85">$E19/$D19*BA21</f>
        <v>2.9140621486967487E-3</v>
      </c>
      <c r="BB22" s="33">
        <f t="shared" si="85"/>
        <v>4.551093223045124E-3</v>
      </c>
      <c r="BC22" s="33">
        <f t="shared" si="85"/>
        <v>6.3081242973934953E-3</v>
      </c>
      <c r="BD22" s="33">
        <f t="shared" si="85"/>
        <v>8.1851553717418694E-3</v>
      </c>
      <c r="BE22" s="33">
        <f t="shared" si="85"/>
        <v>1.0182186446090235E-2</v>
      </c>
      <c r="BG22" s="33">
        <f>$E21/$D21*BG21</f>
        <v>1.1641925619569795E-3</v>
      </c>
      <c r="BH22" s="33">
        <f t="shared" ref="BH22:BL22" si="86">$E21/$D21*BH21</f>
        <v>2.4283851239139571E-3</v>
      </c>
      <c r="BI22" s="33">
        <f t="shared" si="86"/>
        <v>3.7925776858709357E-3</v>
      </c>
      <c r="BJ22" s="33">
        <f t="shared" si="86"/>
        <v>5.2567702478279179E-3</v>
      </c>
      <c r="BK22" s="33">
        <f t="shared" si="86"/>
        <v>6.8209628097848935E-3</v>
      </c>
      <c r="BL22" s="33">
        <f t="shared" si="86"/>
        <v>8.4851553717418728E-3</v>
      </c>
      <c r="BN22" s="33">
        <f>$E23/$D23*BN21</f>
        <v>4.4239317354365171E-3</v>
      </c>
      <c r="BO22" s="33">
        <f t="shared" ref="BO22:BS22" si="87">$E23/$D23*BO21</f>
        <v>9.2278634708730396E-3</v>
      </c>
      <c r="BP22" s="33">
        <f t="shared" si="87"/>
        <v>1.4411795206309558E-2</v>
      </c>
      <c r="BQ22" s="33">
        <f t="shared" si="87"/>
        <v>1.9975726941746069E-2</v>
      </c>
      <c r="BR22" s="33">
        <f t="shared" si="87"/>
        <v>2.5919658677182589E-2</v>
      </c>
      <c r="BS22" s="33">
        <f t="shared" si="87"/>
        <v>3.2243590412619122E-2</v>
      </c>
      <c r="CS22">
        <f t="shared" si="33"/>
        <v>2039</v>
      </c>
      <c r="CT22">
        <f t="shared" si="34"/>
        <v>1.8600000000000008</v>
      </c>
      <c r="CU22">
        <f t="shared" si="35"/>
        <v>0.04</v>
      </c>
      <c r="CV22">
        <f t="shared" si="19"/>
        <v>-3.8105372004176115E-3</v>
      </c>
      <c r="CW22">
        <f t="shared" si="36"/>
        <v>0.94489597684544202</v>
      </c>
      <c r="CX22">
        <f t="shared" si="20"/>
        <v>-1.133374996632322E-2</v>
      </c>
      <c r="CY22">
        <f t="shared" si="36"/>
        <v>0.86248265493827281</v>
      </c>
      <c r="CZ22">
        <f t="shared" si="21"/>
        <v>1.3758944331625039E-2</v>
      </c>
      <c r="DA22">
        <f t="shared" si="36"/>
        <v>1.194798244272762</v>
      </c>
      <c r="DB22">
        <f t="shared" si="22"/>
        <v>8.2883713575795277E-3</v>
      </c>
      <c r="DC22">
        <f t="shared" si="37"/>
        <v>1.1134061042360068</v>
      </c>
      <c r="DD22">
        <f t="shared" si="23"/>
        <v>-4.3107536475949296E-3</v>
      </c>
      <c r="DE22">
        <f t="shared" si="38"/>
        <v>0.94542067320532075</v>
      </c>
      <c r="DF22">
        <f t="shared" si="24"/>
        <v>1.1199092949184393E-2</v>
      </c>
      <c r="DG22">
        <f t="shared" si="39"/>
        <v>1.1560367764356061</v>
      </c>
      <c r="DH22">
        <f t="shared" si="25"/>
        <v>-5.3717634511792414E-2</v>
      </c>
      <c r="DI22">
        <f t="shared" si="40"/>
        <v>0.49054738978504647</v>
      </c>
      <c r="DJ22">
        <f t="shared" si="26"/>
        <v>-3.546096852971059E-2</v>
      </c>
      <c r="DK22">
        <f t="shared" si="41"/>
        <v>0.6268870793837209</v>
      </c>
      <c r="DL22">
        <f t="shared" si="27"/>
        <v>2.551151242591574E-2</v>
      </c>
      <c r="DM22">
        <f t="shared" si="42"/>
        <v>1.389051411043682</v>
      </c>
      <c r="DN22">
        <f t="shared" si="28"/>
        <v>-1.8228241756062434E-4</v>
      </c>
      <c r="DO22">
        <f t="shared" si="36"/>
        <v>0.99656465337311995</v>
      </c>
      <c r="DQ22">
        <f>(DQ23-DQ18)/5+DQ21</f>
        <v>-1.4263912143643385</v>
      </c>
      <c r="DR22">
        <f t="shared" si="29"/>
        <v>-1.5474422245823083E-4</v>
      </c>
      <c r="DS22">
        <f t="shared" si="30"/>
        <v>-2.2106317494032977E-4</v>
      </c>
      <c r="DT22">
        <f t="shared" si="43"/>
        <v>0.99615876929075031</v>
      </c>
      <c r="DU22">
        <f t="shared" si="31"/>
        <v>-0.38412307092496878</v>
      </c>
      <c r="DV22">
        <f t="shared" si="7"/>
        <v>-5.5104023154557975</v>
      </c>
      <c r="DW22">
        <f t="shared" si="8"/>
        <v>-0.34353466268800537</v>
      </c>
      <c r="DY22">
        <f t="shared" si="9"/>
        <v>-50.945261021495348</v>
      </c>
      <c r="DZ22">
        <f t="shared" si="10"/>
        <v>-37.31129206162791</v>
      </c>
      <c r="EA22">
        <f t="shared" si="11"/>
        <v>-13.751734506172719</v>
      </c>
      <c r="EB22">
        <f t="shared" si="12"/>
        <v>-5.457932679467925</v>
      </c>
      <c r="EC22">
        <f t="shared" si="13"/>
        <v>-5.5104023154557975</v>
      </c>
      <c r="ED22">
        <f t="shared" si="14"/>
        <v>11.340610423600683</v>
      </c>
      <c r="EE22">
        <f t="shared" si="15"/>
        <v>15.603677643560609</v>
      </c>
      <c r="EF22">
        <f t="shared" si="16"/>
        <v>19.479824427276206</v>
      </c>
      <c r="EG22">
        <f t="shared" si="32"/>
        <v>38.905141104368198</v>
      </c>
    </row>
    <row r="23" spans="2:137" x14ac:dyDescent="0.35">
      <c r="D23">
        <f>-0.079/100</f>
        <v>-7.9000000000000001E-4</v>
      </c>
      <c r="E23">
        <f>0.019/100</f>
        <v>1.8999999999999998E-4</v>
      </c>
      <c r="G23" t="s">
        <v>1096</v>
      </c>
      <c r="I23" s="33"/>
      <c r="J23" s="33">
        <f t="shared" ref="J23:O23" si="88">SUMPRODUCT(J26:J223,$D26:$D223)/SUM($D26:$D223)</f>
        <v>-2.1305416441247896E-3</v>
      </c>
      <c r="K23" s="33">
        <f t="shared" si="88"/>
        <v>-4.261083288249575E-3</v>
      </c>
      <c r="L23" s="33">
        <f t="shared" si="88"/>
        <v>-6.3916249323743689E-3</v>
      </c>
      <c r="M23" s="33">
        <f t="shared" si="88"/>
        <v>-8.5221665764991534E-3</v>
      </c>
      <c r="N23" s="33">
        <f t="shared" si="88"/>
        <v>-1.0652708220623945E-2</v>
      </c>
      <c r="O23" s="33">
        <f t="shared" si="88"/>
        <v>-1.2783249864748738E-2</v>
      </c>
      <c r="P23" s="33"/>
      <c r="Q23" s="33">
        <f>Q19+Q21</f>
        <v>2.1864595043441706E-3</v>
      </c>
      <c r="R23" s="33">
        <f t="shared" ref="R23:U23" si="89">R19+R21</f>
        <v>3.5729190086883286E-3</v>
      </c>
      <c r="S23" s="33">
        <f t="shared" si="89"/>
        <v>4.1593785130325175E-3</v>
      </c>
      <c r="T23" s="33">
        <f t="shared" si="89"/>
        <v>3.9458380173766905E-3</v>
      </c>
      <c r="U23" s="33">
        <f t="shared" si="89"/>
        <v>2.9322975217208683E-3</v>
      </c>
      <c r="V23" s="33">
        <f t="shared" ref="V23" si="90">V19+V21</f>
        <v>1.1187570260650787E-3</v>
      </c>
      <c r="W23" s="33"/>
      <c r="X23" s="33">
        <f>X19+X21</f>
        <v>1.0580743804302056E-3</v>
      </c>
      <c r="Y23" s="33">
        <f t="shared" ref="Y23:AC23" si="91">Y19+Y21</f>
        <v>1.116148760860431E-3</v>
      </c>
      <c r="Z23" s="33">
        <f t="shared" si="91"/>
        <v>1.7422314129064004E-4</v>
      </c>
      <c r="AA23" s="33">
        <f t="shared" si="91"/>
        <v>-1.7677024782791761E-3</v>
      </c>
      <c r="AB23" s="33">
        <f t="shared" si="91"/>
        <v>-4.7096280978489308E-3</v>
      </c>
      <c r="AC23" s="33">
        <f t="shared" si="91"/>
        <v>-8.6515537174187279E-3</v>
      </c>
      <c r="AD23" s="33"/>
      <c r="AE23" s="33">
        <f>AE19+AE21</f>
        <v>-1.2675846113302334E-3</v>
      </c>
      <c r="AF23" s="33">
        <f t="shared" ref="AF23:AJ23" si="92">AF19+AF21</f>
        <v>-3.4411692226604534E-3</v>
      </c>
      <c r="AG23" s="33">
        <f t="shared" si="92"/>
        <v>-6.5207538339906758E-3</v>
      </c>
      <c r="AH23" s="33">
        <f t="shared" si="92"/>
        <v>-1.0506338445320867E-2</v>
      </c>
      <c r="AI23" s="33">
        <f t="shared" si="92"/>
        <v>-1.5397923056651108E-2</v>
      </c>
      <c r="AJ23" s="33">
        <f t="shared" si="92"/>
        <v>-2.1195507667981374E-2</v>
      </c>
      <c r="AK23" s="33"/>
      <c r="AL23" s="33">
        <f>AL19+AL21</f>
        <v>1.5952358680388131E-3</v>
      </c>
      <c r="AM23" s="33">
        <f t="shared" ref="AM23:AQ23" si="93">AM19+AM21</f>
        <v>2.170471736077647E-3</v>
      </c>
      <c r="AN23" s="33">
        <f t="shared" si="93"/>
        <v>1.7257076041164443E-3</v>
      </c>
      <c r="AO23" s="33">
        <f t="shared" si="93"/>
        <v>2.6094347215526587E-4</v>
      </c>
      <c r="AP23" s="33">
        <f t="shared" si="93"/>
        <v>-2.2238206598059196E-3</v>
      </c>
      <c r="AQ23" s="33">
        <f t="shared" si="93"/>
        <v>-5.7285847917670496E-3</v>
      </c>
      <c r="AR23" s="33"/>
      <c r="AS23" s="33">
        <f>AS19+AS21</f>
        <v>-1.0859010792985221E-2</v>
      </c>
      <c r="AT23" s="33">
        <f t="shared" ref="AT23:AX23" si="94">AT19+AT21</f>
        <v>-2.3240021585970425E-2</v>
      </c>
      <c r="AU23" s="33">
        <f t="shared" si="94"/>
        <v>-3.7143032378955651E-2</v>
      </c>
      <c r="AV23" s="33">
        <f t="shared" si="94"/>
        <v>-5.2568043171940818E-2</v>
      </c>
      <c r="AW23" s="33">
        <f t="shared" si="94"/>
        <v>-6.9515053964926063E-2</v>
      </c>
      <c r="AX23" s="33">
        <f t="shared" si="94"/>
        <v>-8.798406475791129E-2</v>
      </c>
      <c r="AY23" s="33" t="s">
        <v>1092</v>
      </c>
      <c r="AZ23" s="33">
        <f>AZ19+AZ21</f>
        <v>2.0403912397806891E-3</v>
      </c>
      <c r="BA23" s="33">
        <f t="shared" ref="BA23:BE23" si="95">BA19+BA21</f>
        <v>3.660782479561378E-3</v>
      </c>
      <c r="BB23" s="33">
        <f t="shared" si="95"/>
        <v>4.861173719342065E-3</v>
      </c>
      <c r="BC23" s="33">
        <f t="shared" si="95"/>
        <v>5.6415649591227621E-3</v>
      </c>
      <c r="BD23" s="33">
        <f t="shared" si="95"/>
        <v>6.0019561989034555E-3</v>
      </c>
      <c r="BE23" s="33">
        <f t="shared" si="95"/>
        <v>5.9423474386841729E-3</v>
      </c>
      <c r="BF23" s="33" t="s">
        <v>1093</v>
      </c>
      <c r="BG23" s="33">
        <f>BG19+BG21</f>
        <v>1.6190371902151026E-3</v>
      </c>
      <c r="BH23" s="33">
        <f t="shared" ref="BH23:BL23" si="96">BH19+BH21</f>
        <v>2.7380743804302152E-3</v>
      </c>
      <c r="BI23" s="33">
        <f t="shared" si="96"/>
        <v>3.3571115706453221E-3</v>
      </c>
      <c r="BJ23" s="33">
        <f t="shared" si="96"/>
        <v>3.4761487608604112E-3</v>
      </c>
      <c r="BK23" s="33">
        <f t="shared" si="96"/>
        <v>3.0951859510755311E-3</v>
      </c>
      <c r="BL23" s="33">
        <f t="shared" si="96"/>
        <v>2.2142231412906402E-3</v>
      </c>
      <c r="BM23" s="33" t="s">
        <v>1094</v>
      </c>
      <c r="BN23" s="33">
        <f>BN19+BN21</f>
        <v>4.0057575210797475E-3</v>
      </c>
      <c r="BO23" s="33">
        <f t="shared" ref="BO23:BS23" si="97">BO19+BO21</f>
        <v>6.4315150421594691E-3</v>
      </c>
      <c r="BP23" s="33">
        <f t="shared" si="97"/>
        <v>7.2772725632392135E-3</v>
      </c>
      <c r="BQ23" s="33">
        <f t="shared" si="97"/>
        <v>6.5430300843189876E-3</v>
      </c>
      <c r="BR23" s="33">
        <f t="shared" si="97"/>
        <v>4.228787605398715E-3</v>
      </c>
      <c r="BS23" s="33">
        <f t="shared" si="97"/>
        <v>3.3454512647840273E-4</v>
      </c>
      <c r="BU23" t="s">
        <v>738</v>
      </c>
      <c r="BV23" s="33">
        <f t="shared" ref="BV23:CA23" si="98">$BV$13+BV$20</f>
        <v>8.0520000000000001E-3</v>
      </c>
      <c r="BW23" s="33">
        <f t="shared" si="98"/>
        <v>6.2440000000000004E-3</v>
      </c>
      <c r="BX23" s="33">
        <f t="shared" si="98"/>
        <v>4.4360000000000007E-3</v>
      </c>
      <c r="BY23" s="33">
        <f t="shared" si="98"/>
        <v>2.6280000000000001E-3</v>
      </c>
      <c r="BZ23" s="33">
        <f t="shared" si="98"/>
        <v>8.1999999999999955E-4</v>
      </c>
      <c r="CA23" s="33">
        <f t="shared" si="98"/>
        <v>-9.879999999999993E-4</v>
      </c>
      <c r="CC23" t="s">
        <v>738</v>
      </c>
      <c r="CD23" s="33">
        <f t="shared" ref="CD23:CI23" si="99">$CC$13+CD20</f>
        <v>9.6999999999999864E-5</v>
      </c>
      <c r="CE23" s="33">
        <f t="shared" si="99"/>
        <v>-1.6690000000000003E-3</v>
      </c>
      <c r="CF23" s="33">
        <f t="shared" si="99"/>
        <v>-3.4350000000000006E-3</v>
      </c>
      <c r="CG23" s="33">
        <f t="shared" si="99"/>
        <v>-5.2010000000000008E-3</v>
      </c>
      <c r="CH23" s="33">
        <f t="shared" si="99"/>
        <v>-6.967000000000001E-3</v>
      </c>
      <c r="CI23" s="33">
        <f t="shared" si="99"/>
        <v>-8.7330000000000012E-3</v>
      </c>
      <c r="CK23" t="s">
        <v>738</v>
      </c>
      <c r="CL23" s="33">
        <f>$CK$13+CL20</f>
        <v>-3.0899999999999999E-3</v>
      </c>
      <c r="CM23" s="33">
        <f>$CC$13+CM20</f>
        <v>-1.637E-3</v>
      </c>
      <c r="CN23" s="33">
        <f>$CC$13+CN20</f>
        <v>-3.3870000000000003E-3</v>
      </c>
      <c r="CO23" s="33">
        <f>$CC$13+CO20</f>
        <v>-5.1370000000000001E-3</v>
      </c>
      <c r="CP23" s="33">
        <f>$CC$13+CP20</f>
        <v>-6.8870000000000008E-3</v>
      </c>
      <c r="CQ23" s="33">
        <f>$CC$13+CQ20</f>
        <v>-8.6370000000000006E-3</v>
      </c>
      <c r="CS23">
        <f t="shared" si="33"/>
        <v>2040</v>
      </c>
      <c r="CT23">
        <f t="shared" si="34"/>
        <v>1.9000000000000008</v>
      </c>
      <c r="CU23">
        <f t="shared" si="35"/>
        <v>0.04</v>
      </c>
      <c r="CV23">
        <f t="shared" si="19"/>
        <v>-3.8942473775924503E-3</v>
      </c>
      <c r="CW23">
        <f t="shared" si="36"/>
        <v>0.94129541557514751</v>
      </c>
      <c r="CX23">
        <f t="shared" si="20"/>
        <v>-1.1739409413196658E-2</v>
      </c>
      <c r="CY23">
        <f t="shared" si="36"/>
        <v>0.85270749217691177</v>
      </c>
      <c r="CZ23">
        <f t="shared" si="21"/>
        <v>1.4251406734952621E-2</v>
      </c>
      <c r="DA23">
        <f t="shared" si="36"/>
        <v>1.2112374068032343</v>
      </c>
      <c r="DB23">
        <f t="shared" si="22"/>
        <v>8.5850301113360398E-3</v>
      </c>
      <c r="DC23">
        <f t="shared" si="37"/>
        <v>1.1226344274997107</v>
      </c>
      <c r="DD23">
        <f t="shared" si="23"/>
        <v>-4.4650448526671292E-3</v>
      </c>
      <c r="DE23">
        <f t="shared" si="38"/>
        <v>0.9413451975897893</v>
      </c>
      <c r="DF23">
        <f t="shared" si="24"/>
        <v>1.1599932729905633E-2</v>
      </c>
      <c r="DG23">
        <f t="shared" si="39"/>
        <v>1.1689833397475839</v>
      </c>
      <c r="DH23">
        <f t="shared" si="25"/>
        <v>-5.5640304940216601E-2</v>
      </c>
      <c r="DI23">
        <f t="shared" si="40"/>
        <v>0.46419634438985957</v>
      </c>
      <c r="DJ23">
        <f t="shared" si="26"/>
        <v>-3.6730193360159667E-2</v>
      </c>
      <c r="DK23">
        <f t="shared" si="41"/>
        <v>0.60465705639001255</v>
      </c>
      <c r="DL23">
        <f t="shared" si="27"/>
        <v>2.6424624683584433E-2</v>
      </c>
      <c r="DM23">
        <f t="shared" si="42"/>
        <v>1.4244882133767587</v>
      </c>
      <c r="DN23">
        <f t="shared" si="28"/>
        <v>-1.8240039955249758E-4</v>
      </c>
      <c r="DO23">
        <f t="shared" si="36"/>
        <v>0.99638299715884771</v>
      </c>
      <c r="DP23">
        <f>graph!A42</f>
        <v>1.9000000000000006</v>
      </c>
      <c r="DQ23">
        <f>DS1*graph!B42</f>
        <v>-1.4657635544021521</v>
      </c>
      <c r="DR23">
        <f t="shared" si="29"/>
        <v>-1.6305958805562358E-4</v>
      </c>
      <c r="DS23">
        <f t="shared" si="30"/>
        <v>-2.3294226865089082E-4</v>
      </c>
      <c r="DT23">
        <f t="shared" si="43"/>
        <v>0.99593855527046626</v>
      </c>
      <c r="DU23">
        <f t="shared" si="31"/>
        <v>-0.40614447295337364</v>
      </c>
      <c r="DV23">
        <f t="shared" si="7"/>
        <v>-5.8704584424852495</v>
      </c>
      <c r="DW23">
        <f t="shared" si="8"/>
        <v>-0.36170028411522948</v>
      </c>
      <c r="DY23">
        <f t="shared" si="9"/>
        <v>-53.580365561014041</v>
      </c>
      <c r="DZ23">
        <f t="shared" si="10"/>
        <v>-39.534294360998743</v>
      </c>
      <c r="EA23">
        <f t="shared" si="11"/>
        <v>-14.729250782308823</v>
      </c>
      <c r="EB23">
        <f t="shared" si="12"/>
        <v>-5.8654802410210705</v>
      </c>
      <c r="EC23">
        <f t="shared" si="13"/>
        <v>-5.8704584424852495</v>
      </c>
      <c r="ED23">
        <f t="shared" si="14"/>
        <v>12.263442749971066</v>
      </c>
      <c r="EE23">
        <f t="shared" si="15"/>
        <v>16.898333974758394</v>
      </c>
      <c r="EF23">
        <f t="shared" si="16"/>
        <v>21.123740680323433</v>
      </c>
      <c r="EG23">
        <f t="shared" si="32"/>
        <v>42.448821337675867</v>
      </c>
    </row>
    <row r="24" spans="2:137" x14ac:dyDescent="0.35">
      <c r="E24" s="8">
        <f>MEDIAN(E26:E223)</f>
        <v>3842.3646514047668</v>
      </c>
      <c r="I24" t="s">
        <v>633</v>
      </c>
      <c r="J24" s="33">
        <f t="shared" ref="J24:O24" si="100">$E11/$D11*J23</f>
        <v>6.2357316413408478E-4</v>
      </c>
      <c r="K24" s="33">
        <f t="shared" si="100"/>
        <v>1.2471463282681683E-3</v>
      </c>
      <c r="L24" s="33">
        <f t="shared" si="100"/>
        <v>1.8707194924022542E-3</v>
      </c>
      <c r="M24" s="33">
        <f t="shared" si="100"/>
        <v>2.4942926565363374E-3</v>
      </c>
      <c r="N24" s="33">
        <f t="shared" si="100"/>
        <v>3.1178658206704227E-3</v>
      </c>
      <c r="O24" s="33">
        <f t="shared" si="100"/>
        <v>3.7414389848045085E-3</v>
      </c>
      <c r="P24" t="s">
        <v>629</v>
      </c>
      <c r="Q24" s="33">
        <f>SQRT(Q20^2+Q22^2)</f>
        <v>3.7190559669442744E-3</v>
      </c>
      <c r="R24" s="33">
        <f t="shared" ref="R24:U24" si="101">SQRT(R20^2+R22^2)</f>
        <v>7.5649333929775249E-3</v>
      </c>
      <c r="S24" s="33">
        <f t="shared" si="101"/>
        <v>1.1542295352895133E-2</v>
      </c>
      <c r="T24" s="33">
        <f t="shared" si="101"/>
        <v>1.5655495321253651E-2</v>
      </c>
      <c r="U24" s="33">
        <f t="shared" si="101"/>
        <v>1.990859449107029E-2</v>
      </c>
      <c r="V24" s="33">
        <f t="shared" ref="V24" si="102">SQRT(V20^2+V22^2)</f>
        <v>2.430537896701879E-2</v>
      </c>
      <c r="W24" t="s">
        <v>630</v>
      </c>
      <c r="X24" s="33">
        <f>SQRT(X20^2+X22^2)</f>
        <v>5.9477314281207493E-3</v>
      </c>
      <c r="Y24" s="33">
        <f t="shared" ref="Y24:AC24" si="103">SQRT(Y20^2+Y22^2)</f>
        <v>1.2211178033291697E-2</v>
      </c>
      <c r="Z24" s="33">
        <f t="shared" si="103"/>
        <v>1.8797561758213704E-2</v>
      </c>
      <c r="AA24" s="33">
        <f t="shared" si="103"/>
        <v>2.5713384355529334E-2</v>
      </c>
      <c r="AB24" s="33">
        <f t="shared" si="103"/>
        <v>3.2964504219531322E-2</v>
      </c>
      <c r="AC24" s="33">
        <f t="shared" si="103"/>
        <v>4.0556205282565566E-2</v>
      </c>
      <c r="AD24" t="s">
        <v>732</v>
      </c>
      <c r="AE24" s="33">
        <f>SQRT(AE20^2+AE22^2)</f>
        <v>4.9640881800952531E-3</v>
      </c>
      <c r="AF24" s="33">
        <f t="shared" ref="AF24:AJ24" si="104">SQRT(AF20^2+AF22^2)</f>
        <v>1.0054104500160447E-2</v>
      </c>
      <c r="AG24" s="33">
        <f t="shared" si="104"/>
        <v>1.5275506037863585E-2</v>
      </c>
      <c r="AH24" s="33">
        <f t="shared" si="104"/>
        <v>2.0633475734577383E-2</v>
      </c>
      <c r="AI24" s="33">
        <f t="shared" si="104"/>
        <v>2.6132930815764979E-2</v>
      </c>
      <c r="AJ24" s="33">
        <f t="shared" si="104"/>
        <v>3.1778531877683612E-2</v>
      </c>
      <c r="AK24" t="s">
        <v>750</v>
      </c>
      <c r="AL24" s="33">
        <f>SQRT(AL20^2+AL22^2)</f>
        <v>4.3937189845470563E-3</v>
      </c>
      <c r="AM24" s="33">
        <f t="shared" ref="AM24:AQ24" si="105">SQRT(AM20^2+AM22^2)</f>
        <v>8.917474017939471E-3</v>
      </c>
      <c r="AN24" s="33">
        <f t="shared" si="105"/>
        <v>1.3576484973522865E-2</v>
      </c>
      <c r="AO24" s="33">
        <f t="shared" si="105"/>
        <v>1.8375668310080369E-2</v>
      </c>
      <c r="AP24" s="33">
        <f t="shared" si="105"/>
        <v>2.3319650144844543E-2</v>
      </c>
      <c r="AQ24" s="33">
        <f t="shared" si="105"/>
        <v>2.8412779704629101E-2</v>
      </c>
      <c r="AR24" t="s">
        <v>997</v>
      </c>
      <c r="AS24" s="33">
        <f>SQRT(AS20^2+AS22^2)</f>
        <v>6.9530163180798301E-3</v>
      </c>
      <c r="AT24" s="33">
        <f t="shared" ref="AT24:AX24" si="106">SQRT(AT20^2+AT22^2)</f>
        <v>1.4102984566189636E-2</v>
      </c>
      <c r="AU24" s="33">
        <f t="shared" si="106"/>
        <v>2.1457999058470956E-2</v>
      </c>
      <c r="AV24" s="33">
        <f t="shared" si="106"/>
        <v>2.9025702686631058E-2</v>
      </c>
      <c r="AW24" s="33">
        <f t="shared" si="106"/>
        <v>3.6813304707327126E-2</v>
      </c>
      <c r="AX24" s="33">
        <f t="shared" si="106"/>
        <v>4.4827599270176453E-2</v>
      </c>
      <c r="AY24" t="s">
        <v>1091</v>
      </c>
      <c r="AZ24" s="33">
        <f>SQRT(AZ20^2+AZ22^2)</f>
        <v>2.6484327106224494E-3</v>
      </c>
      <c r="BA24" s="33">
        <f t="shared" ref="BA24:BE24" si="107">SQRT(BA20^2+BA22^2)</f>
        <v>5.3611340410837623E-3</v>
      </c>
      <c r="BB24" s="33">
        <f t="shared" si="107"/>
        <v>8.1409427909086337E-3</v>
      </c>
      <c r="BC24" s="33">
        <f t="shared" si="107"/>
        <v>1.0990561048070576E-2</v>
      </c>
      <c r="BD24" s="33">
        <f t="shared" si="107"/>
        <v>1.3912557940923546E-2</v>
      </c>
      <c r="BE24" s="33">
        <f t="shared" si="107"/>
        <v>1.6909373756084041E-2</v>
      </c>
      <c r="BF24" t="s">
        <v>1091</v>
      </c>
      <c r="BG24" s="33">
        <f>SQRT(BG20^2+BG22^2)</f>
        <v>2.497887972130847E-3</v>
      </c>
      <c r="BH24" s="33">
        <f t="shared" ref="BH24:BL24" si="108">SQRT(BH20^2+BH22^2)</f>
        <v>5.0431591596980761E-3</v>
      </c>
      <c r="BI24" s="33">
        <f t="shared" si="108"/>
        <v>7.6380982910254662E-3</v>
      </c>
      <c r="BJ24" s="33">
        <f t="shared" si="108"/>
        <v>1.0284903180800916E-2</v>
      </c>
      <c r="BK24" s="33">
        <f t="shared" si="108"/>
        <v>1.2985685721303618E-2</v>
      </c>
      <c r="BL24" s="33">
        <f t="shared" si="108"/>
        <v>1.5742473175540114E-2</v>
      </c>
      <c r="BM24" t="s">
        <v>1091</v>
      </c>
      <c r="BN24" s="33">
        <f>SQRT(BN20^2+BN22^2)</f>
        <v>7.6817688067138774E-3</v>
      </c>
      <c r="BO24" s="33">
        <f t="shared" ref="BO24:BS24" si="109">SQRT(BO20^2+BO22^2)</f>
        <v>1.5585476067065548E-2</v>
      </c>
      <c r="BP24" s="33">
        <f t="shared" si="109"/>
        <v>2.3720148420037491E-2</v>
      </c>
      <c r="BQ24" s="33">
        <f t="shared" si="109"/>
        <v>3.2094299600570815E-2</v>
      </c>
      <c r="BR24" s="33">
        <f t="shared" si="109"/>
        <v>4.0715951492524972E-2</v>
      </c>
      <c r="BS24" s="33">
        <f t="shared" si="109"/>
        <v>4.9592655935095299E-2</v>
      </c>
      <c r="BV24">
        <f t="shared" ref="BV24:CA24" si="110">SQRT($BW$13^2+BV21^2)</f>
        <v>8.0603388616938831E-3</v>
      </c>
      <c r="BW24">
        <f t="shared" si="110"/>
        <v>8.1465964601045715E-3</v>
      </c>
      <c r="BX24">
        <f t="shared" si="110"/>
        <v>8.2883644997800675E-3</v>
      </c>
      <c r="BY24">
        <f t="shared" si="110"/>
        <v>8.4828603169927932E-3</v>
      </c>
      <c r="BZ24">
        <f t="shared" si="110"/>
        <v>8.7265590648879544E-3</v>
      </c>
      <c r="CA24">
        <f t="shared" si="110"/>
        <v>9.0154715876273311E-3</v>
      </c>
      <c r="CD24">
        <f t="shared" ref="CD24:CI24" si="111">SQRT($CD$13^2+CD21^2)</f>
        <v>2.983286778035259E-3</v>
      </c>
      <c r="CE24">
        <f t="shared" si="111"/>
        <v>3.0232432915661945E-3</v>
      </c>
      <c r="CF24">
        <f t="shared" si="111"/>
        <v>3.0886890422960997E-3</v>
      </c>
      <c r="CG24">
        <f t="shared" si="111"/>
        <v>3.1780497164141403E-3</v>
      </c>
      <c r="CH24">
        <f t="shared" si="111"/>
        <v>3.2893768406797052E-3</v>
      </c>
      <c r="CI24">
        <f t="shared" si="111"/>
        <v>3.4205262752974139E-3</v>
      </c>
      <c r="CL24">
        <f>SQRT($CL$13^2+CL21^2)</f>
        <v>3.1375308763420952E-3</v>
      </c>
      <c r="CM24">
        <f t="shared" ref="CM24:CQ24" si="112">SQRT($CL$13^2+CM21^2)</f>
        <v>3.1774832808372094E-3</v>
      </c>
      <c r="CN24">
        <f t="shared" si="112"/>
        <v>3.2429770273623578E-3</v>
      </c>
      <c r="CO24">
        <f t="shared" si="112"/>
        <v>3.3325065641345696E-3</v>
      </c>
      <c r="CP24">
        <f t="shared" si="112"/>
        <v>3.4441980198589043E-3</v>
      </c>
      <c r="CQ24">
        <f t="shared" si="112"/>
        <v>3.5759753914142078E-3</v>
      </c>
      <c r="CS24">
        <f t="shared" si="33"/>
        <v>2041</v>
      </c>
      <c r="CT24">
        <f t="shared" si="34"/>
        <v>1.9400000000000008</v>
      </c>
      <c r="CU24">
        <f t="shared" si="35"/>
        <v>0.04</v>
      </c>
      <c r="CV24">
        <f t="shared" si="19"/>
        <v>-3.9780317922665197E-3</v>
      </c>
      <c r="CW24">
        <f t="shared" si="36"/>
        <v>0.93762977837150419</v>
      </c>
      <c r="CX24">
        <f t="shared" si="20"/>
        <v>-1.2151886665899904E-2</v>
      </c>
      <c r="CY24">
        <f t="shared" si="36"/>
        <v>0.84269720981654683</v>
      </c>
      <c r="CZ24">
        <f t="shared" si="21"/>
        <v>1.4752145817327728E-2</v>
      </c>
      <c r="DA24">
        <f t="shared" si="36"/>
        <v>1.2284992437401765</v>
      </c>
      <c r="DB24">
        <f t="shared" si="22"/>
        <v>8.8866747265002252E-3</v>
      </c>
      <c r="DC24">
        <f t="shared" si="37"/>
        <v>1.1322722778638181</v>
      </c>
      <c r="DD24">
        <f t="shared" si="23"/>
        <v>-4.6219291872363413E-3</v>
      </c>
      <c r="DE24">
        <f t="shared" si="38"/>
        <v>0.93714204906070808</v>
      </c>
      <c r="DF24">
        <f t="shared" si="24"/>
        <v>1.2007509313664205E-2</v>
      </c>
      <c r="DG24">
        <f t="shared" si="39"/>
        <v>1.1825434678510365</v>
      </c>
      <c r="DH24">
        <f t="shared" si="25"/>
        <v>-5.7595289157353791E-2</v>
      </c>
      <c r="DI24">
        <f t="shared" si="40"/>
        <v>0.43836831823587402</v>
      </c>
      <c r="DJ24">
        <f t="shared" si="26"/>
        <v>-3.802074970036419E-2</v>
      </c>
      <c r="DK24">
        <f t="shared" si="41"/>
        <v>0.5824478857922224</v>
      </c>
      <c r="DL24">
        <f t="shared" si="27"/>
        <v>2.7353083365751756E-2</v>
      </c>
      <c r="DM24">
        <f t="shared" si="42"/>
        <v>1.4621297797814292</v>
      </c>
      <c r="DN24">
        <f t="shared" si="28"/>
        <v>-1.8251838154437078E-4</v>
      </c>
      <c r="DO24">
        <f t="shared" si="36"/>
        <v>0.9962012565020586</v>
      </c>
      <c r="DQ24">
        <f>(DQ28-DQ23)/5+DQ23</f>
        <v>-1.5072451941148468</v>
      </c>
      <c r="DR24">
        <f t="shared" si="29"/>
        <v>-1.6308618082108584E-4</v>
      </c>
      <c r="DS24">
        <f t="shared" si="30"/>
        <v>-2.3298025831583691E-4</v>
      </c>
      <c r="DT24">
        <f t="shared" si="43"/>
        <v>0.99570655908396466</v>
      </c>
      <c r="DU24">
        <f t="shared" si="31"/>
        <v>-0.42934409160353404</v>
      </c>
      <c r="DV24">
        <f t="shared" si="7"/>
        <v>-6.2370221628495814</v>
      </c>
      <c r="DW24">
        <f t="shared" si="8"/>
        <v>-0.37987434979414036</v>
      </c>
      <c r="DY24">
        <f t="shared" si="9"/>
        <v>-56.163168176412604</v>
      </c>
      <c r="DZ24">
        <f t="shared" si="10"/>
        <v>-41.755211420777762</v>
      </c>
      <c r="EA24">
        <f t="shared" si="11"/>
        <v>-15.730279018345318</v>
      </c>
      <c r="EB24">
        <f t="shared" si="12"/>
        <v>-6.2857950939291918</v>
      </c>
      <c r="EC24">
        <f t="shared" si="13"/>
        <v>-6.2370221628495814</v>
      </c>
      <c r="ED24">
        <f t="shared" si="14"/>
        <v>13.227227786381812</v>
      </c>
      <c r="EE24">
        <f t="shared" si="15"/>
        <v>18.25434678510365</v>
      </c>
      <c r="EF24">
        <f t="shared" si="16"/>
        <v>22.84992437401765</v>
      </c>
      <c r="EG24">
        <f t="shared" si="32"/>
        <v>46.212977978142924</v>
      </c>
    </row>
    <row r="25" spans="2:137" x14ac:dyDescent="0.35">
      <c r="C25" t="s">
        <v>295</v>
      </c>
      <c r="D25" t="s">
        <v>72</v>
      </c>
      <c r="E25" t="s">
        <v>504</v>
      </c>
      <c r="F25" t="s">
        <v>503</v>
      </c>
      <c r="I25">
        <v>0</v>
      </c>
      <c r="J25">
        <v>1</v>
      </c>
      <c r="K25">
        <v>2</v>
      </c>
      <c r="L25">
        <v>3</v>
      </c>
      <c r="M25">
        <v>4</v>
      </c>
      <c r="N25">
        <v>5</v>
      </c>
      <c r="O25">
        <v>6</v>
      </c>
      <c r="P25">
        <v>0</v>
      </c>
      <c r="Q25">
        <v>1</v>
      </c>
      <c r="R25">
        <v>2</v>
      </c>
      <c r="S25">
        <v>3</v>
      </c>
      <c r="T25">
        <v>4</v>
      </c>
      <c r="U25">
        <v>5</v>
      </c>
      <c r="V25">
        <v>6</v>
      </c>
      <c r="W25">
        <v>0</v>
      </c>
      <c r="X25">
        <v>1</v>
      </c>
      <c r="Y25">
        <v>2</v>
      </c>
      <c r="Z25">
        <v>3</v>
      </c>
      <c r="AA25">
        <v>4</v>
      </c>
      <c r="AB25">
        <v>5</v>
      </c>
      <c r="AC25">
        <v>6</v>
      </c>
      <c r="AD25">
        <v>0</v>
      </c>
      <c r="AE25">
        <v>1</v>
      </c>
      <c r="AF25">
        <v>2</v>
      </c>
      <c r="AG25">
        <v>3</v>
      </c>
      <c r="AH25">
        <v>4</v>
      </c>
      <c r="AI25">
        <v>5</v>
      </c>
      <c r="AJ25">
        <v>6</v>
      </c>
      <c r="AK25">
        <v>0</v>
      </c>
      <c r="AL25">
        <v>1</v>
      </c>
      <c r="AM25">
        <v>2</v>
      </c>
      <c r="AN25">
        <v>3</v>
      </c>
      <c r="AO25">
        <v>4</v>
      </c>
      <c r="AP25">
        <v>5</v>
      </c>
      <c r="AQ25">
        <v>6</v>
      </c>
      <c r="AR25">
        <v>0</v>
      </c>
      <c r="AS25">
        <v>1</v>
      </c>
      <c r="AT25">
        <v>2</v>
      </c>
      <c r="AU25">
        <v>3</v>
      </c>
      <c r="AV25">
        <v>4</v>
      </c>
      <c r="AW25">
        <v>5</v>
      </c>
      <c r="AX25">
        <v>6</v>
      </c>
      <c r="AY25">
        <v>0</v>
      </c>
      <c r="AZ25">
        <v>1</v>
      </c>
      <c r="BA25">
        <v>2</v>
      </c>
      <c r="BB25">
        <v>3</v>
      </c>
      <c r="BC25">
        <v>4</v>
      </c>
      <c r="BD25">
        <v>5</v>
      </c>
      <c r="BE25">
        <v>6</v>
      </c>
      <c r="BF25">
        <v>0</v>
      </c>
      <c r="BG25">
        <v>1</v>
      </c>
      <c r="BH25">
        <v>2</v>
      </c>
      <c r="BI25">
        <v>3</v>
      </c>
      <c r="BJ25">
        <v>4</v>
      </c>
      <c r="BK25">
        <v>5</v>
      </c>
      <c r="BL25">
        <v>6</v>
      </c>
      <c r="BM25">
        <v>0</v>
      </c>
      <c r="BN25">
        <v>1</v>
      </c>
      <c r="BO25">
        <v>2</v>
      </c>
      <c r="BP25">
        <v>3</v>
      </c>
      <c r="BQ25">
        <v>4</v>
      </c>
      <c r="BR25">
        <v>5</v>
      </c>
      <c r="BS25">
        <v>6</v>
      </c>
      <c r="CS25">
        <f t="shared" si="33"/>
        <v>2042</v>
      </c>
      <c r="CT25">
        <f t="shared" si="34"/>
        <v>1.9800000000000009</v>
      </c>
      <c r="CU25">
        <f t="shared" si="35"/>
        <v>0.04</v>
      </c>
      <c r="CV25">
        <f t="shared" si="19"/>
        <v>-4.0618904444398194E-3</v>
      </c>
      <c r="CW25">
        <f t="shared" si="36"/>
        <v>0.93389985730376657</v>
      </c>
      <c r="CX25">
        <f t="shared" si="20"/>
        <v>-1.2571181724432954E-2</v>
      </c>
      <c r="CY25">
        <f t="shared" si="36"/>
        <v>0.83245684882918602</v>
      </c>
      <c r="CZ25">
        <f t="shared" si="21"/>
        <v>1.5261161578750354E-2</v>
      </c>
      <c r="DA25">
        <f t="shared" si="36"/>
        <v>1.2466222437203083</v>
      </c>
      <c r="DB25">
        <f t="shared" si="22"/>
        <v>9.1933052030720823E-3</v>
      </c>
      <c r="DC25">
        <f t="shared" si="37"/>
        <v>1.1423344132990274</v>
      </c>
      <c r="DD25">
        <f t="shared" si="23"/>
        <v>-4.7814066513025642E-3</v>
      </c>
      <c r="DE25">
        <f t="shared" si="38"/>
        <v>0.93281064487156795</v>
      </c>
      <c r="DF25">
        <f t="shared" si="24"/>
        <v>1.2421822700460109E-2</v>
      </c>
      <c r="DG25">
        <f t="shared" si="39"/>
        <v>1.1967428695550706</v>
      </c>
      <c r="DH25">
        <f t="shared" si="25"/>
        <v>-5.9582587163203998E-2</v>
      </c>
      <c r="DI25">
        <f t="shared" si="40"/>
        <v>0.41312036818965597</v>
      </c>
      <c r="DJ25">
        <f t="shared" si="26"/>
        <v>-3.9332637550324151E-2</v>
      </c>
      <c r="DK25">
        <f t="shared" si="41"/>
        <v>0.56030278051300997</v>
      </c>
      <c r="DL25">
        <f t="shared" si="27"/>
        <v>2.8296888472417708E-2</v>
      </c>
      <c r="DM25">
        <f t="shared" si="42"/>
        <v>1.5021235375393389</v>
      </c>
      <c r="DN25">
        <f t="shared" si="28"/>
        <v>-1.8263636353624404E-4</v>
      </c>
      <c r="DO25">
        <f t="shared" si="36"/>
        <v>0.99601943146102934</v>
      </c>
      <c r="DQ25">
        <f>(DQ28-DQ23)/5+DQ24</f>
        <v>-1.5487268338275415</v>
      </c>
      <c r="DR25">
        <f t="shared" si="29"/>
        <v>-1.6311278226178799E-4</v>
      </c>
      <c r="DS25">
        <f t="shared" si="30"/>
        <v>-2.3301826037398283E-4</v>
      </c>
      <c r="DT25">
        <f t="shared" si="43"/>
        <v>0.99547457911262249</v>
      </c>
      <c r="DU25">
        <f t="shared" si="31"/>
        <v>-0.4525420887377507</v>
      </c>
      <c r="DV25">
        <f t="shared" si="7"/>
        <v>-6.6100142696233437</v>
      </c>
      <c r="DW25">
        <f t="shared" si="8"/>
        <v>-0.39805685389706635</v>
      </c>
      <c r="DY25">
        <f t="shared" si="9"/>
        <v>-58.687963181034398</v>
      </c>
      <c r="DZ25">
        <f t="shared" si="10"/>
        <v>-43.969721948699004</v>
      </c>
      <c r="EA25">
        <f t="shared" si="11"/>
        <v>-16.754315117081397</v>
      </c>
      <c r="EB25">
        <f t="shared" si="12"/>
        <v>-6.7189355128432044</v>
      </c>
      <c r="EC25">
        <f t="shared" si="13"/>
        <v>-6.6100142696233437</v>
      </c>
      <c r="ED25">
        <f t="shared" si="14"/>
        <v>14.233441329902741</v>
      </c>
      <c r="EE25">
        <f t="shared" si="15"/>
        <v>19.674286955507057</v>
      </c>
      <c r="EF25">
        <f t="shared" si="16"/>
        <v>24.662224372030828</v>
      </c>
      <c r="EG25">
        <f t="shared" si="32"/>
        <v>50.21235375393389</v>
      </c>
    </row>
    <row r="26" spans="2:137" x14ac:dyDescent="0.35">
      <c r="B26" t="s">
        <v>349</v>
      </c>
      <c r="C26" s="19">
        <f>regions!B4</f>
        <v>28397812</v>
      </c>
      <c r="D26" s="19">
        <f>regions!C4</f>
        <v>10243250245.699793</v>
      </c>
      <c r="E26" s="8">
        <f>regions!D4</f>
        <v>360.70561512625665</v>
      </c>
      <c r="F26" s="1">
        <f>regions!Z4</f>
        <v>12.6</v>
      </c>
      <c r="G26" s="8"/>
      <c r="H26" s="8"/>
      <c r="I26">
        <f t="shared" ref="I26:I57" si="113">IF(E26&lt;E$24,$D$11*$F26,0)</f>
        <v>-0.17564399999999999</v>
      </c>
      <c r="J26">
        <f t="shared" ref="J26:O35" si="114">IF($E26&lt;$E$24,$D$11*($F26+J$25)-$I26,0)</f>
        <v>-1.393999999999998E-2</v>
      </c>
      <c r="K26">
        <f t="shared" si="114"/>
        <v>-2.7879999999999988E-2</v>
      </c>
      <c r="L26">
        <f t="shared" si="114"/>
        <v>-4.1819999999999996E-2</v>
      </c>
      <c r="M26">
        <f t="shared" si="114"/>
        <v>-5.5760000000000004E-2</v>
      </c>
      <c r="N26">
        <f t="shared" si="114"/>
        <v>-6.9700000000000012E-2</v>
      </c>
      <c r="O26">
        <f t="shared" si="114"/>
        <v>-8.364000000000002E-2</v>
      </c>
      <c r="P26">
        <f t="shared" ref="P26:P57" si="115">$D$13*$F26^2</f>
        <v>-6.3504000000000005E-2</v>
      </c>
      <c r="Q26">
        <f t="shared" ref="Q26:V35" si="116">$D$13*($F26+Q$25)^2-$P26</f>
        <v>-1.0479999999999989E-2</v>
      </c>
      <c r="R26">
        <f t="shared" si="116"/>
        <v>-2.1760000000000002E-2</v>
      </c>
      <c r="S26">
        <f t="shared" si="116"/>
        <v>-3.3839999999999995E-2</v>
      </c>
      <c r="T26">
        <f t="shared" si="116"/>
        <v>-4.6720000000000025E-2</v>
      </c>
      <c r="U26">
        <f t="shared" si="116"/>
        <v>-6.0400000000000023E-2</v>
      </c>
      <c r="V26">
        <f t="shared" si="116"/>
        <v>-7.488000000000003E-2</v>
      </c>
      <c r="W26">
        <f t="shared" ref="W26:W57" si="117">$D$15*$F26^2</f>
        <v>-7.9379999999999992E-2</v>
      </c>
      <c r="X26">
        <f t="shared" ref="X26:AC35" si="118">$D$15*($F26+X$25)^2-$W26</f>
        <v>-1.3100000000000001E-2</v>
      </c>
      <c r="Y26">
        <f t="shared" si="118"/>
        <v>-2.7200000000000002E-2</v>
      </c>
      <c r="Z26">
        <f t="shared" si="118"/>
        <v>-4.2300000000000004E-2</v>
      </c>
      <c r="AA26">
        <f t="shared" si="118"/>
        <v>-5.8400000000000049E-2</v>
      </c>
      <c r="AB26">
        <f t="shared" si="118"/>
        <v>-7.5500000000000025E-2</v>
      </c>
      <c r="AC26">
        <f t="shared" si="118"/>
        <v>-9.360000000000003E-2</v>
      </c>
      <c r="AD26">
        <f t="shared" ref="AD26:AD57" si="119">$D$10*$F26^2</f>
        <v>-7.1918280000000001E-2</v>
      </c>
      <c r="AE26">
        <f t="shared" ref="AE26:AJ35" si="120">$D$10*($F26+AE$25)^2-$AD26</f>
        <v>-1.1868599999999993E-2</v>
      </c>
      <c r="AF26">
        <f t="shared" si="120"/>
        <v>-2.4643200000000004E-2</v>
      </c>
      <c r="AG26">
        <f t="shared" si="120"/>
        <v>-3.8323799999999991E-2</v>
      </c>
      <c r="AH26">
        <f t="shared" si="120"/>
        <v>-5.2910400000000024E-2</v>
      </c>
      <c r="AI26">
        <f t="shared" si="120"/>
        <v>-6.8403000000000019E-2</v>
      </c>
      <c r="AJ26">
        <f t="shared" si="120"/>
        <v>-8.4801600000000005E-2</v>
      </c>
      <c r="AK26">
        <f t="shared" ref="AK26:AK57" si="121">$D$17*$F26^2</f>
        <v>-8.0967600000000001E-2</v>
      </c>
      <c r="AL26">
        <f t="shared" ref="AL26:AQ35" si="122">$D$17*($F26+AL$25)^2-$AK26</f>
        <v>-1.3361999999999999E-2</v>
      </c>
      <c r="AM26">
        <f t="shared" si="122"/>
        <v>-2.7744000000000005E-2</v>
      </c>
      <c r="AN26">
        <f t="shared" si="122"/>
        <v>-4.3146000000000004E-2</v>
      </c>
      <c r="AO26">
        <f t="shared" si="122"/>
        <v>-5.9568000000000038E-2</v>
      </c>
      <c r="AP26">
        <f t="shared" si="122"/>
        <v>-7.7010000000000023E-2</v>
      </c>
      <c r="AQ26">
        <f t="shared" si="122"/>
        <v>-9.5472000000000029E-2</v>
      </c>
      <c r="AR26">
        <f t="shared" ref="AR26:AR57" si="123">$D$8*$F26^2</f>
        <v>-0.12081635999999998</v>
      </c>
      <c r="AS26">
        <f t="shared" ref="AS26:AX35" si="124">$D$8*($F26+AS$25)^2-$AR26</f>
        <v>-1.9938199999999989E-2</v>
      </c>
      <c r="AT26">
        <f t="shared" si="124"/>
        <v>-4.1398400000000002E-2</v>
      </c>
      <c r="AU26">
        <f t="shared" si="124"/>
        <v>-6.4380599999999982E-2</v>
      </c>
      <c r="AV26">
        <f t="shared" si="124"/>
        <v>-8.8884800000000042E-2</v>
      </c>
      <c r="AW26">
        <f t="shared" si="124"/>
        <v>-0.11491100000000004</v>
      </c>
      <c r="AX26">
        <f t="shared" si="124"/>
        <v>-0.14245920000000004</v>
      </c>
      <c r="AY26">
        <f>$D$19*$F26^2</f>
        <v>-3.3339599999999997E-2</v>
      </c>
      <c r="AZ26">
        <f>$D$19*($F26+AZ$25)^2-$AY26</f>
        <v>-5.5019999999999999E-3</v>
      </c>
      <c r="BA26">
        <f t="shared" ref="BA26:BE41" si="125">$D$19*($F26+BA$25)^2-$AY26</f>
        <v>-1.1424000000000004E-2</v>
      </c>
      <c r="BB26">
        <f t="shared" si="125"/>
        <v>-1.7766000000000004E-2</v>
      </c>
      <c r="BC26">
        <f t="shared" si="125"/>
        <v>-2.4528000000000015E-2</v>
      </c>
      <c r="BD26">
        <f t="shared" si="125"/>
        <v>-3.1710000000000016E-2</v>
      </c>
      <c r="BE26">
        <f t="shared" si="125"/>
        <v>-3.9312000000000014E-2</v>
      </c>
      <c r="BF26">
        <f>$D$21*$F26^2</f>
        <v>-3.9689999999999996E-2</v>
      </c>
      <c r="BG26">
        <f>$D$21*($F26+BG$25)^2-$BF26</f>
        <v>-6.5500000000000003E-3</v>
      </c>
      <c r="BH26">
        <f t="shared" ref="BH26:BL41" si="126">$D$21*($F26+BH$25)^2-$BF26</f>
        <v>-1.3600000000000001E-2</v>
      </c>
      <c r="BI26">
        <f t="shared" si="126"/>
        <v>-2.1150000000000002E-2</v>
      </c>
      <c r="BJ26">
        <f t="shared" si="126"/>
        <v>-2.9200000000000025E-2</v>
      </c>
      <c r="BK26">
        <f t="shared" si="126"/>
        <v>-3.7750000000000013E-2</v>
      </c>
      <c r="BL26">
        <f t="shared" si="126"/>
        <v>-4.6800000000000015E-2</v>
      </c>
      <c r="BM26">
        <f>$D$23*$F26^2</f>
        <v>-0.12542039999999999</v>
      </c>
      <c r="BN26">
        <f>$D$23*($F26+BN$25)^2-$BM26</f>
        <v>-2.0697999999999994E-2</v>
      </c>
      <c r="BO26">
        <f t="shared" ref="BO26:BS41" si="127">$D$23*($F26+BO$25)^2-$BM26</f>
        <v>-4.2976000000000014E-2</v>
      </c>
      <c r="BP26">
        <f t="shared" si="127"/>
        <v>-6.6834000000000005E-2</v>
      </c>
      <c r="BQ26">
        <f t="shared" si="127"/>
        <v>-9.2272000000000076E-2</v>
      </c>
      <c r="BR26">
        <f t="shared" si="127"/>
        <v>-0.11929000000000006</v>
      </c>
      <c r="BS26">
        <f t="shared" si="127"/>
        <v>-0.14788800000000002</v>
      </c>
      <c r="BV26">
        <v>1</v>
      </c>
      <c r="BW26">
        <v>2</v>
      </c>
      <c r="BX26">
        <v>3</v>
      </c>
      <c r="BY26">
        <v>4</v>
      </c>
      <c r="BZ26">
        <v>5</v>
      </c>
      <c r="CA26">
        <v>6</v>
      </c>
      <c r="CD26">
        <v>1</v>
      </c>
      <c r="CE26">
        <v>2</v>
      </c>
      <c r="CF26">
        <v>3</v>
      </c>
      <c r="CG26">
        <v>4</v>
      </c>
      <c r="CH26">
        <v>5</v>
      </c>
      <c r="CI26">
        <v>6</v>
      </c>
      <c r="CL26">
        <v>1</v>
      </c>
      <c r="CM26">
        <v>2</v>
      </c>
      <c r="CN26">
        <v>3</v>
      </c>
      <c r="CO26">
        <v>4</v>
      </c>
      <c r="CP26">
        <v>5</v>
      </c>
      <c r="CQ26">
        <v>6</v>
      </c>
      <c r="CS26">
        <f t="shared" si="33"/>
        <v>2043</v>
      </c>
      <c r="CT26">
        <f t="shared" si="34"/>
        <v>2.0200000000000009</v>
      </c>
      <c r="CU26">
        <f t="shared" si="35"/>
        <v>0.04</v>
      </c>
      <c r="CV26">
        <f t="shared" si="19"/>
        <v>-4.1458233341123488E-3</v>
      </c>
      <c r="CW26">
        <f t="shared" si="36"/>
        <v>0.93010645839732065</v>
      </c>
      <c r="CX26">
        <f t="shared" si="20"/>
        <v>-1.2997294588795807E-2</v>
      </c>
      <c r="CY26">
        <f t="shared" si="36"/>
        <v>0.82199188250480548</v>
      </c>
      <c r="CZ26">
        <f t="shared" si="21"/>
        <v>1.5778454019220504E-2</v>
      </c>
      <c r="DA26">
        <f t="shared" si="36"/>
        <v>1.2656471472093882</v>
      </c>
      <c r="DB26">
        <f t="shared" si="22"/>
        <v>9.504921541051611E-3</v>
      </c>
      <c r="DC26">
        <f t="shared" si="37"/>
        <v>1.1528362422044578</v>
      </c>
      <c r="DD26">
        <f t="shared" si="23"/>
        <v>-4.9434772448657995E-3</v>
      </c>
      <c r="DE26">
        <f t="shared" si="38"/>
        <v>0.92835049784977319</v>
      </c>
      <c r="DF26">
        <f t="shared" si="24"/>
        <v>1.2842872890293344E-2</v>
      </c>
      <c r="DG26">
        <f t="shared" si="39"/>
        <v>1.2116085972987236</v>
      </c>
      <c r="DH26">
        <f t="shared" si="25"/>
        <v>-6.160219895776721E-2</v>
      </c>
      <c r="DI26">
        <f t="shared" si="40"/>
        <v>0.38850558784310085</v>
      </c>
      <c r="DJ26">
        <f t="shared" si="26"/>
        <v>-4.0665856910039572E-2</v>
      </c>
      <c r="DK26">
        <f t="shared" si="41"/>
        <v>0.53826459432865292</v>
      </c>
      <c r="DL26">
        <f t="shared" si="27"/>
        <v>2.9256040003582298E-2</v>
      </c>
      <c r="DM26">
        <f t="shared" si="42"/>
        <v>1.5446289597528833</v>
      </c>
      <c r="DN26">
        <f>BW$56*(3-CT26)+BX$56*(CT26-2)</f>
        <v>-1.8303259634783154E-4</v>
      </c>
      <c r="DO26">
        <f t="shared" si="36"/>
        <v>0.99583752209405585</v>
      </c>
      <c r="DQ26">
        <f>(DQ28-DQ23)/5+DQ25</f>
        <v>-1.5902084735402362</v>
      </c>
      <c r="DR26">
        <f t="shared" si="29"/>
        <v>-1.6313939238197592E-4</v>
      </c>
      <c r="DS26">
        <f t="shared" si="30"/>
        <v>-2.3305627483139417E-4</v>
      </c>
      <c r="DT26">
        <f t="shared" si="43"/>
        <v>0.99524261535795111</v>
      </c>
      <c r="DU26">
        <f t="shared" si="31"/>
        <v>-0.47573846420488897</v>
      </c>
      <c r="DV26">
        <f t="shared" si="7"/>
        <v>-6.9893541602679354</v>
      </c>
      <c r="DW26">
        <f t="shared" si="8"/>
        <v>-0.41624779059441508</v>
      </c>
      <c r="DY26">
        <f t="shared" si="9"/>
        <v>-61.149441215689912</v>
      </c>
      <c r="DZ26">
        <f t="shared" si="10"/>
        <v>-46.173540567134708</v>
      </c>
      <c r="EA26">
        <f t="shared" si="11"/>
        <v>-17.80081174951945</v>
      </c>
      <c r="EB26">
        <f t="shared" si="12"/>
        <v>-7.1649502150226807</v>
      </c>
      <c r="EC26">
        <f t="shared" si="13"/>
        <v>-6.9893541602679354</v>
      </c>
      <c r="ED26">
        <f t="shared" si="14"/>
        <v>15.28362422044578</v>
      </c>
      <c r="EE26">
        <f t="shared" si="15"/>
        <v>21.16085972987236</v>
      </c>
      <c r="EF26">
        <f t="shared" si="16"/>
        <v>26.56471472093882</v>
      </c>
      <c r="EG26">
        <f t="shared" si="32"/>
        <v>54.462895975288326</v>
      </c>
    </row>
    <row r="27" spans="2:137" x14ac:dyDescent="0.35">
      <c r="B27" t="s">
        <v>244</v>
      </c>
      <c r="C27" s="19">
        <f>regions!B5</f>
        <v>3150143</v>
      </c>
      <c r="D27" s="19">
        <f>regions!C5</f>
        <v>10725150216.110325</v>
      </c>
      <c r="E27" s="8">
        <f>regions!D5</f>
        <v>3404.6550318859572</v>
      </c>
      <c r="F27" s="1">
        <f>regions!Z5</f>
        <v>11.4</v>
      </c>
      <c r="G27" s="8"/>
      <c r="H27" s="8"/>
      <c r="I27">
        <f t="shared" si="113"/>
        <v>-0.158916</v>
      </c>
      <c r="J27">
        <f t="shared" si="114"/>
        <v>-1.3940000000000008E-2</v>
      </c>
      <c r="K27">
        <f t="shared" si="114"/>
        <v>-2.7879999999999988E-2</v>
      </c>
      <c r="L27">
        <f t="shared" si="114"/>
        <v>-4.1819999999999996E-2</v>
      </c>
      <c r="M27">
        <f t="shared" si="114"/>
        <v>-5.5760000000000004E-2</v>
      </c>
      <c r="N27">
        <f t="shared" si="114"/>
        <v>-6.9699999999999956E-2</v>
      </c>
      <c r="O27">
        <f t="shared" si="114"/>
        <v>-8.3639999999999964E-2</v>
      </c>
      <c r="P27">
        <f t="shared" si="115"/>
        <v>-5.1984000000000002E-2</v>
      </c>
      <c r="Q27">
        <f t="shared" si="116"/>
        <v>-9.5200000000000076E-3</v>
      </c>
      <c r="R27">
        <f t="shared" si="116"/>
        <v>-1.9839999999999997E-2</v>
      </c>
      <c r="S27">
        <f t="shared" si="116"/>
        <v>-3.0960000000000001E-2</v>
      </c>
      <c r="T27">
        <f t="shared" si="116"/>
        <v>-4.2880000000000015E-2</v>
      </c>
      <c r="U27">
        <f t="shared" si="116"/>
        <v>-5.5599999999999997E-2</v>
      </c>
      <c r="V27">
        <f t="shared" si="116"/>
        <v>-6.9119999999999973E-2</v>
      </c>
      <c r="W27">
        <f t="shared" si="117"/>
        <v>-6.498000000000001E-2</v>
      </c>
      <c r="X27">
        <f t="shared" si="118"/>
        <v>-1.1900000000000008E-2</v>
      </c>
      <c r="Y27">
        <f t="shared" si="118"/>
        <v>-2.4799999999999989E-2</v>
      </c>
      <c r="Z27">
        <f t="shared" si="118"/>
        <v>-3.8699999999999998E-2</v>
      </c>
      <c r="AA27">
        <f t="shared" si="118"/>
        <v>-5.3600000000000009E-2</v>
      </c>
      <c r="AB27">
        <f t="shared" si="118"/>
        <v>-6.9499999999999978E-2</v>
      </c>
      <c r="AC27">
        <f t="shared" si="118"/>
        <v>-8.6399999999999949E-2</v>
      </c>
      <c r="AD27">
        <f t="shared" si="119"/>
        <v>-5.8871880000000001E-2</v>
      </c>
      <c r="AE27">
        <f t="shared" si="120"/>
        <v>-1.078140000000001E-2</v>
      </c>
      <c r="AF27">
        <f t="shared" si="120"/>
        <v>-2.2468799999999997E-2</v>
      </c>
      <c r="AG27">
        <f t="shared" si="120"/>
        <v>-3.5062200000000002E-2</v>
      </c>
      <c r="AH27">
        <f t="shared" si="120"/>
        <v>-4.856160000000001E-2</v>
      </c>
      <c r="AI27">
        <f t="shared" si="120"/>
        <v>-6.2966999999999995E-2</v>
      </c>
      <c r="AJ27">
        <f t="shared" si="120"/>
        <v>-7.8278399999999984E-2</v>
      </c>
      <c r="AK27">
        <f t="shared" si="121"/>
        <v>-6.6279600000000008E-2</v>
      </c>
      <c r="AL27">
        <f t="shared" si="122"/>
        <v>-1.213800000000001E-2</v>
      </c>
      <c r="AM27">
        <f t="shared" si="122"/>
        <v>-2.5295999999999999E-2</v>
      </c>
      <c r="AN27">
        <f t="shared" si="122"/>
        <v>-3.9474000000000009E-2</v>
      </c>
      <c r="AO27">
        <f t="shared" si="122"/>
        <v>-5.4672000000000012E-2</v>
      </c>
      <c r="AP27">
        <f t="shared" si="122"/>
        <v>-7.0889999999999995E-2</v>
      </c>
      <c r="AQ27">
        <f t="shared" si="122"/>
        <v>-8.812799999999997E-2</v>
      </c>
      <c r="AR27">
        <f t="shared" si="123"/>
        <v>-9.8899559999999997E-2</v>
      </c>
      <c r="AS27">
        <f t="shared" si="124"/>
        <v>-1.8111800000000011E-2</v>
      </c>
      <c r="AT27">
        <f t="shared" si="124"/>
        <v>-3.774559999999999E-2</v>
      </c>
      <c r="AU27">
        <f t="shared" si="124"/>
        <v>-5.8901399999999993E-2</v>
      </c>
      <c r="AV27">
        <f t="shared" si="124"/>
        <v>-8.1579200000000018E-2</v>
      </c>
      <c r="AW27">
        <f t="shared" si="124"/>
        <v>-0.10577899999999998</v>
      </c>
      <c r="AX27">
        <f t="shared" si="124"/>
        <v>-0.13150079999999995</v>
      </c>
      <c r="AY27">
        <f t="shared" ref="AY27:AY90" si="128">$D$19*$F27^2</f>
        <v>-2.7291600000000003E-2</v>
      </c>
      <c r="AZ27">
        <f t="shared" ref="AZ27:BE58" si="129">$D$19*($F27+AZ$25)^2-$AY27</f>
        <v>-4.9980000000000059E-3</v>
      </c>
      <c r="BA27">
        <f t="shared" si="125"/>
        <v>-1.0415999999999998E-2</v>
      </c>
      <c r="BB27">
        <f t="shared" si="125"/>
        <v>-1.6254000000000001E-2</v>
      </c>
      <c r="BC27">
        <f t="shared" si="125"/>
        <v>-2.2512000000000008E-2</v>
      </c>
      <c r="BD27">
        <f t="shared" si="125"/>
        <v>-2.9189999999999997E-2</v>
      </c>
      <c r="BE27">
        <f t="shared" si="125"/>
        <v>-3.6287999999999987E-2</v>
      </c>
      <c r="BF27">
        <f t="shared" ref="BF27:BF90" si="130">$D$21*$F27^2</f>
        <v>-3.2490000000000005E-2</v>
      </c>
      <c r="BG27">
        <f t="shared" ref="BG27:BL42" si="131">$D$21*($F27+BG$25)^2-$BF27</f>
        <v>-5.9500000000000039E-3</v>
      </c>
      <c r="BH27">
        <f t="shared" si="126"/>
        <v>-1.2399999999999994E-2</v>
      </c>
      <c r="BI27">
        <f t="shared" si="126"/>
        <v>-1.9349999999999999E-2</v>
      </c>
      <c r="BJ27">
        <f t="shared" si="126"/>
        <v>-2.6800000000000004E-2</v>
      </c>
      <c r="BK27">
        <f t="shared" si="126"/>
        <v>-3.4749999999999989E-2</v>
      </c>
      <c r="BL27">
        <f t="shared" si="126"/>
        <v>-4.3199999999999975E-2</v>
      </c>
      <c r="BM27">
        <f t="shared" ref="BM27:BM90" si="132">$D$23*$F27^2</f>
        <v>-0.10266840000000001</v>
      </c>
      <c r="BN27">
        <f t="shared" ref="BN27:BS42" si="133">$D$23*($F27+BN$25)^2-$BM27</f>
        <v>-1.8802000000000013E-2</v>
      </c>
      <c r="BO27">
        <f t="shared" si="127"/>
        <v>-3.918400000000001E-2</v>
      </c>
      <c r="BP27">
        <f t="shared" si="127"/>
        <v>-6.114600000000002E-2</v>
      </c>
      <c r="BQ27">
        <f t="shared" si="127"/>
        <v>-8.4688000000000027E-2</v>
      </c>
      <c r="BR27">
        <f t="shared" si="127"/>
        <v>-0.10980999999999998</v>
      </c>
      <c r="BS27">
        <f t="shared" si="127"/>
        <v>-0.13651199999999997</v>
      </c>
      <c r="BU27">
        <v>0.01</v>
      </c>
      <c r="BV27" s="37">
        <f t="shared" ref="BV27:CA32" si="134">$BV$17*BV$26+$BU27*BV$23</f>
        <v>-6.6694800000000002E-3</v>
      </c>
      <c r="BW27" s="37">
        <f t="shared" si="134"/>
        <v>-1.3437559999999999E-2</v>
      </c>
      <c r="BX27" s="37">
        <f t="shared" si="134"/>
        <v>-2.020564E-2</v>
      </c>
      <c r="BY27" s="37">
        <f t="shared" si="134"/>
        <v>-2.697372E-2</v>
      </c>
      <c r="BZ27" s="37">
        <f t="shared" si="134"/>
        <v>-3.3741800000000002E-2</v>
      </c>
      <c r="CA27" s="37">
        <f t="shared" si="134"/>
        <v>-4.0509879999999998E-2</v>
      </c>
      <c r="CB27" s="37"/>
      <c r="CC27" s="37">
        <v>0.01</v>
      </c>
      <c r="CD27" s="37">
        <f>$CC$17*BV$26+$CC27*CD$23</f>
        <v>9.6999999999999876E-7</v>
      </c>
      <c r="CE27" s="37">
        <f t="shared" ref="CE27:CE32" si="135">$CC$17*BW$26+$CC27*CE$23</f>
        <v>-1.6690000000000005E-5</v>
      </c>
      <c r="CF27" s="37">
        <f t="shared" ref="CF27:CF32" si="136">$CC$17*BX$26+$CC27*CF$23</f>
        <v>-3.4350000000000008E-5</v>
      </c>
      <c r="CG27" s="37">
        <f t="shared" ref="CG27:CG32" si="137">$CC$17*BY$26+$CC27*CG$23</f>
        <v>-5.2010000000000012E-5</v>
      </c>
      <c r="CH27" s="37">
        <f t="shared" ref="CH27:CH32" si="138">$CC$17*BZ$26+$CC27*CH$23</f>
        <v>-6.9670000000000016E-5</v>
      </c>
      <c r="CI27" s="37">
        <f t="shared" ref="CI27:CI32" si="139">$CC$17*CA$26+$CC27*CI$23</f>
        <v>-8.7330000000000019E-5</v>
      </c>
      <c r="CJ27" s="37"/>
      <c r="CK27" s="37">
        <v>0.01</v>
      </c>
      <c r="CL27" s="37">
        <f>$CK$17*CD$26+$CC27*CL$23</f>
        <v>-3.0899999999999999E-5</v>
      </c>
      <c r="CM27" s="37">
        <f t="shared" ref="CM27:CM32" si="140">$CK$17*CE$26+$CC27*CM$23</f>
        <v>-1.6370000000000001E-5</v>
      </c>
      <c r="CN27" s="37">
        <f t="shared" ref="CN27:CN32" si="141">$CK$17*CF$26+$CC27*CN$23</f>
        <v>-3.3870000000000006E-5</v>
      </c>
      <c r="CO27" s="37">
        <f t="shared" ref="CO27:CO32" si="142">$CK$17*CG$26+$CC27*CO$23</f>
        <v>-5.1370000000000005E-5</v>
      </c>
      <c r="CP27" s="37">
        <f t="shared" ref="CP27:CP32" si="143">$CK$17*CH$26+$CC27*CP$23</f>
        <v>-6.887000000000001E-5</v>
      </c>
      <c r="CQ27" s="37">
        <f t="shared" ref="CQ27:CQ32" si="144">$CK$17*CI$26+$CC27*CQ$23</f>
        <v>-8.6370000000000001E-5</v>
      </c>
      <c r="CS27">
        <f t="shared" si="33"/>
        <v>2044</v>
      </c>
      <c r="CT27">
        <f t="shared" si="34"/>
        <v>2.0600000000000009</v>
      </c>
      <c r="CU27">
        <f t="shared" si="35"/>
        <v>0.04</v>
      </c>
      <c r="CV27">
        <f t="shared" si="19"/>
        <v>-4.2298304612841085E-3</v>
      </c>
      <c r="CW27">
        <f t="shared" si="36"/>
        <v>0.92625040133888836</v>
      </c>
      <c r="CX27">
        <f t="shared" si="20"/>
        <v>-1.343022525898847E-2</v>
      </c>
      <c r="CY27">
        <f t="shared" si="36"/>
        <v>0.81130821185829172</v>
      </c>
      <c r="CZ27">
        <f t="shared" si="21"/>
        <v>1.6304023138738178E-2</v>
      </c>
      <c r="DA27">
        <f t="shared" si="36"/>
        <v>1.2856171025261891</v>
      </c>
      <c r="DB27">
        <f t="shared" si="22"/>
        <v>9.8215237404388148E-3</v>
      </c>
      <c r="DC27">
        <f t="shared" si="37"/>
        <v>1.1637938602362921</v>
      </c>
      <c r="DD27">
        <f t="shared" si="23"/>
        <v>-5.1081409679260472E-3</v>
      </c>
      <c r="DE27">
        <f t="shared" si="38"/>
        <v>0.92376121828839308</v>
      </c>
      <c r="DF27">
        <f t="shared" si="24"/>
        <v>1.3270659883163914E-2</v>
      </c>
      <c r="DG27">
        <f t="shared" si="39"/>
        <v>1.2271691325066179</v>
      </c>
      <c r="DH27">
        <f t="shared" si="25"/>
        <v>-6.3654124541043439E-2</v>
      </c>
      <c r="DI27">
        <f t="shared" si="40"/>
        <v>0.36457278932458587</v>
      </c>
      <c r="DJ27">
        <f t="shared" si="26"/>
        <v>-4.2020407779510438E-2</v>
      </c>
      <c r="DK27">
        <f t="shared" si="41"/>
        <v>0.51637560335594346</v>
      </c>
      <c r="DL27">
        <f t="shared" si="27"/>
        <v>3.0230537959245522E-2</v>
      </c>
      <c r="DM27">
        <f t="shared" si="42"/>
        <v>1.5898186863901056</v>
      </c>
      <c r="DN27">
        <f t="shared" ref="DN27:DN50" si="145">BW$56*(3-CT27)+BX$56*(CT27-2)</f>
        <v>-1.8370707997913328E-4</v>
      </c>
      <c r="DO27">
        <f t="shared" si="36"/>
        <v>0.99565525136684641</v>
      </c>
      <c r="DQ27">
        <f>(DQ28-DQ23)/5+DQ26</f>
        <v>-1.6316901132529309</v>
      </c>
      <c r="DR27">
        <f t="shared" si="29"/>
        <v>-1.6316601118589641E-4</v>
      </c>
      <c r="DS27">
        <f t="shared" si="30"/>
        <v>-2.3309430169413773E-4</v>
      </c>
      <c r="DT27">
        <f t="shared" si="43"/>
        <v>0.9950106678214623</v>
      </c>
      <c r="DU27">
        <f t="shared" si="31"/>
        <v>-0.49893321785376976</v>
      </c>
      <c r="DV27">
        <f t="shared" si="7"/>
        <v>-7.3749598661111637</v>
      </c>
      <c r="DW27">
        <f t="shared" si="8"/>
        <v>-0.43447486331535945</v>
      </c>
      <c r="DY27">
        <f t="shared" si="9"/>
        <v>-63.542721067541422</v>
      </c>
      <c r="DZ27">
        <f t="shared" si="10"/>
        <v>-48.362439664405656</v>
      </c>
      <c r="EA27">
        <f t="shared" si="11"/>
        <v>-18.86917881417083</v>
      </c>
      <c r="EB27">
        <f t="shared" si="12"/>
        <v>-7.6238781711606922</v>
      </c>
      <c r="EC27">
        <f t="shared" si="13"/>
        <v>-7.3749598661111637</v>
      </c>
      <c r="ED27">
        <f t="shared" si="14"/>
        <v>16.379386023629205</v>
      </c>
      <c r="EE27">
        <f t="shared" si="15"/>
        <v>22.716913250661786</v>
      </c>
      <c r="EF27">
        <f t="shared" si="16"/>
        <v>28.561710252618909</v>
      </c>
      <c r="EG27">
        <f t="shared" si="32"/>
        <v>58.981868639010557</v>
      </c>
    </row>
    <row r="28" spans="2:137" x14ac:dyDescent="0.35">
      <c r="B28" t="s">
        <v>245</v>
      </c>
      <c r="C28" s="19">
        <f>regions!B6</f>
        <v>37062820</v>
      </c>
      <c r="D28" s="19">
        <f>regions!C6</f>
        <v>116511760871.08984</v>
      </c>
      <c r="E28" s="8">
        <f>regions!D6</f>
        <v>3143.6291375316246</v>
      </c>
      <c r="F28" s="1">
        <f>regions!Z6</f>
        <v>22.5</v>
      </c>
      <c r="G28" s="8"/>
      <c r="H28" s="8"/>
      <c r="I28">
        <f t="shared" si="113"/>
        <v>-0.31364999999999998</v>
      </c>
      <c r="J28">
        <f t="shared" si="114"/>
        <v>-1.3940000000000008E-2</v>
      </c>
      <c r="K28">
        <f t="shared" si="114"/>
        <v>-2.7880000000000016E-2</v>
      </c>
      <c r="L28">
        <f t="shared" si="114"/>
        <v>-4.1820000000000024E-2</v>
      </c>
      <c r="M28">
        <f t="shared" si="114"/>
        <v>-5.5759999999999976E-2</v>
      </c>
      <c r="N28">
        <f t="shared" si="114"/>
        <v>-6.9699999999999984E-2</v>
      </c>
      <c r="O28">
        <f t="shared" si="114"/>
        <v>-8.3639999999999992E-2</v>
      </c>
      <c r="P28">
        <f t="shared" si="115"/>
        <v>-0.20250000000000001</v>
      </c>
      <c r="Q28">
        <f t="shared" si="116"/>
        <v>-1.84E-2</v>
      </c>
      <c r="R28">
        <f t="shared" si="116"/>
        <v>-3.7599999999999995E-2</v>
      </c>
      <c r="S28">
        <f t="shared" si="116"/>
        <v>-5.7599999999999985E-2</v>
      </c>
      <c r="T28">
        <f t="shared" si="116"/>
        <v>-7.8400000000000025E-2</v>
      </c>
      <c r="U28">
        <f t="shared" si="116"/>
        <v>-9.9999999999999978E-2</v>
      </c>
      <c r="V28">
        <f t="shared" si="116"/>
        <v>-0.12240000000000001</v>
      </c>
      <c r="W28">
        <f t="shared" si="117"/>
        <v>-0.25312499999999999</v>
      </c>
      <c r="X28">
        <f t="shared" si="118"/>
        <v>-2.300000000000002E-2</v>
      </c>
      <c r="Y28">
        <f t="shared" si="118"/>
        <v>-4.7000000000000042E-2</v>
      </c>
      <c r="Z28">
        <f t="shared" si="118"/>
        <v>-7.2000000000000008E-2</v>
      </c>
      <c r="AA28">
        <f t="shared" si="118"/>
        <v>-9.8000000000000032E-2</v>
      </c>
      <c r="AB28">
        <f t="shared" si="118"/>
        <v>-0.125</v>
      </c>
      <c r="AC28">
        <f t="shared" si="118"/>
        <v>-0.15300000000000002</v>
      </c>
      <c r="AD28">
        <f t="shared" si="119"/>
        <v>-0.22933125000000001</v>
      </c>
      <c r="AE28">
        <f t="shared" si="120"/>
        <v>-2.0837999999999995E-2</v>
      </c>
      <c r="AF28">
        <f t="shared" si="120"/>
        <v>-4.2581999999999981E-2</v>
      </c>
      <c r="AG28">
        <f t="shared" si="120"/>
        <v>-6.5231999999999984E-2</v>
      </c>
      <c r="AH28">
        <f t="shared" si="120"/>
        <v>-8.8788000000000006E-2</v>
      </c>
      <c r="AI28">
        <f t="shared" si="120"/>
        <v>-0.11324999999999999</v>
      </c>
      <c r="AJ28">
        <f t="shared" si="120"/>
        <v>-0.13861799999999999</v>
      </c>
      <c r="AK28">
        <f t="shared" si="121"/>
        <v>-0.25818750000000001</v>
      </c>
      <c r="AL28">
        <f t="shared" si="122"/>
        <v>-2.3459999999999981E-2</v>
      </c>
      <c r="AM28">
        <f t="shared" si="122"/>
        <v>-4.7939999999999983E-2</v>
      </c>
      <c r="AN28">
        <f t="shared" si="122"/>
        <v>-7.3440000000000005E-2</v>
      </c>
      <c r="AO28">
        <f t="shared" si="122"/>
        <v>-9.9959999999999993E-2</v>
      </c>
      <c r="AP28">
        <f t="shared" si="122"/>
        <v>-0.1275</v>
      </c>
      <c r="AQ28">
        <f t="shared" si="122"/>
        <v>-0.15606000000000003</v>
      </c>
      <c r="AR28">
        <f t="shared" si="123"/>
        <v>-0.38525624999999997</v>
      </c>
      <c r="AS28">
        <f t="shared" si="124"/>
        <v>-3.5006000000000037E-2</v>
      </c>
      <c r="AT28">
        <f t="shared" si="124"/>
        <v>-7.1533999999999986E-2</v>
      </c>
      <c r="AU28">
        <f t="shared" si="124"/>
        <v>-0.10958400000000001</v>
      </c>
      <c r="AV28">
        <f t="shared" si="124"/>
        <v>-0.14915599999999996</v>
      </c>
      <c r="AW28">
        <f t="shared" si="124"/>
        <v>-0.19025000000000003</v>
      </c>
      <c r="AX28">
        <f t="shared" si="124"/>
        <v>-0.23286600000000002</v>
      </c>
      <c r="AY28">
        <f t="shared" si="128"/>
        <v>-0.1063125</v>
      </c>
      <c r="AZ28">
        <f t="shared" si="129"/>
        <v>-9.6600000000000019E-3</v>
      </c>
      <c r="BA28">
        <f t="shared" si="125"/>
        <v>-1.9740000000000008E-2</v>
      </c>
      <c r="BB28">
        <f t="shared" si="125"/>
        <v>-3.0239999999999989E-2</v>
      </c>
      <c r="BC28">
        <f t="shared" si="125"/>
        <v>-4.1160000000000002E-2</v>
      </c>
      <c r="BD28">
        <f t="shared" si="125"/>
        <v>-5.2499999999999991E-2</v>
      </c>
      <c r="BE28">
        <f t="shared" si="125"/>
        <v>-6.4260000000000012E-2</v>
      </c>
      <c r="BF28">
        <f t="shared" si="130"/>
        <v>-0.12656249999999999</v>
      </c>
      <c r="BG28">
        <f t="shared" si="131"/>
        <v>-1.150000000000001E-2</v>
      </c>
      <c r="BH28">
        <f t="shared" si="126"/>
        <v>-2.3500000000000021E-2</v>
      </c>
      <c r="BI28">
        <f t="shared" si="126"/>
        <v>-3.6000000000000004E-2</v>
      </c>
      <c r="BJ28">
        <f t="shared" si="126"/>
        <v>-4.9000000000000016E-2</v>
      </c>
      <c r="BK28">
        <f t="shared" si="126"/>
        <v>-6.25E-2</v>
      </c>
      <c r="BL28">
        <f t="shared" si="126"/>
        <v>-7.6500000000000012E-2</v>
      </c>
      <c r="BM28">
        <f t="shared" si="132"/>
        <v>-0.3999375</v>
      </c>
      <c r="BN28">
        <f t="shared" si="133"/>
        <v>-3.6339999999999983E-2</v>
      </c>
      <c r="BO28">
        <f t="shared" si="127"/>
        <v>-7.4259999999999993E-2</v>
      </c>
      <c r="BP28">
        <f t="shared" si="127"/>
        <v>-0.11376000000000003</v>
      </c>
      <c r="BQ28">
        <f t="shared" si="127"/>
        <v>-0.15484000000000003</v>
      </c>
      <c r="BR28">
        <f t="shared" si="127"/>
        <v>-0.19749999999999995</v>
      </c>
      <c r="BS28">
        <f t="shared" si="127"/>
        <v>-0.24174000000000001</v>
      </c>
      <c r="BU28">
        <v>0.02</v>
      </c>
      <c r="BV28" s="37">
        <f t="shared" si="134"/>
        <v>-6.5889599999999996E-3</v>
      </c>
      <c r="BW28" s="37">
        <f t="shared" si="134"/>
        <v>-1.3375119999999999E-2</v>
      </c>
      <c r="BX28" s="37">
        <f t="shared" si="134"/>
        <v>-2.016128E-2</v>
      </c>
      <c r="BY28" s="37">
        <f t="shared" si="134"/>
        <v>-2.694744E-2</v>
      </c>
      <c r="BZ28" s="37">
        <f t="shared" si="134"/>
        <v>-3.3733600000000002E-2</v>
      </c>
      <c r="CA28" s="37">
        <f t="shared" si="134"/>
        <v>-4.0519760000000002E-2</v>
      </c>
      <c r="CB28" s="37"/>
      <c r="CC28" s="37">
        <v>0.02</v>
      </c>
      <c r="CD28" s="37">
        <f t="shared" ref="CD28:CD32" si="146">$CC$17*BV$26+$CC28*CD$23</f>
        <v>1.9399999999999975E-6</v>
      </c>
      <c r="CE28" s="37">
        <f t="shared" si="135"/>
        <v>-3.3380000000000009E-5</v>
      </c>
      <c r="CF28" s="37">
        <f t="shared" si="136"/>
        <v>-6.8700000000000016E-5</v>
      </c>
      <c r="CG28" s="37">
        <f t="shared" si="137"/>
        <v>-1.0402000000000002E-4</v>
      </c>
      <c r="CH28" s="37">
        <f t="shared" si="138"/>
        <v>-1.3934000000000003E-4</v>
      </c>
      <c r="CI28" s="37">
        <f t="shared" si="139"/>
        <v>-1.7466000000000004E-4</v>
      </c>
      <c r="CJ28" s="37"/>
      <c r="CK28" s="37">
        <v>0.02</v>
      </c>
      <c r="CL28" s="37">
        <f t="shared" ref="CL28:CL32" si="147">$CK$17*CD$26+$CC28*CL$23</f>
        <v>-6.1799999999999998E-5</v>
      </c>
      <c r="CM28" s="37">
        <f t="shared" si="140"/>
        <v>-3.2740000000000002E-5</v>
      </c>
      <c r="CN28" s="37">
        <f t="shared" si="141"/>
        <v>-6.7740000000000012E-5</v>
      </c>
      <c r="CO28" s="37">
        <f t="shared" si="142"/>
        <v>-1.0274000000000001E-4</v>
      </c>
      <c r="CP28" s="37">
        <f t="shared" si="143"/>
        <v>-1.3774000000000002E-4</v>
      </c>
      <c r="CQ28" s="37">
        <f t="shared" si="144"/>
        <v>-1.7274E-4</v>
      </c>
      <c r="CS28">
        <f t="shared" si="33"/>
        <v>2045</v>
      </c>
      <c r="CT28">
        <f t="shared" si="34"/>
        <v>2.100000000000001</v>
      </c>
      <c r="CU28">
        <f t="shared" si="35"/>
        <v>0.04</v>
      </c>
      <c r="CV28">
        <f t="shared" si="19"/>
        <v>-4.3139118259550996E-3</v>
      </c>
      <c r="CW28">
        <f t="shared" si="36"/>
        <v>0.92233251917652848</v>
      </c>
      <c r="CX28">
        <f t="shared" si="20"/>
        <v>-1.3869973735010935E-2</v>
      </c>
      <c r="CY28">
        <f t="shared" si="36"/>
        <v>0.80041215981856773</v>
      </c>
      <c r="CZ28">
        <f t="shared" si="21"/>
        <v>1.6837868937303373E-2</v>
      </c>
      <c r="DA28">
        <f t="shared" si="36"/>
        <v>1.3065778335133336</v>
      </c>
      <c r="DB28">
        <f t="shared" si="22"/>
        <v>1.0143111801233689E-2</v>
      </c>
      <c r="DC28">
        <f t="shared" si="37"/>
        <v>1.1752240892635799</v>
      </c>
      <c r="DD28">
        <f t="shared" si="23"/>
        <v>-5.2753978204833057E-3</v>
      </c>
      <c r="DE28">
        <f t="shared" si="38"/>
        <v>0.91904251576467288</v>
      </c>
      <c r="DF28">
        <f t="shared" si="24"/>
        <v>1.3705183679071812E-2</v>
      </c>
      <c r="DG28">
        <f t="shared" si="39"/>
        <v>1.2434544766832305</v>
      </c>
      <c r="DH28">
        <f t="shared" si="25"/>
        <v>-6.5738363913032671E-2</v>
      </c>
      <c r="DI28">
        <f t="shared" si="40"/>
        <v>0.3413662275886431</v>
      </c>
      <c r="DJ28">
        <f t="shared" si="26"/>
        <v>-4.3396290158736736E-2</v>
      </c>
      <c r="DK28">
        <f t="shared" si="41"/>
        <v>0.494677289935536</v>
      </c>
      <c r="DL28">
        <f t="shared" si="27"/>
        <v>3.1220382339407375E-2</v>
      </c>
      <c r="DM28">
        <f t="shared" si="42"/>
        <v>1.6378797605373396</v>
      </c>
      <c r="DN28">
        <f t="shared" si="145"/>
        <v>-1.8438156361043505E-4</v>
      </c>
      <c r="DO28">
        <f t="shared" si="36"/>
        <v>0.99547234244795191</v>
      </c>
      <c r="DP28">
        <f>graph!A44</f>
        <v>2.1000000000000005</v>
      </c>
      <c r="DQ28">
        <f>DS1*graph!B44</f>
        <v>-1.6731717529656251</v>
      </c>
      <c r="DR28">
        <f t="shared" si="29"/>
        <v>-1.7161875785144765E-4</v>
      </c>
      <c r="DS28">
        <f t="shared" si="30"/>
        <v>-2.4516965407349664E-4</v>
      </c>
      <c r="DT28">
        <f t="shared" si="43"/>
        <v>0.99477873650466819</v>
      </c>
      <c r="DU28">
        <f t="shared" si="31"/>
        <v>-0.52212634953318071</v>
      </c>
      <c r="DV28">
        <f t="shared" si="7"/>
        <v>-7.7667480823471529</v>
      </c>
      <c r="DW28">
        <f t="shared" si="8"/>
        <v>-0.45276575520480922</v>
      </c>
      <c r="DY28">
        <f t="shared" si="9"/>
        <v>-65.863377241135694</v>
      </c>
      <c r="DZ28">
        <f t="shared" si="10"/>
        <v>-50.532271006446393</v>
      </c>
      <c r="EA28">
        <f t="shared" si="11"/>
        <v>-19.958784018143227</v>
      </c>
      <c r="EB28">
        <f t="shared" si="12"/>
        <v>-8.0957484235327115</v>
      </c>
      <c r="EC28">
        <f t="shared" si="13"/>
        <v>-7.7667480823471529</v>
      </c>
      <c r="ED28">
        <f t="shared" si="14"/>
        <v>17.52240892635799</v>
      </c>
      <c r="EE28">
        <f t="shared" si="15"/>
        <v>24.34544766832305</v>
      </c>
      <c r="EF28">
        <f t="shared" si="16"/>
        <v>30.657783351333357</v>
      </c>
      <c r="EG28">
        <f t="shared" si="32"/>
        <v>63.787976053733964</v>
      </c>
    </row>
    <row r="29" spans="2:137" x14ac:dyDescent="0.35">
      <c r="B29" t="s">
        <v>600</v>
      </c>
      <c r="C29" s="19">
        <f>regions!B7</f>
        <v>77907</v>
      </c>
      <c r="D29" s="19">
        <f>regions!C7</f>
        <v>2831797756.6024532</v>
      </c>
      <c r="E29" s="8">
        <f>regions!D7</f>
        <v>36348.437965811201</v>
      </c>
      <c r="F29" s="1">
        <f>regions!Z7</f>
        <v>7.6</v>
      </c>
      <c r="G29" s="8"/>
      <c r="H29" s="8"/>
      <c r="I29">
        <f t="shared" si="113"/>
        <v>0</v>
      </c>
      <c r="J29">
        <f t="shared" si="114"/>
        <v>0</v>
      </c>
      <c r="K29">
        <f t="shared" si="114"/>
        <v>0</v>
      </c>
      <c r="L29">
        <f t="shared" si="114"/>
        <v>0</v>
      </c>
      <c r="M29">
        <f t="shared" si="114"/>
        <v>0</v>
      </c>
      <c r="N29">
        <f t="shared" si="114"/>
        <v>0</v>
      </c>
      <c r="O29">
        <f t="shared" si="114"/>
        <v>0</v>
      </c>
      <c r="P29">
        <f t="shared" si="115"/>
        <v>-2.3104E-2</v>
      </c>
      <c r="Q29">
        <f t="shared" si="116"/>
        <v>-6.4799999999999996E-3</v>
      </c>
      <c r="R29">
        <f t="shared" si="116"/>
        <v>-1.3760000000000001E-2</v>
      </c>
      <c r="S29">
        <f t="shared" si="116"/>
        <v>-2.1840000000000005E-2</v>
      </c>
      <c r="T29">
        <f t="shared" si="116"/>
        <v>-3.0720000000000004E-2</v>
      </c>
      <c r="U29">
        <f t="shared" si="116"/>
        <v>-4.0400000000000005E-2</v>
      </c>
      <c r="V29">
        <f t="shared" si="116"/>
        <v>-5.0879999999999995E-2</v>
      </c>
      <c r="W29">
        <f t="shared" si="117"/>
        <v>-2.8879999999999999E-2</v>
      </c>
      <c r="X29">
        <f t="shared" si="118"/>
        <v>-8.0999999999999996E-3</v>
      </c>
      <c r="Y29">
        <f t="shared" si="118"/>
        <v>-1.7199999999999997E-2</v>
      </c>
      <c r="Z29">
        <f t="shared" si="118"/>
        <v>-2.7300000000000001E-2</v>
      </c>
      <c r="AA29">
        <f t="shared" si="118"/>
        <v>-3.8400000000000004E-2</v>
      </c>
      <c r="AB29">
        <f t="shared" si="118"/>
        <v>-5.0499999999999989E-2</v>
      </c>
      <c r="AC29">
        <f t="shared" si="118"/>
        <v>-6.359999999999999E-2</v>
      </c>
      <c r="AD29">
        <f t="shared" si="119"/>
        <v>-2.6165279999999999E-2</v>
      </c>
      <c r="AE29">
        <f t="shared" si="120"/>
        <v>-7.3386000000000007E-3</v>
      </c>
      <c r="AF29">
        <f t="shared" si="120"/>
        <v>-1.5583199999999998E-2</v>
      </c>
      <c r="AG29">
        <f t="shared" si="120"/>
        <v>-2.47338E-2</v>
      </c>
      <c r="AH29">
        <f t="shared" si="120"/>
        <v>-3.4790400000000006E-2</v>
      </c>
      <c r="AI29">
        <f t="shared" si="120"/>
        <v>-4.5753000000000002E-2</v>
      </c>
      <c r="AJ29">
        <f t="shared" si="120"/>
        <v>-5.7621599999999995E-2</v>
      </c>
      <c r="AK29">
        <f t="shared" si="121"/>
        <v>-2.94576E-2</v>
      </c>
      <c r="AL29">
        <f t="shared" si="122"/>
        <v>-8.2619999999999985E-3</v>
      </c>
      <c r="AM29">
        <f t="shared" si="122"/>
        <v>-1.7544000000000004E-2</v>
      </c>
      <c r="AN29">
        <f t="shared" si="122"/>
        <v>-2.7846000000000003E-2</v>
      </c>
      <c r="AO29">
        <f t="shared" si="122"/>
        <v>-3.9168000000000008E-2</v>
      </c>
      <c r="AP29">
        <f t="shared" si="122"/>
        <v>-5.151E-2</v>
      </c>
      <c r="AQ29">
        <f t="shared" si="122"/>
        <v>-6.4871999999999999E-2</v>
      </c>
      <c r="AR29">
        <f t="shared" si="123"/>
        <v>-4.3955359999999999E-2</v>
      </c>
      <c r="AS29">
        <f t="shared" si="124"/>
        <v>-1.2328199999999991E-2</v>
      </c>
      <c r="AT29">
        <f t="shared" si="124"/>
        <v>-2.6178399999999991E-2</v>
      </c>
      <c r="AU29">
        <f t="shared" si="124"/>
        <v>-4.1550599999999993E-2</v>
      </c>
      <c r="AV29">
        <f t="shared" si="124"/>
        <v>-5.8444799999999991E-2</v>
      </c>
      <c r="AW29">
        <f t="shared" si="124"/>
        <v>-7.6860999999999985E-2</v>
      </c>
      <c r="AX29">
        <f t="shared" si="124"/>
        <v>-9.6799199999999974E-2</v>
      </c>
      <c r="AY29">
        <f t="shared" si="128"/>
        <v>-1.2129600000000001E-2</v>
      </c>
      <c r="AZ29">
        <f t="shared" si="129"/>
        <v>-3.4019999999999988E-3</v>
      </c>
      <c r="BA29">
        <f t="shared" si="125"/>
        <v>-7.2239999999999978E-3</v>
      </c>
      <c r="BB29">
        <f t="shared" si="125"/>
        <v>-1.1466E-2</v>
      </c>
      <c r="BC29">
        <f t="shared" si="125"/>
        <v>-1.6128E-2</v>
      </c>
      <c r="BD29">
        <f t="shared" si="125"/>
        <v>-2.1209999999999996E-2</v>
      </c>
      <c r="BE29">
        <f t="shared" si="125"/>
        <v>-2.6711999999999996E-2</v>
      </c>
      <c r="BF29">
        <f t="shared" si="130"/>
        <v>-1.444E-2</v>
      </c>
      <c r="BG29">
        <f t="shared" si="131"/>
        <v>-4.0499999999999998E-3</v>
      </c>
      <c r="BH29">
        <f t="shared" si="126"/>
        <v>-8.5999999999999983E-3</v>
      </c>
      <c r="BI29">
        <f t="shared" si="126"/>
        <v>-1.3650000000000001E-2</v>
      </c>
      <c r="BJ29">
        <f t="shared" si="126"/>
        <v>-1.9200000000000002E-2</v>
      </c>
      <c r="BK29">
        <f t="shared" si="126"/>
        <v>-2.5249999999999995E-2</v>
      </c>
      <c r="BL29">
        <f t="shared" si="126"/>
        <v>-3.1799999999999995E-2</v>
      </c>
      <c r="BM29">
        <f t="shared" si="132"/>
        <v>-4.5630400000000002E-2</v>
      </c>
      <c r="BN29">
        <f t="shared" si="133"/>
        <v>-1.2797999999999997E-2</v>
      </c>
      <c r="BO29">
        <f t="shared" si="127"/>
        <v>-2.7175999999999992E-2</v>
      </c>
      <c r="BP29">
        <f t="shared" si="127"/>
        <v>-4.3134000000000006E-2</v>
      </c>
      <c r="BQ29">
        <f t="shared" si="127"/>
        <v>-6.0672000000000004E-2</v>
      </c>
      <c r="BR29">
        <f t="shared" si="127"/>
        <v>-7.9789999999999986E-2</v>
      </c>
      <c r="BS29">
        <f t="shared" si="127"/>
        <v>-0.10048799999999998</v>
      </c>
      <c r="BU29">
        <v>0.03</v>
      </c>
      <c r="BV29" s="37">
        <f t="shared" si="134"/>
        <v>-6.5084399999999999E-3</v>
      </c>
      <c r="BW29" s="37">
        <f t="shared" si="134"/>
        <v>-1.331268E-2</v>
      </c>
      <c r="BX29" s="37">
        <f t="shared" si="134"/>
        <v>-2.011692E-2</v>
      </c>
      <c r="BY29" s="37">
        <f t="shared" si="134"/>
        <v>-2.692116E-2</v>
      </c>
      <c r="BZ29" s="37">
        <f t="shared" si="134"/>
        <v>-3.3725400000000003E-2</v>
      </c>
      <c r="CA29" s="37">
        <f t="shared" si="134"/>
        <v>-4.0529639999999999E-2</v>
      </c>
      <c r="CB29" s="37"/>
      <c r="CC29" s="37">
        <v>0.03</v>
      </c>
      <c r="CD29" s="37">
        <f t="shared" si="146"/>
        <v>2.9099999999999959E-6</v>
      </c>
      <c r="CE29" s="37">
        <f t="shared" si="135"/>
        <v>-5.0070000000000007E-5</v>
      </c>
      <c r="CF29" s="37">
        <f t="shared" si="136"/>
        <v>-1.0305000000000001E-4</v>
      </c>
      <c r="CG29" s="37">
        <f t="shared" si="137"/>
        <v>-1.5603000000000001E-4</v>
      </c>
      <c r="CH29" s="37">
        <f t="shared" si="138"/>
        <v>-2.0901000000000003E-4</v>
      </c>
      <c r="CI29" s="37">
        <f t="shared" si="139"/>
        <v>-2.6199000000000003E-4</v>
      </c>
      <c r="CJ29" s="37"/>
      <c r="CK29" s="37">
        <v>0.03</v>
      </c>
      <c r="CL29" s="37">
        <f t="shared" si="147"/>
        <v>-9.269999999999999E-5</v>
      </c>
      <c r="CM29" s="37">
        <f t="shared" si="140"/>
        <v>-4.9109999999999996E-5</v>
      </c>
      <c r="CN29" s="37">
        <f t="shared" si="141"/>
        <v>-1.0161E-4</v>
      </c>
      <c r="CO29" s="37">
        <f t="shared" si="142"/>
        <v>-1.5411E-4</v>
      </c>
      <c r="CP29" s="37">
        <f t="shared" si="143"/>
        <v>-2.0661E-4</v>
      </c>
      <c r="CQ29" s="37">
        <f t="shared" si="144"/>
        <v>-2.5911E-4</v>
      </c>
      <c r="CS29">
        <f t="shared" si="33"/>
        <v>2046</v>
      </c>
      <c r="CT29">
        <f t="shared" si="34"/>
        <v>2.140000000000001</v>
      </c>
      <c r="CU29">
        <f t="shared" si="35"/>
        <v>0.04</v>
      </c>
      <c r="CV29">
        <f t="shared" si="19"/>
        <v>-4.3980674281253202E-3</v>
      </c>
      <c r="CW29">
        <f t="shared" si="36"/>
        <v>0.9183536580145899</v>
      </c>
      <c r="CX29">
        <f t="shared" si="20"/>
        <v>-1.4316540016863208E-2</v>
      </c>
      <c r="CY29">
        <f t="shared" si="36"/>
        <v>0.78931046418470074</v>
      </c>
      <c r="CZ29">
        <f t="shared" si="21"/>
        <v>1.7379991414916088E-2</v>
      </c>
      <c r="DA29">
        <f t="shared" si="36"/>
        <v>1.328577819830417</v>
      </c>
      <c r="DB29">
        <f t="shared" si="22"/>
        <v>1.0469685723436236E-2</v>
      </c>
      <c r="DC29">
        <f t="shared" si="37"/>
        <v>1.1871445185924834</v>
      </c>
      <c r="DD29">
        <f t="shared" si="23"/>
        <v>-5.4452478025375766E-3</v>
      </c>
      <c r="DE29">
        <f t="shared" si="38"/>
        <v>0.91419420088007652</v>
      </c>
      <c r="DF29">
        <f t="shared" si="24"/>
        <v>1.4146444278017043E-2</v>
      </c>
      <c r="DG29">
        <f t="shared" si="39"/>
        <v>1.2604962486827382</v>
      </c>
      <c r="DH29">
        <f t="shared" si="25"/>
        <v>-6.7854917073734936E-2</v>
      </c>
      <c r="DI29">
        <f t="shared" si="40"/>
        <v>0.31892537029180174</v>
      </c>
      <c r="DJ29">
        <f t="shared" si="26"/>
        <v>-4.4793504047718501E-2</v>
      </c>
      <c r="DK29">
        <f t="shared" si="41"/>
        <v>0.47321013072655599</v>
      </c>
      <c r="DL29">
        <f t="shared" si="27"/>
        <v>3.2225573144067869E-2</v>
      </c>
      <c r="DM29">
        <f t="shared" si="42"/>
        <v>1.6890149928872922</v>
      </c>
      <c r="DN29">
        <f t="shared" si="145"/>
        <v>-1.8505604724173679E-4</v>
      </c>
      <c r="DO29">
        <f t="shared" si="36"/>
        <v>0.99528879570092044</v>
      </c>
      <c r="DQ29">
        <f>(DQ33-DQ28)/5+DQ28</f>
        <v>-1.7167952125702532</v>
      </c>
      <c r="DR29">
        <f t="shared" si="29"/>
        <v>-1.7164821590504869E-4</v>
      </c>
      <c r="DS29">
        <f t="shared" si="30"/>
        <v>-2.4521173700721243E-4</v>
      </c>
      <c r="DT29">
        <f t="shared" si="43"/>
        <v>0.99453484694595962</v>
      </c>
      <c r="DU29">
        <f t="shared" si="31"/>
        <v>-0.54651530540403837</v>
      </c>
      <c r="DV29">
        <f t="shared" si="7"/>
        <v>-8.1646341985410089</v>
      </c>
      <c r="DW29">
        <f t="shared" si="8"/>
        <v>-0.47112042990795633</v>
      </c>
      <c r="DY29">
        <f t="shared" si="9"/>
        <v>-68.107462970819824</v>
      </c>
      <c r="DZ29">
        <f t="shared" si="10"/>
        <v>-52.678986927344404</v>
      </c>
      <c r="EA29">
        <f t="shared" si="11"/>
        <v>-21.068953581529925</v>
      </c>
      <c r="EB29">
        <f t="shared" si="12"/>
        <v>-8.5805799119923485</v>
      </c>
      <c r="EC29">
        <f t="shared" si="13"/>
        <v>-8.1646341985410089</v>
      </c>
      <c r="ED29">
        <f t="shared" si="14"/>
        <v>18.714451859248339</v>
      </c>
      <c r="EE29">
        <f t="shared" si="15"/>
        <v>26.049624868273824</v>
      </c>
      <c r="EF29">
        <f t="shared" si="16"/>
        <v>32.857781983041704</v>
      </c>
      <c r="EG29">
        <f t="shared" si="32"/>
        <v>68.901499288729212</v>
      </c>
    </row>
    <row r="30" spans="2:137" x14ac:dyDescent="0.35">
      <c r="B30" t="s">
        <v>350</v>
      </c>
      <c r="C30" s="19">
        <f>regions!B8</f>
        <v>19549124</v>
      </c>
      <c r="D30" s="19">
        <f>regions!C8</f>
        <v>50371160616.47271</v>
      </c>
      <c r="E30" s="8">
        <f>regions!D8</f>
        <v>2576.6454096087737</v>
      </c>
      <c r="F30" s="1">
        <f>regions!Z8</f>
        <v>21.5</v>
      </c>
      <c r="G30" s="8"/>
      <c r="H30" s="8"/>
      <c r="I30">
        <f t="shared" si="113"/>
        <v>-0.29970999999999998</v>
      </c>
      <c r="J30">
        <f t="shared" si="114"/>
        <v>-1.3940000000000008E-2</v>
      </c>
      <c r="K30">
        <f t="shared" si="114"/>
        <v>-2.7880000000000016E-2</v>
      </c>
      <c r="L30">
        <f t="shared" si="114"/>
        <v>-4.1820000000000024E-2</v>
      </c>
      <c r="M30">
        <f t="shared" si="114"/>
        <v>-5.5760000000000032E-2</v>
      </c>
      <c r="N30">
        <f t="shared" si="114"/>
        <v>-6.9699999999999984E-2</v>
      </c>
      <c r="O30">
        <f t="shared" si="114"/>
        <v>-8.3639999999999992E-2</v>
      </c>
      <c r="P30">
        <f t="shared" si="115"/>
        <v>-0.18490000000000001</v>
      </c>
      <c r="Q30">
        <f t="shared" si="116"/>
        <v>-1.7600000000000005E-2</v>
      </c>
      <c r="R30">
        <f t="shared" si="116"/>
        <v>-3.6000000000000004E-2</v>
      </c>
      <c r="S30">
        <f t="shared" si="116"/>
        <v>-5.5199999999999999E-2</v>
      </c>
      <c r="T30">
        <f t="shared" si="116"/>
        <v>-7.5199999999999989E-2</v>
      </c>
      <c r="U30">
        <f t="shared" si="116"/>
        <v>-9.600000000000003E-2</v>
      </c>
      <c r="V30">
        <f t="shared" si="116"/>
        <v>-0.11759999999999998</v>
      </c>
      <c r="W30">
        <f t="shared" si="117"/>
        <v>-0.231125</v>
      </c>
      <c r="X30">
        <f t="shared" si="118"/>
        <v>-2.1999999999999992E-2</v>
      </c>
      <c r="Y30">
        <f t="shared" si="118"/>
        <v>-4.5000000000000012E-2</v>
      </c>
      <c r="Z30">
        <f t="shared" si="118"/>
        <v>-6.9000000000000034E-2</v>
      </c>
      <c r="AA30">
        <f t="shared" si="118"/>
        <v>-9.4E-2</v>
      </c>
      <c r="AB30">
        <f t="shared" si="118"/>
        <v>-0.12000000000000002</v>
      </c>
      <c r="AC30">
        <f t="shared" si="118"/>
        <v>-0.14699999999999999</v>
      </c>
      <c r="AD30">
        <f t="shared" si="119"/>
        <v>-0.20939925000000001</v>
      </c>
      <c r="AE30">
        <f t="shared" si="120"/>
        <v>-1.9932000000000005E-2</v>
      </c>
      <c r="AF30">
        <f t="shared" si="120"/>
        <v>-4.0770000000000001E-2</v>
      </c>
      <c r="AG30">
        <f t="shared" si="120"/>
        <v>-6.2513999999999986E-2</v>
      </c>
      <c r="AH30">
        <f t="shared" si="120"/>
        <v>-8.516399999999999E-2</v>
      </c>
      <c r="AI30">
        <f t="shared" si="120"/>
        <v>-0.10872000000000001</v>
      </c>
      <c r="AJ30">
        <f t="shared" si="120"/>
        <v>-0.13318199999999999</v>
      </c>
      <c r="AK30">
        <f t="shared" si="121"/>
        <v>-0.23574750000000003</v>
      </c>
      <c r="AL30">
        <f t="shared" si="122"/>
        <v>-2.2439999999999988E-2</v>
      </c>
      <c r="AM30">
        <f t="shared" si="122"/>
        <v>-4.5899999999999969E-2</v>
      </c>
      <c r="AN30">
        <f t="shared" si="122"/>
        <v>-7.037999999999997E-2</v>
      </c>
      <c r="AO30">
        <f t="shared" si="122"/>
        <v>-9.5879999999999993E-2</v>
      </c>
      <c r="AP30">
        <f t="shared" si="122"/>
        <v>-0.12239999999999998</v>
      </c>
      <c r="AQ30">
        <f t="shared" si="122"/>
        <v>-0.14993999999999999</v>
      </c>
      <c r="AR30">
        <f t="shared" si="123"/>
        <v>-0.35177224999999995</v>
      </c>
      <c r="AS30">
        <f t="shared" si="124"/>
        <v>-3.3484000000000014E-2</v>
      </c>
      <c r="AT30">
        <f t="shared" si="124"/>
        <v>-6.8490000000000051E-2</v>
      </c>
      <c r="AU30">
        <f t="shared" si="124"/>
        <v>-0.105018</v>
      </c>
      <c r="AV30">
        <f t="shared" si="124"/>
        <v>-0.14306800000000003</v>
      </c>
      <c r="AW30">
        <f t="shared" si="124"/>
        <v>-0.18263999999999997</v>
      </c>
      <c r="AX30">
        <f t="shared" si="124"/>
        <v>-0.22373400000000004</v>
      </c>
      <c r="AY30">
        <f t="shared" si="128"/>
        <v>-9.7072500000000006E-2</v>
      </c>
      <c r="AZ30">
        <f t="shared" si="129"/>
        <v>-9.2399999999999982E-3</v>
      </c>
      <c r="BA30">
        <f t="shared" si="125"/>
        <v>-1.89E-2</v>
      </c>
      <c r="BB30">
        <f t="shared" si="125"/>
        <v>-2.8980000000000006E-2</v>
      </c>
      <c r="BC30">
        <f t="shared" si="125"/>
        <v>-3.9479999999999987E-2</v>
      </c>
      <c r="BD30">
        <f t="shared" si="125"/>
        <v>-5.04E-2</v>
      </c>
      <c r="BE30">
        <f t="shared" si="125"/>
        <v>-6.1739999999999989E-2</v>
      </c>
      <c r="BF30">
        <f t="shared" si="130"/>
        <v>-0.1155625</v>
      </c>
      <c r="BG30">
        <f t="shared" si="131"/>
        <v>-1.0999999999999996E-2</v>
      </c>
      <c r="BH30">
        <f t="shared" si="126"/>
        <v>-2.2500000000000006E-2</v>
      </c>
      <c r="BI30">
        <f t="shared" si="126"/>
        <v>-3.4500000000000017E-2</v>
      </c>
      <c r="BJ30">
        <f t="shared" si="126"/>
        <v>-4.7E-2</v>
      </c>
      <c r="BK30">
        <f t="shared" si="126"/>
        <v>-6.0000000000000012E-2</v>
      </c>
      <c r="BL30">
        <f t="shared" si="126"/>
        <v>-7.3499999999999996E-2</v>
      </c>
      <c r="BM30">
        <f t="shared" si="132"/>
        <v>-0.36517749999999999</v>
      </c>
      <c r="BN30">
        <f t="shared" si="133"/>
        <v>-3.4760000000000013E-2</v>
      </c>
      <c r="BO30">
        <f t="shared" si="127"/>
        <v>-7.1099999999999997E-2</v>
      </c>
      <c r="BP30">
        <f t="shared" si="127"/>
        <v>-0.10902000000000001</v>
      </c>
      <c r="BQ30">
        <f t="shared" si="127"/>
        <v>-0.14852000000000004</v>
      </c>
      <c r="BR30">
        <f t="shared" si="127"/>
        <v>-0.18960000000000005</v>
      </c>
      <c r="BS30">
        <f t="shared" si="127"/>
        <v>-0.23225999999999997</v>
      </c>
      <c r="BU30">
        <v>0.04</v>
      </c>
      <c r="BV30" s="37">
        <f t="shared" si="134"/>
        <v>-6.4279200000000002E-3</v>
      </c>
      <c r="BW30" s="37">
        <f t="shared" si="134"/>
        <v>-1.325024E-2</v>
      </c>
      <c r="BX30" s="37">
        <f t="shared" si="134"/>
        <v>-2.007256E-2</v>
      </c>
      <c r="BY30" s="37">
        <f t="shared" si="134"/>
        <v>-2.6894879999999999E-2</v>
      </c>
      <c r="BZ30" s="37">
        <f t="shared" si="134"/>
        <v>-3.3717200000000003E-2</v>
      </c>
      <c r="CA30" s="37">
        <f t="shared" si="134"/>
        <v>-4.0539520000000002E-2</v>
      </c>
      <c r="CB30" s="37"/>
      <c r="CC30" s="37">
        <v>0.04</v>
      </c>
      <c r="CD30" s="37">
        <f t="shared" si="146"/>
        <v>3.879999999999995E-6</v>
      </c>
      <c r="CE30" s="37">
        <f t="shared" si="135"/>
        <v>-6.6760000000000018E-5</v>
      </c>
      <c r="CF30" s="37">
        <f t="shared" si="136"/>
        <v>-1.3740000000000003E-4</v>
      </c>
      <c r="CG30" s="37">
        <f t="shared" si="137"/>
        <v>-2.0804000000000005E-4</v>
      </c>
      <c r="CH30" s="37">
        <f t="shared" si="138"/>
        <v>-2.7868000000000006E-4</v>
      </c>
      <c r="CI30" s="37">
        <f t="shared" si="139"/>
        <v>-3.4932000000000008E-4</v>
      </c>
      <c r="CJ30" s="37"/>
      <c r="CK30" s="37">
        <v>0.04</v>
      </c>
      <c r="CL30" s="37">
        <f t="shared" si="147"/>
        <v>-1.236E-4</v>
      </c>
      <c r="CM30" s="37">
        <f t="shared" si="140"/>
        <v>-6.5480000000000003E-5</v>
      </c>
      <c r="CN30" s="37">
        <f t="shared" si="141"/>
        <v>-1.3548000000000002E-4</v>
      </c>
      <c r="CO30" s="37">
        <f t="shared" si="142"/>
        <v>-2.0548000000000002E-4</v>
      </c>
      <c r="CP30" s="37">
        <f t="shared" si="143"/>
        <v>-2.7548000000000004E-4</v>
      </c>
      <c r="CQ30" s="37">
        <f t="shared" si="144"/>
        <v>-3.4548000000000001E-4</v>
      </c>
      <c r="CS30">
        <f t="shared" si="33"/>
        <v>2047</v>
      </c>
      <c r="CT30">
        <f t="shared" si="34"/>
        <v>2.180000000000001</v>
      </c>
      <c r="CU30">
        <f t="shared" si="35"/>
        <v>0.04</v>
      </c>
      <c r="CV30">
        <f t="shared" si="19"/>
        <v>-4.4822972677947713E-3</v>
      </c>
      <c r="CW30">
        <f t="shared" si="36"/>
        <v>0.9143146767037762</v>
      </c>
      <c r="CX30">
        <f t="shared" si="20"/>
        <v>-1.4769924104545286E-2</v>
      </c>
      <c r="CY30">
        <f t="shared" si="36"/>
        <v>0.77801026933847162</v>
      </c>
      <c r="CZ30">
        <f t="shared" si="21"/>
        <v>1.7930390571576325E-2</v>
      </c>
      <c r="DA30">
        <f t="shared" si="36"/>
        <v>1.3516684909331178</v>
      </c>
      <c r="DB30">
        <f t="shared" si="22"/>
        <v>1.0801245507046454E-2</v>
      </c>
      <c r="DC30">
        <f t="shared" si="37"/>
        <v>1.1995735486104468</v>
      </c>
      <c r="DD30">
        <f t="shared" si="23"/>
        <v>-5.6176909140888583E-3</v>
      </c>
      <c r="DE30">
        <f t="shared" si="38"/>
        <v>0.90921618691664174</v>
      </c>
      <c r="DF30">
        <f t="shared" si="24"/>
        <v>1.4594441679999605E-2</v>
      </c>
      <c r="DG30">
        <f t="shared" si="39"/>
        <v>1.2783277886273781</v>
      </c>
      <c r="DH30">
        <f t="shared" si="25"/>
        <v>-7.000378402315019E-2</v>
      </c>
      <c r="DI30">
        <f t="shared" si="40"/>
        <v>0.29728471573794135</v>
      </c>
      <c r="DJ30">
        <f t="shared" si="26"/>
        <v>-4.6212049446455697E-2</v>
      </c>
      <c r="DK30">
        <f t="shared" si="41"/>
        <v>0.45201339082043457</v>
      </c>
      <c r="DL30">
        <f t="shared" si="27"/>
        <v>3.3246110373226986E-2</v>
      </c>
      <c r="DM30">
        <f t="shared" si="42"/>
        <v>1.743444469082009</v>
      </c>
      <c r="DN30">
        <f t="shared" si="145"/>
        <v>-1.8573053087303851E-4</v>
      </c>
      <c r="DO30">
        <f t="shared" si="36"/>
        <v>0.99510461149052409</v>
      </c>
      <c r="DQ30">
        <f>(DQ33-DQ28)/5+DQ29</f>
        <v>-1.7604186721748813</v>
      </c>
      <c r="DR30">
        <f t="shared" si="29"/>
        <v>-1.7167768407323056E-4</v>
      </c>
      <c r="DS30">
        <f t="shared" si="30"/>
        <v>-2.4525383439032936E-4</v>
      </c>
      <c r="DT30">
        <f t="shared" si="43"/>
        <v>0.99429097532862576</v>
      </c>
      <c r="DU30">
        <f t="shared" si="31"/>
        <v>-0.5709024671374241</v>
      </c>
      <c r="DV30">
        <f t="shared" si="7"/>
        <v>-8.5685323296223803</v>
      </c>
      <c r="DW30">
        <f t="shared" si="8"/>
        <v>-0.48953885094759064</v>
      </c>
      <c r="DY30">
        <f t="shared" si="9"/>
        <v>-70.271528426205862</v>
      </c>
      <c r="DZ30">
        <f t="shared" si="10"/>
        <v>-54.798660917956546</v>
      </c>
      <c r="EA30">
        <f t="shared" si="11"/>
        <v>-22.198973066152838</v>
      </c>
      <c r="EB30">
        <f t="shared" si="12"/>
        <v>-9.0783813083358247</v>
      </c>
      <c r="EC30">
        <f t="shared" si="13"/>
        <v>-8.5685323296223803</v>
      </c>
      <c r="ED30">
        <f t="shared" si="14"/>
        <v>19.957354861044685</v>
      </c>
      <c r="EE30">
        <f t="shared" si="15"/>
        <v>27.832778862737804</v>
      </c>
      <c r="EF30">
        <f t="shared" si="16"/>
        <v>35.166849093311782</v>
      </c>
      <c r="EG30">
        <f t="shared" si="32"/>
        <v>74.344446908200894</v>
      </c>
    </row>
    <row r="31" spans="2:137" x14ac:dyDescent="0.35">
      <c r="B31" t="s">
        <v>351</v>
      </c>
      <c r="C31" s="19">
        <f>regions!B9</f>
        <v>87233</v>
      </c>
      <c r="D31" s="19">
        <f>regions!C9</f>
        <v>1012173532.2035601</v>
      </c>
      <c r="E31" s="8">
        <f>regions!D9</f>
        <v>11603.103552595465</v>
      </c>
      <c r="F31" s="1">
        <f>regions!Z9</f>
        <v>0</v>
      </c>
      <c r="G31" s="8"/>
      <c r="H31" s="8"/>
      <c r="I31">
        <f t="shared" si="113"/>
        <v>0</v>
      </c>
      <c r="J31">
        <f t="shared" si="114"/>
        <v>0</v>
      </c>
      <c r="K31">
        <f t="shared" si="114"/>
        <v>0</v>
      </c>
      <c r="L31">
        <f t="shared" si="114"/>
        <v>0</v>
      </c>
      <c r="M31">
        <f t="shared" si="114"/>
        <v>0</v>
      </c>
      <c r="N31">
        <f t="shared" si="114"/>
        <v>0</v>
      </c>
      <c r="O31">
        <f t="shared" si="114"/>
        <v>0</v>
      </c>
      <c r="P31">
        <f t="shared" si="115"/>
        <v>0</v>
      </c>
      <c r="Q31">
        <f t="shared" si="116"/>
        <v>-4.0000000000000002E-4</v>
      </c>
      <c r="R31">
        <f t="shared" si="116"/>
        <v>-1.6000000000000001E-3</v>
      </c>
      <c r="S31">
        <f t="shared" si="116"/>
        <v>-3.6000000000000003E-3</v>
      </c>
      <c r="T31">
        <f t="shared" si="116"/>
        <v>-6.4000000000000003E-3</v>
      </c>
      <c r="U31">
        <f t="shared" si="116"/>
        <v>-0.01</v>
      </c>
      <c r="V31">
        <f t="shared" si="116"/>
        <v>-1.4400000000000001E-2</v>
      </c>
      <c r="W31">
        <f t="shared" si="117"/>
        <v>0</v>
      </c>
      <c r="X31">
        <f t="shared" si="118"/>
        <v>-5.0000000000000001E-4</v>
      </c>
      <c r="Y31">
        <f t="shared" si="118"/>
        <v>-2E-3</v>
      </c>
      <c r="Z31">
        <f t="shared" si="118"/>
        <v>-4.5000000000000005E-3</v>
      </c>
      <c r="AA31">
        <f t="shared" si="118"/>
        <v>-8.0000000000000002E-3</v>
      </c>
      <c r="AB31">
        <f t="shared" si="118"/>
        <v>-1.2500000000000001E-2</v>
      </c>
      <c r="AC31">
        <f t="shared" si="118"/>
        <v>-1.8000000000000002E-2</v>
      </c>
      <c r="AD31">
        <f t="shared" si="119"/>
        <v>0</v>
      </c>
      <c r="AE31">
        <f t="shared" si="120"/>
        <v>-4.5300000000000001E-4</v>
      </c>
      <c r="AF31">
        <f t="shared" si="120"/>
        <v>-1.812E-3</v>
      </c>
      <c r="AG31">
        <f t="shared" si="120"/>
        <v>-4.0769999999999999E-3</v>
      </c>
      <c r="AH31">
        <f t="shared" si="120"/>
        <v>-7.2480000000000001E-3</v>
      </c>
      <c r="AI31">
        <f t="shared" si="120"/>
        <v>-1.1325E-2</v>
      </c>
      <c r="AJ31">
        <f t="shared" si="120"/>
        <v>-1.6308E-2</v>
      </c>
      <c r="AK31">
        <f t="shared" si="121"/>
        <v>0</v>
      </c>
      <c r="AL31">
        <f t="shared" si="122"/>
        <v>-5.1000000000000004E-4</v>
      </c>
      <c r="AM31">
        <f t="shared" si="122"/>
        <v>-2.0400000000000001E-3</v>
      </c>
      <c r="AN31">
        <f t="shared" si="122"/>
        <v>-4.5900000000000003E-3</v>
      </c>
      <c r="AO31">
        <f t="shared" si="122"/>
        <v>-8.1600000000000006E-3</v>
      </c>
      <c r="AP31">
        <f t="shared" si="122"/>
        <v>-1.2750000000000001E-2</v>
      </c>
      <c r="AQ31">
        <f t="shared" si="122"/>
        <v>-1.8360000000000001E-2</v>
      </c>
      <c r="AR31">
        <f t="shared" si="123"/>
        <v>0</v>
      </c>
      <c r="AS31">
        <f t="shared" si="124"/>
        <v>-7.6099999999999996E-4</v>
      </c>
      <c r="AT31">
        <f t="shared" si="124"/>
        <v>-3.0439999999999998E-3</v>
      </c>
      <c r="AU31">
        <f t="shared" si="124"/>
        <v>-6.8489999999999992E-3</v>
      </c>
      <c r="AV31">
        <f t="shared" si="124"/>
        <v>-1.2175999999999999E-2</v>
      </c>
      <c r="AW31">
        <f t="shared" si="124"/>
        <v>-1.9025E-2</v>
      </c>
      <c r="AX31">
        <f t="shared" si="124"/>
        <v>-2.7395999999999997E-2</v>
      </c>
      <c r="AY31">
        <f t="shared" si="128"/>
        <v>0</v>
      </c>
      <c r="AZ31">
        <f t="shared" si="129"/>
        <v>-2.1000000000000001E-4</v>
      </c>
      <c r="BA31">
        <f t="shared" si="125"/>
        <v>-8.4000000000000003E-4</v>
      </c>
      <c r="BB31">
        <f t="shared" si="125"/>
        <v>-1.8900000000000002E-3</v>
      </c>
      <c r="BC31">
        <f t="shared" si="125"/>
        <v>-3.3600000000000001E-3</v>
      </c>
      <c r="BD31">
        <f t="shared" si="125"/>
        <v>-5.2500000000000003E-3</v>
      </c>
      <c r="BE31">
        <f t="shared" si="125"/>
        <v>-7.5600000000000007E-3</v>
      </c>
      <c r="BF31">
        <f t="shared" si="130"/>
        <v>0</v>
      </c>
      <c r="BG31">
        <f t="shared" si="131"/>
        <v>-2.5000000000000001E-4</v>
      </c>
      <c r="BH31">
        <f t="shared" si="126"/>
        <v>-1E-3</v>
      </c>
      <c r="BI31">
        <f t="shared" si="126"/>
        <v>-2.2500000000000003E-3</v>
      </c>
      <c r="BJ31">
        <f t="shared" si="126"/>
        <v>-4.0000000000000001E-3</v>
      </c>
      <c r="BK31">
        <f t="shared" si="126"/>
        <v>-6.2500000000000003E-3</v>
      </c>
      <c r="BL31">
        <f t="shared" si="126"/>
        <v>-9.0000000000000011E-3</v>
      </c>
      <c r="BM31">
        <f t="shared" si="132"/>
        <v>0</v>
      </c>
      <c r="BN31">
        <f t="shared" si="133"/>
        <v>-7.9000000000000001E-4</v>
      </c>
      <c r="BO31">
        <f t="shared" si="127"/>
        <v>-3.16E-3</v>
      </c>
      <c r="BP31">
        <f t="shared" si="127"/>
        <v>-7.11E-3</v>
      </c>
      <c r="BQ31">
        <f t="shared" si="127"/>
        <v>-1.264E-2</v>
      </c>
      <c r="BR31">
        <f t="shared" si="127"/>
        <v>-1.975E-2</v>
      </c>
      <c r="BS31">
        <f t="shared" si="127"/>
        <v>-2.844E-2</v>
      </c>
      <c r="BU31">
        <v>0.05</v>
      </c>
      <c r="BV31" s="37">
        <f t="shared" si="134"/>
        <v>-6.3473999999999996E-3</v>
      </c>
      <c r="BW31" s="37">
        <f t="shared" si="134"/>
        <v>-1.31878E-2</v>
      </c>
      <c r="BX31" s="37">
        <f t="shared" si="134"/>
        <v>-2.0028199999999999E-2</v>
      </c>
      <c r="BY31" s="37">
        <f t="shared" si="134"/>
        <v>-2.6868599999999999E-2</v>
      </c>
      <c r="BZ31" s="37">
        <f t="shared" si="134"/>
        <v>-3.3709000000000003E-2</v>
      </c>
      <c r="CA31" s="37">
        <f t="shared" si="134"/>
        <v>-4.0549399999999999E-2</v>
      </c>
      <c r="CB31" s="37"/>
      <c r="CC31" s="37">
        <v>0.05</v>
      </c>
      <c r="CD31" s="37">
        <f t="shared" si="146"/>
        <v>4.8499999999999934E-6</v>
      </c>
      <c r="CE31" s="37">
        <f t="shared" si="135"/>
        <v>-8.3450000000000023E-5</v>
      </c>
      <c r="CF31" s="37">
        <f t="shared" si="136"/>
        <v>-1.7175000000000003E-4</v>
      </c>
      <c r="CG31" s="37">
        <f t="shared" si="137"/>
        <v>-2.6005000000000006E-4</v>
      </c>
      <c r="CH31" s="37">
        <f t="shared" si="138"/>
        <v>-3.4835000000000009E-4</v>
      </c>
      <c r="CI31" s="37">
        <f t="shared" si="139"/>
        <v>-4.3665000000000007E-4</v>
      </c>
      <c r="CJ31" s="37"/>
      <c r="CK31" s="37">
        <v>0.05</v>
      </c>
      <c r="CL31" s="37">
        <f t="shared" si="147"/>
        <v>-1.5450000000000001E-4</v>
      </c>
      <c r="CM31" s="37">
        <f t="shared" si="140"/>
        <v>-8.1850000000000011E-5</v>
      </c>
      <c r="CN31" s="37">
        <f t="shared" si="141"/>
        <v>-1.6935000000000002E-4</v>
      </c>
      <c r="CO31" s="37">
        <f t="shared" si="142"/>
        <v>-2.5685000000000004E-4</v>
      </c>
      <c r="CP31" s="37">
        <f t="shared" si="143"/>
        <v>-3.4435000000000005E-4</v>
      </c>
      <c r="CQ31" s="37">
        <f t="shared" si="144"/>
        <v>-4.3185000000000006E-4</v>
      </c>
      <c r="CS31">
        <f t="shared" si="33"/>
        <v>2048</v>
      </c>
      <c r="CT31">
        <f t="shared" si="34"/>
        <v>2.2200000000000011</v>
      </c>
      <c r="CU31">
        <f t="shared" si="35"/>
        <v>0.04</v>
      </c>
      <c r="CV31">
        <f t="shared" si="19"/>
        <v>-4.5666013449634519E-3</v>
      </c>
      <c r="CW31">
        <f t="shared" si="36"/>
        <v>0.91021644652648215</v>
      </c>
      <c r="CX31">
        <f t="shared" si="20"/>
        <v>-1.5230125998057172E-2</v>
      </c>
      <c r="CY31">
        <f t="shared" si="36"/>
        <v>0.76651911670778561</v>
      </c>
      <c r="CZ31">
        <f t="shared" si="21"/>
        <v>1.8489066407284094E-2</v>
      </c>
      <c r="DA31">
        <f t="shared" si="36"/>
        <v>1.3759044348988418</v>
      </c>
      <c r="DB31">
        <f t="shared" si="22"/>
        <v>1.1137791152064348E-2</v>
      </c>
      <c r="DC31">
        <f t="shared" si="37"/>
        <v>1.2125304370127472</v>
      </c>
      <c r="DD31">
        <f t="shared" si="23"/>
        <v>-5.7927271551371532E-3</v>
      </c>
      <c r="DE31">
        <f t="shared" si="38"/>
        <v>0.9041084914044577</v>
      </c>
      <c r="DF31">
        <f t="shared" si="24"/>
        <v>1.50491758850195E-2</v>
      </c>
      <c r="DG31">
        <f t="shared" si="39"/>
        <v>1.2969842689864233</v>
      </c>
      <c r="DH31">
        <f t="shared" si="25"/>
        <v>-7.2184964761278475E-2</v>
      </c>
      <c r="DI31">
        <f t="shared" si="40"/>
        <v>0.27647366070403889</v>
      </c>
      <c r="DJ31">
        <f t="shared" si="26"/>
        <v>-4.7651926354948346E-2</v>
      </c>
      <c r="DK31">
        <f t="shared" si="41"/>
        <v>0.43112492565338051</v>
      </c>
      <c r="DL31">
        <f t="shared" si="27"/>
        <v>3.4281994026884755E-2</v>
      </c>
      <c r="DM31">
        <f t="shared" si="42"/>
        <v>1.8014072163307013</v>
      </c>
      <c r="DN31">
        <f t="shared" si="145"/>
        <v>-1.8640501450434028E-4</v>
      </c>
      <c r="DO31">
        <f t="shared" si="36"/>
        <v>0.99491979018275778</v>
      </c>
      <c r="DQ31">
        <f>(DQ33-DQ28)/5+DQ30</f>
        <v>-1.8040421317795095</v>
      </c>
      <c r="DR31">
        <f t="shared" si="29"/>
        <v>-1.717071623612035E-4</v>
      </c>
      <c r="DS31">
        <f t="shared" si="30"/>
        <v>-2.4529594623029071E-4</v>
      </c>
      <c r="DT31">
        <f t="shared" si="43"/>
        <v>0.99404712165442666</v>
      </c>
      <c r="DU31">
        <f t="shared" si="31"/>
        <v>-0.59528783455733425</v>
      </c>
      <c r="DV31">
        <f t="shared" si="7"/>
        <v>-8.9783553473517852</v>
      </c>
      <c r="DW31">
        <f t="shared" si="8"/>
        <v>-0.50802098172422205</v>
      </c>
      <c r="DY31">
        <f t="shared" si="9"/>
        <v>-72.352633929596109</v>
      </c>
      <c r="DZ31">
        <f t="shared" si="10"/>
        <v>-56.887507434661956</v>
      </c>
      <c r="EA31">
        <f t="shared" si="11"/>
        <v>-23.34808832922144</v>
      </c>
      <c r="EB31">
        <f t="shared" si="12"/>
        <v>-9.5891508595542305</v>
      </c>
      <c r="EC31">
        <f t="shared" si="13"/>
        <v>-8.9783553473517852</v>
      </c>
      <c r="ED31">
        <f t="shared" si="14"/>
        <v>21.25304370127472</v>
      </c>
      <c r="EE31">
        <f t="shared" si="15"/>
        <v>29.698426898642328</v>
      </c>
      <c r="EF31">
        <f t="shared" si="16"/>
        <v>37.590443489884187</v>
      </c>
      <c r="EG31">
        <f t="shared" si="32"/>
        <v>80.140721633070129</v>
      </c>
    </row>
    <row r="32" spans="2:137" x14ac:dyDescent="0.35">
      <c r="B32" t="s">
        <v>118</v>
      </c>
      <c r="C32" s="19">
        <f>regions!B10</f>
        <v>40374224</v>
      </c>
      <c r="D32" s="19">
        <f>regions!C10</f>
        <v>293697869622.22595</v>
      </c>
      <c r="E32" s="8">
        <f>regions!D10</f>
        <v>7274.3904532313973</v>
      </c>
      <c r="F32" s="1">
        <f>regions!Z10</f>
        <v>14.8</v>
      </c>
      <c r="G32" s="8"/>
      <c r="H32" s="8"/>
      <c r="I32">
        <f t="shared" si="113"/>
        <v>0</v>
      </c>
      <c r="J32">
        <f t="shared" si="114"/>
        <v>0</v>
      </c>
      <c r="K32">
        <f t="shared" si="114"/>
        <v>0</v>
      </c>
      <c r="L32">
        <f t="shared" si="114"/>
        <v>0</v>
      </c>
      <c r="M32">
        <f t="shared" si="114"/>
        <v>0</v>
      </c>
      <c r="N32">
        <f t="shared" si="114"/>
        <v>0</v>
      </c>
      <c r="O32">
        <f t="shared" si="114"/>
        <v>0</v>
      </c>
      <c r="P32">
        <f t="shared" si="115"/>
        <v>-8.7616000000000013E-2</v>
      </c>
      <c r="Q32">
        <f t="shared" si="116"/>
        <v>-1.2240000000000001E-2</v>
      </c>
      <c r="R32">
        <f t="shared" si="116"/>
        <v>-2.5279999999999997E-2</v>
      </c>
      <c r="S32">
        <f t="shared" si="116"/>
        <v>-3.9120000000000002E-2</v>
      </c>
      <c r="T32">
        <f t="shared" si="116"/>
        <v>-5.3760000000000016E-2</v>
      </c>
      <c r="U32">
        <f t="shared" si="116"/>
        <v>-6.9199999999999998E-2</v>
      </c>
      <c r="V32">
        <f t="shared" si="116"/>
        <v>-8.5440000000000002E-2</v>
      </c>
      <c r="W32">
        <f t="shared" si="117"/>
        <v>-0.10952000000000001</v>
      </c>
      <c r="X32">
        <f t="shared" si="118"/>
        <v>-1.5300000000000008E-2</v>
      </c>
      <c r="Y32">
        <f t="shared" si="118"/>
        <v>-3.1599999999999989E-2</v>
      </c>
      <c r="Z32">
        <f t="shared" si="118"/>
        <v>-4.8900000000000027E-2</v>
      </c>
      <c r="AA32">
        <f t="shared" si="118"/>
        <v>-6.7200000000000037E-2</v>
      </c>
      <c r="AB32">
        <f t="shared" si="118"/>
        <v>-8.6500000000000021E-2</v>
      </c>
      <c r="AC32">
        <f t="shared" si="118"/>
        <v>-0.10680000000000001</v>
      </c>
      <c r="AD32">
        <f t="shared" si="119"/>
        <v>-9.9225120000000014E-2</v>
      </c>
      <c r="AE32">
        <f t="shared" si="120"/>
        <v>-1.3861799999999994E-2</v>
      </c>
      <c r="AF32">
        <f t="shared" si="120"/>
        <v>-2.8629599999999991E-2</v>
      </c>
      <c r="AG32">
        <f t="shared" si="120"/>
        <v>-4.4303400000000007E-2</v>
      </c>
      <c r="AH32">
        <f t="shared" si="120"/>
        <v>-6.0883200000000012E-2</v>
      </c>
      <c r="AI32">
        <f t="shared" si="120"/>
        <v>-7.8369000000000008E-2</v>
      </c>
      <c r="AJ32">
        <f t="shared" si="120"/>
        <v>-9.6760800000000022E-2</v>
      </c>
      <c r="AK32">
        <f t="shared" si="121"/>
        <v>-0.11171040000000002</v>
      </c>
      <c r="AL32">
        <f t="shared" si="122"/>
        <v>-1.5606000000000009E-2</v>
      </c>
      <c r="AM32">
        <f t="shared" si="122"/>
        <v>-3.2232000000000011E-2</v>
      </c>
      <c r="AN32">
        <f t="shared" si="122"/>
        <v>-4.9878000000000006E-2</v>
      </c>
      <c r="AO32">
        <f t="shared" si="122"/>
        <v>-6.8544000000000022E-2</v>
      </c>
      <c r="AP32">
        <f t="shared" si="122"/>
        <v>-8.8230000000000003E-2</v>
      </c>
      <c r="AQ32">
        <f t="shared" si="122"/>
        <v>-0.10893600000000003</v>
      </c>
      <c r="AR32">
        <f t="shared" si="123"/>
        <v>-0.16668943999999999</v>
      </c>
      <c r="AS32">
        <f t="shared" si="124"/>
        <v>-2.3286600000000018E-2</v>
      </c>
      <c r="AT32">
        <f t="shared" si="124"/>
        <v>-4.8095200000000005E-2</v>
      </c>
      <c r="AU32">
        <f t="shared" si="124"/>
        <v>-7.4425800000000014E-2</v>
      </c>
      <c r="AV32">
        <f t="shared" si="124"/>
        <v>-0.10227840000000002</v>
      </c>
      <c r="AW32">
        <f t="shared" si="124"/>
        <v>-0.13165299999999999</v>
      </c>
      <c r="AX32">
        <f t="shared" si="124"/>
        <v>-0.16254960000000004</v>
      </c>
      <c r="AY32">
        <f t="shared" si="128"/>
        <v>-4.5998400000000009E-2</v>
      </c>
      <c r="AZ32">
        <f t="shared" si="129"/>
        <v>-6.4259999999999942E-3</v>
      </c>
      <c r="BA32">
        <f t="shared" si="125"/>
        <v>-1.3271999999999999E-2</v>
      </c>
      <c r="BB32">
        <f t="shared" si="125"/>
        <v>-2.0538000000000001E-2</v>
      </c>
      <c r="BC32">
        <f t="shared" si="125"/>
        <v>-2.8223999999999999E-2</v>
      </c>
      <c r="BD32">
        <f t="shared" si="125"/>
        <v>-3.6330000000000001E-2</v>
      </c>
      <c r="BE32">
        <f t="shared" si="125"/>
        <v>-4.4856000000000007E-2</v>
      </c>
      <c r="BF32">
        <f t="shared" si="130"/>
        <v>-5.4760000000000003E-2</v>
      </c>
      <c r="BG32">
        <f t="shared" si="131"/>
        <v>-7.650000000000004E-3</v>
      </c>
      <c r="BH32">
        <f t="shared" si="126"/>
        <v>-1.5799999999999995E-2</v>
      </c>
      <c r="BI32">
        <f t="shared" si="126"/>
        <v>-2.4450000000000013E-2</v>
      </c>
      <c r="BJ32">
        <f t="shared" si="126"/>
        <v>-3.3600000000000019E-2</v>
      </c>
      <c r="BK32">
        <f t="shared" si="126"/>
        <v>-4.3250000000000011E-2</v>
      </c>
      <c r="BL32">
        <f t="shared" si="126"/>
        <v>-5.3400000000000003E-2</v>
      </c>
      <c r="BM32">
        <f t="shared" si="132"/>
        <v>-0.17304160000000002</v>
      </c>
      <c r="BN32">
        <f t="shared" si="133"/>
        <v>-2.4174000000000001E-2</v>
      </c>
      <c r="BO32">
        <f t="shared" si="127"/>
        <v>-4.9928E-2</v>
      </c>
      <c r="BP32">
        <f t="shared" si="127"/>
        <v>-7.7261999999999997E-2</v>
      </c>
      <c r="BQ32">
        <f t="shared" si="127"/>
        <v>-0.10617600000000005</v>
      </c>
      <c r="BR32">
        <f t="shared" si="127"/>
        <v>-0.13667000000000001</v>
      </c>
      <c r="BS32">
        <f t="shared" si="127"/>
        <v>-0.16874400000000001</v>
      </c>
      <c r="BU32">
        <v>0.06</v>
      </c>
      <c r="BV32" s="37">
        <f t="shared" si="134"/>
        <v>-6.2668799999999998E-3</v>
      </c>
      <c r="BW32" s="37">
        <f t="shared" si="134"/>
        <v>-1.3125359999999999E-2</v>
      </c>
      <c r="BX32" s="37">
        <f t="shared" si="134"/>
        <v>-1.9983839999999999E-2</v>
      </c>
      <c r="BY32" s="37">
        <f t="shared" si="134"/>
        <v>-2.6842319999999999E-2</v>
      </c>
      <c r="BZ32" s="37">
        <f t="shared" si="134"/>
        <v>-3.3700800000000003E-2</v>
      </c>
      <c r="CA32" s="37">
        <f t="shared" si="134"/>
        <v>-4.0559280000000003E-2</v>
      </c>
      <c r="CB32" s="37"/>
      <c r="CC32" s="37">
        <v>0.06</v>
      </c>
      <c r="CD32" s="37">
        <f t="shared" si="146"/>
        <v>5.8199999999999917E-6</v>
      </c>
      <c r="CE32" s="37">
        <f t="shared" si="135"/>
        <v>-1.0014000000000001E-4</v>
      </c>
      <c r="CF32" s="37">
        <f t="shared" si="136"/>
        <v>-2.0610000000000002E-4</v>
      </c>
      <c r="CG32" s="37">
        <f t="shared" si="137"/>
        <v>-3.1206000000000002E-4</v>
      </c>
      <c r="CH32" s="37">
        <f t="shared" si="138"/>
        <v>-4.1802000000000007E-4</v>
      </c>
      <c r="CI32" s="37">
        <f t="shared" si="139"/>
        <v>-5.2398000000000006E-4</v>
      </c>
      <c r="CJ32" s="37"/>
      <c r="CK32" s="37">
        <v>0.06</v>
      </c>
      <c r="CL32" s="37">
        <f t="shared" si="147"/>
        <v>-1.8539999999999998E-4</v>
      </c>
      <c r="CM32" s="37">
        <f t="shared" si="140"/>
        <v>-9.8219999999999991E-5</v>
      </c>
      <c r="CN32" s="37">
        <f t="shared" si="141"/>
        <v>-2.0322E-4</v>
      </c>
      <c r="CO32" s="37">
        <f t="shared" si="142"/>
        <v>-3.0822E-4</v>
      </c>
      <c r="CP32" s="37">
        <f t="shared" si="143"/>
        <v>-4.1322E-4</v>
      </c>
      <c r="CQ32" s="37">
        <f t="shared" si="144"/>
        <v>-5.1822000000000001E-4</v>
      </c>
      <c r="CS32">
        <f t="shared" si="33"/>
        <v>2049</v>
      </c>
      <c r="CT32">
        <f t="shared" si="34"/>
        <v>2.2600000000000011</v>
      </c>
      <c r="CU32">
        <f t="shared" si="35"/>
        <v>0.04</v>
      </c>
      <c r="CV32">
        <f t="shared" si="19"/>
        <v>-4.650979659631363E-3</v>
      </c>
      <c r="CW32">
        <f t="shared" si="36"/>
        <v>0.90605985087756646</v>
      </c>
      <c r="CX32">
        <f t="shared" si="20"/>
        <v>-1.5697145697398857E-2</v>
      </c>
      <c r="CY32">
        <f t="shared" si="36"/>
        <v>0.75484493398040653</v>
      </c>
      <c r="CZ32">
        <f t="shared" si="21"/>
        <v>1.9056018922039376E-2</v>
      </c>
      <c r="DA32">
        <f t="shared" si="36"/>
        <v>1.4013436233657632</v>
      </c>
      <c r="DB32">
        <f t="shared" si="22"/>
        <v>1.1479322658489912E-2</v>
      </c>
      <c r="DC32">
        <f t="shared" si="37"/>
        <v>1.2260353477857164</v>
      </c>
      <c r="DD32">
        <f t="shared" si="23"/>
        <v>-5.9703565256824581E-3</v>
      </c>
      <c r="DE32">
        <f t="shared" si="38"/>
        <v>0.89887123759510901</v>
      </c>
      <c r="DF32">
        <f t="shared" si="24"/>
        <v>1.5510646893076727E-2</v>
      </c>
      <c r="DG32">
        <f t="shared" si="39"/>
        <v>1.3165028133705035</v>
      </c>
      <c r="DH32">
        <f t="shared" si="25"/>
        <v>-7.439845928811975E-2</v>
      </c>
      <c r="DI32">
        <f t="shared" si="40"/>
        <v>0.25651641924869617</v>
      </c>
      <c r="DJ32">
        <f t="shared" si="26"/>
        <v>-4.911313477319644E-2</v>
      </c>
      <c r="DK32">
        <f t="shared" si="41"/>
        <v>0.41058099244636304</v>
      </c>
      <c r="DL32">
        <f t="shared" si="27"/>
        <v>3.5333224105041139E-2</v>
      </c>
      <c r="DM32">
        <f t="shared" si="42"/>
        <v>1.8631630477609376</v>
      </c>
      <c r="DN32">
        <f t="shared" si="145"/>
        <v>-1.8707949813564204E-4</v>
      </c>
      <c r="DO32">
        <f t="shared" si="36"/>
        <v>0.9947343321448382</v>
      </c>
      <c r="DQ32">
        <f>(DQ33-DQ28)/5+DQ31</f>
        <v>-1.8476655913841376</v>
      </c>
      <c r="DR32">
        <f t="shared" si="29"/>
        <v>-1.7173665077418313E-4</v>
      </c>
      <c r="DS32">
        <f t="shared" si="30"/>
        <v>-2.4533807253454733E-4</v>
      </c>
      <c r="DT32">
        <f t="shared" si="43"/>
        <v>0.99380328592512301</v>
      </c>
      <c r="DU32">
        <f t="shared" si="31"/>
        <v>-0.61967140748769856</v>
      </c>
      <c r="DV32">
        <f t="shared" si="7"/>
        <v>-9.3940149122433532</v>
      </c>
      <c r="DW32">
        <f t="shared" si="8"/>
        <v>-0.52656678551618041</v>
      </c>
      <c r="DY32">
        <f t="shared" si="9"/>
        <v>-74.348358075130378</v>
      </c>
      <c r="DZ32">
        <f t="shared" si="10"/>
        <v>-58.941900755363697</v>
      </c>
      <c r="EA32">
        <f t="shared" si="11"/>
        <v>-24.515506601959348</v>
      </c>
      <c r="EB32">
        <f t="shared" si="12"/>
        <v>-10.112876240489099</v>
      </c>
      <c r="EC32">
        <f t="shared" si="13"/>
        <v>-9.3940149122433532</v>
      </c>
      <c r="ED32">
        <f t="shared" si="14"/>
        <v>22.603534778571643</v>
      </c>
      <c r="EE32">
        <f t="shared" si="15"/>
        <v>31.650281337050345</v>
      </c>
      <c r="EF32">
        <f t="shared" si="16"/>
        <v>40.134362336576324</v>
      </c>
      <c r="EG32">
        <f t="shared" si="32"/>
        <v>86.316304776093759</v>
      </c>
    </row>
    <row r="33" spans="2:137" x14ac:dyDescent="0.35">
      <c r="B33" t="s">
        <v>212</v>
      </c>
      <c r="C33" s="19">
        <f>regions!B11</f>
        <v>2963496</v>
      </c>
      <c r="D33" s="19">
        <f>regions!C11</f>
        <v>5918216827.4621973</v>
      </c>
      <c r="E33" s="8">
        <f>regions!D11</f>
        <v>1997.0389119682286</v>
      </c>
      <c r="F33" s="1">
        <f>regions!Z11</f>
        <v>7.1</v>
      </c>
      <c r="G33" s="8"/>
      <c r="H33" s="8"/>
      <c r="I33">
        <f t="shared" si="113"/>
        <v>-9.8973999999999993E-2</v>
      </c>
      <c r="J33">
        <f t="shared" si="114"/>
        <v>-1.3939999999999994E-2</v>
      </c>
      <c r="K33">
        <f t="shared" si="114"/>
        <v>-2.7880000000000002E-2</v>
      </c>
      <c r="L33">
        <f t="shared" si="114"/>
        <v>-4.1819999999999982E-2</v>
      </c>
      <c r="M33">
        <f t="shared" si="114"/>
        <v>-5.575999999999999E-2</v>
      </c>
      <c r="N33">
        <f t="shared" si="114"/>
        <v>-6.9699999999999998E-2</v>
      </c>
      <c r="O33">
        <f t="shared" si="114"/>
        <v>-8.3640000000000006E-2</v>
      </c>
      <c r="P33">
        <f t="shared" si="115"/>
        <v>-2.0163999999999998E-2</v>
      </c>
      <c r="Q33">
        <f t="shared" si="116"/>
        <v>-6.0800000000000021E-3</v>
      </c>
      <c r="R33">
        <f t="shared" si="116"/>
        <v>-1.2959999999999996E-2</v>
      </c>
      <c r="S33">
        <f t="shared" si="116"/>
        <v>-2.0640000000000002E-2</v>
      </c>
      <c r="T33">
        <f t="shared" si="116"/>
        <v>-2.9120000000000004E-2</v>
      </c>
      <c r="U33">
        <f t="shared" si="116"/>
        <v>-3.8400000000000004E-2</v>
      </c>
      <c r="V33">
        <f t="shared" si="116"/>
        <v>-4.8479999999999995E-2</v>
      </c>
      <c r="W33">
        <f t="shared" si="117"/>
        <v>-2.5204999999999998E-2</v>
      </c>
      <c r="X33">
        <f t="shared" si="118"/>
        <v>-7.6000000000000026E-3</v>
      </c>
      <c r="Y33">
        <f t="shared" si="118"/>
        <v>-1.6199999999999999E-2</v>
      </c>
      <c r="Z33">
        <f t="shared" si="118"/>
        <v>-2.5799999999999997E-2</v>
      </c>
      <c r="AA33">
        <f t="shared" si="118"/>
        <v>-3.6400000000000002E-2</v>
      </c>
      <c r="AB33">
        <f t="shared" si="118"/>
        <v>-4.8000000000000008E-2</v>
      </c>
      <c r="AC33">
        <f t="shared" si="118"/>
        <v>-6.0599999999999994E-2</v>
      </c>
      <c r="AD33">
        <f t="shared" si="119"/>
        <v>-2.2835729999999999E-2</v>
      </c>
      <c r="AE33">
        <f t="shared" si="120"/>
        <v>-6.8856000000000021E-3</v>
      </c>
      <c r="AF33">
        <f t="shared" si="120"/>
        <v>-1.4677199999999994E-2</v>
      </c>
      <c r="AG33">
        <f t="shared" si="120"/>
        <v>-2.3374800000000001E-2</v>
      </c>
      <c r="AH33">
        <f t="shared" si="120"/>
        <v>-3.2978399999999998E-2</v>
      </c>
      <c r="AI33">
        <f t="shared" si="120"/>
        <v>-4.3487999999999999E-2</v>
      </c>
      <c r="AJ33">
        <f t="shared" si="120"/>
        <v>-5.4903599999999997E-2</v>
      </c>
      <c r="AK33">
        <f t="shared" si="121"/>
        <v>-2.5709099999999999E-2</v>
      </c>
      <c r="AL33">
        <f t="shared" si="122"/>
        <v>-7.7520000000000019E-3</v>
      </c>
      <c r="AM33">
        <f t="shared" si="122"/>
        <v>-1.6523999999999997E-2</v>
      </c>
      <c r="AN33">
        <f t="shared" si="122"/>
        <v>-2.6315999999999999E-2</v>
      </c>
      <c r="AO33">
        <f t="shared" si="122"/>
        <v>-3.7128000000000008E-2</v>
      </c>
      <c r="AP33">
        <f t="shared" si="122"/>
        <v>-4.8960000000000004E-2</v>
      </c>
      <c r="AQ33">
        <f t="shared" si="122"/>
        <v>-6.1812000000000006E-2</v>
      </c>
      <c r="AR33">
        <f t="shared" si="123"/>
        <v>-3.8362009999999995E-2</v>
      </c>
      <c r="AS33">
        <f t="shared" si="124"/>
        <v>-1.15672E-2</v>
      </c>
      <c r="AT33">
        <f t="shared" si="124"/>
        <v>-2.4656399999999988E-2</v>
      </c>
      <c r="AU33">
        <f t="shared" si="124"/>
        <v>-3.9267599999999993E-2</v>
      </c>
      <c r="AV33">
        <f t="shared" si="124"/>
        <v>-5.5400799999999993E-2</v>
      </c>
      <c r="AW33">
        <f t="shared" si="124"/>
        <v>-7.305600000000001E-2</v>
      </c>
      <c r="AX33">
        <f t="shared" si="124"/>
        <v>-9.2233199999999987E-2</v>
      </c>
      <c r="AY33">
        <f t="shared" si="128"/>
        <v>-1.0586099999999999E-2</v>
      </c>
      <c r="AZ33">
        <f t="shared" si="129"/>
        <v>-3.1920000000000004E-3</v>
      </c>
      <c r="BA33">
        <f t="shared" si="125"/>
        <v>-6.8039999999999993E-3</v>
      </c>
      <c r="BB33">
        <f t="shared" si="125"/>
        <v>-1.0836E-2</v>
      </c>
      <c r="BC33">
        <f t="shared" si="125"/>
        <v>-1.5288000000000001E-2</v>
      </c>
      <c r="BD33">
        <f t="shared" si="125"/>
        <v>-2.0160000000000004E-2</v>
      </c>
      <c r="BE33">
        <f t="shared" si="125"/>
        <v>-2.5451999999999995E-2</v>
      </c>
      <c r="BF33">
        <f t="shared" si="130"/>
        <v>-1.2602499999999999E-2</v>
      </c>
      <c r="BG33">
        <f t="shared" si="131"/>
        <v>-3.8000000000000013E-3</v>
      </c>
      <c r="BH33">
        <f t="shared" si="126"/>
        <v>-8.0999999999999996E-3</v>
      </c>
      <c r="BI33">
        <f t="shared" si="126"/>
        <v>-1.2899999999999998E-2</v>
      </c>
      <c r="BJ33">
        <f t="shared" si="126"/>
        <v>-1.8200000000000001E-2</v>
      </c>
      <c r="BK33">
        <f t="shared" si="126"/>
        <v>-2.4000000000000004E-2</v>
      </c>
      <c r="BL33">
        <f t="shared" si="126"/>
        <v>-3.0299999999999997E-2</v>
      </c>
      <c r="BM33">
        <f t="shared" si="132"/>
        <v>-3.9823899999999995E-2</v>
      </c>
      <c r="BN33">
        <f t="shared" si="133"/>
        <v>-1.2008000000000005E-2</v>
      </c>
      <c r="BO33">
        <f t="shared" si="127"/>
        <v>-2.5595999999999994E-2</v>
      </c>
      <c r="BP33">
        <f t="shared" si="127"/>
        <v>-4.0763999999999995E-2</v>
      </c>
      <c r="BQ33">
        <f t="shared" si="127"/>
        <v>-5.7512000000000008E-2</v>
      </c>
      <c r="BR33">
        <f t="shared" si="127"/>
        <v>-7.5840000000000005E-2</v>
      </c>
      <c r="BS33">
        <f t="shared" si="127"/>
        <v>-9.5748E-2</v>
      </c>
      <c r="BV33" s="37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>
        <f t="shared" si="33"/>
        <v>2050</v>
      </c>
      <c r="CT33">
        <f t="shared" si="34"/>
        <v>2.3000000000000012</v>
      </c>
      <c r="CU33">
        <f t="shared" si="35"/>
        <v>0.04</v>
      </c>
      <c r="CV33">
        <f t="shared" si="19"/>
        <v>-4.7354322117985053E-3</v>
      </c>
      <c r="CW33">
        <f t="shared" si="36"/>
        <v>0.90184578494072631</v>
      </c>
      <c r="CX33">
        <f t="shared" si="20"/>
        <v>-1.6170983202570356E-2</v>
      </c>
      <c r="CY33">
        <f t="shared" si="36"/>
        <v>0.74299602307277268</v>
      </c>
      <c r="CZ33">
        <f t="shared" si="21"/>
        <v>1.963124811584218E-2</v>
      </c>
      <c r="DA33">
        <f t="shared" si="36"/>
        <v>1.4280476539689007</v>
      </c>
      <c r="DB33">
        <f t="shared" si="22"/>
        <v>1.1825840026323149E-2</v>
      </c>
      <c r="DC33">
        <f t="shared" si="37"/>
        <v>1.2401094031336626</v>
      </c>
      <c r="DD33">
        <f t="shared" si="23"/>
        <v>-6.1505790257247762E-3</v>
      </c>
      <c r="DE33">
        <f t="shared" si="38"/>
        <v>0.89350465583598482</v>
      </c>
      <c r="DF33">
        <f t="shared" si="24"/>
        <v>1.5978854704171284E-2</v>
      </c>
      <c r="DG33">
        <f t="shared" si="39"/>
        <v>1.3369226236424354</v>
      </c>
      <c r="DH33">
        <f t="shared" si="25"/>
        <v>-7.6644267603674057E-2</v>
      </c>
      <c r="DI33">
        <f t="shared" si="40"/>
        <v>0.2374319928744878</v>
      </c>
      <c r="DJ33">
        <f t="shared" si="26"/>
        <v>-5.059567470119998E-2</v>
      </c>
      <c r="DK33">
        <f t="shared" si="41"/>
        <v>0.39041607282903207</v>
      </c>
      <c r="DL33">
        <f t="shared" si="27"/>
        <v>3.6399800607696167E-2</v>
      </c>
      <c r="DM33">
        <f t="shared" si="42"/>
        <v>1.9289946052717064</v>
      </c>
      <c r="DN33">
        <f t="shared" si="145"/>
        <v>-1.8775398176694376E-4</v>
      </c>
      <c r="DO33">
        <f t="shared" si="36"/>
        <v>0.99454823774520218</v>
      </c>
      <c r="DP33">
        <f>graph!A46</f>
        <v>2.3000000000000007</v>
      </c>
      <c r="DQ33">
        <f>DS1*graph!B46</f>
        <v>-1.8912890509887661</v>
      </c>
      <c r="DR33">
        <f t="shared" si="29"/>
        <v>-1.8033060363710829E-4</v>
      </c>
      <c r="DS33">
        <f t="shared" si="30"/>
        <v>-2.5761514805301185E-4</v>
      </c>
      <c r="DT33">
        <f t="shared" si="43"/>
        <v>0.99355946814247564</v>
      </c>
      <c r="DU33">
        <f t="shared" si="31"/>
        <v>-0.64405318575243564</v>
      </c>
      <c r="DV33">
        <f t="shared" si="7"/>
        <v>-9.8154215059273682</v>
      </c>
      <c r="DW33">
        <f t="shared" si="8"/>
        <v>-0.54517622547978206</v>
      </c>
      <c r="DY33">
        <f t="shared" si="9"/>
        <v>-76.256800712551225</v>
      </c>
      <c r="DZ33">
        <f t="shared" si="10"/>
        <v>-60.9583927170968</v>
      </c>
      <c r="EA33">
        <f t="shared" si="11"/>
        <v>-25.700397692722731</v>
      </c>
      <c r="EB33">
        <f t="shared" si="12"/>
        <v>-10.649534416401519</v>
      </c>
      <c r="EC33">
        <f t="shared" si="13"/>
        <v>-9.8154215059273682</v>
      </c>
      <c r="ED33">
        <f t="shared" si="14"/>
        <v>24.010940313366259</v>
      </c>
      <c r="EE33">
        <f t="shared" si="15"/>
        <v>33.69226236424354</v>
      </c>
      <c r="EF33">
        <f t="shared" si="16"/>
        <v>42.804765396890062</v>
      </c>
      <c r="EG33">
        <f t="shared" si="32"/>
        <v>92.899460527170646</v>
      </c>
    </row>
    <row r="34" spans="2:137" x14ac:dyDescent="0.35">
      <c r="B34" t="s">
        <v>601</v>
      </c>
      <c r="C34" s="19">
        <f>regions!B12</f>
        <v>101597</v>
      </c>
      <c r="D34" s="19">
        <f>regions!C12</f>
        <v>2037483991.0949256</v>
      </c>
      <c r="E34" s="8">
        <f>regions!D12</f>
        <v>20054.5684527587</v>
      </c>
      <c r="F34" s="1">
        <f>regions!Z12</f>
        <v>27.8</v>
      </c>
      <c r="G34" s="8"/>
      <c r="H34" s="8"/>
      <c r="I34">
        <f t="shared" si="113"/>
        <v>0</v>
      </c>
      <c r="J34">
        <f t="shared" si="114"/>
        <v>0</v>
      </c>
      <c r="K34">
        <f t="shared" si="114"/>
        <v>0</v>
      </c>
      <c r="L34">
        <f t="shared" si="114"/>
        <v>0</v>
      </c>
      <c r="M34">
        <f t="shared" si="114"/>
        <v>0</v>
      </c>
      <c r="N34">
        <f t="shared" si="114"/>
        <v>0</v>
      </c>
      <c r="O34">
        <f t="shared" si="114"/>
        <v>0</v>
      </c>
      <c r="P34">
        <f t="shared" si="115"/>
        <v>-0.30913600000000002</v>
      </c>
      <c r="Q34">
        <f t="shared" si="116"/>
        <v>-2.2639999999999993E-2</v>
      </c>
      <c r="R34">
        <f t="shared" si="116"/>
        <v>-4.608000000000001E-2</v>
      </c>
      <c r="S34">
        <f t="shared" si="116"/>
        <v>-7.0320000000000049E-2</v>
      </c>
      <c r="T34">
        <f t="shared" si="116"/>
        <v>-9.536E-2</v>
      </c>
      <c r="U34">
        <f t="shared" si="116"/>
        <v>-0.12119999999999997</v>
      </c>
      <c r="V34">
        <f t="shared" si="116"/>
        <v>-0.14783999999999992</v>
      </c>
      <c r="W34">
        <f t="shared" si="117"/>
        <v>-0.38642000000000004</v>
      </c>
      <c r="X34">
        <f t="shared" si="118"/>
        <v>-2.8299999999999992E-2</v>
      </c>
      <c r="Y34">
        <f t="shared" si="118"/>
        <v>-5.7599999999999985E-2</v>
      </c>
      <c r="Z34">
        <f t="shared" si="118"/>
        <v>-8.7900000000000034E-2</v>
      </c>
      <c r="AA34">
        <f t="shared" si="118"/>
        <v>-0.11920000000000003</v>
      </c>
      <c r="AB34">
        <f t="shared" si="118"/>
        <v>-0.15149999999999991</v>
      </c>
      <c r="AC34">
        <f t="shared" si="118"/>
        <v>-0.18479999999999991</v>
      </c>
      <c r="AD34">
        <f t="shared" si="119"/>
        <v>-0.35009652000000002</v>
      </c>
      <c r="AE34">
        <f t="shared" si="120"/>
        <v>-2.563979999999999E-2</v>
      </c>
      <c r="AF34">
        <f t="shared" si="120"/>
        <v>-5.2185599999999999E-2</v>
      </c>
      <c r="AG34">
        <f t="shared" si="120"/>
        <v>-7.9637400000000025E-2</v>
      </c>
      <c r="AH34">
        <f t="shared" si="120"/>
        <v>-0.10799520000000001</v>
      </c>
      <c r="AI34">
        <f t="shared" si="120"/>
        <v>-0.13725899999999996</v>
      </c>
      <c r="AJ34">
        <f t="shared" si="120"/>
        <v>-0.16742879999999993</v>
      </c>
      <c r="AK34">
        <f t="shared" si="121"/>
        <v>-0.39414840000000007</v>
      </c>
      <c r="AL34">
        <f t="shared" si="122"/>
        <v>-2.8866000000000003E-2</v>
      </c>
      <c r="AM34">
        <f t="shared" si="122"/>
        <v>-5.8752000000000026E-2</v>
      </c>
      <c r="AN34">
        <f t="shared" si="122"/>
        <v>-8.9658000000000015E-2</v>
      </c>
      <c r="AO34">
        <f t="shared" si="122"/>
        <v>-0.12158400000000003</v>
      </c>
      <c r="AP34">
        <f t="shared" si="122"/>
        <v>-0.15452999999999995</v>
      </c>
      <c r="AQ34">
        <f t="shared" si="122"/>
        <v>-0.18849599999999989</v>
      </c>
      <c r="AR34">
        <f t="shared" si="123"/>
        <v>-0.58813123999999994</v>
      </c>
      <c r="AS34">
        <f t="shared" si="124"/>
        <v>-4.3072600000000016E-2</v>
      </c>
      <c r="AT34">
        <f t="shared" si="124"/>
        <v>-8.7667200000000056E-2</v>
      </c>
      <c r="AU34">
        <f t="shared" si="124"/>
        <v>-0.13378380000000012</v>
      </c>
      <c r="AV34">
        <f t="shared" si="124"/>
        <v>-0.18142239999999998</v>
      </c>
      <c r="AW34">
        <f t="shared" si="124"/>
        <v>-0.23058299999999998</v>
      </c>
      <c r="AX34">
        <f t="shared" si="124"/>
        <v>-0.28126559999999989</v>
      </c>
      <c r="AY34">
        <f t="shared" si="128"/>
        <v>-0.16229640000000001</v>
      </c>
      <c r="AZ34">
        <f t="shared" si="129"/>
        <v>-1.1886000000000008E-2</v>
      </c>
      <c r="BA34">
        <f t="shared" si="125"/>
        <v>-2.4192000000000019E-2</v>
      </c>
      <c r="BB34">
        <f t="shared" si="125"/>
        <v>-3.6918000000000034E-2</v>
      </c>
      <c r="BC34">
        <f t="shared" si="125"/>
        <v>-5.0063999999999997E-2</v>
      </c>
      <c r="BD34">
        <f t="shared" si="125"/>
        <v>-6.3629999999999992E-2</v>
      </c>
      <c r="BE34">
        <f t="shared" si="125"/>
        <v>-7.7615999999999963E-2</v>
      </c>
      <c r="BF34">
        <f t="shared" si="130"/>
        <v>-0.19321000000000002</v>
      </c>
      <c r="BG34">
        <f t="shared" si="131"/>
        <v>-1.4149999999999996E-2</v>
      </c>
      <c r="BH34">
        <f t="shared" si="126"/>
        <v>-2.8799999999999992E-2</v>
      </c>
      <c r="BI34">
        <f t="shared" si="126"/>
        <v>-4.3950000000000017E-2</v>
      </c>
      <c r="BJ34">
        <f t="shared" si="126"/>
        <v>-5.9600000000000014E-2</v>
      </c>
      <c r="BK34">
        <f t="shared" si="126"/>
        <v>-7.5749999999999956E-2</v>
      </c>
      <c r="BL34">
        <f t="shared" si="126"/>
        <v>-9.2399999999999954E-2</v>
      </c>
      <c r="BM34">
        <f t="shared" si="132"/>
        <v>-0.61054360000000008</v>
      </c>
      <c r="BN34">
        <f t="shared" si="133"/>
        <v>-4.4714000000000031E-2</v>
      </c>
      <c r="BO34">
        <f t="shared" si="127"/>
        <v>-9.1007999999999978E-2</v>
      </c>
      <c r="BP34">
        <f t="shared" si="127"/>
        <v>-0.13888200000000006</v>
      </c>
      <c r="BQ34">
        <f t="shared" si="127"/>
        <v>-0.18833599999999995</v>
      </c>
      <c r="BR34">
        <f t="shared" si="127"/>
        <v>-0.23936999999999986</v>
      </c>
      <c r="BS34">
        <f t="shared" si="127"/>
        <v>-0.2919839999999998</v>
      </c>
      <c r="BV34" s="37">
        <f t="shared" ref="BV34:CA39" si="148">SQRT((BV$26*$BW$17)^2+($BU27*BV$24)^2)</f>
        <v>9.1219777413832585E-3</v>
      </c>
      <c r="BW34" s="37">
        <f t="shared" si="148"/>
        <v>1.8243425137170068E-2</v>
      </c>
      <c r="BX34" s="37">
        <f t="shared" si="148"/>
        <v>2.7364990384996006E-2</v>
      </c>
      <c r="BY34" s="37">
        <f t="shared" si="148"/>
        <v>3.6486585096723929E-2</v>
      </c>
      <c r="BZ34" s="37">
        <f t="shared" si="148"/>
        <v>4.5608191594100594E-2</v>
      </c>
      <c r="CA34" s="37">
        <f t="shared" si="148"/>
        <v>5.472980398431971E-2</v>
      </c>
      <c r="CB34" s="37"/>
      <c r="CC34" s="37"/>
      <c r="CD34" s="37">
        <f>SQRT((BV$26*$CD$17)^2+($CC27*CD$24)^2)</f>
        <v>2.9832867780352589E-5</v>
      </c>
      <c r="CE34" s="37">
        <f t="shared" ref="CE34:CI34" si="149">SQRT((BW$26*$CD$17)^2+($CC27*CE$24)^2)</f>
        <v>3.0232432915661945E-5</v>
      </c>
      <c r="CF34" s="37">
        <f t="shared" si="149"/>
        <v>3.0886890422961E-5</v>
      </c>
      <c r="CG34" s="37">
        <f t="shared" si="149"/>
        <v>3.1780497164141402E-5</v>
      </c>
      <c r="CH34" s="37">
        <f t="shared" si="149"/>
        <v>3.2893768406797052E-5</v>
      </c>
      <c r="CI34" s="37">
        <f t="shared" si="149"/>
        <v>3.4205262752974138E-5</v>
      </c>
      <c r="CJ34" s="37"/>
      <c r="CK34" s="37"/>
      <c r="CL34" s="37">
        <f>SQRT((CD$26*$CL$17)^2+($CC27*CL$24)^2)</f>
        <v>3.1375308763420949E-5</v>
      </c>
      <c r="CM34" s="37">
        <f t="shared" ref="CM34:CQ34" si="150">SQRT((CE$26*$CL$17)^2+($CC27*CM$24)^2)</f>
        <v>3.1774832808372094E-5</v>
      </c>
      <c r="CN34" s="37">
        <f t="shared" si="150"/>
        <v>3.2429770273623575E-5</v>
      </c>
      <c r="CO34" s="37">
        <f t="shared" si="150"/>
        <v>3.3325065641345695E-5</v>
      </c>
      <c r="CP34" s="37">
        <f t="shared" si="150"/>
        <v>3.4441980198589041E-5</v>
      </c>
      <c r="CQ34" s="37">
        <f t="shared" si="150"/>
        <v>3.5759753914142081E-5</v>
      </c>
      <c r="CS34">
        <f t="shared" si="33"/>
        <v>2051</v>
      </c>
      <c r="CT34">
        <f t="shared" si="34"/>
        <v>2.3400000000000012</v>
      </c>
      <c r="CU34">
        <f t="shared" si="35"/>
        <v>0.04</v>
      </c>
      <c r="CV34">
        <f t="shared" si="19"/>
        <v>-4.8199590014648772E-3</v>
      </c>
      <c r="CW34">
        <f t="shared" si="36"/>
        <v>0.89757515536064325</v>
      </c>
      <c r="CX34">
        <f t="shared" si="20"/>
        <v>-1.6651638513571654E-2</v>
      </c>
      <c r="CY34">
        <f t="shared" si="36"/>
        <v>0.73098104686408627</v>
      </c>
      <c r="CZ34">
        <f t="shared" si="21"/>
        <v>2.0214753988692508E-2</v>
      </c>
      <c r="DA34">
        <f t="shared" si="36"/>
        <v>1.4560820117852107</v>
      </c>
      <c r="DB34">
        <f t="shared" si="22"/>
        <v>1.2177343255564058E-2</v>
      </c>
      <c r="DC34">
        <f t="shared" si="37"/>
        <v>1.2547747385502603</v>
      </c>
      <c r="DD34">
        <f t="shared" si="23"/>
        <v>-6.3333946552641051E-3</v>
      </c>
      <c r="DE34">
        <f t="shared" si="38"/>
        <v>0.88800908484041252</v>
      </c>
      <c r="DF34">
        <f t="shared" si="24"/>
        <v>1.6453799318303174E-2</v>
      </c>
      <c r="DG34">
        <f t="shared" si="39"/>
        <v>1.3582851159963374</v>
      </c>
      <c r="DH34">
        <f t="shared" si="25"/>
        <v>-7.8922389707941354E-2</v>
      </c>
      <c r="DI34">
        <f t="shared" si="40"/>
        <v>0.21923419167494193</v>
      </c>
      <c r="DJ34">
        <f t="shared" si="26"/>
        <v>-5.2099546138958973E-2</v>
      </c>
      <c r="DK34">
        <f t="shared" si="41"/>
        <v>0.37066270821005437</v>
      </c>
      <c r="DL34">
        <f t="shared" si="27"/>
        <v>3.7481723534849819E-2</v>
      </c>
      <c r="DM34">
        <f t="shared" si="42"/>
        <v>1.9992096242769182</v>
      </c>
      <c r="DN34">
        <f t="shared" si="145"/>
        <v>-1.884284653982455E-4</v>
      </c>
      <c r="DO34">
        <f t="shared" si="36"/>
        <v>0.99436150735350626</v>
      </c>
      <c r="DQ34">
        <f>(DQ38-DQ33)/5+DQ33</f>
        <v>-1.9370876255886191</v>
      </c>
      <c r="DR34">
        <f t="shared" si="29"/>
        <v>-1.8036312862896781E-4</v>
      </c>
      <c r="DS34">
        <f t="shared" si="30"/>
        <v>-2.5766161232709686E-4</v>
      </c>
      <c r="DT34">
        <f t="shared" si="43"/>
        <v>0.99330351217299062</v>
      </c>
      <c r="DU34">
        <f t="shared" si="31"/>
        <v>-0.66964878270093786</v>
      </c>
      <c r="DV34">
        <f t="shared" si="7"/>
        <v>-10.242484463935675</v>
      </c>
      <c r="DW34">
        <f t="shared" si="8"/>
        <v>-0.56384926464937424</v>
      </c>
      <c r="DY34">
        <f t="shared" si="9"/>
        <v>-78.076580832505798</v>
      </c>
      <c r="DZ34">
        <f t="shared" si="10"/>
        <v>-62.933729178994554</v>
      </c>
      <c r="EA34">
        <f t="shared" si="11"/>
        <v>-26.901895313591375</v>
      </c>
      <c r="EB34">
        <f t="shared" si="12"/>
        <v>-11.199091515958749</v>
      </c>
      <c r="EC34">
        <f t="shared" si="13"/>
        <v>-10.242484463935675</v>
      </c>
      <c r="ED34">
        <f t="shared" si="14"/>
        <v>25.477473855026034</v>
      </c>
      <c r="EE34">
        <f t="shared" si="15"/>
        <v>35.828511599633742</v>
      </c>
      <c r="EF34">
        <f t="shared" si="16"/>
        <v>45.608201178521071</v>
      </c>
      <c r="EG34">
        <f t="shared" si="32"/>
        <v>99.920962427691819</v>
      </c>
    </row>
    <row r="35" spans="2:137" x14ac:dyDescent="0.35">
      <c r="B35" t="s">
        <v>119</v>
      </c>
      <c r="C35" s="19">
        <f>regions!B13</f>
        <v>22065300</v>
      </c>
      <c r="D35" s="19">
        <f>regions!C13</f>
        <v>797442264201.02002</v>
      </c>
      <c r="E35" s="8">
        <f>regions!D13</f>
        <v>36140.105242213795</v>
      </c>
      <c r="F35" s="1">
        <f>regions!Z13</f>
        <v>21.6</v>
      </c>
      <c r="G35" s="8"/>
      <c r="H35" s="8"/>
      <c r="I35">
        <f t="shared" si="113"/>
        <v>0</v>
      </c>
      <c r="J35">
        <f t="shared" si="114"/>
        <v>0</v>
      </c>
      <c r="K35">
        <f t="shared" si="114"/>
        <v>0</v>
      </c>
      <c r="L35">
        <f t="shared" si="114"/>
        <v>0</v>
      </c>
      <c r="M35">
        <f t="shared" si="114"/>
        <v>0</v>
      </c>
      <c r="N35">
        <f t="shared" si="114"/>
        <v>0</v>
      </c>
      <c r="O35">
        <f t="shared" si="114"/>
        <v>0</v>
      </c>
      <c r="P35">
        <f t="shared" si="115"/>
        <v>-0.18662400000000004</v>
      </c>
      <c r="Q35">
        <f t="shared" si="116"/>
        <v>-1.7680000000000001E-2</v>
      </c>
      <c r="R35">
        <f t="shared" si="116"/>
        <v>-3.6159999999999998E-2</v>
      </c>
      <c r="S35">
        <f t="shared" si="116"/>
        <v>-5.5440000000000017E-2</v>
      </c>
      <c r="T35">
        <f t="shared" si="116"/>
        <v>-7.5520000000000004E-2</v>
      </c>
      <c r="U35">
        <f t="shared" si="116"/>
        <v>-9.6400000000000013E-2</v>
      </c>
      <c r="V35">
        <f t="shared" si="116"/>
        <v>-0.11807999999999999</v>
      </c>
      <c r="W35">
        <f t="shared" si="117"/>
        <v>-0.23328000000000004</v>
      </c>
      <c r="X35">
        <f t="shared" si="118"/>
        <v>-2.2100000000000009E-2</v>
      </c>
      <c r="Y35">
        <f t="shared" si="118"/>
        <v>-4.5199999999999962E-2</v>
      </c>
      <c r="Z35">
        <f t="shared" si="118"/>
        <v>-6.9300000000000028E-2</v>
      </c>
      <c r="AA35">
        <f t="shared" si="118"/>
        <v>-9.4400000000000039E-2</v>
      </c>
      <c r="AB35">
        <f t="shared" si="118"/>
        <v>-0.1205</v>
      </c>
      <c r="AC35">
        <f t="shared" si="118"/>
        <v>-0.14760000000000001</v>
      </c>
      <c r="AD35">
        <f t="shared" si="119"/>
        <v>-0.21135168000000004</v>
      </c>
      <c r="AE35">
        <f t="shared" si="120"/>
        <v>-2.0022599999999974E-2</v>
      </c>
      <c r="AF35">
        <f t="shared" si="120"/>
        <v>-4.0951199999999965E-2</v>
      </c>
      <c r="AG35">
        <f t="shared" si="120"/>
        <v>-6.2785800000000003E-2</v>
      </c>
      <c r="AH35">
        <f t="shared" si="120"/>
        <v>-8.5526400000000002E-2</v>
      </c>
      <c r="AI35">
        <f t="shared" si="120"/>
        <v>-0.10917299999999996</v>
      </c>
      <c r="AJ35">
        <f t="shared" si="120"/>
        <v>-0.1337256</v>
      </c>
      <c r="AK35">
        <f t="shared" si="121"/>
        <v>-0.23794560000000003</v>
      </c>
      <c r="AL35">
        <f t="shared" si="122"/>
        <v>-2.2542000000000006E-2</v>
      </c>
      <c r="AM35">
        <f t="shared" si="122"/>
        <v>-4.6103999999999978E-2</v>
      </c>
      <c r="AN35">
        <f t="shared" si="122"/>
        <v>-7.0686000000000027E-2</v>
      </c>
      <c r="AO35">
        <f t="shared" si="122"/>
        <v>-9.628800000000004E-2</v>
      </c>
      <c r="AP35">
        <f t="shared" si="122"/>
        <v>-0.12291000000000002</v>
      </c>
      <c r="AQ35">
        <f t="shared" si="122"/>
        <v>-0.15055200000000002</v>
      </c>
      <c r="AR35">
        <f t="shared" si="123"/>
        <v>-0.35505216000000001</v>
      </c>
      <c r="AS35">
        <f t="shared" si="124"/>
        <v>-3.3636200000000005E-2</v>
      </c>
      <c r="AT35">
        <f t="shared" si="124"/>
        <v>-6.8794399999999978E-2</v>
      </c>
      <c r="AU35">
        <f t="shared" si="124"/>
        <v>-0.10547460000000003</v>
      </c>
      <c r="AV35">
        <f t="shared" si="124"/>
        <v>-0.14367680000000005</v>
      </c>
      <c r="AW35">
        <f t="shared" si="124"/>
        <v>-0.18340099999999998</v>
      </c>
      <c r="AX35">
        <f t="shared" si="124"/>
        <v>-0.22464719999999999</v>
      </c>
      <c r="AY35">
        <f t="shared" si="128"/>
        <v>-9.7977600000000012E-2</v>
      </c>
      <c r="AZ35">
        <f t="shared" si="129"/>
        <v>-9.2819999999999986E-3</v>
      </c>
      <c r="BA35">
        <f t="shared" si="125"/>
        <v>-1.8984000000000001E-2</v>
      </c>
      <c r="BB35">
        <f t="shared" si="125"/>
        <v>-2.9106000000000007E-2</v>
      </c>
      <c r="BC35">
        <f t="shared" si="125"/>
        <v>-3.964800000000003E-2</v>
      </c>
      <c r="BD35">
        <f t="shared" si="125"/>
        <v>-5.0610000000000002E-2</v>
      </c>
      <c r="BE35">
        <f t="shared" si="125"/>
        <v>-6.1992000000000005E-2</v>
      </c>
      <c r="BF35">
        <f t="shared" si="130"/>
        <v>-0.11664000000000002</v>
      </c>
      <c r="BG35">
        <f t="shared" si="131"/>
        <v>-1.1050000000000004E-2</v>
      </c>
      <c r="BH35">
        <f t="shared" si="126"/>
        <v>-2.2599999999999981E-2</v>
      </c>
      <c r="BI35">
        <f t="shared" si="126"/>
        <v>-3.4650000000000014E-2</v>
      </c>
      <c r="BJ35">
        <f t="shared" si="126"/>
        <v>-4.720000000000002E-2</v>
      </c>
      <c r="BK35">
        <f t="shared" si="126"/>
        <v>-6.0249999999999998E-2</v>
      </c>
      <c r="BL35">
        <f t="shared" si="126"/>
        <v>-7.3800000000000004E-2</v>
      </c>
      <c r="BM35">
        <f t="shared" si="132"/>
        <v>-0.36858240000000003</v>
      </c>
      <c r="BN35">
        <f t="shared" si="133"/>
        <v>-3.4918000000000005E-2</v>
      </c>
      <c r="BO35">
        <f t="shared" si="127"/>
        <v>-7.1415999999999979E-2</v>
      </c>
      <c r="BP35">
        <f t="shared" si="127"/>
        <v>-0.10949400000000004</v>
      </c>
      <c r="BQ35">
        <f t="shared" si="127"/>
        <v>-0.14915200000000012</v>
      </c>
      <c r="BR35">
        <f t="shared" si="127"/>
        <v>-0.19039</v>
      </c>
      <c r="BS35">
        <f t="shared" si="127"/>
        <v>-0.23320800000000003</v>
      </c>
      <c r="BV35" s="37">
        <f t="shared" si="148"/>
        <v>9.1230460172609679E-3</v>
      </c>
      <c r="BW35" s="37">
        <f t="shared" si="148"/>
        <v>1.8243970808069547E-2</v>
      </c>
      <c r="BX35" s="37">
        <f t="shared" si="148"/>
        <v>2.7365366941934987E-2</v>
      </c>
      <c r="BY35" s="37">
        <f t="shared" si="148"/>
        <v>3.6486880925837226E-2</v>
      </c>
      <c r="BZ35" s="37">
        <f t="shared" si="148"/>
        <v>4.5608442051161123E-2</v>
      </c>
      <c r="CA35" s="37">
        <f t="shared" si="148"/>
        <v>5.4730026747485165E-2</v>
      </c>
      <c r="CB35" s="37"/>
      <c r="CC35" s="37"/>
      <c r="CD35" s="37">
        <f t="shared" ref="CD35:CI35" si="151">SQRT((BV$26*$CD$17)^2+($CC28*CD$24)^2)</f>
        <v>5.9665735560705178E-5</v>
      </c>
      <c r="CE35" s="37">
        <f t="shared" si="151"/>
        <v>6.046486583132389E-5</v>
      </c>
      <c r="CF35" s="37">
        <f t="shared" si="151"/>
        <v>6.1773780845921999E-5</v>
      </c>
      <c r="CG35" s="37">
        <f t="shared" si="151"/>
        <v>6.3560994328282805E-5</v>
      </c>
      <c r="CH35" s="37">
        <f t="shared" si="151"/>
        <v>6.5787536813594104E-5</v>
      </c>
      <c r="CI35" s="37">
        <f t="shared" si="151"/>
        <v>6.8410525505948277E-5</v>
      </c>
      <c r="CJ35" s="37"/>
      <c r="CK35" s="37"/>
      <c r="CL35" s="37">
        <f t="shared" ref="CL35:CQ35" si="152">SQRT((CD$26*$CL$17)^2+($CC28*CL$24)^2)</f>
        <v>6.2750617526841898E-5</v>
      </c>
      <c r="CM35" s="37">
        <f t="shared" si="152"/>
        <v>6.3549665616744188E-5</v>
      </c>
      <c r="CN35" s="37">
        <f t="shared" si="152"/>
        <v>6.4859540547247151E-5</v>
      </c>
      <c r="CO35" s="37">
        <f t="shared" si="152"/>
        <v>6.665013128269139E-5</v>
      </c>
      <c r="CP35" s="37">
        <f t="shared" si="152"/>
        <v>6.8883960397178083E-5</v>
      </c>
      <c r="CQ35" s="37">
        <f t="shared" si="152"/>
        <v>7.1519507828284162E-5</v>
      </c>
      <c r="CS35">
        <f t="shared" si="33"/>
        <v>2052</v>
      </c>
      <c r="CT35">
        <f t="shared" si="34"/>
        <v>2.3800000000000012</v>
      </c>
      <c r="CU35">
        <f t="shared" si="35"/>
        <v>0.04</v>
      </c>
      <c r="CV35">
        <f t="shared" si="19"/>
        <v>-4.9045600286304787E-3</v>
      </c>
      <c r="CW35">
        <f t="shared" si="36"/>
        <v>0.89324887991107149</v>
      </c>
      <c r="CX35">
        <f t="shared" si="20"/>
        <v>-1.7139111630402763E-2</v>
      </c>
      <c r="CY35">
        <f t="shared" si="36"/>
        <v>0.71880901471143333</v>
      </c>
      <c r="CZ35">
        <f t="shared" si="21"/>
        <v>2.0806536540590361E-2</v>
      </c>
      <c r="DA35">
        <f t="shared" si="36"/>
        <v>1.4855163514408092</v>
      </c>
      <c r="DB35">
        <f t="shared" si="22"/>
        <v>1.2533832346212642E-2</v>
      </c>
      <c r="DC35">
        <f t="shared" si="37"/>
        <v>1.2700545612499976</v>
      </c>
      <c r="DD35">
        <f t="shared" si="23"/>
        <v>-6.5188034143004465E-3</v>
      </c>
      <c r="DE35">
        <f t="shared" si="38"/>
        <v>0.88238497284865836</v>
      </c>
      <c r="DF35">
        <f t="shared" si="24"/>
        <v>1.6935480735472394E-2</v>
      </c>
      <c r="DG35">
        <f t="shared" si="39"/>
        <v>1.3806340667119792</v>
      </c>
      <c r="DH35">
        <f t="shared" si="25"/>
        <v>-8.1232825600921682E-2</v>
      </c>
      <c r="DI35">
        <f t="shared" si="40"/>
        <v>0.20193170536226665</v>
      </c>
      <c r="DJ35">
        <f t="shared" si="26"/>
        <v>-5.3624749086473411E-2</v>
      </c>
      <c r="DK35">
        <f t="shared" si="41"/>
        <v>0.35135134934167317</v>
      </c>
      <c r="DL35">
        <f t="shared" si="27"/>
        <v>3.8578992886502114E-2</v>
      </c>
      <c r="DM35">
        <f t="shared" si="42"/>
        <v>2.0741434467022768</v>
      </c>
      <c r="DN35">
        <f t="shared" si="145"/>
        <v>-1.8910294902954724E-4</v>
      </c>
      <c r="DO35">
        <f t="shared" si="36"/>
        <v>0.99417414134062454</v>
      </c>
      <c r="DQ35">
        <f>(DQ38-DQ33)/5+DQ34</f>
        <v>-1.9828862001884722</v>
      </c>
      <c r="DR35">
        <f t="shared" si="29"/>
        <v>-1.8039566535556244E-4</v>
      </c>
      <c r="DS35">
        <f t="shared" si="30"/>
        <v>-2.577080933650892E-4</v>
      </c>
      <c r="DT35">
        <f t="shared" si="43"/>
        <v>0.99304757598851401</v>
      </c>
      <c r="DU35">
        <f t="shared" si="31"/>
        <v>-0.69524240114859914</v>
      </c>
      <c r="DV35">
        <f t="shared" ref="DV35:DV66" si="153">(CW35-1)*100</f>
        <v>-10.675112008892851</v>
      </c>
      <c r="DW35">
        <f t="shared" ref="DW35:DW66" si="154">(DO35-1)*100</f>
        <v>-0.58258586593754602</v>
      </c>
      <c r="DY35">
        <f t="shared" ref="DY35:DY66" si="155">(DI35-1)*100</f>
        <v>-79.806829463773326</v>
      </c>
      <c r="DZ35">
        <f t="shared" ref="DZ35:DZ66" si="156">(DK35-1)*100</f>
        <v>-64.864865065832689</v>
      </c>
      <c r="EA35">
        <f t="shared" ref="EA35:EA66" si="157">(CY35-1)*100</f>
        <v>-28.119098528856668</v>
      </c>
      <c r="EB35">
        <f t="shared" ref="EB35:EB66" si="158">(DE35-1)*100</f>
        <v>-11.761502715134164</v>
      </c>
      <c r="EC35">
        <f t="shared" ref="EC35:EC66" si="159">DV35</f>
        <v>-10.675112008892851</v>
      </c>
      <c r="ED35">
        <f t="shared" ref="ED35:ED66" si="160">(DC35-1)*100</f>
        <v>27.00545612499976</v>
      </c>
      <c r="EE35">
        <f t="shared" ref="EE35:EE66" si="161">(DG35-1)*100</f>
        <v>38.063406671197917</v>
      </c>
      <c r="EF35">
        <f t="shared" ref="EF35:EF66" si="162">(DA35-1)*100</f>
        <v>48.551635144080919</v>
      </c>
      <c r="EG35">
        <f t="shared" si="32"/>
        <v>107.41434467022768</v>
      </c>
    </row>
    <row r="36" spans="2:137" x14ac:dyDescent="0.35">
      <c r="B36" t="s">
        <v>120</v>
      </c>
      <c r="C36" s="19">
        <f>regions!B14</f>
        <v>8389771</v>
      </c>
      <c r="D36" s="19">
        <f>regions!C14</f>
        <v>325550262356.948</v>
      </c>
      <c r="E36" s="8">
        <f>regions!D14</f>
        <v>38803.235792365253</v>
      </c>
      <c r="F36" s="1">
        <f>regions!Z14</f>
        <v>6.3</v>
      </c>
      <c r="G36" s="8"/>
      <c r="H36" s="8"/>
      <c r="I36">
        <f t="shared" si="113"/>
        <v>0</v>
      </c>
      <c r="J36">
        <f t="shared" ref="J36:O45" si="163">IF($E36&lt;$E$24,$D$11*($F36+J$25)-$I36,0)</f>
        <v>0</v>
      </c>
      <c r="K36">
        <f t="shared" si="163"/>
        <v>0</v>
      </c>
      <c r="L36">
        <f t="shared" si="163"/>
        <v>0</v>
      </c>
      <c r="M36">
        <f t="shared" si="163"/>
        <v>0</v>
      </c>
      <c r="N36">
        <f t="shared" si="163"/>
        <v>0</v>
      </c>
      <c r="O36">
        <f t="shared" si="163"/>
        <v>0</v>
      </c>
      <c r="P36">
        <f t="shared" si="115"/>
        <v>-1.5876000000000001E-2</v>
      </c>
      <c r="Q36">
        <f t="shared" ref="Q36:V45" si="164">$D$13*($F36+Q$25)^2-$P36</f>
        <v>-5.4400000000000004E-3</v>
      </c>
      <c r="R36">
        <f t="shared" si="164"/>
        <v>-1.1680000000000006E-2</v>
      </c>
      <c r="S36">
        <f t="shared" si="164"/>
        <v>-1.8720000000000007E-2</v>
      </c>
      <c r="T36">
        <f t="shared" si="164"/>
        <v>-2.6560000000000007E-2</v>
      </c>
      <c r="U36">
        <f t="shared" si="164"/>
        <v>-3.5200000000000009E-2</v>
      </c>
      <c r="V36">
        <f t="shared" si="164"/>
        <v>-4.4640000000000013E-2</v>
      </c>
      <c r="W36">
        <f t="shared" si="117"/>
        <v>-1.9844999999999998E-2</v>
      </c>
      <c r="X36">
        <f t="shared" ref="X36:AC45" si="165">$D$15*($F36+X$25)^2-$W36</f>
        <v>-6.8000000000000005E-3</v>
      </c>
      <c r="Y36">
        <f t="shared" si="165"/>
        <v>-1.4600000000000012E-2</v>
      </c>
      <c r="Z36">
        <f t="shared" si="165"/>
        <v>-2.3400000000000008E-2</v>
      </c>
      <c r="AA36">
        <f t="shared" si="165"/>
        <v>-3.3200000000000007E-2</v>
      </c>
      <c r="AB36">
        <f t="shared" si="165"/>
        <v>-4.4000000000000011E-2</v>
      </c>
      <c r="AC36">
        <f t="shared" si="165"/>
        <v>-5.5800000000000016E-2</v>
      </c>
      <c r="AD36">
        <f t="shared" si="119"/>
        <v>-1.797957E-2</v>
      </c>
      <c r="AE36">
        <f t="shared" ref="AE36:AJ45" si="166">$D$10*($F36+AE$25)^2-$AD36</f>
        <v>-6.160800000000001E-3</v>
      </c>
      <c r="AF36">
        <f t="shared" si="166"/>
        <v>-1.3227600000000006E-2</v>
      </c>
      <c r="AG36">
        <f t="shared" si="166"/>
        <v>-2.1200400000000001E-2</v>
      </c>
      <c r="AH36">
        <f t="shared" si="166"/>
        <v>-3.0079200000000007E-2</v>
      </c>
      <c r="AI36">
        <f t="shared" si="166"/>
        <v>-3.9864000000000004E-2</v>
      </c>
      <c r="AJ36">
        <f t="shared" si="166"/>
        <v>-5.0554800000000011E-2</v>
      </c>
      <c r="AK36">
        <f t="shared" si="121"/>
        <v>-2.02419E-2</v>
      </c>
      <c r="AL36">
        <f t="shared" ref="AL36:AQ45" si="167">$D$17*($F36+AL$25)^2-$AK36</f>
        <v>-6.9360000000000012E-3</v>
      </c>
      <c r="AM36">
        <f t="shared" si="167"/>
        <v>-1.4892000000000009E-2</v>
      </c>
      <c r="AN36">
        <f t="shared" si="167"/>
        <v>-2.3868000000000007E-2</v>
      </c>
      <c r="AO36">
        <f t="shared" si="167"/>
        <v>-3.3864000000000012E-2</v>
      </c>
      <c r="AP36">
        <f t="shared" si="167"/>
        <v>-4.488000000000001E-2</v>
      </c>
      <c r="AQ36">
        <f t="shared" si="167"/>
        <v>-5.6916000000000015E-2</v>
      </c>
      <c r="AR36">
        <f t="shared" si="123"/>
        <v>-3.0204089999999996E-2</v>
      </c>
      <c r="AS36">
        <f t="shared" ref="AS36:AX45" si="168">$D$8*($F36+AS$25)^2-$AR36</f>
        <v>-1.03496E-2</v>
      </c>
      <c r="AT36">
        <f t="shared" si="168"/>
        <v>-2.222120000000001E-2</v>
      </c>
      <c r="AU36">
        <f t="shared" si="168"/>
        <v>-3.5614800000000009E-2</v>
      </c>
      <c r="AV36">
        <f t="shared" si="168"/>
        <v>-5.053040000000001E-2</v>
      </c>
      <c r="AW36">
        <f t="shared" si="168"/>
        <v>-6.6968E-2</v>
      </c>
      <c r="AX36">
        <f t="shared" si="168"/>
        <v>-8.492760000000002E-2</v>
      </c>
      <c r="AY36">
        <f t="shared" si="128"/>
        <v>-8.3348999999999993E-3</v>
      </c>
      <c r="AZ36">
        <f t="shared" si="129"/>
        <v>-2.8560000000000009E-3</v>
      </c>
      <c r="BA36">
        <f t="shared" si="125"/>
        <v>-6.1320000000000038E-3</v>
      </c>
      <c r="BB36">
        <f t="shared" si="125"/>
        <v>-9.8280000000000034E-3</v>
      </c>
      <c r="BC36">
        <f t="shared" si="125"/>
        <v>-1.3944000000000005E-2</v>
      </c>
      <c r="BD36">
        <f t="shared" si="125"/>
        <v>-1.8480000000000003E-2</v>
      </c>
      <c r="BE36">
        <f t="shared" si="125"/>
        <v>-2.3436000000000005E-2</v>
      </c>
      <c r="BF36">
        <f t="shared" si="130"/>
        <v>-9.922499999999999E-3</v>
      </c>
      <c r="BG36">
        <f t="shared" si="131"/>
        <v>-3.4000000000000002E-3</v>
      </c>
      <c r="BH36">
        <f t="shared" si="126"/>
        <v>-7.3000000000000061E-3</v>
      </c>
      <c r="BI36">
        <f t="shared" si="126"/>
        <v>-1.1700000000000004E-2</v>
      </c>
      <c r="BJ36">
        <f t="shared" si="126"/>
        <v>-1.6600000000000004E-2</v>
      </c>
      <c r="BK36">
        <f t="shared" si="126"/>
        <v>-2.2000000000000006E-2</v>
      </c>
      <c r="BL36">
        <f t="shared" si="126"/>
        <v>-2.7900000000000008E-2</v>
      </c>
      <c r="BM36">
        <f t="shared" si="132"/>
        <v>-3.1355099999999997E-2</v>
      </c>
      <c r="BN36">
        <f t="shared" si="133"/>
        <v>-1.0744000000000004E-2</v>
      </c>
      <c r="BO36">
        <f t="shared" si="127"/>
        <v>-2.3068000000000019E-2</v>
      </c>
      <c r="BP36">
        <f t="shared" si="127"/>
        <v>-3.6972000000000005E-2</v>
      </c>
      <c r="BQ36">
        <f t="shared" si="127"/>
        <v>-5.2456000000000017E-2</v>
      </c>
      <c r="BR36">
        <f t="shared" si="127"/>
        <v>-6.9520000000000012E-2</v>
      </c>
      <c r="BS36">
        <f t="shared" si="127"/>
        <v>-8.816400000000002E-2</v>
      </c>
      <c r="BV36" s="37">
        <f t="shared" si="148"/>
        <v>9.1248261991308012E-3</v>
      </c>
      <c r="BW36" s="37">
        <f t="shared" si="148"/>
        <v>1.8244880223301979E-2</v>
      </c>
      <c r="BX36" s="37">
        <f t="shared" si="148"/>
        <v>2.7365994525318987E-2</v>
      </c>
      <c r="BY36" s="37">
        <f t="shared" si="148"/>
        <v>3.6487373969029381E-2</v>
      </c>
      <c r="BZ36" s="37">
        <f t="shared" si="148"/>
        <v>4.560885947653897E-2</v>
      </c>
      <c r="CA36" s="37">
        <f t="shared" si="148"/>
        <v>5.4730398017412731E-2</v>
      </c>
      <c r="CB36" s="37"/>
      <c r="CC36" s="37"/>
      <c r="CD36" s="37">
        <f t="shared" ref="CD36:CI36" si="169">SQRT((BV$26*$CD$17)^2+($CC29*CD$24)^2)</f>
        <v>8.9498603341057768E-5</v>
      </c>
      <c r="CE36" s="37">
        <f t="shared" si="169"/>
        <v>9.0697298746985825E-5</v>
      </c>
      <c r="CF36" s="37">
        <f t="shared" si="169"/>
        <v>9.2660671268882992E-5</v>
      </c>
      <c r="CG36" s="37">
        <f t="shared" si="169"/>
        <v>9.53414914924242E-5</v>
      </c>
      <c r="CH36" s="37">
        <f t="shared" si="169"/>
        <v>9.8681305220391156E-5</v>
      </c>
      <c r="CI36" s="37">
        <f t="shared" si="169"/>
        <v>1.0261578825892242E-4</v>
      </c>
      <c r="CJ36" s="37"/>
      <c r="CK36" s="37"/>
      <c r="CL36" s="37">
        <f t="shared" ref="CL36:CQ36" si="170">SQRT((CD$26*$CL$17)^2+($CC29*CL$24)^2)</f>
        <v>9.4125926290262847E-5</v>
      </c>
      <c r="CM36" s="37">
        <f t="shared" si="170"/>
        <v>9.5324498425116281E-5</v>
      </c>
      <c r="CN36" s="37">
        <f t="shared" si="170"/>
        <v>9.7289310820870733E-5</v>
      </c>
      <c r="CO36" s="37">
        <f t="shared" si="170"/>
        <v>9.9975196924037085E-5</v>
      </c>
      <c r="CP36" s="37">
        <f t="shared" si="170"/>
        <v>1.0332594059576713E-4</v>
      </c>
      <c r="CQ36" s="37">
        <f t="shared" si="170"/>
        <v>1.0727926174242624E-4</v>
      </c>
      <c r="CS36">
        <f t="shared" si="33"/>
        <v>2053</v>
      </c>
      <c r="CT36">
        <f t="shared" si="34"/>
        <v>2.4200000000000013</v>
      </c>
      <c r="CU36">
        <f t="shared" si="35"/>
        <v>0.04</v>
      </c>
      <c r="CV36">
        <f t="shared" si="19"/>
        <v>-4.9892352932953106E-3</v>
      </c>
      <c r="CW36">
        <f t="shared" si="36"/>
        <v>0.88886788715904075</v>
      </c>
      <c r="CX36">
        <f t="shared" si="20"/>
        <v>-1.7633402553063674E-2</v>
      </c>
      <c r="CY36">
        <f t="shared" si="36"/>
        <v>0.70648926676735424</v>
      </c>
      <c r="CZ36">
        <f t="shared" si="21"/>
        <v>2.1406595771535735E-2</v>
      </c>
      <c r="DA36">
        <f t="shared" si="36"/>
        <v>1.5164248016887067</v>
      </c>
      <c r="DB36">
        <f t="shared" si="22"/>
        <v>1.2895307298268896E-2</v>
      </c>
      <c r="DC36">
        <f t="shared" si="37"/>
        <v>1.2859732121912479</v>
      </c>
      <c r="DD36">
        <f t="shared" si="23"/>
        <v>-6.7068053028337994E-3</v>
      </c>
      <c r="DE36">
        <f t="shared" si="38"/>
        <v>0.87663287867492512</v>
      </c>
      <c r="DF36">
        <f t="shared" si="24"/>
        <v>1.7423898955678949E-2</v>
      </c>
      <c r="DG36">
        <f t="shared" si="39"/>
        <v>1.4040157683515169</v>
      </c>
      <c r="DH36">
        <f t="shared" si="25"/>
        <v>-8.3575575282615014E-2</v>
      </c>
      <c r="DI36">
        <f t="shared" si="40"/>
        <v>0.18552822235727692</v>
      </c>
      <c r="DJ36">
        <f t="shared" si="26"/>
        <v>-5.5171283543743288E-2</v>
      </c>
      <c r="DK36">
        <f t="shared" si="41"/>
        <v>0.33251022139203207</v>
      </c>
      <c r="DL36">
        <f t="shared" si="27"/>
        <v>3.9691608662653033E-2</v>
      </c>
      <c r="DM36">
        <f t="shared" si="42"/>
        <v>2.1541618119781889</v>
      </c>
      <c r="DN36">
        <f t="shared" si="145"/>
        <v>-1.8977743266084901E-4</v>
      </c>
      <c r="DO36">
        <f t="shared" si="36"/>
        <v>0.99398614007864816</v>
      </c>
      <c r="DQ36">
        <f>(DQ38-DQ33)/5+DQ35</f>
        <v>-2.0286847747883252</v>
      </c>
      <c r="DR36">
        <f t="shared" si="29"/>
        <v>-1.80428213823244E-4</v>
      </c>
      <c r="DS36">
        <f t="shared" si="30"/>
        <v>-2.5775459117606287E-4</v>
      </c>
      <c r="DT36">
        <f t="shared" si="43"/>
        <v>0.99279165959108517</v>
      </c>
      <c r="DU36">
        <f t="shared" si="31"/>
        <v>-0.72083404089148262</v>
      </c>
      <c r="DV36">
        <f t="shared" si="153"/>
        <v>-11.113211284095925</v>
      </c>
      <c r="DW36">
        <f t="shared" si="154"/>
        <v>-0.60138599213518384</v>
      </c>
      <c r="DY36">
        <f t="shared" si="155"/>
        <v>-81.447177764272311</v>
      </c>
      <c r="DZ36">
        <f t="shared" si="156"/>
        <v>-66.748977860796785</v>
      </c>
      <c r="EA36">
        <f t="shared" si="157"/>
        <v>-29.351073323264576</v>
      </c>
      <c r="EB36">
        <f t="shared" si="158"/>
        <v>-12.336712132507488</v>
      </c>
      <c r="EC36">
        <f t="shared" si="159"/>
        <v>-11.113211284095925</v>
      </c>
      <c r="ED36">
        <f t="shared" si="160"/>
        <v>28.597321219124794</v>
      </c>
      <c r="EE36">
        <f t="shared" si="161"/>
        <v>40.401576835151687</v>
      </c>
      <c r="EF36">
        <f t="shared" si="162"/>
        <v>51.642480168870676</v>
      </c>
      <c r="EG36">
        <f t="shared" si="32"/>
        <v>115.41618119781889</v>
      </c>
    </row>
    <row r="37" spans="2:137" x14ac:dyDescent="0.35">
      <c r="B37" t="s">
        <v>213</v>
      </c>
      <c r="C37" s="19">
        <f>regions!B15</f>
        <v>9054332</v>
      </c>
      <c r="D37" s="19">
        <f>regions!C15</f>
        <v>28310397706.794827</v>
      </c>
      <c r="E37" s="8">
        <f>regions!D15</f>
        <v>3126.7240594662121</v>
      </c>
      <c r="F37" s="1">
        <f>regions!Z15</f>
        <v>11.9</v>
      </c>
      <c r="G37" s="8"/>
      <c r="H37" s="8"/>
      <c r="I37">
        <f t="shared" si="113"/>
        <v>-0.16588600000000001</v>
      </c>
      <c r="J37">
        <f t="shared" si="163"/>
        <v>-1.393999999999998E-2</v>
      </c>
      <c r="K37">
        <f t="shared" si="163"/>
        <v>-2.7879999999999988E-2</v>
      </c>
      <c r="L37">
        <f t="shared" si="163"/>
        <v>-4.1819999999999996E-2</v>
      </c>
      <c r="M37">
        <f t="shared" si="163"/>
        <v>-5.5759999999999976E-2</v>
      </c>
      <c r="N37">
        <f t="shared" si="163"/>
        <v>-6.9699999999999956E-2</v>
      </c>
      <c r="O37">
        <f t="shared" si="163"/>
        <v>-8.3639999999999964E-2</v>
      </c>
      <c r="P37">
        <f t="shared" si="115"/>
        <v>-5.6644000000000007E-2</v>
      </c>
      <c r="Q37">
        <f t="shared" si="164"/>
        <v>-9.9199999999999913E-3</v>
      </c>
      <c r="R37">
        <f t="shared" si="164"/>
        <v>-2.0639999999999999E-2</v>
      </c>
      <c r="S37">
        <f t="shared" si="164"/>
        <v>-3.2160000000000001E-2</v>
      </c>
      <c r="T37">
        <f t="shared" si="164"/>
        <v>-4.4479999999999999E-2</v>
      </c>
      <c r="U37">
        <f t="shared" si="164"/>
        <v>-5.7599999999999978E-2</v>
      </c>
      <c r="V37">
        <f t="shared" si="164"/>
        <v>-7.152E-2</v>
      </c>
      <c r="W37">
        <f t="shared" si="117"/>
        <v>-7.0805000000000007E-2</v>
      </c>
      <c r="X37">
        <f t="shared" si="165"/>
        <v>-1.2399999999999994E-2</v>
      </c>
      <c r="Y37">
        <f t="shared" si="165"/>
        <v>-2.5800000000000003E-2</v>
      </c>
      <c r="Z37">
        <f t="shared" si="165"/>
        <v>-4.02E-2</v>
      </c>
      <c r="AA37">
        <f t="shared" si="165"/>
        <v>-5.5600000000000011E-2</v>
      </c>
      <c r="AB37">
        <f t="shared" si="165"/>
        <v>-7.1999999999999981E-2</v>
      </c>
      <c r="AC37">
        <f t="shared" si="165"/>
        <v>-8.9399999999999979E-2</v>
      </c>
      <c r="AD37">
        <f t="shared" si="119"/>
        <v>-6.4149330000000004E-2</v>
      </c>
      <c r="AE37">
        <f t="shared" si="166"/>
        <v>-1.1234399999999992E-2</v>
      </c>
      <c r="AF37">
        <f t="shared" si="166"/>
        <v>-2.3374800000000001E-2</v>
      </c>
      <c r="AG37">
        <f t="shared" si="166"/>
        <v>-3.6421200000000001E-2</v>
      </c>
      <c r="AH37">
        <f t="shared" si="166"/>
        <v>-5.0373600000000004E-2</v>
      </c>
      <c r="AI37">
        <f t="shared" si="166"/>
        <v>-6.5231999999999984E-2</v>
      </c>
      <c r="AJ37">
        <f t="shared" si="166"/>
        <v>-8.0996399999999996E-2</v>
      </c>
      <c r="AK37">
        <f t="shared" si="121"/>
        <v>-7.222110000000001E-2</v>
      </c>
      <c r="AL37">
        <f t="shared" si="167"/>
        <v>-1.2647999999999993E-2</v>
      </c>
      <c r="AM37">
        <f t="shared" si="167"/>
        <v>-2.6316000000000006E-2</v>
      </c>
      <c r="AN37">
        <f t="shared" si="167"/>
        <v>-4.1004000000000013E-2</v>
      </c>
      <c r="AO37">
        <f t="shared" si="167"/>
        <v>-5.6712000000000012E-2</v>
      </c>
      <c r="AP37">
        <f t="shared" si="167"/>
        <v>-7.3439999999999978E-2</v>
      </c>
      <c r="AQ37">
        <f t="shared" si="167"/>
        <v>-9.1187999999999991E-2</v>
      </c>
      <c r="AR37">
        <f t="shared" si="123"/>
        <v>-0.10776521</v>
      </c>
      <c r="AS37">
        <f t="shared" si="168"/>
        <v>-1.8872799999999995E-2</v>
      </c>
      <c r="AT37">
        <f t="shared" si="168"/>
        <v>-3.9267599999999986E-2</v>
      </c>
      <c r="AU37">
        <f t="shared" si="168"/>
        <v>-6.11844E-2</v>
      </c>
      <c r="AV37">
        <f t="shared" si="168"/>
        <v>-8.4623199999999982E-2</v>
      </c>
      <c r="AW37">
        <f t="shared" si="168"/>
        <v>-0.10958399999999996</v>
      </c>
      <c r="AX37">
        <f t="shared" si="168"/>
        <v>-0.13606679999999996</v>
      </c>
      <c r="AY37">
        <f t="shared" si="128"/>
        <v>-2.9738100000000003E-2</v>
      </c>
      <c r="AZ37">
        <f t="shared" si="129"/>
        <v>-5.2079999999999974E-3</v>
      </c>
      <c r="BA37">
        <f t="shared" si="125"/>
        <v>-1.0835999999999998E-2</v>
      </c>
      <c r="BB37">
        <f t="shared" si="125"/>
        <v>-1.6884000000000003E-2</v>
      </c>
      <c r="BC37">
        <f t="shared" si="125"/>
        <v>-2.3351999999999998E-2</v>
      </c>
      <c r="BD37">
        <f t="shared" si="125"/>
        <v>-3.0239999999999989E-2</v>
      </c>
      <c r="BE37">
        <f t="shared" si="125"/>
        <v>-3.7547999999999998E-2</v>
      </c>
      <c r="BF37">
        <f t="shared" si="130"/>
        <v>-3.5402500000000003E-2</v>
      </c>
      <c r="BG37">
        <f t="shared" si="131"/>
        <v>-6.1999999999999972E-3</v>
      </c>
      <c r="BH37">
        <f t="shared" si="126"/>
        <v>-1.2900000000000002E-2</v>
      </c>
      <c r="BI37">
        <f t="shared" si="126"/>
        <v>-2.01E-2</v>
      </c>
      <c r="BJ37">
        <f t="shared" si="126"/>
        <v>-2.7800000000000005E-2</v>
      </c>
      <c r="BK37">
        <f t="shared" si="126"/>
        <v>-3.599999999999999E-2</v>
      </c>
      <c r="BL37">
        <f t="shared" si="126"/>
        <v>-4.469999999999999E-2</v>
      </c>
      <c r="BM37">
        <f t="shared" si="132"/>
        <v>-0.11187190000000001</v>
      </c>
      <c r="BN37">
        <f t="shared" si="133"/>
        <v>-1.9591999999999984E-2</v>
      </c>
      <c r="BO37">
        <f t="shared" si="127"/>
        <v>-4.0764000000000009E-2</v>
      </c>
      <c r="BP37">
        <f t="shared" si="127"/>
        <v>-6.3516000000000003E-2</v>
      </c>
      <c r="BQ37">
        <f t="shared" si="127"/>
        <v>-8.7847999999999996E-2</v>
      </c>
      <c r="BR37">
        <f t="shared" si="127"/>
        <v>-0.11375999999999996</v>
      </c>
      <c r="BS37">
        <f t="shared" si="127"/>
        <v>-0.14125199999999993</v>
      </c>
      <c r="BV37" s="37">
        <f t="shared" si="148"/>
        <v>9.1273178704447244E-3</v>
      </c>
      <c r="BW37" s="37">
        <f t="shared" si="148"/>
        <v>1.82461533284787E-2</v>
      </c>
      <c r="BX37" s="37">
        <f t="shared" si="148"/>
        <v>2.7366873117878221E-2</v>
      </c>
      <c r="BY37" s="37">
        <f t="shared" si="148"/>
        <v>3.6488064218305867E-2</v>
      </c>
      <c r="BZ37" s="37">
        <f t="shared" si="148"/>
        <v>4.5609443865649774E-2</v>
      </c>
      <c r="CA37" s="37">
        <f t="shared" si="148"/>
        <v>5.4730917791080191E-2</v>
      </c>
      <c r="CB37" s="37"/>
      <c r="CC37" s="37"/>
      <c r="CD37" s="37">
        <f t="shared" ref="CD37:CI37" si="171">SQRT((BV$26*$CD$17)^2+($CC30*CD$24)^2)</f>
        <v>1.1933147112141036E-4</v>
      </c>
      <c r="CE37" s="37">
        <f t="shared" si="171"/>
        <v>1.2092973166264778E-4</v>
      </c>
      <c r="CF37" s="37">
        <f t="shared" si="171"/>
        <v>1.23547561691844E-4</v>
      </c>
      <c r="CG37" s="37">
        <f t="shared" si="171"/>
        <v>1.2712198865656561E-4</v>
      </c>
      <c r="CH37" s="37">
        <f t="shared" si="171"/>
        <v>1.3157507362718821E-4</v>
      </c>
      <c r="CI37" s="37">
        <f t="shared" si="171"/>
        <v>1.3682105101189655E-4</v>
      </c>
      <c r="CJ37" s="37"/>
      <c r="CK37" s="37"/>
      <c r="CL37" s="37">
        <f t="shared" ref="CL37:CQ37" si="172">SQRT((CD$26*$CL$17)^2+($CC30*CL$24)^2)</f>
        <v>1.255012350536838E-4</v>
      </c>
      <c r="CM37" s="37">
        <f t="shared" si="172"/>
        <v>1.2709933123348838E-4</v>
      </c>
      <c r="CN37" s="37">
        <f t="shared" si="172"/>
        <v>1.297190810944943E-4</v>
      </c>
      <c r="CO37" s="37">
        <f t="shared" si="172"/>
        <v>1.3330026256538278E-4</v>
      </c>
      <c r="CP37" s="37">
        <f t="shared" si="172"/>
        <v>1.3776792079435617E-4</v>
      </c>
      <c r="CQ37" s="37">
        <f t="shared" si="172"/>
        <v>1.4303901565656832E-4</v>
      </c>
      <c r="CS37">
        <f t="shared" si="33"/>
        <v>2054</v>
      </c>
      <c r="CT37">
        <f t="shared" si="34"/>
        <v>2.4600000000000013</v>
      </c>
      <c r="CU37">
        <f t="shared" si="35"/>
        <v>0.04</v>
      </c>
      <c r="CV37">
        <f t="shared" si="19"/>
        <v>-5.0739847954593739E-3</v>
      </c>
      <c r="CW37">
        <f t="shared" si="36"/>
        <v>0.88443311612535003</v>
      </c>
      <c r="CX37">
        <f t="shared" si="20"/>
        <v>-1.8134511281554393E-2</v>
      </c>
      <c r="CY37">
        <f t="shared" si="36"/>
        <v>0.69403145712702674</v>
      </c>
      <c r="CZ37">
        <f t="shared" si="21"/>
        <v>2.201493168152863E-2</v>
      </c>
      <c r="DA37">
        <f t="shared" si="36"/>
        <v>1.5488862944363881</v>
      </c>
      <c r="DB37">
        <f t="shared" si="22"/>
        <v>1.3261768111732823E-2</v>
      </c>
      <c r="DC37">
        <f t="shared" si="37"/>
        <v>1.3025562319397961</v>
      </c>
      <c r="DD37">
        <f t="shared" si="23"/>
        <v>-6.8974003208641648E-3</v>
      </c>
      <c r="DE37">
        <f t="shared" si="38"/>
        <v>0.87075347263558966</v>
      </c>
      <c r="DF37">
        <f t="shared" si="24"/>
        <v>1.7919053978922836E-2</v>
      </c>
      <c r="DG37">
        <f t="shared" si="39"/>
        <v>1.4284791972314537</v>
      </c>
      <c r="DH37">
        <f t="shared" si="25"/>
        <v>-8.5950638753021363E-2</v>
      </c>
      <c r="DI37">
        <f t="shared" si="40"/>
        <v>0.17002259444260659</v>
      </c>
      <c r="DJ37">
        <f t="shared" si="26"/>
        <v>-5.6739149510768624E-2</v>
      </c>
      <c r="DK37">
        <f t="shared" si="41"/>
        <v>0.31416520568641942</v>
      </c>
      <c r="DL37">
        <f t="shared" si="27"/>
        <v>4.0819570863302596E-2</v>
      </c>
      <c r="DM37">
        <f t="shared" si="42"/>
        <v>2.239663959615259</v>
      </c>
      <c r="DN37">
        <f t="shared" si="145"/>
        <v>-1.9045191629215075E-4</v>
      </c>
      <c r="DO37">
        <f t="shared" si="36"/>
        <v>0.99379750394088362</v>
      </c>
      <c r="DQ37">
        <f>(DQ38-DQ33)/5+DQ36</f>
        <v>-2.0744833493881782</v>
      </c>
      <c r="DR37">
        <f t="shared" si="29"/>
        <v>-1.8046077403836716E-4</v>
      </c>
      <c r="DS37">
        <f t="shared" si="30"/>
        <v>-2.5780110576909595E-4</v>
      </c>
      <c r="DT37">
        <f t="shared" si="43"/>
        <v>0.99253576298274426</v>
      </c>
      <c r="DU37">
        <f t="shared" si="31"/>
        <v>-0.74642370172557371</v>
      </c>
      <c r="DV37">
        <f t="shared" si="153"/>
        <v>-11.556688387464998</v>
      </c>
      <c r="DW37">
        <f t="shared" si="154"/>
        <v>-0.62024960591163802</v>
      </c>
      <c r="DY37">
        <f t="shared" si="155"/>
        <v>-82.997740555739341</v>
      </c>
      <c r="DZ37">
        <f t="shared" si="156"/>
        <v>-68.583479431358057</v>
      </c>
      <c r="EA37">
        <f t="shared" si="157"/>
        <v>-30.596854287297326</v>
      </c>
      <c r="EB37">
        <f t="shared" si="158"/>
        <v>-12.924652736441033</v>
      </c>
      <c r="EC37">
        <f t="shared" si="159"/>
        <v>-11.556688387464998</v>
      </c>
      <c r="ED37">
        <f t="shared" si="160"/>
        <v>30.255623193979609</v>
      </c>
      <c r="EE37">
        <f t="shared" si="161"/>
        <v>42.847919723145367</v>
      </c>
      <c r="EF37">
        <f t="shared" si="162"/>
        <v>54.888629443638813</v>
      </c>
      <c r="EG37">
        <f t="shared" si="32"/>
        <v>123.9663959615259</v>
      </c>
    </row>
    <row r="38" spans="2:137" x14ac:dyDescent="0.35">
      <c r="B38" t="s">
        <v>121</v>
      </c>
      <c r="C38" s="19">
        <f>regions!B16</f>
        <v>360498</v>
      </c>
      <c r="D38" s="19">
        <f>regions!C16</f>
        <v>7575468595.4633093</v>
      </c>
      <c r="E38" s="8">
        <f>regions!D16</f>
        <v>21013.899093651864</v>
      </c>
      <c r="F38" s="1">
        <f>regions!Z16</f>
        <v>24.8</v>
      </c>
      <c r="G38" s="8"/>
      <c r="H38" s="8"/>
      <c r="I38">
        <f t="shared" si="113"/>
        <v>0</v>
      </c>
      <c r="J38">
        <f t="shared" si="163"/>
        <v>0</v>
      </c>
      <c r="K38">
        <f t="shared" si="163"/>
        <v>0</v>
      </c>
      <c r="L38">
        <f t="shared" si="163"/>
        <v>0</v>
      </c>
      <c r="M38">
        <f t="shared" si="163"/>
        <v>0</v>
      </c>
      <c r="N38">
        <f t="shared" si="163"/>
        <v>0</v>
      </c>
      <c r="O38">
        <f t="shared" si="163"/>
        <v>0</v>
      </c>
      <c r="P38">
        <f t="shared" si="115"/>
        <v>-0.24601600000000004</v>
      </c>
      <c r="Q38">
        <f t="shared" si="164"/>
        <v>-2.0239999999999952E-2</v>
      </c>
      <c r="R38">
        <f t="shared" si="164"/>
        <v>-4.1279999999999956E-2</v>
      </c>
      <c r="S38">
        <f t="shared" si="164"/>
        <v>-6.3119999999999982E-2</v>
      </c>
      <c r="T38">
        <f t="shared" si="164"/>
        <v>-8.5759999999999975E-2</v>
      </c>
      <c r="U38">
        <f t="shared" si="164"/>
        <v>-0.10919999999999999</v>
      </c>
      <c r="V38">
        <f t="shared" si="164"/>
        <v>-0.13344000000000003</v>
      </c>
      <c r="W38">
        <f t="shared" si="117"/>
        <v>-0.30752000000000007</v>
      </c>
      <c r="X38">
        <f t="shared" si="165"/>
        <v>-2.5299999999999934E-2</v>
      </c>
      <c r="Y38">
        <f t="shared" si="165"/>
        <v>-5.1599999999999924E-2</v>
      </c>
      <c r="Z38">
        <f t="shared" si="165"/>
        <v>-7.889999999999997E-2</v>
      </c>
      <c r="AA38">
        <f t="shared" si="165"/>
        <v>-0.10719999999999996</v>
      </c>
      <c r="AB38">
        <f t="shared" si="165"/>
        <v>-0.13649999999999995</v>
      </c>
      <c r="AC38">
        <f t="shared" si="165"/>
        <v>-0.1668</v>
      </c>
      <c r="AD38">
        <f t="shared" si="119"/>
        <v>-0.27861312000000005</v>
      </c>
      <c r="AE38">
        <f t="shared" si="166"/>
        <v>-2.2921799999999937E-2</v>
      </c>
      <c r="AF38">
        <f t="shared" si="166"/>
        <v>-4.6749599999999947E-2</v>
      </c>
      <c r="AG38">
        <f t="shared" si="166"/>
        <v>-7.1483399999999975E-2</v>
      </c>
      <c r="AH38">
        <f t="shared" si="166"/>
        <v>-9.7123199999999965E-2</v>
      </c>
      <c r="AI38">
        <f t="shared" si="166"/>
        <v>-0.12366899999999997</v>
      </c>
      <c r="AJ38">
        <f t="shared" si="166"/>
        <v>-0.1511208</v>
      </c>
      <c r="AK38">
        <f t="shared" si="121"/>
        <v>-0.31367040000000007</v>
      </c>
      <c r="AL38">
        <f t="shared" si="167"/>
        <v>-2.580599999999994E-2</v>
      </c>
      <c r="AM38">
        <f t="shared" si="167"/>
        <v>-5.2631999999999957E-2</v>
      </c>
      <c r="AN38">
        <f t="shared" si="167"/>
        <v>-8.0477999999999994E-2</v>
      </c>
      <c r="AO38">
        <f t="shared" si="167"/>
        <v>-0.109344</v>
      </c>
      <c r="AP38">
        <f t="shared" si="167"/>
        <v>-0.13923000000000002</v>
      </c>
      <c r="AQ38">
        <f t="shared" si="167"/>
        <v>-0.17013600000000001</v>
      </c>
      <c r="AR38">
        <f t="shared" si="123"/>
        <v>-0.46804544000000003</v>
      </c>
      <c r="AS38">
        <f t="shared" si="168"/>
        <v>-3.8506599999999946E-2</v>
      </c>
      <c r="AT38">
        <f t="shared" si="168"/>
        <v>-7.8535199999999916E-2</v>
      </c>
      <c r="AU38">
        <f t="shared" si="168"/>
        <v>-0.12008579999999991</v>
      </c>
      <c r="AV38">
        <f t="shared" si="168"/>
        <v>-0.16315839999999993</v>
      </c>
      <c r="AW38">
        <f t="shared" si="168"/>
        <v>-0.20775299999999997</v>
      </c>
      <c r="AX38">
        <f t="shared" si="168"/>
        <v>-0.25386960000000003</v>
      </c>
      <c r="AY38">
        <f t="shared" si="128"/>
        <v>-0.12915840000000003</v>
      </c>
      <c r="AZ38">
        <f t="shared" si="129"/>
        <v>-1.0625999999999969E-2</v>
      </c>
      <c r="BA38">
        <f t="shared" si="125"/>
        <v>-2.1671999999999969E-2</v>
      </c>
      <c r="BB38">
        <f t="shared" si="125"/>
        <v>-3.3137999999999973E-2</v>
      </c>
      <c r="BC38">
        <f t="shared" si="125"/>
        <v>-4.5023999999999981E-2</v>
      </c>
      <c r="BD38">
        <f t="shared" si="125"/>
        <v>-5.7329999999999992E-2</v>
      </c>
      <c r="BE38">
        <f t="shared" si="125"/>
        <v>-7.0056000000000007E-2</v>
      </c>
      <c r="BF38">
        <f t="shared" si="130"/>
        <v>-0.15376000000000004</v>
      </c>
      <c r="BG38">
        <f t="shared" si="131"/>
        <v>-1.2649999999999967E-2</v>
      </c>
      <c r="BH38">
        <f t="shared" si="126"/>
        <v>-2.5799999999999962E-2</v>
      </c>
      <c r="BI38">
        <f t="shared" si="126"/>
        <v>-3.9449999999999985E-2</v>
      </c>
      <c r="BJ38">
        <f t="shared" si="126"/>
        <v>-5.3599999999999981E-2</v>
      </c>
      <c r="BK38">
        <f t="shared" si="126"/>
        <v>-6.8249999999999977E-2</v>
      </c>
      <c r="BL38">
        <f t="shared" si="126"/>
        <v>-8.3400000000000002E-2</v>
      </c>
      <c r="BM38">
        <f t="shared" si="132"/>
        <v>-0.48588160000000008</v>
      </c>
      <c r="BN38">
        <f t="shared" si="133"/>
        <v>-3.9973999999999899E-2</v>
      </c>
      <c r="BO38">
        <f t="shared" si="127"/>
        <v>-8.1527999999999989E-2</v>
      </c>
      <c r="BP38">
        <f t="shared" si="127"/>
        <v>-0.124662</v>
      </c>
      <c r="BQ38">
        <f t="shared" si="127"/>
        <v>-0.16937600000000003</v>
      </c>
      <c r="BR38">
        <f t="shared" si="127"/>
        <v>-0.21566999999999997</v>
      </c>
      <c r="BS38">
        <f t="shared" si="127"/>
        <v>-0.26354400000000006</v>
      </c>
      <c r="BV38" s="37">
        <f t="shared" si="148"/>
        <v>9.1305204487174985E-3</v>
      </c>
      <c r="BW38" s="37">
        <f t="shared" si="148"/>
        <v>1.8247790047478347E-2</v>
      </c>
      <c r="BX38" s="37">
        <f t="shared" si="148"/>
        <v>2.736800269543831E-2</v>
      </c>
      <c r="BY38" s="37">
        <f t="shared" si="148"/>
        <v>3.6488951662475247E-2</v>
      </c>
      <c r="BZ38" s="37">
        <f t="shared" si="148"/>
        <v>4.5610195212075766E-2</v>
      </c>
      <c r="CA38" s="37">
        <f t="shared" si="148"/>
        <v>5.4731586064256633E-2</v>
      </c>
      <c r="CB38" s="37"/>
      <c r="CC38" s="37"/>
      <c r="CD38" s="37">
        <f t="shared" ref="CD38:CI38" si="173">SQRT((BV$26*$CD$17)^2+($CC31*CD$24)^2)</f>
        <v>1.4916433890176296E-4</v>
      </c>
      <c r="CE38" s="37">
        <f t="shared" si="173"/>
        <v>1.5116216457830973E-4</v>
      </c>
      <c r="CF38" s="37">
        <f t="shared" si="173"/>
        <v>1.5443445211480499E-4</v>
      </c>
      <c r="CG38" s="37">
        <f t="shared" si="173"/>
        <v>1.5890248582070703E-4</v>
      </c>
      <c r="CH38" s="37">
        <f t="shared" si="173"/>
        <v>1.6446884203398526E-4</v>
      </c>
      <c r="CI38" s="37">
        <f t="shared" si="173"/>
        <v>1.7102631376487071E-4</v>
      </c>
      <c r="CJ38" s="37"/>
      <c r="CK38" s="37"/>
      <c r="CL38" s="37">
        <f t="shared" ref="CL38:CQ38" si="174">SQRT((CD$26*$CL$17)^2+($CC31*CL$24)^2)</f>
        <v>1.5687654381710476E-4</v>
      </c>
      <c r="CM38" s="37">
        <f t="shared" si="174"/>
        <v>1.5887416404186048E-4</v>
      </c>
      <c r="CN38" s="37">
        <f t="shared" si="174"/>
        <v>1.6214885136811791E-4</v>
      </c>
      <c r="CO38" s="37">
        <f t="shared" si="174"/>
        <v>1.666253282067285E-4</v>
      </c>
      <c r="CP38" s="37">
        <f t="shared" si="174"/>
        <v>1.7220990099294523E-4</v>
      </c>
      <c r="CQ38" s="37">
        <f t="shared" si="174"/>
        <v>1.7879876957071041E-4</v>
      </c>
      <c r="CS38">
        <f t="shared" si="33"/>
        <v>2055</v>
      </c>
      <c r="CT38">
        <f t="shared" si="34"/>
        <v>2.5000000000000013</v>
      </c>
      <c r="CU38">
        <f t="shared" si="35"/>
        <v>0.04</v>
      </c>
      <c r="CV38">
        <f t="shared" si="19"/>
        <v>-5.1588085351226666E-3</v>
      </c>
      <c r="CW38">
        <f t="shared" si="36"/>
        <v>0.87994551594152925</v>
      </c>
      <c r="CX38">
        <f t="shared" si="20"/>
        <v>-1.8642437815874918E-2</v>
      </c>
      <c r="CY38">
        <f t="shared" si="36"/>
        <v>0.68144553583800305</v>
      </c>
      <c r="CZ38">
        <f t="shared" si="21"/>
        <v>2.2631544270569053E-2</v>
      </c>
      <c r="DA38">
        <f t="shared" si="36"/>
        <v>1.5829849203908612</v>
      </c>
      <c r="DB38">
        <f t="shared" si="22"/>
        <v>1.3633214786604422E-2</v>
      </c>
      <c r="DC38">
        <f t="shared" si="37"/>
        <v>1.3198304306402742</v>
      </c>
      <c r="DD38">
        <f t="shared" si="23"/>
        <v>-7.0905884683915409E-3</v>
      </c>
      <c r="DE38">
        <f t="shared" si="38"/>
        <v>0.86474753735403931</v>
      </c>
      <c r="DF38">
        <f t="shared" si="24"/>
        <v>1.842094580520405E-2</v>
      </c>
      <c r="DG38">
        <f t="shared" si="39"/>
        <v>1.4540761930744126</v>
      </c>
      <c r="DH38">
        <f t="shared" si="25"/>
        <v>-8.8358016012140717E-2</v>
      </c>
      <c r="DI38">
        <f t="shared" si="40"/>
        <v>0.15540904384781865</v>
      </c>
      <c r="DJ38">
        <f t="shared" si="26"/>
        <v>-5.8328346987549393E-2</v>
      </c>
      <c r="DK38">
        <f t="shared" si="41"/>
        <v>0.29633973910989631</v>
      </c>
      <c r="DL38">
        <f t="shared" si="27"/>
        <v>4.1962879488450788E-2</v>
      </c>
      <c r="DM38">
        <f t="shared" si="42"/>
        <v>2.3310860813247589</v>
      </c>
      <c r="DN38">
        <f t="shared" si="145"/>
        <v>-1.9112639992345249E-4</v>
      </c>
      <c r="DO38">
        <f t="shared" si="36"/>
        <v>0.99360823330185166</v>
      </c>
      <c r="DP38">
        <f>graph!A48</f>
        <v>2.5000000000000009</v>
      </c>
      <c r="DQ38">
        <f>DS1*graph!B48</f>
        <v>-2.1202819239880308</v>
      </c>
      <c r="DR38">
        <f t="shared" si="29"/>
        <v>-1.8919958156463613E-4</v>
      </c>
      <c r="DS38">
        <f t="shared" si="30"/>
        <v>-2.7028511652090874E-4</v>
      </c>
      <c r="DT38">
        <f t="shared" si="43"/>
        <v>0.99227988616553187</v>
      </c>
      <c r="DU38">
        <f t="shared" si="31"/>
        <v>-0.77201138344681342</v>
      </c>
      <c r="DV38">
        <f t="shared" si="153"/>
        <v>-12.005448405847075</v>
      </c>
      <c r="DW38">
        <f t="shared" si="154"/>
        <v>-0.63917666981483379</v>
      </c>
      <c r="DY38">
        <f t="shared" si="155"/>
        <v>-84.459095615218132</v>
      </c>
      <c r="DZ38">
        <f t="shared" si="156"/>
        <v>-70.366026089010376</v>
      </c>
      <c r="EA38">
        <f t="shared" si="157"/>
        <v>-31.855446416199694</v>
      </c>
      <c r="EB38">
        <f t="shared" si="158"/>
        <v>-13.525246264596069</v>
      </c>
      <c r="EC38">
        <f t="shared" si="159"/>
        <v>-12.005448405847075</v>
      </c>
      <c r="ED38">
        <f t="shared" si="160"/>
        <v>31.983043064027417</v>
      </c>
      <c r="EE38">
        <f t="shared" si="161"/>
        <v>45.407619307441259</v>
      </c>
      <c r="EF38">
        <f t="shared" si="162"/>
        <v>58.298492039086128</v>
      </c>
      <c r="EG38">
        <f t="shared" si="32"/>
        <v>133.10860813247589</v>
      </c>
    </row>
    <row r="39" spans="2:137" x14ac:dyDescent="0.35">
      <c r="B39" t="s">
        <v>352</v>
      </c>
      <c r="C39" s="19">
        <f>regions!B17</f>
        <v>1251513</v>
      </c>
      <c r="D39" s="19">
        <f>regions!C17</f>
        <v>20928102319.771168</v>
      </c>
      <c r="E39" s="8">
        <f>regions!D17</f>
        <v>16722.241255001882</v>
      </c>
      <c r="F39" s="1">
        <f>regions!Z17</f>
        <v>27.1</v>
      </c>
      <c r="G39" s="8"/>
      <c r="H39" s="8"/>
      <c r="I39">
        <f t="shared" si="113"/>
        <v>0</v>
      </c>
      <c r="J39">
        <f t="shared" si="163"/>
        <v>0</v>
      </c>
      <c r="K39">
        <f t="shared" si="163"/>
        <v>0</v>
      </c>
      <c r="L39">
        <f t="shared" si="163"/>
        <v>0</v>
      </c>
      <c r="M39">
        <f t="shared" si="163"/>
        <v>0</v>
      </c>
      <c r="N39">
        <f t="shared" si="163"/>
        <v>0</v>
      </c>
      <c r="O39">
        <f t="shared" si="163"/>
        <v>0</v>
      </c>
      <c r="P39">
        <f t="shared" si="115"/>
        <v>-0.29376400000000003</v>
      </c>
      <c r="Q39">
        <f t="shared" si="164"/>
        <v>-2.2080000000000044E-2</v>
      </c>
      <c r="R39">
        <f t="shared" si="164"/>
        <v>-4.496E-2</v>
      </c>
      <c r="S39">
        <f t="shared" si="164"/>
        <v>-6.8640000000000034E-2</v>
      </c>
      <c r="T39">
        <f t="shared" si="164"/>
        <v>-9.3119999999999981E-2</v>
      </c>
      <c r="U39">
        <f t="shared" si="164"/>
        <v>-0.11840000000000001</v>
      </c>
      <c r="V39">
        <f t="shared" si="164"/>
        <v>-0.14448000000000005</v>
      </c>
      <c r="W39">
        <f t="shared" si="117"/>
        <v>-0.36720500000000006</v>
      </c>
      <c r="X39">
        <f t="shared" si="165"/>
        <v>-2.7600000000000013E-2</v>
      </c>
      <c r="Y39">
        <f t="shared" si="165"/>
        <v>-5.6199999999999972E-2</v>
      </c>
      <c r="Z39">
        <f t="shared" si="165"/>
        <v>-8.5799999999999987E-2</v>
      </c>
      <c r="AA39">
        <f t="shared" si="165"/>
        <v>-0.11639999999999995</v>
      </c>
      <c r="AB39">
        <f t="shared" si="165"/>
        <v>-0.14799999999999996</v>
      </c>
      <c r="AC39">
        <f t="shared" si="165"/>
        <v>-0.18060000000000004</v>
      </c>
      <c r="AD39">
        <f t="shared" si="119"/>
        <v>-0.33268773000000001</v>
      </c>
      <c r="AE39">
        <f t="shared" si="166"/>
        <v>-2.5005600000000072E-2</v>
      </c>
      <c r="AF39">
        <f t="shared" si="166"/>
        <v>-5.0917199999999996E-2</v>
      </c>
      <c r="AG39">
        <f t="shared" si="166"/>
        <v>-7.7734800000000048E-2</v>
      </c>
      <c r="AH39">
        <f t="shared" si="166"/>
        <v>-0.10545840000000001</v>
      </c>
      <c r="AI39">
        <f t="shared" si="166"/>
        <v>-0.13408800000000004</v>
      </c>
      <c r="AJ39">
        <f t="shared" si="166"/>
        <v>-0.16362360000000004</v>
      </c>
      <c r="AK39">
        <f t="shared" si="121"/>
        <v>-0.37454910000000008</v>
      </c>
      <c r="AL39">
        <f t="shared" si="167"/>
        <v>-2.815200000000001E-2</v>
      </c>
      <c r="AM39">
        <f t="shared" si="167"/>
        <v>-5.7323999999999986E-2</v>
      </c>
      <c r="AN39">
        <f t="shared" si="167"/>
        <v>-8.7515999999999983E-2</v>
      </c>
      <c r="AO39">
        <f t="shared" si="167"/>
        <v>-0.118728</v>
      </c>
      <c r="AP39">
        <f t="shared" si="167"/>
        <v>-0.15095999999999998</v>
      </c>
      <c r="AQ39">
        <f t="shared" si="167"/>
        <v>-0.18421200000000004</v>
      </c>
      <c r="AR39">
        <f t="shared" si="123"/>
        <v>-0.55888601000000004</v>
      </c>
      <c r="AS39">
        <f t="shared" si="168"/>
        <v>-4.2007200000000022E-2</v>
      </c>
      <c r="AT39">
        <f t="shared" si="168"/>
        <v>-8.5536399999999957E-2</v>
      </c>
      <c r="AU39">
        <f t="shared" si="168"/>
        <v>-0.13058760000000003</v>
      </c>
      <c r="AV39">
        <f t="shared" si="168"/>
        <v>-0.1771607999999999</v>
      </c>
      <c r="AW39">
        <f t="shared" si="168"/>
        <v>-0.22525600000000001</v>
      </c>
      <c r="AX39">
        <f t="shared" si="168"/>
        <v>-0.27487320000000004</v>
      </c>
      <c r="AY39">
        <f t="shared" si="128"/>
        <v>-0.15422610000000003</v>
      </c>
      <c r="AZ39">
        <f t="shared" si="129"/>
        <v>-1.1591999999999991E-2</v>
      </c>
      <c r="BA39">
        <f t="shared" si="125"/>
        <v>-2.3603999999999986E-2</v>
      </c>
      <c r="BB39">
        <f t="shared" si="125"/>
        <v>-3.6035999999999985E-2</v>
      </c>
      <c r="BC39">
        <f t="shared" si="125"/>
        <v>-4.8887999999999987E-2</v>
      </c>
      <c r="BD39">
        <f t="shared" si="125"/>
        <v>-6.2159999999999993E-2</v>
      </c>
      <c r="BE39">
        <f t="shared" si="125"/>
        <v>-7.5852000000000003E-2</v>
      </c>
      <c r="BF39">
        <f t="shared" si="130"/>
        <v>-0.18360250000000003</v>
      </c>
      <c r="BG39">
        <f t="shared" si="131"/>
        <v>-1.3800000000000007E-2</v>
      </c>
      <c r="BH39">
        <f t="shared" si="126"/>
        <v>-2.8099999999999986E-2</v>
      </c>
      <c r="BI39">
        <f t="shared" si="126"/>
        <v>-4.2899999999999994E-2</v>
      </c>
      <c r="BJ39">
        <f t="shared" si="126"/>
        <v>-5.8199999999999974E-2</v>
      </c>
      <c r="BK39">
        <f t="shared" si="126"/>
        <v>-7.3999999999999982E-2</v>
      </c>
      <c r="BL39">
        <f t="shared" si="126"/>
        <v>-9.0300000000000019E-2</v>
      </c>
      <c r="BM39">
        <f t="shared" si="132"/>
        <v>-0.58018390000000009</v>
      </c>
      <c r="BN39">
        <f t="shared" si="133"/>
        <v>-4.360799999999998E-2</v>
      </c>
      <c r="BO39">
        <f t="shared" si="127"/>
        <v>-8.8795999999999986E-2</v>
      </c>
      <c r="BP39">
        <f t="shared" si="127"/>
        <v>-0.13556400000000002</v>
      </c>
      <c r="BQ39">
        <f t="shared" si="127"/>
        <v>-0.18391199999999996</v>
      </c>
      <c r="BR39">
        <f t="shared" si="127"/>
        <v>-0.23383999999999994</v>
      </c>
      <c r="BS39">
        <f t="shared" si="127"/>
        <v>-0.28534800000000005</v>
      </c>
      <c r="BV39" s="37">
        <f t="shared" si="148"/>
        <v>9.1344331862064799E-3</v>
      </c>
      <c r="BW39" s="37">
        <f t="shared" si="148"/>
        <v>1.8249790282469602E-2</v>
      </c>
      <c r="BX39" s="37">
        <f t="shared" si="148"/>
        <v>2.7369383226923623E-2</v>
      </c>
      <c r="BY39" s="37">
        <f t="shared" si="148"/>
        <v>3.6490036287150064E-2</v>
      </c>
      <c r="BZ39" s="37">
        <f t="shared" si="148"/>
        <v>4.5611113507566151E-2</v>
      </c>
      <c r="CA39" s="37">
        <f t="shared" si="148"/>
        <v>5.4732402831502588E-2</v>
      </c>
      <c r="CB39" s="37"/>
      <c r="CC39" s="38"/>
      <c r="CD39" s="37">
        <f t="shared" ref="CD39:CI39" si="175">SQRT((BV$26*$CD$17)^2+($CC32*CD$24)^2)</f>
        <v>1.7899720668211554E-4</v>
      </c>
      <c r="CE39" s="37">
        <f t="shared" si="175"/>
        <v>1.8139459749397165E-4</v>
      </c>
      <c r="CF39" s="37">
        <f t="shared" si="175"/>
        <v>1.8532134253776598E-4</v>
      </c>
      <c r="CG39" s="37">
        <f t="shared" si="175"/>
        <v>1.906829829848484E-4</v>
      </c>
      <c r="CH39" s="37">
        <f t="shared" si="175"/>
        <v>1.9736261044078231E-4</v>
      </c>
      <c r="CI39" s="37">
        <f t="shared" si="175"/>
        <v>2.0523157651784483E-4</v>
      </c>
      <c r="CJ39" s="37"/>
      <c r="CK39" s="37"/>
      <c r="CL39" s="37">
        <f t="shared" ref="CL39:CQ39" si="176">SQRT((CD$26*$CL$17)^2+($CC32*CL$24)^2)</f>
        <v>1.8825185258052569E-4</v>
      </c>
      <c r="CM39" s="37">
        <f t="shared" si="176"/>
        <v>1.9064899685023256E-4</v>
      </c>
      <c r="CN39" s="37">
        <f t="shared" si="176"/>
        <v>1.9457862164174147E-4</v>
      </c>
      <c r="CO39" s="37">
        <f t="shared" si="176"/>
        <v>1.9995039384807417E-4</v>
      </c>
      <c r="CP39" s="37">
        <f t="shared" si="176"/>
        <v>2.0665188119153426E-4</v>
      </c>
      <c r="CQ39" s="37">
        <f t="shared" si="176"/>
        <v>2.1455852348485247E-4</v>
      </c>
      <c r="CS39">
        <f t="shared" si="33"/>
        <v>2056</v>
      </c>
      <c r="CT39">
        <f t="shared" si="34"/>
        <v>2.5400000000000014</v>
      </c>
      <c r="CU39">
        <f t="shared" si="35"/>
        <v>0.04</v>
      </c>
      <c r="CV39">
        <f t="shared" si="19"/>
        <v>-5.2437065122851899E-3</v>
      </c>
      <c r="CW39">
        <f t="shared" si="36"/>
        <v>0.87540604550344725</v>
      </c>
      <c r="CX39">
        <f t="shared" si="20"/>
        <v>-1.9157182156025247E-2</v>
      </c>
      <c r="CY39">
        <f t="shared" si="36"/>
        <v>0.66874172981123747</v>
      </c>
      <c r="CZ39">
        <f t="shared" si="21"/>
        <v>2.3256433538656994E-2</v>
      </c>
      <c r="DA39">
        <f t="shared" si="36"/>
        <v>1.6188103136963303</v>
      </c>
      <c r="DB39">
        <f t="shared" si="22"/>
        <v>1.4009647322883694E-2</v>
      </c>
      <c r="DC39">
        <f t="shared" si="37"/>
        <v>1.3378239623830896</v>
      </c>
      <c r="DD39">
        <f t="shared" si="23"/>
        <v>-7.2863697454159295E-3</v>
      </c>
      <c r="DE39">
        <f t="shared" si="38"/>
        <v>0.85861596843760679</v>
      </c>
      <c r="DF39">
        <f t="shared" si="24"/>
        <v>1.89295744345226E-2</v>
      </c>
      <c r="DG39">
        <f t="shared" si="39"/>
        <v>1.4808616518236737</v>
      </c>
      <c r="DH39">
        <f t="shared" si="25"/>
        <v>-9.0797707059973087E-2</v>
      </c>
      <c r="DI39">
        <f t="shared" si="40"/>
        <v>0.14167740906308163</v>
      </c>
      <c r="DJ39">
        <f t="shared" si="26"/>
        <v>-5.9938875974085613E-2</v>
      </c>
      <c r="DK39">
        <f t="shared" si="41"/>
        <v>0.27905473198089442</v>
      </c>
      <c r="DL39">
        <f t="shared" si="27"/>
        <v>4.3121534538097611E-2</v>
      </c>
      <c r="DM39">
        <f t="shared" si="42"/>
        <v>2.4289051656325946</v>
      </c>
      <c r="DN39">
        <f t="shared" si="145"/>
        <v>-1.9180088355475424E-4</v>
      </c>
      <c r="DO39">
        <f t="shared" si="36"/>
        <v>0.9934183285372864</v>
      </c>
      <c r="DQ39">
        <f>(DQ43-DQ38)/5+DQ38</f>
        <v>-2.1682896281069328</v>
      </c>
      <c r="DR39">
        <f t="shared" si="29"/>
        <v>-1.8923538482026135E-4</v>
      </c>
      <c r="DS39">
        <f t="shared" si="30"/>
        <v>-2.7033626402894479E-4</v>
      </c>
      <c r="DT39">
        <f t="shared" si="43"/>
        <v>0.99201168768087822</v>
      </c>
      <c r="DU39">
        <f t="shared" si="31"/>
        <v>-0.7988312319121782</v>
      </c>
      <c r="DV39">
        <f t="shared" si="153"/>
        <v>-12.459395449655275</v>
      </c>
      <c r="DW39">
        <f t="shared" si="154"/>
        <v>-0.65816714627136008</v>
      </c>
      <c r="DY39">
        <f t="shared" si="155"/>
        <v>-85.832259093691832</v>
      </c>
      <c r="DZ39">
        <f t="shared" si="156"/>
        <v>-72.094526801910547</v>
      </c>
      <c r="EA39">
        <f t="shared" si="157"/>
        <v>-33.125827018876251</v>
      </c>
      <c r="EB39">
        <f t="shared" si="158"/>
        <v>-14.13840315623932</v>
      </c>
      <c r="EC39">
        <f t="shared" si="159"/>
        <v>-12.459395449655275</v>
      </c>
      <c r="ED39">
        <f t="shared" si="160"/>
        <v>33.782396238308962</v>
      </c>
      <c r="EE39">
        <f t="shared" si="161"/>
        <v>48.086165182367367</v>
      </c>
      <c r="EF39">
        <f t="shared" si="162"/>
        <v>61.881031369633035</v>
      </c>
      <c r="EG39">
        <f t="shared" si="32"/>
        <v>142.89051656325947</v>
      </c>
    </row>
    <row r="40" spans="2:137" x14ac:dyDescent="0.35">
      <c r="B40" t="s">
        <v>122</v>
      </c>
      <c r="C40" s="19">
        <f>regions!B18</f>
        <v>151125475</v>
      </c>
      <c r="D40" s="19">
        <f>regions!C18</f>
        <v>81471733197.377762</v>
      </c>
      <c r="E40" s="8">
        <f>regions!D18</f>
        <v>539.09993134762863</v>
      </c>
      <c r="F40" s="1">
        <f>regions!Z18</f>
        <v>25</v>
      </c>
      <c r="G40" s="8"/>
      <c r="H40" s="8"/>
      <c r="I40">
        <f t="shared" si="113"/>
        <v>-0.34849999999999998</v>
      </c>
      <c r="J40">
        <f t="shared" si="163"/>
        <v>-1.3940000000000008E-2</v>
      </c>
      <c r="K40">
        <f t="shared" si="163"/>
        <v>-2.7880000000000016E-2</v>
      </c>
      <c r="L40">
        <f t="shared" si="163"/>
        <v>-4.1820000000000024E-2</v>
      </c>
      <c r="M40">
        <f t="shared" si="163"/>
        <v>-5.5759999999999976E-2</v>
      </c>
      <c r="N40">
        <f t="shared" si="163"/>
        <v>-6.9699999999999984E-2</v>
      </c>
      <c r="O40">
        <f t="shared" si="163"/>
        <v>-8.3639999999999992E-2</v>
      </c>
      <c r="P40">
        <f t="shared" si="115"/>
        <v>-0.25</v>
      </c>
      <c r="Q40">
        <f t="shared" si="164"/>
        <v>-2.0400000000000029E-2</v>
      </c>
      <c r="R40">
        <f t="shared" si="164"/>
        <v>-4.1600000000000026E-2</v>
      </c>
      <c r="S40">
        <f t="shared" si="164"/>
        <v>-6.359999999999999E-2</v>
      </c>
      <c r="T40">
        <f t="shared" si="164"/>
        <v>-8.6400000000000032E-2</v>
      </c>
      <c r="U40">
        <f t="shared" si="164"/>
        <v>-0.11000000000000004</v>
      </c>
      <c r="V40">
        <f t="shared" si="164"/>
        <v>-0.13440000000000002</v>
      </c>
      <c r="W40">
        <f t="shared" si="117"/>
        <v>-0.3125</v>
      </c>
      <c r="X40">
        <f t="shared" si="165"/>
        <v>-2.5500000000000023E-2</v>
      </c>
      <c r="Y40">
        <f t="shared" si="165"/>
        <v>-5.1999999999999991E-2</v>
      </c>
      <c r="Z40">
        <f t="shared" si="165"/>
        <v>-7.9500000000000015E-2</v>
      </c>
      <c r="AA40">
        <f t="shared" si="165"/>
        <v>-0.10799999999999998</v>
      </c>
      <c r="AB40">
        <f t="shared" si="165"/>
        <v>-0.13750000000000001</v>
      </c>
      <c r="AC40">
        <f t="shared" si="165"/>
        <v>-0.16799999999999998</v>
      </c>
      <c r="AD40">
        <f t="shared" si="119"/>
        <v>-0.28312500000000002</v>
      </c>
      <c r="AE40">
        <f t="shared" si="166"/>
        <v>-2.3102999999999985E-2</v>
      </c>
      <c r="AF40">
        <f t="shared" si="166"/>
        <v>-4.7111999999999987E-2</v>
      </c>
      <c r="AG40">
        <f t="shared" si="166"/>
        <v>-7.2027000000000008E-2</v>
      </c>
      <c r="AH40">
        <f t="shared" si="166"/>
        <v>-9.7847999999999991E-2</v>
      </c>
      <c r="AI40">
        <f t="shared" si="166"/>
        <v>-0.12457499999999999</v>
      </c>
      <c r="AJ40">
        <f t="shared" si="166"/>
        <v>-0.15220800000000001</v>
      </c>
      <c r="AK40">
        <f t="shared" si="121"/>
        <v>-0.31875000000000003</v>
      </c>
      <c r="AL40">
        <f t="shared" si="167"/>
        <v>-2.6009999999999978E-2</v>
      </c>
      <c r="AM40">
        <f t="shared" si="167"/>
        <v>-5.3039999999999976E-2</v>
      </c>
      <c r="AN40">
        <f t="shared" si="167"/>
        <v>-8.1089999999999995E-2</v>
      </c>
      <c r="AO40">
        <f t="shared" si="167"/>
        <v>-0.11015999999999998</v>
      </c>
      <c r="AP40">
        <f t="shared" si="167"/>
        <v>-0.14024999999999999</v>
      </c>
      <c r="AQ40">
        <f t="shared" si="167"/>
        <v>-0.17136000000000001</v>
      </c>
      <c r="AR40">
        <f t="shared" si="123"/>
        <v>-0.47562499999999996</v>
      </c>
      <c r="AS40">
        <f t="shared" si="168"/>
        <v>-3.881100000000004E-2</v>
      </c>
      <c r="AT40">
        <f t="shared" si="168"/>
        <v>-7.9143999999999992E-2</v>
      </c>
      <c r="AU40">
        <f t="shared" si="168"/>
        <v>-0.12099899999999997</v>
      </c>
      <c r="AV40">
        <f t="shared" si="168"/>
        <v>-0.16437599999999997</v>
      </c>
      <c r="AW40">
        <f t="shared" si="168"/>
        <v>-0.20927499999999999</v>
      </c>
      <c r="AX40">
        <f t="shared" si="168"/>
        <v>-0.25569600000000003</v>
      </c>
      <c r="AY40">
        <f t="shared" si="128"/>
        <v>-0.13125000000000001</v>
      </c>
      <c r="AZ40">
        <f t="shared" si="129"/>
        <v>-1.0709999999999997E-2</v>
      </c>
      <c r="BA40">
        <f t="shared" si="125"/>
        <v>-2.1839999999999998E-2</v>
      </c>
      <c r="BB40">
        <f t="shared" si="125"/>
        <v>-3.3390000000000003E-2</v>
      </c>
      <c r="BC40">
        <f t="shared" si="125"/>
        <v>-4.5360000000000011E-2</v>
      </c>
      <c r="BD40">
        <f t="shared" si="125"/>
        <v>-5.7749999999999996E-2</v>
      </c>
      <c r="BE40">
        <f t="shared" si="125"/>
        <v>-7.0560000000000012E-2</v>
      </c>
      <c r="BF40">
        <f t="shared" si="130"/>
        <v>-0.15625</v>
      </c>
      <c r="BG40">
        <f t="shared" si="131"/>
        <v>-1.2750000000000011E-2</v>
      </c>
      <c r="BH40">
        <f t="shared" si="126"/>
        <v>-2.5999999999999995E-2</v>
      </c>
      <c r="BI40">
        <f t="shared" si="126"/>
        <v>-3.9750000000000008E-2</v>
      </c>
      <c r="BJ40">
        <f t="shared" si="126"/>
        <v>-5.3999999999999992E-2</v>
      </c>
      <c r="BK40">
        <f t="shared" si="126"/>
        <v>-6.8750000000000006E-2</v>
      </c>
      <c r="BL40">
        <f t="shared" si="126"/>
        <v>-8.3999999999999991E-2</v>
      </c>
      <c r="BM40">
        <f t="shared" si="132"/>
        <v>-0.49375000000000002</v>
      </c>
      <c r="BN40">
        <f t="shared" si="133"/>
        <v>-4.0289999999999937E-2</v>
      </c>
      <c r="BO40">
        <f t="shared" si="127"/>
        <v>-8.2160000000000011E-2</v>
      </c>
      <c r="BP40">
        <f t="shared" si="127"/>
        <v>-0.12561</v>
      </c>
      <c r="BQ40">
        <f t="shared" si="127"/>
        <v>-0.17064000000000001</v>
      </c>
      <c r="BR40">
        <f t="shared" si="127"/>
        <v>-0.21724999999999994</v>
      </c>
      <c r="BS40">
        <f t="shared" si="127"/>
        <v>-0.26544000000000001</v>
      </c>
      <c r="CC40" s="11"/>
      <c r="CS40">
        <f t="shared" si="33"/>
        <v>2057</v>
      </c>
      <c r="CT40">
        <f t="shared" si="34"/>
        <v>2.5800000000000014</v>
      </c>
      <c r="CU40">
        <f t="shared" si="35"/>
        <v>0.04</v>
      </c>
      <c r="CV40">
        <f t="shared" si="19"/>
        <v>-5.3286787269469426E-3</v>
      </c>
      <c r="CW40">
        <f t="shared" si="36"/>
        <v>0.87081567312174701</v>
      </c>
      <c r="CX40">
        <f t="shared" si="20"/>
        <v>-1.9678744302005381E-2</v>
      </c>
      <c r="CY40">
        <f t="shared" si="36"/>
        <v>0.65593052267790819</v>
      </c>
      <c r="CZ40">
        <f t="shared" si="21"/>
        <v>2.3889599485792456E-2</v>
      </c>
      <c r="DA40">
        <f t="shared" si="36"/>
        <v>1.6564580681685015</v>
      </c>
      <c r="DB40">
        <f t="shared" si="22"/>
        <v>1.4391065720570639E-2</v>
      </c>
      <c r="DC40">
        <f t="shared" si="37"/>
        <v>1.3565664042761796</v>
      </c>
      <c r="DD40">
        <f t="shared" si="23"/>
        <v>-7.4847441519373297E-3</v>
      </c>
      <c r="DE40">
        <f t="shared" si="38"/>
        <v>0.85235977502225202</v>
      </c>
      <c r="DF40">
        <f t="shared" si="24"/>
        <v>1.944493986687848E-2</v>
      </c>
      <c r="DG40">
        <f t="shared" si="39"/>
        <v>1.5088937326891001</v>
      </c>
      <c r="DH40">
        <f t="shared" si="25"/>
        <v>-9.3269711896518462E-2</v>
      </c>
      <c r="DI40">
        <f t="shared" si="40"/>
        <v>0.12881342517795596</v>
      </c>
      <c r="DJ40">
        <f t="shared" si="26"/>
        <v>-6.1570736470377287E-2</v>
      </c>
      <c r="DK40">
        <f t="shared" si="41"/>
        <v>0.26232850501070987</v>
      </c>
      <c r="DL40">
        <f t="shared" si="27"/>
        <v>4.4295536012243064E-2</v>
      </c>
      <c r="DM40">
        <f t="shared" si="42"/>
        <v>2.5336432836221841</v>
      </c>
      <c r="DN40">
        <f t="shared" si="145"/>
        <v>-1.9247536718605598E-4</v>
      </c>
      <c r="DO40">
        <f t="shared" si="36"/>
        <v>0.99322779002413342</v>
      </c>
      <c r="DQ40">
        <f>(DQ43-DQ38)/5+DQ39</f>
        <v>-2.2162973322258348</v>
      </c>
      <c r="DR40">
        <f t="shared" si="29"/>
        <v>-1.8927120162893701E-4</v>
      </c>
      <c r="DS40">
        <f t="shared" si="30"/>
        <v>-2.7038743089848147E-4</v>
      </c>
      <c r="DT40">
        <f t="shared" si="43"/>
        <v>0.99174351094735747</v>
      </c>
      <c r="DU40">
        <f t="shared" si="31"/>
        <v>-0.8256489052642535</v>
      </c>
      <c r="DV40">
        <f t="shared" si="153"/>
        <v>-12.918432687825298</v>
      </c>
      <c r="DW40">
        <f t="shared" si="154"/>
        <v>-0.67722099758665832</v>
      </c>
      <c r="DY40">
        <f t="shared" si="155"/>
        <v>-87.118657482204398</v>
      </c>
      <c r="DZ40">
        <f t="shared" si="156"/>
        <v>-73.767149498929015</v>
      </c>
      <c r="EA40">
        <f t="shared" si="157"/>
        <v>-34.406947732209183</v>
      </c>
      <c r="EB40">
        <f t="shared" si="158"/>
        <v>-14.764022497774798</v>
      </c>
      <c r="EC40">
        <f t="shared" si="159"/>
        <v>-12.918432687825298</v>
      </c>
      <c r="ED40">
        <f t="shared" si="160"/>
        <v>35.656640427617958</v>
      </c>
      <c r="EE40">
        <f t="shared" si="161"/>
        <v>50.889373268910006</v>
      </c>
      <c r="EF40">
        <f t="shared" si="162"/>
        <v>65.645806816850154</v>
      </c>
      <c r="EG40">
        <f t="shared" si="32"/>
        <v>153.3643283622184</v>
      </c>
    </row>
    <row r="41" spans="2:137" x14ac:dyDescent="0.35">
      <c r="B41" t="s">
        <v>123</v>
      </c>
      <c r="C41" s="19">
        <f>regions!B19</f>
        <v>280396</v>
      </c>
      <c r="D41" s="19">
        <f>regions!C19</f>
        <v>4033125824.922358</v>
      </c>
      <c r="E41" s="8">
        <f>regions!D19</f>
        <v>14383.678172735552</v>
      </c>
      <c r="F41" s="1">
        <f>regions!Z19</f>
        <v>26</v>
      </c>
      <c r="G41" s="8"/>
      <c r="H41" s="8"/>
      <c r="I41">
        <f t="shared" si="113"/>
        <v>0</v>
      </c>
      <c r="J41">
        <f t="shared" si="163"/>
        <v>0</v>
      </c>
      <c r="K41">
        <f t="shared" si="163"/>
        <v>0</v>
      </c>
      <c r="L41">
        <f t="shared" si="163"/>
        <v>0</v>
      </c>
      <c r="M41">
        <f t="shared" si="163"/>
        <v>0</v>
      </c>
      <c r="N41">
        <f t="shared" si="163"/>
        <v>0</v>
      </c>
      <c r="O41">
        <f t="shared" si="163"/>
        <v>0</v>
      </c>
      <c r="P41">
        <f t="shared" si="115"/>
        <v>-0.27040000000000003</v>
      </c>
      <c r="Q41">
        <f t="shared" si="164"/>
        <v>-2.1199999999999997E-2</v>
      </c>
      <c r="R41">
        <f t="shared" si="164"/>
        <v>-4.3199999999999961E-2</v>
      </c>
      <c r="S41">
        <f t="shared" si="164"/>
        <v>-6.6000000000000003E-2</v>
      </c>
      <c r="T41">
        <f t="shared" si="164"/>
        <v>-8.9600000000000013E-2</v>
      </c>
      <c r="U41">
        <f t="shared" si="164"/>
        <v>-0.11399999999999999</v>
      </c>
      <c r="V41">
        <f t="shared" si="164"/>
        <v>-0.13919999999999999</v>
      </c>
      <c r="W41">
        <f t="shared" si="117"/>
        <v>-0.33800000000000002</v>
      </c>
      <c r="X41">
        <f t="shared" si="165"/>
        <v>-2.6499999999999968E-2</v>
      </c>
      <c r="Y41">
        <f t="shared" si="165"/>
        <v>-5.3999999999999992E-2</v>
      </c>
      <c r="Z41">
        <f t="shared" si="165"/>
        <v>-8.2499999999999962E-2</v>
      </c>
      <c r="AA41">
        <f t="shared" si="165"/>
        <v>-0.11199999999999999</v>
      </c>
      <c r="AB41">
        <f t="shared" si="165"/>
        <v>-0.14249999999999996</v>
      </c>
      <c r="AC41">
        <f t="shared" si="165"/>
        <v>-0.17399999999999999</v>
      </c>
      <c r="AD41">
        <f t="shared" si="119"/>
        <v>-0.306228</v>
      </c>
      <c r="AE41">
        <f t="shared" si="166"/>
        <v>-2.4009000000000003E-2</v>
      </c>
      <c r="AF41">
        <f t="shared" si="166"/>
        <v>-4.8924000000000023E-2</v>
      </c>
      <c r="AG41">
        <f t="shared" si="166"/>
        <v>-7.4745000000000006E-2</v>
      </c>
      <c r="AH41">
        <f t="shared" si="166"/>
        <v>-0.10147200000000001</v>
      </c>
      <c r="AI41">
        <f t="shared" si="166"/>
        <v>-0.12910500000000003</v>
      </c>
      <c r="AJ41">
        <f t="shared" si="166"/>
        <v>-0.15764400000000001</v>
      </c>
      <c r="AK41">
        <f t="shared" si="121"/>
        <v>-0.34476000000000001</v>
      </c>
      <c r="AL41">
        <f t="shared" si="167"/>
        <v>-2.7029999999999998E-2</v>
      </c>
      <c r="AM41">
        <f t="shared" si="167"/>
        <v>-5.5080000000000018E-2</v>
      </c>
      <c r="AN41">
        <f t="shared" si="167"/>
        <v>-8.4150000000000003E-2</v>
      </c>
      <c r="AO41">
        <f t="shared" si="167"/>
        <v>-0.11424000000000001</v>
      </c>
      <c r="AP41">
        <f t="shared" si="167"/>
        <v>-0.14535000000000003</v>
      </c>
      <c r="AQ41">
        <f t="shared" si="167"/>
        <v>-0.17748000000000003</v>
      </c>
      <c r="AR41">
        <f t="shared" si="123"/>
        <v>-0.514436</v>
      </c>
      <c r="AS41">
        <f t="shared" si="168"/>
        <v>-4.0332999999999952E-2</v>
      </c>
      <c r="AT41">
        <f t="shared" si="168"/>
        <v>-8.2187999999999928E-2</v>
      </c>
      <c r="AU41">
        <f t="shared" si="168"/>
        <v>-0.12556499999999993</v>
      </c>
      <c r="AV41">
        <f t="shared" si="168"/>
        <v>-0.17046399999999995</v>
      </c>
      <c r="AW41">
        <f t="shared" si="168"/>
        <v>-0.21688499999999999</v>
      </c>
      <c r="AX41">
        <f t="shared" si="168"/>
        <v>-0.26482799999999995</v>
      </c>
      <c r="AY41">
        <f t="shared" si="128"/>
        <v>-0.14196</v>
      </c>
      <c r="AZ41">
        <f t="shared" si="129"/>
        <v>-1.1130000000000001E-2</v>
      </c>
      <c r="BA41">
        <f t="shared" si="125"/>
        <v>-2.2680000000000006E-2</v>
      </c>
      <c r="BB41">
        <f t="shared" si="125"/>
        <v>-3.4650000000000014E-2</v>
      </c>
      <c r="BC41">
        <f t="shared" si="125"/>
        <v>-4.7039999999999998E-2</v>
      </c>
      <c r="BD41">
        <f t="shared" si="125"/>
        <v>-5.9850000000000014E-2</v>
      </c>
      <c r="BE41">
        <f t="shared" si="125"/>
        <v>-7.3080000000000006E-2</v>
      </c>
      <c r="BF41">
        <f t="shared" si="130"/>
        <v>-0.16900000000000001</v>
      </c>
      <c r="BG41">
        <f t="shared" si="131"/>
        <v>-1.3249999999999984E-2</v>
      </c>
      <c r="BH41">
        <f t="shared" si="126"/>
        <v>-2.6999999999999996E-2</v>
      </c>
      <c r="BI41">
        <f t="shared" si="126"/>
        <v>-4.1249999999999981E-2</v>
      </c>
      <c r="BJ41">
        <f t="shared" si="126"/>
        <v>-5.5999999999999994E-2</v>
      </c>
      <c r="BK41">
        <f t="shared" si="126"/>
        <v>-7.124999999999998E-2</v>
      </c>
      <c r="BL41">
        <f t="shared" si="126"/>
        <v>-8.6999999999999994E-2</v>
      </c>
      <c r="BM41">
        <f t="shared" si="132"/>
        <v>-0.53403999999999996</v>
      </c>
      <c r="BN41">
        <f t="shared" si="133"/>
        <v>-4.1870000000000074E-2</v>
      </c>
      <c r="BO41">
        <f t="shared" si="127"/>
        <v>-8.5320000000000062E-2</v>
      </c>
      <c r="BP41">
        <f t="shared" si="127"/>
        <v>-0.13035000000000008</v>
      </c>
      <c r="BQ41">
        <f t="shared" si="127"/>
        <v>-0.17696000000000001</v>
      </c>
      <c r="BR41">
        <f t="shared" si="127"/>
        <v>-0.22515000000000007</v>
      </c>
      <c r="BS41">
        <f t="shared" si="127"/>
        <v>-0.27492000000000005</v>
      </c>
      <c r="BU41" t="s">
        <v>751</v>
      </c>
      <c r="BV41">
        <v>1</v>
      </c>
      <c r="BW41">
        <v>2</v>
      </c>
      <c r="BX41">
        <v>3</v>
      </c>
      <c r="BY41">
        <v>4</v>
      </c>
      <c r="BZ41">
        <v>5</v>
      </c>
      <c r="CA41">
        <v>6</v>
      </c>
      <c r="CS41">
        <f t="shared" si="33"/>
        <v>2058</v>
      </c>
      <c r="CT41">
        <f t="shared" si="34"/>
        <v>2.6200000000000014</v>
      </c>
      <c r="CU41">
        <f t="shared" si="35"/>
        <v>0.04</v>
      </c>
      <c r="CV41">
        <f t="shared" si="19"/>
        <v>-5.4137251791079258E-3</v>
      </c>
      <c r="CW41">
        <f t="shared" si="36"/>
        <v>0.86617537616929119</v>
      </c>
      <c r="CX41">
        <f t="shared" si="20"/>
        <v>-2.0207124253815323E-2</v>
      </c>
      <c r="CY41">
        <f t="shared" si="36"/>
        <v>0.64302263364224888</v>
      </c>
      <c r="CZ41">
        <f t="shared" si="21"/>
        <v>2.4531042111975442E-2</v>
      </c>
      <c r="DA41">
        <f t="shared" si="36"/>
        <v>1.6960301879820563</v>
      </c>
      <c r="DB41">
        <f t="shared" si="22"/>
        <v>1.4777469979665257E-2</v>
      </c>
      <c r="DC41">
        <f t="shared" si="37"/>
        <v>1.3760888405544363</v>
      </c>
      <c r="DD41">
        <f t="shared" si="23"/>
        <v>-7.6857116879557414E-3</v>
      </c>
      <c r="DE41">
        <f t="shared" si="38"/>
        <v>0.84598008018080761</v>
      </c>
      <c r="DF41">
        <f t="shared" si="24"/>
        <v>1.9967042102271692E-2</v>
      </c>
      <c r="DG41">
        <f t="shared" si="39"/>
        <v>1.5382340805867496</v>
      </c>
      <c r="DH41">
        <f t="shared" si="25"/>
        <v>-9.5774030521776854E-2</v>
      </c>
      <c r="DI41">
        <f t="shared" si="40"/>
        <v>0.11679903412320428</v>
      </c>
      <c r="DJ41">
        <f t="shared" si="26"/>
        <v>-6.3223928476424399E-2</v>
      </c>
      <c r="DK41">
        <f t="shared" si="41"/>
        <v>0.2461767457600274</v>
      </c>
      <c r="DL41">
        <f t="shared" si="27"/>
        <v>4.5484883910887154E-2</v>
      </c>
      <c r="DM41">
        <f t="shared" si="42"/>
        <v>2.6458723709340481</v>
      </c>
      <c r="DN41">
        <f t="shared" si="145"/>
        <v>-1.9314985081735775E-4</v>
      </c>
      <c r="DO41">
        <f t="shared" si="36"/>
        <v>0.99303661814054911</v>
      </c>
      <c r="DQ41">
        <f>(DQ43-DQ38)/5+DQ40</f>
        <v>-2.2643050363447368</v>
      </c>
      <c r="DR41">
        <f t="shared" si="29"/>
        <v>-1.8930703199836012E-4</v>
      </c>
      <c r="DS41">
        <f t="shared" si="30"/>
        <v>-2.7043861714051449E-4</v>
      </c>
      <c r="DT41">
        <f t="shared" si="43"/>
        <v>0.99147535596732217</v>
      </c>
      <c r="DU41">
        <f t="shared" si="31"/>
        <v>-0.85246440326778306</v>
      </c>
      <c r="DV41">
        <f t="shared" si="153"/>
        <v>-13.38246238307088</v>
      </c>
      <c r="DW41">
        <f t="shared" si="154"/>
        <v>-0.69633818594508901</v>
      </c>
      <c r="DY41">
        <f t="shared" si="155"/>
        <v>-88.320096587679572</v>
      </c>
      <c r="DZ41">
        <f t="shared" si="156"/>
        <v>-75.382325423997258</v>
      </c>
      <c r="EA41">
        <f t="shared" si="157"/>
        <v>-35.697736635775115</v>
      </c>
      <c r="EB41">
        <f t="shared" si="158"/>
        <v>-15.401991981919238</v>
      </c>
      <c r="EC41">
        <f t="shared" si="159"/>
        <v>-13.38246238307088</v>
      </c>
      <c r="ED41">
        <f t="shared" si="160"/>
        <v>37.608884055443625</v>
      </c>
      <c r="EE41">
        <f t="shared" si="161"/>
        <v>53.823408058674957</v>
      </c>
      <c r="EF41">
        <f t="shared" si="162"/>
        <v>69.603018798205625</v>
      </c>
      <c r="EG41">
        <f t="shared" si="32"/>
        <v>164.58723709340481</v>
      </c>
    </row>
    <row r="42" spans="2:137" x14ac:dyDescent="0.35">
      <c r="B42" t="s">
        <v>214</v>
      </c>
      <c r="C42" s="19">
        <f>regions!B20</f>
        <v>9490000</v>
      </c>
      <c r="D42" s="19">
        <f>regions!C20</f>
        <v>42955347353.866852</v>
      </c>
      <c r="E42" s="8">
        <f>regions!D20</f>
        <v>4526.3801215876556</v>
      </c>
      <c r="F42" s="1">
        <f>regions!Z20</f>
        <v>6.2</v>
      </c>
      <c r="G42" s="8"/>
      <c r="H42" s="8"/>
      <c r="I42">
        <f t="shared" si="113"/>
        <v>0</v>
      </c>
      <c r="J42">
        <f t="shared" si="163"/>
        <v>0</v>
      </c>
      <c r="K42">
        <f t="shared" si="163"/>
        <v>0</v>
      </c>
      <c r="L42">
        <f t="shared" si="163"/>
        <v>0</v>
      </c>
      <c r="M42">
        <f t="shared" si="163"/>
        <v>0</v>
      </c>
      <c r="N42">
        <f t="shared" si="163"/>
        <v>0</v>
      </c>
      <c r="O42">
        <f t="shared" si="163"/>
        <v>0</v>
      </c>
      <c r="P42">
        <f t="shared" si="115"/>
        <v>-1.5376000000000003E-2</v>
      </c>
      <c r="Q42">
        <f t="shared" si="164"/>
        <v>-5.3599999999999984E-3</v>
      </c>
      <c r="R42">
        <f t="shared" si="164"/>
        <v>-1.1519999999999997E-2</v>
      </c>
      <c r="S42">
        <f t="shared" si="164"/>
        <v>-1.8479999999999996E-2</v>
      </c>
      <c r="T42">
        <f t="shared" si="164"/>
        <v>-2.6239999999999999E-2</v>
      </c>
      <c r="U42">
        <f t="shared" si="164"/>
        <v>-3.4799999999999998E-2</v>
      </c>
      <c r="V42">
        <f t="shared" si="164"/>
        <v>-4.4159999999999991E-2</v>
      </c>
      <c r="W42">
        <f t="shared" si="117"/>
        <v>-1.9220000000000004E-2</v>
      </c>
      <c r="X42">
        <f t="shared" si="165"/>
        <v>-6.6999999999999976E-3</v>
      </c>
      <c r="Y42">
        <f t="shared" si="165"/>
        <v>-1.4399999999999993E-2</v>
      </c>
      <c r="Z42">
        <f t="shared" si="165"/>
        <v>-2.3099999999999992E-2</v>
      </c>
      <c r="AA42">
        <f t="shared" si="165"/>
        <v>-3.2799999999999996E-2</v>
      </c>
      <c r="AB42">
        <f t="shared" si="165"/>
        <v>-4.3499999999999997E-2</v>
      </c>
      <c r="AC42">
        <f t="shared" si="165"/>
        <v>-5.5199999999999985E-2</v>
      </c>
      <c r="AD42">
        <f t="shared" si="119"/>
        <v>-1.7413320000000003E-2</v>
      </c>
      <c r="AE42">
        <f t="shared" si="166"/>
        <v>-6.0701999999999978E-3</v>
      </c>
      <c r="AF42">
        <f t="shared" si="166"/>
        <v>-1.3046399999999996E-2</v>
      </c>
      <c r="AG42">
        <f t="shared" si="166"/>
        <v>-2.0928599999999992E-2</v>
      </c>
      <c r="AH42">
        <f t="shared" si="166"/>
        <v>-2.9716799999999995E-2</v>
      </c>
      <c r="AI42">
        <f t="shared" si="166"/>
        <v>-3.9410999999999988E-2</v>
      </c>
      <c r="AJ42">
        <f t="shared" si="166"/>
        <v>-5.0011199999999985E-2</v>
      </c>
      <c r="AK42">
        <f t="shared" si="121"/>
        <v>-1.9604400000000004E-2</v>
      </c>
      <c r="AL42">
        <f t="shared" si="167"/>
        <v>-6.8339999999999998E-3</v>
      </c>
      <c r="AM42">
        <f t="shared" si="167"/>
        <v>-1.4687999999999996E-2</v>
      </c>
      <c r="AN42">
        <f t="shared" si="167"/>
        <v>-2.3561999999999989E-2</v>
      </c>
      <c r="AO42">
        <f t="shared" si="167"/>
        <v>-3.3456E-2</v>
      </c>
      <c r="AP42">
        <f t="shared" si="167"/>
        <v>-4.4369999999999993E-2</v>
      </c>
      <c r="AQ42">
        <f t="shared" si="167"/>
        <v>-5.6303999999999979E-2</v>
      </c>
      <c r="AR42">
        <f t="shared" si="123"/>
        <v>-2.9252840000000002E-2</v>
      </c>
      <c r="AS42">
        <f t="shared" si="168"/>
        <v>-1.0197399999999995E-2</v>
      </c>
      <c r="AT42">
        <f t="shared" si="168"/>
        <v>-2.1916799999999993E-2</v>
      </c>
      <c r="AU42">
        <f t="shared" si="168"/>
        <v>-3.5158199999999987E-2</v>
      </c>
      <c r="AV42">
        <f t="shared" si="168"/>
        <v>-4.9921599999999983E-2</v>
      </c>
      <c r="AW42">
        <f t="shared" si="168"/>
        <v>-6.6206999999999974E-2</v>
      </c>
      <c r="AX42">
        <f t="shared" si="168"/>
        <v>-8.4014399999999975E-2</v>
      </c>
      <c r="AY42">
        <f t="shared" si="128"/>
        <v>-8.0724000000000021E-3</v>
      </c>
      <c r="AZ42">
        <f t="shared" si="129"/>
        <v>-2.8139999999999988E-3</v>
      </c>
      <c r="BA42">
        <f t="shared" si="129"/>
        <v>-6.0479999999999978E-3</v>
      </c>
      <c r="BB42">
        <f t="shared" si="129"/>
        <v>-9.7019999999999971E-3</v>
      </c>
      <c r="BC42">
        <f t="shared" si="129"/>
        <v>-1.3775999999999998E-2</v>
      </c>
      <c r="BD42">
        <f t="shared" si="129"/>
        <v>-1.8269999999999995E-2</v>
      </c>
      <c r="BE42">
        <f t="shared" si="129"/>
        <v>-2.3183999999999996E-2</v>
      </c>
      <c r="BF42">
        <f t="shared" si="130"/>
        <v>-9.6100000000000022E-3</v>
      </c>
      <c r="BG42">
        <f t="shared" si="131"/>
        <v>-3.3499999999999988E-3</v>
      </c>
      <c r="BH42">
        <f t="shared" si="131"/>
        <v>-7.1999999999999963E-3</v>
      </c>
      <c r="BI42">
        <f t="shared" si="131"/>
        <v>-1.1549999999999996E-2</v>
      </c>
      <c r="BJ42">
        <f t="shared" si="131"/>
        <v>-1.6399999999999998E-2</v>
      </c>
      <c r="BK42">
        <f t="shared" si="131"/>
        <v>-2.1749999999999999E-2</v>
      </c>
      <c r="BL42">
        <f t="shared" si="131"/>
        <v>-2.7599999999999993E-2</v>
      </c>
      <c r="BM42">
        <f t="shared" si="132"/>
        <v>-3.0367600000000005E-2</v>
      </c>
      <c r="BN42">
        <f t="shared" si="133"/>
        <v>-1.0586000000000002E-2</v>
      </c>
      <c r="BO42">
        <f t="shared" si="133"/>
        <v>-2.2751999999999991E-2</v>
      </c>
      <c r="BP42">
        <f t="shared" si="133"/>
        <v>-3.6497999999999975E-2</v>
      </c>
      <c r="BQ42">
        <f t="shared" si="133"/>
        <v>-5.1823999999999981E-2</v>
      </c>
      <c r="BR42">
        <f t="shared" si="133"/>
        <v>-6.8729999999999986E-2</v>
      </c>
      <c r="BS42">
        <f t="shared" si="133"/>
        <v>-8.7215999999999974E-2</v>
      </c>
      <c r="BU42">
        <v>0.01</v>
      </c>
      <c r="BV42" s="37">
        <f>(CD27/CD34/CD34+CL27/CL34/CL34)/CL42</f>
        <v>-1.4162308771692601E-5</v>
      </c>
      <c r="BW42" s="37">
        <f t="shared" ref="BW42:CA42" si="177">(CE27/CE34/CE34+CM27/CM34/CM34)/CM42</f>
        <v>-1.6537931081483178E-5</v>
      </c>
      <c r="BX42" s="37">
        <f t="shared" si="177"/>
        <v>-3.4121666749700651E-5</v>
      </c>
      <c r="BY42" s="37">
        <f t="shared" si="177"/>
        <v>-5.1705154315696655E-5</v>
      </c>
      <c r="BZ42" s="37">
        <f t="shared" si="177"/>
        <v>-6.9288365367956665E-5</v>
      </c>
      <c r="CA42" s="37">
        <f t="shared" si="177"/>
        <v>-8.687130115185713E-5</v>
      </c>
      <c r="CD42" s="37">
        <f>SQRT(1/CL42)</f>
        <v>2.1619691655508001E-5</v>
      </c>
      <c r="CE42" s="37">
        <f t="shared" ref="CE42:CE47" si="178">SQRT(1/CM42)</f>
        <v>2.1902523721387179E-5</v>
      </c>
      <c r="CF42" s="37">
        <f t="shared" ref="CF42:CF47" si="179">SQRT(1/CN42)</f>
        <v>2.2365881003190008E-5</v>
      </c>
      <c r="CG42" s="37">
        <f t="shared" ref="CG42:CG47" si="180">SQRT(1/CO42)</f>
        <v>2.2998861166119645E-5</v>
      </c>
      <c r="CH42" s="37">
        <f t="shared" ref="CH42:CH47" si="181">SQRT(1/CP42)</f>
        <v>2.3787906579424925E-5</v>
      </c>
      <c r="CI42" s="37">
        <f t="shared" ref="CI42:CI47" si="182">SQRT(1/CQ42)</f>
        <v>2.4718055144503109E-5</v>
      </c>
      <c r="CL42">
        <f>1/BV34/BV34+1/CD34/CD34+1/CL34/CL34</f>
        <v>2139444420.56306</v>
      </c>
      <c r="CM42">
        <f t="shared" ref="CM42:CQ42" si="183">1/BW34/BW34+1/CE34/CE34+1/CM34/CM34</f>
        <v>2084546950.6360326</v>
      </c>
      <c r="CN42">
        <f t="shared" si="183"/>
        <v>1999069900.5483198</v>
      </c>
      <c r="CO42">
        <f t="shared" si="183"/>
        <v>1890546382.5871873</v>
      </c>
      <c r="CP42">
        <f t="shared" si="183"/>
        <v>1767207522.3039265</v>
      </c>
      <c r="CQ42">
        <f t="shared" si="183"/>
        <v>1636708758.3847721</v>
      </c>
      <c r="CS42">
        <f t="shared" si="33"/>
        <v>2059</v>
      </c>
      <c r="CT42">
        <f t="shared" si="34"/>
        <v>2.6600000000000015</v>
      </c>
      <c r="CU42">
        <f t="shared" si="35"/>
        <v>0.04</v>
      </c>
      <c r="CV42">
        <f t="shared" si="19"/>
        <v>-5.4988458687681404E-3</v>
      </c>
      <c r="CW42">
        <f t="shared" si="36"/>
        <v>0.86148614072580021</v>
      </c>
      <c r="CX42">
        <f t="shared" si="20"/>
        <v>-2.0742322011455067E-2</v>
      </c>
      <c r="CY42">
        <f t="shared" si="36"/>
        <v>0.63002899538622437</v>
      </c>
      <c r="CZ42">
        <f t="shared" si="21"/>
        <v>2.5180761417205946E-2</v>
      </c>
      <c r="DA42">
        <f t="shared" si="36"/>
        <v>1.737635575946626</v>
      </c>
      <c r="DB42">
        <f t="shared" si="22"/>
        <v>1.5168860100167544E-2</v>
      </c>
      <c r="DC42">
        <f t="shared" si="37"/>
        <v>1.3964239520850819</v>
      </c>
      <c r="DD42">
        <f t="shared" si="23"/>
        <v>-7.8892723534711648E-3</v>
      </c>
      <c r="DE42">
        <f t="shared" si="38"/>
        <v>0.83947812119078424</v>
      </c>
      <c r="DF42">
        <f t="shared" si="24"/>
        <v>2.0495881140702235E-2</v>
      </c>
      <c r="DG42">
        <f t="shared" si="39"/>
        <v>1.5689480652369745</v>
      </c>
      <c r="DH42">
        <f t="shared" si="25"/>
        <v>-9.831066293574825E-2</v>
      </c>
      <c r="DI42">
        <f t="shared" si="40"/>
        <v>0.10561271986417445</v>
      </c>
      <c r="DJ42">
        <f t="shared" si="26"/>
        <v>-6.4898451992226949E-2</v>
      </c>
      <c r="DK42">
        <f t="shared" si="41"/>
        <v>0.23061248479353652</v>
      </c>
      <c r="DL42">
        <f t="shared" si="27"/>
        <v>4.6689578234029881E-2</v>
      </c>
      <c r="DM42">
        <f t="shared" si="42"/>
        <v>2.7662195685690074</v>
      </c>
      <c r="DN42">
        <f t="shared" si="145"/>
        <v>-1.9382433444865946E-4</v>
      </c>
      <c r="DO42">
        <f t="shared" si="36"/>
        <v>0.99284481326589913</v>
      </c>
      <c r="DQ42">
        <f>(DQ43-DQ38)/5+DQ41</f>
        <v>-2.3123127404636388</v>
      </c>
      <c r="DR42">
        <f t="shared" si="29"/>
        <v>-1.8934287593623365E-4</v>
      </c>
      <c r="DS42">
        <f t="shared" si="30"/>
        <v>-2.7048982276604806E-4</v>
      </c>
      <c r="DT42">
        <f t="shared" si="43"/>
        <v>0.99120722274312545</v>
      </c>
      <c r="DU42">
        <f t="shared" si="31"/>
        <v>-0.8792777256874551</v>
      </c>
      <c r="DV42">
        <f t="shared" si="153"/>
        <v>-13.85138592741998</v>
      </c>
      <c r="DW42">
        <f t="shared" si="154"/>
        <v>-0.71551867341008712</v>
      </c>
      <c r="DY42">
        <f t="shared" si="155"/>
        <v>-89.438728013582562</v>
      </c>
      <c r="DZ42">
        <f t="shared" si="156"/>
        <v>-76.938751520646349</v>
      </c>
      <c r="EA42">
        <f t="shared" si="157"/>
        <v>-36.997100461377563</v>
      </c>
      <c r="EB42">
        <f t="shared" si="158"/>
        <v>-16.052187880921576</v>
      </c>
      <c r="EC42">
        <f t="shared" si="159"/>
        <v>-13.85138592741998</v>
      </c>
      <c r="ED42">
        <f t="shared" si="160"/>
        <v>39.642395208508184</v>
      </c>
      <c r="EE42">
        <f t="shared" si="161"/>
        <v>56.894806523697447</v>
      </c>
      <c r="EF42">
        <f t="shared" si="162"/>
        <v>73.763557594662601</v>
      </c>
      <c r="EG42">
        <f t="shared" si="32"/>
        <v>176.62195685690074</v>
      </c>
    </row>
    <row r="43" spans="2:137" x14ac:dyDescent="0.35">
      <c r="B43" t="s">
        <v>124</v>
      </c>
      <c r="C43" s="19">
        <f>regions!B21</f>
        <v>10895586</v>
      </c>
      <c r="D43" s="19">
        <f>regions!C21</f>
        <v>400383139123.5824</v>
      </c>
      <c r="E43" s="8">
        <f>regions!D21</f>
        <v>36747.279047091397</v>
      </c>
      <c r="F43" s="1">
        <f>regions!Z21</f>
        <v>9.6</v>
      </c>
      <c r="G43" s="8"/>
      <c r="H43" s="8"/>
      <c r="I43">
        <f t="shared" si="113"/>
        <v>0</v>
      </c>
      <c r="J43">
        <f t="shared" si="163"/>
        <v>0</v>
      </c>
      <c r="K43">
        <f t="shared" si="163"/>
        <v>0</v>
      </c>
      <c r="L43">
        <f t="shared" si="163"/>
        <v>0</v>
      </c>
      <c r="M43">
        <f t="shared" si="163"/>
        <v>0</v>
      </c>
      <c r="N43">
        <f t="shared" si="163"/>
        <v>0</v>
      </c>
      <c r="O43">
        <f t="shared" si="163"/>
        <v>0</v>
      </c>
      <c r="P43">
        <f t="shared" si="115"/>
        <v>-3.6864000000000001E-2</v>
      </c>
      <c r="Q43">
        <f t="shared" si="164"/>
        <v>-8.0800000000000038E-3</v>
      </c>
      <c r="R43">
        <f t="shared" si="164"/>
        <v>-1.6960000000000003E-2</v>
      </c>
      <c r="S43">
        <f t="shared" si="164"/>
        <v>-2.6640000000000004E-2</v>
      </c>
      <c r="T43">
        <f t="shared" si="164"/>
        <v>-3.7119999999999993E-2</v>
      </c>
      <c r="U43">
        <f t="shared" si="164"/>
        <v>-4.8400000000000006E-2</v>
      </c>
      <c r="V43">
        <f t="shared" si="164"/>
        <v>-6.0479999999999999E-2</v>
      </c>
      <c r="W43">
        <f t="shared" si="117"/>
        <v>-4.6079999999999996E-2</v>
      </c>
      <c r="X43">
        <f t="shared" si="165"/>
        <v>-1.0100000000000005E-2</v>
      </c>
      <c r="Y43">
        <f t="shared" si="165"/>
        <v>-2.1200000000000011E-2</v>
      </c>
      <c r="Z43">
        <f t="shared" si="165"/>
        <v>-3.3299999999999996E-2</v>
      </c>
      <c r="AA43">
        <f t="shared" si="165"/>
        <v>-4.6399999999999997E-2</v>
      </c>
      <c r="AB43">
        <f t="shared" si="165"/>
        <v>-6.0499999999999998E-2</v>
      </c>
      <c r="AC43">
        <f t="shared" si="165"/>
        <v>-7.5600000000000001E-2</v>
      </c>
      <c r="AD43">
        <f t="shared" si="119"/>
        <v>-4.1748479999999998E-2</v>
      </c>
      <c r="AE43">
        <f t="shared" si="166"/>
        <v>-9.1506000000000018E-3</v>
      </c>
      <c r="AF43">
        <f t="shared" si="166"/>
        <v>-1.9207200000000008E-2</v>
      </c>
      <c r="AG43">
        <f t="shared" si="166"/>
        <v>-3.0169800000000004E-2</v>
      </c>
      <c r="AH43">
        <f t="shared" si="166"/>
        <v>-4.2038399999999997E-2</v>
      </c>
      <c r="AI43">
        <f t="shared" si="166"/>
        <v>-5.4813000000000008E-2</v>
      </c>
      <c r="AJ43">
        <f t="shared" si="166"/>
        <v>-6.8493599999999988E-2</v>
      </c>
      <c r="AK43">
        <f t="shared" si="121"/>
        <v>-4.7001600000000004E-2</v>
      </c>
      <c r="AL43">
        <f t="shared" si="167"/>
        <v>-1.0301999999999999E-2</v>
      </c>
      <c r="AM43">
        <f t="shared" si="167"/>
        <v>-2.1624000000000004E-2</v>
      </c>
      <c r="AN43">
        <f t="shared" si="167"/>
        <v>-3.3965999999999996E-2</v>
      </c>
      <c r="AO43">
        <f t="shared" si="167"/>
        <v>-4.7327999999999995E-2</v>
      </c>
      <c r="AP43">
        <f t="shared" si="167"/>
        <v>-6.1710000000000001E-2</v>
      </c>
      <c r="AQ43">
        <f t="shared" si="167"/>
        <v>-7.7112E-2</v>
      </c>
      <c r="AR43">
        <f t="shared" si="123"/>
        <v>-7.0133759999999989E-2</v>
      </c>
      <c r="AS43">
        <f t="shared" si="168"/>
        <v>-1.5372200000000003E-2</v>
      </c>
      <c r="AT43">
        <f t="shared" si="168"/>
        <v>-3.2266400000000001E-2</v>
      </c>
      <c r="AU43">
        <f t="shared" si="168"/>
        <v>-5.0682599999999994E-2</v>
      </c>
      <c r="AV43">
        <f t="shared" si="168"/>
        <v>-7.0620799999999984E-2</v>
      </c>
      <c r="AW43">
        <f t="shared" si="168"/>
        <v>-9.2080999999999996E-2</v>
      </c>
      <c r="AX43">
        <f t="shared" si="168"/>
        <v>-0.11506319999999998</v>
      </c>
      <c r="AY43">
        <f t="shared" si="128"/>
        <v>-1.9353599999999999E-2</v>
      </c>
      <c r="AZ43">
        <f t="shared" si="129"/>
        <v>-4.2420000000000027E-3</v>
      </c>
      <c r="BA43">
        <f t="shared" si="129"/>
        <v>-8.9040000000000022E-3</v>
      </c>
      <c r="BB43">
        <f t="shared" si="129"/>
        <v>-1.3985999999999998E-2</v>
      </c>
      <c r="BC43">
        <f t="shared" si="129"/>
        <v>-1.9487999999999998E-2</v>
      </c>
      <c r="BD43">
        <f t="shared" si="129"/>
        <v>-2.5410000000000002E-2</v>
      </c>
      <c r="BE43">
        <f t="shared" si="129"/>
        <v>-3.1752000000000002E-2</v>
      </c>
      <c r="BF43">
        <f t="shared" si="130"/>
        <v>-2.3039999999999998E-2</v>
      </c>
      <c r="BG43">
        <f t="shared" ref="BG43:BL58" si="184">$D$21*($F43+BG$25)^2-$BF43</f>
        <v>-5.0500000000000024E-3</v>
      </c>
      <c r="BH43">
        <f t="shared" si="184"/>
        <v>-1.0600000000000005E-2</v>
      </c>
      <c r="BI43">
        <f t="shared" si="184"/>
        <v>-1.6649999999999998E-2</v>
      </c>
      <c r="BJ43">
        <f t="shared" si="184"/>
        <v>-2.3199999999999998E-2</v>
      </c>
      <c r="BK43">
        <f t="shared" si="184"/>
        <v>-3.0249999999999999E-2</v>
      </c>
      <c r="BL43">
        <f t="shared" si="184"/>
        <v>-3.78E-2</v>
      </c>
      <c r="BM43">
        <f t="shared" si="132"/>
        <v>-7.2806399999999993E-2</v>
      </c>
      <c r="BN43">
        <f t="shared" ref="BN43:BS58" si="185">$D$23*($F43+BN$25)^2-$BM43</f>
        <v>-1.5958000000000014E-2</v>
      </c>
      <c r="BO43">
        <f t="shared" si="185"/>
        <v>-3.3496000000000012E-2</v>
      </c>
      <c r="BP43">
        <f t="shared" si="185"/>
        <v>-5.2613999999999994E-2</v>
      </c>
      <c r="BQ43">
        <f t="shared" si="185"/>
        <v>-7.3311999999999988E-2</v>
      </c>
      <c r="BR43">
        <f t="shared" si="185"/>
        <v>-9.5590000000000008E-2</v>
      </c>
      <c r="BS43">
        <f t="shared" si="185"/>
        <v>-0.119448</v>
      </c>
      <c r="BU43">
        <v>0.02</v>
      </c>
      <c r="BV43" s="37">
        <f t="shared" ref="BV43:CA43" si="186">(CD28/CD35/CD35+CL28/CL35/CL35)/CL43</f>
        <v>-2.832414038413974E-5</v>
      </c>
      <c r="BW43" s="37">
        <f t="shared" si="186"/>
        <v>-3.30757191512985E-5</v>
      </c>
      <c r="BX43" s="37">
        <f t="shared" si="186"/>
        <v>-6.8243196743492175E-5</v>
      </c>
      <c r="BY43" s="37">
        <f t="shared" si="186"/>
        <v>-1.0341018537160759E-4</v>
      </c>
      <c r="BZ43" s="37">
        <f t="shared" si="186"/>
        <v>-1.3857661764398859E-4</v>
      </c>
      <c r="CA43" s="37">
        <f t="shared" si="186"/>
        <v>-1.7374249598654486E-4</v>
      </c>
      <c r="CD43" s="37">
        <f t="shared" ref="CD43:CD47" si="187">SQRT(1/CL43)</f>
        <v>4.3239019102066375E-5</v>
      </c>
      <c r="CE43" s="37">
        <f t="shared" si="178"/>
        <v>4.3804952741695429E-5</v>
      </c>
      <c r="CF43" s="37">
        <f t="shared" si="179"/>
        <v>4.4731717186354889E-5</v>
      </c>
      <c r="CG43" s="37">
        <f t="shared" si="180"/>
        <v>4.5997694918767834E-5</v>
      </c>
      <c r="CH43" s="37">
        <f t="shared" si="181"/>
        <v>4.7575793745628914E-5</v>
      </c>
      <c r="CI43" s="37">
        <f t="shared" si="182"/>
        <v>4.943609516344679E-5</v>
      </c>
      <c r="CL43">
        <f t="shared" ref="CL43:CQ43" si="188">1/BV35/BV35+1/CD35/CD35+1/CL35/CL35</f>
        <v>534870115.61444205</v>
      </c>
      <c r="CM43">
        <f t="shared" si="188"/>
        <v>521138990.93228364</v>
      </c>
      <c r="CN43">
        <f t="shared" si="188"/>
        <v>499768476.64578229</v>
      </c>
      <c r="CO43">
        <f t="shared" si="188"/>
        <v>472637159.00605673</v>
      </c>
      <c r="CP43">
        <f t="shared" si="188"/>
        <v>441802241.1290524</v>
      </c>
      <c r="CQ43">
        <f t="shared" si="188"/>
        <v>409177439.98145616</v>
      </c>
      <c r="CS43">
        <f t="shared" si="33"/>
        <v>2060</v>
      </c>
      <c r="CT43">
        <f t="shared" si="34"/>
        <v>2.7000000000000015</v>
      </c>
      <c r="CU43">
        <f t="shared" si="35"/>
        <v>0.04</v>
      </c>
      <c r="CV43">
        <f t="shared" si="19"/>
        <v>-5.5840407959275844E-3</v>
      </c>
      <c r="CW43">
        <f t="shared" si="36"/>
        <v>0.8567489612198691</v>
      </c>
      <c r="CX43">
        <f t="shared" si="20"/>
        <v>-2.1284337574924619E-2</v>
      </c>
      <c r="CY43">
        <f t="shared" si="36"/>
        <v>0.61696073108736971</v>
      </c>
      <c r="CZ43">
        <f t="shared" si="21"/>
        <v>2.5838757401483978E-2</v>
      </c>
      <c r="DA43">
        <f t="shared" si="36"/>
        <v>1.7813905628145872</v>
      </c>
      <c r="DB43">
        <f t="shared" si="22"/>
        <v>1.5565236082077508E-2</v>
      </c>
      <c r="DC43">
        <f t="shared" si="37"/>
        <v>1.4176061116547836</v>
      </c>
      <c r="DD43">
        <f t="shared" si="23"/>
        <v>-8.0954261484835997E-3</v>
      </c>
      <c r="DE43">
        <f t="shared" si="38"/>
        <v>0.8328552496579299</v>
      </c>
      <c r="DF43">
        <f t="shared" si="24"/>
        <v>2.1031456982170113E-2</v>
      </c>
      <c r="DG43">
        <f t="shared" si="39"/>
        <v>1.6011050382980063</v>
      </c>
      <c r="DH43">
        <f t="shared" si="25"/>
        <v>-0.10087960913843266</v>
      </c>
      <c r="DI43">
        <f t="shared" si="40"/>
        <v>9.5229863359879999E-2</v>
      </c>
      <c r="DJ43">
        <f t="shared" si="26"/>
        <v>-6.6594307017784959E-2</v>
      </c>
      <c r="DK43">
        <f t="shared" si="41"/>
        <v>0.21564609152035502</v>
      </c>
      <c r="DL43">
        <f t="shared" si="27"/>
        <v>4.7909618981671238E-2</v>
      </c>
      <c r="DM43">
        <f t="shared" si="42"/>
        <v>2.8953731935282145</v>
      </c>
      <c r="DN43">
        <f t="shared" si="145"/>
        <v>-1.944988180799612E-4</v>
      </c>
      <c r="DO43">
        <f t="shared" si="36"/>
        <v>0.99265237578075705</v>
      </c>
      <c r="DP43">
        <f>graph!A50</f>
        <v>2.7000000000000011</v>
      </c>
      <c r="DQ43">
        <f>DS1*graph!B50</f>
        <v>-2.3603204445825408</v>
      </c>
      <c r="DR43">
        <f t="shared" si="29"/>
        <v>-1.9822991535424047E-4</v>
      </c>
      <c r="DS43">
        <f t="shared" si="30"/>
        <v>-2.8318559336320068E-4</v>
      </c>
      <c r="DT43">
        <f t="shared" si="43"/>
        <v>0.99093911127712131</v>
      </c>
      <c r="DU43">
        <f t="shared" si="31"/>
        <v>-0.90608887228786905</v>
      </c>
      <c r="DV43">
        <f t="shared" si="153"/>
        <v>-14.32510387801309</v>
      </c>
      <c r="DW43">
        <f t="shared" si="154"/>
        <v>-0.73476242192429542</v>
      </c>
      <c r="DY43">
        <f t="shared" si="155"/>
        <v>-90.477013664011992</v>
      </c>
      <c r="DZ43">
        <f t="shared" si="156"/>
        <v>-78.435390847964499</v>
      </c>
      <c r="EA43">
        <f t="shared" si="157"/>
        <v>-38.303926891263032</v>
      </c>
      <c r="EB43">
        <f t="shared" si="158"/>
        <v>-16.714475034207009</v>
      </c>
      <c r="EC43">
        <f t="shared" si="159"/>
        <v>-14.32510387801309</v>
      </c>
      <c r="ED43">
        <f t="shared" si="160"/>
        <v>41.760611165478359</v>
      </c>
      <c r="EE43">
        <f t="shared" si="161"/>
        <v>60.110503829800635</v>
      </c>
      <c r="EF43">
        <f t="shared" si="162"/>
        <v>78.139056281458721</v>
      </c>
      <c r="EG43">
        <f t="shared" si="32"/>
        <v>189.53731935282144</v>
      </c>
    </row>
    <row r="44" spans="2:137" x14ac:dyDescent="0.35">
      <c r="B44" t="s">
        <v>353</v>
      </c>
      <c r="C44" s="19">
        <f>regions!B22</f>
        <v>308595</v>
      </c>
      <c r="D44" s="19">
        <f>regions!C22</f>
        <v>1277265951.2394526</v>
      </c>
      <c r="E44" s="8">
        <f>regions!D22</f>
        <v>4138.971633498445</v>
      </c>
      <c r="F44" s="1">
        <f>regions!Z22</f>
        <v>25.3</v>
      </c>
      <c r="G44" s="8"/>
      <c r="H44" s="8"/>
      <c r="I44">
        <f t="shared" si="113"/>
        <v>0</v>
      </c>
      <c r="J44">
        <f t="shared" si="163"/>
        <v>0</v>
      </c>
      <c r="K44">
        <f t="shared" si="163"/>
        <v>0</v>
      </c>
      <c r="L44">
        <f t="shared" si="163"/>
        <v>0</v>
      </c>
      <c r="M44">
        <f t="shared" si="163"/>
        <v>0</v>
      </c>
      <c r="N44">
        <f t="shared" si="163"/>
        <v>0</v>
      </c>
      <c r="O44">
        <f t="shared" si="163"/>
        <v>0</v>
      </c>
      <c r="P44">
        <f t="shared" si="115"/>
        <v>-0.25603600000000004</v>
      </c>
      <c r="Q44">
        <f t="shared" si="164"/>
        <v>-2.0639999999999992E-2</v>
      </c>
      <c r="R44">
        <f t="shared" si="164"/>
        <v>-4.2080000000000006E-2</v>
      </c>
      <c r="S44">
        <f t="shared" si="164"/>
        <v>-6.4319999999999988E-2</v>
      </c>
      <c r="T44">
        <f t="shared" si="164"/>
        <v>-8.7359999999999993E-2</v>
      </c>
      <c r="U44">
        <f t="shared" si="164"/>
        <v>-0.11119999999999997</v>
      </c>
      <c r="V44">
        <f t="shared" si="164"/>
        <v>-0.13584000000000002</v>
      </c>
      <c r="W44">
        <f t="shared" si="117"/>
        <v>-0.32004500000000002</v>
      </c>
      <c r="X44">
        <f t="shared" si="165"/>
        <v>-2.579999999999999E-2</v>
      </c>
      <c r="Y44">
        <f t="shared" si="165"/>
        <v>-5.2600000000000036E-2</v>
      </c>
      <c r="Z44">
        <f t="shared" si="165"/>
        <v>-8.0399999999999971E-2</v>
      </c>
      <c r="AA44">
        <f t="shared" si="165"/>
        <v>-0.10919999999999996</v>
      </c>
      <c r="AB44">
        <f t="shared" si="165"/>
        <v>-0.13900000000000001</v>
      </c>
      <c r="AC44">
        <f t="shared" si="165"/>
        <v>-0.16980000000000001</v>
      </c>
      <c r="AD44">
        <f t="shared" si="119"/>
        <v>-0.28996077000000003</v>
      </c>
      <c r="AE44">
        <f t="shared" si="166"/>
        <v>-2.3374799999999973E-2</v>
      </c>
      <c r="AF44">
        <f t="shared" si="166"/>
        <v>-4.765560000000002E-2</v>
      </c>
      <c r="AG44">
        <f t="shared" si="166"/>
        <v>-7.2842399999999974E-2</v>
      </c>
      <c r="AH44">
        <f t="shared" si="166"/>
        <v>-9.8935200000000001E-2</v>
      </c>
      <c r="AI44">
        <f t="shared" si="166"/>
        <v>-0.12593399999999999</v>
      </c>
      <c r="AJ44">
        <f t="shared" si="166"/>
        <v>-0.1538388</v>
      </c>
      <c r="AK44">
        <f t="shared" si="121"/>
        <v>-0.32644590000000007</v>
      </c>
      <c r="AL44">
        <f t="shared" si="167"/>
        <v>-2.6316000000000006E-2</v>
      </c>
      <c r="AM44">
        <f t="shared" si="167"/>
        <v>-5.3651999999999977E-2</v>
      </c>
      <c r="AN44">
        <f t="shared" si="167"/>
        <v>-8.200799999999997E-2</v>
      </c>
      <c r="AO44">
        <f t="shared" si="167"/>
        <v>-0.11138399999999998</v>
      </c>
      <c r="AP44">
        <f t="shared" si="167"/>
        <v>-0.14177999999999996</v>
      </c>
      <c r="AQ44">
        <f t="shared" si="167"/>
        <v>-0.17319600000000002</v>
      </c>
      <c r="AR44">
        <f t="shared" si="123"/>
        <v>-0.48710849000000001</v>
      </c>
      <c r="AS44">
        <f t="shared" si="168"/>
        <v>-3.9267599999999958E-2</v>
      </c>
      <c r="AT44">
        <f t="shared" si="168"/>
        <v>-8.0057200000000051E-2</v>
      </c>
      <c r="AU44">
        <f t="shared" si="168"/>
        <v>-0.12236879999999994</v>
      </c>
      <c r="AV44">
        <f t="shared" si="168"/>
        <v>-0.16620239999999997</v>
      </c>
      <c r="AW44">
        <f t="shared" si="168"/>
        <v>-0.21155800000000002</v>
      </c>
      <c r="AX44">
        <f t="shared" si="168"/>
        <v>-0.25843559999999999</v>
      </c>
      <c r="AY44">
        <f t="shared" si="128"/>
        <v>-0.13441890000000001</v>
      </c>
      <c r="AZ44">
        <f t="shared" si="129"/>
        <v>-1.0836000000000012E-2</v>
      </c>
      <c r="BA44">
        <f t="shared" si="129"/>
        <v>-2.2092000000000028E-2</v>
      </c>
      <c r="BB44">
        <f t="shared" si="129"/>
        <v>-3.3767999999999992E-2</v>
      </c>
      <c r="BC44">
        <f t="shared" si="129"/>
        <v>-4.5863999999999988E-2</v>
      </c>
      <c r="BD44">
        <f t="shared" si="129"/>
        <v>-5.8380000000000015E-2</v>
      </c>
      <c r="BE44">
        <f t="shared" si="129"/>
        <v>-7.1316000000000018E-2</v>
      </c>
      <c r="BF44">
        <f t="shared" si="130"/>
        <v>-0.16002250000000001</v>
      </c>
      <c r="BG44">
        <f t="shared" si="184"/>
        <v>-1.2899999999999995E-2</v>
      </c>
      <c r="BH44">
        <f t="shared" si="184"/>
        <v>-2.6300000000000018E-2</v>
      </c>
      <c r="BI44">
        <f t="shared" si="184"/>
        <v>-4.0199999999999986E-2</v>
      </c>
      <c r="BJ44">
        <f t="shared" si="184"/>
        <v>-5.4599999999999982E-2</v>
      </c>
      <c r="BK44">
        <f t="shared" si="184"/>
        <v>-6.9500000000000006E-2</v>
      </c>
      <c r="BL44">
        <f t="shared" si="184"/>
        <v>-8.4900000000000003E-2</v>
      </c>
      <c r="BM44">
        <f t="shared" si="132"/>
        <v>-0.50567110000000004</v>
      </c>
      <c r="BN44">
        <f t="shared" si="185"/>
        <v>-4.0764000000000022E-2</v>
      </c>
      <c r="BO44">
        <f t="shared" si="185"/>
        <v>-8.3108000000000071E-2</v>
      </c>
      <c r="BP44">
        <f t="shared" si="185"/>
        <v>-0.12703199999999992</v>
      </c>
      <c r="BQ44">
        <f t="shared" si="185"/>
        <v>-0.17253600000000002</v>
      </c>
      <c r="BR44">
        <f t="shared" si="185"/>
        <v>-0.21962000000000004</v>
      </c>
      <c r="BS44">
        <f t="shared" si="185"/>
        <v>-0.26828399999999997</v>
      </c>
      <c r="BU44">
        <v>0.03</v>
      </c>
      <c r="BV44" s="37">
        <f t="shared" ref="BV44:CA44" si="189">(CD29/CD36/CD36+CL29/CL36/CL36)/CL44</f>
        <v>-4.2485018476276069E-5</v>
      </c>
      <c r="BW44" s="37">
        <f t="shared" si="189"/>
        <v>-4.9613221258925184E-5</v>
      </c>
      <c r="BX44" s="37">
        <f t="shared" si="189"/>
        <v>-1.023644532523817E-4</v>
      </c>
      <c r="BY44" s="37">
        <f t="shared" si="189"/>
        <v>-1.55114969922251E-4</v>
      </c>
      <c r="BZ44" s="37">
        <f t="shared" si="189"/>
        <v>-2.0786464374506657E-4</v>
      </c>
      <c r="CA44" s="37">
        <f t="shared" si="189"/>
        <v>-2.6061347819309724E-4</v>
      </c>
      <c r="CD44" s="37">
        <f t="shared" si="187"/>
        <v>6.485761872975018E-5</v>
      </c>
      <c r="CE44" s="37">
        <f t="shared" si="178"/>
        <v>6.5707192399654625E-5</v>
      </c>
      <c r="CF44" s="37">
        <f t="shared" si="179"/>
        <v>6.7097463738141297E-5</v>
      </c>
      <c r="CG44" s="37">
        <f t="shared" si="180"/>
        <v>6.8996473847599912E-5</v>
      </c>
      <c r="CH44" s="37">
        <f t="shared" si="181"/>
        <v>7.1363642086891645E-5</v>
      </c>
      <c r="CI44" s="37">
        <f t="shared" si="182"/>
        <v>7.4154104932138711E-5</v>
      </c>
      <c r="CL44">
        <f t="shared" ref="CL44:CQ44" si="190">1/BV36/BV36+1/CD36/CD36+1/CL36/CL36</f>
        <v>237726721.64273983</v>
      </c>
      <c r="CM44">
        <f t="shared" si="190"/>
        <v>231618998.1283325</v>
      </c>
      <c r="CN44">
        <f t="shared" si="190"/>
        <v>222120064.75753802</v>
      </c>
      <c r="CO44">
        <f t="shared" si="190"/>
        <v>210061376.84335858</v>
      </c>
      <c r="CP44">
        <f t="shared" si="190"/>
        <v>196356818.68143901</v>
      </c>
      <c r="CQ44">
        <f t="shared" si="190"/>
        <v>181856825.45829749</v>
      </c>
      <c r="CS44">
        <f t="shared" si="33"/>
        <v>2061</v>
      </c>
      <c r="CT44">
        <f t="shared" si="34"/>
        <v>2.7400000000000015</v>
      </c>
      <c r="CU44">
        <f t="shared" si="35"/>
        <v>0.04</v>
      </c>
      <c r="CV44">
        <f t="shared" si="19"/>
        <v>-5.669309960586259E-3</v>
      </c>
      <c r="CW44">
        <f t="shared" si="36"/>
        <v>0.85196484006854878</v>
      </c>
      <c r="CX44">
        <f t="shared" si="20"/>
        <v>-2.1833170944223976E-2</v>
      </c>
      <c r="CY44">
        <f t="shared" si="36"/>
        <v>0.60382913061643384</v>
      </c>
      <c r="CZ44">
        <f t="shared" si="21"/>
        <v>2.6505030064809532E-2</v>
      </c>
      <c r="DA44">
        <f t="shared" si="36"/>
        <v>1.8274194814044464</v>
      </c>
      <c r="DB44">
        <f t="shared" si="22"/>
        <v>1.5966597925395141E-2</v>
      </c>
      <c r="DC44">
        <f t="shared" si="37"/>
        <v>1.4396714854540862</v>
      </c>
      <c r="DD44">
        <f t="shared" si="23"/>
        <v>-8.3041730729930471E-3</v>
      </c>
      <c r="DE44">
        <f t="shared" si="38"/>
        <v>0.82611293149194731</v>
      </c>
      <c r="DF44">
        <f t="shared" si="24"/>
        <v>2.1573769626675319E-2</v>
      </c>
      <c r="DG44">
        <f t="shared" si="39"/>
        <v>1.6347786100349067</v>
      </c>
      <c r="DH44">
        <f t="shared" si="25"/>
        <v>-0.10348086912983008</v>
      </c>
      <c r="DI44">
        <f t="shared" si="40"/>
        <v>8.562311196582896E-2</v>
      </c>
      <c r="DJ44">
        <f t="shared" si="26"/>
        <v>-6.8311493553098415E-2</v>
      </c>
      <c r="DK44">
        <f t="shared" si="41"/>
        <v>0.20128528949446314</v>
      </c>
      <c r="DL44">
        <f t="shared" si="27"/>
        <v>4.9145006153811226E-2</v>
      </c>
      <c r="DM44">
        <f t="shared" si="42"/>
        <v>3.034089420039896</v>
      </c>
      <c r="DN44">
        <f t="shared" si="145"/>
        <v>-1.9517330171126294E-4</v>
      </c>
      <c r="DO44">
        <f t="shared" si="36"/>
        <v>0.99245930606690336</v>
      </c>
      <c r="DQ44">
        <f>(DQ48-DQ43)/5+DQ43</f>
        <v>-2.4105719324368544</v>
      </c>
      <c r="DR44">
        <f t="shared" si="29"/>
        <v>-1.9826921824459045E-4</v>
      </c>
      <c r="DS44">
        <f t="shared" si="30"/>
        <v>-2.8324174034941491E-4</v>
      </c>
      <c r="DT44">
        <f t="shared" si="43"/>
        <v>0.99065849159690755</v>
      </c>
      <c r="DU44">
        <f t="shared" si="31"/>
        <v>-0.93415084030924467</v>
      </c>
      <c r="DV44">
        <f t="shared" si="153"/>
        <v>-14.803515993145123</v>
      </c>
      <c r="DW44">
        <f t="shared" si="154"/>
        <v>-0.75406939330966427</v>
      </c>
      <c r="DY44">
        <f t="shared" si="155"/>
        <v>-91.437688803417103</v>
      </c>
      <c r="DZ44">
        <f t="shared" si="156"/>
        <v>-79.871471050553694</v>
      </c>
      <c r="EA44">
        <f t="shared" si="157"/>
        <v>-39.617086938356614</v>
      </c>
      <c r="EB44">
        <f t="shared" si="158"/>
        <v>-17.388706850805271</v>
      </c>
      <c r="EC44">
        <f t="shared" si="159"/>
        <v>-14.803515993145123</v>
      </c>
      <c r="ED44">
        <f t="shared" si="160"/>
        <v>43.967148545408619</v>
      </c>
      <c r="EE44">
        <f t="shared" si="161"/>
        <v>63.477861003490666</v>
      </c>
      <c r="EF44">
        <f t="shared" si="162"/>
        <v>82.741948140444649</v>
      </c>
      <c r="EG44">
        <f t="shared" si="32"/>
        <v>203.40894200398961</v>
      </c>
    </row>
    <row r="45" spans="2:137" x14ac:dyDescent="0.35">
      <c r="B45" t="s">
        <v>125</v>
      </c>
      <c r="C45" s="19">
        <f>regions!B23</f>
        <v>9509798</v>
      </c>
      <c r="D45" s="19">
        <f>regions!C23</f>
        <v>5230812507.6709518</v>
      </c>
      <c r="E45" s="8">
        <f>regions!D23</f>
        <v>550.04454433952765</v>
      </c>
      <c r="F45" s="1">
        <f>regions!Z23</f>
        <v>27.5</v>
      </c>
      <c r="G45" s="8"/>
      <c r="H45" s="8"/>
      <c r="I45">
        <f t="shared" si="113"/>
        <v>-0.38334999999999997</v>
      </c>
      <c r="J45">
        <f t="shared" si="163"/>
        <v>-1.3940000000000008E-2</v>
      </c>
      <c r="K45">
        <f t="shared" si="163"/>
        <v>-2.7880000000000016E-2</v>
      </c>
      <c r="L45">
        <f t="shared" si="163"/>
        <v>-4.1820000000000024E-2</v>
      </c>
      <c r="M45">
        <f t="shared" si="163"/>
        <v>-5.5760000000000032E-2</v>
      </c>
      <c r="N45">
        <f t="shared" si="163"/>
        <v>-6.9699999999999984E-2</v>
      </c>
      <c r="O45">
        <f t="shared" si="163"/>
        <v>-8.3639999999999992E-2</v>
      </c>
      <c r="P45">
        <f t="shared" si="115"/>
        <v>-0.30249999999999999</v>
      </c>
      <c r="Q45">
        <f t="shared" si="164"/>
        <v>-2.2400000000000031E-2</v>
      </c>
      <c r="R45">
        <f t="shared" si="164"/>
        <v>-4.5600000000000029E-2</v>
      </c>
      <c r="S45">
        <f t="shared" si="164"/>
        <v>-6.9600000000000051E-2</v>
      </c>
      <c r="T45">
        <f t="shared" si="164"/>
        <v>-9.4400000000000039E-2</v>
      </c>
      <c r="U45">
        <f t="shared" si="164"/>
        <v>-0.12000000000000005</v>
      </c>
      <c r="V45">
        <f t="shared" si="164"/>
        <v>-0.14640000000000003</v>
      </c>
      <c r="W45">
        <f t="shared" si="117"/>
        <v>-0.37812499999999999</v>
      </c>
      <c r="X45">
        <f t="shared" si="165"/>
        <v>-2.8000000000000025E-2</v>
      </c>
      <c r="Y45">
        <f t="shared" si="165"/>
        <v>-5.6999999999999995E-2</v>
      </c>
      <c r="Z45">
        <f t="shared" si="165"/>
        <v>-8.7000000000000022E-2</v>
      </c>
      <c r="AA45">
        <f t="shared" si="165"/>
        <v>-0.11799999999999999</v>
      </c>
      <c r="AB45">
        <f t="shared" si="165"/>
        <v>-0.14999999999999997</v>
      </c>
      <c r="AC45">
        <f t="shared" si="165"/>
        <v>-0.183</v>
      </c>
      <c r="AD45">
        <f t="shared" si="119"/>
        <v>-0.34258125</v>
      </c>
      <c r="AE45">
        <f t="shared" si="166"/>
        <v>-2.5368000000000002E-2</v>
      </c>
      <c r="AF45">
        <f t="shared" si="166"/>
        <v>-5.1642000000000021E-2</v>
      </c>
      <c r="AG45">
        <f t="shared" si="166"/>
        <v>-7.8822000000000003E-2</v>
      </c>
      <c r="AH45">
        <f t="shared" si="166"/>
        <v>-0.106908</v>
      </c>
      <c r="AI45">
        <f t="shared" si="166"/>
        <v>-0.13590000000000002</v>
      </c>
      <c r="AJ45">
        <f t="shared" si="166"/>
        <v>-0.16579800000000006</v>
      </c>
      <c r="AK45">
        <f t="shared" si="121"/>
        <v>-0.38568750000000002</v>
      </c>
      <c r="AL45">
        <f t="shared" si="167"/>
        <v>-2.856000000000003E-2</v>
      </c>
      <c r="AM45">
        <f t="shared" si="167"/>
        <v>-5.8140000000000025E-2</v>
      </c>
      <c r="AN45">
        <f t="shared" si="167"/>
        <v>-8.8740000000000041E-2</v>
      </c>
      <c r="AO45">
        <f t="shared" si="167"/>
        <v>-0.12035999999999997</v>
      </c>
      <c r="AP45">
        <f t="shared" si="167"/>
        <v>-0.15299999999999997</v>
      </c>
      <c r="AQ45">
        <f t="shared" si="167"/>
        <v>-0.18665999999999999</v>
      </c>
      <c r="AR45">
        <f t="shared" si="123"/>
        <v>-0.57550625</v>
      </c>
      <c r="AS45">
        <f t="shared" si="168"/>
        <v>-4.2615999999999987E-2</v>
      </c>
      <c r="AT45">
        <f t="shared" si="168"/>
        <v>-8.6753999999999998E-2</v>
      </c>
      <c r="AU45">
        <f t="shared" si="168"/>
        <v>-0.13241399999999992</v>
      </c>
      <c r="AV45">
        <f t="shared" si="168"/>
        <v>-0.17959599999999998</v>
      </c>
      <c r="AW45">
        <f t="shared" si="168"/>
        <v>-0.22829999999999995</v>
      </c>
      <c r="AX45">
        <f t="shared" si="168"/>
        <v>-0.27852599999999994</v>
      </c>
      <c r="AY45">
        <f t="shared" si="128"/>
        <v>-0.1588125</v>
      </c>
      <c r="AZ45">
        <f t="shared" si="129"/>
        <v>-1.176000000000002E-2</v>
      </c>
      <c r="BA45">
        <f t="shared" si="129"/>
        <v>-2.3940000000000017E-2</v>
      </c>
      <c r="BB45">
        <f t="shared" si="129"/>
        <v>-3.6540000000000017E-2</v>
      </c>
      <c r="BC45">
        <f t="shared" si="129"/>
        <v>-4.9560000000000021E-2</v>
      </c>
      <c r="BD45">
        <f t="shared" si="129"/>
        <v>-6.3E-2</v>
      </c>
      <c r="BE45">
        <f t="shared" si="129"/>
        <v>-7.6860000000000012E-2</v>
      </c>
      <c r="BF45">
        <f t="shared" si="130"/>
        <v>-0.18906249999999999</v>
      </c>
      <c r="BG45">
        <f t="shared" si="184"/>
        <v>-1.4000000000000012E-2</v>
      </c>
      <c r="BH45">
        <f t="shared" si="184"/>
        <v>-2.8499999999999998E-2</v>
      </c>
      <c r="BI45">
        <f t="shared" si="184"/>
        <v>-4.3500000000000011E-2</v>
      </c>
      <c r="BJ45">
        <f t="shared" si="184"/>
        <v>-5.8999999999999997E-2</v>
      </c>
      <c r="BK45">
        <f t="shared" si="184"/>
        <v>-7.4999999999999983E-2</v>
      </c>
      <c r="BL45">
        <f t="shared" si="184"/>
        <v>-9.1499999999999998E-2</v>
      </c>
      <c r="BM45">
        <f t="shared" si="132"/>
        <v>-0.59743749999999995</v>
      </c>
      <c r="BN45">
        <f t="shared" si="185"/>
        <v>-4.4240000000000057E-2</v>
      </c>
      <c r="BO45">
        <f t="shared" si="185"/>
        <v>-9.0060000000000029E-2</v>
      </c>
      <c r="BP45">
        <f t="shared" si="185"/>
        <v>-0.13746000000000003</v>
      </c>
      <c r="BQ45">
        <f t="shared" si="185"/>
        <v>-0.18644000000000005</v>
      </c>
      <c r="BR45">
        <f t="shared" si="185"/>
        <v>-0.2370000000000001</v>
      </c>
      <c r="BS45">
        <f t="shared" si="185"/>
        <v>-0.28914000000000006</v>
      </c>
      <c r="BU45">
        <v>0.04</v>
      </c>
      <c r="BV45" s="37">
        <f t="shared" ref="BV45:CA45" si="191">(CD30/CD37/CD37+CL30/CL37/CL37)/CL45</f>
        <v>-5.6644468280594282E-5</v>
      </c>
      <c r="BW45" s="37">
        <f t="shared" si="191"/>
        <v>-6.615029457608173E-5</v>
      </c>
      <c r="BX45" s="37">
        <f t="shared" si="191"/>
        <v>-1.3648529960119768E-4</v>
      </c>
      <c r="BY45" s="37">
        <f t="shared" si="191"/>
        <v>-2.0681938475074942E-4</v>
      </c>
      <c r="BZ45" s="37">
        <f t="shared" si="191"/>
        <v>-2.7715233060595138E-4</v>
      </c>
      <c r="CA45" s="37">
        <f t="shared" si="191"/>
        <v>-3.4748414147295424E-4</v>
      </c>
      <c r="CD45" s="37">
        <f t="shared" si="187"/>
        <v>8.6475128124615451E-5</v>
      </c>
      <c r="CE45" s="37">
        <f t="shared" si="178"/>
        <v>8.7609148113577088E-5</v>
      </c>
      <c r="CF45" s="37">
        <f t="shared" si="179"/>
        <v>8.946307586453592E-5</v>
      </c>
      <c r="CG45" s="37">
        <f t="shared" si="180"/>
        <v>9.1995170548524023E-5</v>
      </c>
      <c r="CH45" s="37">
        <f t="shared" si="181"/>
        <v>9.5151432194493773E-5</v>
      </c>
      <c r="CI45" s="37">
        <f t="shared" si="182"/>
        <v>9.8872069327620709E-5</v>
      </c>
      <c r="CL45">
        <f t="shared" ref="CL45:CQ45" si="192">1/BV37/BV37+1/CD37/CD37+1/CL37/CL37</f>
        <v>133726528.83683814</v>
      </c>
      <c r="CM45">
        <f t="shared" si="192"/>
        <v>130287000.33257139</v>
      </c>
      <c r="CN45">
        <f t="shared" si="192"/>
        <v>124943120.53235295</v>
      </c>
      <c r="CO45">
        <f t="shared" si="192"/>
        <v>118159853.06510104</v>
      </c>
      <c r="CP45">
        <f t="shared" si="192"/>
        <v>110450920.8155352</v>
      </c>
      <c r="CQ45">
        <f t="shared" si="192"/>
        <v>102294610.37043631</v>
      </c>
      <c r="CS45">
        <f t="shared" si="33"/>
        <v>2062</v>
      </c>
      <c r="CT45">
        <f t="shared" si="34"/>
        <v>2.7800000000000016</v>
      </c>
      <c r="CU45">
        <f t="shared" si="35"/>
        <v>0.04</v>
      </c>
      <c r="CV45">
        <f t="shared" si="19"/>
        <v>-5.754653362744163E-3</v>
      </c>
      <c r="CW45">
        <f t="shared" si="36"/>
        <v>0.84713478731467895</v>
      </c>
      <c r="CX45">
        <f t="shared" si="20"/>
        <v>-2.2388822119353141E-2</v>
      </c>
      <c r="CY45">
        <f t="shared" si="36"/>
        <v>0.5906456259865831</v>
      </c>
      <c r="CZ45">
        <f t="shared" si="21"/>
        <v>2.7179579407182609E-2</v>
      </c>
      <c r="DA45">
        <f t="shared" si="36"/>
        <v>1.87585528970009</v>
      </c>
      <c r="DB45">
        <f t="shared" si="22"/>
        <v>1.6372945630120449E-2</v>
      </c>
      <c r="DC45">
        <f t="shared" si="37"/>
        <v>1.4626581412069879</v>
      </c>
      <c r="DD45">
        <f t="shared" si="23"/>
        <v>-8.5155131269995053E-3</v>
      </c>
      <c r="DE45">
        <f t="shared" si="38"/>
        <v>0.81925274673100057</v>
      </c>
      <c r="DF45">
        <f t="shared" si="24"/>
        <v>2.2122819074217856E-2</v>
      </c>
      <c r="DG45">
        <f t="shared" si="39"/>
        <v>1.6700469471584163</v>
      </c>
      <c r="DH45">
        <f t="shared" si="25"/>
        <v>-0.10611444290994052</v>
      </c>
      <c r="DI45">
        <f t="shared" si="40"/>
        <v>7.6762757922004224E-2</v>
      </c>
      <c r="DJ45">
        <f t="shared" si="26"/>
        <v>-7.0050011598167317E-2</v>
      </c>
      <c r="DK45">
        <f t="shared" si="41"/>
        <v>0.18753519073882857</v>
      </c>
      <c r="DL45">
        <f t="shared" si="27"/>
        <v>5.039573975044985E-2</v>
      </c>
      <c r="DM45">
        <f t="shared" si="42"/>
        <v>3.1831997632589704</v>
      </c>
      <c r="DN45">
        <f t="shared" si="145"/>
        <v>-1.9584778534256471E-4</v>
      </c>
      <c r="DO45">
        <f t="shared" si="36"/>
        <v>0.99226560450732426</v>
      </c>
      <c r="DQ45">
        <f>(DQ48-DQ43)/5+DQ44</f>
        <v>-2.4608234202911681</v>
      </c>
      <c r="DR45">
        <f t="shared" si="29"/>
        <v>-1.9830853672313776E-4</v>
      </c>
      <c r="DS45">
        <f t="shared" si="30"/>
        <v>-2.8329790960448251E-4</v>
      </c>
      <c r="DT45">
        <f t="shared" si="43"/>
        <v>0.99037789576165569</v>
      </c>
      <c r="DU45">
        <f t="shared" si="31"/>
        <v>-0.96221042383443089</v>
      </c>
      <c r="DV45">
        <f t="shared" si="153"/>
        <v>-15.286521268532105</v>
      </c>
      <c r="DW45">
        <f t="shared" si="154"/>
        <v>-0.77343954926757386</v>
      </c>
      <c r="DY45">
        <f t="shared" si="155"/>
        <v>-92.323724207799572</v>
      </c>
      <c r="DZ45">
        <f t="shared" si="156"/>
        <v>-81.246480926117144</v>
      </c>
      <c r="EA45">
        <f t="shared" si="157"/>
        <v>-40.935437401341687</v>
      </c>
      <c r="EB45">
        <f t="shared" si="158"/>
        <v>-18.074725326899944</v>
      </c>
      <c r="EC45">
        <f t="shared" si="159"/>
        <v>-15.286521268532105</v>
      </c>
      <c r="ED45">
        <f t="shared" si="160"/>
        <v>46.265814120698792</v>
      </c>
      <c r="EE45">
        <f t="shared" si="161"/>
        <v>67.004694715841623</v>
      </c>
      <c r="EF45">
        <f t="shared" si="162"/>
        <v>87.585528970008994</v>
      </c>
      <c r="EG45">
        <f t="shared" si="32"/>
        <v>218.31997632589704</v>
      </c>
    </row>
    <row r="46" spans="2:137" x14ac:dyDescent="0.35">
      <c r="B46" t="s">
        <v>354</v>
      </c>
      <c r="C46" s="19">
        <f>regions!B24</f>
        <v>65124</v>
      </c>
      <c r="D46" s="19">
        <f>regions!C24</f>
        <v>4975071875.076025</v>
      </c>
      <c r="E46" s="8">
        <f>regions!D24</f>
        <v>76393.831384374804</v>
      </c>
      <c r="F46" s="1">
        <f>regions!Z24</f>
        <v>21.3</v>
      </c>
      <c r="G46" s="8"/>
      <c r="H46" s="8"/>
      <c r="I46">
        <f t="shared" si="113"/>
        <v>0</v>
      </c>
      <c r="J46">
        <f t="shared" ref="J46:O55" si="193">IF($E46&lt;$E$24,$D$11*($F46+J$25)-$I46,0)</f>
        <v>0</v>
      </c>
      <c r="K46">
        <f t="shared" si="193"/>
        <v>0</v>
      </c>
      <c r="L46">
        <f t="shared" si="193"/>
        <v>0</v>
      </c>
      <c r="M46">
        <f t="shared" si="193"/>
        <v>0</v>
      </c>
      <c r="N46">
        <f t="shared" si="193"/>
        <v>0</v>
      </c>
      <c r="O46">
        <f t="shared" si="193"/>
        <v>0</v>
      </c>
      <c r="P46">
        <f t="shared" si="115"/>
        <v>-0.18147600000000003</v>
      </c>
      <c r="Q46">
        <f t="shared" ref="Q46:V55" si="194">$D$13*($F46+Q$25)^2-$P46</f>
        <v>-1.7439999999999983E-2</v>
      </c>
      <c r="R46">
        <f t="shared" si="194"/>
        <v>-3.567999999999999E-2</v>
      </c>
      <c r="S46">
        <f t="shared" si="194"/>
        <v>-5.4719999999999991E-2</v>
      </c>
      <c r="T46">
        <f t="shared" si="194"/>
        <v>-7.4560000000000015E-2</v>
      </c>
      <c r="U46">
        <f t="shared" si="194"/>
        <v>-9.5200000000000007E-2</v>
      </c>
      <c r="V46">
        <f t="shared" si="194"/>
        <v>-0.11664000000000002</v>
      </c>
      <c r="W46">
        <f t="shared" si="117"/>
        <v>-0.22684500000000002</v>
      </c>
      <c r="X46">
        <f t="shared" ref="X46:AC55" si="195">$D$15*($F46+X$25)^2-$W46</f>
        <v>-2.1799999999999986E-2</v>
      </c>
      <c r="Y46">
        <f t="shared" si="195"/>
        <v>-4.4599999999999973E-2</v>
      </c>
      <c r="Z46">
        <f t="shared" si="195"/>
        <v>-6.8400000000000016E-2</v>
      </c>
      <c r="AA46">
        <f t="shared" si="195"/>
        <v>-9.3200000000000005E-2</v>
      </c>
      <c r="AB46">
        <f t="shared" si="195"/>
        <v>-0.11899999999999999</v>
      </c>
      <c r="AC46">
        <f t="shared" si="195"/>
        <v>-0.14580000000000004</v>
      </c>
      <c r="AD46">
        <f t="shared" si="119"/>
        <v>-0.20552157000000001</v>
      </c>
      <c r="AE46">
        <f t="shared" ref="AE46:AJ55" si="196">$D$10*($F46+AE$25)^2-$AD46</f>
        <v>-1.9750799999999985E-2</v>
      </c>
      <c r="AF46">
        <f t="shared" si="196"/>
        <v>-4.0407599999999988E-2</v>
      </c>
      <c r="AG46">
        <f t="shared" si="196"/>
        <v>-6.1970400000000009E-2</v>
      </c>
      <c r="AH46">
        <f t="shared" si="196"/>
        <v>-8.443920000000002E-2</v>
      </c>
      <c r="AI46">
        <f t="shared" si="196"/>
        <v>-0.10781399999999999</v>
      </c>
      <c r="AJ46">
        <f t="shared" si="196"/>
        <v>-0.13209480000000004</v>
      </c>
      <c r="AK46">
        <f t="shared" si="121"/>
        <v>-0.23138190000000006</v>
      </c>
      <c r="AL46">
        <f t="shared" ref="AL46:AQ55" si="197">$D$17*($F46+AL$25)^2-$AK46</f>
        <v>-2.223599999999995E-2</v>
      </c>
      <c r="AM46">
        <f t="shared" si="197"/>
        <v>-4.5491999999999949E-2</v>
      </c>
      <c r="AN46">
        <f t="shared" si="197"/>
        <v>-6.9767999999999969E-2</v>
      </c>
      <c r="AO46">
        <f t="shared" si="197"/>
        <v>-9.506400000000001E-2</v>
      </c>
      <c r="AP46">
        <f t="shared" si="197"/>
        <v>-0.12138000000000002</v>
      </c>
      <c r="AQ46">
        <f t="shared" si="197"/>
        <v>-0.14871599999999999</v>
      </c>
      <c r="AR46">
        <f t="shared" si="123"/>
        <v>-0.34525809000000002</v>
      </c>
      <c r="AS46">
        <f t="shared" ref="AS46:AX55" si="198">$D$8*($F46+AS$25)^2-$AR46</f>
        <v>-3.3179599999999976E-2</v>
      </c>
      <c r="AT46">
        <f t="shared" si="198"/>
        <v>-6.7881199999999975E-2</v>
      </c>
      <c r="AU46">
        <f t="shared" si="198"/>
        <v>-0.10410479999999994</v>
      </c>
      <c r="AV46">
        <f t="shared" si="198"/>
        <v>-0.14185039999999999</v>
      </c>
      <c r="AW46">
        <f t="shared" si="198"/>
        <v>-0.18111799999999995</v>
      </c>
      <c r="AX46">
        <f t="shared" si="198"/>
        <v>-0.22190760000000004</v>
      </c>
      <c r="AY46">
        <f t="shared" si="128"/>
        <v>-9.527490000000001E-2</v>
      </c>
      <c r="AZ46">
        <f t="shared" si="129"/>
        <v>-9.1559999999999975E-3</v>
      </c>
      <c r="BA46">
        <f t="shared" si="129"/>
        <v>-1.8731999999999999E-2</v>
      </c>
      <c r="BB46">
        <f t="shared" si="129"/>
        <v>-2.8728000000000004E-2</v>
      </c>
      <c r="BC46">
        <f t="shared" si="129"/>
        <v>-3.9143999999999998E-2</v>
      </c>
      <c r="BD46">
        <f t="shared" si="129"/>
        <v>-4.9980000000000011E-2</v>
      </c>
      <c r="BE46">
        <f t="shared" si="129"/>
        <v>-6.1236000000000027E-2</v>
      </c>
      <c r="BF46">
        <f t="shared" si="130"/>
        <v>-0.11342250000000001</v>
      </c>
      <c r="BG46">
        <f t="shared" si="184"/>
        <v>-1.0899999999999993E-2</v>
      </c>
      <c r="BH46">
        <f t="shared" si="184"/>
        <v>-2.2299999999999986E-2</v>
      </c>
      <c r="BI46">
        <f t="shared" si="184"/>
        <v>-3.4200000000000008E-2</v>
      </c>
      <c r="BJ46">
        <f t="shared" si="184"/>
        <v>-4.6600000000000003E-2</v>
      </c>
      <c r="BK46">
        <f t="shared" si="184"/>
        <v>-5.9499999999999997E-2</v>
      </c>
      <c r="BL46">
        <f t="shared" si="184"/>
        <v>-7.290000000000002E-2</v>
      </c>
      <c r="BM46">
        <f t="shared" si="132"/>
        <v>-0.35841510000000004</v>
      </c>
      <c r="BN46">
        <f t="shared" si="185"/>
        <v>-3.4443999999999975E-2</v>
      </c>
      <c r="BO46">
        <f t="shared" si="185"/>
        <v>-7.0467999999999975E-2</v>
      </c>
      <c r="BP46">
        <f t="shared" si="185"/>
        <v>-0.10807199999999995</v>
      </c>
      <c r="BQ46">
        <f t="shared" si="185"/>
        <v>-0.147256</v>
      </c>
      <c r="BR46">
        <f t="shared" si="185"/>
        <v>-0.18802000000000002</v>
      </c>
      <c r="BS46">
        <f t="shared" si="185"/>
        <v>-0.23036400000000007</v>
      </c>
      <c r="BU46">
        <v>0.05</v>
      </c>
      <c r="BV46" s="37">
        <f t="shared" ref="BV46:CA46" si="199">(CD31/CD38/CD38+CL31/CL38/CL38)/CL46</f>
        <v>-7.0802017412935356E-5</v>
      </c>
      <c r="BW46" s="37">
        <f t="shared" si="199"/>
        <v>-8.2686796457708258E-5</v>
      </c>
      <c r="BX46" s="37">
        <f t="shared" si="199"/>
        <v>-1.7060559919547294E-4</v>
      </c>
      <c r="BY46" s="37">
        <f t="shared" si="199"/>
        <v>-2.5852330668312305E-4</v>
      </c>
      <c r="BZ46" s="37">
        <f t="shared" si="199"/>
        <v>-3.4643956518808463E-4</v>
      </c>
      <c r="CA46" s="37">
        <f t="shared" si="199"/>
        <v>-4.3435437954616324E-4</v>
      </c>
      <c r="CD46" s="37">
        <f t="shared" si="187"/>
        <v>1.0809118666153096E-4</v>
      </c>
      <c r="CE46" s="37">
        <f t="shared" si="178"/>
        <v>1.0951072542106103E-4</v>
      </c>
      <c r="CF46" s="37">
        <f t="shared" si="179"/>
        <v>1.1182850879752673E-4</v>
      </c>
      <c r="CG46" s="37">
        <f t="shared" si="180"/>
        <v>1.1499375762682574E-4</v>
      </c>
      <c r="CH46" s="37">
        <f t="shared" si="181"/>
        <v>1.1893914466421681E-4</v>
      </c>
      <c r="CI46" s="37">
        <f t="shared" si="182"/>
        <v>1.2358997322953555E-4</v>
      </c>
      <c r="CL46">
        <f t="shared" ref="CL46:CQ46" si="200">1/BV38/BV38+1/CD38/CD38+1/CL38/CL38</f>
        <v>85589291.35359177</v>
      </c>
      <c r="CM46">
        <f t="shared" si="200"/>
        <v>83384761.008045688</v>
      </c>
      <c r="CN46">
        <f t="shared" si="200"/>
        <v>79964077.706163585</v>
      </c>
      <c r="CO46">
        <f t="shared" si="200"/>
        <v>75622576.321498051</v>
      </c>
      <c r="CP46">
        <f t="shared" si="200"/>
        <v>70688762.364609554</v>
      </c>
      <c r="CQ46">
        <f t="shared" si="200"/>
        <v>65468670.810266107</v>
      </c>
      <c r="CS46">
        <f t="shared" si="33"/>
        <v>2063</v>
      </c>
      <c r="CT46">
        <f t="shared" si="34"/>
        <v>2.8200000000000016</v>
      </c>
      <c r="CU46">
        <f t="shared" si="35"/>
        <v>0.04</v>
      </c>
      <c r="CV46">
        <f t="shared" si="19"/>
        <v>-5.8400710024012984E-3</v>
      </c>
      <c r="CW46">
        <f t="shared" si="36"/>
        <v>0.84225982026216095</v>
      </c>
      <c r="CX46">
        <f t="shared" si="20"/>
        <v>-2.2951291100312111E-2</v>
      </c>
      <c r="CY46">
        <f t="shared" si="36"/>
        <v>0.57742176613079554</v>
      </c>
      <c r="CZ46">
        <f t="shared" si="21"/>
        <v>2.7862405428603205E-2</v>
      </c>
      <c r="DA46">
        <f t="shared" si="36"/>
        <v>1.926840247502877</v>
      </c>
      <c r="DB46">
        <f t="shared" si="22"/>
        <v>1.6784279196253426E-2</v>
      </c>
      <c r="DC46">
        <f t="shared" si="37"/>
        <v>1.4866061634284229</v>
      </c>
      <c r="DD46">
        <f t="shared" si="23"/>
        <v>-8.7294463105029758E-3</v>
      </c>
      <c r="DE46">
        <f t="shared" si="38"/>
        <v>0.81227638921188239</v>
      </c>
      <c r="DF46">
        <f t="shared" si="24"/>
        <v>2.2678605324797728E-2</v>
      </c>
      <c r="DG46">
        <f t="shared" si="39"/>
        <v>1.7069930936158517</v>
      </c>
      <c r="DH46">
        <f t="shared" si="25"/>
        <v>-0.10878033047876397</v>
      </c>
      <c r="DI46">
        <f t="shared" si="40"/>
        <v>6.8617120628880118E-2</v>
      </c>
      <c r="DJ46">
        <f t="shared" si="26"/>
        <v>-7.1809861152991664E-2</v>
      </c>
      <c r="DK46">
        <f t="shared" si="41"/>
        <v>0.17439834845250912</v>
      </c>
      <c r="DL46">
        <f t="shared" si="27"/>
        <v>5.1661819771587111E-2</v>
      </c>
      <c r="DM46">
        <f t="shared" si="42"/>
        <v>3.3436194701018627</v>
      </c>
      <c r="DN46">
        <f t="shared" si="145"/>
        <v>-1.9652226897386645E-4</v>
      </c>
      <c r="DO46">
        <f t="shared" si="36"/>
        <v>0.99207127148620988</v>
      </c>
      <c r="DQ46">
        <f>(DQ48-DQ43)/5+DQ45</f>
        <v>-2.5110749081454817</v>
      </c>
      <c r="DR46">
        <f t="shared" si="29"/>
        <v>-1.983478707991581E-4</v>
      </c>
      <c r="DS46">
        <f t="shared" si="30"/>
        <v>-2.8335410114165444E-4</v>
      </c>
      <c r="DT46">
        <f t="shared" si="43"/>
        <v>0.99009732377406789</v>
      </c>
      <c r="DU46">
        <f t="shared" si="31"/>
        <v>-0.99026762259321055</v>
      </c>
      <c r="DV46">
        <f t="shared" si="153"/>
        <v>-15.774017973783906</v>
      </c>
      <c r="DW46">
        <f t="shared" si="154"/>
        <v>-0.79287285137901176</v>
      </c>
      <c r="DY46">
        <f t="shared" si="155"/>
        <v>-93.138287937111983</v>
      </c>
      <c r="DZ46">
        <f t="shared" si="156"/>
        <v>-82.560165154749086</v>
      </c>
      <c r="EA46">
        <f t="shared" si="157"/>
        <v>-42.257823386920442</v>
      </c>
      <c r="EB46">
        <f t="shared" si="158"/>
        <v>-18.772361078811763</v>
      </c>
      <c r="EC46">
        <f t="shared" si="159"/>
        <v>-15.774017973783906</v>
      </c>
      <c r="ED46">
        <f t="shared" si="160"/>
        <v>48.660616342842289</v>
      </c>
      <c r="EE46">
        <f t="shared" si="161"/>
        <v>70.699309361585165</v>
      </c>
      <c r="EF46">
        <f t="shared" si="162"/>
        <v>92.684024750287691</v>
      </c>
      <c r="EG46">
        <f t="shared" si="32"/>
        <v>234.36194701018627</v>
      </c>
    </row>
    <row r="47" spans="2:137" x14ac:dyDescent="0.35">
      <c r="B47" t="s">
        <v>355</v>
      </c>
      <c r="C47" s="19">
        <f>regions!B25</f>
        <v>716939</v>
      </c>
      <c r="D47" s="19">
        <f>regions!C25</f>
        <v>1288216614.4579239</v>
      </c>
      <c r="E47" s="8">
        <f>regions!D25</f>
        <v>1796.8287601287193</v>
      </c>
      <c r="F47" s="1">
        <f>regions!Z25</f>
        <v>7.4</v>
      </c>
      <c r="G47" s="8"/>
      <c r="H47" s="8"/>
      <c r="I47">
        <f t="shared" si="113"/>
        <v>-0.103156</v>
      </c>
      <c r="J47">
        <f t="shared" si="193"/>
        <v>-1.3940000000000008E-2</v>
      </c>
      <c r="K47">
        <f t="shared" si="193"/>
        <v>-2.7879999999999988E-2</v>
      </c>
      <c r="L47">
        <f t="shared" si="193"/>
        <v>-4.1819999999999996E-2</v>
      </c>
      <c r="M47">
        <f t="shared" si="193"/>
        <v>-5.5760000000000004E-2</v>
      </c>
      <c r="N47">
        <f t="shared" si="193"/>
        <v>-6.9700000000000012E-2</v>
      </c>
      <c r="O47">
        <f t="shared" si="193"/>
        <v>-8.3639999999999992E-2</v>
      </c>
      <c r="P47">
        <f t="shared" si="115"/>
        <v>-2.1904000000000003E-2</v>
      </c>
      <c r="Q47">
        <f t="shared" si="194"/>
        <v>-6.3199999999999992E-3</v>
      </c>
      <c r="R47">
        <f t="shared" si="194"/>
        <v>-1.3440000000000004E-2</v>
      </c>
      <c r="S47">
        <f t="shared" si="194"/>
        <v>-2.1360000000000001E-2</v>
      </c>
      <c r="T47">
        <f t="shared" si="194"/>
        <v>-3.0079999999999999E-2</v>
      </c>
      <c r="U47">
        <f t="shared" si="194"/>
        <v>-3.960000000000001E-2</v>
      </c>
      <c r="V47">
        <f t="shared" si="194"/>
        <v>-4.9919999999999992E-2</v>
      </c>
      <c r="W47">
        <f t="shared" si="117"/>
        <v>-2.7380000000000002E-2</v>
      </c>
      <c r="X47">
        <f t="shared" si="195"/>
        <v>-7.8999999999999973E-3</v>
      </c>
      <c r="Y47">
        <f t="shared" si="195"/>
        <v>-1.6800000000000009E-2</v>
      </c>
      <c r="Z47">
        <f t="shared" si="195"/>
        <v>-2.6700000000000002E-2</v>
      </c>
      <c r="AA47">
        <f t="shared" si="195"/>
        <v>-3.7600000000000008E-2</v>
      </c>
      <c r="AB47">
        <f t="shared" si="195"/>
        <v>-4.9500000000000016E-2</v>
      </c>
      <c r="AC47">
        <f t="shared" si="195"/>
        <v>-6.2399999999999997E-2</v>
      </c>
      <c r="AD47">
        <f t="shared" si="119"/>
        <v>-2.4806280000000003E-2</v>
      </c>
      <c r="AE47">
        <f t="shared" si="196"/>
        <v>-7.1573999999999978E-3</v>
      </c>
      <c r="AF47">
        <f t="shared" si="196"/>
        <v>-1.5220800000000003E-2</v>
      </c>
      <c r="AG47">
        <f t="shared" si="196"/>
        <v>-2.4190200000000005E-2</v>
      </c>
      <c r="AH47">
        <f t="shared" si="196"/>
        <v>-3.4065600000000001E-2</v>
      </c>
      <c r="AI47">
        <f t="shared" si="196"/>
        <v>-4.4847000000000012E-2</v>
      </c>
      <c r="AJ47">
        <f t="shared" si="196"/>
        <v>-5.6534399999999999E-2</v>
      </c>
      <c r="AK47">
        <f t="shared" si="121"/>
        <v>-2.7927600000000004E-2</v>
      </c>
      <c r="AL47">
        <f t="shared" si="197"/>
        <v>-8.0580000000000027E-3</v>
      </c>
      <c r="AM47">
        <f t="shared" si="197"/>
        <v>-1.7136000000000005E-2</v>
      </c>
      <c r="AN47">
        <f t="shared" si="197"/>
        <v>-2.7234000000000008E-2</v>
      </c>
      <c r="AO47">
        <f t="shared" si="197"/>
        <v>-3.8352000000000004E-2</v>
      </c>
      <c r="AP47">
        <f t="shared" si="197"/>
        <v>-5.0490000000000014E-2</v>
      </c>
      <c r="AQ47">
        <f t="shared" si="197"/>
        <v>-6.364800000000001E-2</v>
      </c>
      <c r="AR47">
        <f t="shared" si="123"/>
        <v>-4.1672359999999999E-2</v>
      </c>
      <c r="AS47">
        <f t="shared" si="198"/>
        <v>-1.2023800000000001E-2</v>
      </c>
      <c r="AT47">
        <f t="shared" si="198"/>
        <v>-2.5569600000000005E-2</v>
      </c>
      <c r="AU47">
        <f t="shared" si="198"/>
        <v>-4.0637400000000011E-2</v>
      </c>
      <c r="AV47">
        <f t="shared" si="198"/>
        <v>-5.7227199999999999E-2</v>
      </c>
      <c r="AW47">
        <f t="shared" si="198"/>
        <v>-7.5339000000000017E-2</v>
      </c>
      <c r="AX47">
        <f t="shared" si="198"/>
        <v>-9.4972799999999996E-2</v>
      </c>
      <c r="AY47">
        <f t="shared" si="128"/>
        <v>-1.1499600000000002E-2</v>
      </c>
      <c r="AZ47">
        <f t="shared" si="129"/>
        <v>-3.3179999999999998E-3</v>
      </c>
      <c r="BA47">
        <f t="shared" si="129"/>
        <v>-7.0559999999999998E-3</v>
      </c>
      <c r="BB47">
        <f t="shared" si="129"/>
        <v>-1.1214000000000002E-2</v>
      </c>
      <c r="BC47">
        <f t="shared" si="129"/>
        <v>-1.5792E-2</v>
      </c>
      <c r="BD47">
        <f t="shared" si="129"/>
        <v>-2.0790000000000006E-2</v>
      </c>
      <c r="BE47">
        <f t="shared" si="129"/>
        <v>-2.6207999999999999E-2</v>
      </c>
      <c r="BF47">
        <f t="shared" si="130"/>
        <v>-1.3690000000000001E-2</v>
      </c>
      <c r="BG47">
        <f t="shared" si="184"/>
        <v>-3.9499999999999987E-3</v>
      </c>
      <c r="BH47">
        <f t="shared" si="184"/>
        <v>-8.4000000000000047E-3</v>
      </c>
      <c r="BI47">
        <f t="shared" si="184"/>
        <v>-1.3350000000000001E-2</v>
      </c>
      <c r="BJ47">
        <f t="shared" si="184"/>
        <v>-1.8800000000000004E-2</v>
      </c>
      <c r="BK47">
        <f t="shared" si="184"/>
        <v>-2.4750000000000008E-2</v>
      </c>
      <c r="BL47">
        <f t="shared" si="184"/>
        <v>-3.1199999999999999E-2</v>
      </c>
      <c r="BM47">
        <f t="shared" si="132"/>
        <v>-4.3260400000000004E-2</v>
      </c>
      <c r="BN47">
        <f t="shared" si="185"/>
        <v>-1.2482E-2</v>
      </c>
      <c r="BO47">
        <f t="shared" si="185"/>
        <v>-2.6544000000000012E-2</v>
      </c>
      <c r="BP47">
        <f t="shared" si="185"/>
        <v>-4.2186000000000001E-2</v>
      </c>
      <c r="BQ47">
        <f t="shared" si="185"/>
        <v>-5.9408000000000002E-2</v>
      </c>
      <c r="BR47">
        <f t="shared" si="185"/>
        <v>-7.8210000000000016E-2</v>
      </c>
      <c r="BS47">
        <f t="shared" si="185"/>
        <v>-9.8592000000000013E-2</v>
      </c>
      <c r="BU47">
        <v>0.06</v>
      </c>
      <c r="BV47" s="37">
        <f t="shared" ref="BV47:CA47" si="201">(CD32/CD39/CD39+CL32/CL39/CL39)/CL47</f>
        <v>-8.4957196653939504E-5</v>
      </c>
      <c r="BW47" s="37">
        <f t="shared" si="201"/>
        <v>-9.9222584502784829E-5</v>
      </c>
      <c r="BX47" s="37">
        <f t="shared" si="201"/>
        <v>-2.0472521554829384E-4</v>
      </c>
      <c r="BY47" s="37">
        <f t="shared" si="201"/>
        <v>-3.1022661260257255E-4</v>
      </c>
      <c r="BZ47" s="37">
        <f t="shared" si="201"/>
        <v>-4.1572623448847556E-4</v>
      </c>
      <c r="CA47" s="37">
        <f t="shared" si="201"/>
        <v>-5.212240861575772E-4</v>
      </c>
      <c r="CD47" s="37">
        <f t="shared" si="187"/>
        <v>1.2970543609085351E-4</v>
      </c>
      <c r="CE47" s="37">
        <f t="shared" si="178"/>
        <v>1.314118300185887E-4</v>
      </c>
      <c r="CF47" s="37">
        <f t="shared" si="179"/>
        <v>1.3419371780375356E-4</v>
      </c>
      <c r="CG47" s="37">
        <f t="shared" si="180"/>
        <v>1.3799220770029016E-4</v>
      </c>
      <c r="CH47" s="37">
        <f t="shared" si="181"/>
        <v>1.427267600978422E-4</v>
      </c>
      <c r="CI47" s="37">
        <f t="shared" si="182"/>
        <v>1.4830780152099343E-4</v>
      </c>
      <c r="CL47">
        <f t="shared" ref="CL47:CQ47" si="202">1/BV39/BV39+1/CD39/CD39+1/CL39/CL39</f>
        <v>59440662.822459109</v>
      </c>
      <c r="CM47">
        <f t="shared" si="202"/>
        <v>57907001.009377137</v>
      </c>
      <c r="CN47">
        <f t="shared" si="202"/>
        <v>55531017.330704398</v>
      </c>
      <c r="CO47">
        <f t="shared" si="202"/>
        <v>52515907.448318638</v>
      </c>
      <c r="CP47">
        <f t="shared" si="202"/>
        <v>49089565.170638047</v>
      </c>
      <c r="CQ47">
        <f t="shared" si="202"/>
        <v>45464456.722663403</v>
      </c>
      <c r="CS47">
        <f t="shared" si="33"/>
        <v>2064</v>
      </c>
      <c r="CT47">
        <f t="shared" si="34"/>
        <v>2.8600000000000017</v>
      </c>
      <c r="CU47">
        <f t="shared" si="35"/>
        <v>0.04</v>
      </c>
      <c r="CV47">
        <f t="shared" si="19"/>
        <v>-5.9255628795576634E-3</v>
      </c>
      <c r="CW47">
        <f t="shared" si="36"/>
        <v>0.83734096310936024</v>
      </c>
      <c r="CX47">
        <f t="shared" si="20"/>
        <v>-2.3520577887100883E-2</v>
      </c>
      <c r="CY47">
        <f t="shared" si="36"/>
        <v>0.56416919108867125</v>
      </c>
      <c r="CZ47">
        <f t="shared" si="21"/>
        <v>2.8553508129071328E-2</v>
      </c>
      <c r="DA47">
        <f t="shared" si="36"/>
        <v>1.9805266516749522</v>
      </c>
      <c r="DB47">
        <f t="shared" si="22"/>
        <v>1.720059862379408E-2</v>
      </c>
      <c r="DC47">
        <f t="shared" si="37"/>
        <v>1.5115577763302765</v>
      </c>
      <c r="DD47">
        <f t="shared" si="23"/>
        <v>-8.9459726235034589E-3</v>
      </c>
      <c r="DE47">
        <f t="shared" si="38"/>
        <v>0.80518566608296804</v>
      </c>
      <c r="DF47">
        <f t="shared" si="24"/>
        <v>2.3241128378414931E-2</v>
      </c>
      <c r="DG47">
        <f t="shared" si="39"/>
        <v>1.7457053162781213</v>
      </c>
      <c r="DH47">
        <f t="shared" si="25"/>
        <v>-0.11147853183630044</v>
      </c>
      <c r="DI47">
        <f t="shared" si="40"/>
        <v>6.1152927570369324E-2</v>
      </c>
      <c r="DJ47">
        <f t="shared" si="26"/>
        <v>-7.359104221757147E-2</v>
      </c>
      <c r="DK47">
        <f t="shared" si="41"/>
        <v>0.16187482726482338</v>
      </c>
      <c r="DL47">
        <f t="shared" si="27"/>
        <v>5.2943246217223003E-2</v>
      </c>
      <c r="DM47">
        <f t="shared" si="42"/>
        <v>3.5163569365510345</v>
      </c>
      <c r="DN47">
        <f t="shared" si="145"/>
        <v>-1.971967526051682E-4</v>
      </c>
      <c r="DO47">
        <f t="shared" si="36"/>
        <v>0.99187630738895372</v>
      </c>
      <c r="DQ47">
        <f>(DQ48-DQ43)/5+DQ46</f>
        <v>-2.5613263959997954</v>
      </c>
      <c r="DR47">
        <f t="shared" si="29"/>
        <v>-1.9838722048193797E-4</v>
      </c>
      <c r="DS47">
        <f t="shared" si="30"/>
        <v>-2.8341031497419711E-4</v>
      </c>
      <c r="DT47">
        <f t="shared" si="43"/>
        <v>0.98981677563684711</v>
      </c>
      <c r="DU47">
        <f t="shared" si="31"/>
        <v>-1.0183224363152887</v>
      </c>
      <c r="DV47">
        <f t="shared" si="153"/>
        <v>-16.265903689063975</v>
      </c>
      <c r="DW47">
        <f t="shared" si="154"/>
        <v>-0.81236926110462848</v>
      </c>
      <c r="DY47">
        <f t="shared" si="155"/>
        <v>-93.884707242963074</v>
      </c>
      <c r="DZ47">
        <f t="shared" si="156"/>
        <v>-83.812517273517656</v>
      </c>
      <c r="EA47">
        <f t="shared" si="157"/>
        <v>-43.583080891132873</v>
      </c>
      <c r="EB47">
        <f t="shared" si="158"/>
        <v>-19.481433391703195</v>
      </c>
      <c r="EC47">
        <f t="shared" si="159"/>
        <v>-16.265903689063975</v>
      </c>
      <c r="ED47">
        <f t="shared" si="160"/>
        <v>51.155777633027654</v>
      </c>
      <c r="EE47">
        <f t="shared" si="161"/>
        <v>74.57053162781213</v>
      </c>
      <c r="EF47">
        <f t="shared" si="162"/>
        <v>98.052665167495221</v>
      </c>
      <c r="EG47">
        <f t="shared" si="32"/>
        <v>251.63569365510347</v>
      </c>
    </row>
    <row r="48" spans="2:137" x14ac:dyDescent="0.35">
      <c r="B48" t="s">
        <v>126</v>
      </c>
      <c r="C48" s="19">
        <f>regions!B26</f>
        <v>10156601</v>
      </c>
      <c r="D48" s="19">
        <f>regions!C26</f>
        <v>11954060130.08857</v>
      </c>
      <c r="E48" s="8">
        <f>regions!D26</f>
        <v>1176.9744750324021</v>
      </c>
      <c r="F48" s="1">
        <f>regions!Z26</f>
        <v>21.5</v>
      </c>
      <c r="G48" s="8"/>
      <c r="H48" s="8"/>
      <c r="I48">
        <f t="shared" si="113"/>
        <v>-0.29970999999999998</v>
      </c>
      <c r="J48">
        <f t="shared" si="193"/>
        <v>-1.3940000000000008E-2</v>
      </c>
      <c r="K48">
        <f t="shared" si="193"/>
        <v>-2.7880000000000016E-2</v>
      </c>
      <c r="L48">
        <f t="shared" si="193"/>
        <v>-4.1820000000000024E-2</v>
      </c>
      <c r="M48">
        <f t="shared" si="193"/>
        <v>-5.5760000000000032E-2</v>
      </c>
      <c r="N48">
        <f t="shared" si="193"/>
        <v>-6.9699999999999984E-2</v>
      </c>
      <c r="O48">
        <f t="shared" si="193"/>
        <v>-8.3639999999999992E-2</v>
      </c>
      <c r="P48">
        <f t="shared" si="115"/>
        <v>-0.18490000000000001</v>
      </c>
      <c r="Q48">
        <f t="shared" si="194"/>
        <v>-1.7600000000000005E-2</v>
      </c>
      <c r="R48">
        <f t="shared" si="194"/>
        <v>-3.6000000000000004E-2</v>
      </c>
      <c r="S48">
        <f t="shared" si="194"/>
        <v>-5.5199999999999999E-2</v>
      </c>
      <c r="T48">
        <f t="shared" si="194"/>
        <v>-7.5199999999999989E-2</v>
      </c>
      <c r="U48">
        <f t="shared" si="194"/>
        <v>-9.600000000000003E-2</v>
      </c>
      <c r="V48">
        <f t="shared" si="194"/>
        <v>-0.11759999999999998</v>
      </c>
      <c r="W48">
        <f t="shared" si="117"/>
        <v>-0.231125</v>
      </c>
      <c r="X48">
        <f t="shared" si="195"/>
        <v>-2.1999999999999992E-2</v>
      </c>
      <c r="Y48">
        <f t="shared" si="195"/>
        <v>-4.5000000000000012E-2</v>
      </c>
      <c r="Z48">
        <f t="shared" si="195"/>
        <v>-6.9000000000000034E-2</v>
      </c>
      <c r="AA48">
        <f t="shared" si="195"/>
        <v>-9.4E-2</v>
      </c>
      <c r="AB48">
        <f t="shared" si="195"/>
        <v>-0.12000000000000002</v>
      </c>
      <c r="AC48">
        <f t="shared" si="195"/>
        <v>-0.14699999999999999</v>
      </c>
      <c r="AD48">
        <f t="shared" si="119"/>
        <v>-0.20939925000000001</v>
      </c>
      <c r="AE48">
        <f t="shared" si="196"/>
        <v>-1.9932000000000005E-2</v>
      </c>
      <c r="AF48">
        <f t="shared" si="196"/>
        <v>-4.0770000000000001E-2</v>
      </c>
      <c r="AG48">
        <f t="shared" si="196"/>
        <v>-6.2513999999999986E-2</v>
      </c>
      <c r="AH48">
        <f t="shared" si="196"/>
        <v>-8.516399999999999E-2</v>
      </c>
      <c r="AI48">
        <f t="shared" si="196"/>
        <v>-0.10872000000000001</v>
      </c>
      <c r="AJ48">
        <f t="shared" si="196"/>
        <v>-0.13318199999999999</v>
      </c>
      <c r="AK48">
        <f t="shared" si="121"/>
        <v>-0.23574750000000003</v>
      </c>
      <c r="AL48">
        <f t="shared" si="197"/>
        <v>-2.2439999999999988E-2</v>
      </c>
      <c r="AM48">
        <f t="shared" si="197"/>
        <v>-4.5899999999999969E-2</v>
      </c>
      <c r="AN48">
        <f t="shared" si="197"/>
        <v>-7.037999999999997E-2</v>
      </c>
      <c r="AO48">
        <f t="shared" si="197"/>
        <v>-9.5879999999999993E-2</v>
      </c>
      <c r="AP48">
        <f t="shared" si="197"/>
        <v>-0.12239999999999998</v>
      </c>
      <c r="AQ48">
        <f t="shared" si="197"/>
        <v>-0.14993999999999999</v>
      </c>
      <c r="AR48">
        <f t="shared" si="123"/>
        <v>-0.35177224999999995</v>
      </c>
      <c r="AS48">
        <f t="shared" si="198"/>
        <v>-3.3484000000000014E-2</v>
      </c>
      <c r="AT48">
        <f t="shared" si="198"/>
        <v>-6.8490000000000051E-2</v>
      </c>
      <c r="AU48">
        <f t="shared" si="198"/>
        <v>-0.105018</v>
      </c>
      <c r="AV48">
        <f t="shared" si="198"/>
        <v>-0.14306800000000003</v>
      </c>
      <c r="AW48">
        <f t="shared" si="198"/>
        <v>-0.18263999999999997</v>
      </c>
      <c r="AX48">
        <f t="shared" si="198"/>
        <v>-0.22373400000000004</v>
      </c>
      <c r="AY48">
        <f t="shared" si="128"/>
        <v>-9.7072500000000006E-2</v>
      </c>
      <c r="AZ48">
        <f t="shared" si="129"/>
        <v>-9.2399999999999982E-3</v>
      </c>
      <c r="BA48">
        <f t="shared" si="129"/>
        <v>-1.89E-2</v>
      </c>
      <c r="BB48">
        <f t="shared" si="129"/>
        <v>-2.8980000000000006E-2</v>
      </c>
      <c r="BC48">
        <f t="shared" si="129"/>
        <v>-3.9479999999999987E-2</v>
      </c>
      <c r="BD48">
        <f t="shared" si="129"/>
        <v>-5.04E-2</v>
      </c>
      <c r="BE48">
        <f t="shared" si="129"/>
        <v>-6.1739999999999989E-2</v>
      </c>
      <c r="BF48">
        <f t="shared" si="130"/>
        <v>-0.1155625</v>
      </c>
      <c r="BG48">
        <f t="shared" si="184"/>
        <v>-1.0999999999999996E-2</v>
      </c>
      <c r="BH48">
        <f t="shared" si="184"/>
        <v>-2.2500000000000006E-2</v>
      </c>
      <c r="BI48">
        <f t="shared" si="184"/>
        <v>-3.4500000000000017E-2</v>
      </c>
      <c r="BJ48">
        <f t="shared" si="184"/>
        <v>-4.7E-2</v>
      </c>
      <c r="BK48">
        <f t="shared" si="184"/>
        <v>-6.0000000000000012E-2</v>
      </c>
      <c r="BL48">
        <f t="shared" si="184"/>
        <v>-7.3499999999999996E-2</v>
      </c>
      <c r="BM48">
        <f t="shared" si="132"/>
        <v>-0.36517749999999999</v>
      </c>
      <c r="BN48">
        <f t="shared" si="185"/>
        <v>-3.4760000000000013E-2</v>
      </c>
      <c r="BO48">
        <f t="shared" si="185"/>
        <v>-7.1099999999999997E-2</v>
      </c>
      <c r="BP48">
        <f t="shared" si="185"/>
        <v>-0.10902000000000001</v>
      </c>
      <c r="BQ48">
        <f t="shared" si="185"/>
        <v>-0.14852000000000004</v>
      </c>
      <c r="BR48">
        <f t="shared" si="185"/>
        <v>-0.18960000000000005</v>
      </c>
      <c r="BS48">
        <f t="shared" si="185"/>
        <v>-0.23225999999999997</v>
      </c>
      <c r="CS48">
        <f t="shared" si="33"/>
        <v>2065</v>
      </c>
      <c r="CT48">
        <f t="shared" si="34"/>
        <v>2.9000000000000017</v>
      </c>
      <c r="CU48">
        <f t="shared" si="35"/>
        <v>0.04</v>
      </c>
      <c r="CV48">
        <f t="shared" si="19"/>
        <v>-6.0111289942132587E-3</v>
      </c>
      <c r="CW48">
        <f t="shared" si="36"/>
        <v>0.83237924658082629</v>
      </c>
      <c r="CX48">
        <f t="shared" si="20"/>
        <v>-2.4096682479719463E-2</v>
      </c>
      <c r="CY48">
        <f t="shared" si="36"/>
        <v>0.55089960568816743</v>
      </c>
      <c r="CZ48">
        <f t="shared" si="21"/>
        <v>2.9252887508586966E-2</v>
      </c>
      <c r="DA48">
        <f t="shared" si="36"/>
        <v>2.0370776355233953</v>
      </c>
      <c r="DB48">
        <f t="shared" si="22"/>
        <v>1.7621903912742404E-2</v>
      </c>
      <c r="DC48">
        <f t="shared" si="37"/>
        <v>1.5375574749376082</v>
      </c>
      <c r="DD48">
        <f t="shared" si="23"/>
        <v>-9.1650920660009509E-3</v>
      </c>
      <c r="DE48">
        <f t="shared" si="38"/>
        <v>0.79798249715735237</v>
      </c>
      <c r="DF48">
        <f t="shared" si="24"/>
        <v>2.3810388235069466E-2</v>
      </c>
      <c r="DG48">
        <f t="shared" si="39"/>
        <v>1.7862774776446224</v>
      </c>
      <c r="DH48">
        <f t="shared" si="25"/>
        <v>-0.11420904698254988</v>
      </c>
      <c r="DI48">
        <f t="shared" si="40"/>
        <v>5.4335688987332938E-2</v>
      </c>
      <c r="DJ48">
        <f t="shared" si="26"/>
        <v>-7.5393554791906708E-2</v>
      </c>
      <c r="DK48">
        <f t="shared" si="41"/>
        <v>0.14996229001761566</v>
      </c>
      <c r="DL48">
        <f t="shared" si="27"/>
        <v>5.4240019087357524E-2</v>
      </c>
      <c r="DM48">
        <f t="shared" si="42"/>
        <v>3.7025242876304962</v>
      </c>
      <c r="DN48">
        <f t="shared" si="145"/>
        <v>-1.9787123623646994E-4</v>
      </c>
      <c r="DO48">
        <f t="shared" si="36"/>
        <v>0.99168071260215052</v>
      </c>
      <c r="DP48">
        <f>graph!A52</f>
        <v>2.9000000000000012</v>
      </c>
      <c r="DQ48">
        <f>DS1*graph!B52</f>
        <v>-2.6115778838541099</v>
      </c>
      <c r="DR48">
        <f t="shared" si="29"/>
        <v>-2.0742550261502958E-4</v>
      </c>
      <c r="DS48">
        <f t="shared" si="30"/>
        <v>-2.963221465928994E-4</v>
      </c>
      <c r="DT48">
        <f t="shared" si="43"/>
        <v>0.98953625135269718</v>
      </c>
      <c r="DU48">
        <f t="shared" si="31"/>
        <v>-1.0463748647302817</v>
      </c>
      <c r="DV48">
        <f t="shared" si="153"/>
        <v>-16.76207534191737</v>
      </c>
      <c r="DW48">
        <f t="shared" si="154"/>
        <v>-0.83192873978494841</v>
      </c>
      <c r="DY48">
        <f t="shared" si="155"/>
        <v>-94.566431101266701</v>
      </c>
      <c r="DZ48">
        <f t="shared" si="156"/>
        <v>-85.003770998238437</v>
      </c>
      <c r="EA48">
        <f t="shared" si="157"/>
        <v>-44.910039431183257</v>
      </c>
      <c r="EB48">
        <f t="shared" si="158"/>
        <v>-20.201750284264762</v>
      </c>
      <c r="EC48">
        <f t="shared" si="159"/>
        <v>-16.76207534191737</v>
      </c>
      <c r="ED48">
        <f t="shared" si="160"/>
        <v>53.755747493760822</v>
      </c>
      <c r="EE48">
        <f t="shared" si="161"/>
        <v>78.627747764462242</v>
      </c>
      <c r="EF48">
        <f t="shared" si="162"/>
        <v>103.70776355233953</v>
      </c>
      <c r="EG48">
        <f t="shared" si="32"/>
        <v>270.25242876304964</v>
      </c>
    </row>
    <row r="49" spans="2:137" x14ac:dyDescent="0.35">
      <c r="B49" t="s">
        <v>246</v>
      </c>
      <c r="C49" s="19">
        <f>regions!B27</f>
        <v>3845929</v>
      </c>
      <c r="D49" s="19">
        <f>regions!C27</f>
        <v>12803068421.085346</v>
      </c>
      <c r="E49" s="8">
        <f>regions!D27</f>
        <v>3328.9924023780331</v>
      </c>
      <c r="F49" s="1">
        <f>regions!Z27</f>
        <v>9.8000000000000007</v>
      </c>
      <c r="G49" s="8"/>
      <c r="H49" s="8"/>
      <c r="I49">
        <f t="shared" si="113"/>
        <v>-0.13661200000000001</v>
      </c>
      <c r="J49">
        <f t="shared" si="193"/>
        <v>-1.393999999999998E-2</v>
      </c>
      <c r="K49">
        <f t="shared" si="193"/>
        <v>-2.7879999999999988E-2</v>
      </c>
      <c r="L49">
        <f t="shared" si="193"/>
        <v>-4.1819999999999996E-2</v>
      </c>
      <c r="M49">
        <f t="shared" si="193"/>
        <v>-5.5759999999999976E-2</v>
      </c>
      <c r="N49">
        <f t="shared" si="193"/>
        <v>-6.9699999999999984E-2</v>
      </c>
      <c r="O49">
        <f t="shared" si="193"/>
        <v>-8.3639999999999992E-2</v>
      </c>
      <c r="P49">
        <f t="shared" si="115"/>
        <v>-3.8416000000000013E-2</v>
      </c>
      <c r="Q49">
        <f t="shared" si="194"/>
        <v>-8.2399999999999973E-3</v>
      </c>
      <c r="R49">
        <f t="shared" si="194"/>
        <v>-1.7279999999999997E-2</v>
      </c>
      <c r="S49">
        <f t="shared" si="194"/>
        <v>-2.7119999999999998E-2</v>
      </c>
      <c r="T49">
        <f t="shared" si="194"/>
        <v>-3.7759999999999995E-2</v>
      </c>
      <c r="U49">
        <f t="shared" si="194"/>
        <v>-4.9200000000000001E-2</v>
      </c>
      <c r="V49">
        <f t="shared" si="194"/>
        <v>-6.1440000000000002E-2</v>
      </c>
      <c r="W49">
        <f t="shared" si="117"/>
        <v>-4.8020000000000014E-2</v>
      </c>
      <c r="X49">
        <f t="shared" si="195"/>
        <v>-1.0299999999999997E-2</v>
      </c>
      <c r="Y49">
        <f t="shared" si="195"/>
        <v>-2.1599999999999987E-2</v>
      </c>
      <c r="Z49">
        <f t="shared" si="195"/>
        <v>-3.3900000000000007E-2</v>
      </c>
      <c r="AA49">
        <f t="shared" si="195"/>
        <v>-4.7199999999999999E-2</v>
      </c>
      <c r="AB49">
        <f t="shared" si="195"/>
        <v>-6.1499999999999992E-2</v>
      </c>
      <c r="AC49">
        <f t="shared" si="195"/>
        <v>-7.6800000000000007E-2</v>
      </c>
      <c r="AD49">
        <f t="shared" si="119"/>
        <v>-4.3506120000000009E-2</v>
      </c>
      <c r="AE49">
        <f t="shared" si="196"/>
        <v>-9.3318000000000012E-3</v>
      </c>
      <c r="AF49">
        <f t="shared" si="196"/>
        <v>-1.9569599999999993E-2</v>
      </c>
      <c r="AG49">
        <f t="shared" si="196"/>
        <v>-3.0713400000000002E-2</v>
      </c>
      <c r="AH49">
        <f t="shared" si="196"/>
        <v>-4.2763200000000001E-2</v>
      </c>
      <c r="AI49">
        <f t="shared" si="196"/>
        <v>-5.5719000000000005E-2</v>
      </c>
      <c r="AJ49">
        <f t="shared" si="196"/>
        <v>-6.9580799999999998E-2</v>
      </c>
      <c r="AK49">
        <f t="shared" si="121"/>
        <v>-4.8980400000000014E-2</v>
      </c>
      <c r="AL49">
        <f t="shared" si="197"/>
        <v>-1.0505999999999995E-2</v>
      </c>
      <c r="AM49">
        <f t="shared" si="197"/>
        <v>-2.2031999999999989E-2</v>
      </c>
      <c r="AN49">
        <f t="shared" si="197"/>
        <v>-3.4578000000000005E-2</v>
      </c>
      <c r="AO49">
        <f t="shared" si="197"/>
        <v>-4.8143999999999999E-2</v>
      </c>
      <c r="AP49">
        <f t="shared" si="197"/>
        <v>-6.2730000000000008E-2</v>
      </c>
      <c r="AQ49">
        <f t="shared" si="197"/>
        <v>-7.8336000000000017E-2</v>
      </c>
      <c r="AR49">
        <f t="shared" si="123"/>
        <v>-7.3086440000000016E-2</v>
      </c>
      <c r="AS49">
        <f t="shared" si="198"/>
        <v>-1.5676599999999985E-2</v>
      </c>
      <c r="AT49">
        <f t="shared" si="198"/>
        <v>-3.2875199999999979E-2</v>
      </c>
      <c r="AU49">
        <f t="shared" si="198"/>
        <v>-5.1595799999999997E-2</v>
      </c>
      <c r="AV49">
        <f t="shared" si="198"/>
        <v>-7.1838399999999983E-2</v>
      </c>
      <c r="AW49">
        <f t="shared" si="198"/>
        <v>-9.3602999999999978E-2</v>
      </c>
      <c r="AX49">
        <f t="shared" si="198"/>
        <v>-0.1168896</v>
      </c>
      <c r="AY49">
        <f t="shared" si="128"/>
        <v>-2.0168400000000006E-2</v>
      </c>
      <c r="AZ49">
        <f t="shared" si="129"/>
        <v>-4.3259999999999965E-3</v>
      </c>
      <c r="BA49">
        <f t="shared" si="129"/>
        <v>-9.0719999999999967E-3</v>
      </c>
      <c r="BB49">
        <f t="shared" si="129"/>
        <v>-1.4238000000000004E-2</v>
      </c>
      <c r="BC49">
        <f t="shared" si="129"/>
        <v>-1.9823999999999998E-2</v>
      </c>
      <c r="BD49">
        <f t="shared" si="129"/>
        <v>-2.5830000000000002E-2</v>
      </c>
      <c r="BE49">
        <f t="shared" si="129"/>
        <v>-3.2255999999999993E-2</v>
      </c>
      <c r="BF49">
        <f t="shared" si="130"/>
        <v>-2.4010000000000007E-2</v>
      </c>
      <c r="BG49">
        <f t="shared" si="184"/>
        <v>-5.1499999999999983E-3</v>
      </c>
      <c r="BH49">
        <f t="shared" si="184"/>
        <v>-1.0799999999999994E-2</v>
      </c>
      <c r="BI49">
        <f t="shared" si="184"/>
        <v>-1.6950000000000003E-2</v>
      </c>
      <c r="BJ49">
        <f t="shared" si="184"/>
        <v>-2.3599999999999999E-2</v>
      </c>
      <c r="BK49">
        <f t="shared" si="184"/>
        <v>-3.0749999999999996E-2</v>
      </c>
      <c r="BL49">
        <f t="shared" si="184"/>
        <v>-3.8400000000000004E-2</v>
      </c>
      <c r="BM49">
        <f t="shared" si="132"/>
        <v>-7.5871600000000011E-2</v>
      </c>
      <c r="BN49">
        <f t="shared" si="185"/>
        <v>-1.6273999999999997E-2</v>
      </c>
      <c r="BO49">
        <f t="shared" si="185"/>
        <v>-3.4127999999999992E-2</v>
      </c>
      <c r="BP49">
        <f t="shared" si="185"/>
        <v>-5.3562000000000026E-2</v>
      </c>
      <c r="BQ49">
        <f t="shared" si="185"/>
        <v>-7.4576000000000003E-2</v>
      </c>
      <c r="BR49">
        <f t="shared" si="185"/>
        <v>-9.7170000000000006E-2</v>
      </c>
      <c r="BS49">
        <f t="shared" si="185"/>
        <v>-0.12134400000000001</v>
      </c>
      <c r="BU49" t="s">
        <v>746</v>
      </c>
      <c r="BV49" s="33">
        <f t="shared" ref="BV49:CA50" si="203">J2</f>
        <v>-1.95282817827296E-3</v>
      </c>
      <c r="BW49" s="33">
        <f t="shared" si="203"/>
        <v>-4.000076540523553E-3</v>
      </c>
      <c r="BX49" s="33">
        <f t="shared" si="203"/>
        <v>-6.1332179063519239E-3</v>
      </c>
      <c r="BY49" s="33">
        <f t="shared" si="203"/>
        <v>-8.3448946759972931E-3</v>
      </c>
      <c r="BZ49" s="33">
        <f t="shared" si="203"/>
        <v>-1.0628095988315506E-2</v>
      </c>
      <c r="CA49" s="33">
        <f t="shared" si="203"/>
        <v>-1.297617915252415E-2</v>
      </c>
      <c r="CS49">
        <f t="shared" si="33"/>
        <v>2066</v>
      </c>
      <c r="CT49">
        <f t="shared" si="34"/>
        <v>2.9400000000000017</v>
      </c>
      <c r="CU49">
        <f t="shared" si="35"/>
        <v>0.04</v>
      </c>
      <c r="CV49">
        <f t="shared" si="19"/>
        <v>-6.0967693463680837E-3</v>
      </c>
      <c r="CW49">
        <f t="shared" si="36"/>
        <v>0.82737570755752288</v>
      </c>
      <c r="CX49">
        <f t="shared" si="20"/>
        <v>-2.4679604878167852E-2</v>
      </c>
      <c r="CY49">
        <f t="shared" si="36"/>
        <v>0.53762475281169708</v>
      </c>
      <c r="CZ49">
        <f t="shared" si="21"/>
        <v>2.9960543567150135E-2</v>
      </c>
      <c r="DA49">
        <f t="shared" si="36"/>
        <v>2.0966680384416194</v>
      </c>
      <c r="DB49">
        <f t="shared" si="22"/>
        <v>1.8048195063098398E-2</v>
      </c>
      <c r="DC49">
        <f t="shared" si="37"/>
        <v>1.5646521650212775</v>
      </c>
      <c r="DD49">
        <f t="shared" si="23"/>
        <v>-9.3868046379954589E-3</v>
      </c>
      <c r="DE49">
        <f t="shared" si="38"/>
        <v>0.79066891410384788</v>
      </c>
      <c r="DF49">
        <f t="shared" si="24"/>
        <v>2.4386384894761332E-2</v>
      </c>
      <c r="DG49">
        <f t="shared" si="39"/>
        <v>1.8288094378829016</v>
      </c>
      <c r="DH49">
        <f t="shared" si="25"/>
        <v>-0.11697187591751237</v>
      </c>
      <c r="DI49">
        <f t="shared" si="40"/>
        <v>4.8130061730949414E-2</v>
      </c>
      <c r="DJ49">
        <f t="shared" si="26"/>
        <v>-7.7217398875997392E-2</v>
      </c>
      <c r="DK49">
        <f t="shared" si="41"/>
        <v>0.13865609988845276</v>
      </c>
      <c r="DL49">
        <f t="shared" si="27"/>
        <v>5.555213838199069E-2</v>
      </c>
      <c r="DM49">
        <f t="shared" si="42"/>
        <v>3.9033492756629791</v>
      </c>
      <c r="DN49">
        <f t="shared" si="145"/>
        <v>-1.9854571986777171E-4</v>
      </c>
      <c r="DO49">
        <f t="shared" si="36"/>
        <v>0.99148448751359608</v>
      </c>
      <c r="DQ49">
        <f>(DQ53-DQ48)/5+DQ48</f>
        <v>-2.6641083453561336</v>
      </c>
      <c r="DR49">
        <f t="shared" si="29"/>
        <v>-2.0746853688056882E-4</v>
      </c>
      <c r="DS49">
        <f t="shared" si="30"/>
        <v>-2.963836241150983E-4</v>
      </c>
      <c r="DT49">
        <f t="shared" si="43"/>
        <v>0.98924302984656487</v>
      </c>
      <c r="DU49">
        <f t="shared" si="31"/>
        <v>-1.075697015343513</v>
      </c>
      <c r="DV49">
        <f t="shared" si="153"/>
        <v>-17.262429244247713</v>
      </c>
      <c r="DW49">
        <f t="shared" si="154"/>
        <v>-0.851551248640392</v>
      </c>
      <c r="DY49">
        <f t="shared" si="155"/>
        <v>-95.186993826905052</v>
      </c>
      <c r="DZ49">
        <f t="shared" si="156"/>
        <v>-86.134390011154721</v>
      </c>
      <c r="EA49">
        <f t="shared" si="157"/>
        <v>-46.237524718830294</v>
      </c>
      <c r="EB49">
        <f t="shared" si="158"/>
        <v>-20.933108589615212</v>
      </c>
      <c r="EC49">
        <f t="shared" si="159"/>
        <v>-17.262429244247713</v>
      </c>
      <c r="ED49">
        <f t="shared" si="160"/>
        <v>56.465216502127745</v>
      </c>
      <c r="EE49">
        <f t="shared" si="161"/>
        <v>82.880943788290168</v>
      </c>
      <c r="EF49">
        <f t="shared" si="162"/>
        <v>109.66680384416195</v>
      </c>
      <c r="EG49">
        <f t="shared" si="32"/>
        <v>290.33492756629789</v>
      </c>
    </row>
    <row r="50" spans="2:137" x14ac:dyDescent="0.35">
      <c r="B50" t="s">
        <v>128</v>
      </c>
      <c r="C50" s="19">
        <f>regions!B28</f>
        <v>1969341</v>
      </c>
      <c r="D50" s="19">
        <f>regions!C28</f>
        <v>12116816308.861942</v>
      </c>
      <c r="E50" s="8">
        <f>regions!D28</f>
        <v>6152.7263733715708</v>
      </c>
      <c r="F50" s="1">
        <f>regions!Z28</f>
        <v>21.5</v>
      </c>
      <c r="G50" s="8"/>
      <c r="H50" s="8"/>
      <c r="I50">
        <f t="shared" si="113"/>
        <v>0</v>
      </c>
      <c r="J50">
        <f t="shared" si="193"/>
        <v>0</v>
      </c>
      <c r="K50">
        <f t="shared" si="193"/>
        <v>0</v>
      </c>
      <c r="L50">
        <f t="shared" si="193"/>
        <v>0</v>
      </c>
      <c r="M50">
        <f t="shared" si="193"/>
        <v>0</v>
      </c>
      <c r="N50">
        <f t="shared" si="193"/>
        <v>0</v>
      </c>
      <c r="O50">
        <f t="shared" si="193"/>
        <v>0</v>
      </c>
      <c r="P50">
        <f t="shared" si="115"/>
        <v>-0.18490000000000001</v>
      </c>
      <c r="Q50">
        <f t="shared" si="194"/>
        <v>-1.7600000000000005E-2</v>
      </c>
      <c r="R50">
        <f t="shared" si="194"/>
        <v>-3.6000000000000004E-2</v>
      </c>
      <c r="S50">
        <f t="shared" si="194"/>
        <v>-5.5199999999999999E-2</v>
      </c>
      <c r="T50">
        <f t="shared" si="194"/>
        <v>-7.5199999999999989E-2</v>
      </c>
      <c r="U50">
        <f t="shared" si="194"/>
        <v>-9.600000000000003E-2</v>
      </c>
      <c r="V50">
        <f t="shared" si="194"/>
        <v>-0.11759999999999998</v>
      </c>
      <c r="W50">
        <f t="shared" si="117"/>
        <v>-0.231125</v>
      </c>
      <c r="X50">
        <f t="shared" si="195"/>
        <v>-2.1999999999999992E-2</v>
      </c>
      <c r="Y50">
        <f t="shared" si="195"/>
        <v>-4.5000000000000012E-2</v>
      </c>
      <c r="Z50">
        <f t="shared" si="195"/>
        <v>-6.9000000000000034E-2</v>
      </c>
      <c r="AA50">
        <f t="shared" si="195"/>
        <v>-9.4E-2</v>
      </c>
      <c r="AB50">
        <f t="shared" si="195"/>
        <v>-0.12000000000000002</v>
      </c>
      <c r="AC50">
        <f t="shared" si="195"/>
        <v>-0.14699999999999999</v>
      </c>
      <c r="AD50">
        <f t="shared" si="119"/>
        <v>-0.20939925000000001</v>
      </c>
      <c r="AE50">
        <f t="shared" si="196"/>
        <v>-1.9932000000000005E-2</v>
      </c>
      <c r="AF50">
        <f t="shared" si="196"/>
        <v>-4.0770000000000001E-2</v>
      </c>
      <c r="AG50">
        <f t="shared" si="196"/>
        <v>-6.2513999999999986E-2</v>
      </c>
      <c r="AH50">
        <f t="shared" si="196"/>
        <v>-8.516399999999999E-2</v>
      </c>
      <c r="AI50">
        <f t="shared" si="196"/>
        <v>-0.10872000000000001</v>
      </c>
      <c r="AJ50">
        <f t="shared" si="196"/>
        <v>-0.13318199999999999</v>
      </c>
      <c r="AK50">
        <f t="shared" si="121"/>
        <v>-0.23574750000000003</v>
      </c>
      <c r="AL50">
        <f t="shared" si="197"/>
        <v>-2.2439999999999988E-2</v>
      </c>
      <c r="AM50">
        <f t="shared" si="197"/>
        <v>-4.5899999999999969E-2</v>
      </c>
      <c r="AN50">
        <f t="shared" si="197"/>
        <v>-7.037999999999997E-2</v>
      </c>
      <c r="AO50">
        <f t="shared" si="197"/>
        <v>-9.5879999999999993E-2</v>
      </c>
      <c r="AP50">
        <f t="shared" si="197"/>
        <v>-0.12239999999999998</v>
      </c>
      <c r="AQ50">
        <f t="shared" si="197"/>
        <v>-0.14993999999999999</v>
      </c>
      <c r="AR50">
        <f t="shared" si="123"/>
        <v>-0.35177224999999995</v>
      </c>
      <c r="AS50">
        <f t="shared" si="198"/>
        <v>-3.3484000000000014E-2</v>
      </c>
      <c r="AT50">
        <f t="shared" si="198"/>
        <v>-6.8490000000000051E-2</v>
      </c>
      <c r="AU50">
        <f t="shared" si="198"/>
        <v>-0.105018</v>
      </c>
      <c r="AV50">
        <f t="shared" si="198"/>
        <v>-0.14306800000000003</v>
      </c>
      <c r="AW50">
        <f t="shared" si="198"/>
        <v>-0.18263999999999997</v>
      </c>
      <c r="AX50">
        <f t="shared" si="198"/>
        <v>-0.22373400000000004</v>
      </c>
      <c r="AY50">
        <f t="shared" si="128"/>
        <v>-9.7072500000000006E-2</v>
      </c>
      <c r="AZ50">
        <f t="shared" si="129"/>
        <v>-9.2399999999999982E-3</v>
      </c>
      <c r="BA50">
        <f t="shared" si="129"/>
        <v>-1.89E-2</v>
      </c>
      <c r="BB50">
        <f t="shared" si="129"/>
        <v>-2.8980000000000006E-2</v>
      </c>
      <c r="BC50">
        <f t="shared" si="129"/>
        <v>-3.9479999999999987E-2</v>
      </c>
      <c r="BD50">
        <f t="shared" si="129"/>
        <v>-5.04E-2</v>
      </c>
      <c r="BE50">
        <f t="shared" si="129"/>
        <v>-6.1739999999999989E-2</v>
      </c>
      <c r="BF50">
        <f t="shared" si="130"/>
        <v>-0.1155625</v>
      </c>
      <c r="BG50">
        <f t="shared" si="184"/>
        <v>-1.0999999999999996E-2</v>
      </c>
      <c r="BH50">
        <f t="shared" si="184"/>
        <v>-2.2500000000000006E-2</v>
      </c>
      <c r="BI50">
        <f t="shared" si="184"/>
        <v>-3.4500000000000017E-2</v>
      </c>
      <c r="BJ50">
        <f t="shared" si="184"/>
        <v>-4.7E-2</v>
      </c>
      <c r="BK50">
        <f t="shared" si="184"/>
        <v>-6.0000000000000012E-2</v>
      </c>
      <c r="BL50">
        <f t="shared" si="184"/>
        <v>-7.3499999999999996E-2</v>
      </c>
      <c r="BM50">
        <f t="shared" si="132"/>
        <v>-0.36517749999999999</v>
      </c>
      <c r="BN50">
        <f t="shared" si="185"/>
        <v>-3.4760000000000013E-2</v>
      </c>
      <c r="BO50">
        <f t="shared" si="185"/>
        <v>-7.1099999999999997E-2</v>
      </c>
      <c r="BP50">
        <f t="shared" si="185"/>
        <v>-0.10902000000000001</v>
      </c>
      <c r="BQ50">
        <f t="shared" si="185"/>
        <v>-0.14852000000000004</v>
      </c>
      <c r="BR50">
        <f t="shared" si="185"/>
        <v>-0.18960000000000005</v>
      </c>
      <c r="BS50">
        <f t="shared" si="185"/>
        <v>-0.23225999999999997</v>
      </c>
      <c r="BV50" s="33">
        <f t="shared" si="203"/>
        <v>5.9609152848411377E-4</v>
      </c>
      <c r="BW50" s="33">
        <f t="shared" si="203"/>
        <v>1.1937549318778997E-3</v>
      </c>
      <c r="BX50" s="33">
        <f t="shared" si="203"/>
        <v>1.7929348412893467E-3</v>
      </c>
      <c r="BY50" s="33">
        <f t="shared" si="203"/>
        <v>2.3935718448850093E-3</v>
      </c>
      <c r="BZ50" s="33">
        <f t="shared" si="203"/>
        <v>2.9956044737408992E-3</v>
      </c>
      <c r="CA50" s="33">
        <f t="shared" si="203"/>
        <v>3.5989700600775778E-3</v>
      </c>
      <c r="CS50">
        <f t="shared" si="33"/>
        <v>2067</v>
      </c>
      <c r="CT50">
        <f t="shared" si="34"/>
        <v>2.9800000000000018</v>
      </c>
      <c r="CU50">
        <f t="shared" si="35"/>
        <v>0.04</v>
      </c>
      <c r="CV50">
        <f t="shared" si="19"/>
        <v>-6.1824839360221399E-3</v>
      </c>
      <c r="CW50">
        <f t="shared" si="36"/>
        <v>0.82233138870575662</v>
      </c>
      <c r="CX50">
        <f t="shared" si="20"/>
        <v>-2.5269345082446045E-2</v>
      </c>
      <c r="CY50">
        <f t="shared" si="36"/>
        <v>0.5243563863395817</v>
      </c>
      <c r="CZ50">
        <f t="shared" si="21"/>
        <v>3.0676476304760825E-2</v>
      </c>
      <c r="DA50">
        <f t="shared" si="36"/>
        <v>2.159485352553201</v>
      </c>
      <c r="DB50">
        <f t="shared" si="22"/>
        <v>1.8479472074862068E-2</v>
      </c>
      <c r="DC50">
        <f t="shared" si="37"/>
        <v>1.5928913125014807</v>
      </c>
      <c r="DD50">
        <f t="shared" si="23"/>
        <v>-9.6111103394869758E-3</v>
      </c>
      <c r="DE50">
        <f t="shared" si="38"/>
        <v>0.78324705947381901</v>
      </c>
      <c r="DF50">
        <f t="shared" si="24"/>
        <v>2.4969118357490529E-2</v>
      </c>
      <c r="DG50">
        <f t="shared" si="39"/>
        <v>1.8734074887342864</v>
      </c>
      <c r="DH50">
        <f t="shared" si="25"/>
        <v>-0.11976701864118787</v>
      </c>
      <c r="DI50">
        <f t="shared" si="40"/>
        <v>4.2500198122254591E-2</v>
      </c>
      <c r="DJ50">
        <f t="shared" si="26"/>
        <v>-7.9062574469843522E-2</v>
      </c>
      <c r="DK50">
        <f t="shared" si="41"/>
        <v>0.12794943651677596</v>
      </c>
      <c r="DL50">
        <f t="shared" si="27"/>
        <v>5.6879604101122479E-2</v>
      </c>
      <c r="DM50">
        <f t="shared" si="42"/>
        <v>4.120188674777852</v>
      </c>
      <c r="DN50">
        <f t="shared" si="145"/>
        <v>-1.9922020349907345E-4</v>
      </c>
      <c r="DO50">
        <f t="shared" si="36"/>
        <v>0.99128763251228491</v>
      </c>
      <c r="DQ50">
        <f>(DQ53-DQ48)/5+DQ49</f>
        <v>-2.7166388068581573</v>
      </c>
      <c r="DR50">
        <f t="shared" si="29"/>
        <v>-2.0751158900632574E-4</v>
      </c>
      <c r="DS50">
        <f t="shared" si="30"/>
        <v>-2.9644512715189394E-4</v>
      </c>
      <c r="DT50">
        <f t="shared" si="43"/>
        <v>0.98894983441224837</v>
      </c>
      <c r="DU50">
        <f t="shared" si="31"/>
        <v>-1.1050165587751626</v>
      </c>
      <c r="DV50">
        <f t="shared" si="153"/>
        <v>-17.766861129424338</v>
      </c>
      <c r="DW50">
        <f t="shared" si="154"/>
        <v>-0.87123674877150892</v>
      </c>
      <c r="DY50">
        <f t="shared" si="155"/>
        <v>-95.74998018777454</v>
      </c>
      <c r="DZ50">
        <f t="shared" si="156"/>
        <v>-87.205056348322401</v>
      </c>
      <c r="EA50">
        <f t="shared" si="157"/>
        <v>-47.56436136604183</v>
      </c>
      <c r="EB50">
        <f t="shared" si="158"/>
        <v>-21.675294052618099</v>
      </c>
      <c r="EC50">
        <f t="shared" si="159"/>
        <v>-17.766861129424338</v>
      </c>
      <c r="ED50">
        <f t="shared" si="160"/>
        <v>59.289131250148074</v>
      </c>
      <c r="EE50">
        <f t="shared" si="161"/>
        <v>87.340748873428637</v>
      </c>
      <c r="EF50">
        <f t="shared" si="162"/>
        <v>115.9485352553201</v>
      </c>
      <c r="EG50">
        <f t="shared" si="32"/>
        <v>312.01886747778519</v>
      </c>
    </row>
    <row r="51" spans="2:137" x14ac:dyDescent="0.35">
      <c r="B51" t="s">
        <v>129</v>
      </c>
      <c r="C51" s="19">
        <f>regions!B29</f>
        <v>195210154</v>
      </c>
      <c r="D51" s="19">
        <f>regions!C29</f>
        <v>1096754010432.5254</v>
      </c>
      <c r="E51" s="8">
        <f>regions!D29</f>
        <v>5618.3246002281494</v>
      </c>
      <c r="F51" s="1">
        <f>regions!Z29</f>
        <v>24.9</v>
      </c>
      <c r="G51" s="8"/>
      <c r="H51" s="8"/>
      <c r="I51">
        <f t="shared" si="113"/>
        <v>0</v>
      </c>
      <c r="J51">
        <f t="shared" si="193"/>
        <v>0</v>
      </c>
      <c r="K51">
        <f t="shared" si="193"/>
        <v>0</v>
      </c>
      <c r="L51">
        <f t="shared" si="193"/>
        <v>0</v>
      </c>
      <c r="M51">
        <f t="shared" si="193"/>
        <v>0</v>
      </c>
      <c r="N51">
        <f t="shared" si="193"/>
        <v>0</v>
      </c>
      <c r="O51">
        <f t="shared" si="193"/>
        <v>0</v>
      </c>
      <c r="P51">
        <f t="shared" si="115"/>
        <v>-0.24800399999999997</v>
      </c>
      <c r="Q51">
        <f t="shared" si="194"/>
        <v>-2.0320000000000032E-2</v>
      </c>
      <c r="R51">
        <f t="shared" si="194"/>
        <v>-4.1440000000000005E-2</v>
      </c>
      <c r="S51">
        <f t="shared" si="194"/>
        <v>-6.3360000000000055E-2</v>
      </c>
      <c r="T51">
        <f t="shared" si="194"/>
        <v>-8.6080000000000018E-2</v>
      </c>
      <c r="U51">
        <f t="shared" si="194"/>
        <v>-0.1096</v>
      </c>
      <c r="V51">
        <f t="shared" si="194"/>
        <v>-0.13392000000000001</v>
      </c>
      <c r="W51">
        <f t="shared" si="117"/>
        <v>-0.31000499999999992</v>
      </c>
      <c r="X51">
        <f t="shared" si="195"/>
        <v>-2.5400000000000034E-2</v>
      </c>
      <c r="Y51">
        <f t="shared" si="195"/>
        <v>-5.1800000000000013E-2</v>
      </c>
      <c r="Z51">
        <f t="shared" si="195"/>
        <v>-7.9200000000000048E-2</v>
      </c>
      <c r="AA51">
        <f t="shared" si="195"/>
        <v>-0.10760000000000003</v>
      </c>
      <c r="AB51">
        <f t="shared" si="195"/>
        <v>-0.13700000000000001</v>
      </c>
      <c r="AC51">
        <f t="shared" si="195"/>
        <v>-0.16740000000000005</v>
      </c>
      <c r="AD51">
        <f t="shared" si="119"/>
        <v>-0.28086452999999995</v>
      </c>
      <c r="AE51">
        <f t="shared" si="196"/>
        <v>-2.3012400000000044E-2</v>
      </c>
      <c r="AF51">
        <f t="shared" si="196"/>
        <v>-4.6930799999999995E-2</v>
      </c>
      <c r="AG51">
        <f t="shared" si="196"/>
        <v>-7.1755200000000019E-2</v>
      </c>
      <c r="AH51">
        <f t="shared" si="196"/>
        <v>-9.7485600000000006E-2</v>
      </c>
      <c r="AI51">
        <f t="shared" si="196"/>
        <v>-0.12412200000000001</v>
      </c>
      <c r="AJ51">
        <f t="shared" si="196"/>
        <v>-0.15166440000000003</v>
      </c>
      <c r="AK51">
        <f t="shared" si="121"/>
        <v>-0.31620509999999996</v>
      </c>
      <c r="AL51">
        <f t="shared" si="197"/>
        <v>-2.5908000000000042E-2</v>
      </c>
      <c r="AM51">
        <f t="shared" si="197"/>
        <v>-5.2835999999999994E-2</v>
      </c>
      <c r="AN51">
        <f t="shared" si="197"/>
        <v>-8.0784000000000078E-2</v>
      </c>
      <c r="AO51">
        <f t="shared" si="197"/>
        <v>-0.10975200000000002</v>
      </c>
      <c r="AP51">
        <f t="shared" si="197"/>
        <v>-0.13974000000000003</v>
      </c>
      <c r="AQ51">
        <f t="shared" si="197"/>
        <v>-0.17074800000000007</v>
      </c>
      <c r="AR51">
        <f t="shared" si="123"/>
        <v>-0.4718276099999999</v>
      </c>
      <c r="AS51">
        <f t="shared" si="198"/>
        <v>-3.8658800000000049E-2</v>
      </c>
      <c r="AT51">
        <f t="shared" si="198"/>
        <v>-7.8839599999999954E-2</v>
      </c>
      <c r="AU51">
        <f t="shared" si="198"/>
        <v>-0.12054239999999999</v>
      </c>
      <c r="AV51">
        <f t="shared" si="198"/>
        <v>-0.16376720000000006</v>
      </c>
      <c r="AW51">
        <f t="shared" si="198"/>
        <v>-0.20851399999999992</v>
      </c>
      <c r="AX51">
        <f t="shared" si="198"/>
        <v>-0.25478280000000003</v>
      </c>
      <c r="AY51">
        <f t="shared" si="128"/>
        <v>-0.13020209999999999</v>
      </c>
      <c r="AZ51">
        <f t="shared" si="129"/>
        <v>-1.0668000000000011E-2</v>
      </c>
      <c r="BA51">
        <f t="shared" si="129"/>
        <v>-2.1755999999999998E-2</v>
      </c>
      <c r="BB51">
        <f t="shared" si="129"/>
        <v>-3.3264000000000016E-2</v>
      </c>
      <c r="BC51">
        <f t="shared" si="129"/>
        <v>-4.519200000000001E-2</v>
      </c>
      <c r="BD51">
        <f t="shared" si="129"/>
        <v>-5.7540000000000008E-2</v>
      </c>
      <c r="BE51">
        <f t="shared" si="129"/>
        <v>-7.0308000000000009E-2</v>
      </c>
      <c r="BF51">
        <f t="shared" si="130"/>
        <v>-0.15500249999999996</v>
      </c>
      <c r="BG51">
        <f t="shared" si="184"/>
        <v>-1.2700000000000017E-2</v>
      </c>
      <c r="BH51">
        <f t="shared" si="184"/>
        <v>-2.5900000000000006E-2</v>
      </c>
      <c r="BI51">
        <f t="shared" si="184"/>
        <v>-3.9600000000000024E-2</v>
      </c>
      <c r="BJ51">
        <f t="shared" si="184"/>
        <v>-5.3800000000000014E-2</v>
      </c>
      <c r="BK51">
        <f t="shared" si="184"/>
        <v>-6.8500000000000005E-2</v>
      </c>
      <c r="BL51">
        <f t="shared" si="184"/>
        <v>-8.3700000000000024E-2</v>
      </c>
      <c r="BM51">
        <f t="shared" si="132"/>
        <v>-0.48980789999999991</v>
      </c>
      <c r="BN51">
        <f t="shared" si="185"/>
        <v>-4.0132000000000112E-2</v>
      </c>
      <c r="BO51">
        <f t="shared" si="185"/>
        <v>-8.1843999999999972E-2</v>
      </c>
      <c r="BP51">
        <f t="shared" si="185"/>
        <v>-0.12513600000000008</v>
      </c>
      <c r="BQ51">
        <f t="shared" si="185"/>
        <v>-0.17000799999999999</v>
      </c>
      <c r="BR51">
        <f t="shared" si="185"/>
        <v>-0.21646000000000004</v>
      </c>
      <c r="BS51">
        <f t="shared" si="185"/>
        <v>-0.26449200000000012</v>
      </c>
      <c r="CS51">
        <f t="shared" si="33"/>
        <v>2068</v>
      </c>
      <c r="CT51">
        <f t="shared" si="34"/>
        <v>3.0200000000000018</v>
      </c>
      <c r="CU51">
        <f t="shared" si="35"/>
        <v>0.04</v>
      </c>
      <c r="CV51">
        <f t="shared" si="19"/>
        <v>-6.2682727631754266E-3</v>
      </c>
      <c r="CW51">
        <f t="shared" si="36"/>
        <v>0.8172473381049965</v>
      </c>
      <c r="CX51">
        <f t="shared" si="20"/>
        <v>-2.5865903092554043E-2</v>
      </c>
      <c r="CY51">
        <f t="shared" si="36"/>
        <v>0.51110624386698245</v>
      </c>
      <c r="CZ51">
        <f t="shared" si="21"/>
        <v>3.1400685721419033E-2</v>
      </c>
      <c r="DA51">
        <f t="shared" si="36"/>
        <v>2.2257307538012774</v>
      </c>
      <c r="DB51">
        <f t="shared" si="22"/>
        <v>1.8915734948033412E-2</v>
      </c>
      <c r="DC51">
        <f t="shared" si="37"/>
        <v>1.6223271030291422</v>
      </c>
      <c r="DD51">
        <f t="shared" si="23"/>
        <v>-9.838009170475507E-3</v>
      </c>
      <c r="DE51">
        <f t="shared" si="38"/>
        <v>0.77571918556213737</v>
      </c>
      <c r="DF51">
        <f t="shared" si="24"/>
        <v>2.5558588623257061E-2</v>
      </c>
      <c r="DG51">
        <f t="shared" si="39"/>
        <v>1.9201848220523019</v>
      </c>
      <c r="DH51">
        <f t="shared" si="25"/>
        <v>-0.12259447515357638</v>
      </c>
      <c r="DI51">
        <f t="shared" si="40"/>
        <v>3.741007610149235E-2</v>
      </c>
      <c r="DJ51">
        <f t="shared" si="26"/>
        <v>-8.0929081573445111E-2</v>
      </c>
      <c r="DK51">
        <f t="shared" si="41"/>
        <v>0.11783342466379383</v>
      </c>
      <c r="DL51">
        <f t="shared" si="27"/>
        <v>5.8222416244752905E-2</v>
      </c>
      <c r="DM51">
        <f t="shared" si="42"/>
        <v>4.3545433754211453</v>
      </c>
      <c r="DN51">
        <f>BX$56*(4-CT51)+BY$56*(CT51-3)</f>
        <v>-1.9987445191527864E-4</v>
      </c>
      <c r="DO51">
        <f t="shared" si="36"/>
        <v>0.99109014798840978</v>
      </c>
      <c r="DQ51">
        <f>(DQ53-DQ48)/5+DQ50</f>
        <v>-2.769169268360181</v>
      </c>
      <c r="DR51">
        <f t="shared" si="29"/>
        <v>-2.0755465900342121E-4</v>
      </c>
      <c r="DS51">
        <f t="shared" si="30"/>
        <v>-2.9650665571917317E-4</v>
      </c>
      <c r="DT51">
        <f t="shared" si="43"/>
        <v>0.98865666505283922</v>
      </c>
      <c r="DU51">
        <f t="shared" si="31"/>
        <v>-1.1343334947160777</v>
      </c>
      <c r="DV51">
        <f t="shared" si="153"/>
        <v>-18.27526618950035</v>
      </c>
      <c r="DW51">
        <f t="shared" si="154"/>
        <v>-0.89098520115902247</v>
      </c>
      <c r="DY51">
        <f t="shared" si="155"/>
        <v>-96.258992389850761</v>
      </c>
      <c r="DZ51">
        <f t="shared" si="156"/>
        <v>-88.216657533620619</v>
      </c>
      <c r="EA51">
        <f t="shared" si="157"/>
        <v>-48.889375613301752</v>
      </c>
      <c r="EB51">
        <f t="shared" si="158"/>
        <v>-22.428081443786262</v>
      </c>
      <c r="EC51">
        <f t="shared" si="159"/>
        <v>-18.27526618950035</v>
      </c>
      <c r="ED51">
        <f t="shared" si="160"/>
        <v>62.232710302914221</v>
      </c>
      <c r="EE51">
        <f t="shared" si="161"/>
        <v>92.018482205230185</v>
      </c>
      <c r="EF51">
        <f t="shared" si="162"/>
        <v>122.57307538012773</v>
      </c>
      <c r="EG51">
        <f t="shared" si="32"/>
        <v>335.45433754211456</v>
      </c>
    </row>
    <row r="52" spans="2:137" x14ac:dyDescent="0.35">
      <c r="B52" t="s">
        <v>356</v>
      </c>
      <c r="C52" s="19">
        <f>regions!B30</f>
        <v>400569</v>
      </c>
      <c r="D52" s="19">
        <f>regions!C30</f>
        <v>9849702194.2507877</v>
      </c>
      <c r="E52" s="8">
        <f>regions!D30</f>
        <v>24589.277238754839</v>
      </c>
      <c r="F52" s="1">
        <f>regions!Z30</f>
        <v>26.9</v>
      </c>
      <c r="G52" s="8"/>
      <c r="H52" s="8"/>
      <c r="I52">
        <f t="shared" si="113"/>
        <v>0</v>
      </c>
      <c r="J52">
        <f t="shared" si="193"/>
        <v>0</v>
      </c>
      <c r="K52">
        <f t="shared" si="193"/>
        <v>0</v>
      </c>
      <c r="L52">
        <f t="shared" si="193"/>
        <v>0</v>
      </c>
      <c r="M52">
        <f t="shared" si="193"/>
        <v>0</v>
      </c>
      <c r="N52">
        <f t="shared" si="193"/>
        <v>0</v>
      </c>
      <c r="O52">
        <f t="shared" si="193"/>
        <v>0</v>
      </c>
      <c r="P52">
        <f t="shared" si="115"/>
        <v>-0.28944399999999998</v>
      </c>
      <c r="Q52">
        <f t="shared" si="194"/>
        <v>-2.1920000000000051E-2</v>
      </c>
      <c r="R52">
        <f t="shared" si="194"/>
        <v>-4.4640000000000013E-2</v>
      </c>
      <c r="S52">
        <f t="shared" si="194"/>
        <v>-6.8159999999999998E-2</v>
      </c>
      <c r="T52">
        <f t="shared" si="194"/>
        <v>-9.2480000000000007E-2</v>
      </c>
      <c r="U52">
        <f t="shared" si="194"/>
        <v>-0.11759999999999998</v>
      </c>
      <c r="V52">
        <f t="shared" si="194"/>
        <v>-0.14351999999999998</v>
      </c>
      <c r="W52">
        <f t="shared" si="117"/>
        <v>-0.36180499999999993</v>
      </c>
      <c r="X52">
        <f t="shared" si="195"/>
        <v>-2.7400000000000035E-2</v>
      </c>
      <c r="Y52">
        <f t="shared" si="195"/>
        <v>-5.5800000000000016E-2</v>
      </c>
      <c r="Z52">
        <f t="shared" si="195"/>
        <v>-8.5199999999999998E-2</v>
      </c>
      <c r="AA52">
        <f t="shared" si="195"/>
        <v>-0.11560000000000004</v>
      </c>
      <c r="AB52">
        <f t="shared" si="195"/>
        <v>-0.14700000000000002</v>
      </c>
      <c r="AC52">
        <f t="shared" si="195"/>
        <v>-0.1794</v>
      </c>
      <c r="AD52">
        <f t="shared" si="119"/>
        <v>-0.32779532999999994</v>
      </c>
      <c r="AE52">
        <f t="shared" si="196"/>
        <v>-2.4824400000000024E-2</v>
      </c>
      <c r="AF52">
        <f t="shared" si="196"/>
        <v>-5.0554800000000011E-2</v>
      </c>
      <c r="AG52">
        <f t="shared" si="196"/>
        <v>-7.7191200000000015E-2</v>
      </c>
      <c r="AH52">
        <f t="shared" si="196"/>
        <v>-0.10473360000000004</v>
      </c>
      <c r="AI52">
        <f t="shared" si="196"/>
        <v>-0.13318200000000002</v>
      </c>
      <c r="AJ52">
        <f t="shared" si="196"/>
        <v>-0.16253640000000003</v>
      </c>
      <c r="AK52">
        <f t="shared" si="121"/>
        <v>-0.36904109999999996</v>
      </c>
      <c r="AL52">
        <f t="shared" si="197"/>
        <v>-2.7948000000000084E-2</v>
      </c>
      <c r="AM52">
        <f t="shared" si="197"/>
        <v>-5.6916000000000022E-2</v>
      </c>
      <c r="AN52">
        <f t="shared" si="197"/>
        <v>-8.6904000000000037E-2</v>
      </c>
      <c r="AO52">
        <f t="shared" si="197"/>
        <v>-0.11791200000000007</v>
      </c>
      <c r="AP52">
        <f t="shared" si="197"/>
        <v>-0.14994000000000002</v>
      </c>
      <c r="AQ52">
        <f t="shared" si="197"/>
        <v>-0.18298799999999998</v>
      </c>
      <c r="AR52">
        <f t="shared" si="123"/>
        <v>-0.55066720999999985</v>
      </c>
      <c r="AS52">
        <f t="shared" si="198"/>
        <v>-4.170280000000004E-2</v>
      </c>
      <c r="AT52">
        <f t="shared" si="198"/>
        <v>-8.4927600000000103E-2</v>
      </c>
      <c r="AU52">
        <f t="shared" si="198"/>
        <v>-0.12967439999999997</v>
      </c>
      <c r="AV52">
        <f t="shared" si="198"/>
        <v>-0.17594320000000008</v>
      </c>
      <c r="AW52">
        <f t="shared" si="198"/>
        <v>-0.22373399999999999</v>
      </c>
      <c r="AX52">
        <f t="shared" si="198"/>
        <v>-0.27304680000000003</v>
      </c>
      <c r="AY52">
        <f t="shared" si="128"/>
        <v>-0.15195809999999998</v>
      </c>
      <c r="AZ52">
        <f t="shared" si="129"/>
        <v>-1.1508000000000018E-2</v>
      </c>
      <c r="BA52">
        <f t="shared" si="129"/>
        <v>-2.3436000000000012E-2</v>
      </c>
      <c r="BB52">
        <f t="shared" si="129"/>
        <v>-3.578400000000001E-2</v>
      </c>
      <c r="BC52">
        <f t="shared" si="129"/>
        <v>-4.8552000000000012E-2</v>
      </c>
      <c r="BD52">
        <f t="shared" si="129"/>
        <v>-6.1739999999999989E-2</v>
      </c>
      <c r="BE52">
        <f t="shared" si="129"/>
        <v>-7.5347999999999998E-2</v>
      </c>
      <c r="BF52">
        <f t="shared" si="130"/>
        <v>-0.18090249999999997</v>
      </c>
      <c r="BG52">
        <f t="shared" si="184"/>
        <v>-1.3700000000000018E-2</v>
      </c>
      <c r="BH52">
        <f t="shared" si="184"/>
        <v>-2.7900000000000008E-2</v>
      </c>
      <c r="BI52">
        <f t="shared" si="184"/>
        <v>-4.2599999999999999E-2</v>
      </c>
      <c r="BJ52">
        <f t="shared" si="184"/>
        <v>-5.7800000000000018E-2</v>
      </c>
      <c r="BK52">
        <f t="shared" si="184"/>
        <v>-7.350000000000001E-2</v>
      </c>
      <c r="BL52">
        <f t="shared" si="184"/>
        <v>-8.9700000000000002E-2</v>
      </c>
      <c r="BM52">
        <f t="shared" si="132"/>
        <v>-0.57165189999999988</v>
      </c>
      <c r="BN52">
        <f t="shared" si="185"/>
        <v>-4.3292000000000108E-2</v>
      </c>
      <c r="BO52">
        <f t="shared" si="185"/>
        <v>-8.816400000000002E-2</v>
      </c>
      <c r="BP52">
        <f t="shared" si="185"/>
        <v>-0.13461600000000007</v>
      </c>
      <c r="BQ52">
        <f t="shared" si="185"/>
        <v>-0.18264800000000014</v>
      </c>
      <c r="BR52">
        <f t="shared" si="185"/>
        <v>-0.23226000000000002</v>
      </c>
      <c r="BS52">
        <f t="shared" si="185"/>
        <v>-0.28345200000000004</v>
      </c>
      <c r="BU52" t="s">
        <v>733</v>
      </c>
      <c r="BV52">
        <v>1</v>
      </c>
      <c r="BW52">
        <v>2</v>
      </c>
      <c r="BX52">
        <v>3</v>
      </c>
      <c r="BY52">
        <v>4</v>
      </c>
      <c r="BZ52">
        <v>5</v>
      </c>
      <c r="CA52">
        <v>6</v>
      </c>
      <c r="CC52" t="s">
        <v>733</v>
      </c>
      <c r="CD52" t="s">
        <v>739</v>
      </c>
      <c r="CE52" t="s">
        <v>740</v>
      </c>
      <c r="CG52" t="s">
        <v>752</v>
      </c>
      <c r="CH52" t="s">
        <v>753</v>
      </c>
      <c r="CS52">
        <f t="shared" si="33"/>
        <v>2069</v>
      </c>
      <c r="CT52">
        <f t="shared" si="34"/>
        <v>3.0600000000000018</v>
      </c>
      <c r="CU52">
        <f t="shared" si="35"/>
        <v>0.04</v>
      </c>
      <c r="CV52">
        <f t="shared" si="19"/>
        <v>-6.3541358278279428E-3</v>
      </c>
      <c r="CW52">
        <f t="shared" si="36"/>
        <v>0.81212460887477533</v>
      </c>
      <c r="CX52">
        <f t="shared" si="20"/>
        <v>-2.6469278908491843E-2</v>
      </c>
      <c r="CY52">
        <f t="shared" si="36"/>
        <v>0.49788601929311976</v>
      </c>
      <c r="CZ52">
        <f t="shared" si="21"/>
        <v>3.2133171817124759E-2</v>
      </c>
      <c r="DA52">
        <f t="shared" si="36"/>
        <v>2.2956202257018883</v>
      </c>
      <c r="DB52">
        <f t="shared" si="22"/>
        <v>1.9356983682612426E-2</v>
      </c>
      <c r="DC52">
        <f t="shared" si="37"/>
        <v>1.6530146125090521</v>
      </c>
      <c r="DD52">
        <f t="shared" si="23"/>
        <v>-1.0067501130961047E-2</v>
      </c>
      <c r="DE52">
        <f t="shared" si="38"/>
        <v>0.76808765310086324</v>
      </c>
      <c r="DF52">
        <f t="shared" si="24"/>
        <v>2.6154795692060924E-2</v>
      </c>
      <c r="DG52">
        <f t="shared" si="39"/>
        <v>1.9692620359997586</v>
      </c>
      <c r="DH52">
        <f t="shared" si="25"/>
        <v>-0.12545424545467787</v>
      </c>
      <c r="DI52">
        <f t="shared" si="40"/>
        <v>3.2823807456374546E-2</v>
      </c>
      <c r="DJ52">
        <f t="shared" si="26"/>
        <v>-8.2816920186802132E-2</v>
      </c>
      <c r="DK52">
        <f t="shared" si="41"/>
        <v>0.10829727382709926</v>
      </c>
      <c r="DL52">
        <f t="shared" si="27"/>
        <v>5.958057481288196E-2</v>
      </c>
      <c r="DM52">
        <f t="shared" si="42"/>
        <v>4.6080754123807468</v>
      </c>
      <c r="DN52">
        <f t="shared" ref="DN52:DN75" si="204">BX$56*(4-CT52)+BY$56*(CT52-3)</f>
        <v>-2.0050846511638739E-4</v>
      </c>
      <c r="DO52">
        <f t="shared" si="36"/>
        <v>0.99089205438828198</v>
      </c>
      <c r="DQ52">
        <f>(DQ53-DQ48)/5+DQ51</f>
        <v>-2.8216997298622046</v>
      </c>
      <c r="DR52">
        <f t="shared" si="29"/>
        <v>-2.075977468829854E-4</v>
      </c>
      <c r="DS52">
        <f t="shared" si="30"/>
        <v>-2.9656820983283631E-4</v>
      </c>
      <c r="DT52">
        <f t="shared" si="43"/>
        <v>0.98836352177142994</v>
      </c>
      <c r="DU52">
        <f t="shared" si="31"/>
        <v>-1.1636478228570057</v>
      </c>
      <c r="DV52">
        <f t="shared" si="153"/>
        <v>-18.787539112522467</v>
      </c>
      <c r="DW52">
        <f t="shared" si="154"/>
        <v>-0.91079456117180158</v>
      </c>
      <c r="DY52">
        <f t="shared" si="155"/>
        <v>-96.717619254362546</v>
      </c>
      <c r="DZ52">
        <f t="shared" si="156"/>
        <v>-89.170272617290067</v>
      </c>
      <c r="EA52">
        <f t="shared" si="157"/>
        <v>-50.21139807068802</v>
      </c>
      <c r="EB52">
        <f t="shared" si="158"/>
        <v>-23.191234689913674</v>
      </c>
      <c r="EC52">
        <f t="shared" si="159"/>
        <v>-18.787539112522467</v>
      </c>
      <c r="ED52">
        <f t="shared" si="160"/>
        <v>65.30146125090522</v>
      </c>
      <c r="EE52">
        <f t="shared" si="161"/>
        <v>96.926203599975864</v>
      </c>
      <c r="EF52">
        <f t="shared" si="162"/>
        <v>129.56202257018882</v>
      </c>
      <c r="EG52">
        <f t="shared" si="32"/>
        <v>360.80754123807469</v>
      </c>
    </row>
    <row r="53" spans="2:137" x14ac:dyDescent="0.35">
      <c r="B53" t="s">
        <v>216</v>
      </c>
      <c r="C53" s="19">
        <f>regions!B31</f>
        <v>7534289</v>
      </c>
      <c r="D53" s="19">
        <f>regions!C31</f>
        <v>32991740544.129009</v>
      </c>
      <c r="E53" s="8">
        <f>regions!D31</f>
        <v>4378.8790878779682</v>
      </c>
      <c r="F53" s="1">
        <f>regions!Z31</f>
        <v>10.5</v>
      </c>
      <c r="G53" s="8"/>
      <c r="H53" s="8"/>
      <c r="I53">
        <f t="shared" si="113"/>
        <v>0</v>
      </c>
      <c r="J53">
        <f t="shared" si="193"/>
        <v>0</v>
      </c>
      <c r="K53">
        <f t="shared" si="193"/>
        <v>0</v>
      </c>
      <c r="L53">
        <f t="shared" si="193"/>
        <v>0</v>
      </c>
      <c r="M53">
        <f t="shared" si="193"/>
        <v>0</v>
      </c>
      <c r="N53">
        <f t="shared" si="193"/>
        <v>0</v>
      </c>
      <c r="O53">
        <f t="shared" si="193"/>
        <v>0</v>
      </c>
      <c r="P53">
        <f t="shared" si="115"/>
        <v>-4.41E-2</v>
      </c>
      <c r="Q53">
        <f t="shared" si="194"/>
        <v>-8.8000000000000023E-3</v>
      </c>
      <c r="R53">
        <f t="shared" si="194"/>
        <v>-1.84E-2</v>
      </c>
      <c r="S53">
        <f t="shared" si="194"/>
        <v>-2.8800000000000006E-2</v>
      </c>
      <c r="T53">
        <f t="shared" si="194"/>
        <v>-4.0000000000000008E-2</v>
      </c>
      <c r="U53">
        <f t="shared" si="194"/>
        <v>-5.2000000000000005E-2</v>
      </c>
      <c r="V53">
        <f t="shared" si="194"/>
        <v>-6.480000000000001E-2</v>
      </c>
      <c r="W53">
        <f t="shared" si="117"/>
        <v>-5.5125E-2</v>
      </c>
      <c r="X53">
        <f t="shared" si="195"/>
        <v>-1.1000000000000003E-2</v>
      </c>
      <c r="Y53">
        <f t="shared" si="195"/>
        <v>-2.3E-2</v>
      </c>
      <c r="Z53">
        <f t="shared" si="195"/>
        <v>-3.5999999999999997E-2</v>
      </c>
      <c r="AA53">
        <f t="shared" si="195"/>
        <v>-4.9999999999999996E-2</v>
      </c>
      <c r="AB53">
        <f t="shared" si="195"/>
        <v>-6.5000000000000002E-2</v>
      </c>
      <c r="AC53">
        <f t="shared" si="195"/>
        <v>-8.0999999999999989E-2</v>
      </c>
      <c r="AD53">
        <f t="shared" si="119"/>
        <v>-4.9943250000000002E-2</v>
      </c>
      <c r="AE53">
        <f t="shared" si="196"/>
        <v>-9.9660000000000026E-3</v>
      </c>
      <c r="AF53">
        <f t="shared" si="196"/>
        <v>-2.0838000000000002E-2</v>
      </c>
      <c r="AG53">
        <f t="shared" si="196"/>
        <v>-3.2615999999999999E-2</v>
      </c>
      <c r="AH53">
        <f t="shared" si="196"/>
        <v>-4.53E-2</v>
      </c>
      <c r="AI53">
        <f t="shared" si="196"/>
        <v>-5.8890000000000005E-2</v>
      </c>
      <c r="AJ53">
        <f t="shared" si="196"/>
        <v>-7.3386000000000007E-2</v>
      </c>
      <c r="AK53">
        <f t="shared" si="121"/>
        <v>-5.6227500000000007E-2</v>
      </c>
      <c r="AL53">
        <f t="shared" si="197"/>
        <v>-1.1220000000000001E-2</v>
      </c>
      <c r="AM53">
        <f t="shared" si="197"/>
        <v>-2.3460000000000002E-2</v>
      </c>
      <c r="AN53">
        <f t="shared" si="197"/>
        <v>-3.6719999999999996E-2</v>
      </c>
      <c r="AO53">
        <f t="shared" si="197"/>
        <v>-5.0999999999999997E-2</v>
      </c>
      <c r="AP53">
        <f t="shared" si="197"/>
        <v>-6.6299999999999998E-2</v>
      </c>
      <c r="AQ53">
        <f t="shared" si="197"/>
        <v>-8.2619999999999999E-2</v>
      </c>
      <c r="AR53">
        <f t="shared" si="123"/>
        <v>-8.3900249999999996E-2</v>
      </c>
      <c r="AS53">
        <f t="shared" si="198"/>
        <v>-1.6741999999999993E-2</v>
      </c>
      <c r="AT53">
        <f t="shared" si="198"/>
        <v>-3.5005999999999995E-2</v>
      </c>
      <c r="AU53">
        <f t="shared" si="198"/>
        <v>-5.4791999999999993E-2</v>
      </c>
      <c r="AV53">
        <f t="shared" si="198"/>
        <v>-7.6099999999999987E-2</v>
      </c>
      <c r="AW53">
        <f t="shared" si="198"/>
        <v>-9.8930000000000004E-2</v>
      </c>
      <c r="AX53">
        <f t="shared" si="198"/>
        <v>-0.12328199999999999</v>
      </c>
      <c r="AY53">
        <f t="shared" si="128"/>
        <v>-2.3152499999999999E-2</v>
      </c>
      <c r="AZ53">
        <f t="shared" si="129"/>
        <v>-4.6200000000000026E-3</v>
      </c>
      <c r="BA53">
        <f t="shared" si="129"/>
        <v>-9.6600000000000019E-3</v>
      </c>
      <c r="BB53">
        <f t="shared" si="129"/>
        <v>-1.5120000000000001E-2</v>
      </c>
      <c r="BC53">
        <f t="shared" si="129"/>
        <v>-2.1000000000000005E-2</v>
      </c>
      <c r="BD53">
        <f t="shared" si="129"/>
        <v>-2.7300000000000005E-2</v>
      </c>
      <c r="BE53">
        <f t="shared" si="129"/>
        <v>-3.4020000000000002E-2</v>
      </c>
      <c r="BF53">
        <f t="shared" si="130"/>
        <v>-2.75625E-2</v>
      </c>
      <c r="BG53">
        <f t="shared" si="184"/>
        <v>-5.5000000000000014E-3</v>
      </c>
      <c r="BH53">
        <f t="shared" si="184"/>
        <v>-1.15E-2</v>
      </c>
      <c r="BI53">
        <f t="shared" si="184"/>
        <v>-1.7999999999999999E-2</v>
      </c>
      <c r="BJ53">
        <f t="shared" si="184"/>
        <v>-2.4999999999999998E-2</v>
      </c>
      <c r="BK53">
        <f t="shared" si="184"/>
        <v>-3.2500000000000001E-2</v>
      </c>
      <c r="BL53">
        <f t="shared" si="184"/>
        <v>-4.0499999999999994E-2</v>
      </c>
      <c r="BM53">
        <f t="shared" si="132"/>
        <v>-8.7097500000000008E-2</v>
      </c>
      <c r="BN53">
        <f t="shared" si="185"/>
        <v>-1.7379999999999993E-2</v>
      </c>
      <c r="BO53">
        <f t="shared" si="185"/>
        <v>-3.6339999999999997E-2</v>
      </c>
      <c r="BP53">
        <f t="shared" si="185"/>
        <v>-5.688E-2</v>
      </c>
      <c r="BQ53">
        <f t="shared" si="185"/>
        <v>-7.9000000000000001E-2</v>
      </c>
      <c r="BR53">
        <f t="shared" si="185"/>
        <v>-0.1027</v>
      </c>
      <c r="BS53">
        <f t="shared" si="185"/>
        <v>-0.12797999999999998</v>
      </c>
      <c r="BU53">
        <v>0.01</v>
      </c>
      <c r="BV53" s="37">
        <f>(BV42/CD42/CD42+$CC53/$CC61/$CC61)/BV69</f>
        <v>-4.4937343188578711E-5</v>
      </c>
      <c r="BW53" s="37">
        <f t="shared" ref="BW53:CA53" si="205">(BW42/CE42/CE42+$CC53/$CC61/$CC61)/BW69</f>
        <v>-4.5674066899193552E-5</v>
      </c>
      <c r="BX53" s="37">
        <f t="shared" si="205"/>
        <v>-4.9889473225147426E-5</v>
      </c>
      <c r="BY53" s="37">
        <f t="shared" si="205"/>
        <v>-5.3852012616948439E-5</v>
      </c>
      <c r="BZ53" s="37">
        <f t="shared" si="205"/>
        <v>-5.7455045459585963E-5</v>
      </c>
      <c r="CA53" s="37">
        <f t="shared" si="205"/>
        <v>-6.0633915756479586E-5</v>
      </c>
      <c r="CC53" s="37">
        <f t="shared" ref="CC53:CC58" si="206">(CD53/CD61/CD61+CE53/CE61/CE61)/CC69</f>
        <v>-5.4437650001799354E-5</v>
      </c>
      <c r="CD53" s="37">
        <f t="shared" ref="CD53:CD58" si="207">$D$3*BU27</f>
        <v>-4.6554016126284825E-5</v>
      </c>
      <c r="CE53" s="37">
        <f t="shared" ref="CE53:CE58" si="208">$D$6*BU27</f>
        <v>-1.7139999999999999E-4</v>
      </c>
      <c r="CG53" s="37">
        <f>MIN(CD53-CD61,CE53-CE61,CE27-CE34,CM27-CM34)</f>
        <v>-2.1920167361086848E-4</v>
      </c>
      <c r="CH53" s="37">
        <f>MAX(CD53+CD61,CE53+CE61,CE27+CE34,CM27+CM34)</f>
        <v>1.5404832808372093E-5</v>
      </c>
      <c r="CS53">
        <f t="shared" si="33"/>
        <v>2070</v>
      </c>
      <c r="CT53">
        <f t="shared" si="34"/>
        <v>3.1000000000000019</v>
      </c>
      <c r="CU53">
        <f t="shared" si="35"/>
        <v>0.04</v>
      </c>
      <c r="CV53">
        <f t="shared" si="19"/>
        <v>-6.4400731299796886E-3</v>
      </c>
      <c r="CW53">
        <f t="shared" si="36"/>
        <v>0.80696425880086331</v>
      </c>
      <c r="CX53">
        <f t="shared" si="20"/>
        <v>-2.7079472530259455E-2</v>
      </c>
      <c r="CY53">
        <f t="shared" si="36"/>
        <v>0.48470733538381144</v>
      </c>
      <c r="CZ53">
        <f t="shared" si="21"/>
        <v>3.2873934591878019E-2</v>
      </c>
      <c r="DA53">
        <f t="shared" si="36"/>
        <v>2.3693857848412336</v>
      </c>
      <c r="DB53">
        <f t="shared" si="22"/>
        <v>1.9803218278599113E-2</v>
      </c>
      <c r="DC53">
        <f t="shared" si="37"/>
        <v>1.6850119893905098</v>
      </c>
      <c r="DD53">
        <f t="shared" si="23"/>
        <v>-1.02995862209436E-2</v>
      </c>
      <c r="DE53">
        <f t="shared" si="38"/>
        <v>0.76035492978459307</v>
      </c>
      <c r="DF53">
        <f t="shared" si="24"/>
        <v>2.6757739563902115E-2</v>
      </c>
      <c r="DG53">
        <f t="shared" si="39"/>
        <v>2.0207676822154643</v>
      </c>
      <c r="DH53">
        <f t="shared" si="25"/>
        <v>-0.12834632954449243</v>
      </c>
      <c r="DI53">
        <f t="shared" si="40"/>
        <v>2.8705921458985449E-2</v>
      </c>
      <c r="DJ53">
        <f t="shared" si="26"/>
        <v>-8.4726090309914612E-2</v>
      </c>
      <c r="DK53">
        <f t="shared" si="41"/>
        <v>9.9328427144112136E-2</v>
      </c>
      <c r="DL53">
        <f t="shared" si="27"/>
        <v>6.095407980550966E-2</v>
      </c>
      <c r="DM53">
        <f t="shared" si="42"/>
        <v>4.8826271942314996</v>
      </c>
      <c r="DN53">
        <f t="shared" si="204"/>
        <v>-2.0114247831749609E-4</v>
      </c>
      <c r="DO53">
        <f t="shared" si="36"/>
        <v>0.99069337214336051</v>
      </c>
      <c r="DP53">
        <f>graph!A54</f>
        <v>3.1000000000000014</v>
      </c>
      <c r="DQ53">
        <f>DS1*graph!B54</f>
        <v>-2.8742301913642283</v>
      </c>
      <c r="DR53">
        <f t="shared" si="29"/>
        <v>-2.1678982103630679E-4</v>
      </c>
      <c r="DS53">
        <f t="shared" si="30"/>
        <v>-3.0969974433758113E-4</v>
      </c>
      <c r="DT53">
        <f t="shared" si="43"/>
        <v>0.98807040457111417</v>
      </c>
      <c r="DU53">
        <f t="shared" si="31"/>
        <v>-1.1929595428885831</v>
      </c>
      <c r="DV53">
        <f t="shared" si="153"/>
        <v>-19.303574119913669</v>
      </c>
      <c r="DW53">
        <f t="shared" si="154"/>
        <v>-0.93066278566394933</v>
      </c>
      <c r="DY53">
        <f t="shared" si="155"/>
        <v>-97.129407854101458</v>
      </c>
      <c r="DZ53">
        <f t="shared" si="156"/>
        <v>-90.067157285588777</v>
      </c>
      <c r="EA53">
        <f t="shared" si="157"/>
        <v>-51.52926646161886</v>
      </c>
      <c r="EB53">
        <f t="shared" si="158"/>
        <v>-23.964507021540694</v>
      </c>
      <c r="EC53">
        <f t="shared" si="159"/>
        <v>-19.303574119913669</v>
      </c>
      <c r="ED53">
        <f t="shared" si="160"/>
        <v>68.50119893905098</v>
      </c>
      <c r="EE53">
        <f t="shared" si="161"/>
        <v>102.07676822154643</v>
      </c>
      <c r="EF53">
        <f t="shared" si="162"/>
        <v>136.93857848412335</v>
      </c>
      <c r="EG53">
        <f t="shared" si="32"/>
        <v>388.26271942314997</v>
      </c>
    </row>
    <row r="54" spans="2:137" x14ac:dyDescent="0.35">
      <c r="B54" t="s">
        <v>247</v>
      </c>
      <c r="C54" s="19">
        <f>regions!B32</f>
        <v>15540284</v>
      </c>
      <c r="D54" s="19">
        <f>regions!C32</f>
        <v>7105465610.4591045</v>
      </c>
      <c r="E54" s="8">
        <f>regions!D32</f>
        <v>457.22881322240346</v>
      </c>
      <c r="F54" s="1">
        <f>regions!Z32</f>
        <v>28.2</v>
      </c>
      <c r="G54" s="8"/>
      <c r="H54" s="8"/>
      <c r="I54">
        <f t="shared" si="113"/>
        <v>-0.39310799999999996</v>
      </c>
      <c r="J54">
        <f t="shared" si="193"/>
        <v>-1.3940000000000008E-2</v>
      </c>
      <c r="K54">
        <f t="shared" si="193"/>
        <v>-2.7880000000000016E-2</v>
      </c>
      <c r="L54">
        <f t="shared" si="193"/>
        <v>-4.1820000000000024E-2</v>
      </c>
      <c r="M54">
        <f t="shared" si="193"/>
        <v>-5.5760000000000032E-2</v>
      </c>
      <c r="N54">
        <f t="shared" si="193"/>
        <v>-6.970000000000004E-2</v>
      </c>
      <c r="O54">
        <f t="shared" si="193"/>
        <v>-8.3640000000000048E-2</v>
      </c>
      <c r="P54">
        <f t="shared" si="115"/>
        <v>-0.31809600000000005</v>
      </c>
      <c r="Q54">
        <f t="shared" si="194"/>
        <v>-2.295999999999998E-2</v>
      </c>
      <c r="R54">
        <f t="shared" si="194"/>
        <v>-4.6719999999999984E-2</v>
      </c>
      <c r="S54">
        <f t="shared" si="194"/>
        <v>-7.1279999999999955E-2</v>
      </c>
      <c r="T54">
        <f t="shared" si="194"/>
        <v>-9.6640000000000059E-2</v>
      </c>
      <c r="U54">
        <f t="shared" si="194"/>
        <v>-0.12280000000000008</v>
      </c>
      <c r="V54">
        <f t="shared" si="194"/>
        <v>-0.14976</v>
      </c>
      <c r="W54">
        <f t="shared" si="117"/>
        <v>-0.39762000000000003</v>
      </c>
      <c r="X54">
        <f t="shared" si="195"/>
        <v>-2.8699999999999948E-2</v>
      </c>
      <c r="Y54">
        <f t="shared" si="195"/>
        <v>-5.8399999999999952E-2</v>
      </c>
      <c r="Z54">
        <f t="shared" si="195"/>
        <v>-8.9099999999999957E-2</v>
      </c>
      <c r="AA54">
        <f t="shared" si="195"/>
        <v>-0.12080000000000007</v>
      </c>
      <c r="AB54">
        <f t="shared" si="195"/>
        <v>-0.15350000000000014</v>
      </c>
      <c r="AC54">
        <f t="shared" si="195"/>
        <v>-0.18720000000000009</v>
      </c>
      <c r="AD54">
        <f t="shared" si="119"/>
        <v>-0.36024371999999999</v>
      </c>
      <c r="AE54">
        <f t="shared" si="196"/>
        <v>-2.6002200000000031E-2</v>
      </c>
      <c r="AF54">
        <f t="shared" si="196"/>
        <v>-5.2910400000000024E-2</v>
      </c>
      <c r="AG54">
        <f t="shared" si="196"/>
        <v>-8.072459999999998E-2</v>
      </c>
      <c r="AH54">
        <f t="shared" si="196"/>
        <v>-0.10944480000000006</v>
      </c>
      <c r="AI54">
        <f t="shared" si="196"/>
        <v>-0.13907100000000011</v>
      </c>
      <c r="AJ54">
        <f t="shared" si="196"/>
        <v>-0.16960320000000001</v>
      </c>
      <c r="AK54">
        <f t="shared" si="121"/>
        <v>-0.40557240000000006</v>
      </c>
      <c r="AL54">
        <f t="shared" si="197"/>
        <v>-2.9273999999999967E-2</v>
      </c>
      <c r="AM54">
        <f t="shared" si="197"/>
        <v>-5.9567999999999954E-2</v>
      </c>
      <c r="AN54">
        <f t="shared" si="197"/>
        <v>-9.0881999999999963E-2</v>
      </c>
      <c r="AO54">
        <f t="shared" si="197"/>
        <v>-0.1232160000000001</v>
      </c>
      <c r="AP54">
        <f t="shared" si="197"/>
        <v>-0.1565700000000001</v>
      </c>
      <c r="AQ54">
        <f t="shared" si="197"/>
        <v>-0.190944</v>
      </c>
      <c r="AR54">
        <f t="shared" si="123"/>
        <v>-0.60517763999999996</v>
      </c>
      <c r="AS54">
        <f t="shared" si="198"/>
        <v>-4.3681399999999981E-2</v>
      </c>
      <c r="AT54">
        <f t="shared" si="198"/>
        <v>-8.8884799999999986E-2</v>
      </c>
      <c r="AU54">
        <f t="shared" si="198"/>
        <v>-0.1356101999999999</v>
      </c>
      <c r="AV54">
        <f t="shared" si="198"/>
        <v>-0.18385760000000007</v>
      </c>
      <c r="AW54">
        <f t="shared" si="198"/>
        <v>-0.23362700000000014</v>
      </c>
      <c r="AX54">
        <f t="shared" si="198"/>
        <v>-0.28491840000000002</v>
      </c>
      <c r="AY54">
        <f t="shared" si="128"/>
        <v>-0.16700040000000002</v>
      </c>
      <c r="AZ54">
        <f t="shared" si="129"/>
        <v>-1.2053999999999981E-2</v>
      </c>
      <c r="BA54">
        <f t="shared" si="129"/>
        <v>-2.4527999999999966E-2</v>
      </c>
      <c r="BB54">
        <f t="shared" si="129"/>
        <v>-3.7421999999999983E-2</v>
      </c>
      <c r="BC54">
        <f t="shared" si="129"/>
        <v>-5.0736000000000031E-2</v>
      </c>
      <c r="BD54">
        <f t="shared" si="129"/>
        <v>-6.4470000000000027E-2</v>
      </c>
      <c r="BE54">
        <f t="shared" si="129"/>
        <v>-7.8623999999999999E-2</v>
      </c>
      <c r="BF54">
        <f t="shared" si="130"/>
        <v>-0.19881000000000001</v>
      </c>
      <c r="BG54">
        <f t="shared" si="184"/>
        <v>-1.4349999999999974E-2</v>
      </c>
      <c r="BH54">
        <f t="shared" si="184"/>
        <v>-2.9199999999999976E-2</v>
      </c>
      <c r="BI54">
        <f t="shared" si="184"/>
        <v>-4.4549999999999979E-2</v>
      </c>
      <c r="BJ54">
        <f t="shared" si="184"/>
        <v>-6.0400000000000037E-2</v>
      </c>
      <c r="BK54">
        <f t="shared" si="184"/>
        <v>-7.6750000000000068E-2</v>
      </c>
      <c r="BL54">
        <f t="shared" si="184"/>
        <v>-9.3600000000000044E-2</v>
      </c>
      <c r="BM54">
        <f t="shared" si="132"/>
        <v>-0.62823960000000001</v>
      </c>
      <c r="BN54">
        <f t="shared" si="185"/>
        <v>-4.5345999999999997E-2</v>
      </c>
      <c r="BO54">
        <f t="shared" si="185"/>
        <v>-9.2272000000000021E-2</v>
      </c>
      <c r="BP54">
        <f t="shared" si="185"/>
        <v>-0.14077799999999996</v>
      </c>
      <c r="BQ54">
        <f t="shared" si="185"/>
        <v>-0.19086400000000014</v>
      </c>
      <c r="BR54">
        <f t="shared" si="185"/>
        <v>-0.24253000000000025</v>
      </c>
      <c r="BS54">
        <f t="shared" si="185"/>
        <v>-0.29577600000000004</v>
      </c>
      <c r="BU54">
        <v>0.02</v>
      </c>
      <c r="BV54" s="37">
        <f t="shared" ref="BV54:CA54" si="209">(BV43/CD43/CD43+$CC54/$CC62/$CC62)/BV70</f>
        <v>-8.9874329235368664E-5</v>
      </c>
      <c r="BW54" s="37">
        <f t="shared" si="209"/>
        <v>-9.1348042469715374E-5</v>
      </c>
      <c r="BX54" s="37">
        <f t="shared" si="209"/>
        <v>-9.977890168670087E-5</v>
      </c>
      <c r="BY54" s="37">
        <f t="shared" si="209"/>
        <v>-1.0770399771954905E-4</v>
      </c>
      <c r="BZ54" s="37">
        <f t="shared" si="209"/>
        <v>-1.1491007186524075E-4</v>
      </c>
      <c r="CA54" s="37">
        <f t="shared" si="209"/>
        <v>-1.2126781733619532E-4</v>
      </c>
      <c r="CC54" s="37">
        <f t="shared" si="206"/>
        <v>-1.0887530000359871E-4</v>
      </c>
      <c r="CD54" s="37">
        <f t="shared" si="207"/>
        <v>-9.3108032252569651E-5</v>
      </c>
      <c r="CE54" s="37">
        <f t="shared" si="208"/>
        <v>-3.4279999999999998E-4</v>
      </c>
      <c r="CG54" s="37">
        <f t="shared" ref="CG54:CG58" si="210">MIN(CD54-CD62,CE54-CE62,CE28-CE35,CM28-CM35)</f>
        <v>-4.3840334722173696E-4</v>
      </c>
      <c r="CH54" s="37">
        <f t="shared" ref="CH54:CH58" si="211">MAX(CD54+CD62,CE54+CE62,CE28+CE35,CM28+CM35)</f>
        <v>3.0809665616744186E-5</v>
      </c>
      <c r="CS54">
        <f t="shared" si="33"/>
        <v>2071</v>
      </c>
      <c r="CT54">
        <f t="shared" si="34"/>
        <v>3.1400000000000019</v>
      </c>
      <c r="CU54">
        <f t="shared" si="35"/>
        <v>0.04</v>
      </c>
      <c r="CV54">
        <f t="shared" si="19"/>
        <v>-6.5260846696306657E-3</v>
      </c>
      <c r="CW54">
        <f t="shared" si="36"/>
        <v>0.80176734996090582</v>
      </c>
      <c r="CX54">
        <f t="shared" si="20"/>
        <v>-2.7696483957856871E-2</v>
      </c>
      <c r="CY54">
        <f t="shared" si="36"/>
        <v>0.4715817164100703</v>
      </c>
      <c r="CZ54">
        <f t="shared" si="21"/>
        <v>3.3622974045678794E-2</v>
      </c>
      <c r="DA54">
        <f t="shared" si="36"/>
        <v>2.44727681815503</v>
      </c>
      <c r="DB54">
        <f t="shared" si="22"/>
        <v>2.0254438735993474E-2</v>
      </c>
      <c r="DC54">
        <f t="shared" si="37"/>
        <v>1.7183806496184668</v>
      </c>
      <c r="DD54">
        <f t="shared" si="23"/>
        <v>-1.0534264440423165E-2</v>
      </c>
      <c r="DE54">
        <f t="shared" si="38"/>
        <v>0.75252358862675717</v>
      </c>
      <c r="DF54">
        <f t="shared" si="24"/>
        <v>2.7367420238780645E-2</v>
      </c>
      <c r="DG54">
        <f t="shared" si="39"/>
        <v>2.0748388575753358</v>
      </c>
      <c r="DH54">
        <f t="shared" si="25"/>
        <v>-0.13127072742301998</v>
      </c>
      <c r="DI54">
        <f t="shared" si="40"/>
        <v>2.5021621803532186E-2</v>
      </c>
      <c r="DJ54">
        <f t="shared" si="26"/>
        <v>-8.6656591942782552E-2</v>
      </c>
      <c r="DK54">
        <f t="shared" si="41"/>
        <v>9.0912717855558323E-2</v>
      </c>
      <c r="DL54">
        <f t="shared" si="27"/>
        <v>6.234293122263599E-2</v>
      </c>
      <c r="DM54">
        <f t="shared" si="42"/>
        <v>5.1802432418892383</v>
      </c>
      <c r="DN54">
        <f t="shared" si="204"/>
        <v>-2.0177649151860479E-4</v>
      </c>
      <c r="DO54">
        <f t="shared" si="36"/>
        <v>0.99049410162323492</v>
      </c>
      <c r="DQ54">
        <f>(DQ58-DQ53)/5+DQ53</f>
        <v>-2.9290752240362736</v>
      </c>
      <c r="DR54">
        <f t="shared" si="29"/>
        <v>-2.1683682905367143E-4</v>
      </c>
      <c r="DS54">
        <f t="shared" si="30"/>
        <v>-3.0976689864810206E-4</v>
      </c>
      <c r="DT54">
        <f t="shared" si="43"/>
        <v>0.98776439941943095</v>
      </c>
      <c r="DU54">
        <f t="shared" si="31"/>
        <v>-1.223560058056905</v>
      </c>
      <c r="DV54">
        <f t="shared" si="153"/>
        <v>-19.82326500390942</v>
      </c>
      <c r="DW54">
        <f t="shared" si="154"/>
        <v>-0.95058983767650762</v>
      </c>
      <c r="DY54">
        <f t="shared" si="155"/>
        <v>-97.497837819646776</v>
      </c>
      <c r="DZ54">
        <f t="shared" si="156"/>
        <v>-90.908728214444167</v>
      </c>
      <c r="EA54">
        <f t="shared" si="157"/>
        <v>-52.84182835899297</v>
      </c>
      <c r="EB54">
        <f t="shared" si="158"/>
        <v>-24.747641137324283</v>
      </c>
      <c r="EC54">
        <f t="shared" si="159"/>
        <v>-19.82326500390942</v>
      </c>
      <c r="ED54">
        <f t="shared" si="160"/>
        <v>71.838064961846683</v>
      </c>
      <c r="EE54">
        <f t="shared" si="161"/>
        <v>107.48388575753359</v>
      </c>
      <c r="EF54">
        <f t="shared" si="162"/>
        <v>144.72768181550299</v>
      </c>
      <c r="EG54">
        <f t="shared" si="32"/>
        <v>418.02432418892386</v>
      </c>
    </row>
    <row r="55" spans="2:137" x14ac:dyDescent="0.35">
      <c r="B55" t="s">
        <v>357</v>
      </c>
      <c r="C55" s="19">
        <f>regions!B33</f>
        <v>9232753</v>
      </c>
      <c r="D55" s="19">
        <f>regions!C33</f>
        <v>1391766915.34813</v>
      </c>
      <c r="E55" s="8">
        <f>regions!D33</f>
        <v>150.74235337478757</v>
      </c>
      <c r="F55" s="1">
        <f>regions!Z33</f>
        <v>19.7</v>
      </c>
      <c r="G55" s="8"/>
      <c r="H55" s="8"/>
      <c r="I55">
        <f t="shared" si="113"/>
        <v>-0.27461799999999997</v>
      </c>
      <c r="J55">
        <f t="shared" si="193"/>
        <v>-1.3940000000000008E-2</v>
      </c>
      <c r="K55">
        <f t="shared" si="193"/>
        <v>-2.7880000000000016E-2</v>
      </c>
      <c r="L55">
        <f t="shared" si="193"/>
        <v>-4.1820000000000024E-2</v>
      </c>
      <c r="M55">
        <f t="shared" si="193"/>
        <v>-5.5759999999999976E-2</v>
      </c>
      <c r="N55">
        <f t="shared" si="193"/>
        <v>-6.9699999999999984E-2</v>
      </c>
      <c r="O55">
        <f t="shared" si="193"/>
        <v>-8.3639999999999992E-2</v>
      </c>
      <c r="P55">
        <f t="shared" si="115"/>
        <v>-0.15523599999999999</v>
      </c>
      <c r="Q55">
        <f t="shared" si="194"/>
        <v>-1.6160000000000008E-2</v>
      </c>
      <c r="R55">
        <f t="shared" si="194"/>
        <v>-3.3120000000000011E-2</v>
      </c>
      <c r="S55">
        <f t="shared" si="194"/>
        <v>-5.0880000000000009E-2</v>
      </c>
      <c r="T55">
        <f t="shared" si="194"/>
        <v>-6.9440000000000002E-2</v>
      </c>
      <c r="U55">
        <f t="shared" si="194"/>
        <v>-8.879999999999999E-2</v>
      </c>
      <c r="V55">
        <f t="shared" si="194"/>
        <v>-0.10896000000000006</v>
      </c>
      <c r="W55">
        <f t="shared" si="117"/>
        <v>-0.194045</v>
      </c>
      <c r="X55">
        <f t="shared" si="195"/>
        <v>-2.0199999999999996E-2</v>
      </c>
      <c r="Y55">
        <f t="shared" si="195"/>
        <v>-4.1399999999999992E-2</v>
      </c>
      <c r="Z55">
        <f t="shared" si="195"/>
        <v>-6.3600000000000018E-2</v>
      </c>
      <c r="AA55">
        <f t="shared" si="195"/>
        <v>-8.6799999999999961E-2</v>
      </c>
      <c r="AB55">
        <f t="shared" si="195"/>
        <v>-0.11099999999999996</v>
      </c>
      <c r="AC55">
        <f t="shared" si="195"/>
        <v>-0.13620000000000002</v>
      </c>
      <c r="AD55">
        <f t="shared" si="119"/>
        <v>-0.17580477</v>
      </c>
      <c r="AE55">
        <f t="shared" si="196"/>
        <v>-1.830119999999999E-2</v>
      </c>
      <c r="AF55">
        <f t="shared" si="196"/>
        <v>-3.7508399999999997E-2</v>
      </c>
      <c r="AG55">
        <f t="shared" si="196"/>
        <v>-5.7621599999999995E-2</v>
      </c>
      <c r="AH55">
        <f t="shared" si="196"/>
        <v>-7.8640799999999955E-2</v>
      </c>
      <c r="AI55">
        <f t="shared" si="196"/>
        <v>-0.10056599999999999</v>
      </c>
      <c r="AJ55">
        <f t="shared" si="196"/>
        <v>-0.12339719999999998</v>
      </c>
      <c r="AK55">
        <f t="shared" si="121"/>
        <v>-0.19792589999999999</v>
      </c>
      <c r="AL55">
        <f t="shared" si="197"/>
        <v>-2.0604000000000011E-2</v>
      </c>
      <c r="AM55">
        <f t="shared" si="197"/>
        <v>-4.2228000000000016E-2</v>
      </c>
      <c r="AN55">
        <f t="shared" si="197"/>
        <v>-6.4871999999999985E-2</v>
      </c>
      <c r="AO55">
        <f t="shared" si="197"/>
        <v>-8.8536000000000004E-2</v>
      </c>
      <c r="AP55">
        <f t="shared" si="197"/>
        <v>-0.11321999999999999</v>
      </c>
      <c r="AQ55">
        <f t="shared" si="197"/>
        <v>-0.13892400000000005</v>
      </c>
      <c r="AR55">
        <f t="shared" si="123"/>
        <v>-0.29533648999999995</v>
      </c>
      <c r="AS55">
        <f t="shared" si="198"/>
        <v>-3.0744400000000005E-2</v>
      </c>
      <c r="AT55">
        <f t="shared" si="198"/>
        <v>-6.3010800000000033E-2</v>
      </c>
      <c r="AU55">
        <f t="shared" si="198"/>
        <v>-9.6799199999999974E-2</v>
      </c>
      <c r="AV55">
        <f t="shared" si="198"/>
        <v>-0.13210959999999999</v>
      </c>
      <c r="AW55">
        <f t="shared" si="198"/>
        <v>-0.16894199999999998</v>
      </c>
      <c r="AX55">
        <f t="shared" si="198"/>
        <v>-0.20729640000000005</v>
      </c>
      <c r="AY55">
        <f t="shared" si="128"/>
        <v>-8.1498899999999999E-2</v>
      </c>
      <c r="AZ55">
        <f t="shared" si="129"/>
        <v>-8.4839999999999915E-3</v>
      </c>
      <c r="BA55">
        <f t="shared" si="129"/>
        <v>-1.7388000000000001E-2</v>
      </c>
      <c r="BB55">
        <f t="shared" si="129"/>
        <v>-2.6712E-2</v>
      </c>
      <c r="BC55">
        <f t="shared" si="129"/>
        <v>-3.6455999999999988E-2</v>
      </c>
      <c r="BD55">
        <f t="shared" si="129"/>
        <v>-4.6619999999999981E-2</v>
      </c>
      <c r="BE55">
        <f t="shared" si="129"/>
        <v>-5.7204000000000019E-2</v>
      </c>
      <c r="BF55">
        <f t="shared" si="130"/>
        <v>-9.7022499999999998E-2</v>
      </c>
      <c r="BG55">
        <f t="shared" si="184"/>
        <v>-1.0099999999999998E-2</v>
      </c>
      <c r="BH55">
        <f t="shared" si="184"/>
        <v>-2.0699999999999996E-2</v>
      </c>
      <c r="BI55">
        <f t="shared" si="184"/>
        <v>-3.1800000000000009E-2</v>
      </c>
      <c r="BJ55">
        <f t="shared" si="184"/>
        <v>-4.339999999999998E-2</v>
      </c>
      <c r="BK55">
        <f t="shared" si="184"/>
        <v>-5.549999999999998E-2</v>
      </c>
      <c r="BL55">
        <f t="shared" si="184"/>
        <v>-6.8100000000000008E-2</v>
      </c>
      <c r="BM55">
        <f t="shared" si="132"/>
        <v>-0.30659110000000001</v>
      </c>
      <c r="BN55">
        <f t="shared" si="185"/>
        <v>-3.1915999999999944E-2</v>
      </c>
      <c r="BO55">
        <f t="shared" si="185"/>
        <v>-6.541199999999997E-2</v>
      </c>
      <c r="BP55">
        <f t="shared" si="185"/>
        <v>-0.10048799999999997</v>
      </c>
      <c r="BQ55">
        <f t="shared" si="185"/>
        <v>-0.13714399999999993</v>
      </c>
      <c r="BR55">
        <f t="shared" si="185"/>
        <v>-0.17537999999999992</v>
      </c>
      <c r="BS55">
        <f t="shared" si="185"/>
        <v>-0.21519600000000005</v>
      </c>
      <c r="BU55">
        <v>0.03</v>
      </c>
      <c r="BV55" s="37">
        <f t="shared" ref="BV55:CA55" si="212">(BV44/CD44/CD44+$CC55/$CC63/$CC63)/BV71</f>
        <v>-1.3481060156538281E-4</v>
      </c>
      <c r="BW55" s="37">
        <f t="shared" si="212"/>
        <v>-1.3702183541991966E-4</v>
      </c>
      <c r="BX55" s="37">
        <f t="shared" si="212"/>
        <v>-1.4966824062941265E-4</v>
      </c>
      <c r="BY55" s="37">
        <f t="shared" si="212"/>
        <v>-1.6155592779647525E-4</v>
      </c>
      <c r="BZ55" s="37">
        <f t="shared" si="212"/>
        <v>-1.7236506016444925E-4</v>
      </c>
      <c r="CA55" s="37">
        <f t="shared" si="212"/>
        <v>-1.819016905631638E-4</v>
      </c>
      <c r="CC55" s="37">
        <f t="shared" si="206"/>
        <v>-1.6331295000539806E-4</v>
      </c>
      <c r="CD55" s="37">
        <f t="shared" si="207"/>
        <v>-1.3966204837885448E-4</v>
      </c>
      <c r="CE55" s="37">
        <f t="shared" si="208"/>
        <v>-5.1419999999999992E-4</v>
      </c>
      <c r="CG55" s="37">
        <f t="shared" si="210"/>
        <v>-6.576050208326053E-4</v>
      </c>
      <c r="CH55" s="37">
        <f t="shared" si="211"/>
        <v>4.6214498425116286E-5</v>
      </c>
      <c r="CS55">
        <f t="shared" si="33"/>
        <v>2072</v>
      </c>
      <c r="CT55">
        <f t="shared" si="34"/>
        <v>3.1800000000000019</v>
      </c>
      <c r="CU55">
        <f t="shared" si="35"/>
        <v>0.04</v>
      </c>
      <c r="CV55">
        <f t="shared" si="19"/>
        <v>-6.6121704467808733E-3</v>
      </c>
      <c r="CW55">
        <f t="shared" si="36"/>
        <v>0.7965349483497155</v>
      </c>
      <c r="CX55">
        <f t="shared" si="20"/>
        <v>-2.8320313191284086E-2</v>
      </c>
      <c r="CY55">
        <f t="shared" si="36"/>
        <v>0.45852056096670019</v>
      </c>
      <c r="CZ55">
        <f t="shared" si="21"/>
        <v>3.4380290178527097E-2</v>
      </c>
      <c r="DA55">
        <f t="shared" si="36"/>
        <v>2.5295615430944478</v>
      </c>
      <c r="DB55">
        <f t="shared" si="22"/>
        <v>2.0710645054795501E-2</v>
      </c>
      <c r="DC55">
        <f t="shared" si="37"/>
        <v>1.7531854852112809</v>
      </c>
      <c r="DD55">
        <f t="shared" si="23"/>
        <v>-1.0771535789399742E-2</v>
      </c>
      <c r="DE55">
        <f t="shared" si="38"/>
        <v>0.74459630614650674</v>
      </c>
      <c r="DF55">
        <f t="shared" si="24"/>
        <v>2.7983837716696498E-2</v>
      </c>
      <c r="DG55">
        <f t="shared" si="39"/>
        <v>2.1316218445183512</v>
      </c>
      <c r="DH55">
        <f t="shared" si="25"/>
        <v>-0.1342274390902605</v>
      </c>
      <c r="DI55">
        <f t="shared" si="40"/>
        <v>2.1737015308078818E-2</v>
      </c>
      <c r="DJ55">
        <f t="shared" si="26"/>
        <v>-8.8608425085405895E-2</v>
      </c>
      <c r="DK55">
        <f t="shared" si="41"/>
        <v>8.3034531561939892E-2</v>
      </c>
      <c r="DL55">
        <f t="shared" si="27"/>
        <v>6.3747129064260943E-2</v>
      </c>
      <c r="DM55">
        <f t="shared" si="42"/>
        <v>5.5031947900348639</v>
      </c>
      <c r="DN55">
        <f t="shared" si="204"/>
        <v>-2.0241050471971351E-4</v>
      </c>
      <c r="DO55">
        <f t="shared" si="36"/>
        <v>0.99029424319853943</v>
      </c>
      <c r="DQ55">
        <f>(DQ58-DQ53)/5+DQ54</f>
        <v>-2.983920256708319</v>
      </c>
      <c r="DR55">
        <f t="shared" si="29"/>
        <v>-2.1688385746159632E-4</v>
      </c>
      <c r="DS55">
        <f t="shared" si="30"/>
        <v>-3.0983408208799476E-4</v>
      </c>
      <c r="DT55">
        <f t="shared" si="43"/>
        <v>0.98745842270482775</v>
      </c>
      <c r="DU55">
        <f t="shared" si="31"/>
        <v>-1.2541577295172246</v>
      </c>
      <c r="DV55">
        <f t="shared" si="153"/>
        <v>-20.34650516502845</v>
      </c>
      <c r="DW55">
        <f t="shared" si="154"/>
        <v>-0.97057568014605744</v>
      </c>
      <c r="DY55">
        <f t="shared" si="155"/>
        <v>-97.826298469192125</v>
      </c>
      <c r="DZ55">
        <f t="shared" si="156"/>
        <v>-91.696546843806019</v>
      </c>
      <c r="EA55">
        <f t="shared" si="157"/>
        <v>-54.147943903329974</v>
      </c>
      <c r="EB55">
        <f t="shared" si="158"/>
        <v>-25.540369385349326</v>
      </c>
      <c r="EC55">
        <f t="shared" si="159"/>
        <v>-20.34650516502845</v>
      </c>
      <c r="ED55">
        <f t="shared" si="160"/>
        <v>75.318548521128093</v>
      </c>
      <c r="EE55">
        <f t="shared" si="161"/>
        <v>113.16218445183512</v>
      </c>
      <c r="EF55">
        <f t="shared" si="162"/>
        <v>152.95615430944477</v>
      </c>
      <c r="EG55">
        <f t="shared" si="32"/>
        <v>450.31947900348638</v>
      </c>
    </row>
    <row r="56" spans="2:137" x14ac:dyDescent="0.35">
      <c r="B56" t="s">
        <v>358</v>
      </c>
      <c r="C56" s="19">
        <f>regions!B34</f>
        <v>18976588</v>
      </c>
      <c r="D56" s="19">
        <f>regions!C34</f>
        <v>18173099407.3027</v>
      </c>
      <c r="E56" s="8">
        <f>regions!D34</f>
        <v>957.65895361709386</v>
      </c>
      <c r="F56" s="1">
        <f>regions!Z34</f>
        <v>26.3</v>
      </c>
      <c r="G56" s="8"/>
      <c r="H56" s="8"/>
      <c r="I56">
        <f t="shared" si="113"/>
        <v>-0.366622</v>
      </c>
      <c r="J56">
        <f t="shared" ref="J56:O65" si="213">IF($E56&lt;$E$24,$D$11*($F56+J$25)-$I56,0)</f>
        <v>-1.3940000000000008E-2</v>
      </c>
      <c r="K56">
        <f t="shared" si="213"/>
        <v>-2.787999999999996E-2</v>
      </c>
      <c r="L56">
        <f t="shared" si="213"/>
        <v>-4.1819999999999968E-2</v>
      </c>
      <c r="M56">
        <f t="shared" si="213"/>
        <v>-5.5759999999999976E-2</v>
      </c>
      <c r="N56">
        <f t="shared" si="213"/>
        <v>-6.9699999999999984E-2</v>
      </c>
      <c r="O56">
        <f t="shared" si="213"/>
        <v>-8.3639999999999937E-2</v>
      </c>
      <c r="P56">
        <f t="shared" si="115"/>
        <v>-0.27667600000000003</v>
      </c>
      <c r="Q56">
        <f t="shared" ref="Q56:V65" si="214">$D$13*($F56+Q$25)^2-$P56</f>
        <v>-2.1440000000000015E-2</v>
      </c>
      <c r="R56">
        <f t="shared" si="214"/>
        <v>-4.3679999999999997E-2</v>
      </c>
      <c r="S56">
        <f t="shared" si="214"/>
        <v>-6.6720000000000002E-2</v>
      </c>
      <c r="T56">
        <f t="shared" si="214"/>
        <v>-9.0559999999999974E-2</v>
      </c>
      <c r="U56">
        <f t="shared" si="214"/>
        <v>-0.11520000000000002</v>
      </c>
      <c r="V56">
        <f t="shared" si="214"/>
        <v>-0.14063999999999988</v>
      </c>
      <c r="W56">
        <f t="shared" si="117"/>
        <v>-0.34584500000000001</v>
      </c>
      <c r="X56">
        <f t="shared" ref="X56:AC65" si="215">$D$15*($F56+X$25)^2-$W56</f>
        <v>-2.6800000000000046E-2</v>
      </c>
      <c r="Y56">
        <f t="shared" si="215"/>
        <v>-5.4599999999999982E-2</v>
      </c>
      <c r="Z56">
        <f t="shared" si="215"/>
        <v>-8.3399999999999974E-2</v>
      </c>
      <c r="AA56">
        <f t="shared" si="215"/>
        <v>-0.11320000000000002</v>
      </c>
      <c r="AB56">
        <f t="shared" si="215"/>
        <v>-0.14400000000000002</v>
      </c>
      <c r="AC56">
        <f t="shared" si="215"/>
        <v>-0.1757999999999999</v>
      </c>
      <c r="AD56">
        <f t="shared" si="119"/>
        <v>-0.31333557000000001</v>
      </c>
      <c r="AE56">
        <f t="shared" ref="AE56:AJ65" si="216">$D$10*($F56+AE$25)^2-$AD56</f>
        <v>-2.4280800000000047E-2</v>
      </c>
      <c r="AF56">
        <f t="shared" si="216"/>
        <v>-4.94676E-2</v>
      </c>
      <c r="AG56">
        <f t="shared" si="216"/>
        <v>-7.5560400000000028E-2</v>
      </c>
      <c r="AH56">
        <f t="shared" si="216"/>
        <v>-0.10255920000000002</v>
      </c>
      <c r="AI56">
        <f t="shared" si="216"/>
        <v>-0.13046400000000002</v>
      </c>
      <c r="AJ56">
        <f t="shared" si="216"/>
        <v>-0.15927479999999988</v>
      </c>
      <c r="AK56">
        <f t="shared" si="121"/>
        <v>-0.35276190000000007</v>
      </c>
      <c r="AL56">
        <f t="shared" ref="AL56:AQ65" si="217">$D$17*($F56+AL$25)^2-$AK56</f>
        <v>-2.7335999999999971E-2</v>
      </c>
      <c r="AM56">
        <f t="shared" si="217"/>
        <v>-5.5691999999999964E-2</v>
      </c>
      <c r="AN56">
        <f t="shared" si="217"/>
        <v>-8.5067999999999977E-2</v>
      </c>
      <c r="AO56">
        <f t="shared" si="217"/>
        <v>-0.11546399999999996</v>
      </c>
      <c r="AP56">
        <f t="shared" si="217"/>
        <v>-0.14688000000000001</v>
      </c>
      <c r="AQ56">
        <f t="shared" si="217"/>
        <v>-0.17931599999999981</v>
      </c>
      <c r="AR56">
        <f t="shared" si="123"/>
        <v>-0.52637608999999996</v>
      </c>
      <c r="AS56">
        <f t="shared" ref="AS56:AX65" si="218">$D$8*($F56+AS$25)^2-$AR56</f>
        <v>-4.0789600000000092E-2</v>
      </c>
      <c r="AT56">
        <f t="shared" si="218"/>
        <v>-8.3101199999999986E-2</v>
      </c>
      <c r="AU56">
        <f t="shared" si="218"/>
        <v>-0.12693480000000001</v>
      </c>
      <c r="AV56">
        <f t="shared" si="218"/>
        <v>-0.17229040000000007</v>
      </c>
      <c r="AW56">
        <f t="shared" si="218"/>
        <v>-0.21916800000000003</v>
      </c>
      <c r="AX56">
        <f t="shared" si="218"/>
        <v>-0.26756759999999979</v>
      </c>
      <c r="AY56">
        <f t="shared" si="128"/>
        <v>-0.14525490000000002</v>
      </c>
      <c r="AZ56">
        <f t="shared" si="129"/>
        <v>-1.1256000000000016E-2</v>
      </c>
      <c r="BA56">
        <f t="shared" si="129"/>
        <v>-2.293199999999998E-2</v>
      </c>
      <c r="BB56">
        <f t="shared" si="129"/>
        <v>-3.5027999999999976E-2</v>
      </c>
      <c r="BC56">
        <f t="shared" si="129"/>
        <v>-4.7544000000000003E-2</v>
      </c>
      <c r="BD56">
        <f t="shared" si="129"/>
        <v>-6.0480000000000006E-2</v>
      </c>
      <c r="BE56">
        <f t="shared" si="129"/>
        <v>-7.3835999999999929E-2</v>
      </c>
      <c r="BF56">
        <f t="shared" si="130"/>
        <v>-0.17292250000000001</v>
      </c>
      <c r="BG56">
        <f t="shared" si="184"/>
        <v>-1.3400000000000023E-2</v>
      </c>
      <c r="BH56">
        <f t="shared" si="184"/>
        <v>-2.7299999999999991E-2</v>
      </c>
      <c r="BI56">
        <f t="shared" si="184"/>
        <v>-4.1699999999999987E-2</v>
      </c>
      <c r="BJ56">
        <f t="shared" si="184"/>
        <v>-5.6600000000000011E-2</v>
      </c>
      <c r="BK56">
        <f t="shared" si="184"/>
        <v>-7.2000000000000008E-2</v>
      </c>
      <c r="BL56">
        <f t="shared" si="184"/>
        <v>-8.789999999999995E-2</v>
      </c>
      <c r="BM56">
        <f t="shared" si="132"/>
        <v>-0.54643510000000006</v>
      </c>
      <c r="BN56">
        <f t="shared" si="185"/>
        <v>-4.2344000000000048E-2</v>
      </c>
      <c r="BO56">
        <f t="shared" si="185"/>
        <v>-8.62679999999999E-2</v>
      </c>
      <c r="BP56">
        <f t="shared" si="185"/>
        <v>-0.131772</v>
      </c>
      <c r="BQ56">
        <f t="shared" si="185"/>
        <v>-0.17885600000000001</v>
      </c>
      <c r="BR56">
        <f t="shared" si="185"/>
        <v>-0.22751999999999994</v>
      </c>
      <c r="BS56">
        <f t="shared" si="185"/>
        <v>-0.27776399999999979</v>
      </c>
      <c r="BU56">
        <v>0.04</v>
      </c>
      <c r="BV56" s="37">
        <f t="shared" ref="BV56:CA56" si="219">(BV45/CD45/CD45+$CC56/$CC64/$CC64)/BV72</f>
        <v>-1.7974580473534971E-4</v>
      </c>
      <c r="BW56" s="37">
        <f t="shared" si="219"/>
        <v>-1.8269535453218066E-4</v>
      </c>
      <c r="BX56" s="37">
        <f t="shared" si="219"/>
        <v>-1.9955744531472428E-4</v>
      </c>
      <c r="BY56" s="37">
        <f t="shared" si="219"/>
        <v>-2.1540777534244203E-4</v>
      </c>
      <c r="BZ56" s="37">
        <f t="shared" si="219"/>
        <v>-2.2981999130752855E-4</v>
      </c>
      <c r="CA56" s="37">
        <f t="shared" si="219"/>
        <v>-2.4253552126296223E-4</v>
      </c>
      <c r="CC56" s="37">
        <f t="shared" si="206"/>
        <v>-2.1775060000719742E-4</v>
      </c>
      <c r="CD56" s="37">
        <f t="shared" si="207"/>
        <v>-1.862160645051393E-4</v>
      </c>
      <c r="CE56" s="37">
        <f t="shared" si="208"/>
        <v>-6.8559999999999997E-4</v>
      </c>
      <c r="CG56" s="37">
        <f t="shared" si="210"/>
        <v>-8.7680669444347391E-4</v>
      </c>
      <c r="CH56" s="37">
        <f t="shared" si="211"/>
        <v>6.1619331233488372E-5</v>
      </c>
      <c r="CS56">
        <f t="shared" si="33"/>
        <v>2073</v>
      </c>
      <c r="CT56">
        <f t="shared" si="34"/>
        <v>3.220000000000002</v>
      </c>
      <c r="CU56">
        <f t="shared" si="35"/>
        <v>0.04</v>
      </c>
      <c r="CV56">
        <f t="shared" si="19"/>
        <v>-6.6983304614303104E-3</v>
      </c>
      <c r="CW56">
        <f t="shared" si="36"/>
        <v>0.79126812350440934</v>
      </c>
      <c r="CX56">
        <f t="shared" si="20"/>
        <v>-2.8950960230541115E-2</v>
      </c>
      <c r="CY56">
        <f t="shared" si="36"/>
        <v>0.44553511507547994</v>
      </c>
      <c r="CZ56">
        <f t="shared" si="21"/>
        <v>3.5145882990422914E-2</v>
      </c>
      <c r="DA56">
        <f t="shared" si="36"/>
        <v>2.6165286029704777</v>
      </c>
      <c r="DB56">
        <f t="shared" si="22"/>
        <v>2.1171837235005205E-2</v>
      </c>
      <c r="DC56">
        <f t="shared" si="37"/>
        <v>1.7894950875107114</v>
      </c>
      <c r="DD56">
        <f t="shared" si="23"/>
        <v>-1.1011400267873329E-2</v>
      </c>
      <c r="DE56">
        <f t="shared" si="38"/>
        <v>0.73657586038619483</v>
      </c>
      <c r="DF56">
        <f t="shared" si="24"/>
        <v>2.8606991997649683E-2</v>
      </c>
      <c r="DG56">
        <f t="shared" si="39"/>
        <v>2.191272804288718</v>
      </c>
      <c r="DH56">
        <f t="shared" si="25"/>
        <v>-0.13721646454621406</v>
      </c>
      <c r="DI56">
        <f t="shared" si="40"/>
        <v>1.8819311409809608E-2</v>
      </c>
      <c r="DJ56">
        <f t="shared" si="26"/>
        <v>-9.0581589737784712E-2</v>
      </c>
      <c r="DK56">
        <f t="shared" si="41"/>
        <v>7.5676972492531969E-2</v>
      </c>
      <c r="DL56">
        <f t="shared" si="27"/>
        <v>6.5166673330384534E-2</v>
      </c>
      <c r="DM56">
        <f t="shared" si="42"/>
        <v>5.8540076585809846</v>
      </c>
      <c r="DN56">
        <f t="shared" si="204"/>
        <v>-2.0304451792082221E-4</v>
      </c>
      <c r="DO56">
        <f t="shared" si="36"/>
        <v>0.99009379724095259</v>
      </c>
      <c r="DQ56">
        <f>(DQ58-DQ53)/5+DQ55</f>
        <v>-3.0387652893803643</v>
      </c>
      <c r="DR56">
        <f t="shared" si="29"/>
        <v>-2.169309062733515E-4</v>
      </c>
      <c r="DS56">
        <f t="shared" si="30"/>
        <v>-3.0990129467621644E-4</v>
      </c>
      <c r="DT56">
        <f t="shared" si="43"/>
        <v>0.98715247443082899</v>
      </c>
      <c r="DU56">
        <f t="shared" si="31"/>
        <v>-1.2847525569171014</v>
      </c>
      <c r="DV56">
        <f t="shared" si="153"/>
        <v>-20.873187649559068</v>
      </c>
      <c r="DW56">
        <f t="shared" si="154"/>
        <v>-0.99062027590474111</v>
      </c>
      <c r="DY56">
        <f t="shared" si="155"/>
        <v>-98.118068859019033</v>
      </c>
      <c r="DZ56">
        <f t="shared" si="156"/>
        <v>-92.432302750746814</v>
      </c>
      <c r="EA56">
        <f t="shared" si="157"/>
        <v>-55.446488492452005</v>
      </c>
      <c r="EB56">
        <f t="shared" si="158"/>
        <v>-26.342413961380519</v>
      </c>
      <c r="EC56">
        <f t="shared" si="159"/>
        <v>-20.873187649559068</v>
      </c>
      <c r="ED56">
        <f t="shared" si="160"/>
        <v>78.949508751071136</v>
      </c>
      <c r="EE56">
        <f t="shared" si="161"/>
        <v>119.1272804288718</v>
      </c>
      <c r="EF56">
        <f t="shared" si="162"/>
        <v>161.65286029704777</v>
      </c>
      <c r="EG56">
        <f t="shared" si="32"/>
        <v>485.40076585809845</v>
      </c>
    </row>
    <row r="57" spans="2:137" x14ac:dyDescent="0.35">
      <c r="B57" t="s">
        <v>359</v>
      </c>
      <c r="C57" s="19">
        <f>regions!B35</f>
        <v>14364931</v>
      </c>
      <c r="D57" s="19">
        <f>regions!C35</f>
        <v>8693197235.5684757</v>
      </c>
      <c r="E57" s="8">
        <f>regions!D35</f>
        <v>605.16804679176505</v>
      </c>
      <c r="F57" s="1">
        <f>regions!Z35</f>
        <v>26.8</v>
      </c>
      <c r="G57" s="8"/>
      <c r="H57" s="8"/>
      <c r="I57">
        <f t="shared" si="113"/>
        <v>-0.37359199999999998</v>
      </c>
      <c r="J57">
        <f t="shared" si="213"/>
        <v>-1.3940000000000008E-2</v>
      </c>
      <c r="K57">
        <f t="shared" si="213"/>
        <v>-2.7880000000000016E-2</v>
      </c>
      <c r="L57">
        <f t="shared" si="213"/>
        <v>-4.1820000000000024E-2</v>
      </c>
      <c r="M57">
        <f t="shared" si="213"/>
        <v>-5.5760000000000032E-2</v>
      </c>
      <c r="N57">
        <f t="shared" si="213"/>
        <v>-6.9699999999999984E-2</v>
      </c>
      <c r="O57">
        <f t="shared" si="213"/>
        <v>-8.3639999999999937E-2</v>
      </c>
      <c r="P57">
        <f t="shared" si="115"/>
        <v>-0.287296</v>
      </c>
      <c r="Q57">
        <f t="shared" si="214"/>
        <v>-2.1840000000000026E-2</v>
      </c>
      <c r="R57">
        <f t="shared" si="214"/>
        <v>-4.448000000000002E-2</v>
      </c>
      <c r="S57">
        <f t="shared" si="214"/>
        <v>-6.7920000000000036E-2</v>
      </c>
      <c r="T57">
        <f t="shared" si="214"/>
        <v>-9.2160000000000075E-2</v>
      </c>
      <c r="U57">
        <f t="shared" si="214"/>
        <v>-0.11720000000000003</v>
      </c>
      <c r="V57">
        <f t="shared" si="214"/>
        <v>-0.14304</v>
      </c>
      <c r="W57">
        <f t="shared" si="117"/>
        <v>-0.35911999999999999</v>
      </c>
      <c r="X57">
        <f t="shared" si="215"/>
        <v>-2.7300000000000046E-2</v>
      </c>
      <c r="Y57">
        <f t="shared" si="215"/>
        <v>-5.5600000000000038E-2</v>
      </c>
      <c r="Z57">
        <f t="shared" si="215"/>
        <v>-8.4900000000000031E-2</v>
      </c>
      <c r="AA57">
        <f t="shared" si="215"/>
        <v>-0.11520000000000008</v>
      </c>
      <c r="AB57">
        <f t="shared" si="215"/>
        <v>-0.14650000000000007</v>
      </c>
      <c r="AC57">
        <f t="shared" si="215"/>
        <v>-0.17879999999999996</v>
      </c>
      <c r="AD57">
        <f t="shared" si="119"/>
        <v>-0.32536271999999999</v>
      </c>
      <c r="AE57">
        <f t="shared" si="216"/>
        <v>-2.4733800000000028E-2</v>
      </c>
      <c r="AF57">
        <f t="shared" si="216"/>
        <v>-5.0373600000000018E-2</v>
      </c>
      <c r="AG57">
        <f t="shared" si="216"/>
        <v>-7.6919400000000027E-2</v>
      </c>
      <c r="AH57">
        <f t="shared" si="216"/>
        <v>-0.10437120000000005</v>
      </c>
      <c r="AI57">
        <f t="shared" si="216"/>
        <v>-0.13272900000000004</v>
      </c>
      <c r="AJ57">
        <f t="shared" si="216"/>
        <v>-0.16199279999999999</v>
      </c>
      <c r="AK57">
        <f t="shared" si="121"/>
        <v>-0.36630240000000003</v>
      </c>
      <c r="AL57">
        <f t="shared" si="217"/>
        <v>-2.7846000000000037E-2</v>
      </c>
      <c r="AM57">
        <f t="shared" si="217"/>
        <v>-5.671200000000004E-2</v>
      </c>
      <c r="AN57">
        <f t="shared" si="217"/>
        <v>-8.6598000000000064E-2</v>
      </c>
      <c r="AO57">
        <f t="shared" si="217"/>
        <v>-0.11750400000000005</v>
      </c>
      <c r="AP57">
        <f t="shared" si="217"/>
        <v>-0.14943000000000006</v>
      </c>
      <c r="AQ57">
        <f t="shared" si="217"/>
        <v>-0.18237599999999998</v>
      </c>
      <c r="AR57">
        <f t="shared" si="123"/>
        <v>-0.54658063999999995</v>
      </c>
      <c r="AS57">
        <f t="shared" si="218"/>
        <v>-4.1550599999999993E-2</v>
      </c>
      <c r="AT57">
        <f t="shared" si="218"/>
        <v>-8.462320000000001E-2</v>
      </c>
      <c r="AU57">
        <f t="shared" si="218"/>
        <v>-0.12921780000000005</v>
      </c>
      <c r="AV57">
        <f t="shared" si="218"/>
        <v>-0.17533440000000011</v>
      </c>
      <c r="AW57">
        <f t="shared" si="218"/>
        <v>-0.22297299999999998</v>
      </c>
      <c r="AX57">
        <f t="shared" si="218"/>
        <v>-0.27213359999999998</v>
      </c>
      <c r="AY57">
        <f t="shared" si="128"/>
        <v>-0.1508304</v>
      </c>
      <c r="AZ57">
        <f t="shared" si="129"/>
        <v>-1.1466000000000004E-2</v>
      </c>
      <c r="BA57">
        <f t="shared" si="129"/>
        <v>-2.3352000000000012E-2</v>
      </c>
      <c r="BB57">
        <f t="shared" si="129"/>
        <v>-3.5658000000000023E-2</v>
      </c>
      <c r="BC57">
        <f t="shared" si="129"/>
        <v>-4.8384000000000038E-2</v>
      </c>
      <c r="BD57">
        <f t="shared" si="129"/>
        <v>-6.1530000000000001E-2</v>
      </c>
      <c r="BE57">
        <f t="shared" si="129"/>
        <v>-7.5095999999999996E-2</v>
      </c>
      <c r="BF57">
        <f t="shared" si="130"/>
        <v>-0.17956</v>
      </c>
      <c r="BG57">
        <f t="shared" si="184"/>
        <v>-1.3650000000000023E-2</v>
      </c>
      <c r="BH57">
        <f t="shared" si="184"/>
        <v>-2.7800000000000019E-2</v>
      </c>
      <c r="BI57">
        <f t="shared" si="184"/>
        <v>-4.2450000000000015E-2</v>
      </c>
      <c r="BJ57">
        <f t="shared" si="184"/>
        <v>-5.760000000000004E-2</v>
      </c>
      <c r="BK57">
        <f t="shared" si="184"/>
        <v>-7.3250000000000037E-2</v>
      </c>
      <c r="BL57">
        <f t="shared" si="184"/>
        <v>-8.9399999999999979E-2</v>
      </c>
      <c r="BM57">
        <f t="shared" si="132"/>
        <v>-0.56740960000000007</v>
      </c>
      <c r="BN57">
        <f t="shared" si="185"/>
        <v>-4.3134000000000006E-2</v>
      </c>
      <c r="BO57">
        <f t="shared" si="185"/>
        <v>-8.7848000000000037E-2</v>
      </c>
      <c r="BP57">
        <f t="shared" si="185"/>
        <v>-0.13414199999999998</v>
      </c>
      <c r="BQ57">
        <f t="shared" si="185"/>
        <v>-0.18201600000000007</v>
      </c>
      <c r="BR57">
        <f t="shared" si="185"/>
        <v>-0.23146999999999995</v>
      </c>
      <c r="BS57">
        <f t="shared" si="185"/>
        <v>-0.28250399999999987</v>
      </c>
      <c r="BU57">
        <v>0.05</v>
      </c>
      <c r="BV57" s="37">
        <f t="shared" ref="BV57:CA57" si="220">(BV46/CD46/CD46+$CC57/$CC65/$CC65)/BV73</f>
        <v>-2.2467958499486197E-4</v>
      </c>
      <c r="BW57" s="37">
        <f t="shared" si="220"/>
        <v>-2.2836850869982427E-4</v>
      </c>
      <c r="BX57" s="37">
        <f t="shared" si="220"/>
        <v>-2.4944647102910316E-4</v>
      </c>
      <c r="BY57" s="37">
        <f t="shared" si="220"/>
        <v>-2.6925951286122521E-4</v>
      </c>
      <c r="BZ57" s="37">
        <f t="shared" si="220"/>
        <v>-2.8727484624904324E-4</v>
      </c>
      <c r="CA57" s="37">
        <f t="shared" si="220"/>
        <v>-3.031692952635089E-4</v>
      </c>
      <c r="CC57" s="37">
        <f t="shared" si="206"/>
        <v>-2.7218825000899683E-4</v>
      </c>
      <c r="CD57" s="37">
        <f t="shared" si="207"/>
        <v>-2.3277008063142415E-4</v>
      </c>
      <c r="CE57" s="37">
        <f t="shared" si="208"/>
        <v>-8.5700000000000001E-4</v>
      </c>
      <c r="CG57" s="37">
        <f t="shared" si="210"/>
        <v>-1.0960083680543425E-3</v>
      </c>
      <c r="CH57" s="37">
        <f t="shared" si="211"/>
        <v>7.7024164041860472E-5</v>
      </c>
      <c r="CS57">
        <f t="shared" si="33"/>
        <v>2074</v>
      </c>
      <c r="CT57">
        <f t="shared" si="34"/>
        <v>3.260000000000002</v>
      </c>
      <c r="CU57">
        <f t="shared" si="35"/>
        <v>0.04</v>
      </c>
      <c r="CV57">
        <f t="shared" si="19"/>
        <v>-6.7845647135789779E-3</v>
      </c>
      <c r="CW57">
        <f t="shared" si="36"/>
        <v>0.78596794812958093</v>
      </c>
      <c r="CX57">
        <f t="shared" si="20"/>
        <v>-2.958842507562795E-2</v>
      </c>
      <c r="CY57">
        <f t="shared" si="36"/>
        <v>0.43263644567762016</v>
      </c>
      <c r="CZ57">
        <f t="shared" si="21"/>
        <v>3.5919752481366266E-2</v>
      </c>
      <c r="DA57">
        <f t="shared" si="36"/>
        <v>2.708488811091573</v>
      </c>
      <c r="DB57">
        <f t="shared" si="22"/>
        <v>2.1638015276622583E-2</v>
      </c>
      <c r="DC57">
        <f t="shared" si="37"/>
        <v>1.8273819862363294</v>
      </c>
      <c r="DD57">
        <f t="shared" si="23"/>
        <v>-1.1253857875843931E-2</v>
      </c>
      <c r="DE57">
        <f t="shared" si="38"/>
        <v>0.72846512875982927</v>
      </c>
      <c r="DF57">
        <f t="shared" si="24"/>
        <v>2.923688308164021E-2</v>
      </c>
      <c r="DG57">
        <f t="shared" si="39"/>
        <v>2.2539585278656729</v>
      </c>
      <c r="DH57">
        <f t="shared" si="25"/>
        <v>-0.14023780379088063</v>
      </c>
      <c r="DI57">
        <f t="shared" si="40"/>
        <v>1.6236992032961306E-2</v>
      </c>
      <c r="DJ57">
        <f t="shared" si="26"/>
        <v>-9.2576085899918975E-2</v>
      </c>
      <c r="DK57">
        <f t="shared" si="41"/>
        <v>6.8822032017615817E-2</v>
      </c>
      <c r="DL57">
        <f t="shared" si="27"/>
        <v>6.6601564021006768E-2</v>
      </c>
      <c r="DM57">
        <f t="shared" si="42"/>
        <v>6.2354938633413015</v>
      </c>
      <c r="DN57">
        <f t="shared" si="204"/>
        <v>-2.0367853112193094E-4</v>
      </c>
      <c r="DO57">
        <f t="shared" si="36"/>
        <v>0.98989276412319538</v>
      </c>
      <c r="DQ57">
        <f>(DQ58-DQ53)/5+DQ56</f>
        <v>-3.0936103220524096</v>
      </c>
      <c r="DR57">
        <f t="shared" si="29"/>
        <v>-2.1697797550222035E-4</v>
      </c>
      <c r="DS57">
        <f t="shared" si="30"/>
        <v>-3.0996853643174336E-4</v>
      </c>
      <c r="DT57">
        <f t="shared" si="43"/>
        <v>0.98684655460096005</v>
      </c>
      <c r="DU57">
        <f t="shared" si="31"/>
        <v>-1.3153445399039954</v>
      </c>
      <c r="DV57">
        <f t="shared" si="153"/>
        <v>-21.403205187041905</v>
      </c>
      <c r="DW57">
        <f t="shared" si="154"/>
        <v>-1.0107235876804621</v>
      </c>
      <c r="DY57">
        <f t="shared" si="155"/>
        <v>-98.376300796703873</v>
      </c>
      <c r="DZ57">
        <f t="shared" si="156"/>
        <v>-93.117796798238416</v>
      </c>
      <c r="EA57">
        <f t="shared" si="157"/>
        <v>-56.736355432237985</v>
      </c>
      <c r="EB57">
        <f t="shared" si="158"/>
        <v>-27.153487124017072</v>
      </c>
      <c r="EC57">
        <f t="shared" si="159"/>
        <v>-21.403205187041905</v>
      </c>
      <c r="ED57">
        <f t="shared" si="160"/>
        <v>82.73819862363294</v>
      </c>
      <c r="EE57">
        <f t="shared" si="161"/>
        <v>125.39585278656729</v>
      </c>
      <c r="EF57">
        <f t="shared" si="162"/>
        <v>170.8488811091573</v>
      </c>
      <c r="EG57">
        <f t="shared" si="32"/>
        <v>523.54938633413019</v>
      </c>
    </row>
    <row r="58" spans="2:137" x14ac:dyDescent="0.35">
      <c r="B58" t="s">
        <v>130</v>
      </c>
      <c r="C58" s="19">
        <f>regions!B36</f>
        <v>20624343</v>
      </c>
      <c r="D58" s="19">
        <f>regions!C36</f>
        <v>19209829592.645119</v>
      </c>
      <c r="E58" s="8">
        <f>regions!D36</f>
        <v>931.41534703166633</v>
      </c>
      <c r="F58" s="1">
        <f>regions!Z36</f>
        <v>24.6</v>
      </c>
      <c r="G58" s="8"/>
      <c r="H58" s="8"/>
      <c r="I58">
        <f t="shared" ref="I58:I89" si="221">IF(E58&lt;E$24,$D$11*$F58,0)</f>
        <v>-0.34292400000000001</v>
      </c>
      <c r="J58">
        <f t="shared" si="213"/>
        <v>-1.3940000000000008E-2</v>
      </c>
      <c r="K58">
        <f t="shared" si="213"/>
        <v>-2.7880000000000016E-2</v>
      </c>
      <c r="L58">
        <f t="shared" si="213"/>
        <v>-4.1819999999999968E-2</v>
      </c>
      <c r="M58">
        <f t="shared" si="213"/>
        <v>-5.5759999999999976E-2</v>
      </c>
      <c r="N58">
        <f t="shared" si="213"/>
        <v>-6.9699999999999984E-2</v>
      </c>
      <c r="O58">
        <f t="shared" si="213"/>
        <v>-8.3639999999999992E-2</v>
      </c>
      <c r="P58">
        <f t="shared" ref="P58:P89" si="222">$D$13*$F58^2</f>
        <v>-0.24206400000000006</v>
      </c>
      <c r="Q58">
        <f t="shared" si="214"/>
        <v>-2.0079999999999987E-2</v>
      </c>
      <c r="R58">
        <f t="shared" si="214"/>
        <v>-4.0959999999999996E-2</v>
      </c>
      <c r="S58">
        <f t="shared" si="214"/>
        <v>-6.2639999999999973E-2</v>
      </c>
      <c r="T58">
        <f t="shared" si="214"/>
        <v>-8.5119999999999973E-2</v>
      </c>
      <c r="U58">
        <f t="shared" si="214"/>
        <v>-0.1084</v>
      </c>
      <c r="V58">
        <f t="shared" si="214"/>
        <v>-0.13247999999999999</v>
      </c>
      <c r="W58">
        <f t="shared" ref="W58:W89" si="223">$D$15*$F58^2</f>
        <v>-0.30258000000000007</v>
      </c>
      <c r="X58">
        <f t="shared" si="215"/>
        <v>-2.5100000000000011E-2</v>
      </c>
      <c r="Y58">
        <f t="shared" si="215"/>
        <v>-5.1199999999999968E-2</v>
      </c>
      <c r="Z58">
        <f t="shared" si="215"/>
        <v>-7.8299999999999981E-2</v>
      </c>
      <c r="AA58">
        <f t="shared" si="215"/>
        <v>-0.10639999999999994</v>
      </c>
      <c r="AB58">
        <f t="shared" si="215"/>
        <v>-0.13549999999999995</v>
      </c>
      <c r="AC58">
        <f t="shared" si="215"/>
        <v>-0.16560000000000002</v>
      </c>
      <c r="AD58">
        <f t="shared" ref="AD58:AD89" si="224">$D$10*$F58^2</f>
        <v>-0.27413748000000004</v>
      </c>
      <c r="AE58">
        <f t="shared" si="216"/>
        <v>-2.27406E-2</v>
      </c>
      <c r="AF58">
        <f t="shared" si="216"/>
        <v>-4.6387199999999962E-2</v>
      </c>
      <c r="AG58">
        <f t="shared" si="216"/>
        <v>-7.0939799999999997E-2</v>
      </c>
      <c r="AH58">
        <f t="shared" si="216"/>
        <v>-9.6398399999999995E-2</v>
      </c>
      <c r="AI58">
        <f t="shared" si="216"/>
        <v>-0.12276300000000001</v>
      </c>
      <c r="AJ58">
        <f t="shared" si="216"/>
        <v>-0.15003360000000004</v>
      </c>
      <c r="AK58">
        <f t="shared" ref="AK58:AK89" si="225">$D$17*$F58^2</f>
        <v>-0.30863160000000006</v>
      </c>
      <c r="AL58">
        <f t="shared" si="217"/>
        <v>-2.5602000000000014E-2</v>
      </c>
      <c r="AM58">
        <f t="shared" si="217"/>
        <v>-5.2223999999999993E-2</v>
      </c>
      <c r="AN58">
        <f t="shared" si="217"/>
        <v>-7.9865999999999993E-2</v>
      </c>
      <c r="AO58">
        <f t="shared" si="217"/>
        <v>-0.10852800000000001</v>
      </c>
      <c r="AP58">
        <f t="shared" si="217"/>
        <v>-0.13821</v>
      </c>
      <c r="AQ58">
        <f t="shared" si="217"/>
        <v>-0.16891200000000006</v>
      </c>
      <c r="AR58">
        <f t="shared" ref="AR58:AR89" si="226">$D$8*$F58^2</f>
        <v>-0.46052676000000003</v>
      </c>
      <c r="AS58">
        <f t="shared" si="218"/>
        <v>-3.8202200000000019E-2</v>
      </c>
      <c r="AT58">
        <f t="shared" si="218"/>
        <v>-7.7926399999999951E-2</v>
      </c>
      <c r="AU58">
        <f t="shared" si="218"/>
        <v>-0.11917259999999996</v>
      </c>
      <c r="AV58">
        <f t="shared" si="218"/>
        <v>-0.1619408</v>
      </c>
      <c r="AW58">
        <f t="shared" si="218"/>
        <v>-0.20623099999999994</v>
      </c>
      <c r="AX58">
        <f t="shared" si="218"/>
        <v>-0.25204320000000002</v>
      </c>
      <c r="AY58">
        <f t="shared" si="128"/>
        <v>-0.12708360000000002</v>
      </c>
      <c r="AZ58">
        <f t="shared" si="129"/>
        <v>-1.0542000000000024E-2</v>
      </c>
      <c r="BA58">
        <f t="shared" si="129"/>
        <v>-2.1503999999999995E-2</v>
      </c>
      <c r="BB58">
        <f t="shared" si="129"/>
        <v>-3.2885999999999999E-2</v>
      </c>
      <c r="BC58">
        <f t="shared" si="129"/>
        <v>-4.4688000000000005E-2</v>
      </c>
      <c r="BD58">
        <f t="shared" si="129"/>
        <v>-5.6910000000000016E-2</v>
      </c>
      <c r="BE58">
        <f t="shared" si="129"/>
        <v>-6.9552000000000003E-2</v>
      </c>
      <c r="BF58">
        <f t="shared" si="130"/>
        <v>-0.15129000000000004</v>
      </c>
      <c r="BG58">
        <f t="shared" si="184"/>
        <v>-1.2550000000000006E-2</v>
      </c>
      <c r="BH58">
        <f t="shared" si="184"/>
        <v>-2.5599999999999984E-2</v>
      </c>
      <c r="BI58">
        <f t="shared" si="184"/>
        <v>-3.914999999999999E-2</v>
      </c>
      <c r="BJ58">
        <f t="shared" si="184"/>
        <v>-5.319999999999997E-2</v>
      </c>
      <c r="BK58">
        <f t="shared" si="184"/>
        <v>-6.7749999999999977E-2</v>
      </c>
      <c r="BL58">
        <f t="shared" si="184"/>
        <v>-8.2800000000000012E-2</v>
      </c>
      <c r="BM58">
        <f t="shared" si="132"/>
        <v>-0.47807640000000007</v>
      </c>
      <c r="BN58">
        <f t="shared" si="185"/>
        <v>-3.9658000000000082E-2</v>
      </c>
      <c r="BO58">
        <f t="shared" si="185"/>
        <v>-8.0895999999999968E-2</v>
      </c>
      <c r="BP58">
        <f t="shared" si="185"/>
        <v>-0.12371399999999999</v>
      </c>
      <c r="BQ58">
        <f t="shared" si="185"/>
        <v>-0.16811199999999993</v>
      </c>
      <c r="BR58">
        <f t="shared" si="185"/>
        <v>-0.21409</v>
      </c>
      <c r="BS58">
        <f t="shared" si="185"/>
        <v>-0.26164799999999999</v>
      </c>
      <c r="BU58">
        <v>0.06</v>
      </c>
      <c r="BV58" s="37">
        <f t="shared" ref="BV58:CA58" si="227">(BV47/CD47/CD47+$CC58/$CC66/$CC66)/BV74</f>
        <v>-2.6961159084190373E-4</v>
      </c>
      <c r="BW58" s="37">
        <f t="shared" si="227"/>
        <v>-2.7404120696396478E-4</v>
      </c>
      <c r="BX58" s="37">
        <f t="shared" si="227"/>
        <v>-2.9933527309236878E-4</v>
      </c>
      <c r="BY58" s="37">
        <f t="shared" si="227"/>
        <v>-3.2311111286867833E-4</v>
      </c>
      <c r="BZ58" s="37">
        <f t="shared" si="227"/>
        <v>-3.4472960594922032E-4</v>
      </c>
      <c r="CA58" s="37">
        <f t="shared" si="227"/>
        <v>-3.6380299839584244E-4</v>
      </c>
      <c r="CC58" s="37">
        <f t="shared" si="206"/>
        <v>-3.2662590001079613E-4</v>
      </c>
      <c r="CD58" s="37">
        <f t="shared" si="207"/>
        <v>-2.7932409675770895E-4</v>
      </c>
      <c r="CE58" s="37">
        <f t="shared" si="208"/>
        <v>-1.0283999999999998E-3</v>
      </c>
      <c r="CG58" s="37">
        <f t="shared" si="210"/>
        <v>-1.3152100416652106E-3</v>
      </c>
      <c r="CH58" s="37">
        <f t="shared" si="211"/>
        <v>9.2428996850232571E-5</v>
      </c>
      <c r="CS58">
        <f t="shared" si="33"/>
        <v>2075</v>
      </c>
      <c r="CT58">
        <f t="shared" si="34"/>
        <v>3.300000000000002</v>
      </c>
      <c r="CU58">
        <f t="shared" si="35"/>
        <v>0.04</v>
      </c>
      <c r="CV58">
        <f t="shared" si="19"/>
        <v>-6.870873203226875E-3</v>
      </c>
      <c r="CW58">
        <f t="shared" si="36"/>
        <v>0.78063549772269691</v>
      </c>
      <c r="CX58">
        <f t="shared" si="20"/>
        <v>-3.0232707726544582E-2</v>
      </c>
      <c r="CY58">
        <f t="shared" si="36"/>
        <v>0.41983541461970192</v>
      </c>
      <c r="CZ58">
        <f t="shared" si="21"/>
        <v>3.6701898651357132E-2</v>
      </c>
      <c r="DA58">
        <f t="shared" si="36"/>
        <v>2.8057770587845328</v>
      </c>
      <c r="DB58">
        <f t="shared" si="22"/>
        <v>2.210917917964763E-2</v>
      </c>
      <c r="DC58">
        <f t="shared" si="37"/>
        <v>1.8669229055707361</v>
      </c>
      <c r="DD58">
        <f t="shared" si="23"/>
        <v>-1.1498908613311543E-2</v>
      </c>
      <c r="DE58">
        <f t="shared" si="38"/>
        <v>0.72026708573325782</v>
      </c>
      <c r="DF58">
        <f t="shared" si="24"/>
        <v>2.9873510968668058E-2</v>
      </c>
      <c r="DG58">
        <f t="shared" si="39"/>
        <v>2.3198572498157475</v>
      </c>
      <c r="DH58">
        <f t="shared" si="25"/>
        <v>-0.14329145682426023</v>
      </c>
      <c r="DI58">
        <f t="shared" si="40"/>
        <v>1.3959951930088785E-2</v>
      </c>
      <c r="DJ58">
        <f t="shared" si="26"/>
        <v>-9.4591913571808683E-2</v>
      </c>
      <c r="DK58">
        <f t="shared" si="41"/>
        <v>6.2450757669746046E-2</v>
      </c>
      <c r="DL58">
        <f t="shared" si="27"/>
        <v>6.8051801136127632E-2</v>
      </c>
      <c r="DM58">
        <f t="shared" si="42"/>
        <v>6.6507875070832219</v>
      </c>
      <c r="DN58">
        <f t="shared" si="204"/>
        <v>-2.0431254432303964E-4</v>
      </c>
      <c r="DO58">
        <f t="shared" si="36"/>
        <v>0.98969114421903059</v>
      </c>
      <c r="DP58">
        <f>graph!A56</f>
        <v>3.3000000000000016</v>
      </c>
      <c r="DQ58">
        <f>DS1*graph!B56</f>
        <v>-3.1484553547244554</v>
      </c>
      <c r="DR58">
        <f t="shared" si="29"/>
        <v>-2.2632583516387443E-4</v>
      </c>
      <c r="DS58">
        <f t="shared" si="30"/>
        <v>-3.2332262166267779E-4</v>
      </c>
      <c r="DT58">
        <f t="shared" si="43"/>
        <v>0.98654066321874767</v>
      </c>
      <c r="DU58">
        <f t="shared" si="31"/>
        <v>-1.3459336781252329</v>
      </c>
      <c r="DV58">
        <f t="shared" si="153"/>
        <v>-21.936450227730308</v>
      </c>
      <c r="DW58">
        <f t="shared" si="154"/>
        <v>-1.0308855780969406</v>
      </c>
      <c r="DY58">
        <f t="shared" si="155"/>
        <v>-98.604004806991114</v>
      </c>
      <c r="DZ58">
        <f t="shared" si="156"/>
        <v>-93.754924233025392</v>
      </c>
      <c r="EA58">
        <f t="shared" si="157"/>
        <v>-58.016458538029816</v>
      </c>
      <c r="EB58">
        <f t="shared" si="158"/>
        <v>-27.973291426674219</v>
      </c>
      <c r="EC58">
        <f t="shared" si="159"/>
        <v>-21.936450227730308</v>
      </c>
      <c r="ED58">
        <f t="shared" si="160"/>
        <v>86.692290557073619</v>
      </c>
      <c r="EE58">
        <f t="shared" si="161"/>
        <v>131.98572498157475</v>
      </c>
      <c r="EF58">
        <f t="shared" si="162"/>
        <v>180.57770587845329</v>
      </c>
      <c r="EG58">
        <f t="shared" si="32"/>
        <v>565.07875070832222</v>
      </c>
    </row>
    <row r="59" spans="2:137" x14ac:dyDescent="0.35">
      <c r="B59" t="s">
        <v>131</v>
      </c>
      <c r="C59" s="19">
        <f>regions!B37</f>
        <v>34126547</v>
      </c>
      <c r="D59" s="19">
        <f>regions!C37</f>
        <v>1240064039807.2598</v>
      </c>
      <c r="E59" s="8">
        <f>regions!D37</f>
        <v>36337.22567382102</v>
      </c>
      <c r="F59" s="1">
        <f>regions!Z37</f>
        <v>-5.4</v>
      </c>
      <c r="G59" s="8"/>
      <c r="H59" s="8"/>
      <c r="I59">
        <f t="shared" si="221"/>
        <v>0</v>
      </c>
      <c r="J59">
        <f t="shared" si="213"/>
        <v>0</v>
      </c>
      <c r="K59">
        <f t="shared" si="213"/>
        <v>0</v>
      </c>
      <c r="L59">
        <f t="shared" si="213"/>
        <v>0</v>
      </c>
      <c r="M59">
        <f t="shared" si="213"/>
        <v>0</v>
      </c>
      <c r="N59">
        <f t="shared" si="213"/>
        <v>0</v>
      </c>
      <c r="O59">
        <f t="shared" si="213"/>
        <v>0</v>
      </c>
      <c r="P59">
        <f t="shared" si="222"/>
        <v>-1.1664000000000002E-2</v>
      </c>
      <c r="Q59">
        <f t="shared" si="214"/>
        <v>3.9200000000000007E-3</v>
      </c>
      <c r="R59">
        <f t="shared" si="214"/>
        <v>7.0400000000000011E-3</v>
      </c>
      <c r="S59">
        <f t="shared" si="214"/>
        <v>9.360000000000002E-3</v>
      </c>
      <c r="T59">
        <f t="shared" si="214"/>
        <v>1.0880000000000003E-2</v>
      </c>
      <c r="U59">
        <f t="shared" si="214"/>
        <v>1.1600000000000003E-2</v>
      </c>
      <c r="V59">
        <f t="shared" si="214"/>
        <v>1.1520000000000002E-2</v>
      </c>
      <c r="W59">
        <f t="shared" si="223"/>
        <v>-1.4580000000000003E-2</v>
      </c>
      <c r="X59">
        <f t="shared" si="215"/>
        <v>4.9000000000000016E-3</v>
      </c>
      <c r="Y59">
        <f t="shared" si="215"/>
        <v>8.8000000000000023E-3</v>
      </c>
      <c r="Z59">
        <f t="shared" si="215"/>
        <v>1.1700000000000002E-2</v>
      </c>
      <c r="AA59">
        <f t="shared" si="215"/>
        <v>1.3600000000000003E-2</v>
      </c>
      <c r="AB59">
        <f t="shared" si="215"/>
        <v>1.4500000000000002E-2</v>
      </c>
      <c r="AC59">
        <f t="shared" si="215"/>
        <v>1.4400000000000003E-2</v>
      </c>
      <c r="AD59">
        <f t="shared" si="224"/>
        <v>-1.3209480000000003E-2</v>
      </c>
      <c r="AE59">
        <f t="shared" si="216"/>
        <v>4.4394000000000013E-3</v>
      </c>
      <c r="AF59">
        <f t="shared" si="216"/>
        <v>7.9728000000000021E-3</v>
      </c>
      <c r="AG59">
        <f t="shared" si="216"/>
        <v>1.0600200000000002E-2</v>
      </c>
      <c r="AH59">
        <f t="shared" si="216"/>
        <v>1.2321600000000002E-2</v>
      </c>
      <c r="AI59">
        <f t="shared" si="216"/>
        <v>1.3137000000000003E-2</v>
      </c>
      <c r="AJ59">
        <f t="shared" si="216"/>
        <v>1.3046400000000003E-2</v>
      </c>
      <c r="AK59">
        <f t="shared" si="225"/>
        <v>-1.4871600000000002E-2</v>
      </c>
      <c r="AL59">
        <f t="shared" si="217"/>
        <v>4.9980000000000007E-3</v>
      </c>
      <c r="AM59">
        <f t="shared" si="217"/>
        <v>8.9760000000000013E-3</v>
      </c>
      <c r="AN59">
        <f t="shared" si="217"/>
        <v>1.1934E-2</v>
      </c>
      <c r="AO59">
        <f t="shared" si="217"/>
        <v>1.3872000000000002E-2</v>
      </c>
      <c r="AP59">
        <f t="shared" si="217"/>
        <v>1.4790000000000003E-2</v>
      </c>
      <c r="AQ59">
        <f t="shared" si="217"/>
        <v>1.4688000000000003E-2</v>
      </c>
      <c r="AR59">
        <f t="shared" si="226"/>
        <v>-2.219076E-2</v>
      </c>
      <c r="AS59">
        <f t="shared" si="218"/>
        <v>7.4577999999999988E-3</v>
      </c>
      <c r="AT59">
        <f t="shared" si="218"/>
        <v>1.3393599999999999E-2</v>
      </c>
      <c r="AU59">
        <f t="shared" si="218"/>
        <v>1.7807400000000001E-2</v>
      </c>
      <c r="AV59">
        <f t="shared" si="218"/>
        <v>2.0699200000000001E-2</v>
      </c>
      <c r="AW59">
        <f t="shared" si="218"/>
        <v>2.2069000000000002E-2</v>
      </c>
      <c r="AX59">
        <f t="shared" si="218"/>
        <v>2.19168E-2</v>
      </c>
      <c r="AY59">
        <f t="shared" si="128"/>
        <v>-6.1236000000000007E-3</v>
      </c>
      <c r="AZ59">
        <f t="shared" ref="AZ59:BE90" si="228">$D$19*($F59+AZ$25)^2-$AY59</f>
        <v>2.0579999999999999E-3</v>
      </c>
      <c r="BA59">
        <f t="shared" si="228"/>
        <v>3.6960000000000001E-3</v>
      </c>
      <c r="BB59">
        <f t="shared" si="228"/>
        <v>4.914E-3</v>
      </c>
      <c r="BC59">
        <f t="shared" si="228"/>
        <v>5.7120000000000001E-3</v>
      </c>
      <c r="BD59">
        <f t="shared" si="228"/>
        <v>6.0900000000000008E-3</v>
      </c>
      <c r="BE59">
        <f t="shared" si="228"/>
        <v>6.0480000000000004E-3</v>
      </c>
      <c r="BF59">
        <f t="shared" si="130"/>
        <v>-7.2900000000000013E-3</v>
      </c>
      <c r="BG59">
        <f t="shared" ref="BG59:BL74" si="229">$D$21*($F59+BG$25)^2-$BF59</f>
        <v>2.4500000000000008E-3</v>
      </c>
      <c r="BH59">
        <f t="shared" si="229"/>
        <v>4.4000000000000011E-3</v>
      </c>
      <c r="BI59">
        <f t="shared" si="229"/>
        <v>5.850000000000001E-3</v>
      </c>
      <c r="BJ59">
        <f t="shared" si="229"/>
        <v>6.8000000000000014E-3</v>
      </c>
      <c r="BK59">
        <f t="shared" si="229"/>
        <v>7.2500000000000012E-3</v>
      </c>
      <c r="BL59">
        <f t="shared" si="229"/>
        <v>7.2000000000000015E-3</v>
      </c>
      <c r="BM59">
        <f t="shared" si="132"/>
        <v>-2.3036400000000002E-2</v>
      </c>
      <c r="BN59">
        <f t="shared" ref="BN59:BS74" si="230">$D$23*($F59+BN$25)^2-$BM59</f>
        <v>7.7419999999999989E-3</v>
      </c>
      <c r="BO59">
        <f t="shared" si="230"/>
        <v>1.3904E-2</v>
      </c>
      <c r="BP59">
        <f t="shared" si="230"/>
        <v>1.8486000000000002E-2</v>
      </c>
      <c r="BQ59">
        <f t="shared" si="230"/>
        <v>2.1488E-2</v>
      </c>
      <c r="BR59">
        <f t="shared" si="230"/>
        <v>2.2910000000000003E-2</v>
      </c>
      <c r="BS59">
        <f t="shared" si="230"/>
        <v>2.2752000000000001E-2</v>
      </c>
      <c r="CS59">
        <f t="shared" si="33"/>
        <v>2076</v>
      </c>
      <c r="CT59">
        <f t="shared" si="34"/>
        <v>3.3400000000000021</v>
      </c>
      <c r="CU59">
        <f t="shared" si="35"/>
        <v>0.04</v>
      </c>
      <c r="CV59">
        <f t="shared" si="19"/>
        <v>-6.9572559303740034E-3</v>
      </c>
      <c r="CW59">
        <f t="shared" si="36"/>
        <v>0.77527185019990641</v>
      </c>
      <c r="CX59">
        <f t="shared" si="20"/>
        <v>-3.0883808183291027E-2</v>
      </c>
      <c r="CY59">
        <f t="shared" si="36"/>
        <v>0.40714265323625182</v>
      </c>
      <c r="CZ59">
        <f t="shared" si="21"/>
        <v>3.7492321500395519E-2</v>
      </c>
      <c r="DA59">
        <f t="shared" si="36"/>
        <v>2.9087544040343456</v>
      </c>
      <c r="DB59">
        <f t="shared" si="22"/>
        <v>2.2585328944080354E-2</v>
      </c>
      <c r="DC59">
        <f t="shared" si="37"/>
        <v>1.9081990386045882</v>
      </c>
      <c r="DD59">
        <f t="shared" si="23"/>
        <v>-1.1746552480276166E-2</v>
      </c>
      <c r="DE59">
        <f t="shared" si="38"/>
        <v>0.71198480033723488</v>
      </c>
      <c r="DF59">
        <f t="shared" si="24"/>
        <v>3.0516875658733244E-2</v>
      </c>
      <c r="DG59">
        <f t="shared" si="39"/>
        <v>2.3891595308138625</v>
      </c>
      <c r="DH59">
        <f t="shared" si="25"/>
        <v>-0.14637742364635281</v>
      </c>
      <c r="DI59">
        <f t="shared" si="40"/>
        <v>1.195961008082972E-2</v>
      </c>
      <c r="DJ59">
        <f t="shared" si="26"/>
        <v>-9.6629072753453837E-2</v>
      </c>
      <c r="DK59">
        <f t="shared" si="41"/>
        <v>5.6543420997755459E-2</v>
      </c>
      <c r="DL59">
        <f t="shared" si="27"/>
        <v>6.9517384675747113E-2</v>
      </c>
      <c r="DM59">
        <f t="shared" si="42"/>
        <v>7.103385575913892</v>
      </c>
      <c r="DN59">
        <f t="shared" si="204"/>
        <v>-2.0494655752414833E-4</v>
      </c>
      <c r="DO59">
        <f t="shared" si="36"/>
        <v>0.9894889379032612</v>
      </c>
      <c r="DQ59">
        <f>(DQ63-DQ58)/5+DQ58</f>
        <v>-3.2056508119167115</v>
      </c>
      <c r="DR59">
        <f t="shared" si="29"/>
        <v>-2.2637707014333658E-4</v>
      </c>
      <c r="DS59">
        <f t="shared" si="30"/>
        <v>-3.2339581449048084E-4</v>
      </c>
      <c r="DT59">
        <f t="shared" si="43"/>
        <v>0.9862216923051389</v>
      </c>
      <c r="DU59">
        <f t="shared" si="31"/>
        <v>-1.3778307694861103</v>
      </c>
      <c r="DV59">
        <f t="shared" si="153"/>
        <v>-22.47281498000936</v>
      </c>
      <c r="DW59">
        <f t="shared" si="154"/>
        <v>-1.0511062096738799</v>
      </c>
      <c r="DY59">
        <f t="shared" si="155"/>
        <v>-98.804038991917025</v>
      </c>
      <c r="DZ59">
        <f t="shared" si="156"/>
        <v>-94.345657900224452</v>
      </c>
      <c r="EA59">
        <f t="shared" si="157"/>
        <v>-59.285734676374815</v>
      </c>
      <c r="EB59">
        <f t="shared" si="158"/>
        <v>-28.801519966276512</v>
      </c>
      <c r="EC59">
        <f t="shared" si="159"/>
        <v>-22.47281498000936</v>
      </c>
      <c r="ED59">
        <f t="shared" si="160"/>
        <v>90.819903860458822</v>
      </c>
      <c r="EE59">
        <f t="shared" si="161"/>
        <v>138.91595308138625</v>
      </c>
      <c r="EF59">
        <f t="shared" si="162"/>
        <v>190.87544040343457</v>
      </c>
      <c r="EG59">
        <f t="shared" si="32"/>
        <v>610.33855759138919</v>
      </c>
    </row>
    <row r="60" spans="2:137" x14ac:dyDescent="0.35">
      <c r="B60" t="s">
        <v>360</v>
      </c>
      <c r="C60" s="19">
        <f>regions!B38</f>
        <v>487601</v>
      </c>
      <c r="D60" s="19">
        <f>regions!C38</f>
        <v>1291490221.8474941</v>
      </c>
      <c r="E60" s="8">
        <f>regions!D38</f>
        <v>2648.6619630548216</v>
      </c>
      <c r="F60" s="1">
        <f>regions!Z38</f>
        <v>23.3</v>
      </c>
      <c r="G60" s="8"/>
      <c r="H60" s="8"/>
      <c r="I60">
        <f t="shared" si="221"/>
        <v>-0.32480199999999998</v>
      </c>
      <c r="J60">
        <f t="shared" si="213"/>
        <v>-1.3940000000000008E-2</v>
      </c>
      <c r="K60">
        <f t="shared" si="213"/>
        <v>-2.7880000000000016E-2</v>
      </c>
      <c r="L60">
        <f t="shared" si="213"/>
        <v>-4.1820000000000024E-2</v>
      </c>
      <c r="M60">
        <f t="shared" si="213"/>
        <v>-5.5760000000000032E-2</v>
      </c>
      <c r="N60">
        <f t="shared" si="213"/>
        <v>-6.9699999999999984E-2</v>
      </c>
      <c r="O60">
        <f t="shared" si="213"/>
        <v>-8.3639999999999992E-2</v>
      </c>
      <c r="P60">
        <f t="shared" si="222"/>
        <v>-0.21715600000000002</v>
      </c>
      <c r="Q60">
        <f t="shared" si="214"/>
        <v>-1.9040000000000001E-2</v>
      </c>
      <c r="R60">
        <f t="shared" si="214"/>
        <v>-3.8880000000000026E-2</v>
      </c>
      <c r="S60">
        <f t="shared" si="214"/>
        <v>-5.9520000000000017E-2</v>
      </c>
      <c r="T60">
        <f t="shared" si="214"/>
        <v>-8.0960000000000032E-2</v>
      </c>
      <c r="U60">
        <f t="shared" si="214"/>
        <v>-0.10320000000000001</v>
      </c>
      <c r="V60">
        <f t="shared" si="214"/>
        <v>-0.12624000000000002</v>
      </c>
      <c r="W60">
        <f t="shared" si="223"/>
        <v>-0.27144499999999999</v>
      </c>
      <c r="X60">
        <f t="shared" si="215"/>
        <v>-2.3800000000000043E-2</v>
      </c>
      <c r="Y60">
        <f t="shared" si="215"/>
        <v>-4.8600000000000032E-2</v>
      </c>
      <c r="Z60">
        <f t="shared" si="215"/>
        <v>-7.4400000000000022E-2</v>
      </c>
      <c r="AA60">
        <f t="shared" si="215"/>
        <v>-0.10120000000000007</v>
      </c>
      <c r="AB60">
        <f t="shared" si="215"/>
        <v>-0.129</v>
      </c>
      <c r="AC60">
        <f t="shared" si="215"/>
        <v>-0.1578</v>
      </c>
      <c r="AD60">
        <f t="shared" si="224"/>
        <v>-0.24592917</v>
      </c>
      <c r="AE60">
        <f t="shared" si="216"/>
        <v>-2.1562800000000021E-2</v>
      </c>
      <c r="AF60">
        <f t="shared" si="216"/>
        <v>-4.4031600000000032E-2</v>
      </c>
      <c r="AG60">
        <f t="shared" si="216"/>
        <v>-6.7406400000000005E-2</v>
      </c>
      <c r="AH60">
        <f t="shared" si="216"/>
        <v>-9.1687200000000052E-2</v>
      </c>
      <c r="AI60">
        <f t="shared" si="216"/>
        <v>-0.11687400000000001</v>
      </c>
      <c r="AJ60">
        <f t="shared" si="216"/>
        <v>-0.14296680000000003</v>
      </c>
      <c r="AK60">
        <f t="shared" si="225"/>
        <v>-0.27687390000000001</v>
      </c>
      <c r="AL60">
        <f t="shared" si="217"/>
        <v>-2.427600000000002E-2</v>
      </c>
      <c r="AM60">
        <f t="shared" si="217"/>
        <v>-4.957200000000006E-2</v>
      </c>
      <c r="AN60">
        <f t="shared" si="217"/>
        <v>-7.5888000000000067E-2</v>
      </c>
      <c r="AO60">
        <f t="shared" si="217"/>
        <v>-0.10322400000000004</v>
      </c>
      <c r="AP60">
        <f t="shared" si="217"/>
        <v>-0.13158000000000003</v>
      </c>
      <c r="AQ60">
        <f t="shared" si="217"/>
        <v>-0.16095600000000004</v>
      </c>
      <c r="AR60">
        <f t="shared" si="226"/>
        <v>-0.41313928999999999</v>
      </c>
      <c r="AS60">
        <f t="shared" si="218"/>
        <v>-3.6223599999999967E-2</v>
      </c>
      <c r="AT60">
        <f t="shared" si="218"/>
        <v>-7.3969200000000013E-2</v>
      </c>
      <c r="AU60">
        <f t="shared" si="218"/>
        <v>-0.11323679999999997</v>
      </c>
      <c r="AV60">
        <f t="shared" si="218"/>
        <v>-0.15402640000000006</v>
      </c>
      <c r="AW60">
        <f t="shared" si="218"/>
        <v>-0.19633799999999996</v>
      </c>
      <c r="AX60">
        <f t="shared" si="218"/>
        <v>-0.24017159999999999</v>
      </c>
      <c r="AY60">
        <f t="shared" si="128"/>
        <v>-0.11400690000000001</v>
      </c>
      <c r="AZ60">
        <f t="shared" si="228"/>
        <v>-9.9960000000000049E-3</v>
      </c>
      <c r="BA60">
        <f t="shared" si="228"/>
        <v>-2.0412E-2</v>
      </c>
      <c r="BB60">
        <f t="shared" si="228"/>
        <v>-3.1248000000000012E-2</v>
      </c>
      <c r="BC60">
        <f t="shared" si="228"/>
        <v>-4.2504000000000028E-2</v>
      </c>
      <c r="BD60">
        <f t="shared" si="228"/>
        <v>-5.4179999999999992E-2</v>
      </c>
      <c r="BE60">
        <f t="shared" si="228"/>
        <v>-6.6275999999999988E-2</v>
      </c>
      <c r="BF60">
        <f t="shared" si="130"/>
        <v>-0.1357225</v>
      </c>
      <c r="BG60">
        <f t="shared" si="229"/>
        <v>-1.1900000000000022E-2</v>
      </c>
      <c r="BH60">
        <f t="shared" si="229"/>
        <v>-2.4300000000000016E-2</v>
      </c>
      <c r="BI60">
        <f t="shared" si="229"/>
        <v>-3.7200000000000011E-2</v>
      </c>
      <c r="BJ60">
        <f t="shared" si="229"/>
        <v>-5.0600000000000034E-2</v>
      </c>
      <c r="BK60">
        <f t="shared" si="229"/>
        <v>-6.4500000000000002E-2</v>
      </c>
      <c r="BL60">
        <f t="shared" si="229"/>
        <v>-7.8899999999999998E-2</v>
      </c>
      <c r="BM60">
        <f t="shared" si="132"/>
        <v>-0.42888310000000002</v>
      </c>
      <c r="BN60">
        <f t="shared" si="230"/>
        <v>-3.7603999999999971E-2</v>
      </c>
      <c r="BO60">
        <f t="shared" si="230"/>
        <v>-7.6788000000000023E-2</v>
      </c>
      <c r="BP60">
        <f t="shared" si="230"/>
        <v>-0.11755200000000005</v>
      </c>
      <c r="BQ60">
        <f t="shared" si="230"/>
        <v>-0.15989600000000009</v>
      </c>
      <c r="BR60">
        <f t="shared" si="230"/>
        <v>-0.20381999999999995</v>
      </c>
      <c r="BS60">
        <f t="shared" si="230"/>
        <v>-0.24932400000000005</v>
      </c>
      <c r="BU60" t="s">
        <v>733</v>
      </c>
      <c r="BV60">
        <v>1</v>
      </c>
      <c r="BW60">
        <v>2</v>
      </c>
      <c r="BX60">
        <v>3</v>
      </c>
      <c r="BY60">
        <v>4</v>
      </c>
      <c r="BZ60">
        <v>5</v>
      </c>
      <c r="CA60">
        <v>6</v>
      </c>
      <c r="CS60">
        <f t="shared" si="33"/>
        <v>2077</v>
      </c>
      <c r="CT60">
        <f t="shared" si="34"/>
        <v>3.3800000000000021</v>
      </c>
      <c r="CU60">
        <f t="shared" si="35"/>
        <v>0.04</v>
      </c>
      <c r="CV60">
        <f t="shared" si="19"/>
        <v>-7.0437128950203622E-3</v>
      </c>
      <c r="CW60">
        <f t="shared" si="36"/>
        <v>0.76987808552245107</v>
      </c>
      <c r="CX60">
        <f t="shared" si="20"/>
        <v>-3.154172644586728E-2</v>
      </c>
      <c r="CY60">
        <f t="shared" si="36"/>
        <v>0.39456853763046723</v>
      </c>
      <c r="CZ60">
        <f t="shared" si="21"/>
        <v>3.8291021028481434E-2</v>
      </c>
      <c r="DA60">
        <f t="shared" si="36"/>
        <v>3.0178103593160928</v>
      </c>
      <c r="DB60">
        <f t="shared" si="22"/>
        <v>2.3066464569920748E-2</v>
      </c>
      <c r="DC60">
        <f t="shared" si="37"/>
        <v>1.9512963415822506</v>
      </c>
      <c r="DD60">
        <f t="shared" si="23"/>
        <v>-1.1996789476737799E-2</v>
      </c>
      <c r="DE60">
        <f t="shared" si="38"/>
        <v>0.70362143351491468</v>
      </c>
      <c r="DF60">
        <f t="shared" si="24"/>
        <v>3.1166977151835758E-2</v>
      </c>
      <c r="DG60">
        <f t="shared" si="39"/>
        <v>2.4620692151445867</v>
      </c>
      <c r="DH60">
        <f t="shared" si="25"/>
        <v>-0.14949570425715844</v>
      </c>
      <c r="DI60">
        <f t="shared" si="40"/>
        <v>1.0208993169382915E-2</v>
      </c>
      <c r="DJ60">
        <f t="shared" si="26"/>
        <v>-9.8687563444854437E-2</v>
      </c>
      <c r="DK60">
        <f t="shared" si="41"/>
        <v>5.1079682656434179E-2</v>
      </c>
      <c r="DL60">
        <f t="shared" si="27"/>
        <v>7.0998314639865251E-2</v>
      </c>
      <c r="DM60">
        <f t="shared" si="42"/>
        <v>7.5971943634948511</v>
      </c>
      <c r="DN60">
        <f t="shared" si="204"/>
        <v>-2.0558057072525706E-4</v>
      </c>
      <c r="DO60">
        <f t="shared" si="36"/>
        <v>0.98928614555172978</v>
      </c>
      <c r="DQ60">
        <f>(DQ63-DQ58)/5+DQ59</f>
        <v>-3.2628462691089677</v>
      </c>
      <c r="DR60">
        <f t="shared" si="29"/>
        <v>-2.2642832832490021E-4</v>
      </c>
      <c r="DS60">
        <f t="shared" si="30"/>
        <v>-3.2346904046414316E-4</v>
      </c>
      <c r="DT60">
        <f t="shared" si="43"/>
        <v>0.98590275233768765</v>
      </c>
      <c r="DU60">
        <f t="shared" si="31"/>
        <v>-1.4097247662312351</v>
      </c>
      <c r="DV60">
        <f t="shared" si="153"/>
        <v>-23.012191447754894</v>
      </c>
      <c r="DW60">
        <f t="shared" si="154"/>
        <v>-1.0713854448270221</v>
      </c>
      <c r="DY60">
        <f t="shared" si="155"/>
        <v>-98.979100683061702</v>
      </c>
      <c r="DZ60">
        <f t="shared" si="156"/>
        <v>-94.892031734356578</v>
      </c>
      <c r="EA60">
        <f t="shared" si="157"/>
        <v>-60.54314623695327</v>
      </c>
      <c r="EB60">
        <f t="shared" si="158"/>
        <v>-29.637856648508532</v>
      </c>
      <c r="EC60">
        <f t="shared" si="159"/>
        <v>-23.012191447754894</v>
      </c>
      <c r="ED60">
        <f t="shared" si="160"/>
        <v>95.129634158225059</v>
      </c>
      <c r="EE60">
        <f t="shared" si="161"/>
        <v>146.20692151445866</v>
      </c>
      <c r="EF60">
        <f t="shared" si="162"/>
        <v>201.78103593160927</v>
      </c>
      <c r="EG60">
        <f t="shared" si="32"/>
        <v>659.71943634948514</v>
      </c>
    </row>
    <row r="61" spans="2:137" x14ac:dyDescent="0.35">
      <c r="B61" t="s">
        <v>361</v>
      </c>
      <c r="C61" s="19">
        <f>regions!B39</f>
        <v>4349921</v>
      </c>
      <c r="D61" s="19">
        <f>regions!C39</f>
        <v>1895403784.9660907</v>
      </c>
      <c r="E61" s="8">
        <f>regions!D39</f>
        <v>435.73292134870741</v>
      </c>
      <c r="F61" s="1">
        <f>regions!Z39</f>
        <v>24.9</v>
      </c>
      <c r="G61" s="8"/>
      <c r="H61" s="8"/>
      <c r="I61">
        <f t="shared" si="221"/>
        <v>-0.34710599999999997</v>
      </c>
      <c r="J61">
        <f t="shared" si="213"/>
        <v>-1.3940000000000008E-2</v>
      </c>
      <c r="K61">
        <f t="shared" si="213"/>
        <v>-2.7880000000000016E-2</v>
      </c>
      <c r="L61">
        <f t="shared" si="213"/>
        <v>-4.1819999999999968E-2</v>
      </c>
      <c r="M61">
        <f t="shared" si="213"/>
        <v>-5.5759999999999976E-2</v>
      </c>
      <c r="N61">
        <f t="shared" si="213"/>
        <v>-6.9699999999999984E-2</v>
      </c>
      <c r="O61">
        <f t="shared" si="213"/>
        <v>-8.3639999999999992E-2</v>
      </c>
      <c r="P61">
        <f t="shared" si="222"/>
        <v>-0.24800399999999997</v>
      </c>
      <c r="Q61">
        <f t="shared" si="214"/>
        <v>-2.0320000000000032E-2</v>
      </c>
      <c r="R61">
        <f t="shared" si="214"/>
        <v>-4.1440000000000005E-2</v>
      </c>
      <c r="S61">
        <f t="shared" si="214"/>
        <v>-6.3360000000000055E-2</v>
      </c>
      <c r="T61">
        <f t="shared" si="214"/>
        <v>-8.6080000000000018E-2</v>
      </c>
      <c r="U61">
        <f t="shared" si="214"/>
        <v>-0.1096</v>
      </c>
      <c r="V61">
        <f t="shared" si="214"/>
        <v>-0.13392000000000001</v>
      </c>
      <c r="W61">
        <f t="shared" si="223"/>
        <v>-0.31000499999999992</v>
      </c>
      <c r="X61">
        <f t="shared" si="215"/>
        <v>-2.5400000000000034E-2</v>
      </c>
      <c r="Y61">
        <f t="shared" si="215"/>
        <v>-5.1800000000000013E-2</v>
      </c>
      <c r="Z61">
        <f t="shared" si="215"/>
        <v>-7.9200000000000048E-2</v>
      </c>
      <c r="AA61">
        <f t="shared" si="215"/>
        <v>-0.10760000000000003</v>
      </c>
      <c r="AB61">
        <f t="shared" si="215"/>
        <v>-0.13700000000000001</v>
      </c>
      <c r="AC61">
        <f t="shared" si="215"/>
        <v>-0.16740000000000005</v>
      </c>
      <c r="AD61">
        <f t="shared" si="224"/>
        <v>-0.28086452999999995</v>
      </c>
      <c r="AE61">
        <f t="shared" si="216"/>
        <v>-2.3012400000000044E-2</v>
      </c>
      <c r="AF61">
        <f t="shared" si="216"/>
        <v>-4.6930799999999995E-2</v>
      </c>
      <c r="AG61">
        <f t="shared" si="216"/>
        <v>-7.1755200000000019E-2</v>
      </c>
      <c r="AH61">
        <f t="shared" si="216"/>
        <v>-9.7485600000000006E-2</v>
      </c>
      <c r="AI61">
        <f t="shared" si="216"/>
        <v>-0.12412200000000001</v>
      </c>
      <c r="AJ61">
        <f t="shared" si="216"/>
        <v>-0.15166440000000003</v>
      </c>
      <c r="AK61">
        <f t="shared" si="225"/>
        <v>-0.31620509999999996</v>
      </c>
      <c r="AL61">
        <f t="shared" si="217"/>
        <v>-2.5908000000000042E-2</v>
      </c>
      <c r="AM61">
        <f t="shared" si="217"/>
        <v>-5.2835999999999994E-2</v>
      </c>
      <c r="AN61">
        <f t="shared" si="217"/>
        <v>-8.0784000000000078E-2</v>
      </c>
      <c r="AO61">
        <f t="shared" si="217"/>
        <v>-0.10975200000000002</v>
      </c>
      <c r="AP61">
        <f t="shared" si="217"/>
        <v>-0.13974000000000003</v>
      </c>
      <c r="AQ61">
        <f t="shared" si="217"/>
        <v>-0.17074800000000007</v>
      </c>
      <c r="AR61">
        <f t="shared" si="226"/>
        <v>-0.4718276099999999</v>
      </c>
      <c r="AS61">
        <f t="shared" si="218"/>
        <v>-3.8658800000000049E-2</v>
      </c>
      <c r="AT61">
        <f t="shared" si="218"/>
        <v>-7.8839599999999954E-2</v>
      </c>
      <c r="AU61">
        <f t="shared" si="218"/>
        <v>-0.12054239999999999</v>
      </c>
      <c r="AV61">
        <f t="shared" si="218"/>
        <v>-0.16376720000000006</v>
      </c>
      <c r="AW61">
        <f t="shared" si="218"/>
        <v>-0.20851399999999992</v>
      </c>
      <c r="AX61">
        <f t="shared" si="218"/>
        <v>-0.25478280000000003</v>
      </c>
      <c r="AY61">
        <f t="shared" si="128"/>
        <v>-0.13020209999999999</v>
      </c>
      <c r="AZ61">
        <f t="shared" si="228"/>
        <v>-1.0668000000000011E-2</v>
      </c>
      <c r="BA61">
        <f t="shared" si="228"/>
        <v>-2.1755999999999998E-2</v>
      </c>
      <c r="BB61">
        <f t="shared" si="228"/>
        <v>-3.3264000000000016E-2</v>
      </c>
      <c r="BC61">
        <f t="shared" si="228"/>
        <v>-4.519200000000001E-2</v>
      </c>
      <c r="BD61">
        <f t="shared" si="228"/>
        <v>-5.7540000000000008E-2</v>
      </c>
      <c r="BE61">
        <f t="shared" si="228"/>
        <v>-7.0308000000000009E-2</v>
      </c>
      <c r="BF61">
        <f t="shared" si="130"/>
        <v>-0.15500249999999996</v>
      </c>
      <c r="BG61">
        <f t="shared" si="229"/>
        <v>-1.2700000000000017E-2</v>
      </c>
      <c r="BH61">
        <f t="shared" si="229"/>
        <v>-2.5900000000000006E-2</v>
      </c>
      <c r="BI61">
        <f t="shared" si="229"/>
        <v>-3.9600000000000024E-2</v>
      </c>
      <c r="BJ61">
        <f t="shared" si="229"/>
        <v>-5.3800000000000014E-2</v>
      </c>
      <c r="BK61">
        <f t="shared" si="229"/>
        <v>-6.8500000000000005E-2</v>
      </c>
      <c r="BL61">
        <f t="shared" si="229"/>
        <v>-8.3700000000000024E-2</v>
      </c>
      <c r="BM61">
        <f t="shared" si="132"/>
        <v>-0.48980789999999991</v>
      </c>
      <c r="BN61">
        <f t="shared" si="230"/>
        <v>-4.0132000000000112E-2</v>
      </c>
      <c r="BO61">
        <f t="shared" si="230"/>
        <v>-8.1843999999999972E-2</v>
      </c>
      <c r="BP61">
        <f t="shared" si="230"/>
        <v>-0.12513600000000008</v>
      </c>
      <c r="BQ61">
        <f t="shared" si="230"/>
        <v>-0.17000799999999999</v>
      </c>
      <c r="BR61">
        <f t="shared" si="230"/>
        <v>-0.21646000000000004</v>
      </c>
      <c r="BS61">
        <f t="shared" si="230"/>
        <v>-0.26449200000000012</v>
      </c>
      <c r="BU61">
        <v>0.01</v>
      </c>
      <c r="BV61" s="37">
        <f t="shared" ref="BV61:CA66" si="231">SQRT(1/BV69)</f>
        <v>1.0500227214946032E-5</v>
      </c>
      <c r="BW61" s="37">
        <f t="shared" si="231"/>
        <v>1.0532149605609168E-5</v>
      </c>
      <c r="BX61" s="37">
        <f t="shared" si="231"/>
        <v>1.0582438543115589E-5</v>
      </c>
      <c r="BY61" s="37">
        <f t="shared" si="231"/>
        <v>1.0647336638205982E-5</v>
      </c>
      <c r="BZ61" s="37">
        <f t="shared" si="231"/>
        <v>1.0722564150848924E-5</v>
      </c>
      <c r="CA61" s="37">
        <f t="shared" si="231"/>
        <v>1.0803920859757347E-5</v>
      </c>
      <c r="CC61" s="37">
        <f t="shared" ref="CC61:CC66" si="232">SQRT(1/CC69)</f>
        <v>1.2012102725719179E-5</v>
      </c>
      <c r="CD61">
        <f t="shared" ref="CD61:CD66" si="233">$E$3*BU27</f>
        <v>1.2410328658746975E-5</v>
      </c>
      <c r="CE61">
        <f t="shared" ref="CE61:CE66" si="234">$E$6*BU27</f>
        <v>4.7801673610868479E-5</v>
      </c>
      <c r="CS61">
        <f t="shared" si="33"/>
        <v>2078</v>
      </c>
      <c r="CT61">
        <f t="shared" si="34"/>
        <v>3.4200000000000021</v>
      </c>
      <c r="CU61">
        <f t="shared" si="35"/>
        <v>0.04</v>
      </c>
      <c r="CV61">
        <f t="shared" si="19"/>
        <v>-7.1302440971659506E-3</v>
      </c>
      <c r="CW61">
        <f t="shared" si="36"/>
        <v>0.76445528532386298</v>
      </c>
      <c r="CX61">
        <f t="shared" si="20"/>
        <v>-3.220646251427333E-2</v>
      </c>
      <c r="CY61">
        <f t="shared" si="36"/>
        <v>0.38212316475238112</v>
      </c>
      <c r="CZ61">
        <f t="shared" si="21"/>
        <v>3.9097997235614863E-2</v>
      </c>
      <c r="DA61">
        <f t="shared" si="36"/>
        <v>3.1333653992446346</v>
      </c>
      <c r="DB61">
        <f t="shared" si="22"/>
        <v>2.3552586057168812E-2</v>
      </c>
      <c r="DC61">
        <f t="shared" si="37"/>
        <v>1.9963058495107737</v>
      </c>
      <c r="DD61">
        <f t="shared" si="23"/>
        <v>-1.2249619602696446E-2</v>
      </c>
      <c r="DE61">
        <f t="shared" si="38"/>
        <v>0.69518023530571582</v>
      </c>
      <c r="DF61">
        <f t="shared" si="24"/>
        <v>3.1823815447975606E-2</v>
      </c>
      <c r="DG61">
        <f t="shared" si="39"/>
        <v>2.5388044701192358</v>
      </c>
      <c r="DH61">
        <f t="shared" si="25"/>
        <v>-0.15264629865667706</v>
      </c>
      <c r="DI61">
        <f t="shared" si="40"/>
        <v>8.6827925457694972E-3</v>
      </c>
      <c r="DJ61">
        <f t="shared" si="26"/>
        <v>-0.1007673856460105</v>
      </c>
      <c r="DK61">
        <f t="shared" si="41"/>
        <v>4.6038753233534305E-2</v>
      </c>
      <c r="DL61">
        <f t="shared" si="27"/>
        <v>7.2494591028482006E-2</v>
      </c>
      <c r="DM61">
        <f t="shared" si="42"/>
        <v>8.1365823592944686</v>
      </c>
      <c r="DN61">
        <f t="shared" si="204"/>
        <v>-2.0621458392636578E-4</v>
      </c>
      <c r="DO61">
        <f t="shared" si="36"/>
        <v>0.98908276754131663</v>
      </c>
      <c r="DQ61">
        <f>(DQ63-DQ58)/5+DQ60</f>
        <v>-3.3200417263012239</v>
      </c>
      <c r="DR61">
        <f t="shared" si="29"/>
        <v>-2.2647960972432975E-4</v>
      </c>
      <c r="DS61">
        <f t="shared" si="30"/>
        <v>-3.2354229960618536E-4</v>
      </c>
      <c r="DT61">
        <f t="shared" si="43"/>
        <v>0.98558384332039806</v>
      </c>
      <c r="DU61">
        <f t="shared" si="31"/>
        <v>-1.4416156679601944</v>
      </c>
      <c r="DV61">
        <f t="shared" si="153"/>
        <v>-23.554471467613702</v>
      </c>
      <c r="DW61">
        <f t="shared" si="154"/>
        <v>-1.0917232458683368</v>
      </c>
      <c r="DY61">
        <f t="shared" si="155"/>
        <v>-99.131720745423053</v>
      </c>
      <c r="DZ61">
        <f t="shared" si="156"/>
        <v>-95.396124676646565</v>
      </c>
      <c r="EA61">
        <f t="shared" si="157"/>
        <v>-61.787683524761896</v>
      </c>
      <c r="EB61">
        <f t="shared" si="158"/>
        <v>-30.481976469428417</v>
      </c>
      <c r="EC61">
        <f t="shared" si="159"/>
        <v>-23.554471467613702</v>
      </c>
      <c r="ED61">
        <f t="shared" si="160"/>
        <v>99.630584951077367</v>
      </c>
      <c r="EE61">
        <f t="shared" si="161"/>
        <v>153.88044701192359</v>
      </c>
      <c r="EF61">
        <f t="shared" si="162"/>
        <v>213.33653992446347</v>
      </c>
      <c r="EG61">
        <f t="shared" si="32"/>
        <v>713.65823592944685</v>
      </c>
    </row>
    <row r="62" spans="2:137" x14ac:dyDescent="0.35">
      <c r="B62" t="s">
        <v>362</v>
      </c>
      <c r="C62" s="19">
        <f>regions!B40</f>
        <v>11720781</v>
      </c>
      <c r="D62" s="19">
        <f>regions!C40</f>
        <v>8425171572.2620554</v>
      </c>
      <c r="E62" s="8">
        <f>regions!D40</f>
        <v>718.82339344639706</v>
      </c>
      <c r="F62" s="1">
        <f>regions!Z40</f>
        <v>26.5</v>
      </c>
      <c r="G62" s="8"/>
      <c r="H62" s="8"/>
      <c r="I62">
        <f t="shared" si="221"/>
        <v>-0.36940999999999996</v>
      </c>
      <c r="J62">
        <f t="shared" si="213"/>
        <v>-1.3940000000000008E-2</v>
      </c>
      <c r="K62">
        <f t="shared" si="213"/>
        <v>-2.7880000000000016E-2</v>
      </c>
      <c r="L62">
        <f t="shared" si="213"/>
        <v>-4.1820000000000024E-2</v>
      </c>
      <c r="M62">
        <f t="shared" si="213"/>
        <v>-5.5760000000000032E-2</v>
      </c>
      <c r="N62">
        <f t="shared" si="213"/>
        <v>-6.970000000000004E-2</v>
      </c>
      <c r="O62">
        <f t="shared" si="213"/>
        <v>-8.3639999999999992E-2</v>
      </c>
      <c r="P62">
        <f t="shared" si="222"/>
        <v>-0.28090000000000004</v>
      </c>
      <c r="Q62">
        <f t="shared" si="214"/>
        <v>-2.1599999999999953E-2</v>
      </c>
      <c r="R62">
        <f t="shared" si="214"/>
        <v>-4.3999999999999984E-2</v>
      </c>
      <c r="S62">
        <f t="shared" si="214"/>
        <v>-6.7199999999999982E-2</v>
      </c>
      <c r="T62">
        <f t="shared" si="214"/>
        <v>-9.1200000000000003E-2</v>
      </c>
      <c r="U62">
        <f t="shared" si="214"/>
        <v>-0.11599999999999999</v>
      </c>
      <c r="V62">
        <f t="shared" si="214"/>
        <v>-0.1416</v>
      </c>
      <c r="W62">
        <f t="shared" si="223"/>
        <v>-0.35112500000000002</v>
      </c>
      <c r="X62">
        <f t="shared" si="215"/>
        <v>-2.6999999999999968E-2</v>
      </c>
      <c r="Y62">
        <f t="shared" si="215"/>
        <v>-5.4999999999999993E-2</v>
      </c>
      <c r="Z62">
        <f t="shared" si="215"/>
        <v>-8.3999999999999964E-2</v>
      </c>
      <c r="AA62">
        <f t="shared" si="215"/>
        <v>-0.11399999999999999</v>
      </c>
      <c r="AB62">
        <f t="shared" si="215"/>
        <v>-0.14499999999999996</v>
      </c>
      <c r="AC62">
        <f t="shared" si="215"/>
        <v>-0.17699999999999994</v>
      </c>
      <c r="AD62">
        <f t="shared" si="224"/>
        <v>-0.31811925000000002</v>
      </c>
      <c r="AE62">
        <f t="shared" si="216"/>
        <v>-2.4461999999999984E-2</v>
      </c>
      <c r="AF62">
        <f t="shared" si="216"/>
        <v>-4.9829999999999985E-2</v>
      </c>
      <c r="AG62">
        <f t="shared" si="216"/>
        <v>-7.6104000000000005E-2</v>
      </c>
      <c r="AH62">
        <f t="shared" si="216"/>
        <v>-0.10328399999999999</v>
      </c>
      <c r="AI62">
        <f t="shared" si="216"/>
        <v>-0.13136999999999999</v>
      </c>
      <c r="AJ62">
        <f t="shared" si="216"/>
        <v>-0.160362</v>
      </c>
      <c r="AK62">
        <f t="shared" si="225"/>
        <v>-0.35814750000000001</v>
      </c>
      <c r="AL62">
        <f t="shared" si="217"/>
        <v>-2.7540000000000009E-2</v>
      </c>
      <c r="AM62">
        <f t="shared" si="217"/>
        <v>-5.6100000000000039E-2</v>
      </c>
      <c r="AN62">
        <f t="shared" si="217"/>
        <v>-8.5680000000000034E-2</v>
      </c>
      <c r="AO62">
        <f t="shared" si="217"/>
        <v>-0.11628000000000005</v>
      </c>
      <c r="AP62">
        <f t="shared" si="217"/>
        <v>-0.14789999999999998</v>
      </c>
      <c r="AQ62">
        <f t="shared" si="217"/>
        <v>-0.18053999999999998</v>
      </c>
      <c r="AR62">
        <f t="shared" si="226"/>
        <v>-0.53441224999999992</v>
      </c>
      <c r="AS62">
        <f t="shared" si="218"/>
        <v>-4.1094000000000075E-2</v>
      </c>
      <c r="AT62">
        <f t="shared" si="218"/>
        <v>-8.3710000000000062E-2</v>
      </c>
      <c r="AU62">
        <f t="shared" si="218"/>
        <v>-0.12784800000000007</v>
      </c>
      <c r="AV62">
        <f t="shared" si="218"/>
        <v>-0.173508</v>
      </c>
      <c r="AW62">
        <f t="shared" si="218"/>
        <v>-0.22069000000000005</v>
      </c>
      <c r="AX62">
        <f t="shared" si="218"/>
        <v>-0.26939400000000002</v>
      </c>
      <c r="AY62">
        <f t="shared" si="128"/>
        <v>-0.14747250000000001</v>
      </c>
      <c r="AZ62">
        <f t="shared" si="228"/>
        <v>-1.1339999999999989E-2</v>
      </c>
      <c r="BA62">
        <f t="shared" si="228"/>
        <v>-2.3100000000000009E-2</v>
      </c>
      <c r="BB62">
        <f t="shared" si="228"/>
        <v>-3.5280000000000006E-2</v>
      </c>
      <c r="BC62">
        <f t="shared" si="228"/>
        <v>-4.7880000000000006E-2</v>
      </c>
      <c r="BD62">
        <f t="shared" si="228"/>
        <v>-6.090000000000001E-2</v>
      </c>
      <c r="BE62">
        <f t="shared" si="228"/>
        <v>-7.4339999999999989E-2</v>
      </c>
      <c r="BF62">
        <f t="shared" si="130"/>
        <v>-0.17556250000000001</v>
      </c>
      <c r="BG62">
        <f t="shared" si="229"/>
        <v>-1.3499999999999984E-2</v>
      </c>
      <c r="BH62">
        <f t="shared" si="229"/>
        <v>-2.7499999999999997E-2</v>
      </c>
      <c r="BI62">
        <f t="shared" si="229"/>
        <v>-4.1999999999999982E-2</v>
      </c>
      <c r="BJ62">
        <f t="shared" si="229"/>
        <v>-5.6999999999999995E-2</v>
      </c>
      <c r="BK62">
        <f t="shared" si="229"/>
        <v>-7.2499999999999981E-2</v>
      </c>
      <c r="BL62">
        <f t="shared" si="229"/>
        <v>-8.8499999999999968E-2</v>
      </c>
      <c r="BM62">
        <f t="shared" si="132"/>
        <v>-0.55477750000000003</v>
      </c>
      <c r="BN62">
        <f t="shared" si="230"/>
        <v>-4.265999999999992E-2</v>
      </c>
      <c r="BO62">
        <f t="shared" si="230"/>
        <v>-8.6899999999999977E-2</v>
      </c>
      <c r="BP62">
        <f t="shared" si="230"/>
        <v>-0.13271999999999995</v>
      </c>
      <c r="BQ62">
        <f t="shared" si="230"/>
        <v>-0.18011999999999995</v>
      </c>
      <c r="BR62">
        <f t="shared" si="230"/>
        <v>-0.22909999999999997</v>
      </c>
      <c r="BS62">
        <f t="shared" si="230"/>
        <v>-0.27966000000000002</v>
      </c>
      <c r="BU62">
        <v>0.02</v>
      </c>
      <c r="BV62" s="37">
        <f t="shared" si="231"/>
        <v>2.1000412704309406E-5</v>
      </c>
      <c r="BW62" s="37">
        <f t="shared" si="231"/>
        <v>2.1064288681310014E-5</v>
      </c>
      <c r="BX62" s="37">
        <f t="shared" si="231"/>
        <v>2.1164872338656144E-5</v>
      </c>
      <c r="BY62" s="37">
        <f t="shared" si="231"/>
        <v>2.1294670556415736E-5</v>
      </c>
      <c r="BZ62" s="37">
        <f t="shared" si="231"/>
        <v>2.1445126523725117E-5</v>
      </c>
      <c r="CA62" s="37">
        <f t="shared" si="231"/>
        <v>2.1607840456486919E-5</v>
      </c>
      <c r="CC62" s="37">
        <f t="shared" si="232"/>
        <v>2.4024205451438359E-5</v>
      </c>
      <c r="CD62">
        <f t="shared" si="233"/>
        <v>2.4820657317493949E-5</v>
      </c>
      <c r="CE62">
        <f t="shared" si="234"/>
        <v>9.5603347221736958E-5</v>
      </c>
      <c r="CS62">
        <f t="shared" si="33"/>
        <v>2079</v>
      </c>
      <c r="CT62">
        <f t="shared" si="34"/>
        <v>3.4600000000000022</v>
      </c>
      <c r="CU62">
        <f t="shared" si="35"/>
        <v>0.04</v>
      </c>
      <c r="CV62">
        <f t="shared" si="19"/>
        <v>-7.2168495368107695E-3</v>
      </c>
      <c r="CW62">
        <f t="shared" si="36"/>
        <v>0.75900453253813516</v>
      </c>
      <c r="CX62">
        <f t="shared" si="20"/>
        <v>-3.2878016388509186E-2</v>
      </c>
      <c r="CY62">
        <f t="shared" si="36"/>
        <v>0.3698163293709481</v>
      </c>
      <c r="CZ62">
        <f t="shared" si="21"/>
        <v>3.9913250121795821E-2</v>
      </c>
      <c r="DA62">
        <f t="shared" si="36"/>
        <v>3.2558737109624727</v>
      </c>
      <c r="DB62">
        <f t="shared" si="22"/>
        <v>2.4043693405824552E-2</v>
      </c>
      <c r="DC62">
        <f t="shared" si="37"/>
        <v>2.0433240148278058</v>
      </c>
      <c r="DD62">
        <f t="shared" si="23"/>
        <v>-1.2505042858152104E-2</v>
      </c>
      <c r="DE62">
        <f t="shared" si="38"/>
        <v>0.68666454186790782</v>
      </c>
      <c r="DF62">
        <f t="shared" si="24"/>
        <v>3.2487390547152786E-2</v>
      </c>
      <c r="DG62">
        <f t="shared" si="39"/>
        <v>2.6195989150348056</v>
      </c>
      <c r="DH62">
        <f t="shared" si="25"/>
        <v>-0.15582920684490867</v>
      </c>
      <c r="DI62">
        <f t="shared" si="40"/>
        <v>7.3573964016539978E-3</v>
      </c>
      <c r="DJ62">
        <f t="shared" si="26"/>
        <v>-0.10286853935692199</v>
      </c>
      <c r="DK62">
        <f t="shared" si="41"/>
        <v>4.1399548431789238E-2</v>
      </c>
      <c r="DL62">
        <f t="shared" si="27"/>
        <v>7.400621384159739E-2</v>
      </c>
      <c r="DM62">
        <f t="shared" si="42"/>
        <v>8.726440569801083</v>
      </c>
      <c r="DN62">
        <f t="shared" si="204"/>
        <v>-2.0684859712747448E-4</v>
      </c>
      <c r="DO62">
        <f t="shared" si="36"/>
        <v>0.98887880424993935</v>
      </c>
      <c r="DQ62">
        <f>(DQ63-DQ58)/5+DQ61</f>
        <v>-3.37723718349348</v>
      </c>
      <c r="DR62">
        <f t="shared" si="29"/>
        <v>-2.2653091435740743E-4</v>
      </c>
      <c r="DS62">
        <f t="shared" si="30"/>
        <v>-3.2361559193915348E-4</v>
      </c>
      <c r="DT62">
        <f t="shared" si="43"/>
        <v>0.98526496525727547</v>
      </c>
      <c r="DU62">
        <f t="shared" si="31"/>
        <v>-1.4735034742724529</v>
      </c>
      <c r="DV62">
        <f t="shared" si="153"/>
        <v>-24.099546746186483</v>
      </c>
      <c r="DW62">
        <f t="shared" si="154"/>
        <v>-1.1121195750060653</v>
      </c>
      <c r="DY62">
        <f t="shared" si="155"/>
        <v>-99.264260359834594</v>
      </c>
      <c r="DZ62">
        <f t="shared" si="156"/>
        <v>-95.860045156821073</v>
      </c>
      <c r="EA62">
        <f t="shared" si="157"/>
        <v>-63.018367062905192</v>
      </c>
      <c r="EB62">
        <f t="shared" si="158"/>
        <v>-31.33354581320922</v>
      </c>
      <c r="EC62">
        <f t="shared" si="159"/>
        <v>-24.099546746186483</v>
      </c>
      <c r="ED62">
        <f t="shared" si="160"/>
        <v>104.33240148278058</v>
      </c>
      <c r="EE62">
        <f t="shared" si="161"/>
        <v>161.95989150348055</v>
      </c>
      <c r="EF62">
        <f t="shared" si="162"/>
        <v>225.58737109624727</v>
      </c>
      <c r="EG62">
        <f t="shared" si="32"/>
        <v>772.6440569801083</v>
      </c>
    </row>
    <row r="63" spans="2:137" x14ac:dyDescent="0.35">
      <c r="B63" t="s">
        <v>132</v>
      </c>
      <c r="C63" s="19">
        <f>regions!B41</f>
        <v>17150760</v>
      </c>
      <c r="D63" s="19">
        <f>regions!C41</f>
        <v>147668421646.38379</v>
      </c>
      <c r="E63" s="8">
        <f>regions!D41</f>
        <v>8610.0220425441075</v>
      </c>
      <c r="F63" s="1">
        <f>regions!Z41</f>
        <v>8.5</v>
      </c>
      <c r="G63" s="8"/>
      <c r="H63" s="8"/>
      <c r="I63">
        <f t="shared" si="221"/>
        <v>0</v>
      </c>
      <c r="J63">
        <f t="shared" si="213"/>
        <v>0</v>
      </c>
      <c r="K63">
        <f t="shared" si="213"/>
        <v>0</v>
      </c>
      <c r="L63">
        <f t="shared" si="213"/>
        <v>0</v>
      </c>
      <c r="M63">
        <f t="shared" si="213"/>
        <v>0</v>
      </c>
      <c r="N63">
        <f t="shared" si="213"/>
        <v>0</v>
      </c>
      <c r="O63">
        <f t="shared" si="213"/>
        <v>0</v>
      </c>
      <c r="P63">
        <f t="shared" si="222"/>
        <v>-2.8900000000000002E-2</v>
      </c>
      <c r="Q63">
        <f t="shared" si="214"/>
        <v>-7.1999999999999981E-3</v>
      </c>
      <c r="R63">
        <f t="shared" si="214"/>
        <v>-1.5199999999999998E-2</v>
      </c>
      <c r="S63">
        <f t="shared" si="214"/>
        <v>-2.4E-2</v>
      </c>
      <c r="T63">
        <f t="shared" si="214"/>
        <v>-3.3599999999999998E-2</v>
      </c>
      <c r="U63">
        <f t="shared" si="214"/>
        <v>-4.4000000000000004E-2</v>
      </c>
      <c r="V63">
        <f t="shared" si="214"/>
        <v>-5.5200000000000006E-2</v>
      </c>
      <c r="W63">
        <f t="shared" si="223"/>
        <v>-3.6124999999999997E-2</v>
      </c>
      <c r="X63">
        <f t="shared" si="215"/>
        <v>-9.0000000000000011E-3</v>
      </c>
      <c r="Y63">
        <f t="shared" si="215"/>
        <v>-1.9000000000000003E-2</v>
      </c>
      <c r="Z63">
        <f t="shared" si="215"/>
        <v>-3.0000000000000006E-2</v>
      </c>
      <c r="AA63">
        <f t="shared" si="215"/>
        <v>-4.2000000000000003E-2</v>
      </c>
      <c r="AB63">
        <f t="shared" si="215"/>
        <v>-5.5E-2</v>
      </c>
      <c r="AC63">
        <f t="shared" si="215"/>
        <v>-6.9000000000000006E-2</v>
      </c>
      <c r="AD63">
        <f t="shared" si="224"/>
        <v>-3.2729250000000001E-2</v>
      </c>
      <c r="AE63">
        <f t="shared" si="216"/>
        <v>-8.1540000000000015E-3</v>
      </c>
      <c r="AF63">
        <f t="shared" si="216"/>
        <v>-1.7214E-2</v>
      </c>
      <c r="AG63">
        <f t="shared" si="216"/>
        <v>-2.7180000000000003E-2</v>
      </c>
      <c r="AH63">
        <f t="shared" si="216"/>
        <v>-3.8052000000000002E-2</v>
      </c>
      <c r="AI63">
        <f t="shared" si="216"/>
        <v>-4.9829999999999999E-2</v>
      </c>
      <c r="AJ63">
        <f t="shared" si="216"/>
        <v>-6.2514E-2</v>
      </c>
      <c r="AK63">
        <f t="shared" si="225"/>
        <v>-3.6847500000000005E-2</v>
      </c>
      <c r="AL63">
        <f t="shared" si="217"/>
        <v>-9.1800000000000007E-3</v>
      </c>
      <c r="AM63">
        <f t="shared" si="217"/>
        <v>-1.9380000000000001E-2</v>
      </c>
      <c r="AN63">
        <f t="shared" si="217"/>
        <v>-3.0600000000000002E-2</v>
      </c>
      <c r="AO63">
        <f t="shared" si="217"/>
        <v>-4.2840000000000003E-2</v>
      </c>
      <c r="AP63">
        <f t="shared" si="217"/>
        <v>-5.6099999999999997E-2</v>
      </c>
      <c r="AQ63">
        <f t="shared" si="217"/>
        <v>-7.0379999999999998E-2</v>
      </c>
      <c r="AR63">
        <f t="shared" si="226"/>
        <v>-5.4982249999999996E-2</v>
      </c>
      <c r="AS63">
        <f t="shared" si="218"/>
        <v>-1.3698000000000002E-2</v>
      </c>
      <c r="AT63">
        <f t="shared" si="218"/>
        <v>-2.8917999999999999E-2</v>
      </c>
      <c r="AU63">
        <f t="shared" si="218"/>
        <v>-4.5659999999999992E-2</v>
      </c>
      <c r="AV63">
        <f t="shared" si="218"/>
        <v>-6.3923999999999995E-2</v>
      </c>
      <c r="AW63">
        <f t="shared" si="218"/>
        <v>-8.3709999999999993E-2</v>
      </c>
      <c r="AX63">
        <f t="shared" si="218"/>
        <v>-0.10501799999999999</v>
      </c>
      <c r="AY63">
        <f t="shared" si="128"/>
        <v>-1.51725E-2</v>
      </c>
      <c r="AZ63">
        <f t="shared" si="228"/>
        <v>-3.7800000000000004E-3</v>
      </c>
      <c r="BA63">
        <f t="shared" si="228"/>
        <v>-7.9799999999999992E-3</v>
      </c>
      <c r="BB63">
        <f t="shared" si="228"/>
        <v>-1.2600000000000002E-2</v>
      </c>
      <c r="BC63">
        <f t="shared" si="228"/>
        <v>-1.7640000000000003E-2</v>
      </c>
      <c r="BD63">
        <f t="shared" si="228"/>
        <v>-2.3100000000000002E-2</v>
      </c>
      <c r="BE63">
        <f t="shared" si="228"/>
        <v>-2.8980000000000006E-2</v>
      </c>
      <c r="BF63">
        <f t="shared" si="130"/>
        <v>-1.8062499999999999E-2</v>
      </c>
      <c r="BG63">
        <f t="shared" si="229"/>
        <v>-4.5000000000000005E-3</v>
      </c>
      <c r="BH63">
        <f t="shared" si="229"/>
        <v>-9.5000000000000015E-3</v>
      </c>
      <c r="BI63">
        <f t="shared" si="229"/>
        <v>-1.5000000000000003E-2</v>
      </c>
      <c r="BJ63">
        <f t="shared" si="229"/>
        <v>-2.1000000000000001E-2</v>
      </c>
      <c r="BK63">
        <f t="shared" si="229"/>
        <v>-2.75E-2</v>
      </c>
      <c r="BL63">
        <f t="shared" si="229"/>
        <v>-3.4500000000000003E-2</v>
      </c>
      <c r="BM63">
        <f t="shared" si="132"/>
        <v>-5.7077500000000003E-2</v>
      </c>
      <c r="BN63">
        <f t="shared" si="230"/>
        <v>-1.4219999999999997E-2</v>
      </c>
      <c r="BO63">
        <f t="shared" si="230"/>
        <v>-3.0020000000000005E-2</v>
      </c>
      <c r="BP63">
        <f t="shared" si="230"/>
        <v>-4.7399999999999998E-2</v>
      </c>
      <c r="BQ63">
        <f t="shared" si="230"/>
        <v>-6.6360000000000002E-2</v>
      </c>
      <c r="BR63">
        <f t="shared" si="230"/>
        <v>-8.6900000000000005E-2</v>
      </c>
      <c r="BS63">
        <f t="shared" si="230"/>
        <v>-0.10902000000000001</v>
      </c>
      <c r="BU63">
        <v>0.03</v>
      </c>
      <c r="BV63" s="37">
        <f t="shared" si="231"/>
        <v>3.1500514808451965E-5</v>
      </c>
      <c r="BW63" s="37">
        <f t="shared" si="231"/>
        <v>3.159640670144564E-5</v>
      </c>
      <c r="BX63" s="37">
        <f t="shared" si="231"/>
        <v>3.1747296639928271E-5</v>
      </c>
      <c r="BY63" s="37">
        <f t="shared" si="231"/>
        <v>3.1941999034930545E-5</v>
      </c>
      <c r="BZ63" s="37">
        <f t="shared" si="231"/>
        <v>3.2167685340787504E-5</v>
      </c>
      <c r="CA63" s="37">
        <f t="shared" si="231"/>
        <v>3.2411757527230233E-5</v>
      </c>
      <c r="CC63" s="37">
        <f t="shared" si="232"/>
        <v>3.6036308177157538E-5</v>
      </c>
      <c r="CD63">
        <f t="shared" si="233"/>
        <v>3.723098597624092E-5</v>
      </c>
      <c r="CE63">
        <f t="shared" si="234"/>
        <v>1.4340502083260543E-4</v>
      </c>
      <c r="CS63">
        <f t="shared" si="33"/>
        <v>2080</v>
      </c>
      <c r="CT63">
        <f t="shared" si="34"/>
        <v>3.5000000000000022</v>
      </c>
      <c r="CU63">
        <f t="shared" si="35"/>
        <v>0.04</v>
      </c>
      <c r="CV63">
        <f t="shared" si="19"/>
        <v>-7.3035292139548178E-3</v>
      </c>
      <c r="CW63">
        <f t="shared" si="36"/>
        <v>0.75352691102905001</v>
      </c>
      <c r="CX63">
        <f t="shared" si="20"/>
        <v>-3.3556388068574861E-2</v>
      </c>
      <c r="CY63">
        <f t="shared" si="36"/>
        <v>0.35765750203315178</v>
      </c>
      <c r="CZ63">
        <f t="shared" si="21"/>
        <v>4.0736779687024299E-2</v>
      </c>
      <c r="DA63">
        <f t="shared" si="36"/>
        <v>3.3858262127530976</v>
      </c>
      <c r="DB63">
        <f t="shared" si="22"/>
        <v>2.4539786615887967E-2</v>
      </c>
      <c r="DC63">
        <f t="shared" si="37"/>
        <v>2.0924530709690843</v>
      </c>
      <c r="DD63">
        <f t="shared" si="23"/>
        <v>-1.2763059243104776E-2</v>
      </c>
      <c r="DE63">
        <f t="shared" si="38"/>
        <v>0.67807777234267619</v>
      </c>
      <c r="DF63">
        <f t="shared" si="24"/>
        <v>3.3157702449367298E-2</v>
      </c>
      <c r="DG63">
        <f t="shared" si="39"/>
        <v>2.7047028480644388</v>
      </c>
      <c r="DH63">
        <f t="shared" si="25"/>
        <v>-0.15904442882185332</v>
      </c>
      <c r="DI63">
        <f t="shared" si="40"/>
        <v>6.2108991559406707E-3</v>
      </c>
      <c r="DJ63">
        <f t="shared" si="26"/>
        <v>-0.10499102457758894</v>
      </c>
      <c r="DK63">
        <f t="shared" si="41"/>
        <v>3.7140837354574928E-2</v>
      </c>
      <c r="DL63">
        <f t="shared" si="27"/>
        <v>7.5533183079211419E-2</v>
      </c>
      <c r="DM63">
        <f t="shared" si="42"/>
        <v>9.3722513966857726</v>
      </c>
      <c r="DN63">
        <f t="shared" si="204"/>
        <v>-2.0748261032858318E-4</v>
      </c>
      <c r="DO63">
        <f t="shared" si="36"/>
        <v>0.98867425605655113</v>
      </c>
      <c r="DP63">
        <f>graph!A58</f>
        <v>3.5000000000000018</v>
      </c>
      <c r="DQ63">
        <f>DS1*graph!B58</f>
        <v>-3.4344326406857371</v>
      </c>
      <c r="DR63">
        <f t="shared" si="29"/>
        <v>-2.3603590460531603E-4</v>
      </c>
      <c r="DS63">
        <f t="shared" si="30"/>
        <v>-3.3719414943616578E-4</v>
      </c>
      <c r="DT63">
        <f t="shared" si="43"/>
        <v>0.9849461181523268</v>
      </c>
      <c r="DU63">
        <f t="shared" si="31"/>
        <v>-1.5053881847673201</v>
      </c>
      <c r="DV63">
        <f t="shared" si="153"/>
        <v>-24.647308897094998</v>
      </c>
      <c r="DW63">
        <f t="shared" si="154"/>
        <v>-1.1325743943448874</v>
      </c>
      <c r="DY63">
        <f t="shared" si="155"/>
        <v>-99.378910084405931</v>
      </c>
      <c r="DZ63">
        <f t="shared" si="156"/>
        <v>-96.285916264542507</v>
      </c>
      <c r="EA63">
        <f t="shared" si="157"/>
        <v>-64.234249796684821</v>
      </c>
      <c r="EB63">
        <f t="shared" si="158"/>
        <v>-32.192222765732382</v>
      </c>
      <c r="EC63">
        <f t="shared" si="159"/>
        <v>-24.647308897094998</v>
      </c>
      <c r="ED63">
        <f t="shared" si="160"/>
        <v>109.24530709690843</v>
      </c>
      <c r="EE63">
        <f t="shared" si="161"/>
        <v>170.47028480644389</v>
      </c>
      <c r="EF63">
        <f t="shared" si="162"/>
        <v>238.58262127530975</v>
      </c>
      <c r="EG63">
        <f t="shared" si="32"/>
        <v>837.2251396685773</v>
      </c>
    </row>
    <row r="64" spans="2:137" x14ac:dyDescent="0.35">
      <c r="B64" t="s">
        <v>65</v>
      </c>
      <c r="C64" s="19">
        <f>regions!B42</f>
        <v>1337705000</v>
      </c>
      <c r="D64" s="19">
        <f>regions!C42</f>
        <v>3839284159376.0742</v>
      </c>
      <c r="E64" s="8">
        <f>regions!D42</f>
        <v>2870.0529334764196</v>
      </c>
      <c r="F64" s="1">
        <f>regions!Z42</f>
        <v>6.9</v>
      </c>
      <c r="G64" s="8"/>
      <c r="H64" s="8"/>
      <c r="I64">
        <f t="shared" si="221"/>
        <v>-9.6185999999999994E-2</v>
      </c>
      <c r="J64">
        <f t="shared" si="213"/>
        <v>-1.3940000000000008E-2</v>
      </c>
      <c r="K64">
        <f t="shared" si="213"/>
        <v>-2.7880000000000002E-2</v>
      </c>
      <c r="L64">
        <f t="shared" si="213"/>
        <v>-4.1819999999999996E-2</v>
      </c>
      <c r="M64">
        <f t="shared" si="213"/>
        <v>-5.5760000000000004E-2</v>
      </c>
      <c r="N64">
        <f t="shared" si="213"/>
        <v>-6.9700000000000012E-2</v>
      </c>
      <c r="O64">
        <f t="shared" si="213"/>
        <v>-8.3639999999999992E-2</v>
      </c>
      <c r="P64">
        <f t="shared" si="222"/>
        <v>-1.9044000000000002E-2</v>
      </c>
      <c r="Q64">
        <f t="shared" si="214"/>
        <v>-5.9200000000000016E-3</v>
      </c>
      <c r="R64">
        <f t="shared" si="214"/>
        <v>-1.2640000000000002E-2</v>
      </c>
      <c r="S64">
        <f t="shared" si="214"/>
        <v>-2.0160000000000001E-2</v>
      </c>
      <c r="T64">
        <f t="shared" si="214"/>
        <v>-2.8480000000000002E-2</v>
      </c>
      <c r="U64">
        <f t="shared" si="214"/>
        <v>-3.7600000000000008E-2</v>
      </c>
      <c r="V64">
        <f t="shared" si="214"/>
        <v>-4.7519999999999993E-2</v>
      </c>
      <c r="W64">
        <f t="shared" si="223"/>
        <v>-2.3805000000000003E-2</v>
      </c>
      <c r="X64">
        <f t="shared" si="215"/>
        <v>-7.4000000000000003E-3</v>
      </c>
      <c r="Y64">
        <f t="shared" si="215"/>
        <v>-1.5800000000000005E-2</v>
      </c>
      <c r="Z64">
        <f t="shared" si="215"/>
        <v>-2.5200000000000004E-2</v>
      </c>
      <c r="AA64">
        <f t="shared" si="215"/>
        <v>-3.5599999999999993E-2</v>
      </c>
      <c r="AB64">
        <f t="shared" si="215"/>
        <v>-4.7E-2</v>
      </c>
      <c r="AC64">
        <f t="shared" si="215"/>
        <v>-5.9399999999999994E-2</v>
      </c>
      <c r="AD64">
        <f t="shared" si="224"/>
        <v>-2.1567330000000003E-2</v>
      </c>
      <c r="AE64">
        <f t="shared" si="216"/>
        <v>-6.7043999999999992E-3</v>
      </c>
      <c r="AF64">
        <f t="shared" si="216"/>
        <v>-1.4314800000000003E-2</v>
      </c>
      <c r="AG64">
        <f t="shared" si="216"/>
        <v>-2.2831200000000003E-2</v>
      </c>
      <c r="AH64">
        <f t="shared" si="216"/>
        <v>-3.22536E-2</v>
      </c>
      <c r="AI64">
        <f t="shared" si="216"/>
        <v>-4.2582000000000002E-2</v>
      </c>
      <c r="AJ64">
        <f t="shared" si="216"/>
        <v>-5.3816399999999993E-2</v>
      </c>
      <c r="AK64">
        <f t="shared" si="225"/>
        <v>-2.4281100000000003E-2</v>
      </c>
      <c r="AL64">
        <f t="shared" si="217"/>
        <v>-7.5480000000000026E-3</v>
      </c>
      <c r="AM64">
        <f t="shared" si="217"/>
        <v>-1.6116000000000002E-2</v>
      </c>
      <c r="AN64">
        <f t="shared" si="217"/>
        <v>-2.5704000000000001E-2</v>
      </c>
      <c r="AO64">
        <f t="shared" si="217"/>
        <v>-3.6311999999999997E-2</v>
      </c>
      <c r="AP64">
        <f t="shared" si="217"/>
        <v>-4.794000000000001E-2</v>
      </c>
      <c r="AQ64">
        <f t="shared" si="217"/>
        <v>-6.0588000000000003E-2</v>
      </c>
      <c r="AR64">
        <f t="shared" si="226"/>
        <v>-3.623121E-2</v>
      </c>
      <c r="AS64">
        <f t="shared" si="218"/>
        <v>-1.1262800000000003E-2</v>
      </c>
      <c r="AT64">
        <f t="shared" si="218"/>
        <v>-2.4047600000000002E-2</v>
      </c>
      <c r="AU64">
        <f t="shared" si="218"/>
        <v>-3.8354399999999997E-2</v>
      </c>
      <c r="AV64">
        <f t="shared" si="218"/>
        <v>-5.4183200000000001E-2</v>
      </c>
      <c r="AW64">
        <f t="shared" si="218"/>
        <v>-7.1534E-2</v>
      </c>
      <c r="AX64">
        <f t="shared" si="218"/>
        <v>-9.0406799999999995E-2</v>
      </c>
      <c r="AY64">
        <f t="shared" si="128"/>
        <v>-9.9981000000000011E-3</v>
      </c>
      <c r="AZ64">
        <f t="shared" si="228"/>
        <v>-3.1079999999999997E-3</v>
      </c>
      <c r="BA64">
        <f t="shared" si="228"/>
        <v>-6.6360000000000013E-3</v>
      </c>
      <c r="BB64">
        <f t="shared" si="228"/>
        <v>-1.0584000000000001E-2</v>
      </c>
      <c r="BC64">
        <f t="shared" si="228"/>
        <v>-1.4952000000000002E-2</v>
      </c>
      <c r="BD64">
        <f t="shared" si="228"/>
        <v>-1.9740000000000001E-2</v>
      </c>
      <c r="BE64">
        <f t="shared" si="228"/>
        <v>-2.4947999999999998E-2</v>
      </c>
      <c r="BF64">
        <f t="shared" si="130"/>
        <v>-1.1902500000000002E-2</v>
      </c>
      <c r="BG64">
        <f t="shared" si="229"/>
        <v>-3.7000000000000002E-3</v>
      </c>
      <c r="BH64">
        <f t="shared" si="229"/>
        <v>-7.9000000000000025E-3</v>
      </c>
      <c r="BI64">
        <f t="shared" si="229"/>
        <v>-1.2600000000000002E-2</v>
      </c>
      <c r="BJ64">
        <f t="shared" si="229"/>
        <v>-1.7799999999999996E-2</v>
      </c>
      <c r="BK64">
        <f t="shared" si="229"/>
        <v>-2.35E-2</v>
      </c>
      <c r="BL64">
        <f t="shared" si="229"/>
        <v>-2.9699999999999997E-2</v>
      </c>
      <c r="BM64">
        <f t="shared" si="132"/>
        <v>-3.7611900000000004E-2</v>
      </c>
      <c r="BN64">
        <f t="shared" si="230"/>
        <v>-1.1692000000000001E-2</v>
      </c>
      <c r="BO64">
        <f t="shared" si="230"/>
        <v>-2.4964E-2</v>
      </c>
      <c r="BP64">
        <f t="shared" si="230"/>
        <v>-3.9816000000000004E-2</v>
      </c>
      <c r="BQ64">
        <f t="shared" si="230"/>
        <v>-5.6248000000000006E-2</v>
      </c>
      <c r="BR64">
        <f t="shared" si="230"/>
        <v>-7.4260000000000007E-2</v>
      </c>
      <c r="BS64">
        <f t="shared" si="230"/>
        <v>-9.3851999999999991E-2</v>
      </c>
      <c r="BU64">
        <v>0.04</v>
      </c>
      <c r="BV64" s="37">
        <f t="shared" si="231"/>
        <v>4.2000491999405827E-5</v>
      </c>
      <c r="BW64" s="37">
        <f t="shared" si="231"/>
        <v>4.2128493148858399E-5</v>
      </c>
      <c r="BX64" s="37">
        <f t="shared" si="231"/>
        <v>4.2329706702001525E-5</v>
      </c>
      <c r="BY64" s="37">
        <f t="shared" si="231"/>
        <v>4.2589319354646638E-5</v>
      </c>
      <c r="BZ64" s="37">
        <f t="shared" si="231"/>
        <v>4.2890238824458288E-5</v>
      </c>
      <c r="CA64" s="37">
        <f t="shared" si="231"/>
        <v>4.321567080916734E-5</v>
      </c>
      <c r="CC64" s="37">
        <f t="shared" si="232"/>
        <v>4.8048410902876718E-5</v>
      </c>
      <c r="CD64">
        <f t="shared" si="233"/>
        <v>4.9641314634987898E-5</v>
      </c>
      <c r="CE64">
        <f t="shared" si="234"/>
        <v>1.9120669444347392E-4</v>
      </c>
      <c r="CS64">
        <f t="shared" si="33"/>
        <v>2081</v>
      </c>
      <c r="CT64">
        <f t="shared" si="34"/>
        <v>3.5400000000000023</v>
      </c>
      <c r="CU64">
        <f t="shared" si="35"/>
        <v>0.04</v>
      </c>
      <c r="CV64">
        <f t="shared" si="19"/>
        <v>-7.3902831285980984E-3</v>
      </c>
      <c r="CW64">
        <f t="shared" si="36"/>
        <v>0.74802350522084815</v>
      </c>
      <c r="CX64">
        <f t="shared" si="20"/>
        <v>-3.4241577554470326E-2</v>
      </c>
      <c r="CY64">
        <f t="shared" si="36"/>
        <v>0.34565580809929025</v>
      </c>
      <c r="CZ64">
        <f t="shared" si="21"/>
        <v>4.1568585931300299E-2</v>
      </c>
      <c r="DA64">
        <f t="shared" si="36"/>
        <v>3.5237538692405725</v>
      </c>
      <c r="DB64">
        <f t="shared" si="22"/>
        <v>2.5040865687359047E-2</v>
      </c>
      <c r="DC64">
        <f t="shared" si="37"/>
        <v>2.1438014228344251</v>
      </c>
      <c r="DD64">
        <f t="shared" si="23"/>
        <v>-1.3023668757554457E-2</v>
      </c>
      <c r="DE64">
        <f t="shared" si="38"/>
        <v>0.66942342556283418</v>
      </c>
      <c r="DF64">
        <f t="shared" si="24"/>
        <v>3.383475115461914E-2</v>
      </c>
      <c r="DG64">
        <f t="shared" si="39"/>
        <v>2.7943845803145155</v>
      </c>
      <c r="DH64">
        <f t="shared" si="25"/>
        <v>-0.16229196458751097</v>
      </c>
      <c r="DI64">
        <f t="shared" si="40"/>
        <v>5.2230902472139556E-3</v>
      </c>
      <c r="DJ64">
        <f t="shared" si="26"/>
        <v>-0.10713484130801131</v>
      </c>
      <c r="DK64">
        <f t="shared" si="41"/>
        <v>3.3241382787048517E-2</v>
      </c>
      <c r="DL64">
        <f t="shared" si="27"/>
        <v>7.7075498741324078E-2</v>
      </c>
      <c r="DM64">
        <f t="shared" si="42"/>
        <v>10.080167377296034</v>
      </c>
      <c r="DN64">
        <f t="shared" si="204"/>
        <v>-2.0811662352969191E-4</v>
      </c>
      <c r="DO64">
        <f t="shared" si="36"/>
        <v>0.9884691233411399</v>
      </c>
      <c r="DQ64">
        <f>(DQ68-DQ63)/5+DQ63</f>
        <v>-3.4940144567372977</v>
      </c>
      <c r="DR64">
        <f t="shared" si="29"/>
        <v>-2.360916307069397E-4</v>
      </c>
      <c r="DS64">
        <f t="shared" si="30"/>
        <v>-3.37273758152771E-4</v>
      </c>
      <c r="DT64">
        <f t="shared" si="43"/>
        <v>0.98461400008377598</v>
      </c>
      <c r="DU64">
        <f t="shared" si="31"/>
        <v>-1.5385999916224025</v>
      </c>
      <c r="DV64">
        <f t="shared" si="153"/>
        <v>-25.197649477915185</v>
      </c>
      <c r="DW64">
        <f t="shared" si="154"/>
        <v>-1.1530876658860101</v>
      </c>
      <c r="DY64">
        <f t="shared" si="155"/>
        <v>-99.477690975278605</v>
      </c>
      <c r="DZ64">
        <f t="shared" si="156"/>
        <v>-96.675861721295149</v>
      </c>
      <c r="EA64">
        <f t="shared" si="157"/>
        <v>-65.434419190070983</v>
      </c>
      <c r="EB64">
        <f t="shared" si="158"/>
        <v>-33.057657443716579</v>
      </c>
      <c r="EC64">
        <f t="shared" si="159"/>
        <v>-25.197649477915185</v>
      </c>
      <c r="ED64">
        <f t="shared" si="160"/>
        <v>114.38014228344251</v>
      </c>
      <c r="EE64">
        <f t="shared" si="161"/>
        <v>179.43845803145155</v>
      </c>
      <c r="EF64">
        <f t="shared" si="162"/>
        <v>252.37538692405727</v>
      </c>
      <c r="EG64">
        <f t="shared" si="32"/>
        <v>908.01673772960339</v>
      </c>
    </row>
    <row r="65" spans="2:137" x14ac:dyDescent="0.35">
      <c r="B65" t="s">
        <v>133</v>
      </c>
      <c r="C65" s="19">
        <f>regions!B43</f>
        <v>46444798</v>
      </c>
      <c r="D65" s="19">
        <f>regions!C43</f>
        <v>182893446717.7428</v>
      </c>
      <c r="E65" s="8">
        <f>regions!D43</f>
        <v>3937.8672013546661</v>
      </c>
      <c r="F65" s="1">
        <f>regions!Z43</f>
        <v>24.5</v>
      </c>
      <c r="G65" s="8"/>
      <c r="H65" s="8"/>
      <c r="I65">
        <f t="shared" si="221"/>
        <v>0</v>
      </c>
      <c r="J65">
        <f t="shared" si="213"/>
        <v>0</v>
      </c>
      <c r="K65">
        <f t="shared" si="213"/>
        <v>0</v>
      </c>
      <c r="L65">
        <f t="shared" si="213"/>
        <v>0</v>
      </c>
      <c r="M65">
        <f t="shared" si="213"/>
        <v>0</v>
      </c>
      <c r="N65">
        <f t="shared" si="213"/>
        <v>0</v>
      </c>
      <c r="O65">
        <f t="shared" si="213"/>
        <v>0</v>
      </c>
      <c r="P65">
        <f t="shared" si="222"/>
        <v>-0.24010000000000001</v>
      </c>
      <c r="Q65">
        <f t="shared" si="214"/>
        <v>-1.999999999999999E-2</v>
      </c>
      <c r="R65">
        <f t="shared" si="214"/>
        <v>-4.0800000000000031E-2</v>
      </c>
      <c r="S65">
        <f t="shared" si="214"/>
        <v>-6.2399999999999983E-2</v>
      </c>
      <c r="T65">
        <f t="shared" si="214"/>
        <v>-8.4800000000000014E-2</v>
      </c>
      <c r="U65">
        <f t="shared" si="214"/>
        <v>-0.10800000000000001</v>
      </c>
      <c r="V65">
        <f t="shared" si="214"/>
        <v>-0.13200000000000003</v>
      </c>
      <c r="W65">
        <f t="shared" si="223"/>
        <v>-0.30012500000000003</v>
      </c>
      <c r="X65">
        <f t="shared" si="215"/>
        <v>-2.4999999999999967E-2</v>
      </c>
      <c r="Y65">
        <f t="shared" si="215"/>
        <v>-5.099999999999999E-2</v>
      </c>
      <c r="Z65">
        <f t="shared" si="215"/>
        <v>-7.7999999999999958E-2</v>
      </c>
      <c r="AA65">
        <f t="shared" si="215"/>
        <v>-0.10599999999999998</v>
      </c>
      <c r="AB65">
        <f t="shared" si="215"/>
        <v>-0.13499999999999995</v>
      </c>
      <c r="AC65">
        <f t="shared" si="215"/>
        <v>-0.16499999999999998</v>
      </c>
      <c r="AD65">
        <f t="shared" si="224"/>
        <v>-0.27191325</v>
      </c>
      <c r="AE65">
        <f t="shared" si="216"/>
        <v>-2.2650000000000003E-2</v>
      </c>
      <c r="AF65">
        <f t="shared" si="216"/>
        <v>-4.6206000000000025E-2</v>
      </c>
      <c r="AG65">
        <f t="shared" si="216"/>
        <v>-7.0668000000000009E-2</v>
      </c>
      <c r="AH65">
        <f t="shared" si="216"/>
        <v>-9.603600000000001E-2</v>
      </c>
      <c r="AI65">
        <f t="shared" si="216"/>
        <v>-0.12231000000000003</v>
      </c>
      <c r="AJ65">
        <f t="shared" si="216"/>
        <v>-0.14949000000000001</v>
      </c>
      <c r="AK65">
        <f t="shared" si="225"/>
        <v>-0.3061275</v>
      </c>
      <c r="AL65">
        <f t="shared" si="217"/>
        <v>-2.5500000000000023E-2</v>
      </c>
      <c r="AM65">
        <f t="shared" si="217"/>
        <v>-5.2020000000000011E-2</v>
      </c>
      <c r="AN65">
        <f t="shared" si="217"/>
        <v>-7.956000000000002E-2</v>
      </c>
      <c r="AO65">
        <f t="shared" si="217"/>
        <v>-0.10812000000000005</v>
      </c>
      <c r="AP65">
        <f t="shared" si="217"/>
        <v>-0.13770000000000004</v>
      </c>
      <c r="AQ65">
        <f t="shared" si="217"/>
        <v>-0.16830000000000006</v>
      </c>
      <c r="AR65">
        <f t="shared" si="226"/>
        <v>-0.45679024999999995</v>
      </c>
      <c r="AS65">
        <f t="shared" si="218"/>
        <v>-3.8050000000000028E-2</v>
      </c>
      <c r="AT65">
        <f t="shared" si="218"/>
        <v>-7.7621999999999969E-2</v>
      </c>
      <c r="AU65">
        <f t="shared" si="218"/>
        <v>-0.11871600000000004</v>
      </c>
      <c r="AV65">
        <f t="shared" si="218"/>
        <v>-0.16133200000000003</v>
      </c>
      <c r="AW65">
        <f t="shared" si="218"/>
        <v>-0.20547000000000004</v>
      </c>
      <c r="AX65">
        <f t="shared" si="218"/>
        <v>-0.25112999999999996</v>
      </c>
      <c r="AY65">
        <f t="shared" si="128"/>
        <v>-0.12605250000000001</v>
      </c>
      <c r="AZ65">
        <f t="shared" si="228"/>
        <v>-1.0499999999999982E-2</v>
      </c>
      <c r="BA65">
        <f t="shared" si="228"/>
        <v>-2.1419999999999995E-2</v>
      </c>
      <c r="BB65">
        <f t="shared" si="228"/>
        <v>-3.2759999999999984E-2</v>
      </c>
      <c r="BC65">
        <f t="shared" si="228"/>
        <v>-4.4520000000000004E-2</v>
      </c>
      <c r="BD65">
        <f t="shared" si="228"/>
        <v>-5.67E-2</v>
      </c>
      <c r="BE65">
        <f t="shared" si="228"/>
        <v>-6.93E-2</v>
      </c>
      <c r="BF65">
        <f t="shared" si="130"/>
        <v>-0.15006250000000002</v>
      </c>
      <c r="BG65">
        <f t="shared" si="229"/>
        <v>-1.2499999999999983E-2</v>
      </c>
      <c r="BH65">
        <f t="shared" si="229"/>
        <v>-2.5499999999999995E-2</v>
      </c>
      <c r="BI65">
        <f t="shared" si="229"/>
        <v>-3.8999999999999979E-2</v>
      </c>
      <c r="BJ65">
        <f t="shared" si="229"/>
        <v>-5.2999999999999992E-2</v>
      </c>
      <c r="BK65">
        <f t="shared" si="229"/>
        <v>-6.7499999999999977E-2</v>
      </c>
      <c r="BL65">
        <f t="shared" si="229"/>
        <v>-8.249999999999999E-2</v>
      </c>
      <c r="BM65">
        <f t="shared" si="132"/>
        <v>-0.47419749999999999</v>
      </c>
      <c r="BN65">
        <f t="shared" si="230"/>
        <v>-3.9500000000000035E-2</v>
      </c>
      <c r="BO65">
        <f t="shared" si="230"/>
        <v>-8.058000000000004E-2</v>
      </c>
      <c r="BP65">
        <f t="shared" si="230"/>
        <v>-0.12323999999999996</v>
      </c>
      <c r="BQ65">
        <f t="shared" si="230"/>
        <v>-0.16748000000000002</v>
      </c>
      <c r="BR65">
        <f t="shared" si="230"/>
        <v>-0.21329999999999999</v>
      </c>
      <c r="BS65">
        <f t="shared" si="230"/>
        <v>-0.26069999999999999</v>
      </c>
      <c r="BU65">
        <v>0.05</v>
      </c>
      <c r="BV65" s="37">
        <f t="shared" si="231"/>
        <v>5.2500302946162895E-5</v>
      </c>
      <c r="BW65" s="37">
        <f t="shared" si="231"/>
        <v>5.2660537519130464E-5</v>
      </c>
      <c r="BX65" s="37">
        <f t="shared" si="231"/>
        <v>5.291209778258903E-5</v>
      </c>
      <c r="BY65" s="37">
        <f t="shared" si="231"/>
        <v>5.3236628797352501E-5</v>
      </c>
      <c r="BZ65" s="37">
        <f t="shared" si="231"/>
        <v>5.3612785197554567E-5</v>
      </c>
      <c r="CA65" s="37">
        <f t="shared" si="231"/>
        <v>5.4019579039686126E-5</v>
      </c>
      <c r="CC65" s="37">
        <f t="shared" si="232"/>
        <v>6.0060513628595897E-5</v>
      </c>
      <c r="CD65">
        <f t="shared" si="233"/>
        <v>6.205164329373487E-5</v>
      </c>
      <c r="CE65">
        <f t="shared" si="234"/>
        <v>2.390083680543424E-4</v>
      </c>
      <c r="CS65">
        <f t="shared" si="33"/>
        <v>2082</v>
      </c>
      <c r="CT65">
        <f t="shared" si="34"/>
        <v>3.5800000000000023</v>
      </c>
      <c r="CU65">
        <f t="shared" si="35"/>
        <v>0.04</v>
      </c>
      <c r="CV65">
        <f t="shared" si="19"/>
        <v>-7.4771112807406077E-3</v>
      </c>
      <c r="CW65">
        <f t="shared" si="36"/>
        <v>0.74249539973041967</v>
      </c>
      <c r="CX65">
        <f t="shared" si="20"/>
        <v>-3.4933584846195603E-2</v>
      </c>
      <c r="CY65">
        <f t="shared" si="36"/>
        <v>0.33382000793910527</v>
      </c>
      <c r="CZ65">
        <f t="shared" si="21"/>
        <v>4.240866885462382E-2</v>
      </c>
      <c r="DA65">
        <f t="shared" si="36"/>
        <v>3.6702313347548507</v>
      </c>
      <c r="DB65">
        <f t="shared" si="22"/>
        <v>2.5546930620237801E-2</v>
      </c>
      <c r="DC65">
        <f t="shared" si="37"/>
        <v>2.1974840663239914</v>
      </c>
      <c r="DD65">
        <f t="shared" si="23"/>
        <v>-1.3286871401501152E-2</v>
      </c>
      <c r="DE65">
        <f t="shared" si="38"/>
        <v>0.66070507660975641</v>
      </c>
      <c r="DF65">
        <f t="shared" si="24"/>
        <v>3.4518536662908314E-2</v>
      </c>
      <c r="DG65">
        <f t="shared" si="39"/>
        <v>2.888931887219762</v>
      </c>
      <c r="DH65">
        <f t="shared" si="25"/>
        <v>-0.16557181414188166</v>
      </c>
      <c r="DI65">
        <f t="shared" si="40"/>
        <v>4.3754246697757342E-3</v>
      </c>
      <c r="DJ65">
        <f t="shared" si="26"/>
        <v>-0.10929998954818915</v>
      </c>
      <c r="DK65">
        <f t="shared" si="41"/>
        <v>2.9680072517299216E-2</v>
      </c>
      <c r="DL65">
        <f t="shared" si="27"/>
        <v>7.8633160827935381E-2</v>
      </c>
      <c r="DM65">
        <f t="shared" si="42"/>
        <v>10.857101305297149</v>
      </c>
      <c r="DN65">
        <f t="shared" si="204"/>
        <v>-2.087506367308006E-4</v>
      </c>
      <c r="DO65">
        <f t="shared" si="36"/>
        <v>0.98826340648472677</v>
      </c>
      <c r="DQ65">
        <f>(DQ68-DQ63)/5+DQ64</f>
        <v>-3.5535962727888584</v>
      </c>
      <c r="DR65">
        <f t="shared" si="29"/>
        <v>-2.3614738312770949E-4</v>
      </c>
      <c r="DS65">
        <f t="shared" si="30"/>
        <v>-3.3735340446815643E-4</v>
      </c>
      <c r="DT65">
        <f t="shared" si="43"/>
        <v>0.98428191561963796</v>
      </c>
      <c r="DU65">
        <f t="shared" si="31"/>
        <v>-1.5718084380362041</v>
      </c>
      <c r="DV65">
        <f t="shared" si="153"/>
        <v>-25.750460026958034</v>
      </c>
      <c r="DW65">
        <f t="shared" si="154"/>
        <v>-1.173659351527323</v>
      </c>
      <c r="DY65">
        <f t="shared" si="155"/>
        <v>-99.562457533022425</v>
      </c>
      <c r="DZ65">
        <f t="shared" si="156"/>
        <v>-97.031992748270085</v>
      </c>
      <c r="EA65">
        <f t="shared" si="157"/>
        <v>-66.617999206089479</v>
      </c>
      <c r="EB65">
        <f t="shared" si="158"/>
        <v>-33.929492339024357</v>
      </c>
      <c r="EC65">
        <f t="shared" si="159"/>
        <v>-25.750460026958034</v>
      </c>
      <c r="ED65">
        <f t="shared" si="160"/>
        <v>119.74840663239914</v>
      </c>
      <c r="EE65">
        <f t="shared" si="161"/>
        <v>188.8931887219762</v>
      </c>
      <c r="EF65">
        <f t="shared" si="162"/>
        <v>267.02313347548505</v>
      </c>
      <c r="EG65">
        <f t="shared" si="32"/>
        <v>985.71013052971489</v>
      </c>
    </row>
    <row r="66" spans="2:137" x14ac:dyDescent="0.35">
      <c r="B66" t="s">
        <v>363</v>
      </c>
      <c r="C66" s="19">
        <f>regions!B44</f>
        <v>683081</v>
      </c>
      <c r="D66" s="19">
        <f>regions!C44</f>
        <v>413107576.03941357</v>
      </c>
      <c r="E66" s="8">
        <f>regions!D44</f>
        <v>604.77099500559018</v>
      </c>
      <c r="F66" s="1">
        <f>regions!Z44</f>
        <v>25.6</v>
      </c>
      <c r="G66" s="8"/>
      <c r="H66" s="8"/>
      <c r="I66">
        <f t="shared" si="221"/>
        <v>-0.35686400000000001</v>
      </c>
      <c r="J66">
        <f t="shared" ref="J66:O75" si="235">IF($E66&lt;$E$24,$D$11*($F66+J$25)-$I66,0)</f>
        <v>-1.3940000000000008E-2</v>
      </c>
      <c r="K66">
        <f t="shared" si="235"/>
        <v>-2.787999999999996E-2</v>
      </c>
      <c r="L66">
        <f t="shared" si="235"/>
        <v>-4.1819999999999968E-2</v>
      </c>
      <c r="M66">
        <f t="shared" si="235"/>
        <v>-5.5759999999999976E-2</v>
      </c>
      <c r="N66">
        <f t="shared" si="235"/>
        <v>-6.9699999999999984E-2</v>
      </c>
      <c r="O66">
        <f t="shared" si="235"/>
        <v>-8.3639999999999992E-2</v>
      </c>
      <c r="P66">
        <f t="shared" si="222"/>
        <v>-0.26214400000000004</v>
      </c>
      <c r="Q66">
        <f t="shared" ref="Q66:V75" si="236">$D$13*($F66+Q$25)^2-$P66</f>
        <v>-2.088000000000001E-2</v>
      </c>
      <c r="R66">
        <f t="shared" si="236"/>
        <v>-4.2559999999999987E-2</v>
      </c>
      <c r="S66">
        <f t="shared" si="236"/>
        <v>-6.5039999999999987E-2</v>
      </c>
      <c r="T66">
        <f t="shared" si="236"/>
        <v>-8.832000000000001E-2</v>
      </c>
      <c r="U66">
        <f t="shared" si="236"/>
        <v>-0.1124</v>
      </c>
      <c r="V66">
        <f t="shared" si="236"/>
        <v>-0.13728000000000001</v>
      </c>
      <c r="W66">
        <f t="shared" si="223"/>
        <v>-0.32768000000000008</v>
      </c>
      <c r="X66">
        <f t="shared" ref="X66:AC75" si="237">$D$15*($F66+X$25)^2-$W66</f>
        <v>-2.6099999999999957E-2</v>
      </c>
      <c r="Y66">
        <f t="shared" si="237"/>
        <v>-5.319999999999997E-2</v>
      </c>
      <c r="Z66">
        <f t="shared" si="237"/>
        <v>-8.1299999999999928E-2</v>
      </c>
      <c r="AA66">
        <f t="shared" si="237"/>
        <v>-0.11039999999999994</v>
      </c>
      <c r="AB66">
        <f t="shared" si="237"/>
        <v>-0.14050000000000001</v>
      </c>
      <c r="AC66">
        <f t="shared" si="237"/>
        <v>-0.17159999999999997</v>
      </c>
      <c r="AD66">
        <f t="shared" si="224"/>
        <v>-0.29687808000000004</v>
      </c>
      <c r="AE66">
        <f t="shared" ref="AE66:AJ75" si="238">$D$10*($F66+AE$25)^2-$AD66</f>
        <v>-2.3646599999999962E-2</v>
      </c>
      <c r="AF66">
        <f t="shared" si="238"/>
        <v>-4.8199199999999998E-2</v>
      </c>
      <c r="AG66">
        <f t="shared" si="238"/>
        <v>-7.3657799999999995E-2</v>
      </c>
      <c r="AH66">
        <f t="shared" si="238"/>
        <v>-0.10002240000000001</v>
      </c>
      <c r="AI66">
        <f t="shared" si="238"/>
        <v>-0.12729300000000005</v>
      </c>
      <c r="AJ66">
        <f t="shared" si="238"/>
        <v>-0.15546959999999999</v>
      </c>
      <c r="AK66">
        <f t="shared" si="225"/>
        <v>-0.33423360000000008</v>
      </c>
      <c r="AL66">
        <f t="shared" ref="AL66:AQ75" si="239">$D$17*($F66+AL$25)^2-$AK66</f>
        <v>-2.6621999999999979E-2</v>
      </c>
      <c r="AM66">
        <f t="shared" si="239"/>
        <v>-5.4263999999999979E-2</v>
      </c>
      <c r="AN66">
        <f t="shared" si="239"/>
        <v>-8.2926E-2</v>
      </c>
      <c r="AO66">
        <f t="shared" si="239"/>
        <v>-0.11260799999999999</v>
      </c>
      <c r="AP66">
        <f t="shared" si="239"/>
        <v>-0.14331000000000005</v>
      </c>
      <c r="AQ66">
        <f t="shared" si="239"/>
        <v>-0.17503200000000002</v>
      </c>
      <c r="AR66">
        <f t="shared" si="226"/>
        <v>-0.49872896000000005</v>
      </c>
      <c r="AS66">
        <f t="shared" ref="AS66:AX75" si="240">$D$8*($F66+AS$25)^2-$AR66</f>
        <v>-3.9724199999999932E-2</v>
      </c>
      <c r="AT66">
        <f t="shared" si="240"/>
        <v>-8.0970399999999942E-2</v>
      </c>
      <c r="AU66">
        <f t="shared" si="240"/>
        <v>-0.12373859999999998</v>
      </c>
      <c r="AV66">
        <f t="shared" si="240"/>
        <v>-0.16802879999999992</v>
      </c>
      <c r="AW66">
        <f t="shared" si="240"/>
        <v>-0.213841</v>
      </c>
      <c r="AX66">
        <f t="shared" si="240"/>
        <v>-0.2611752</v>
      </c>
      <c r="AY66">
        <f t="shared" si="128"/>
        <v>-0.13762560000000004</v>
      </c>
      <c r="AZ66">
        <f t="shared" si="228"/>
        <v>-1.0961999999999972E-2</v>
      </c>
      <c r="BA66">
        <f t="shared" si="228"/>
        <v>-2.2343999999999975E-2</v>
      </c>
      <c r="BB66">
        <f t="shared" si="228"/>
        <v>-3.4145999999999982E-2</v>
      </c>
      <c r="BC66">
        <f t="shared" si="228"/>
        <v>-4.6367999999999993E-2</v>
      </c>
      <c r="BD66">
        <f t="shared" si="228"/>
        <v>-5.9009999999999979E-2</v>
      </c>
      <c r="BE66">
        <f t="shared" si="228"/>
        <v>-7.2071999999999969E-2</v>
      </c>
      <c r="BF66">
        <f t="shared" si="130"/>
        <v>-0.16384000000000004</v>
      </c>
      <c r="BG66">
        <f t="shared" si="229"/>
        <v>-1.3049999999999978E-2</v>
      </c>
      <c r="BH66">
        <f t="shared" si="229"/>
        <v>-2.6599999999999985E-2</v>
      </c>
      <c r="BI66">
        <f t="shared" si="229"/>
        <v>-4.0649999999999964E-2</v>
      </c>
      <c r="BJ66">
        <f t="shared" si="229"/>
        <v>-5.5199999999999971E-2</v>
      </c>
      <c r="BK66">
        <f t="shared" si="229"/>
        <v>-7.0250000000000007E-2</v>
      </c>
      <c r="BL66">
        <f t="shared" si="229"/>
        <v>-8.5799999999999987E-2</v>
      </c>
      <c r="BM66">
        <f t="shared" si="132"/>
        <v>-0.51773440000000015</v>
      </c>
      <c r="BN66">
        <f t="shared" si="230"/>
        <v>-4.1237999999999886E-2</v>
      </c>
      <c r="BO66">
        <f t="shared" si="230"/>
        <v>-8.4055999999999909E-2</v>
      </c>
      <c r="BP66">
        <f t="shared" si="230"/>
        <v>-0.12845399999999985</v>
      </c>
      <c r="BQ66">
        <f t="shared" si="230"/>
        <v>-0.17443199999999992</v>
      </c>
      <c r="BR66">
        <f t="shared" si="230"/>
        <v>-0.22198999999999991</v>
      </c>
      <c r="BS66">
        <f t="shared" si="230"/>
        <v>-0.27112799999999992</v>
      </c>
      <c r="BU66">
        <v>0.06</v>
      </c>
      <c r="BV66" s="37">
        <f t="shared" si="231"/>
        <v>6.2999906579313096E-5</v>
      </c>
      <c r="BW66" s="37">
        <f t="shared" si="231"/>
        <v>6.3192529324813745E-5</v>
      </c>
      <c r="BX66" s="37">
        <f t="shared" si="231"/>
        <v>6.3494465142927063E-5</v>
      </c>
      <c r="BY66" s="37">
        <f t="shared" si="231"/>
        <v>6.388392464602595E-5</v>
      </c>
      <c r="BZ66" s="37">
        <f t="shared" si="231"/>
        <v>6.4335322683419833E-5</v>
      </c>
      <c r="CA66" s="37">
        <f t="shared" si="231"/>
        <v>6.4823480956451504E-5</v>
      </c>
      <c r="CC66" s="37">
        <f t="shared" si="232"/>
        <v>7.2072616354315077E-5</v>
      </c>
      <c r="CD66">
        <f t="shared" si="233"/>
        <v>7.4461971952481841E-5</v>
      </c>
      <c r="CE66">
        <f t="shared" si="234"/>
        <v>2.8681004166521086E-4</v>
      </c>
      <c r="CS66">
        <f t="shared" si="33"/>
        <v>2083</v>
      </c>
      <c r="CT66">
        <f t="shared" si="34"/>
        <v>3.6200000000000023</v>
      </c>
      <c r="CU66">
        <f t="shared" si="35"/>
        <v>0.04</v>
      </c>
      <c r="CV66">
        <f t="shared" si="19"/>
        <v>-7.5640136703823474E-3</v>
      </c>
      <c r="CW66">
        <f t="shared" si="36"/>
        <v>0.73694367900119739</v>
      </c>
      <c r="CX66">
        <f t="shared" si="20"/>
        <v>-3.5632409943750686E-2</v>
      </c>
      <c r="CY66">
        <f t="shared" si="36"/>
        <v>0.32215847836840683</v>
      </c>
      <c r="CZ66">
        <f t="shared" si="21"/>
        <v>4.3257028456994868E-2</v>
      </c>
      <c r="DA66">
        <f t="shared" si="36"/>
        <v>3.8258809600503336</v>
      </c>
      <c r="DB66">
        <f t="shared" si="22"/>
        <v>2.6057981414524232E-2</v>
      </c>
      <c r="DC66">
        <f t="shared" si="37"/>
        <v>2.2536230393054484</v>
      </c>
      <c r="DD66">
        <f t="shared" si="23"/>
        <v>-1.3552667174944858E-2</v>
      </c>
      <c r="DE66">
        <f t="shared" si="38"/>
        <v>0.65192637322252356</v>
      </c>
      <c r="DF66">
        <f t="shared" si="24"/>
        <v>3.5209058974234819E-2</v>
      </c>
      <c r="DG66">
        <f t="shared" si="39"/>
        <v>2.9886535884854024</v>
      </c>
      <c r="DH66">
        <f t="shared" si="25"/>
        <v>-0.16888397748496531</v>
      </c>
      <c r="DI66">
        <f t="shared" si="40"/>
        <v>3.6509776695598226E-3</v>
      </c>
      <c r="DJ66">
        <f t="shared" si="26"/>
        <v>-0.11148646929812242</v>
      </c>
      <c r="DK66">
        <f t="shared" si="41"/>
        <v>2.6436040901368914E-2</v>
      </c>
      <c r="DL66">
        <f t="shared" si="27"/>
        <v>8.0206169339045313E-2</v>
      </c>
      <c r="DM66">
        <f t="shared" si="42"/>
        <v>11.710829498361766</v>
      </c>
      <c r="DN66">
        <f t="shared" si="204"/>
        <v>-2.0938464993190933E-4</v>
      </c>
      <c r="DO66">
        <f t="shared" si="36"/>
        <v>0.98805710586936535</v>
      </c>
      <c r="DQ66">
        <f>(DQ68-DQ63)/5+DQ65</f>
        <v>-3.613178088840419</v>
      </c>
      <c r="DR66">
        <f t="shared" si="29"/>
        <v>-2.3620316188627545E-4</v>
      </c>
      <c r="DS66">
        <f t="shared" si="30"/>
        <v>-3.3743308840896493E-4</v>
      </c>
      <c r="DT66">
        <f t="shared" si="43"/>
        <v>0.98394986476444724</v>
      </c>
      <c r="DU66">
        <f t="shared" si="31"/>
        <v>-1.6050135235552765</v>
      </c>
      <c r="DV66">
        <f t="shared" si="153"/>
        <v>-26.30563209988026</v>
      </c>
      <c r="DW66">
        <f t="shared" si="154"/>
        <v>-1.1942894130634651</v>
      </c>
      <c r="DY66">
        <f t="shared" si="155"/>
        <v>-99.634902233044016</v>
      </c>
      <c r="DZ66">
        <f t="shared" si="156"/>
        <v>-97.35639590986311</v>
      </c>
      <c r="EA66">
        <f t="shared" si="157"/>
        <v>-67.78415216315932</v>
      </c>
      <c r="EB66">
        <f t="shared" si="158"/>
        <v>-34.807362677747648</v>
      </c>
      <c r="EC66">
        <f t="shared" si="159"/>
        <v>-26.30563209988026</v>
      </c>
      <c r="ED66">
        <f t="shared" si="160"/>
        <v>125.36230393054484</v>
      </c>
      <c r="EE66">
        <f t="shared" si="161"/>
        <v>198.86535884854024</v>
      </c>
      <c r="EF66">
        <f t="shared" si="162"/>
        <v>282.58809600503338</v>
      </c>
      <c r="EG66">
        <f t="shared" si="32"/>
        <v>1071.0829498361766</v>
      </c>
    </row>
    <row r="67" spans="2:137" x14ac:dyDescent="0.35">
      <c r="B67" t="s">
        <v>364</v>
      </c>
      <c r="C67" s="19">
        <f>regions!B45</f>
        <v>62191161</v>
      </c>
      <c r="D67" s="19">
        <f>regions!C45</f>
        <v>15665220568.04055</v>
      </c>
      <c r="E67" s="8">
        <f>regions!D45</f>
        <v>251.88821556234575</v>
      </c>
      <c r="F67" s="1">
        <f>regions!Z45</f>
        <v>24</v>
      </c>
      <c r="G67" s="8"/>
      <c r="H67" s="8"/>
      <c r="I67">
        <f t="shared" si="221"/>
        <v>-0.33455999999999997</v>
      </c>
      <c r="J67">
        <f t="shared" si="235"/>
        <v>-1.3940000000000008E-2</v>
      </c>
      <c r="K67">
        <f t="shared" si="235"/>
        <v>-2.7880000000000016E-2</v>
      </c>
      <c r="L67">
        <f t="shared" si="235"/>
        <v>-4.1820000000000024E-2</v>
      </c>
      <c r="M67">
        <f t="shared" si="235"/>
        <v>-5.5760000000000032E-2</v>
      </c>
      <c r="N67">
        <f t="shared" si="235"/>
        <v>-6.9699999999999984E-2</v>
      </c>
      <c r="O67">
        <f t="shared" si="235"/>
        <v>-8.3639999999999992E-2</v>
      </c>
      <c r="P67">
        <f t="shared" si="222"/>
        <v>-0.23040000000000002</v>
      </c>
      <c r="Q67">
        <f t="shared" si="236"/>
        <v>-1.9599999999999979E-2</v>
      </c>
      <c r="R67">
        <f t="shared" si="236"/>
        <v>-4.0000000000000008E-2</v>
      </c>
      <c r="S67">
        <f t="shared" si="236"/>
        <v>-6.1200000000000004E-2</v>
      </c>
      <c r="T67">
        <f t="shared" si="236"/>
        <v>-8.3199999999999968E-2</v>
      </c>
      <c r="U67">
        <f t="shared" si="236"/>
        <v>-0.10600000000000001</v>
      </c>
      <c r="V67">
        <f t="shared" si="236"/>
        <v>-0.12960000000000002</v>
      </c>
      <c r="W67">
        <f t="shared" si="223"/>
        <v>-0.28800000000000003</v>
      </c>
      <c r="X67">
        <f t="shared" si="237"/>
        <v>-2.4499999999999966E-2</v>
      </c>
      <c r="Y67">
        <f t="shared" si="237"/>
        <v>-4.9999999999999989E-2</v>
      </c>
      <c r="Z67">
        <f t="shared" si="237"/>
        <v>-7.6499999999999957E-2</v>
      </c>
      <c r="AA67">
        <f t="shared" si="237"/>
        <v>-0.10399999999999998</v>
      </c>
      <c r="AB67">
        <f t="shared" si="237"/>
        <v>-0.13249999999999995</v>
      </c>
      <c r="AC67">
        <f t="shared" si="237"/>
        <v>-0.16199999999999998</v>
      </c>
      <c r="AD67">
        <f t="shared" si="224"/>
        <v>-0.26092799999999999</v>
      </c>
      <c r="AE67">
        <f t="shared" si="238"/>
        <v>-2.2197000000000022E-2</v>
      </c>
      <c r="AF67">
        <f t="shared" si="238"/>
        <v>-4.5300000000000007E-2</v>
      </c>
      <c r="AG67">
        <f t="shared" si="238"/>
        <v>-6.9309000000000009E-2</v>
      </c>
      <c r="AH67">
        <f t="shared" si="238"/>
        <v>-9.422400000000003E-2</v>
      </c>
      <c r="AI67">
        <f t="shared" si="238"/>
        <v>-0.12004500000000001</v>
      </c>
      <c r="AJ67">
        <f t="shared" si="238"/>
        <v>-0.14677200000000001</v>
      </c>
      <c r="AK67">
        <f t="shared" si="225"/>
        <v>-0.29376000000000002</v>
      </c>
      <c r="AL67">
        <f t="shared" si="239"/>
        <v>-2.4990000000000012E-2</v>
      </c>
      <c r="AM67">
        <f t="shared" si="239"/>
        <v>-5.099999999999999E-2</v>
      </c>
      <c r="AN67">
        <f t="shared" si="239"/>
        <v>-7.8029999999999988E-2</v>
      </c>
      <c r="AO67">
        <f t="shared" si="239"/>
        <v>-0.10608000000000001</v>
      </c>
      <c r="AP67">
        <f t="shared" si="239"/>
        <v>-0.13514999999999999</v>
      </c>
      <c r="AQ67">
        <f t="shared" si="239"/>
        <v>-0.16524</v>
      </c>
      <c r="AR67">
        <f t="shared" si="226"/>
        <v>-0.43833599999999995</v>
      </c>
      <c r="AS67">
        <f t="shared" si="240"/>
        <v>-3.7289000000000017E-2</v>
      </c>
      <c r="AT67">
        <f t="shared" si="240"/>
        <v>-7.6100000000000056E-2</v>
      </c>
      <c r="AU67">
        <f t="shared" si="240"/>
        <v>-0.11643300000000001</v>
      </c>
      <c r="AV67">
        <f t="shared" si="240"/>
        <v>-0.15828799999999998</v>
      </c>
      <c r="AW67">
        <f t="shared" si="240"/>
        <v>-0.20166499999999998</v>
      </c>
      <c r="AX67">
        <f t="shared" si="240"/>
        <v>-0.24656400000000001</v>
      </c>
      <c r="AY67">
        <f t="shared" si="128"/>
        <v>-0.12096000000000001</v>
      </c>
      <c r="AZ67">
        <f t="shared" si="228"/>
        <v>-1.0289999999999994E-2</v>
      </c>
      <c r="BA67">
        <f t="shared" si="228"/>
        <v>-2.0999999999999991E-2</v>
      </c>
      <c r="BB67">
        <f t="shared" si="228"/>
        <v>-3.2129999999999992E-2</v>
      </c>
      <c r="BC67">
        <f t="shared" si="228"/>
        <v>-4.3679999999999997E-2</v>
      </c>
      <c r="BD67">
        <f t="shared" si="228"/>
        <v>-5.5650000000000005E-2</v>
      </c>
      <c r="BE67">
        <f t="shared" si="228"/>
        <v>-6.8039999999999989E-2</v>
      </c>
      <c r="BF67">
        <f t="shared" si="130"/>
        <v>-0.14400000000000002</v>
      </c>
      <c r="BG67">
        <f t="shared" si="229"/>
        <v>-1.2249999999999983E-2</v>
      </c>
      <c r="BH67">
        <f t="shared" si="229"/>
        <v>-2.4999999999999994E-2</v>
      </c>
      <c r="BI67">
        <f t="shared" si="229"/>
        <v>-3.8249999999999978E-2</v>
      </c>
      <c r="BJ67">
        <f t="shared" si="229"/>
        <v>-5.1999999999999991E-2</v>
      </c>
      <c r="BK67">
        <f t="shared" si="229"/>
        <v>-6.6249999999999976E-2</v>
      </c>
      <c r="BL67">
        <f t="shared" si="229"/>
        <v>-8.0999999999999989E-2</v>
      </c>
      <c r="BM67">
        <f t="shared" si="132"/>
        <v>-0.45504</v>
      </c>
      <c r="BN67">
        <f t="shared" si="230"/>
        <v>-3.8710000000000022E-2</v>
      </c>
      <c r="BO67">
        <f t="shared" si="230"/>
        <v>-7.8999999999999959E-2</v>
      </c>
      <c r="BP67">
        <f t="shared" si="230"/>
        <v>-0.12087000000000003</v>
      </c>
      <c r="BQ67">
        <f t="shared" si="230"/>
        <v>-0.16432000000000002</v>
      </c>
      <c r="BR67">
        <f t="shared" si="230"/>
        <v>-0.20935000000000004</v>
      </c>
      <c r="BS67">
        <f t="shared" si="230"/>
        <v>-0.25595999999999997</v>
      </c>
      <c r="CS67">
        <f t="shared" si="33"/>
        <v>2084</v>
      </c>
      <c r="CT67">
        <f t="shared" si="34"/>
        <v>3.6600000000000024</v>
      </c>
      <c r="CU67">
        <f t="shared" si="35"/>
        <v>0.04</v>
      </c>
      <c r="CV67">
        <f t="shared" si="19"/>
        <v>-7.6509902975233166E-3</v>
      </c>
      <c r="CW67">
        <f t="shared" si="36"/>
        <v>0.73136942693893048</v>
      </c>
      <c r="CX67">
        <f t="shared" si="20"/>
        <v>-3.633805284713558E-2</v>
      </c>
      <c r="CY67">
        <f t="shared" si="36"/>
        <v>0.31067919540032879</v>
      </c>
      <c r="CZ67">
        <f t="shared" si="21"/>
        <v>4.4113664738413438E-2</v>
      </c>
      <c r="DA67">
        <f t="shared" si="36"/>
        <v>3.9913772016123059</v>
      </c>
      <c r="DB67">
        <f t="shared" si="22"/>
        <v>2.6574018070218336E-2</v>
      </c>
      <c r="DC67">
        <f t="shared" si="37"/>
        <v>2.3123479065790136</v>
      </c>
      <c r="DD67">
        <f t="shared" si="23"/>
        <v>-1.3821056077885576E-2</v>
      </c>
      <c r="DE67">
        <f t="shared" si="38"/>
        <v>0.6430910320636698</v>
      </c>
      <c r="DF67">
        <f t="shared" si="24"/>
        <v>3.5906318088598663E-2</v>
      </c>
      <c r="DG67">
        <f t="shared" si="39"/>
        <v>3.0938812689359438</v>
      </c>
      <c r="DH67">
        <f t="shared" si="25"/>
        <v>-0.17222845461676201</v>
      </c>
      <c r="DI67">
        <f t="shared" si="40"/>
        <v>3.0343860390157702E-3</v>
      </c>
      <c r="DJ67">
        <f t="shared" si="26"/>
        <v>-0.11369428055781117</v>
      </c>
      <c r="DK67">
        <f t="shared" si="41"/>
        <v>2.3488780039054538E-2</v>
      </c>
      <c r="DL67">
        <f t="shared" si="27"/>
        <v>8.1794524274653863E-2</v>
      </c>
      <c r="DM67">
        <f t="shared" si="42"/>
        <v>12.650110272208057</v>
      </c>
      <c r="DN67">
        <f t="shared" si="204"/>
        <v>-2.1001866313301803E-4</v>
      </c>
      <c r="DO67">
        <f t="shared" si="36"/>
        <v>0.9878502218781402</v>
      </c>
      <c r="DQ67">
        <f>(DQ68-DQ63)/5+DQ66</f>
        <v>-3.6727599048919797</v>
      </c>
      <c r="DR67">
        <f t="shared" si="29"/>
        <v>-2.3625896700130161E-4</v>
      </c>
      <c r="DS67">
        <f t="shared" si="30"/>
        <v>-3.3751281000185947E-4</v>
      </c>
      <c r="DT67">
        <f t="shared" si="43"/>
        <v>0.98361784752274017</v>
      </c>
      <c r="DU67">
        <f t="shared" si="31"/>
        <v>-1.6382152477259826</v>
      </c>
      <c r="DV67">
        <f t="shared" ref="DV67:DV83" si="241">(CW67-1)*100</f>
        <v>-26.863057306106953</v>
      </c>
      <c r="DW67">
        <f t="shared" ref="DW67:DW83" si="242">(DO67-1)*100</f>
        <v>-1.21497781218598</v>
      </c>
      <c r="DY67">
        <f t="shared" ref="DY67:DY83" si="243">(DI67-1)*100</f>
        <v>-99.696561396098431</v>
      </c>
      <c r="DZ67">
        <f t="shared" ref="DZ67:DZ83" si="244">(DK67-1)*100</f>
        <v>-97.651121996094545</v>
      </c>
      <c r="EA67">
        <f t="shared" ref="EA67:EA83" si="245">(CY67-1)*100</f>
        <v>-68.932080459967125</v>
      </c>
      <c r="EB67">
        <f t="shared" ref="EB67:EB83" si="246">(DE67-1)*100</f>
        <v>-35.690896793633023</v>
      </c>
      <c r="EC67">
        <f t="shared" ref="EC67:EC83" si="247">DV67</f>
        <v>-26.863057306106953</v>
      </c>
      <c r="ED67">
        <f t="shared" ref="ED67:ED83" si="248">(DC67-1)*100</f>
        <v>131.23479065790136</v>
      </c>
      <c r="EE67">
        <f t="shared" ref="EE67:EE83" si="249">(DG67-1)*100</f>
        <v>209.38812689359438</v>
      </c>
      <c r="EF67">
        <f t="shared" ref="EF67:EF83" si="250">(DA67-1)*100</f>
        <v>299.13772016123062</v>
      </c>
      <c r="EG67">
        <f t="shared" si="32"/>
        <v>1165.0110272208058</v>
      </c>
    </row>
    <row r="68" spans="2:137" x14ac:dyDescent="0.35">
      <c r="B68" t="s">
        <v>365</v>
      </c>
      <c r="C68" s="19">
        <f>regions!B46</f>
        <v>4111715</v>
      </c>
      <c r="D68" s="19">
        <f>regions!C46</f>
        <v>7852666838.4847937</v>
      </c>
      <c r="E68" s="8">
        <f>regions!D46</f>
        <v>1909.827611710635</v>
      </c>
      <c r="F68" s="1">
        <f>regions!Z46</f>
        <v>24.5</v>
      </c>
      <c r="G68" s="8"/>
      <c r="H68" s="8"/>
      <c r="I68">
        <f t="shared" si="221"/>
        <v>-0.34153</v>
      </c>
      <c r="J68">
        <f t="shared" si="235"/>
        <v>-1.3940000000000008E-2</v>
      </c>
      <c r="K68">
        <f t="shared" si="235"/>
        <v>-2.787999999999996E-2</v>
      </c>
      <c r="L68">
        <f t="shared" si="235"/>
        <v>-4.1819999999999968E-2</v>
      </c>
      <c r="M68">
        <f t="shared" si="235"/>
        <v>-5.5759999999999976E-2</v>
      </c>
      <c r="N68">
        <f t="shared" si="235"/>
        <v>-6.9699999999999984E-2</v>
      </c>
      <c r="O68">
        <f t="shared" si="235"/>
        <v>-8.3639999999999992E-2</v>
      </c>
      <c r="P68">
        <f t="shared" si="222"/>
        <v>-0.24010000000000001</v>
      </c>
      <c r="Q68">
        <f t="shared" si="236"/>
        <v>-1.999999999999999E-2</v>
      </c>
      <c r="R68">
        <f t="shared" si="236"/>
        <v>-4.0800000000000031E-2</v>
      </c>
      <c r="S68">
        <f t="shared" si="236"/>
        <v>-6.2399999999999983E-2</v>
      </c>
      <c r="T68">
        <f t="shared" si="236"/>
        <v>-8.4800000000000014E-2</v>
      </c>
      <c r="U68">
        <f t="shared" si="236"/>
        <v>-0.10800000000000001</v>
      </c>
      <c r="V68">
        <f t="shared" si="236"/>
        <v>-0.13200000000000003</v>
      </c>
      <c r="W68">
        <f t="shared" si="223"/>
        <v>-0.30012500000000003</v>
      </c>
      <c r="X68">
        <f t="shared" si="237"/>
        <v>-2.4999999999999967E-2</v>
      </c>
      <c r="Y68">
        <f t="shared" si="237"/>
        <v>-5.099999999999999E-2</v>
      </c>
      <c r="Z68">
        <f t="shared" si="237"/>
        <v>-7.7999999999999958E-2</v>
      </c>
      <c r="AA68">
        <f t="shared" si="237"/>
        <v>-0.10599999999999998</v>
      </c>
      <c r="AB68">
        <f t="shared" si="237"/>
        <v>-0.13499999999999995</v>
      </c>
      <c r="AC68">
        <f t="shared" si="237"/>
        <v>-0.16499999999999998</v>
      </c>
      <c r="AD68">
        <f t="shared" si="224"/>
        <v>-0.27191325</v>
      </c>
      <c r="AE68">
        <f t="shared" si="238"/>
        <v>-2.2650000000000003E-2</v>
      </c>
      <c r="AF68">
        <f t="shared" si="238"/>
        <v>-4.6206000000000025E-2</v>
      </c>
      <c r="AG68">
        <f t="shared" si="238"/>
        <v>-7.0668000000000009E-2</v>
      </c>
      <c r="AH68">
        <f t="shared" si="238"/>
        <v>-9.603600000000001E-2</v>
      </c>
      <c r="AI68">
        <f t="shared" si="238"/>
        <v>-0.12231000000000003</v>
      </c>
      <c r="AJ68">
        <f t="shared" si="238"/>
        <v>-0.14949000000000001</v>
      </c>
      <c r="AK68">
        <f t="shared" si="225"/>
        <v>-0.3061275</v>
      </c>
      <c r="AL68">
        <f t="shared" si="239"/>
        <v>-2.5500000000000023E-2</v>
      </c>
      <c r="AM68">
        <f t="shared" si="239"/>
        <v>-5.2020000000000011E-2</v>
      </c>
      <c r="AN68">
        <f t="shared" si="239"/>
        <v>-7.956000000000002E-2</v>
      </c>
      <c r="AO68">
        <f t="shared" si="239"/>
        <v>-0.10812000000000005</v>
      </c>
      <c r="AP68">
        <f t="shared" si="239"/>
        <v>-0.13770000000000004</v>
      </c>
      <c r="AQ68">
        <f t="shared" si="239"/>
        <v>-0.16830000000000006</v>
      </c>
      <c r="AR68">
        <f t="shared" si="226"/>
        <v>-0.45679024999999995</v>
      </c>
      <c r="AS68">
        <f t="shared" si="240"/>
        <v>-3.8050000000000028E-2</v>
      </c>
      <c r="AT68">
        <f t="shared" si="240"/>
        <v>-7.7621999999999969E-2</v>
      </c>
      <c r="AU68">
        <f t="shared" si="240"/>
        <v>-0.11871600000000004</v>
      </c>
      <c r="AV68">
        <f t="shared" si="240"/>
        <v>-0.16133200000000003</v>
      </c>
      <c r="AW68">
        <f t="shared" si="240"/>
        <v>-0.20547000000000004</v>
      </c>
      <c r="AX68">
        <f t="shared" si="240"/>
        <v>-0.25112999999999996</v>
      </c>
      <c r="AY68">
        <f t="shared" si="128"/>
        <v>-0.12605250000000001</v>
      </c>
      <c r="AZ68">
        <f t="shared" si="228"/>
        <v>-1.0499999999999982E-2</v>
      </c>
      <c r="BA68">
        <f t="shared" si="228"/>
        <v>-2.1419999999999995E-2</v>
      </c>
      <c r="BB68">
        <f t="shared" si="228"/>
        <v>-3.2759999999999984E-2</v>
      </c>
      <c r="BC68">
        <f t="shared" si="228"/>
        <v>-4.4520000000000004E-2</v>
      </c>
      <c r="BD68">
        <f t="shared" si="228"/>
        <v>-5.67E-2</v>
      </c>
      <c r="BE68">
        <f t="shared" si="228"/>
        <v>-6.93E-2</v>
      </c>
      <c r="BF68">
        <f t="shared" si="130"/>
        <v>-0.15006250000000002</v>
      </c>
      <c r="BG68">
        <f t="shared" si="229"/>
        <v>-1.2499999999999983E-2</v>
      </c>
      <c r="BH68">
        <f t="shared" si="229"/>
        <v>-2.5499999999999995E-2</v>
      </c>
      <c r="BI68">
        <f t="shared" si="229"/>
        <v>-3.8999999999999979E-2</v>
      </c>
      <c r="BJ68">
        <f t="shared" si="229"/>
        <v>-5.2999999999999992E-2</v>
      </c>
      <c r="BK68">
        <f t="shared" si="229"/>
        <v>-6.7499999999999977E-2</v>
      </c>
      <c r="BL68">
        <f t="shared" si="229"/>
        <v>-8.249999999999999E-2</v>
      </c>
      <c r="BM68">
        <f t="shared" si="132"/>
        <v>-0.47419749999999999</v>
      </c>
      <c r="BN68">
        <f t="shared" si="230"/>
        <v>-3.9500000000000035E-2</v>
      </c>
      <c r="BO68">
        <f t="shared" si="230"/>
        <v>-8.058000000000004E-2</v>
      </c>
      <c r="BP68">
        <f t="shared" si="230"/>
        <v>-0.12323999999999996</v>
      </c>
      <c r="BQ68">
        <f t="shared" si="230"/>
        <v>-0.16748000000000002</v>
      </c>
      <c r="BR68">
        <f t="shared" si="230"/>
        <v>-0.21329999999999999</v>
      </c>
      <c r="BS68">
        <f t="shared" si="230"/>
        <v>-0.26069999999999999</v>
      </c>
      <c r="BU68" t="s">
        <v>733</v>
      </c>
      <c r="BV68">
        <v>1</v>
      </c>
      <c r="BW68">
        <v>2</v>
      </c>
      <c r="BX68">
        <v>3</v>
      </c>
      <c r="BY68">
        <v>4</v>
      </c>
      <c r="BZ68">
        <v>5</v>
      </c>
      <c r="CA68">
        <v>6</v>
      </c>
      <c r="CS68">
        <f t="shared" si="33"/>
        <v>2085</v>
      </c>
      <c r="CT68">
        <f t="shared" si="34"/>
        <v>3.7000000000000024</v>
      </c>
      <c r="CU68">
        <f t="shared" si="35"/>
        <v>0.04</v>
      </c>
      <c r="CV68">
        <f t="shared" ref="CV68:CV83" si="251">Q$2*CT68+Q$3*CT68^2</f>
        <v>-7.7380411621635172E-3</v>
      </c>
      <c r="CW68">
        <f t="shared" si="36"/>
        <v>0.72577372654951555</v>
      </c>
      <c r="CX68">
        <f t="shared" ref="CX68:CX83" si="252">S$7*$CT68+S$7*$CT68^2</f>
        <v>-3.7050513556350272E-2</v>
      </c>
      <c r="CY68">
        <f t="shared" si="36"/>
        <v>0.29938971837936612</v>
      </c>
      <c r="CZ68">
        <f t="shared" ref="CZ68:CZ83" si="253">T$7*$CT68+T$7*$CT68^2</f>
        <v>4.4978577698879529E-2</v>
      </c>
      <c r="DA68">
        <f t="shared" ref="DA68" si="254">DA67*(1+CZ67)</f>
        <v>4.1674514773287781</v>
      </c>
      <c r="DB68">
        <f t="shared" ref="DB68:DB83" si="255">U$7*$CT68+U$7*$CT68^2</f>
        <v>2.709504058732011E-2</v>
      </c>
      <c r="DC68">
        <f t="shared" si="37"/>
        <v>2.3737962816330755</v>
      </c>
      <c r="DD68">
        <f t="shared" ref="DD68:DD83" si="256">V$7*$CT68+V$7*$CT68^2</f>
        <v>-1.4092038110323305E-2</v>
      </c>
      <c r="DE68">
        <f t="shared" si="38"/>
        <v>0.63420283484633255</v>
      </c>
      <c r="DF68">
        <f t="shared" ref="DF68:DF83" si="257">W$7*$CT68+W$7*$CT68^2</f>
        <v>3.6610314005999831E-2</v>
      </c>
      <c r="DG68">
        <f t="shared" si="39"/>
        <v>3.2049711539067149</v>
      </c>
      <c r="DH68">
        <f t="shared" ref="DH68:DH83" si="258">X$7*$CT68+X$7*$CT68^2</f>
        <v>-0.17560524553727172</v>
      </c>
      <c r="DI68">
        <f t="shared" si="40"/>
        <v>2.5117784208054062E-3</v>
      </c>
      <c r="DJ68">
        <f t="shared" ref="DJ68:DJ83" si="259">Y$7*$CT68+Y$7*$CT68^2</f>
        <v>-0.11592342332725533</v>
      </c>
      <c r="DK68">
        <f t="shared" si="41"/>
        <v>2.0818240091333557E-2</v>
      </c>
      <c r="DL68">
        <f t="shared" ref="DL68:DL83" si="260">Z$7*$CT68+Z$7*$CT68^2</f>
        <v>8.339822563476107E-2</v>
      </c>
      <c r="DM68">
        <f t="shared" si="42"/>
        <v>13.684820023945226</v>
      </c>
      <c r="DN68">
        <f t="shared" si="204"/>
        <v>-2.1065267633412673E-4</v>
      </c>
      <c r="DO68">
        <f t="shared" si="36"/>
        <v>0.98764275489516573</v>
      </c>
      <c r="DP68">
        <f>graph!A60</f>
        <v>3.700000000000002</v>
      </c>
      <c r="DQ68">
        <f>DS1*graph!B60</f>
        <v>-3.7323417209435394</v>
      </c>
      <c r="DR68">
        <f t="shared" ref="DR68:DR82" si="261">0.01*DT$1*(DQ69-DQ68)/(1+DT$1*DQ68/100)</f>
        <v>-2.4592169466140058E-4</v>
      </c>
      <c r="DS68">
        <f t="shared" ref="DS68:DS82" si="262">DS$1*DR68</f>
        <v>-3.513167066591437E-4</v>
      </c>
      <c r="DT68">
        <f t="shared" si="43"/>
        <v>0.98328586389905481</v>
      </c>
      <c r="DU68">
        <f t="shared" ref="DU68:DU83" si="263">(DT68-1)*100</f>
        <v>-1.6714136100945187</v>
      </c>
      <c r="DV68">
        <f t="shared" si="241"/>
        <v>-27.422627345048443</v>
      </c>
      <c r="DW68">
        <f t="shared" si="242"/>
        <v>-1.2357245104834269</v>
      </c>
      <c r="DY68">
        <f t="shared" si="243"/>
        <v>-99.748822157919463</v>
      </c>
      <c r="DZ68">
        <f t="shared" si="244"/>
        <v>-97.918175990866644</v>
      </c>
      <c r="EA68">
        <f t="shared" si="245"/>
        <v>-70.061028162063394</v>
      </c>
      <c r="EB68">
        <f t="shared" si="246"/>
        <v>-36.579716515366748</v>
      </c>
      <c r="EC68">
        <f t="shared" si="247"/>
        <v>-27.422627345048443</v>
      </c>
      <c r="ED68">
        <f t="shared" si="248"/>
        <v>137.37962816330756</v>
      </c>
      <c r="EE68">
        <f t="shared" si="249"/>
        <v>220.4971153906715</v>
      </c>
      <c r="EF68">
        <f t="shared" si="250"/>
        <v>316.7451477328778</v>
      </c>
      <c r="EG68">
        <f t="shared" ref="EG68:EG83" si="264">(DM68-1)*100</f>
        <v>1268.4820023945226</v>
      </c>
    </row>
    <row r="69" spans="2:137" x14ac:dyDescent="0.35">
      <c r="B69" t="s">
        <v>135</v>
      </c>
      <c r="C69" s="19">
        <f>regions!B47</f>
        <v>4669685</v>
      </c>
      <c r="D69" s="19">
        <f>regions!C47</f>
        <v>25017792422.605213</v>
      </c>
      <c r="E69" s="8">
        <f>regions!D47</f>
        <v>5357.4903708933716</v>
      </c>
      <c r="F69" s="1">
        <f>regions!Z47</f>
        <v>24.8</v>
      </c>
      <c r="G69" s="8"/>
      <c r="H69" s="8"/>
      <c r="I69">
        <f t="shared" si="221"/>
        <v>0</v>
      </c>
      <c r="J69">
        <f t="shared" si="235"/>
        <v>0</v>
      </c>
      <c r="K69">
        <f t="shared" si="235"/>
        <v>0</v>
      </c>
      <c r="L69">
        <f t="shared" si="235"/>
        <v>0</v>
      </c>
      <c r="M69">
        <f t="shared" si="235"/>
        <v>0</v>
      </c>
      <c r="N69">
        <f t="shared" si="235"/>
        <v>0</v>
      </c>
      <c r="O69">
        <f t="shared" si="235"/>
        <v>0</v>
      </c>
      <c r="P69">
        <f t="shared" si="222"/>
        <v>-0.24601600000000004</v>
      </c>
      <c r="Q69">
        <f t="shared" si="236"/>
        <v>-2.0239999999999952E-2</v>
      </c>
      <c r="R69">
        <f t="shared" si="236"/>
        <v>-4.1279999999999956E-2</v>
      </c>
      <c r="S69">
        <f t="shared" si="236"/>
        <v>-6.3119999999999982E-2</v>
      </c>
      <c r="T69">
        <f t="shared" si="236"/>
        <v>-8.5759999999999975E-2</v>
      </c>
      <c r="U69">
        <f t="shared" si="236"/>
        <v>-0.10919999999999999</v>
      </c>
      <c r="V69">
        <f t="shared" si="236"/>
        <v>-0.13344000000000003</v>
      </c>
      <c r="W69">
        <f t="shared" si="223"/>
        <v>-0.30752000000000007</v>
      </c>
      <c r="X69">
        <f t="shared" si="237"/>
        <v>-2.5299999999999934E-2</v>
      </c>
      <c r="Y69">
        <f t="shared" si="237"/>
        <v>-5.1599999999999924E-2</v>
      </c>
      <c r="Z69">
        <f t="shared" si="237"/>
        <v>-7.889999999999997E-2</v>
      </c>
      <c r="AA69">
        <f t="shared" si="237"/>
        <v>-0.10719999999999996</v>
      </c>
      <c r="AB69">
        <f t="shared" si="237"/>
        <v>-0.13649999999999995</v>
      </c>
      <c r="AC69">
        <f t="shared" si="237"/>
        <v>-0.1668</v>
      </c>
      <c r="AD69">
        <f t="shared" si="224"/>
        <v>-0.27861312000000005</v>
      </c>
      <c r="AE69">
        <f t="shared" si="238"/>
        <v>-2.2921799999999937E-2</v>
      </c>
      <c r="AF69">
        <f t="shared" si="238"/>
        <v>-4.6749599999999947E-2</v>
      </c>
      <c r="AG69">
        <f t="shared" si="238"/>
        <v>-7.1483399999999975E-2</v>
      </c>
      <c r="AH69">
        <f t="shared" si="238"/>
        <v>-9.7123199999999965E-2</v>
      </c>
      <c r="AI69">
        <f t="shared" si="238"/>
        <v>-0.12366899999999997</v>
      </c>
      <c r="AJ69">
        <f t="shared" si="238"/>
        <v>-0.1511208</v>
      </c>
      <c r="AK69">
        <f t="shared" si="225"/>
        <v>-0.31367040000000007</v>
      </c>
      <c r="AL69">
        <f t="shared" si="239"/>
        <v>-2.580599999999994E-2</v>
      </c>
      <c r="AM69">
        <f t="shared" si="239"/>
        <v>-5.2631999999999957E-2</v>
      </c>
      <c r="AN69">
        <f t="shared" si="239"/>
        <v>-8.0477999999999994E-2</v>
      </c>
      <c r="AO69">
        <f t="shared" si="239"/>
        <v>-0.109344</v>
      </c>
      <c r="AP69">
        <f t="shared" si="239"/>
        <v>-0.13923000000000002</v>
      </c>
      <c r="AQ69">
        <f t="shared" si="239"/>
        <v>-0.17013600000000001</v>
      </c>
      <c r="AR69">
        <f t="shared" si="226"/>
        <v>-0.46804544000000003</v>
      </c>
      <c r="AS69">
        <f t="shared" si="240"/>
        <v>-3.8506599999999946E-2</v>
      </c>
      <c r="AT69">
        <f t="shared" si="240"/>
        <v>-7.8535199999999916E-2</v>
      </c>
      <c r="AU69">
        <f t="shared" si="240"/>
        <v>-0.12008579999999991</v>
      </c>
      <c r="AV69">
        <f t="shared" si="240"/>
        <v>-0.16315839999999993</v>
      </c>
      <c r="AW69">
        <f t="shared" si="240"/>
        <v>-0.20775299999999997</v>
      </c>
      <c r="AX69">
        <f t="shared" si="240"/>
        <v>-0.25386960000000003</v>
      </c>
      <c r="AY69">
        <f t="shared" si="128"/>
        <v>-0.12915840000000003</v>
      </c>
      <c r="AZ69">
        <f t="shared" si="228"/>
        <v>-1.0625999999999969E-2</v>
      </c>
      <c r="BA69">
        <f t="shared" si="228"/>
        <v>-2.1671999999999969E-2</v>
      </c>
      <c r="BB69">
        <f t="shared" si="228"/>
        <v>-3.3137999999999973E-2</v>
      </c>
      <c r="BC69">
        <f t="shared" si="228"/>
        <v>-4.5023999999999981E-2</v>
      </c>
      <c r="BD69">
        <f t="shared" si="228"/>
        <v>-5.7329999999999992E-2</v>
      </c>
      <c r="BE69">
        <f t="shared" si="228"/>
        <v>-7.0056000000000007E-2</v>
      </c>
      <c r="BF69">
        <f t="shared" si="130"/>
        <v>-0.15376000000000004</v>
      </c>
      <c r="BG69">
        <f t="shared" si="229"/>
        <v>-1.2649999999999967E-2</v>
      </c>
      <c r="BH69">
        <f t="shared" si="229"/>
        <v>-2.5799999999999962E-2</v>
      </c>
      <c r="BI69">
        <f t="shared" si="229"/>
        <v>-3.9449999999999985E-2</v>
      </c>
      <c r="BJ69">
        <f t="shared" si="229"/>
        <v>-5.3599999999999981E-2</v>
      </c>
      <c r="BK69">
        <f t="shared" si="229"/>
        <v>-6.8249999999999977E-2</v>
      </c>
      <c r="BL69">
        <f t="shared" si="229"/>
        <v>-8.3400000000000002E-2</v>
      </c>
      <c r="BM69">
        <f t="shared" si="132"/>
        <v>-0.48588160000000008</v>
      </c>
      <c r="BN69">
        <f t="shared" si="230"/>
        <v>-3.9973999999999899E-2</v>
      </c>
      <c r="BO69">
        <f t="shared" si="230"/>
        <v>-8.1527999999999989E-2</v>
      </c>
      <c r="BP69">
        <f t="shared" si="230"/>
        <v>-0.124662</v>
      </c>
      <c r="BQ69">
        <f t="shared" si="230"/>
        <v>-0.16937600000000003</v>
      </c>
      <c r="BR69">
        <f t="shared" si="230"/>
        <v>-0.21566999999999997</v>
      </c>
      <c r="BS69">
        <f t="shared" si="230"/>
        <v>-0.26354400000000006</v>
      </c>
      <c r="BU69">
        <v>0.01</v>
      </c>
      <c r="BV69">
        <f>1/CD42/CD42+1/$CC61/$CC61</f>
        <v>9069902243.6954765</v>
      </c>
      <c r="BW69">
        <f t="shared" ref="BW69:CA69" si="265">1/CE42/CE42+1/$CC61/$CC61</f>
        <v>9015004773.7684479</v>
      </c>
      <c r="BX69">
        <f t="shared" si="265"/>
        <v>8929527723.6807346</v>
      </c>
      <c r="BY69">
        <f t="shared" si="265"/>
        <v>8821004205.7196026</v>
      </c>
      <c r="BZ69">
        <f t="shared" si="265"/>
        <v>8697665345.4363422</v>
      </c>
      <c r="CA69">
        <f t="shared" si="265"/>
        <v>8567166581.5171881</v>
      </c>
      <c r="CC69">
        <f t="shared" ref="CC69:CC74" si="266">1/CD61/CD61+1/CE61/CE61</f>
        <v>6930457823.1324158</v>
      </c>
      <c r="CS69">
        <f t="shared" ref="CS69:CS83" si="267">1+CS68</f>
        <v>2086</v>
      </c>
      <c r="CT69">
        <f t="shared" ref="CT69:CT83" si="268">CT68+CU68</f>
        <v>3.7400000000000024</v>
      </c>
      <c r="CU69">
        <f t="shared" ref="CU69:CU83" si="269">CU68</f>
        <v>0.04</v>
      </c>
      <c r="CV69">
        <f t="shared" si="251"/>
        <v>-7.825166264302949E-3</v>
      </c>
      <c r="CW69">
        <f t="shared" ref="CW69:DO83" si="270">CW68*(1+CV68)</f>
        <v>0.72015765957905864</v>
      </c>
      <c r="CX69">
        <f t="shared" si="252"/>
        <v>-3.7769792071394769E-2</v>
      </c>
      <c r="CY69">
        <f t="shared" si="270"/>
        <v>0.28829717555991952</v>
      </c>
      <c r="CZ69">
        <f t="shared" si="253"/>
        <v>4.5851767338393148E-2</v>
      </c>
      <c r="DA69">
        <f t="shared" si="270"/>
        <v>4.354897517408121</v>
      </c>
      <c r="DB69">
        <f t="shared" si="255"/>
        <v>2.7621048965829557E-2</v>
      </c>
      <c r="DC69">
        <f t="shared" si="270"/>
        <v>2.4381143882299532</v>
      </c>
      <c r="DD69">
        <f t="shared" si="256"/>
        <v>-1.4365613272258047E-2</v>
      </c>
      <c r="DE69">
        <f t="shared" si="270"/>
        <v>0.62526562432800292</v>
      </c>
      <c r="DF69">
        <f t="shared" si="257"/>
        <v>3.7321046726438337E-2</v>
      </c>
      <c r="DG69">
        <f t="shared" si="270"/>
        <v>3.3223061542314114</v>
      </c>
      <c r="DH69">
        <f t="shared" si="258"/>
        <v>-0.17901435024649442</v>
      </c>
      <c r="DI69">
        <f t="shared" si="270"/>
        <v>2.0706969544846522E-3</v>
      </c>
      <c r="DJ69">
        <f t="shared" si="259"/>
        <v>-0.11817389760645494</v>
      </c>
      <c r="DK69">
        <f t="shared" si="270"/>
        <v>1.8404918432297458E-2</v>
      </c>
      <c r="DL69">
        <f t="shared" si="260"/>
        <v>8.5017273419366879E-2</v>
      </c>
      <c r="DM69">
        <f t="shared" ref="DM69:DM83" si="271">DM68*(1+DL68)</f>
        <v>14.826109732073306</v>
      </c>
      <c r="DN69">
        <f t="shared" si="204"/>
        <v>-2.1128668953523545E-4</v>
      </c>
      <c r="DO69">
        <f t="shared" si="270"/>
        <v>0.98743470530558508</v>
      </c>
      <c r="DQ69">
        <f>(DQ73-DQ68)/5+DQ68</f>
        <v>-3.7943457142098844</v>
      </c>
      <c r="DR69">
        <f t="shared" si="261"/>
        <v>-2.459821870176885E-4</v>
      </c>
      <c r="DS69">
        <f t="shared" si="262"/>
        <v>-3.5140312431098357E-4</v>
      </c>
      <c r="DT69">
        <f t="shared" ref="DT69:DT83" si="272">DT68*(1+DS68)</f>
        <v>0.98294041914764529</v>
      </c>
      <c r="DU69">
        <f t="shared" si="263"/>
        <v>-1.7059580852354705</v>
      </c>
      <c r="DV69">
        <f t="shared" si="241"/>
        <v>-27.984234042094137</v>
      </c>
      <c r="DW69">
        <f t="shared" si="242"/>
        <v>-1.2565294694414919</v>
      </c>
      <c r="DY69">
        <f t="shared" si="243"/>
        <v>-99.792930304551533</v>
      </c>
      <c r="DZ69">
        <f t="shared" si="244"/>
        <v>-98.159508156770258</v>
      </c>
      <c r="EA69">
        <f t="shared" si="245"/>
        <v>-71.170282444008052</v>
      </c>
      <c r="EB69">
        <f t="shared" si="246"/>
        <v>-37.47343756719971</v>
      </c>
      <c r="EC69">
        <f t="shared" si="247"/>
        <v>-27.984234042094137</v>
      </c>
      <c r="ED69">
        <f t="shared" si="248"/>
        <v>143.81143882299531</v>
      </c>
      <c r="EE69">
        <f t="shared" si="249"/>
        <v>232.23061542314113</v>
      </c>
      <c r="EF69">
        <f t="shared" si="250"/>
        <v>335.4897517408121</v>
      </c>
      <c r="EG69">
        <f t="shared" si="264"/>
        <v>1382.6109732073305</v>
      </c>
    </row>
    <row r="70" spans="2:137" x14ac:dyDescent="0.35">
      <c r="B70" t="s">
        <v>217</v>
      </c>
      <c r="C70" s="19">
        <f>regions!B48</f>
        <v>4417800</v>
      </c>
      <c r="D70" s="19">
        <f>regions!C48</f>
        <v>45872253522.123985</v>
      </c>
      <c r="E70" s="8">
        <f>regions!D48</f>
        <v>10383.506161918598</v>
      </c>
      <c r="F70" s="1">
        <f>regions!Z48</f>
        <v>10.9</v>
      </c>
      <c r="G70" s="8"/>
      <c r="H70" s="8"/>
      <c r="I70">
        <f t="shared" si="221"/>
        <v>0</v>
      </c>
      <c r="J70">
        <f t="shared" si="235"/>
        <v>0</v>
      </c>
      <c r="K70">
        <f t="shared" si="235"/>
        <v>0</v>
      </c>
      <c r="L70">
        <f t="shared" si="235"/>
        <v>0</v>
      </c>
      <c r="M70">
        <f t="shared" si="235"/>
        <v>0</v>
      </c>
      <c r="N70">
        <f t="shared" si="235"/>
        <v>0</v>
      </c>
      <c r="O70">
        <f t="shared" si="235"/>
        <v>0</v>
      </c>
      <c r="P70">
        <f t="shared" si="222"/>
        <v>-4.7524000000000004E-2</v>
      </c>
      <c r="Q70">
        <f t="shared" si="236"/>
        <v>-9.1200000000000031E-3</v>
      </c>
      <c r="R70">
        <f t="shared" si="236"/>
        <v>-1.9039999999999994E-2</v>
      </c>
      <c r="S70">
        <f t="shared" si="236"/>
        <v>-2.9760000000000002E-2</v>
      </c>
      <c r="T70">
        <f t="shared" si="236"/>
        <v>-4.1280000000000004E-2</v>
      </c>
      <c r="U70">
        <f t="shared" si="236"/>
        <v>-5.3600000000000002E-2</v>
      </c>
      <c r="V70">
        <f t="shared" si="236"/>
        <v>-6.6719999999999974E-2</v>
      </c>
      <c r="W70">
        <f t="shared" si="223"/>
        <v>-5.9404999999999999E-2</v>
      </c>
      <c r="X70">
        <f t="shared" si="237"/>
        <v>-1.1400000000000007E-2</v>
      </c>
      <c r="Y70">
        <f t="shared" si="237"/>
        <v>-2.3800000000000002E-2</v>
      </c>
      <c r="Z70">
        <f t="shared" si="237"/>
        <v>-3.7200000000000011E-2</v>
      </c>
      <c r="AA70">
        <f t="shared" si="237"/>
        <v>-5.1600000000000007E-2</v>
      </c>
      <c r="AB70">
        <f t="shared" si="237"/>
        <v>-6.7000000000000018E-2</v>
      </c>
      <c r="AC70">
        <f t="shared" si="237"/>
        <v>-8.3399999999999988E-2</v>
      </c>
      <c r="AD70">
        <f t="shared" si="224"/>
        <v>-5.3820930000000003E-2</v>
      </c>
      <c r="AE70">
        <f t="shared" si="238"/>
        <v>-1.0328400000000001E-2</v>
      </c>
      <c r="AF70">
        <f t="shared" si="238"/>
        <v>-2.1562799999999993E-2</v>
      </c>
      <c r="AG70">
        <f t="shared" si="238"/>
        <v>-3.3703200000000003E-2</v>
      </c>
      <c r="AH70">
        <f t="shared" si="238"/>
        <v>-4.6749600000000002E-2</v>
      </c>
      <c r="AI70">
        <f t="shared" si="238"/>
        <v>-6.0702000000000006E-2</v>
      </c>
      <c r="AJ70">
        <f t="shared" si="238"/>
        <v>-7.5560399999999986E-2</v>
      </c>
      <c r="AK70">
        <f t="shared" si="225"/>
        <v>-6.0593100000000004E-2</v>
      </c>
      <c r="AL70">
        <f t="shared" si="239"/>
        <v>-1.1628000000000006E-2</v>
      </c>
      <c r="AM70">
        <f t="shared" si="239"/>
        <v>-2.4275999999999999E-2</v>
      </c>
      <c r="AN70">
        <f t="shared" si="239"/>
        <v>-3.7944000000000012E-2</v>
      </c>
      <c r="AO70">
        <f t="shared" si="239"/>
        <v>-5.2632000000000019E-2</v>
      </c>
      <c r="AP70">
        <f t="shared" si="239"/>
        <v>-6.8340000000000012E-2</v>
      </c>
      <c r="AQ70">
        <f t="shared" si="239"/>
        <v>-8.5067999999999977E-2</v>
      </c>
      <c r="AR70">
        <f t="shared" si="226"/>
        <v>-9.0414410000000001E-2</v>
      </c>
      <c r="AS70">
        <f t="shared" si="240"/>
        <v>-1.73508E-2</v>
      </c>
      <c r="AT70">
        <f t="shared" si="240"/>
        <v>-3.6223599999999995E-2</v>
      </c>
      <c r="AU70">
        <f t="shared" si="240"/>
        <v>-5.6618399999999985E-2</v>
      </c>
      <c r="AV70">
        <f t="shared" si="240"/>
        <v>-7.8535199999999999E-2</v>
      </c>
      <c r="AW70">
        <f t="shared" si="240"/>
        <v>-0.10197399999999998</v>
      </c>
      <c r="AX70">
        <f t="shared" si="240"/>
        <v>-0.12693479999999996</v>
      </c>
      <c r="AY70">
        <f t="shared" si="128"/>
        <v>-2.4950100000000003E-2</v>
      </c>
      <c r="AZ70">
        <f t="shared" si="228"/>
        <v>-4.7880000000000006E-3</v>
      </c>
      <c r="BA70">
        <f t="shared" si="228"/>
        <v>-9.9959999999999979E-3</v>
      </c>
      <c r="BB70">
        <f t="shared" si="228"/>
        <v>-1.5623999999999999E-2</v>
      </c>
      <c r="BC70">
        <f t="shared" si="228"/>
        <v>-2.1672000000000004E-2</v>
      </c>
      <c r="BD70">
        <f t="shared" si="228"/>
        <v>-2.8139999999999998E-2</v>
      </c>
      <c r="BE70">
        <f t="shared" si="228"/>
        <v>-3.502799999999999E-2</v>
      </c>
      <c r="BF70">
        <f t="shared" si="130"/>
        <v>-2.97025E-2</v>
      </c>
      <c r="BG70">
        <f t="shared" si="229"/>
        <v>-5.7000000000000037E-3</v>
      </c>
      <c r="BH70">
        <f t="shared" si="229"/>
        <v>-1.1900000000000001E-2</v>
      </c>
      <c r="BI70">
        <f t="shared" si="229"/>
        <v>-1.8600000000000005E-2</v>
      </c>
      <c r="BJ70">
        <f t="shared" si="229"/>
        <v>-2.5800000000000003E-2</v>
      </c>
      <c r="BK70">
        <f t="shared" si="229"/>
        <v>-3.3500000000000009E-2</v>
      </c>
      <c r="BL70">
        <f t="shared" si="229"/>
        <v>-4.1699999999999994E-2</v>
      </c>
      <c r="BM70">
        <f t="shared" si="132"/>
        <v>-9.385990000000001E-2</v>
      </c>
      <c r="BN70">
        <f t="shared" si="230"/>
        <v>-1.8012E-2</v>
      </c>
      <c r="BO70">
        <f t="shared" si="230"/>
        <v>-3.7603999999999985E-2</v>
      </c>
      <c r="BP70">
        <f t="shared" si="230"/>
        <v>-5.8776000000000009E-2</v>
      </c>
      <c r="BQ70">
        <f t="shared" si="230"/>
        <v>-8.1528000000000003E-2</v>
      </c>
      <c r="BR70">
        <f t="shared" si="230"/>
        <v>-0.10586</v>
      </c>
      <c r="BS70">
        <f t="shared" si="230"/>
        <v>-0.13177199999999994</v>
      </c>
      <c r="BU70">
        <v>0.02</v>
      </c>
      <c r="BV70">
        <f t="shared" ref="BV70:CA70" si="273">1/CD43/CD43+1/$CC62/$CC62</f>
        <v>2267484571.3975458</v>
      </c>
      <c r="BW70">
        <f t="shared" si="273"/>
        <v>2253753446.7153878</v>
      </c>
      <c r="BX70">
        <f t="shared" si="273"/>
        <v>2232382932.4288859</v>
      </c>
      <c r="BY70">
        <f t="shared" si="273"/>
        <v>2205251614.7891607</v>
      </c>
      <c r="BZ70">
        <f t="shared" si="273"/>
        <v>2174416696.9121561</v>
      </c>
      <c r="CA70">
        <f t="shared" si="273"/>
        <v>2141791895.76456</v>
      </c>
      <c r="CC70">
        <f t="shared" si="266"/>
        <v>1732614455.7831039</v>
      </c>
      <c r="CS70">
        <f t="shared" si="267"/>
        <v>2087</v>
      </c>
      <c r="CT70">
        <f t="shared" si="268"/>
        <v>3.7800000000000025</v>
      </c>
      <c r="CU70">
        <f t="shared" si="269"/>
        <v>0.04</v>
      </c>
      <c r="CV70">
        <f t="shared" si="251"/>
        <v>-7.9123656039416096E-3</v>
      </c>
      <c r="CW70">
        <f t="shared" si="270"/>
        <v>0.71452230615634116</v>
      </c>
      <c r="CX70">
        <f t="shared" si="252"/>
        <v>-3.8495888392269077E-2</v>
      </c>
      <c r="CY70">
        <f t="shared" si="270"/>
        <v>0.27740825118425094</v>
      </c>
      <c r="CZ70">
        <f t="shared" si="253"/>
        <v>4.6733233656954275E-2</v>
      </c>
      <c r="DA70">
        <f t="shared" si="270"/>
        <v>4.5545772651588639</v>
      </c>
      <c r="DB70">
        <f t="shared" si="255"/>
        <v>2.8152043205746675E-2</v>
      </c>
      <c r="DC70">
        <f t="shared" si="270"/>
        <v>2.5054576651315461</v>
      </c>
      <c r="DD70">
        <f t="shared" si="256"/>
        <v>-1.4641781563689799E-2</v>
      </c>
      <c r="DE70">
        <f t="shared" si="270"/>
        <v>0.61628330017646982</v>
      </c>
      <c r="DF70">
        <f t="shared" si="257"/>
        <v>3.8038516249914167E-2</v>
      </c>
      <c r="DG70">
        <f t="shared" si="270"/>
        <v>3.446298097453016</v>
      </c>
      <c r="DH70">
        <f t="shared" si="258"/>
        <v>-0.18245576874443015</v>
      </c>
      <c r="DI70">
        <f t="shared" si="270"/>
        <v>1.7000124846201872E-3</v>
      </c>
      <c r="DJ70">
        <f t="shared" si="259"/>
        <v>-0.12044570339541003</v>
      </c>
      <c r="DK70">
        <f t="shared" si="270"/>
        <v>1.6229937486023985E-2</v>
      </c>
      <c r="DL70">
        <f t="shared" si="260"/>
        <v>8.6651667628471346E-2</v>
      </c>
      <c r="DM70">
        <f t="shared" si="271"/>
        <v>16.086585156910516</v>
      </c>
      <c r="DN70">
        <f t="shared" si="204"/>
        <v>-2.1192070273634415E-4</v>
      </c>
      <c r="DO70">
        <f t="shared" si="270"/>
        <v>0.9872260734955689</v>
      </c>
      <c r="DQ70">
        <f>(DQ73-DQ68)/5+DQ69</f>
        <v>-3.8563497074762294</v>
      </c>
      <c r="DR70">
        <f t="shared" si="261"/>
        <v>-2.4604270914138285E-4</v>
      </c>
      <c r="DS70">
        <f t="shared" si="262"/>
        <v>-3.5148958448768977E-4</v>
      </c>
      <c r="DT70">
        <f t="shared" si="272"/>
        <v>0.98259501081334522</v>
      </c>
      <c r="DU70">
        <f t="shared" si="263"/>
        <v>-1.7404989186654785</v>
      </c>
      <c r="DV70">
        <f t="shared" si="241"/>
        <v>-28.547769384365886</v>
      </c>
      <c r="DW70">
        <f t="shared" si="242"/>
        <v>-1.2773926504431099</v>
      </c>
      <c r="DY70">
        <f t="shared" si="243"/>
        <v>-99.829998751537985</v>
      </c>
      <c r="DZ70">
        <f t="shared" si="244"/>
        <v>-98.377006251397603</v>
      </c>
      <c r="EA70">
        <f t="shared" si="245"/>
        <v>-72.259174881574907</v>
      </c>
      <c r="EB70">
        <f t="shared" si="246"/>
        <v>-38.371669982353019</v>
      </c>
      <c r="EC70">
        <f t="shared" si="247"/>
        <v>-28.547769384365886</v>
      </c>
      <c r="ED70">
        <f t="shared" si="248"/>
        <v>150.5457665131546</v>
      </c>
      <c r="EE70">
        <f t="shared" si="249"/>
        <v>244.6298097453016</v>
      </c>
      <c r="EF70">
        <f t="shared" si="250"/>
        <v>355.45772651588641</v>
      </c>
      <c r="EG70">
        <f t="shared" si="264"/>
        <v>1508.6585156910517</v>
      </c>
    </row>
    <row r="71" spans="2:137" x14ac:dyDescent="0.35">
      <c r="B71" t="s">
        <v>366</v>
      </c>
      <c r="C71" s="19">
        <f>regions!B49</f>
        <v>11281768</v>
      </c>
      <c r="D71" s="19">
        <f>regions!C49</f>
        <v>55436887630.693001</v>
      </c>
      <c r="E71" s="8">
        <f>regions!D49</f>
        <v>4913.8475131462556</v>
      </c>
      <c r="F71" s="1">
        <f>regions!Z49</f>
        <v>25.2</v>
      </c>
      <c r="G71" s="8"/>
      <c r="H71" s="8"/>
      <c r="I71">
        <f t="shared" si="221"/>
        <v>0</v>
      </c>
      <c r="J71">
        <f t="shared" si="235"/>
        <v>0</v>
      </c>
      <c r="K71">
        <f t="shared" si="235"/>
        <v>0</v>
      </c>
      <c r="L71">
        <f t="shared" si="235"/>
        <v>0</v>
      </c>
      <c r="M71">
        <f t="shared" si="235"/>
        <v>0</v>
      </c>
      <c r="N71">
        <f t="shared" si="235"/>
        <v>0</v>
      </c>
      <c r="O71">
        <f t="shared" si="235"/>
        <v>0</v>
      </c>
      <c r="P71">
        <f t="shared" si="222"/>
        <v>-0.25401600000000002</v>
      </c>
      <c r="Q71">
        <f t="shared" si="236"/>
        <v>-2.0559999999999967E-2</v>
      </c>
      <c r="R71">
        <f t="shared" si="236"/>
        <v>-4.1919999999999957E-2</v>
      </c>
      <c r="S71">
        <f t="shared" si="236"/>
        <v>-6.4080000000000026E-2</v>
      </c>
      <c r="T71">
        <f t="shared" si="236"/>
        <v>-8.7040000000000006E-2</v>
      </c>
      <c r="U71">
        <f t="shared" si="236"/>
        <v>-0.11080000000000001</v>
      </c>
      <c r="V71">
        <f t="shared" si="236"/>
        <v>-0.13535999999999998</v>
      </c>
      <c r="W71">
        <f t="shared" si="223"/>
        <v>-0.31751999999999997</v>
      </c>
      <c r="X71">
        <f t="shared" si="237"/>
        <v>-2.5700000000000001E-2</v>
      </c>
      <c r="Y71">
        <f t="shared" si="237"/>
        <v>-5.2400000000000002E-2</v>
      </c>
      <c r="Z71">
        <f t="shared" si="237"/>
        <v>-8.010000000000006E-2</v>
      </c>
      <c r="AA71">
        <f t="shared" si="237"/>
        <v>-0.10880000000000001</v>
      </c>
      <c r="AB71">
        <f t="shared" si="237"/>
        <v>-0.13850000000000001</v>
      </c>
      <c r="AC71">
        <f t="shared" si="237"/>
        <v>-0.16920000000000002</v>
      </c>
      <c r="AD71">
        <f t="shared" si="224"/>
        <v>-0.28767312</v>
      </c>
      <c r="AE71">
        <f t="shared" si="238"/>
        <v>-2.3284199999999977E-2</v>
      </c>
      <c r="AF71">
        <f t="shared" si="238"/>
        <v>-4.7474399999999972E-2</v>
      </c>
      <c r="AG71">
        <f t="shared" si="238"/>
        <v>-7.2570599999999985E-2</v>
      </c>
      <c r="AH71">
        <f t="shared" si="238"/>
        <v>-9.8572800000000016E-2</v>
      </c>
      <c r="AI71">
        <f t="shared" si="238"/>
        <v>-0.12548100000000001</v>
      </c>
      <c r="AJ71">
        <f t="shared" si="238"/>
        <v>-0.15329519999999996</v>
      </c>
      <c r="AK71">
        <f t="shared" si="225"/>
        <v>-0.3238704</v>
      </c>
      <c r="AL71">
        <f t="shared" si="239"/>
        <v>-2.6214000000000015E-2</v>
      </c>
      <c r="AM71">
        <f t="shared" si="239"/>
        <v>-5.3447999999999996E-2</v>
      </c>
      <c r="AN71">
        <f t="shared" si="239"/>
        <v>-8.1702000000000052E-2</v>
      </c>
      <c r="AO71">
        <f t="shared" si="239"/>
        <v>-0.11097600000000002</v>
      </c>
      <c r="AP71">
        <f t="shared" si="239"/>
        <v>-0.14127000000000001</v>
      </c>
      <c r="AQ71">
        <f t="shared" si="239"/>
        <v>-0.17258400000000002</v>
      </c>
      <c r="AR71">
        <f t="shared" si="226"/>
        <v>-0.48326543999999994</v>
      </c>
      <c r="AS71">
        <f t="shared" si="240"/>
        <v>-3.9115400000000022E-2</v>
      </c>
      <c r="AT71">
        <f t="shared" si="240"/>
        <v>-7.9752799999999957E-2</v>
      </c>
      <c r="AU71">
        <f t="shared" si="240"/>
        <v>-0.12191220000000003</v>
      </c>
      <c r="AV71">
        <f t="shared" si="240"/>
        <v>-0.16559360000000001</v>
      </c>
      <c r="AW71">
        <f t="shared" si="240"/>
        <v>-0.21079700000000001</v>
      </c>
      <c r="AX71">
        <f t="shared" si="240"/>
        <v>-0.25752239999999993</v>
      </c>
      <c r="AY71">
        <f t="shared" si="128"/>
        <v>-0.13335839999999999</v>
      </c>
      <c r="AZ71">
        <f t="shared" si="228"/>
        <v>-1.0793999999999998E-2</v>
      </c>
      <c r="BA71">
        <f t="shared" si="228"/>
        <v>-2.2008E-2</v>
      </c>
      <c r="BB71">
        <f t="shared" si="228"/>
        <v>-3.3642000000000033E-2</v>
      </c>
      <c r="BC71">
        <f t="shared" si="228"/>
        <v>-4.5696000000000014E-2</v>
      </c>
      <c r="BD71">
        <f t="shared" si="228"/>
        <v>-5.8169999999999999E-2</v>
      </c>
      <c r="BE71">
        <f t="shared" si="228"/>
        <v>-7.1064000000000016E-2</v>
      </c>
      <c r="BF71">
        <f t="shared" si="130"/>
        <v>-0.15875999999999998</v>
      </c>
      <c r="BG71">
        <f t="shared" si="229"/>
        <v>-1.285E-2</v>
      </c>
      <c r="BH71">
        <f t="shared" si="229"/>
        <v>-2.6200000000000001E-2</v>
      </c>
      <c r="BI71">
        <f t="shared" si="229"/>
        <v>-4.005000000000003E-2</v>
      </c>
      <c r="BJ71">
        <f t="shared" si="229"/>
        <v>-5.4400000000000004E-2</v>
      </c>
      <c r="BK71">
        <f t="shared" si="229"/>
        <v>-6.9250000000000006E-2</v>
      </c>
      <c r="BL71">
        <f t="shared" si="229"/>
        <v>-8.4600000000000009E-2</v>
      </c>
      <c r="BM71">
        <f t="shared" si="132"/>
        <v>-0.50168159999999995</v>
      </c>
      <c r="BN71">
        <f t="shared" si="230"/>
        <v>-4.0606000000000031E-2</v>
      </c>
      <c r="BO71">
        <f t="shared" si="230"/>
        <v>-8.2791999999999977E-2</v>
      </c>
      <c r="BP71">
        <f t="shared" si="230"/>
        <v>-0.12655800000000006</v>
      </c>
      <c r="BQ71">
        <f t="shared" si="230"/>
        <v>-0.17190400000000006</v>
      </c>
      <c r="BR71">
        <f t="shared" si="230"/>
        <v>-0.21883000000000008</v>
      </c>
      <c r="BS71">
        <f t="shared" si="230"/>
        <v>-0.26733600000000002</v>
      </c>
      <c r="BU71">
        <v>0.03</v>
      </c>
      <c r="BV71">
        <f t="shared" ref="BV71:CA71" si="274">1/CD44/CD44+1/$CC63/$CC63</f>
        <v>1007777590.8796748</v>
      </c>
      <c r="BW71">
        <f t="shared" si="274"/>
        <v>1001669867.3652675</v>
      </c>
      <c r="BX71">
        <f t="shared" si="274"/>
        <v>992170933.99447298</v>
      </c>
      <c r="BY71">
        <f t="shared" si="274"/>
        <v>980112246.08029354</v>
      </c>
      <c r="BZ71">
        <f t="shared" si="274"/>
        <v>966407687.91837406</v>
      </c>
      <c r="CA71">
        <f t="shared" si="274"/>
        <v>951907694.69523251</v>
      </c>
      <c r="CC71">
        <f t="shared" si="266"/>
        <v>770050869.23693514</v>
      </c>
      <c r="CS71">
        <f t="shared" si="267"/>
        <v>2088</v>
      </c>
      <c r="CT71">
        <f t="shared" si="268"/>
        <v>3.8200000000000025</v>
      </c>
      <c r="CU71">
        <f t="shared" si="269"/>
        <v>0.04</v>
      </c>
      <c r="CV71">
        <f t="shared" si="251"/>
        <v>-7.9996391810794997E-3</v>
      </c>
      <c r="CW71">
        <f t="shared" si="270"/>
        <v>0.70886874443786074</v>
      </c>
      <c r="CX71">
        <f t="shared" si="252"/>
        <v>-3.9228802518973191E-2</v>
      </c>
      <c r="CY71">
        <f t="shared" si="270"/>
        <v>0.26672917410756747</v>
      </c>
      <c r="CZ71">
        <f t="shared" si="253"/>
        <v>4.7622976654562936E-2</v>
      </c>
      <c r="DA71">
        <f t="shared" si="270"/>
        <v>4.7674273887001855</v>
      </c>
      <c r="DB71">
        <f t="shared" si="255"/>
        <v>2.8688023307071465E-2</v>
      </c>
      <c r="DC71">
        <f t="shared" si="270"/>
        <v>2.5759914175704988</v>
      </c>
      <c r="DD71">
        <f t="shared" si="256"/>
        <v>-1.4920542984618564E-2</v>
      </c>
      <c r="DE71">
        <f t="shared" si="270"/>
        <v>0.60725981471393609</v>
      </c>
      <c r="DF71">
        <f t="shared" si="257"/>
        <v>3.8762722576427329E-2</v>
      </c>
      <c r="DG71">
        <f t="shared" si="270"/>
        <v>3.5773901636350307</v>
      </c>
      <c r="DH71">
        <f t="shared" si="258"/>
        <v>-0.18592950103107889</v>
      </c>
      <c r="DI71">
        <f t="shared" si="270"/>
        <v>1.3898353998636822E-3</v>
      </c>
      <c r="DJ71">
        <f t="shared" si="259"/>
        <v>-0.12273884069412053</v>
      </c>
      <c r="DK71">
        <f t="shared" si="270"/>
        <v>1.4275111249456292E-2</v>
      </c>
      <c r="DL71">
        <f t="shared" si="260"/>
        <v>8.8301408262074443E-2</v>
      </c>
      <c r="DM71">
        <f t="shared" si="271"/>
        <v>17.48051458720423</v>
      </c>
      <c r="DN71">
        <f t="shared" si="204"/>
        <v>-2.1255471593745287E-4</v>
      </c>
      <c r="DO71">
        <f t="shared" si="270"/>
        <v>0.98701685985231402</v>
      </c>
      <c r="DQ71">
        <f>(DQ73-DQ68)/5+DQ70</f>
        <v>-3.9183537007425744</v>
      </c>
      <c r="DR71">
        <f t="shared" si="261"/>
        <v>-2.4610326105446121E-4</v>
      </c>
      <c r="DS71">
        <f t="shared" si="262"/>
        <v>-3.515760872206589E-4</v>
      </c>
      <c r="DT71">
        <f t="shared" si="272"/>
        <v>0.9822496389012747</v>
      </c>
      <c r="DU71">
        <f t="shared" si="263"/>
        <v>-1.7750361098725298</v>
      </c>
      <c r="DV71">
        <f t="shared" si="241"/>
        <v>-29.113125556213927</v>
      </c>
      <c r="DW71">
        <f t="shared" si="242"/>
        <v>-1.2983140147685979</v>
      </c>
      <c r="DY71">
        <f t="shared" si="243"/>
        <v>-99.86101646001363</v>
      </c>
      <c r="DZ71">
        <f t="shared" si="244"/>
        <v>-98.572488875054376</v>
      </c>
      <c r="EA71">
        <f t="shared" si="245"/>
        <v>-73.327082589243247</v>
      </c>
      <c r="EB71">
        <f t="shared" si="246"/>
        <v>-39.274018528606391</v>
      </c>
      <c r="EC71">
        <f t="shared" si="247"/>
        <v>-29.113125556213927</v>
      </c>
      <c r="ED71">
        <f t="shared" si="248"/>
        <v>157.59914175704986</v>
      </c>
      <c r="EE71">
        <f t="shared" si="249"/>
        <v>257.73901636350308</v>
      </c>
      <c r="EF71">
        <f t="shared" si="250"/>
        <v>376.74273887001857</v>
      </c>
      <c r="EG71">
        <f t="shared" si="264"/>
        <v>1648.0514587204229</v>
      </c>
    </row>
    <row r="72" spans="2:137" x14ac:dyDescent="0.35">
      <c r="B72" t="s">
        <v>248</v>
      </c>
      <c r="C72" s="19">
        <f>regions!B50</f>
        <v>1103685</v>
      </c>
      <c r="D72" s="19">
        <f>regions!C50</f>
        <v>19207097486.442326</v>
      </c>
      <c r="E72" s="8">
        <f>regions!D50</f>
        <v>17402.698674388368</v>
      </c>
      <c r="F72" s="1">
        <f>regions!Z50</f>
        <v>18.399999999999999</v>
      </c>
      <c r="G72" s="8"/>
      <c r="H72" s="8"/>
      <c r="I72">
        <f t="shared" si="221"/>
        <v>0</v>
      </c>
      <c r="J72">
        <f t="shared" si="235"/>
        <v>0</v>
      </c>
      <c r="K72">
        <f t="shared" si="235"/>
        <v>0</v>
      </c>
      <c r="L72">
        <f t="shared" si="235"/>
        <v>0</v>
      </c>
      <c r="M72">
        <f t="shared" si="235"/>
        <v>0</v>
      </c>
      <c r="N72">
        <f t="shared" si="235"/>
        <v>0</v>
      </c>
      <c r="O72">
        <f t="shared" si="235"/>
        <v>0</v>
      </c>
      <c r="P72">
        <f t="shared" si="222"/>
        <v>-0.13542399999999999</v>
      </c>
      <c r="Q72">
        <f t="shared" si="236"/>
        <v>-1.5119999999999995E-2</v>
      </c>
      <c r="R72">
        <f t="shared" si="236"/>
        <v>-3.1040000000000012E-2</v>
      </c>
      <c r="S72">
        <f t="shared" si="236"/>
        <v>-4.7759999999999997E-2</v>
      </c>
      <c r="T72">
        <f t="shared" si="236"/>
        <v>-6.5280000000000005E-2</v>
      </c>
      <c r="U72">
        <f t="shared" si="236"/>
        <v>-8.3600000000000008E-2</v>
      </c>
      <c r="V72">
        <f t="shared" si="236"/>
        <v>-0.10271999999999998</v>
      </c>
      <c r="W72">
        <f t="shared" si="223"/>
        <v>-0.16927999999999999</v>
      </c>
      <c r="X72">
        <f t="shared" si="237"/>
        <v>-1.89E-2</v>
      </c>
      <c r="Y72">
        <f t="shared" si="237"/>
        <v>-3.8800000000000001E-2</v>
      </c>
      <c r="Z72">
        <f t="shared" si="237"/>
        <v>-5.9699999999999975E-2</v>
      </c>
      <c r="AA72">
        <f t="shared" si="237"/>
        <v>-8.1600000000000006E-2</v>
      </c>
      <c r="AB72">
        <f t="shared" si="237"/>
        <v>-0.10449999999999998</v>
      </c>
      <c r="AC72">
        <f t="shared" si="237"/>
        <v>-0.12839999999999996</v>
      </c>
      <c r="AD72">
        <f t="shared" si="224"/>
        <v>-0.15336767999999998</v>
      </c>
      <c r="AE72">
        <f t="shared" si="238"/>
        <v>-1.7123400000000011E-2</v>
      </c>
      <c r="AF72">
        <f t="shared" si="238"/>
        <v>-3.5152800000000012E-2</v>
      </c>
      <c r="AG72">
        <f t="shared" si="238"/>
        <v>-5.4088200000000003E-2</v>
      </c>
      <c r="AH72">
        <f t="shared" si="238"/>
        <v>-7.3929599999999984E-2</v>
      </c>
      <c r="AI72">
        <f t="shared" si="238"/>
        <v>-9.4677000000000011E-2</v>
      </c>
      <c r="AJ72">
        <f t="shared" si="238"/>
        <v>-0.11633039999999997</v>
      </c>
      <c r="AK72">
        <f t="shared" si="225"/>
        <v>-0.17266559999999997</v>
      </c>
      <c r="AL72">
        <f t="shared" si="239"/>
        <v>-1.9278000000000017E-2</v>
      </c>
      <c r="AM72">
        <f t="shared" si="239"/>
        <v>-3.9576000000000028E-2</v>
      </c>
      <c r="AN72">
        <f t="shared" si="239"/>
        <v>-6.0894000000000004E-2</v>
      </c>
      <c r="AO72">
        <f t="shared" si="239"/>
        <v>-8.3232000000000028E-2</v>
      </c>
      <c r="AP72">
        <f t="shared" si="239"/>
        <v>-0.10659000000000002</v>
      </c>
      <c r="AQ72">
        <f t="shared" si="239"/>
        <v>-0.13096799999999997</v>
      </c>
      <c r="AR72">
        <f t="shared" si="226"/>
        <v>-0.25764415999999996</v>
      </c>
      <c r="AS72">
        <f t="shared" si="240"/>
        <v>-2.8765800000000008E-2</v>
      </c>
      <c r="AT72">
        <f t="shared" si="240"/>
        <v>-5.9053599999999984E-2</v>
      </c>
      <c r="AU72">
        <f t="shared" si="240"/>
        <v>-9.0863399999999983E-2</v>
      </c>
      <c r="AV72">
        <f t="shared" si="240"/>
        <v>-0.12419519999999995</v>
      </c>
      <c r="AW72">
        <f t="shared" si="240"/>
        <v>-0.159049</v>
      </c>
      <c r="AX72">
        <f t="shared" si="240"/>
        <v>-0.19542479999999995</v>
      </c>
      <c r="AY72">
        <f t="shared" si="128"/>
        <v>-7.1097599999999997E-2</v>
      </c>
      <c r="AZ72">
        <f t="shared" si="228"/>
        <v>-7.9380000000000006E-3</v>
      </c>
      <c r="BA72">
        <f t="shared" si="228"/>
        <v>-1.6296000000000005E-2</v>
      </c>
      <c r="BB72">
        <f t="shared" si="228"/>
        <v>-2.5073999999999985E-2</v>
      </c>
      <c r="BC72">
        <f t="shared" si="228"/>
        <v>-3.4271999999999997E-2</v>
      </c>
      <c r="BD72">
        <f t="shared" si="228"/>
        <v>-4.3889999999999998E-2</v>
      </c>
      <c r="BE72">
        <f t="shared" si="228"/>
        <v>-5.392799999999999E-2</v>
      </c>
      <c r="BF72">
        <f t="shared" si="130"/>
        <v>-8.4639999999999993E-2</v>
      </c>
      <c r="BG72">
        <f t="shared" si="229"/>
        <v>-9.4500000000000001E-3</v>
      </c>
      <c r="BH72">
        <f t="shared" si="229"/>
        <v>-1.9400000000000001E-2</v>
      </c>
      <c r="BI72">
        <f t="shared" si="229"/>
        <v>-2.9849999999999988E-2</v>
      </c>
      <c r="BJ72">
        <f t="shared" si="229"/>
        <v>-4.0800000000000003E-2</v>
      </c>
      <c r="BK72">
        <f t="shared" si="229"/>
        <v>-5.2249999999999991E-2</v>
      </c>
      <c r="BL72">
        <f t="shared" si="229"/>
        <v>-6.4199999999999979E-2</v>
      </c>
      <c r="BM72">
        <f t="shared" si="132"/>
        <v>-0.26746239999999993</v>
      </c>
      <c r="BN72">
        <f t="shared" si="230"/>
        <v>-2.9862000000000055E-2</v>
      </c>
      <c r="BO72">
        <f t="shared" si="230"/>
        <v>-6.1304000000000025E-2</v>
      </c>
      <c r="BP72">
        <f t="shared" si="230"/>
        <v>-9.4326000000000021E-2</v>
      </c>
      <c r="BQ72">
        <f t="shared" si="230"/>
        <v>-0.12892800000000004</v>
      </c>
      <c r="BR72">
        <f t="shared" si="230"/>
        <v>-0.16511000000000003</v>
      </c>
      <c r="BS72">
        <f t="shared" si="230"/>
        <v>-0.202872</v>
      </c>
      <c r="BU72">
        <v>0.04</v>
      </c>
      <c r="BV72">
        <f t="shared" ref="BV72:CA72" si="275">1/CD45/CD45+1/$CC64/$CC64</f>
        <v>566880142.78261411</v>
      </c>
      <c r="BW72">
        <f t="shared" si="275"/>
        <v>563440614.27834737</v>
      </c>
      <c r="BX72">
        <f t="shared" si="275"/>
        <v>558096734.47812891</v>
      </c>
      <c r="BY72">
        <f t="shared" si="275"/>
        <v>551313467.01087701</v>
      </c>
      <c r="BZ72">
        <f t="shared" si="275"/>
        <v>543604534.76131117</v>
      </c>
      <c r="CA72">
        <f t="shared" si="275"/>
        <v>535448224.3162123</v>
      </c>
      <c r="CC72">
        <f t="shared" si="266"/>
        <v>433153613.94577599</v>
      </c>
      <c r="CS72">
        <f t="shared" si="267"/>
        <v>2089</v>
      </c>
      <c r="CT72">
        <f t="shared" si="268"/>
        <v>3.8600000000000025</v>
      </c>
      <c r="CU72">
        <f t="shared" si="269"/>
        <v>0.04</v>
      </c>
      <c r="CV72">
        <f t="shared" si="251"/>
        <v>-8.0869869957166211E-3</v>
      </c>
      <c r="CW72">
        <f t="shared" si="270"/>
        <v>0.70319805025561299</v>
      </c>
      <c r="CX72">
        <f t="shared" si="252"/>
        <v>-3.9968534451507109E-2</v>
      </c>
      <c r="CY72">
        <f t="shared" si="270"/>
        <v>0.2562657080104529</v>
      </c>
      <c r="CZ72">
        <f t="shared" si="253"/>
        <v>4.8520996331219118E-2</v>
      </c>
      <c r="DA72">
        <f t="shared" si="270"/>
        <v>4.9944664719345777</v>
      </c>
      <c r="DB72">
        <f t="shared" si="255"/>
        <v>2.922898926980393E-2</v>
      </c>
      <c r="DC72">
        <f t="shared" si="270"/>
        <v>2.6498915193965771</v>
      </c>
      <c r="DD72">
        <f t="shared" si="256"/>
        <v>-1.5201897535044341E-2</v>
      </c>
      <c r="DE72">
        <f t="shared" si="270"/>
        <v>0.59819916854566535</v>
      </c>
      <c r="DF72">
        <f t="shared" si="257"/>
        <v>3.9493665705977829E-2</v>
      </c>
      <c r="DG72">
        <f t="shared" si="270"/>
        <v>3.7160595460956554</v>
      </c>
      <c r="DH72">
        <f t="shared" si="258"/>
        <v>-0.18943554710644062</v>
      </c>
      <c r="DI72">
        <f t="shared" si="270"/>
        <v>1.1314239974516977E-3</v>
      </c>
      <c r="DJ72">
        <f t="shared" si="259"/>
        <v>-0.12505330950258647</v>
      </c>
      <c r="DK72">
        <f t="shared" si="270"/>
        <v>1.2523000643918428E-2</v>
      </c>
      <c r="DL72">
        <f t="shared" si="260"/>
        <v>8.9966495320176171E-2</v>
      </c>
      <c r="DM72">
        <f t="shared" si="271"/>
        <v>19.024068642400096</v>
      </c>
      <c r="DN72">
        <f t="shared" si="204"/>
        <v>-2.131887291385616E-4</v>
      </c>
      <c r="DO72">
        <f t="shared" si="270"/>
        <v>0.98680706476404256</v>
      </c>
      <c r="DQ72">
        <f>(DQ73-DQ68)/5+DQ71</f>
        <v>-3.9803576940089194</v>
      </c>
      <c r="DR72">
        <f t="shared" si="261"/>
        <v>-2.4616384277892101E-4</v>
      </c>
      <c r="DS72">
        <f t="shared" si="262"/>
        <v>-3.5166263254131575E-4</v>
      </c>
      <c r="DT72">
        <f t="shared" si="272"/>
        <v>0.98190430341655588</v>
      </c>
      <c r="DU72">
        <f t="shared" si="263"/>
        <v>-1.8095696583444121</v>
      </c>
      <c r="DV72">
        <f t="shared" si="241"/>
        <v>-29.680194974438699</v>
      </c>
      <c r="DW72">
        <f t="shared" si="242"/>
        <v>-1.3192935235957437</v>
      </c>
      <c r="DY72">
        <f t="shared" si="243"/>
        <v>-99.886857600254828</v>
      </c>
      <c r="DZ72">
        <f t="shared" si="244"/>
        <v>-98.747699935608154</v>
      </c>
      <c r="EA72">
        <f t="shared" si="245"/>
        <v>-74.37342919895471</v>
      </c>
      <c r="EB72">
        <f t="shared" si="246"/>
        <v>-40.180083145433464</v>
      </c>
      <c r="EC72">
        <f t="shared" si="247"/>
        <v>-29.680194974438699</v>
      </c>
      <c r="ED72">
        <f t="shared" si="248"/>
        <v>164.98915193965772</v>
      </c>
      <c r="EE72">
        <f t="shared" si="249"/>
        <v>271.60595460956552</v>
      </c>
      <c r="EF72">
        <f t="shared" si="250"/>
        <v>399.44664719345775</v>
      </c>
      <c r="EG72">
        <f t="shared" si="264"/>
        <v>1802.4068642400096</v>
      </c>
    </row>
    <row r="73" spans="2:137" x14ac:dyDescent="0.35">
      <c r="B73" t="s">
        <v>249</v>
      </c>
      <c r="C73" s="19">
        <f>regions!B51</f>
        <v>10519792</v>
      </c>
      <c r="D73" s="19">
        <f>regions!C51</f>
        <v>148480783612.59024</v>
      </c>
      <c r="E73" s="8">
        <f>regions!D51</f>
        <v>14114.421997373165</v>
      </c>
      <c r="F73" s="1">
        <f>regions!Z51</f>
        <v>7.5</v>
      </c>
      <c r="G73" s="8"/>
      <c r="H73" s="8"/>
      <c r="I73">
        <f t="shared" si="221"/>
        <v>0</v>
      </c>
      <c r="J73">
        <f t="shared" si="235"/>
        <v>0</v>
      </c>
      <c r="K73">
        <f t="shared" si="235"/>
        <v>0</v>
      </c>
      <c r="L73">
        <f t="shared" si="235"/>
        <v>0</v>
      </c>
      <c r="M73">
        <f t="shared" si="235"/>
        <v>0</v>
      </c>
      <c r="N73">
        <f t="shared" si="235"/>
        <v>0</v>
      </c>
      <c r="O73">
        <f t="shared" si="235"/>
        <v>0</v>
      </c>
      <c r="P73">
        <f t="shared" si="222"/>
        <v>-2.2500000000000003E-2</v>
      </c>
      <c r="Q73">
        <f t="shared" si="236"/>
        <v>-6.3999999999999994E-3</v>
      </c>
      <c r="R73">
        <f t="shared" si="236"/>
        <v>-1.3599999999999998E-2</v>
      </c>
      <c r="S73">
        <f t="shared" si="236"/>
        <v>-2.1599999999999998E-2</v>
      </c>
      <c r="T73">
        <f t="shared" si="236"/>
        <v>-3.04E-2</v>
      </c>
      <c r="U73">
        <f t="shared" si="236"/>
        <v>-3.9999999999999994E-2</v>
      </c>
      <c r="V73">
        <f t="shared" si="236"/>
        <v>-5.04E-2</v>
      </c>
      <c r="W73">
        <f t="shared" si="223"/>
        <v>-2.8125000000000001E-2</v>
      </c>
      <c r="X73">
        <f t="shared" si="237"/>
        <v>-7.9999999999999967E-3</v>
      </c>
      <c r="Y73">
        <f t="shared" si="237"/>
        <v>-1.6999999999999998E-2</v>
      </c>
      <c r="Z73">
        <f t="shared" si="237"/>
        <v>-2.7E-2</v>
      </c>
      <c r="AA73">
        <f t="shared" si="237"/>
        <v>-3.8000000000000006E-2</v>
      </c>
      <c r="AB73">
        <f t="shared" si="237"/>
        <v>-0.05</v>
      </c>
      <c r="AC73">
        <f t="shared" si="237"/>
        <v>-6.3E-2</v>
      </c>
      <c r="AD73">
        <f t="shared" si="224"/>
        <v>-2.548125E-2</v>
      </c>
      <c r="AE73">
        <f t="shared" si="238"/>
        <v>-7.248000000000001E-3</v>
      </c>
      <c r="AF73">
        <f t="shared" si="238"/>
        <v>-1.5402000000000002E-2</v>
      </c>
      <c r="AG73">
        <f t="shared" si="238"/>
        <v>-2.4462000000000001E-2</v>
      </c>
      <c r="AH73">
        <f t="shared" si="238"/>
        <v>-3.4428E-2</v>
      </c>
      <c r="AI73">
        <f t="shared" si="238"/>
        <v>-4.5300000000000007E-2</v>
      </c>
      <c r="AJ73">
        <f t="shared" si="238"/>
        <v>-5.7078000000000004E-2</v>
      </c>
      <c r="AK73">
        <f t="shared" si="225"/>
        <v>-2.8687500000000001E-2</v>
      </c>
      <c r="AL73">
        <f t="shared" si="239"/>
        <v>-8.1600000000000041E-3</v>
      </c>
      <c r="AM73">
        <f t="shared" si="239"/>
        <v>-1.7340000000000005E-2</v>
      </c>
      <c r="AN73">
        <f t="shared" si="239"/>
        <v>-2.7540000000000005E-2</v>
      </c>
      <c r="AO73">
        <f t="shared" si="239"/>
        <v>-3.8760000000000003E-2</v>
      </c>
      <c r="AP73">
        <f t="shared" si="239"/>
        <v>-5.1000000000000004E-2</v>
      </c>
      <c r="AQ73">
        <f t="shared" si="239"/>
        <v>-6.4259999999999998E-2</v>
      </c>
      <c r="AR73">
        <f t="shared" si="226"/>
        <v>-4.2806249999999997E-2</v>
      </c>
      <c r="AS73">
        <f t="shared" si="240"/>
        <v>-1.2175999999999999E-2</v>
      </c>
      <c r="AT73">
        <f t="shared" si="240"/>
        <v>-2.5874000000000001E-2</v>
      </c>
      <c r="AU73">
        <f t="shared" si="240"/>
        <v>-4.1093999999999999E-2</v>
      </c>
      <c r="AV73">
        <f t="shared" si="240"/>
        <v>-5.7835999999999992E-2</v>
      </c>
      <c r="AW73">
        <f t="shared" si="240"/>
        <v>-7.6100000000000001E-2</v>
      </c>
      <c r="AX73">
        <f t="shared" si="240"/>
        <v>-9.5885999999999999E-2</v>
      </c>
      <c r="AY73">
        <f t="shared" si="128"/>
        <v>-1.18125E-2</v>
      </c>
      <c r="AZ73">
        <f t="shared" si="228"/>
        <v>-3.3600000000000001E-3</v>
      </c>
      <c r="BA73">
        <f t="shared" si="228"/>
        <v>-7.1400000000000005E-3</v>
      </c>
      <c r="BB73">
        <f t="shared" si="228"/>
        <v>-1.1339999999999999E-2</v>
      </c>
      <c r="BC73">
        <f t="shared" si="228"/>
        <v>-1.5960000000000002E-2</v>
      </c>
      <c r="BD73">
        <f t="shared" si="228"/>
        <v>-2.1000000000000001E-2</v>
      </c>
      <c r="BE73">
        <f t="shared" si="228"/>
        <v>-2.6460000000000001E-2</v>
      </c>
      <c r="BF73">
        <f t="shared" si="130"/>
        <v>-1.40625E-2</v>
      </c>
      <c r="BG73">
        <f t="shared" si="229"/>
        <v>-3.9999999999999983E-3</v>
      </c>
      <c r="BH73">
        <f t="shared" si="229"/>
        <v>-8.4999999999999989E-3</v>
      </c>
      <c r="BI73">
        <f t="shared" si="229"/>
        <v>-1.35E-2</v>
      </c>
      <c r="BJ73">
        <f t="shared" si="229"/>
        <v>-1.9000000000000003E-2</v>
      </c>
      <c r="BK73">
        <f t="shared" si="229"/>
        <v>-2.5000000000000001E-2</v>
      </c>
      <c r="BL73">
        <f t="shared" si="229"/>
        <v>-3.15E-2</v>
      </c>
      <c r="BM73">
        <f t="shared" si="132"/>
        <v>-4.4437499999999998E-2</v>
      </c>
      <c r="BN73">
        <f t="shared" si="230"/>
        <v>-1.2640000000000005E-2</v>
      </c>
      <c r="BO73">
        <f t="shared" si="230"/>
        <v>-2.6860000000000002E-2</v>
      </c>
      <c r="BP73">
        <f t="shared" si="230"/>
        <v>-4.266000000000001E-2</v>
      </c>
      <c r="BQ73">
        <f t="shared" si="230"/>
        <v>-6.0040000000000003E-2</v>
      </c>
      <c r="BR73">
        <f t="shared" si="230"/>
        <v>-7.9000000000000015E-2</v>
      </c>
      <c r="BS73">
        <f t="shared" si="230"/>
        <v>-9.9540000000000017E-2</v>
      </c>
      <c r="BU73">
        <v>0.05</v>
      </c>
      <c r="BV73">
        <f t="shared" ref="BV73:CA73" si="276">1/CD46/CD46+1/$CC65/$CC65</f>
        <v>362807604.2788884</v>
      </c>
      <c r="BW73">
        <f t="shared" si="276"/>
        <v>360603073.93334234</v>
      </c>
      <c r="BX73">
        <f t="shared" si="276"/>
        <v>357182390.63146025</v>
      </c>
      <c r="BY73">
        <f t="shared" si="276"/>
        <v>352840889.2467947</v>
      </c>
      <c r="BZ73">
        <f t="shared" si="276"/>
        <v>347907075.2899062</v>
      </c>
      <c r="CA73">
        <f t="shared" si="276"/>
        <v>342686983.73556274</v>
      </c>
      <c r="CC73">
        <f t="shared" si="266"/>
        <v>277218312.9252966</v>
      </c>
      <c r="CS73">
        <f t="shared" si="267"/>
        <v>2090</v>
      </c>
      <c r="CT73">
        <f t="shared" si="268"/>
        <v>3.9000000000000026</v>
      </c>
      <c r="CU73">
        <f t="shared" si="269"/>
        <v>0.04</v>
      </c>
      <c r="CV73">
        <f t="shared" si="251"/>
        <v>-8.1744090478529721E-3</v>
      </c>
      <c r="CW73">
        <f t="shared" si="270"/>
        <v>0.69751129676778256</v>
      </c>
      <c r="CX73">
        <f t="shared" si="252"/>
        <v>-4.0715084189870826E-2</v>
      </c>
      <c r="CY73">
        <f t="shared" si="270"/>
        <v>0.24602314323109725</v>
      </c>
      <c r="CZ73">
        <f t="shared" si="253"/>
        <v>4.9427292686922822E-2</v>
      </c>
      <c r="DA73">
        <f t="shared" si="270"/>
        <v>5.2368029612957123</v>
      </c>
      <c r="DB73">
        <f t="shared" si="255"/>
        <v>2.9774941093944067E-2</v>
      </c>
      <c r="DC73">
        <f t="shared" si="270"/>
        <v>2.7273451701831641</v>
      </c>
      <c r="DD73">
        <f t="shared" si="256"/>
        <v>-1.5485845214967129E-2</v>
      </c>
      <c r="DE73">
        <f t="shared" si="270"/>
        <v>0.58910540607988549</v>
      </c>
      <c r="DF73">
        <f t="shared" si="257"/>
        <v>4.023134563856566E-2</v>
      </c>
      <c r="DG73">
        <f t="shared" si="270"/>
        <v>3.8628203595526651</v>
      </c>
      <c r="DH73">
        <f t="shared" si="258"/>
        <v>-0.19297390697051536</v>
      </c>
      <c r="DI73">
        <f t="shared" si="270"/>
        <v>9.1709207348507934E-4</v>
      </c>
      <c r="DJ73">
        <f t="shared" si="259"/>
        <v>-0.12738910982080792</v>
      </c>
      <c r="DK73">
        <f t="shared" si="270"/>
        <v>1.0956957968493407E-2</v>
      </c>
      <c r="DL73">
        <f t="shared" si="260"/>
        <v>9.1646928802776528E-2</v>
      </c>
      <c r="DM73">
        <f t="shared" si="271"/>
        <v>20.735597424887295</v>
      </c>
      <c r="DN73">
        <f t="shared" si="204"/>
        <v>-2.138227423396703E-4</v>
      </c>
      <c r="DO73">
        <f t="shared" si="270"/>
        <v>0.98659668862000061</v>
      </c>
      <c r="DP73">
        <f>graph!A62</f>
        <v>3.9000000000000021</v>
      </c>
      <c r="DQ73">
        <f>DS1*graph!B62</f>
        <v>-4.0423616872752639</v>
      </c>
      <c r="DR73">
        <f t="shared" si="261"/>
        <v>-2.5598409056232794E-4</v>
      </c>
      <c r="DS73">
        <f t="shared" si="262"/>
        <v>-3.6569155794618276E-4</v>
      </c>
      <c r="DT73">
        <f t="shared" si="272"/>
        <v>0.98155900436431276</v>
      </c>
      <c r="DU73">
        <f t="shared" si="263"/>
        <v>-1.8440995635687241</v>
      </c>
      <c r="DV73">
        <f t="shared" si="241"/>
        <v>-30.248870323221745</v>
      </c>
      <c r="DW73">
        <f t="shared" si="242"/>
        <v>-1.3403311379999394</v>
      </c>
      <c r="DY73">
        <f t="shared" si="243"/>
        <v>-99.908290792651485</v>
      </c>
      <c r="DZ73">
        <f t="shared" si="244"/>
        <v>-98.904304203150659</v>
      </c>
      <c r="EA73">
        <f t="shared" si="245"/>
        <v>-75.397685676890262</v>
      </c>
      <c r="EB73">
        <f t="shared" si="246"/>
        <v>-41.089459392011449</v>
      </c>
      <c r="EC73">
        <f t="shared" si="247"/>
        <v>-30.248870323221745</v>
      </c>
      <c r="ED73">
        <f t="shared" si="248"/>
        <v>172.73451701831641</v>
      </c>
      <c r="EE73">
        <f t="shared" si="249"/>
        <v>286.28203595526651</v>
      </c>
      <c r="EF73">
        <f t="shared" si="250"/>
        <v>423.68029612957122</v>
      </c>
      <c r="EG73">
        <f t="shared" si="264"/>
        <v>1973.5597424887296</v>
      </c>
    </row>
    <row r="74" spans="2:137" x14ac:dyDescent="0.35">
      <c r="B74" t="s">
        <v>136</v>
      </c>
      <c r="C74" s="19">
        <f>regions!B52</f>
        <v>5547683</v>
      </c>
      <c r="D74" s="19">
        <f>regions!C52</f>
        <v>256817427641.90231</v>
      </c>
      <c r="E74" s="8">
        <f>regions!D52</f>
        <v>46292.736560813282</v>
      </c>
      <c r="F74" s="1">
        <f>regions!Z52</f>
        <v>7.5</v>
      </c>
      <c r="G74" s="8"/>
      <c r="H74" s="8"/>
      <c r="I74">
        <f t="shared" si="221"/>
        <v>0</v>
      </c>
      <c r="J74">
        <f t="shared" si="235"/>
        <v>0</v>
      </c>
      <c r="K74">
        <f t="shared" si="235"/>
        <v>0</v>
      </c>
      <c r="L74">
        <f t="shared" si="235"/>
        <v>0</v>
      </c>
      <c r="M74">
        <f t="shared" si="235"/>
        <v>0</v>
      </c>
      <c r="N74">
        <f t="shared" si="235"/>
        <v>0</v>
      </c>
      <c r="O74">
        <f t="shared" si="235"/>
        <v>0</v>
      </c>
      <c r="P74">
        <f t="shared" si="222"/>
        <v>-2.2500000000000003E-2</v>
      </c>
      <c r="Q74">
        <f t="shared" si="236"/>
        <v>-6.3999999999999994E-3</v>
      </c>
      <c r="R74">
        <f t="shared" si="236"/>
        <v>-1.3599999999999998E-2</v>
      </c>
      <c r="S74">
        <f t="shared" si="236"/>
        <v>-2.1599999999999998E-2</v>
      </c>
      <c r="T74">
        <f t="shared" si="236"/>
        <v>-3.04E-2</v>
      </c>
      <c r="U74">
        <f t="shared" si="236"/>
        <v>-3.9999999999999994E-2</v>
      </c>
      <c r="V74">
        <f t="shared" si="236"/>
        <v>-5.04E-2</v>
      </c>
      <c r="W74">
        <f t="shared" si="223"/>
        <v>-2.8125000000000001E-2</v>
      </c>
      <c r="X74">
        <f t="shared" si="237"/>
        <v>-7.9999999999999967E-3</v>
      </c>
      <c r="Y74">
        <f t="shared" si="237"/>
        <v>-1.6999999999999998E-2</v>
      </c>
      <c r="Z74">
        <f t="shared" si="237"/>
        <v>-2.7E-2</v>
      </c>
      <c r="AA74">
        <f t="shared" si="237"/>
        <v>-3.8000000000000006E-2</v>
      </c>
      <c r="AB74">
        <f t="shared" si="237"/>
        <v>-0.05</v>
      </c>
      <c r="AC74">
        <f t="shared" si="237"/>
        <v>-6.3E-2</v>
      </c>
      <c r="AD74">
        <f t="shared" si="224"/>
        <v>-2.548125E-2</v>
      </c>
      <c r="AE74">
        <f t="shared" si="238"/>
        <v>-7.248000000000001E-3</v>
      </c>
      <c r="AF74">
        <f t="shared" si="238"/>
        <v>-1.5402000000000002E-2</v>
      </c>
      <c r="AG74">
        <f t="shared" si="238"/>
        <v>-2.4462000000000001E-2</v>
      </c>
      <c r="AH74">
        <f t="shared" si="238"/>
        <v>-3.4428E-2</v>
      </c>
      <c r="AI74">
        <f t="shared" si="238"/>
        <v>-4.5300000000000007E-2</v>
      </c>
      <c r="AJ74">
        <f t="shared" si="238"/>
        <v>-5.7078000000000004E-2</v>
      </c>
      <c r="AK74">
        <f t="shared" si="225"/>
        <v>-2.8687500000000001E-2</v>
      </c>
      <c r="AL74">
        <f t="shared" si="239"/>
        <v>-8.1600000000000041E-3</v>
      </c>
      <c r="AM74">
        <f t="shared" si="239"/>
        <v>-1.7340000000000005E-2</v>
      </c>
      <c r="AN74">
        <f t="shared" si="239"/>
        <v>-2.7540000000000005E-2</v>
      </c>
      <c r="AO74">
        <f t="shared" si="239"/>
        <v>-3.8760000000000003E-2</v>
      </c>
      <c r="AP74">
        <f t="shared" si="239"/>
        <v>-5.1000000000000004E-2</v>
      </c>
      <c r="AQ74">
        <f t="shared" si="239"/>
        <v>-6.4259999999999998E-2</v>
      </c>
      <c r="AR74">
        <f t="shared" si="226"/>
        <v>-4.2806249999999997E-2</v>
      </c>
      <c r="AS74">
        <f t="shared" si="240"/>
        <v>-1.2175999999999999E-2</v>
      </c>
      <c r="AT74">
        <f t="shared" si="240"/>
        <v>-2.5874000000000001E-2</v>
      </c>
      <c r="AU74">
        <f t="shared" si="240"/>
        <v>-4.1093999999999999E-2</v>
      </c>
      <c r="AV74">
        <f t="shared" si="240"/>
        <v>-5.7835999999999992E-2</v>
      </c>
      <c r="AW74">
        <f t="shared" si="240"/>
        <v>-7.6100000000000001E-2</v>
      </c>
      <c r="AX74">
        <f t="shared" si="240"/>
        <v>-9.5885999999999999E-2</v>
      </c>
      <c r="AY74">
        <f t="shared" si="128"/>
        <v>-1.18125E-2</v>
      </c>
      <c r="AZ74">
        <f t="shared" si="228"/>
        <v>-3.3600000000000001E-3</v>
      </c>
      <c r="BA74">
        <f t="shared" si="228"/>
        <v>-7.1400000000000005E-3</v>
      </c>
      <c r="BB74">
        <f t="shared" si="228"/>
        <v>-1.1339999999999999E-2</v>
      </c>
      <c r="BC74">
        <f t="shared" si="228"/>
        <v>-1.5960000000000002E-2</v>
      </c>
      <c r="BD74">
        <f t="shared" si="228"/>
        <v>-2.1000000000000001E-2</v>
      </c>
      <c r="BE74">
        <f t="shared" si="228"/>
        <v>-2.6460000000000001E-2</v>
      </c>
      <c r="BF74">
        <f t="shared" si="130"/>
        <v>-1.40625E-2</v>
      </c>
      <c r="BG74">
        <f t="shared" si="229"/>
        <v>-3.9999999999999983E-3</v>
      </c>
      <c r="BH74">
        <f t="shared" si="229"/>
        <v>-8.4999999999999989E-3</v>
      </c>
      <c r="BI74">
        <f t="shared" si="229"/>
        <v>-1.35E-2</v>
      </c>
      <c r="BJ74">
        <f t="shared" si="229"/>
        <v>-1.9000000000000003E-2</v>
      </c>
      <c r="BK74">
        <f t="shared" si="229"/>
        <v>-2.5000000000000001E-2</v>
      </c>
      <c r="BL74">
        <f t="shared" si="229"/>
        <v>-3.15E-2</v>
      </c>
      <c r="BM74">
        <f t="shared" si="132"/>
        <v>-4.4437499999999998E-2</v>
      </c>
      <c r="BN74">
        <f t="shared" si="230"/>
        <v>-1.2640000000000005E-2</v>
      </c>
      <c r="BO74">
        <f t="shared" si="230"/>
        <v>-2.6860000000000002E-2</v>
      </c>
      <c r="BP74">
        <f t="shared" si="230"/>
        <v>-4.266000000000001E-2</v>
      </c>
      <c r="BQ74">
        <f t="shared" si="230"/>
        <v>-6.0040000000000003E-2</v>
      </c>
      <c r="BR74">
        <f t="shared" si="230"/>
        <v>-7.9000000000000015E-2</v>
      </c>
      <c r="BS74">
        <f t="shared" si="230"/>
        <v>-9.9540000000000017E-2</v>
      </c>
      <c r="BU74">
        <v>0.06</v>
      </c>
      <c r="BV74">
        <f t="shared" ref="BV74:CA74" si="277">1/CD47/CD47+1/$CC66/$CC66</f>
        <v>251953380.13169286</v>
      </c>
      <c r="BW74">
        <f t="shared" si="277"/>
        <v>250419718.31861091</v>
      </c>
      <c r="BX74">
        <f t="shared" si="277"/>
        <v>248043734.63993818</v>
      </c>
      <c r="BY74">
        <f t="shared" si="277"/>
        <v>245028624.75755239</v>
      </c>
      <c r="BZ74">
        <f t="shared" si="277"/>
        <v>241602282.47987181</v>
      </c>
      <c r="CA74">
        <f t="shared" si="277"/>
        <v>237977174.03189716</v>
      </c>
      <c r="CC74">
        <f t="shared" si="266"/>
        <v>192512717.30923378</v>
      </c>
      <c r="CS74">
        <f t="shared" si="267"/>
        <v>2091</v>
      </c>
      <c r="CT74">
        <f t="shared" si="268"/>
        <v>3.9400000000000026</v>
      </c>
      <c r="CU74">
        <f t="shared" si="269"/>
        <v>0.04</v>
      </c>
      <c r="CV74">
        <f t="shared" si="251"/>
        <v>-8.2619053374885544E-3</v>
      </c>
      <c r="CW74">
        <f t="shared" si="270"/>
        <v>0.69180955411250433</v>
      </c>
      <c r="CX74">
        <f t="shared" si="252"/>
        <v>-4.1468451734064354E-2</v>
      </c>
      <c r="CY74">
        <f t="shared" si="270"/>
        <v>0.23600629024178649</v>
      </c>
      <c r="CZ74">
        <f t="shared" si="253"/>
        <v>5.0341865721674053E-2</v>
      </c>
      <c r="DA74">
        <f t="shared" si="270"/>
        <v>5.49564395400742</v>
      </c>
      <c r="DB74">
        <f t="shared" si="255"/>
        <v>3.0325878779491874E-2</v>
      </c>
      <c r="DC74">
        <f t="shared" si="270"/>
        <v>2.8085517119682208</v>
      </c>
      <c r="DD74">
        <f t="shared" si="256"/>
        <v>-1.5772386024386929E-2</v>
      </c>
      <c r="DE74">
        <f t="shared" si="270"/>
        <v>0.5799826109460321</v>
      </c>
      <c r="DF74">
        <f t="shared" si="257"/>
        <v>4.0975762374190816E-2</v>
      </c>
      <c r="DG74">
        <f t="shared" si="270"/>
        <v>4.0182268205775173</v>
      </c>
      <c r="DH74">
        <f t="shared" si="258"/>
        <v>-0.19654458062330316</v>
      </c>
      <c r="DI74">
        <f t="shared" si="270"/>
        <v>7.4011723301297251E-4</v>
      </c>
      <c r="DJ74">
        <f t="shared" si="259"/>
        <v>-0.12974624164878476</v>
      </c>
      <c r="DK74">
        <f t="shared" si="270"/>
        <v>9.5611608465430223E-3</v>
      </c>
      <c r="DL74">
        <f t="shared" si="260"/>
        <v>9.3342708709875544E-2</v>
      </c>
      <c r="DM74">
        <f t="shared" si="271"/>
        <v>22.635951245768979</v>
      </c>
      <c r="DN74">
        <f t="shared" si="204"/>
        <v>-2.1445675554077902E-4</v>
      </c>
      <c r="DO74">
        <f t="shared" si="270"/>
        <v>0.98638573181045663</v>
      </c>
      <c r="DQ74">
        <f>(DQ78-DQ73)/5+DQ73</f>
        <v>-4.1068233422732199</v>
      </c>
      <c r="DR74">
        <f t="shared" si="261"/>
        <v>-2.5604963519533221E-4</v>
      </c>
      <c r="DS74">
        <f t="shared" si="262"/>
        <v>-3.6578519313618888E-4</v>
      </c>
      <c r="DT74">
        <f t="shared" si="272"/>
        <v>0.98120005652279063</v>
      </c>
      <c r="DU74">
        <f t="shared" si="263"/>
        <v>-1.8799943477209369</v>
      </c>
      <c r="DV74">
        <f t="shared" si="241"/>
        <v>-30.819044588749566</v>
      </c>
      <c r="DW74">
        <f t="shared" si="242"/>
        <v>-1.3614268189543366</v>
      </c>
      <c r="DY74">
        <f t="shared" si="243"/>
        <v>-99.925988276698703</v>
      </c>
      <c r="DZ74">
        <f t="shared" si="244"/>
        <v>-99.043883915345702</v>
      </c>
      <c r="EA74">
        <f t="shared" si="245"/>
        <v>-76.399370975821341</v>
      </c>
      <c r="EB74">
        <f t="shared" si="246"/>
        <v>-42.001738905396792</v>
      </c>
      <c r="EC74">
        <f t="shared" si="247"/>
        <v>-30.819044588749566</v>
      </c>
      <c r="ED74">
        <f t="shared" si="248"/>
        <v>180.85517119682208</v>
      </c>
      <c r="EE74">
        <f t="shared" si="249"/>
        <v>301.82268205775176</v>
      </c>
      <c r="EF74">
        <f t="shared" si="250"/>
        <v>449.564395400742</v>
      </c>
      <c r="EG74">
        <f t="shared" si="264"/>
        <v>2163.5951245768979</v>
      </c>
    </row>
    <row r="75" spans="2:137" x14ac:dyDescent="0.35">
      <c r="B75" t="s">
        <v>367</v>
      </c>
      <c r="C75" s="19">
        <f>regions!B53</f>
        <v>834036</v>
      </c>
      <c r="D75" s="19">
        <f>regions!C53</f>
        <v>905664174.69392717</v>
      </c>
      <c r="E75" s="8">
        <f>regions!D53</f>
        <v>1085.8813944409201</v>
      </c>
      <c r="F75" s="1">
        <f>regions!Z53</f>
        <v>28</v>
      </c>
      <c r="G75" s="8"/>
      <c r="H75" s="8"/>
      <c r="I75">
        <f t="shared" si="221"/>
        <v>-0.39032</v>
      </c>
      <c r="J75">
        <f t="shared" si="235"/>
        <v>-1.3939999999999952E-2</v>
      </c>
      <c r="K75">
        <f t="shared" si="235"/>
        <v>-2.787999999999996E-2</v>
      </c>
      <c r="L75">
        <f t="shared" si="235"/>
        <v>-4.1819999999999968E-2</v>
      </c>
      <c r="M75">
        <f t="shared" si="235"/>
        <v>-5.5759999999999976E-2</v>
      </c>
      <c r="N75">
        <f t="shared" si="235"/>
        <v>-6.9699999999999984E-2</v>
      </c>
      <c r="O75">
        <f t="shared" si="235"/>
        <v>-8.3639999999999992E-2</v>
      </c>
      <c r="P75">
        <f t="shared" si="222"/>
        <v>-0.31359999999999999</v>
      </c>
      <c r="Q75">
        <f t="shared" si="236"/>
        <v>-2.2800000000000042E-2</v>
      </c>
      <c r="R75">
        <f t="shared" si="236"/>
        <v>-4.6400000000000052E-2</v>
      </c>
      <c r="S75">
        <f t="shared" si="236"/>
        <v>-7.080000000000003E-2</v>
      </c>
      <c r="T75">
        <f t="shared" si="236"/>
        <v>-9.600000000000003E-2</v>
      </c>
      <c r="U75">
        <f t="shared" si="236"/>
        <v>-0.12200000000000005</v>
      </c>
      <c r="V75">
        <f t="shared" si="236"/>
        <v>-0.14880000000000004</v>
      </c>
      <c r="W75">
        <f t="shared" si="223"/>
        <v>-0.39200000000000002</v>
      </c>
      <c r="X75">
        <f t="shared" si="237"/>
        <v>-2.849999999999997E-2</v>
      </c>
      <c r="Y75">
        <f t="shared" si="237"/>
        <v>-5.7999999999999996E-2</v>
      </c>
      <c r="Z75">
        <f t="shared" si="237"/>
        <v>-8.8499999999999968E-2</v>
      </c>
      <c r="AA75">
        <f t="shared" si="237"/>
        <v>-0.12</v>
      </c>
      <c r="AB75">
        <f t="shared" si="237"/>
        <v>-0.15249999999999997</v>
      </c>
      <c r="AC75">
        <f t="shared" si="237"/>
        <v>-0.18599999999999994</v>
      </c>
      <c r="AD75">
        <f t="shared" si="224"/>
        <v>-0.35515200000000002</v>
      </c>
      <c r="AE75">
        <f t="shared" si="238"/>
        <v>-2.5820999999999983E-2</v>
      </c>
      <c r="AF75">
        <f t="shared" si="238"/>
        <v>-5.2547999999999984E-2</v>
      </c>
      <c r="AG75">
        <f t="shared" si="238"/>
        <v>-8.0181000000000002E-2</v>
      </c>
      <c r="AH75">
        <f t="shared" si="238"/>
        <v>-0.10871999999999998</v>
      </c>
      <c r="AI75">
        <f t="shared" si="238"/>
        <v>-0.13816499999999998</v>
      </c>
      <c r="AJ75">
        <f t="shared" si="238"/>
        <v>-0.168516</v>
      </c>
      <c r="AK75">
        <f t="shared" si="225"/>
        <v>-0.39984000000000003</v>
      </c>
      <c r="AL75">
        <f t="shared" si="239"/>
        <v>-2.9069999999999985E-2</v>
      </c>
      <c r="AM75">
        <f t="shared" si="239"/>
        <v>-5.915999999999999E-2</v>
      </c>
      <c r="AN75">
        <f t="shared" si="239"/>
        <v>-9.0270000000000017E-2</v>
      </c>
      <c r="AO75">
        <f t="shared" si="239"/>
        <v>-0.12240000000000001</v>
      </c>
      <c r="AP75">
        <f t="shared" si="239"/>
        <v>-0.15555000000000002</v>
      </c>
      <c r="AQ75">
        <f t="shared" si="239"/>
        <v>-0.18972000000000006</v>
      </c>
      <c r="AR75">
        <f t="shared" si="226"/>
        <v>-0.59662399999999993</v>
      </c>
      <c r="AS75">
        <f t="shared" si="240"/>
        <v>-4.3376999999999999E-2</v>
      </c>
      <c r="AT75">
        <f t="shared" si="240"/>
        <v>-8.8276000000000021E-2</v>
      </c>
      <c r="AU75">
        <f t="shared" si="240"/>
        <v>-0.13469700000000007</v>
      </c>
      <c r="AV75">
        <f t="shared" si="240"/>
        <v>-0.18264000000000002</v>
      </c>
      <c r="AW75">
        <f t="shared" si="240"/>
        <v>-0.23210500000000001</v>
      </c>
      <c r="AX75">
        <f t="shared" si="240"/>
        <v>-0.28309200000000001</v>
      </c>
      <c r="AY75">
        <f t="shared" si="128"/>
        <v>-0.16464000000000001</v>
      </c>
      <c r="AZ75">
        <f t="shared" si="228"/>
        <v>-1.1970000000000008E-2</v>
      </c>
      <c r="BA75">
        <f t="shared" si="228"/>
        <v>-2.4359999999999993E-2</v>
      </c>
      <c r="BB75">
        <f t="shared" si="228"/>
        <v>-3.7170000000000009E-2</v>
      </c>
      <c r="BC75">
        <f t="shared" si="228"/>
        <v>-5.04E-2</v>
      </c>
      <c r="BD75">
        <f t="shared" si="228"/>
        <v>-6.4049999999999996E-2</v>
      </c>
      <c r="BE75">
        <f t="shared" si="228"/>
        <v>-7.8119999999999995E-2</v>
      </c>
      <c r="BF75">
        <f t="shared" si="130"/>
        <v>-0.19600000000000001</v>
      </c>
      <c r="BG75">
        <f t="shared" ref="BG75:BL90" si="278">$D$21*($F75+BG$25)^2-$BF75</f>
        <v>-1.4249999999999985E-2</v>
      </c>
      <c r="BH75">
        <f t="shared" si="278"/>
        <v>-2.8999999999999998E-2</v>
      </c>
      <c r="BI75">
        <f t="shared" si="278"/>
        <v>-4.4249999999999984E-2</v>
      </c>
      <c r="BJ75">
        <f t="shared" si="278"/>
        <v>-0.06</v>
      </c>
      <c r="BK75">
        <f t="shared" si="278"/>
        <v>-7.6249999999999984E-2</v>
      </c>
      <c r="BL75">
        <f t="shared" si="278"/>
        <v>-9.2999999999999972E-2</v>
      </c>
      <c r="BM75">
        <f t="shared" si="132"/>
        <v>-0.61936000000000002</v>
      </c>
      <c r="BN75">
        <f t="shared" ref="BN75:BS90" si="279">$D$23*($F75+BN$25)^2-$BM75</f>
        <v>-4.5030000000000014E-2</v>
      </c>
      <c r="BO75">
        <f t="shared" si="279"/>
        <v>-9.1639999999999944E-2</v>
      </c>
      <c r="BP75">
        <f t="shared" si="279"/>
        <v>-0.13983000000000001</v>
      </c>
      <c r="BQ75">
        <f t="shared" si="279"/>
        <v>-0.18959999999999999</v>
      </c>
      <c r="BR75">
        <f t="shared" si="279"/>
        <v>-0.24095</v>
      </c>
      <c r="BS75">
        <f t="shared" si="279"/>
        <v>-0.29388000000000003</v>
      </c>
      <c r="CS75">
        <f t="shared" si="267"/>
        <v>2092</v>
      </c>
      <c r="CT75">
        <f t="shared" si="268"/>
        <v>3.9800000000000026</v>
      </c>
      <c r="CU75">
        <f t="shared" si="269"/>
        <v>0.04</v>
      </c>
      <c r="CV75">
        <f t="shared" si="251"/>
        <v>-8.349475864623368E-3</v>
      </c>
      <c r="CW75">
        <f t="shared" si="270"/>
        <v>0.68609388906485658</v>
      </c>
      <c r="CX75">
        <f t="shared" si="252"/>
        <v>-4.2228637084087688E-2</v>
      </c>
      <c r="CY75">
        <f t="shared" si="270"/>
        <v>0.22621947478595938</v>
      </c>
      <c r="CZ75">
        <f t="shared" si="253"/>
        <v>5.1264715435472785E-2</v>
      </c>
      <c r="DA75">
        <f t="shared" si="270"/>
        <v>5.7723049239941915</v>
      </c>
      <c r="DB75">
        <f t="shared" si="255"/>
        <v>3.0881802326447355E-2</v>
      </c>
      <c r="DC75">
        <f t="shared" si="270"/>
        <v>2.8937235107313031</v>
      </c>
      <c r="DD75">
        <f t="shared" si="256"/>
        <v>-1.6061519963303742E-2</v>
      </c>
      <c r="DE75">
        <f t="shared" si="270"/>
        <v>0.57083490131875947</v>
      </c>
      <c r="DF75">
        <f t="shared" si="257"/>
        <v>4.172691591285331E-2</v>
      </c>
      <c r="DG75">
        <f t="shared" si="270"/>
        <v>4.1828767279431025</v>
      </c>
      <c r="DH75">
        <f t="shared" si="258"/>
        <v>-0.20014756806480391</v>
      </c>
      <c r="DI75">
        <f t="shared" si="270"/>
        <v>5.9465120183835828E-4</v>
      </c>
      <c r="DJ75">
        <f t="shared" si="259"/>
        <v>-0.13212470498651704</v>
      </c>
      <c r="DK75">
        <f t="shared" si="270"/>
        <v>8.3206361609045511E-3</v>
      </c>
      <c r="DL75">
        <f t="shared" si="260"/>
        <v>9.5053835041473161E-2</v>
      </c>
      <c r="DM75">
        <f t="shared" si="271"/>
        <v>24.748852249273735</v>
      </c>
      <c r="DN75">
        <f t="shared" si="204"/>
        <v>-2.1509076874188772E-4</v>
      </c>
      <c r="DO75">
        <f t="shared" si="270"/>
        <v>0.98617419472670087</v>
      </c>
      <c r="DQ75">
        <f>(DQ78-DQ73)/5+DQ74</f>
        <v>-4.1712849972711759</v>
      </c>
      <c r="DR75">
        <f t="shared" si="261"/>
        <v>-2.5611521340229189E-4</v>
      </c>
      <c r="DS75">
        <f t="shared" si="262"/>
        <v>-3.658788762889884E-4</v>
      </c>
      <c r="DT75">
        <f t="shared" si="272"/>
        <v>0.98084114807061018</v>
      </c>
      <c r="DU75">
        <f t="shared" si="263"/>
        <v>-1.915885192938982</v>
      </c>
      <c r="DV75">
        <f t="shared" si="241"/>
        <v>-31.390611093514341</v>
      </c>
      <c r="DW75">
        <f t="shared" si="242"/>
        <v>-1.382580527329913</v>
      </c>
      <c r="DY75">
        <f t="shared" si="243"/>
        <v>-99.94053487981617</v>
      </c>
      <c r="DZ75">
        <f t="shared" si="244"/>
        <v>-99.167936383909549</v>
      </c>
      <c r="EA75">
        <f t="shared" si="245"/>
        <v>-77.378052521404058</v>
      </c>
      <c r="EB75">
        <f t="shared" si="246"/>
        <v>-42.916509868124052</v>
      </c>
      <c r="EC75">
        <f t="shared" si="247"/>
        <v>-31.390611093514341</v>
      </c>
      <c r="ED75">
        <f t="shared" si="248"/>
        <v>189.37235107313032</v>
      </c>
      <c r="EE75">
        <f t="shared" si="249"/>
        <v>318.28767279431025</v>
      </c>
      <c r="EF75">
        <f t="shared" si="250"/>
        <v>477.23049239941918</v>
      </c>
      <c r="EG75">
        <f t="shared" si="264"/>
        <v>2374.8852249273737</v>
      </c>
    </row>
    <row r="76" spans="2:137" x14ac:dyDescent="0.35">
      <c r="B76" t="s">
        <v>137</v>
      </c>
      <c r="C76" s="19">
        <f>regions!B54</f>
        <v>71167</v>
      </c>
      <c r="D76" s="19">
        <f>regions!C54</f>
        <v>452332573.93279916</v>
      </c>
      <c r="E76" s="8">
        <f>regions!D54</f>
        <v>6355.9314560512476</v>
      </c>
      <c r="F76" s="1">
        <f>regions!Z54</f>
        <v>22.3</v>
      </c>
      <c r="G76" s="8"/>
      <c r="H76" s="8"/>
      <c r="I76">
        <f t="shared" si="221"/>
        <v>0</v>
      </c>
      <c r="J76">
        <f t="shared" ref="J76:O85" si="280">IF($E76&lt;$E$24,$D$11*($F76+J$25)-$I76,0)</f>
        <v>0</v>
      </c>
      <c r="K76">
        <f t="shared" si="280"/>
        <v>0</v>
      </c>
      <c r="L76">
        <f t="shared" si="280"/>
        <v>0</v>
      </c>
      <c r="M76">
        <f t="shared" si="280"/>
        <v>0</v>
      </c>
      <c r="N76">
        <f t="shared" si="280"/>
        <v>0</v>
      </c>
      <c r="O76">
        <f t="shared" si="280"/>
        <v>0</v>
      </c>
      <c r="P76">
        <f t="shared" si="222"/>
        <v>-0.19891600000000001</v>
      </c>
      <c r="Q76">
        <f t="shared" ref="Q76:V85" si="281">$D$13*($F76+Q$25)^2-$P76</f>
        <v>-1.8240000000000006E-2</v>
      </c>
      <c r="R76">
        <f t="shared" si="281"/>
        <v>-3.7280000000000008E-2</v>
      </c>
      <c r="S76">
        <f t="shared" si="281"/>
        <v>-5.7120000000000032E-2</v>
      </c>
      <c r="T76">
        <f t="shared" si="281"/>
        <v>-7.7760000000000024E-2</v>
      </c>
      <c r="U76">
        <f t="shared" si="281"/>
        <v>-9.9200000000000038E-2</v>
      </c>
      <c r="V76">
        <f t="shared" si="281"/>
        <v>-0.12144000000000002</v>
      </c>
      <c r="W76">
        <f t="shared" si="223"/>
        <v>-0.248645</v>
      </c>
      <c r="X76">
        <f t="shared" ref="X76:AC85" si="282">$D$15*($F76+X$25)^2-$W76</f>
        <v>-2.2799999999999987E-2</v>
      </c>
      <c r="Y76">
        <f t="shared" si="282"/>
        <v>-4.660000000000003E-2</v>
      </c>
      <c r="Z76">
        <f t="shared" si="282"/>
        <v>-7.1400000000000019E-2</v>
      </c>
      <c r="AA76">
        <f t="shared" si="282"/>
        <v>-9.7200000000000009E-2</v>
      </c>
      <c r="AB76">
        <f t="shared" si="282"/>
        <v>-0.12400000000000005</v>
      </c>
      <c r="AC76">
        <f t="shared" si="282"/>
        <v>-0.15179999999999999</v>
      </c>
      <c r="AD76">
        <f t="shared" si="224"/>
        <v>-0.22527237</v>
      </c>
      <c r="AE76">
        <f t="shared" ref="AE76:AJ85" si="283">$D$10*($F76+AE$25)^2-$AD76</f>
        <v>-2.0656800000000003E-2</v>
      </c>
      <c r="AF76">
        <f t="shared" si="283"/>
        <v>-4.2219600000000024E-2</v>
      </c>
      <c r="AG76">
        <f t="shared" si="283"/>
        <v>-6.4688400000000035E-2</v>
      </c>
      <c r="AH76">
        <f t="shared" si="283"/>
        <v>-8.8063200000000008E-2</v>
      </c>
      <c r="AI76">
        <f t="shared" si="283"/>
        <v>-0.11234400000000005</v>
      </c>
      <c r="AJ76">
        <f t="shared" si="283"/>
        <v>-0.13753080000000001</v>
      </c>
      <c r="AK76">
        <f t="shared" si="225"/>
        <v>-0.25361790000000001</v>
      </c>
      <c r="AL76">
        <f t="shared" ref="AL76:AQ85" si="284">$D$17*($F76+AL$25)^2-$AK76</f>
        <v>-2.3255999999999999E-2</v>
      </c>
      <c r="AM76">
        <f t="shared" si="284"/>
        <v>-4.7532000000000019E-2</v>
      </c>
      <c r="AN76">
        <f t="shared" si="284"/>
        <v>-7.2828000000000059E-2</v>
      </c>
      <c r="AO76">
        <f t="shared" si="284"/>
        <v>-9.9144000000000065E-2</v>
      </c>
      <c r="AP76">
        <f t="shared" si="284"/>
        <v>-0.12648000000000004</v>
      </c>
      <c r="AQ76">
        <f t="shared" si="284"/>
        <v>-0.15483600000000003</v>
      </c>
      <c r="AR76">
        <f t="shared" si="226"/>
        <v>-0.37843768999999999</v>
      </c>
      <c r="AS76">
        <f t="shared" ref="AS76:AX85" si="285">$D$8*($F76+AS$25)^2-$AR76</f>
        <v>-3.4701599999999999E-2</v>
      </c>
      <c r="AT76">
        <f t="shared" si="285"/>
        <v>-7.0925199999999966E-2</v>
      </c>
      <c r="AU76">
        <f t="shared" si="285"/>
        <v>-0.10867080000000001</v>
      </c>
      <c r="AV76">
        <f t="shared" si="285"/>
        <v>-0.14793839999999997</v>
      </c>
      <c r="AW76">
        <f t="shared" si="285"/>
        <v>-0.18872800000000006</v>
      </c>
      <c r="AX76">
        <f t="shared" si="285"/>
        <v>-0.23103959999999996</v>
      </c>
      <c r="AY76">
        <f t="shared" si="128"/>
        <v>-0.10443090000000001</v>
      </c>
      <c r="AZ76">
        <f t="shared" si="228"/>
        <v>-9.5760000000000012E-3</v>
      </c>
      <c r="BA76">
        <f t="shared" si="228"/>
        <v>-1.9572000000000006E-2</v>
      </c>
      <c r="BB76">
        <f t="shared" si="228"/>
        <v>-2.9988000000000001E-2</v>
      </c>
      <c r="BC76">
        <f t="shared" si="228"/>
        <v>-4.0824000000000013E-2</v>
      </c>
      <c r="BD76">
        <f t="shared" si="228"/>
        <v>-5.2080000000000029E-2</v>
      </c>
      <c r="BE76">
        <f t="shared" si="228"/>
        <v>-6.3755999999999993E-2</v>
      </c>
      <c r="BF76">
        <f t="shared" si="130"/>
        <v>-0.1243225</v>
      </c>
      <c r="BG76">
        <f t="shared" si="278"/>
        <v>-1.1399999999999993E-2</v>
      </c>
      <c r="BH76">
        <f t="shared" si="278"/>
        <v>-2.3300000000000015E-2</v>
      </c>
      <c r="BI76">
        <f t="shared" si="278"/>
        <v>-3.570000000000001E-2</v>
      </c>
      <c r="BJ76">
        <f t="shared" si="278"/>
        <v>-4.8600000000000004E-2</v>
      </c>
      <c r="BK76">
        <f t="shared" si="278"/>
        <v>-6.2000000000000027E-2</v>
      </c>
      <c r="BL76">
        <f t="shared" si="278"/>
        <v>-7.5899999999999995E-2</v>
      </c>
      <c r="BM76">
        <f t="shared" si="132"/>
        <v>-0.39285910000000002</v>
      </c>
      <c r="BN76">
        <f t="shared" si="279"/>
        <v>-3.6024E-2</v>
      </c>
      <c r="BO76">
        <f t="shared" si="279"/>
        <v>-7.3627999999999971E-2</v>
      </c>
      <c r="BP76">
        <f t="shared" si="279"/>
        <v>-0.11281200000000002</v>
      </c>
      <c r="BQ76">
        <f t="shared" si="279"/>
        <v>-0.15357600000000005</v>
      </c>
      <c r="BR76">
        <f t="shared" si="279"/>
        <v>-0.19592000000000009</v>
      </c>
      <c r="BS76">
        <f t="shared" si="279"/>
        <v>-0.23984399999999995</v>
      </c>
      <c r="BU76" t="s">
        <v>733</v>
      </c>
      <c r="BV76">
        <v>1</v>
      </c>
      <c r="BW76">
        <v>2</v>
      </c>
      <c r="BX76">
        <v>3</v>
      </c>
      <c r="BY76">
        <v>4</v>
      </c>
      <c r="BZ76">
        <v>5</v>
      </c>
      <c r="CA76">
        <v>6</v>
      </c>
      <c r="CS76">
        <f t="shared" si="267"/>
        <v>2093</v>
      </c>
      <c r="CT76">
        <f t="shared" si="268"/>
        <v>4.0200000000000022</v>
      </c>
      <c r="CU76">
        <f t="shared" si="269"/>
        <v>0.04</v>
      </c>
      <c r="CV76">
        <f t="shared" si="251"/>
        <v>-8.4371206292574077E-3</v>
      </c>
      <c r="CW76">
        <f t="shared" si="270"/>
        <v>0.68036536469724396</v>
      </c>
      <c r="CX76">
        <f t="shared" si="252"/>
        <v>-4.2995640239940819E-2</v>
      </c>
      <c r="CY76">
        <f t="shared" si="270"/>
        <v>0.2166665346838702</v>
      </c>
      <c r="CZ76">
        <f t="shared" si="253"/>
        <v>5.2195841828319052E-2</v>
      </c>
      <c r="DA76">
        <f t="shared" si="270"/>
        <v>6.0682204933295321</v>
      </c>
      <c r="DB76">
        <f t="shared" si="255"/>
        <v>3.1442711734810502E-2</v>
      </c>
      <c r="DC76">
        <f t="shared" si="270"/>
        <v>2.9830869081771008</v>
      </c>
      <c r="DD76">
        <f t="shared" si="256"/>
        <v>-1.635324703171756E-2</v>
      </c>
      <c r="DE76">
        <f t="shared" si="270"/>
        <v>0.56166642515547771</v>
      </c>
      <c r="DF76">
        <f t="shared" si="257"/>
        <v>4.2484806254553129E-2</v>
      </c>
      <c r="DG76">
        <f t="shared" si="270"/>
        <v>4.3574152734438147</v>
      </c>
      <c r="DH76">
        <f t="shared" si="258"/>
        <v>-0.20378286929501765</v>
      </c>
      <c r="DI76">
        <f t="shared" si="270"/>
        <v>4.7563320994359798E-4</v>
      </c>
      <c r="DJ76">
        <f t="shared" si="259"/>
        <v>-0.13452449983400477</v>
      </c>
      <c r="DK76">
        <f t="shared" si="270"/>
        <v>7.2212745628448911E-3</v>
      </c>
      <c r="DL76">
        <f t="shared" si="260"/>
        <v>9.6780307797569395E-2</v>
      </c>
      <c r="DM76">
        <f t="shared" si="271"/>
        <v>27.101325568441993</v>
      </c>
      <c r="DN76">
        <f>BY$56*(5-CT76)+BZ$56*(CT76-4)</f>
        <v>-2.1569601966174378E-4</v>
      </c>
      <c r="DO76">
        <f t="shared" si="270"/>
        <v>0.98596207776104361</v>
      </c>
      <c r="DQ76">
        <f>(DQ78-DQ73)/5+DQ75</f>
        <v>-4.2357466522691318</v>
      </c>
      <c r="DR76">
        <f t="shared" si="261"/>
        <v>-2.5618082520900985E-4</v>
      </c>
      <c r="DS76">
        <f t="shared" si="262"/>
        <v>-3.6597260744144263E-4</v>
      </c>
      <c r="DT76">
        <f t="shared" si="272"/>
        <v>0.98048227901353602</v>
      </c>
      <c r="DU76">
        <f t="shared" si="263"/>
        <v>-1.9517720986463982</v>
      </c>
      <c r="DV76">
        <f t="shared" si="241"/>
        <v>-31.963463530275604</v>
      </c>
      <c r="DW76">
        <f t="shared" si="242"/>
        <v>-1.4037922238956391</v>
      </c>
      <c r="DY76">
        <f t="shared" si="243"/>
        <v>-99.952436679005643</v>
      </c>
      <c r="DZ76">
        <f t="shared" si="244"/>
        <v>-99.277872543715503</v>
      </c>
      <c r="EA76">
        <f t="shared" si="245"/>
        <v>-78.333346531612975</v>
      </c>
      <c r="EB76">
        <f t="shared" si="246"/>
        <v>-43.833357484452229</v>
      </c>
      <c r="EC76">
        <f t="shared" si="247"/>
        <v>-31.963463530275604</v>
      </c>
      <c r="ED76">
        <f t="shared" si="248"/>
        <v>198.30869081771007</v>
      </c>
      <c r="EE76">
        <f t="shared" si="249"/>
        <v>335.7415273443815</v>
      </c>
      <c r="EF76">
        <f t="shared" si="250"/>
        <v>506.82204933295321</v>
      </c>
      <c r="EG76">
        <f t="shared" si="264"/>
        <v>2610.1325568441994</v>
      </c>
    </row>
    <row r="77" spans="2:137" x14ac:dyDescent="0.35">
      <c r="B77" t="s">
        <v>220</v>
      </c>
      <c r="C77" s="19">
        <f>regions!B55</f>
        <v>10016797</v>
      </c>
      <c r="D77" s="19">
        <f>regions!C55</f>
        <v>47848657632.10955</v>
      </c>
      <c r="E77" s="8">
        <f>regions!D55</f>
        <v>4776.8421015330105</v>
      </c>
      <c r="F77" s="1">
        <f>regions!Z55</f>
        <v>24.5</v>
      </c>
      <c r="G77" s="8"/>
      <c r="H77" s="8"/>
      <c r="I77">
        <f t="shared" si="221"/>
        <v>0</v>
      </c>
      <c r="J77">
        <f t="shared" si="280"/>
        <v>0</v>
      </c>
      <c r="K77">
        <f t="shared" si="280"/>
        <v>0</v>
      </c>
      <c r="L77">
        <f t="shared" si="280"/>
        <v>0</v>
      </c>
      <c r="M77">
        <f t="shared" si="280"/>
        <v>0</v>
      </c>
      <c r="N77">
        <f t="shared" si="280"/>
        <v>0</v>
      </c>
      <c r="O77">
        <f t="shared" si="280"/>
        <v>0</v>
      </c>
      <c r="P77">
        <f t="shared" si="222"/>
        <v>-0.24010000000000001</v>
      </c>
      <c r="Q77">
        <f t="shared" si="281"/>
        <v>-1.999999999999999E-2</v>
      </c>
      <c r="R77">
        <f t="shared" si="281"/>
        <v>-4.0800000000000031E-2</v>
      </c>
      <c r="S77">
        <f t="shared" si="281"/>
        <v>-6.2399999999999983E-2</v>
      </c>
      <c r="T77">
        <f t="shared" si="281"/>
        <v>-8.4800000000000014E-2</v>
      </c>
      <c r="U77">
        <f t="shared" si="281"/>
        <v>-0.10800000000000001</v>
      </c>
      <c r="V77">
        <f t="shared" si="281"/>
        <v>-0.13200000000000003</v>
      </c>
      <c r="W77">
        <f t="shared" si="223"/>
        <v>-0.30012500000000003</v>
      </c>
      <c r="X77">
        <f t="shared" si="282"/>
        <v>-2.4999999999999967E-2</v>
      </c>
      <c r="Y77">
        <f t="shared" si="282"/>
        <v>-5.099999999999999E-2</v>
      </c>
      <c r="Z77">
        <f t="shared" si="282"/>
        <v>-7.7999999999999958E-2</v>
      </c>
      <c r="AA77">
        <f t="shared" si="282"/>
        <v>-0.10599999999999998</v>
      </c>
      <c r="AB77">
        <f t="shared" si="282"/>
        <v>-0.13499999999999995</v>
      </c>
      <c r="AC77">
        <f t="shared" si="282"/>
        <v>-0.16499999999999998</v>
      </c>
      <c r="AD77">
        <f t="shared" si="224"/>
        <v>-0.27191325</v>
      </c>
      <c r="AE77">
        <f t="shared" si="283"/>
        <v>-2.2650000000000003E-2</v>
      </c>
      <c r="AF77">
        <f t="shared" si="283"/>
        <v>-4.6206000000000025E-2</v>
      </c>
      <c r="AG77">
        <f t="shared" si="283"/>
        <v>-7.0668000000000009E-2</v>
      </c>
      <c r="AH77">
        <f t="shared" si="283"/>
        <v>-9.603600000000001E-2</v>
      </c>
      <c r="AI77">
        <f t="shared" si="283"/>
        <v>-0.12231000000000003</v>
      </c>
      <c r="AJ77">
        <f t="shared" si="283"/>
        <v>-0.14949000000000001</v>
      </c>
      <c r="AK77">
        <f t="shared" si="225"/>
        <v>-0.3061275</v>
      </c>
      <c r="AL77">
        <f t="shared" si="284"/>
        <v>-2.5500000000000023E-2</v>
      </c>
      <c r="AM77">
        <f t="shared" si="284"/>
        <v>-5.2020000000000011E-2</v>
      </c>
      <c r="AN77">
        <f t="shared" si="284"/>
        <v>-7.956000000000002E-2</v>
      </c>
      <c r="AO77">
        <f t="shared" si="284"/>
        <v>-0.10812000000000005</v>
      </c>
      <c r="AP77">
        <f t="shared" si="284"/>
        <v>-0.13770000000000004</v>
      </c>
      <c r="AQ77">
        <f t="shared" si="284"/>
        <v>-0.16830000000000006</v>
      </c>
      <c r="AR77">
        <f t="shared" si="226"/>
        <v>-0.45679024999999995</v>
      </c>
      <c r="AS77">
        <f t="shared" si="285"/>
        <v>-3.8050000000000028E-2</v>
      </c>
      <c r="AT77">
        <f t="shared" si="285"/>
        <v>-7.7621999999999969E-2</v>
      </c>
      <c r="AU77">
        <f t="shared" si="285"/>
        <v>-0.11871600000000004</v>
      </c>
      <c r="AV77">
        <f t="shared" si="285"/>
        <v>-0.16133200000000003</v>
      </c>
      <c r="AW77">
        <f t="shared" si="285"/>
        <v>-0.20547000000000004</v>
      </c>
      <c r="AX77">
        <f t="shared" si="285"/>
        <v>-0.25112999999999996</v>
      </c>
      <c r="AY77">
        <f t="shared" si="128"/>
        <v>-0.12605250000000001</v>
      </c>
      <c r="AZ77">
        <f t="shared" si="228"/>
        <v>-1.0499999999999982E-2</v>
      </c>
      <c r="BA77">
        <f t="shared" si="228"/>
        <v>-2.1419999999999995E-2</v>
      </c>
      <c r="BB77">
        <f t="shared" si="228"/>
        <v>-3.2759999999999984E-2</v>
      </c>
      <c r="BC77">
        <f t="shared" si="228"/>
        <v>-4.4520000000000004E-2</v>
      </c>
      <c r="BD77">
        <f t="shared" si="228"/>
        <v>-5.67E-2</v>
      </c>
      <c r="BE77">
        <f t="shared" si="228"/>
        <v>-6.93E-2</v>
      </c>
      <c r="BF77">
        <f t="shared" si="130"/>
        <v>-0.15006250000000002</v>
      </c>
      <c r="BG77">
        <f t="shared" si="278"/>
        <v>-1.2499999999999983E-2</v>
      </c>
      <c r="BH77">
        <f t="shared" si="278"/>
        <v>-2.5499999999999995E-2</v>
      </c>
      <c r="BI77">
        <f t="shared" si="278"/>
        <v>-3.8999999999999979E-2</v>
      </c>
      <c r="BJ77">
        <f t="shared" si="278"/>
        <v>-5.2999999999999992E-2</v>
      </c>
      <c r="BK77">
        <f t="shared" si="278"/>
        <v>-6.7499999999999977E-2</v>
      </c>
      <c r="BL77">
        <f t="shared" si="278"/>
        <v>-8.249999999999999E-2</v>
      </c>
      <c r="BM77">
        <f t="shared" si="132"/>
        <v>-0.47419749999999999</v>
      </c>
      <c r="BN77">
        <f t="shared" si="279"/>
        <v>-3.9500000000000035E-2</v>
      </c>
      <c r="BO77">
        <f t="shared" si="279"/>
        <v>-8.058000000000004E-2</v>
      </c>
      <c r="BP77">
        <f t="shared" si="279"/>
        <v>-0.12323999999999996</v>
      </c>
      <c r="BQ77">
        <f t="shared" si="279"/>
        <v>-0.16748000000000002</v>
      </c>
      <c r="BR77">
        <f t="shared" si="279"/>
        <v>-0.21329999999999999</v>
      </c>
      <c r="BS77">
        <f t="shared" si="279"/>
        <v>-0.26069999999999999</v>
      </c>
      <c r="BU77">
        <v>0.01</v>
      </c>
      <c r="BV77">
        <f>$BU77*$CC$77+BV$76*$BU77*$CC$78</f>
        <v>-4.3659274837064934E-5</v>
      </c>
      <c r="BW77">
        <f t="shared" ref="BW77:CA82" si="286">$BU77*$CC$77+BW$76*$BU77*$CC$78</f>
        <v>-4.7024875171791864E-5</v>
      </c>
      <c r="BX77">
        <f t="shared" si="286"/>
        <v>-5.0390475506518794E-5</v>
      </c>
      <c r="BY77">
        <f t="shared" si="286"/>
        <v>-5.3756075841245724E-5</v>
      </c>
      <c r="BZ77">
        <f t="shared" si="286"/>
        <v>-5.7121676175972653E-5</v>
      </c>
      <c r="CA77">
        <f t="shared" si="286"/>
        <v>-6.0487276510699583E-5</v>
      </c>
      <c r="CC77">
        <v>-4.0293674502338006E-3</v>
      </c>
      <c r="CS77">
        <f t="shared" si="267"/>
        <v>2094</v>
      </c>
      <c r="CT77">
        <f t="shared" si="268"/>
        <v>4.0600000000000023</v>
      </c>
      <c r="CU77">
        <f t="shared" si="269"/>
        <v>0.04</v>
      </c>
      <c r="CV77">
        <f t="shared" si="251"/>
        <v>-8.5248396313906804E-3</v>
      </c>
      <c r="CW77">
        <f t="shared" si="270"/>
        <v>0.67462504004332458</v>
      </c>
      <c r="CX77">
        <f t="shared" si="252"/>
        <v>-4.3769461201623762E-2</v>
      </c>
      <c r="CY77">
        <f t="shared" si="270"/>
        <v>0.20735081830656785</v>
      </c>
      <c r="CZ77">
        <f t="shared" si="253"/>
        <v>5.313524490021284E-2</v>
      </c>
      <c r="DA77">
        <f t="shared" si="270"/>
        <v>6.3849563703787249</v>
      </c>
      <c r="DB77">
        <f t="shared" si="255"/>
        <v>3.200860700458133E-2</v>
      </c>
      <c r="DC77">
        <f t="shared" si="270"/>
        <v>3.0768832499108001</v>
      </c>
      <c r="DD77">
        <f t="shared" si="256"/>
        <v>-1.6647567229628395E-2</v>
      </c>
      <c r="DE77">
        <f t="shared" si="270"/>
        <v>0.55248135535548848</v>
      </c>
      <c r="DF77">
        <f t="shared" si="257"/>
        <v>4.3249433399290278E-2</v>
      </c>
      <c r="DG77">
        <f t="shared" si="270"/>
        <v>4.5425392171067056</v>
      </c>
      <c r="DH77">
        <f t="shared" si="258"/>
        <v>-0.20745048431394444</v>
      </c>
      <c r="DI77">
        <f t="shared" si="270"/>
        <v>3.7870730968929205E-4</v>
      </c>
      <c r="DJ77">
        <f t="shared" si="259"/>
        <v>-0.13694562619124798</v>
      </c>
      <c r="DK77">
        <f t="shared" si="270"/>
        <v>6.2498362141141612E-3</v>
      </c>
      <c r="DL77">
        <f t="shared" si="260"/>
        <v>9.8522126978164287E-2</v>
      </c>
      <c r="DM77">
        <f t="shared" si="271"/>
        <v>29.724200198677945</v>
      </c>
      <c r="DN77">
        <f t="shared" ref="DN77:DN83" si="287">BY$56*(5-CT77)+BZ$56*(CT77-4)</f>
        <v>-2.1627250830034725E-4</v>
      </c>
      <c r="DO77">
        <f t="shared" si="270"/>
        <v>0.98574940966533309</v>
      </c>
      <c r="DQ77">
        <f>(DQ78-DQ73)/5+DQ76</f>
        <v>-4.3002083072670878</v>
      </c>
      <c r="DR77">
        <f t="shared" si="261"/>
        <v>-2.5624647064131917E-4</v>
      </c>
      <c r="DS77">
        <f t="shared" si="262"/>
        <v>-3.6606638663045596E-4</v>
      </c>
      <c r="DT77">
        <f t="shared" si="272"/>
        <v>0.98012344935733531</v>
      </c>
      <c r="DU77">
        <f t="shared" si="263"/>
        <v>-1.9876550642664692</v>
      </c>
      <c r="DV77">
        <f t="shared" si="241"/>
        <v>-32.537495995667541</v>
      </c>
      <c r="DW77">
        <f t="shared" si="242"/>
        <v>-1.4250590334666913</v>
      </c>
      <c r="DY77">
        <f t="shared" si="243"/>
        <v>-99.962129269031081</v>
      </c>
      <c r="DZ77">
        <f t="shared" si="244"/>
        <v>-99.375016378588583</v>
      </c>
      <c r="EA77">
        <f t="shared" si="245"/>
        <v>-79.264918169343218</v>
      </c>
      <c r="EB77">
        <f t="shared" si="246"/>
        <v>-44.751864464451153</v>
      </c>
      <c r="EC77">
        <f t="shared" si="247"/>
        <v>-32.537495995667541</v>
      </c>
      <c r="ED77">
        <f t="shared" si="248"/>
        <v>207.68832499108001</v>
      </c>
      <c r="EE77">
        <f t="shared" si="249"/>
        <v>354.25392171067057</v>
      </c>
      <c r="EF77">
        <f t="shared" si="250"/>
        <v>538.49563703787248</v>
      </c>
      <c r="EG77">
        <f t="shared" si="264"/>
        <v>2872.4200198677945</v>
      </c>
    </row>
    <row r="78" spans="2:137" x14ac:dyDescent="0.35">
      <c r="B78" t="s">
        <v>138</v>
      </c>
      <c r="C78" s="19">
        <f>regions!B56</f>
        <v>15001072</v>
      </c>
      <c r="D78" s="19">
        <f>regions!C56</f>
        <v>48764673104.869774</v>
      </c>
      <c r="E78" s="8">
        <f>regions!D56</f>
        <v>3250.7458870185928</v>
      </c>
      <c r="F78" s="1">
        <f>regions!Z56</f>
        <v>21.8</v>
      </c>
      <c r="G78" s="8"/>
      <c r="H78" s="8"/>
      <c r="I78">
        <f t="shared" si="221"/>
        <v>-0.303892</v>
      </c>
      <c r="J78">
        <f t="shared" si="280"/>
        <v>-1.3940000000000008E-2</v>
      </c>
      <c r="K78">
        <f t="shared" si="280"/>
        <v>-2.7880000000000016E-2</v>
      </c>
      <c r="L78">
        <f t="shared" si="280"/>
        <v>-4.1820000000000024E-2</v>
      </c>
      <c r="M78">
        <f t="shared" si="280"/>
        <v>-5.5759999999999976E-2</v>
      </c>
      <c r="N78">
        <f t="shared" si="280"/>
        <v>-6.9699999999999984E-2</v>
      </c>
      <c r="O78">
        <f t="shared" si="280"/>
        <v>-8.3639999999999992E-2</v>
      </c>
      <c r="P78">
        <f t="shared" si="222"/>
        <v>-0.19009600000000001</v>
      </c>
      <c r="Q78">
        <f t="shared" si="281"/>
        <v>-1.7839999999999995E-2</v>
      </c>
      <c r="R78">
        <f t="shared" si="281"/>
        <v>-3.6480000000000012E-2</v>
      </c>
      <c r="S78">
        <f t="shared" si="281"/>
        <v>-5.5920000000000025E-2</v>
      </c>
      <c r="T78">
        <f t="shared" si="281"/>
        <v>-7.6159999999999978E-2</v>
      </c>
      <c r="U78">
        <f t="shared" si="281"/>
        <v>-9.7199999999999981E-2</v>
      </c>
      <c r="V78">
        <f t="shared" si="281"/>
        <v>-0.11904000000000001</v>
      </c>
      <c r="W78">
        <f t="shared" si="223"/>
        <v>-0.23762</v>
      </c>
      <c r="X78">
        <f t="shared" si="282"/>
        <v>-2.2300000000000042E-2</v>
      </c>
      <c r="Y78">
        <f t="shared" si="282"/>
        <v>-4.5600000000000029E-2</v>
      </c>
      <c r="Z78">
        <f t="shared" si="282"/>
        <v>-6.9900000000000073E-2</v>
      </c>
      <c r="AA78">
        <f t="shared" si="282"/>
        <v>-9.5200000000000007E-2</v>
      </c>
      <c r="AB78">
        <f t="shared" si="282"/>
        <v>-0.1215</v>
      </c>
      <c r="AC78">
        <f t="shared" si="282"/>
        <v>-0.14880000000000004</v>
      </c>
      <c r="AD78">
        <f t="shared" si="224"/>
        <v>-0.21528372000000001</v>
      </c>
      <c r="AE78">
        <f t="shared" si="283"/>
        <v>-2.0203799999999994E-2</v>
      </c>
      <c r="AF78">
        <f t="shared" si="283"/>
        <v>-4.1313600000000006E-2</v>
      </c>
      <c r="AG78">
        <f t="shared" si="283"/>
        <v>-6.3329400000000036E-2</v>
      </c>
      <c r="AH78">
        <f t="shared" si="283"/>
        <v>-8.6251199999999972E-2</v>
      </c>
      <c r="AI78">
        <f t="shared" si="283"/>
        <v>-0.11007899999999998</v>
      </c>
      <c r="AJ78">
        <f t="shared" si="283"/>
        <v>-0.13481280000000001</v>
      </c>
      <c r="AK78">
        <f t="shared" si="225"/>
        <v>-0.24237240000000002</v>
      </c>
      <c r="AL78">
        <f t="shared" si="284"/>
        <v>-2.2746000000000016E-2</v>
      </c>
      <c r="AM78">
        <f t="shared" si="284"/>
        <v>-4.6512000000000026E-2</v>
      </c>
      <c r="AN78">
        <f t="shared" si="284"/>
        <v>-7.1298000000000056E-2</v>
      </c>
      <c r="AO78">
        <f t="shared" si="284"/>
        <v>-9.7103999999999996E-2</v>
      </c>
      <c r="AP78">
        <f t="shared" si="284"/>
        <v>-0.12393000000000001</v>
      </c>
      <c r="AQ78">
        <f t="shared" si="284"/>
        <v>-0.15177600000000005</v>
      </c>
      <c r="AR78">
        <f t="shared" si="226"/>
        <v>-0.36165764</v>
      </c>
      <c r="AS78">
        <f t="shared" si="285"/>
        <v>-3.3940599999999987E-2</v>
      </c>
      <c r="AT78">
        <f t="shared" si="285"/>
        <v>-6.9403199999999998E-2</v>
      </c>
      <c r="AU78">
        <f t="shared" si="285"/>
        <v>-0.10638780000000003</v>
      </c>
      <c r="AV78">
        <f t="shared" si="285"/>
        <v>-0.14489439999999998</v>
      </c>
      <c r="AW78">
        <f t="shared" si="285"/>
        <v>-0.18492299999999995</v>
      </c>
      <c r="AX78">
        <f t="shared" si="285"/>
        <v>-0.22647359999999994</v>
      </c>
      <c r="AY78">
        <f t="shared" si="128"/>
        <v>-9.9800400000000011E-2</v>
      </c>
      <c r="AZ78">
        <f t="shared" si="228"/>
        <v>-9.3659999999999993E-3</v>
      </c>
      <c r="BA78">
        <f t="shared" si="228"/>
        <v>-1.9152000000000002E-2</v>
      </c>
      <c r="BB78">
        <f t="shared" si="228"/>
        <v>-2.9358000000000023E-2</v>
      </c>
      <c r="BC78">
        <f t="shared" si="228"/>
        <v>-3.9983999999999992E-2</v>
      </c>
      <c r="BD78">
        <f t="shared" si="228"/>
        <v>-5.1029999999999992E-2</v>
      </c>
      <c r="BE78">
        <f t="shared" si="228"/>
        <v>-6.2495999999999996E-2</v>
      </c>
      <c r="BF78">
        <f t="shared" si="130"/>
        <v>-0.11881</v>
      </c>
      <c r="BG78">
        <f t="shared" si="278"/>
        <v>-1.1150000000000021E-2</v>
      </c>
      <c r="BH78">
        <f t="shared" si="278"/>
        <v>-2.2800000000000015E-2</v>
      </c>
      <c r="BI78">
        <f t="shared" si="278"/>
        <v>-3.4950000000000037E-2</v>
      </c>
      <c r="BJ78">
        <f t="shared" si="278"/>
        <v>-4.7600000000000003E-2</v>
      </c>
      <c r="BK78">
        <f t="shared" si="278"/>
        <v>-6.0749999999999998E-2</v>
      </c>
      <c r="BL78">
        <f t="shared" si="278"/>
        <v>-7.4400000000000022E-2</v>
      </c>
      <c r="BM78">
        <f t="shared" si="132"/>
        <v>-0.37543960000000004</v>
      </c>
      <c r="BN78">
        <f t="shared" si="279"/>
        <v>-3.5233999999999988E-2</v>
      </c>
      <c r="BO78">
        <f t="shared" si="279"/>
        <v>-7.2048000000000001E-2</v>
      </c>
      <c r="BP78">
        <f t="shared" si="279"/>
        <v>-0.11044200000000004</v>
      </c>
      <c r="BQ78">
        <f t="shared" si="279"/>
        <v>-0.15041599999999994</v>
      </c>
      <c r="BR78">
        <f t="shared" si="279"/>
        <v>-0.19197000000000003</v>
      </c>
      <c r="BS78">
        <f t="shared" si="279"/>
        <v>-0.23510400000000004</v>
      </c>
      <c r="BU78">
        <v>0.02</v>
      </c>
      <c r="BV78">
        <f t="shared" ref="BV78:BV82" si="288">$BU78*$CC$77+BV$76*$BU78*$CC$78</f>
        <v>-8.7318549674129868E-5</v>
      </c>
      <c r="BW78">
        <f t="shared" si="286"/>
        <v>-9.4049750343583728E-5</v>
      </c>
      <c r="BX78">
        <f t="shared" si="286"/>
        <v>-1.0078095101303759E-4</v>
      </c>
      <c r="BY78">
        <f t="shared" si="286"/>
        <v>-1.0751215168249145E-4</v>
      </c>
      <c r="BZ78">
        <f t="shared" si="286"/>
        <v>-1.1424335235194531E-4</v>
      </c>
      <c r="CA78">
        <f t="shared" si="286"/>
        <v>-1.2097455302139917E-4</v>
      </c>
      <c r="CC78">
        <v>-3.3656003347269295E-4</v>
      </c>
      <c r="CS78">
        <f t="shared" si="267"/>
        <v>2095</v>
      </c>
      <c r="CT78">
        <f t="shared" si="268"/>
        <v>4.1000000000000023</v>
      </c>
      <c r="CU78">
        <f t="shared" si="269"/>
        <v>0.04</v>
      </c>
      <c r="CV78">
        <f t="shared" si="251"/>
        <v>-8.6126328710231827E-3</v>
      </c>
      <c r="CW78">
        <f t="shared" si="270"/>
        <v>0.66887396976563473</v>
      </c>
      <c r="CX78">
        <f t="shared" si="252"/>
        <v>-4.4550099969136524E-2</v>
      </c>
      <c r="CY78">
        <f t="shared" si="270"/>
        <v>0.19827518470957359</v>
      </c>
      <c r="CZ78">
        <f t="shared" si="253"/>
        <v>5.4082924651154163E-2</v>
      </c>
      <c r="DA78">
        <f t="shared" si="270"/>
        <v>6.7242225907959732</v>
      </c>
      <c r="DB78">
        <f t="shared" si="255"/>
        <v>3.2579488135759831E-2</v>
      </c>
      <c r="DC78">
        <f t="shared" si="270"/>
        <v>3.1753699966561739</v>
      </c>
      <c r="DD78">
        <f t="shared" si="256"/>
        <v>-1.6944480557036245E-2</v>
      </c>
      <c r="DE78">
        <f t="shared" si="270"/>
        <v>0.54328388484909185</v>
      </c>
      <c r="DF78">
        <f t="shared" si="257"/>
        <v>4.4020797347064773E-2</v>
      </c>
      <c r="DG78">
        <f t="shared" si="270"/>
        <v>4.7390014644406264</v>
      </c>
      <c r="DH78">
        <f t="shared" si="258"/>
        <v>-0.21115041312158431</v>
      </c>
      <c r="DI78">
        <f t="shared" si="270"/>
        <v>3.0014429488101746E-4</v>
      </c>
      <c r="DJ78">
        <f t="shared" si="259"/>
        <v>-0.13938808405824663</v>
      </c>
      <c r="DK78">
        <f t="shared" si="270"/>
        <v>5.3939484801795593E-3</v>
      </c>
      <c r="DL78">
        <f t="shared" si="260"/>
        <v>0.10027929258325782</v>
      </c>
      <c r="DM78">
        <f t="shared" si="271"/>
        <v>32.65269162497647</v>
      </c>
      <c r="DN78">
        <f t="shared" si="287"/>
        <v>-2.168489969389507E-4</v>
      </c>
      <c r="DO78">
        <f t="shared" si="270"/>
        <v>0.9855362191679492</v>
      </c>
      <c r="DP78">
        <f>graph!A64</f>
        <v>4.1000000000000014</v>
      </c>
      <c r="DQ78">
        <f>DS1*graph!B64</f>
        <v>-4.3646699622650447</v>
      </c>
      <c r="DR78">
        <f t="shared" si="261"/>
        <v>-2.6622311670348282E-4</v>
      </c>
      <c r="DS78">
        <f t="shared" si="262"/>
        <v>-3.8031873814783261E-4</v>
      </c>
      <c r="DT78">
        <f t="shared" si="272"/>
        <v>0.97976465910777721</v>
      </c>
      <c r="DU78">
        <f t="shared" si="263"/>
        <v>-2.0235340892222786</v>
      </c>
      <c r="DV78">
        <f t="shared" si="241"/>
        <v>-33.112603023436527</v>
      </c>
      <c r="DW78">
        <f t="shared" si="242"/>
        <v>-1.4463780832050799</v>
      </c>
      <c r="DY78">
        <f t="shared" si="243"/>
        <v>-99.969985570511895</v>
      </c>
      <c r="DZ78">
        <f t="shared" si="244"/>
        <v>-99.460605151982037</v>
      </c>
      <c r="EA78">
        <f t="shared" si="245"/>
        <v>-80.172481529042642</v>
      </c>
      <c r="EB78">
        <f t="shared" si="246"/>
        <v>-45.671611515090817</v>
      </c>
      <c r="EC78">
        <f t="shared" si="247"/>
        <v>-33.112603023436527</v>
      </c>
      <c r="ED78">
        <f t="shared" si="248"/>
        <v>217.5369996656174</v>
      </c>
      <c r="EE78">
        <f t="shared" si="249"/>
        <v>373.90014644406267</v>
      </c>
      <c r="EF78">
        <f t="shared" si="250"/>
        <v>572.42225907959732</v>
      </c>
      <c r="EG78">
        <f t="shared" si="264"/>
        <v>3165.2691624976469</v>
      </c>
    </row>
    <row r="79" spans="2:137" x14ac:dyDescent="0.35">
      <c r="B79" t="s">
        <v>139</v>
      </c>
      <c r="C79" s="19">
        <f>regions!B57</f>
        <v>78075705</v>
      </c>
      <c r="D79" s="19">
        <f>regions!C57</f>
        <v>121036124473.08067</v>
      </c>
      <c r="E79" s="8">
        <f>regions!D57</f>
        <v>1550.2405578416574</v>
      </c>
      <c r="F79" s="1">
        <f>regions!Z57</f>
        <v>22.1</v>
      </c>
      <c r="G79" s="8"/>
      <c r="H79" s="8"/>
      <c r="I79">
        <f t="shared" si="221"/>
        <v>-0.30807400000000001</v>
      </c>
      <c r="J79">
        <f t="shared" si="280"/>
        <v>-1.3940000000000008E-2</v>
      </c>
      <c r="K79">
        <f t="shared" si="280"/>
        <v>-2.787999999999996E-2</v>
      </c>
      <c r="L79">
        <f t="shared" si="280"/>
        <v>-4.1819999999999968E-2</v>
      </c>
      <c r="M79">
        <f t="shared" si="280"/>
        <v>-5.5759999999999976E-2</v>
      </c>
      <c r="N79">
        <f t="shared" si="280"/>
        <v>-6.9699999999999984E-2</v>
      </c>
      <c r="O79">
        <f t="shared" si="280"/>
        <v>-8.3639999999999992E-2</v>
      </c>
      <c r="P79">
        <f t="shared" si="222"/>
        <v>-0.19536400000000004</v>
      </c>
      <c r="Q79">
        <f t="shared" si="281"/>
        <v>-1.8079999999999985E-2</v>
      </c>
      <c r="R79">
        <f t="shared" si="281"/>
        <v>-3.6959999999999993E-2</v>
      </c>
      <c r="S79">
        <f t="shared" si="281"/>
        <v>-5.6640000000000024E-2</v>
      </c>
      <c r="T79">
        <f t="shared" si="281"/>
        <v>-7.7119999999999966E-2</v>
      </c>
      <c r="U79">
        <f t="shared" si="281"/>
        <v>-9.8399999999999987E-2</v>
      </c>
      <c r="V79">
        <f t="shared" si="281"/>
        <v>-0.12048000000000003</v>
      </c>
      <c r="W79">
        <f t="shared" si="223"/>
        <v>-0.24420500000000003</v>
      </c>
      <c r="X79">
        <f t="shared" si="282"/>
        <v>-2.2599999999999981E-2</v>
      </c>
      <c r="Y79">
        <f t="shared" si="282"/>
        <v>-4.6199999999999991E-2</v>
      </c>
      <c r="Z79">
        <f t="shared" si="282"/>
        <v>-7.0800000000000002E-2</v>
      </c>
      <c r="AA79">
        <f t="shared" si="282"/>
        <v>-9.6400000000000013E-2</v>
      </c>
      <c r="AB79">
        <f t="shared" si="282"/>
        <v>-0.12300000000000003</v>
      </c>
      <c r="AC79">
        <f t="shared" si="282"/>
        <v>-0.15060000000000004</v>
      </c>
      <c r="AD79">
        <f t="shared" si="224"/>
        <v>-0.22124973000000003</v>
      </c>
      <c r="AE79">
        <f t="shared" si="283"/>
        <v>-2.0475599999999983E-2</v>
      </c>
      <c r="AF79">
        <f t="shared" si="283"/>
        <v>-4.1857199999999983E-2</v>
      </c>
      <c r="AG79">
        <f t="shared" si="283"/>
        <v>-6.4144800000000002E-2</v>
      </c>
      <c r="AH79">
        <f t="shared" si="283"/>
        <v>-8.7338399999999983E-2</v>
      </c>
      <c r="AI79">
        <f t="shared" si="283"/>
        <v>-0.11143799999999998</v>
      </c>
      <c r="AJ79">
        <f t="shared" si="283"/>
        <v>-0.13644360000000005</v>
      </c>
      <c r="AK79">
        <f t="shared" si="225"/>
        <v>-0.24908910000000006</v>
      </c>
      <c r="AL79">
        <f t="shared" si="284"/>
        <v>-2.3051999999999961E-2</v>
      </c>
      <c r="AM79">
        <f t="shared" si="284"/>
        <v>-4.7123999999999999E-2</v>
      </c>
      <c r="AN79">
        <f t="shared" si="284"/>
        <v>-7.2216000000000002E-2</v>
      </c>
      <c r="AO79">
        <f t="shared" si="284"/>
        <v>-9.8327999999999971E-2</v>
      </c>
      <c r="AP79">
        <f t="shared" si="284"/>
        <v>-0.12546000000000002</v>
      </c>
      <c r="AQ79">
        <f t="shared" si="284"/>
        <v>-0.15361200000000003</v>
      </c>
      <c r="AR79">
        <f t="shared" si="226"/>
        <v>-0.37168001000000006</v>
      </c>
      <c r="AS79">
        <f t="shared" si="285"/>
        <v>-3.4397199999999906E-2</v>
      </c>
      <c r="AT79">
        <f t="shared" si="285"/>
        <v>-7.0316399999999946E-2</v>
      </c>
      <c r="AU79">
        <f t="shared" si="285"/>
        <v>-0.10775760000000001</v>
      </c>
      <c r="AV79">
        <f t="shared" si="285"/>
        <v>-0.14672079999999998</v>
      </c>
      <c r="AW79">
        <f t="shared" si="285"/>
        <v>-0.18720599999999998</v>
      </c>
      <c r="AX79">
        <f t="shared" si="285"/>
        <v>-0.22921320000000001</v>
      </c>
      <c r="AY79">
        <f t="shared" si="128"/>
        <v>-0.10256610000000002</v>
      </c>
      <c r="AZ79">
        <f t="shared" si="228"/>
        <v>-9.4919999999999866E-3</v>
      </c>
      <c r="BA79">
        <f t="shared" si="228"/>
        <v>-1.9403999999999991E-2</v>
      </c>
      <c r="BB79">
        <f t="shared" si="228"/>
        <v>-2.9736000000000012E-2</v>
      </c>
      <c r="BC79">
        <f t="shared" si="228"/>
        <v>-4.0487999999999996E-2</v>
      </c>
      <c r="BD79">
        <f t="shared" si="228"/>
        <v>-5.1660000000000011E-2</v>
      </c>
      <c r="BE79">
        <f t="shared" si="228"/>
        <v>-6.3252000000000003E-2</v>
      </c>
      <c r="BF79">
        <f t="shared" si="130"/>
        <v>-0.12210250000000002</v>
      </c>
      <c r="BG79">
        <f t="shared" si="278"/>
        <v>-1.1299999999999991E-2</v>
      </c>
      <c r="BH79">
        <f t="shared" si="278"/>
        <v>-2.3099999999999996E-2</v>
      </c>
      <c r="BI79">
        <f t="shared" si="278"/>
        <v>-3.5400000000000001E-2</v>
      </c>
      <c r="BJ79">
        <f t="shared" si="278"/>
        <v>-4.8200000000000007E-2</v>
      </c>
      <c r="BK79">
        <f t="shared" si="278"/>
        <v>-6.1500000000000013E-2</v>
      </c>
      <c r="BL79">
        <f t="shared" si="278"/>
        <v>-7.530000000000002E-2</v>
      </c>
      <c r="BM79">
        <f t="shared" si="132"/>
        <v>-0.38584390000000007</v>
      </c>
      <c r="BN79">
        <f t="shared" si="279"/>
        <v>-3.5707999999999962E-2</v>
      </c>
      <c r="BO79">
        <f t="shared" si="279"/>
        <v>-7.2996000000000005E-2</v>
      </c>
      <c r="BP79">
        <f t="shared" si="279"/>
        <v>-0.11186400000000002</v>
      </c>
      <c r="BQ79">
        <f t="shared" si="279"/>
        <v>-0.15231199999999995</v>
      </c>
      <c r="BR79">
        <f t="shared" si="279"/>
        <v>-0.19434000000000001</v>
      </c>
      <c r="BS79">
        <f t="shared" si="279"/>
        <v>-0.23794799999999999</v>
      </c>
      <c r="BU79">
        <v>0.03</v>
      </c>
      <c r="BV79">
        <f t="shared" si="288"/>
        <v>-1.3097782451119481E-4</v>
      </c>
      <c r="BW79">
        <f t="shared" si="286"/>
        <v>-1.4107462551537559E-4</v>
      </c>
      <c r="BX79">
        <f t="shared" si="286"/>
        <v>-1.5117142651955637E-4</v>
      </c>
      <c r="BY79">
        <f t="shared" si="286"/>
        <v>-1.6126822752373716E-4</v>
      </c>
      <c r="BZ79">
        <f t="shared" si="286"/>
        <v>-1.7136502852791797E-4</v>
      </c>
      <c r="CA79">
        <f t="shared" si="286"/>
        <v>-1.8146182953209875E-4</v>
      </c>
      <c r="CS79">
        <f t="shared" si="267"/>
        <v>2096</v>
      </c>
      <c r="CT79">
        <f t="shared" si="268"/>
        <v>4.1400000000000023</v>
      </c>
      <c r="CU79">
        <f t="shared" si="269"/>
        <v>0.04</v>
      </c>
      <c r="CV79">
        <f t="shared" si="251"/>
        <v>-8.7005003481549145E-3</v>
      </c>
      <c r="CW79">
        <f t="shared" si="270"/>
        <v>0.66311320382705941</v>
      </c>
      <c r="CX79">
        <f t="shared" si="252"/>
        <v>-4.5337556542479077E-2</v>
      </c>
      <c r="CY79">
        <f t="shared" si="270"/>
        <v>0.18944200540936307</v>
      </c>
      <c r="CZ79">
        <f t="shared" si="253"/>
        <v>5.5038881081142993E-2</v>
      </c>
      <c r="DA79">
        <f t="shared" si="270"/>
        <v>7.0878882145115796</v>
      </c>
      <c r="DB79">
        <f t="shared" si="255"/>
        <v>3.3155355128345998E-2</v>
      </c>
      <c r="DC79">
        <f t="shared" si="270"/>
        <v>3.2788219257888813</v>
      </c>
      <c r="DD79">
        <f t="shared" si="256"/>
        <v>-1.7243987013941101E-2</v>
      </c>
      <c r="DE79">
        <f t="shared" si="270"/>
        <v>0.53407822162531526</v>
      </c>
      <c r="DF79">
        <f t="shared" si="257"/>
        <v>4.4798898097876586E-2</v>
      </c>
      <c r="DG79">
        <f t="shared" si="270"/>
        <v>4.9476160875342101</v>
      </c>
      <c r="DH79">
        <f t="shared" si="258"/>
        <v>-0.21488265571793713</v>
      </c>
      <c r="DI79">
        <f t="shared" si="270"/>
        <v>2.36768703020804E-4</v>
      </c>
      <c r="DJ79">
        <f t="shared" si="259"/>
        <v>-0.14185187343500072</v>
      </c>
      <c r="DK79">
        <f t="shared" si="270"/>
        <v>4.6420963360184388E-3</v>
      </c>
      <c r="DL79">
        <f t="shared" si="260"/>
        <v>0.10205180461284999</v>
      </c>
      <c r="DM79">
        <f t="shared" si="271"/>
        <v>35.92708044206838</v>
      </c>
      <c r="DN79">
        <f t="shared" si="287"/>
        <v>-2.1742548557755417E-4</v>
      </c>
      <c r="DO79">
        <f t="shared" si="270"/>
        <v>0.98532250662737564</v>
      </c>
      <c r="DQ79">
        <f>(DQ83-DQ78)/5+DQ78</f>
        <v>-4.4316241925652022</v>
      </c>
      <c r="DR79">
        <f t="shared" si="261"/>
        <v>-2.6629401032487104E-4</v>
      </c>
      <c r="DS79">
        <f t="shared" si="262"/>
        <v>-3.8042001474981576E-4</v>
      </c>
      <c r="DT79">
        <f t="shared" si="272"/>
        <v>0.97939203624894355</v>
      </c>
      <c r="DU79">
        <f t="shared" si="263"/>
        <v>-2.0607963751056446</v>
      </c>
      <c r="DV79">
        <f t="shared" si="241"/>
        <v>-33.688679617294056</v>
      </c>
      <c r="DW79">
        <f t="shared" si="242"/>
        <v>-1.4677493372624362</v>
      </c>
      <c r="DY79">
        <f t="shared" si="243"/>
        <v>-99.976323129697917</v>
      </c>
      <c r="DZ79">
        <f t="shared" si="244"/>
        <v>-99.53579036639816</v>
      </c>
      <c r="EA79">
        <f t="shared" si="245"/>
        <v>-81.055799459063692</v>
      </c>
      <c r="EB79">
        <f t="shared" si="246"/>
        <v>-46.592177837468476</v>
      </c>
      <c r="EC79">
        <f t="shared" si="247"/>
        <v>-33.688679617294056</v>
      </c>
      <c r="ED79">
        <f t="shared" si="248"/>
        <v>227.88219257888812</v>
      </c>
      <c r="EE79">
        <f t="shared" si="249"/>
        <v>394.761608753421</v>
      </c>
      <c r="EF79">
        <f t="shared" si="250"/>
        <v>608.7888214511579</v>
      </c>
      <c r="EG79">
        <f t="shared" si="264"/>
        <v>3492.7080442068382</v>
      </c>
    </row>
    <row r="80" spans="2:137" x14ac:dyDescent="0.35">
      <c r="B80" t="s">
        <v>140</v>
      </c>
      <c r="C80" s="19">
        <f>regions!B58</f>
        <v>6218195</v>
      </c>
      <c r="D80" s="19">
        <f>regions!C58</f>
        <v>18341273339.874924</v>
      </c>
      <c r="E80" s="8">
        <f>regions!D58</f>
        <v>2949.613728722712</v>
      </c>
      <c r="F80" s="1">
        <f>regions!Z58</f>
        <v>24.4</v>
      </c>
      <c r="G80" s="8"/>
      <c r="H80" s="8"/>
      <c r="I80">
        <f t="shared" si="221"/>
        <v>-0.34013599999999994</v>
      </c>
      <c r="J80">
        <f t="shared" si="280"/>
        <v>-1.3940000000000008E-2</v>
      </c>
      <c r="K80">
        <f t="shared" si="280"/>
        <v>-2.7880000000000016E-2</v>
      </c>
      <c r="L80">
        <f t="shared" si="280"/>
        <v>-4.1820000000000024E-2</v>
      </c>
      <c r="M80">
        <f t="shared" si="280"/>
        <v>-5.5760000000000032E-2</v>
      </c>
      <c r="N80">
        <f t="shared" si="280"/>
        <v>-6.970000000000004E-2</v>
      </c>
      <c r="O80">
        <f t="shared" si="280"/>
        <v>-8.3639999999999992E-2</v>
      </c>
      <c r="P80">
        <f t="shared" si="222"/>
        <v>-0.23814399999999997</v>
      </c>
      <c r="Q80">
        <f t="shared" si="281"/>
        <v>-1.9920000000000049E-2</v>
      </c>
      <c r="R80">
        <f t="shared" si="281"/>
        <v>-4.0640000000000009E-2</v>
      </c>
      <c r="S80">
        <f t="shared" si="281"/>
        <v>-6.2159999999999993E-2</v>
      </c>
      <c r="T80">
        <f t="shared" si="281"/>
        <v>-8.448E-2</v>
      </c>
      <c r="U80">
        <f t="shared" si="281"/>
        <v>-0.10760000000000003</v>
      </c>
      <c r="V80">
        <f t="shared" si="281"/>
        <v>-0.13152000000000003</v>
      </c>
      <c r="W80">
        <f t="shared" si="223"/>
        <v>-0.29767999999999994</v>
      </c>
      <c r="X80">
        <f t="shared" si="282"/>
        <v>-2.4900000000000033E-2</v>
      </c>
      <c r="Y80">
        <f t="shared" si="282"/>
        <v>-5.0800000000000012E-2</v>
      </c>
      <c r="Z80">
        <f t="shared" si="282"/>
        <v>-7.7699999999999991E-2</v>
      </c>
      <c r="AA80">
        <f t="shared" si="282"/>
        <v>-0.10560000000000003</v>
      </c>
      <c r="AB80">
        <f t="shared" si="282"/>
        <v>-0.13450000000000001</v>
      </c>
      <c r="AC80">
        <f t="shared" si="282"/>
        <v>-0.16440000000000005</v>
      </c>
      <c r="AD80">
        <f t="shared" si="224"/>
        <v>-0.26969807999999995</v>
      </c>
      <c r="AE80">
        <f t="shared" si="283"/>
        <v>-2.2559400000000063E-2</v>
      </c>
      <c r="AF80">
        <f t="shared" si="283"/>
        <v>-4.6024800000000032E-2</v>
      </c>
      <c r="AG80">
        <f t="shared" si="283"/>
        <v>-7.039620000000002E-2</v>
      </c>
      <c r="AH80">
        <f t="shared" si="283"/>
        <v>-9.5673600000000025E-2</v>
      </c>
      <c r="AI80">
        <f t="shared" si="283"/>
        <v>-0.12185699999999999</v>
      </c>
      <c r="AJ80">
        <f t="shared" si="283"/>
        <v>-0.14894640000000003</v>
      </c>
      <c r="AK80">
        <f t="shared" si="225"/>
        <v>-0.30363359999999995</v>
      </c>
      <c r="AL80">
        <f t="shared" si="284"/>
        <v>-2.5398000000000032E-2</v>
      </c>
      <c r="AM80">
        <f t="shared" si="284"/>
        <v>-5.1816000000000029E-2</v>
      </c>
      <c r="AN80">
        <f t="shared" si="284"/>
        <v>-7.9253999999999991E-2</v>
      </c>
      <c r="AO80">
        <f t="shared" si="284"/>
        <v>-0.10771200000000003</v>
      </c>
      <c r="AP80">
        <f t="shared" si="284"/>
        <v>-0.13719000000000003</v>
      </c>
      <c r="AQ80">
        <f t="shared" si="284"/>
        <v>-0.16768800000000006</v>
      </c>
      <c r="AR80">
        <f t="shared" si="226"/>
        <v>-0.45306895999999991</v>
      </c>
      <c r="AS80">
        <f t="shared" si="285"/>
        <v>-3.7897800000000037E-2</v>
      </c>
      <c r="AT80">
        <f t="shared" si="285"/>
        <v>-7.7317600000000042E-2</v>
      </c>
      <c r="AU80">
        <f t="shared" si="285"/>
        <v>-0.11825939999999996</v>
      </c>
      <c r="AV80">
        <f t="shared" si="285"/>
        <v>-0.16072320000000001</v>
      </c>
      <c r="AW80">
        <f t="shared" si="285"/>
        <v>-0.20470899999999997</v>
      </c>
      <c r="AX80">
        <f t="shared" si="285"/>
        <v>-0.25021680000000007</v>
      </c>
      <c r="AY80">
        <f t="shared" si="128"/>
        <v>-0.12502559999999999</v>
      </c>
      <c r="AZ80">
        <f t="shared" si="228"/>
        <v>-1.0458000000000023E-2</v>
      </c>
      <c r="BA80">
        <f t="shared" si="228"/>
        <v>-2.1335999999999994E-2</v>
      </c>
      <c r="BB80">
        <f t="shared" si="228"/>
        <v>-3.2633999999999996E-2</v>
      </c>
      <c r="BC80">
        <f t="shared" si="228"/>
        <v>-4.4352000000000003E-2</v>
      </c>
      <c r="BD80">
        <f t="shared" si="228"/>
        <v>-5.6490000000000012E-2</v>
      </c>
      <c r="BE80">
        <f t="shared" si="228"/>
        <v>-6.9048000000000026E-2</v>
      </c>
      <c r="BF80">
        <f t="shared" si="130"/>
        <v>-0.14883999999999997</v>
      </c>
      <c r="BG80">
        <f t="shared" si="278"/>
        <v>-1.2450000000000017E-2</v>
      </c>
      <c r="BH80">
        <f t="shared" si="278"/>
        <v>-2.5400000000000006E-2</v>
      </c>
      <c r="BI80">
        <f t="shared" si="278"/>
        <v>-3.8849999999999996E-2</v>
      </c>
      <c r="BJ80">
        <f t="shared" si="278"/>
        <v>-5.2800000000000014E-2</v>
      </c>
      <c r="BK80">
        <f t="shared" si="278"/>
        <v>-6.7250000000000004E-2</v>
      </c>
      <c r="BL80">
        <f t="shared" si="278"/>
        <v>-8.2200000000000023E-2</v>
      </c>
      <c r="BM80">
        <f t="shared" si="132"/>
        <v>-0.47033439999999993</v>
      </c>
      <c r="BN80">
        <f t="shared" si="279"/>
        <v>-3.9342000000000099E-2</v>
      </c>
      <c r="BO80">
        <f t="shared" si="279"/>
        <v>-8.0264000000000002E-2</v>
      </c>
      <c r="BP80">
        <f t="shared" si="279"/>
        <v>-0.12276599999999993</v>
      </c>
      <c r="BQ80">
        <f t="shared" si="279"/>
        <v>-0.166848</v>
      </c>
      <c r="BR80">
        <f t="shared" si="279"/>
        <v>-0.21250999999999998</v>
      </c>
      <c r="BS80">
        <f t="shared" si="279"/>
        <v>-0.25975200000000009</v>
      </c>
      <c r="BU80">
        <v>0.04</v>
      </c>
      <c r="BV80">
        <f t="shared" si="288"/>
        <v>-1.7463709934825974E-4</v>
      </c>
      <c r="BW80">
        <f t="shared" si="286"/>
        <v>-1.8809950068716746E-4</v>
      </c>
      <c r="BX80">
        <f t="shared" si="286"/>
        <v>-2.0156190202607518E-4</v>
      </c>
      <c r="BY80">
        <f t="shared" si="286"/>
        <v>-2.1502430336498289E-4</v>
      </c>
      <c r="BZ80">
        <f t="shared" si="286"/>
        <v>-2.2848670470389061E-4</v>
      </c>
      <c r="CA80">
        <f t="shared" si="286"/>
        <v>-2.4194910604279833E-4</v>
      </c>
      <c r="CC80" s="9">
        <f>SUM(BV84:CA89)</f>
        <v>3.5020646739406381E-10</v>
      </c>
      <c r="CS80">
        <f t="shared" si="267"/>
        <v>2097</v>
      </c>
      <c r="CT80">
        <f t="shared" si="268"/>
        <v>4.1800000000000024</v>
      </c>
      <c r="CU80">
        <f t="shared" si="269"/>
        <v>0.04</v>
      </c>
      <c r="CV80">
        <f t="shared" si="251"/>
        <v>-8.7884420627858794E-3</v>
      </c>
      <c r="CW80">
        <f t="shared" si="270"/>
        <v>0.65734378716629593</v>
      </c>
      <c r="CX80">
        <f t="shared" si="252"/>
        <v>-4.6131830921651434E-2</v>
      </c>
      <c r="CY80">
        <f t="shared" si="270"/>
        <v>0.18085316777759544</v>
      </c>
      <c r="CZ80">
        <f t="shared" si="253"/>
        <v>5.6003114190179351E-2</v>
      </c>
      <c r="DA80">
        <f t="shared" si="270"/>
        <v>7.4779976510665183</v>
      </c>
      <c r="DB80">
        <f t="shared" si="255"/>
        <v>3.3736207982339839E-2</v>
      </c>
      <c r="DC80">
        <f t="shared" si="270"/>
        <v>3.3875324311410195</v>
      </c>
      <c r="DD80">
        <f t="shared" si="256"/>
        <v>-1.7546086600342972E-2</v>
      </c>
      <c r="DE80">
        <f t="shared" si="270"/>
        <v>0.52486858370717959</v>
      </c>
      <c r="DF80">
        <f t="shared" si="257"/>
        <v>4.5583735651725736E-2</v>
      </c>
      <c r="DG80">
        <f t="shared" si="270"/>
        <v>5.1692638364670707</v>
      </c>
      <c r="DH80">
        <f t="shared" si="258"/>
        <v>-0.21864721210300292</v>
      </c>
      <c r="DI80">
        <f t="shared" si="270"/>
        <v>1.8589121532480208E-4</v>
      </c>
      <c r="DJ80">
        <f t="shared" si="259"/>
        <v>-0.14433699432151023</v>
      </c>
      <c r="DK80">
        <f t="shared" si="270"/>
        <v>3.9836062740884704E-3</v>
      </c>
      <c r="DL80">
        <f t="shared" si="260"/>
        <v>0.10383966306694077</v>
      </c>
      <c r="DM80">
        <f t="shared" si="271"/>
        <v>39.593503835652491</v>
      </c>
      <c r="DN80">
        <f t="shared" si="287"/>
        <v>-2.1800197421615764E-4</v>
      </c>
      <c r="DO80">
        <f t="shared" si="270"/>
        <v>0.98510827240292165</v>
      </c>
      <c r="DQ80">
        <f>(DQ83-DQ78)/5+DQ79</f>
        <v>-4.4985784228653598</v>
      </c>
      <c r="DR80">
        <f t="shared" si="261"/>
        <v>-2.6636494171340983E-4</v>
      </c>
      <c r="DS80">
        <f t="shared" si="262"/>
        <v>-3.8052134530487122E-4</v>
      </c>
      <c r="DT80">
        <f t="shared" si="272"/>
        <v>0.97901945591606787</v>
      </c>
      <c r="DU80">
        <f t="shared" si="263"/>
        <v>-2.0980544083932129</v>
      </c>
      <c r="DV80">
        <f t="shared" si="241"/>
        <v>-34.265621283370407</v>
      </c>
      <c r="DW80">
        <f t="shared" si="242"/>
        <v>-1.4891727597078352</v>
      </c>
      <c r="DY80">
        <f t="shared" si="243"/>
        <v>-99.981410878467528</v>
      </c>
      <c r="DZ80">
        <f t="shared" si="244"/>
        <v>-99.601639372591151</v>
      </c>
      <c r="EA80">
        <f t="shared" si="245"/>
        <v>-81.914683222240456</v>
      </c>
      <c r="EB80">
        <f t="shared" si="246"/>
        <v>-47.513141629282039</v>
      </c>
      <c r="EC80">
        <f t="shared" si="247"/>
        <v>-34.265621283370407</v>
      </c>
      <c r="ED80">
        <f t="shared" si="248"/>
        <v>238.75324311410196</v>
      </c>
      <c r="EE80">
        <f t="shared" si="249"/>
        <v>416.92638364670705</v>
      </c>
      <c r="EF80">
        <f t="shared" si="250"/>
        <v>647.79976510665188</v>
      </c>
      <c r="EG80">
        <f t="shared" si="264"/>
        <v>3859.3503835652491</v>
      </c>
    </row>
    <row r="81" spans="2:137" x14ac:dyDescent="0.35">
      <c r="B81" t="s">
        <v>368</v>
      </c>
      <c r="C81" s="19">
        <f>regions!B59</f>
        <v>696167</v>
      </c>
      <c r="D81" s="19">
        <f>regions!C59</f>
        <v>8071655046.0093536</v>
      </c>
      <c r="E81" s="8">
        <f>regions!D59</f>
        <v>11594.42353057435</v>
      </c>
      <c r="F81" s="1">
        <f>regions!Z59</f>
        <v>24.5</v>
      </c>
      <c r="G81" s="8"/>
      <c r="H81" s="8"/>
      <c r="I81">
        <f t="shared" si="221"/>
        <v>0</v>
      </c>
      <c r="J81">
        <f t="shared" si="280"/>
        <v>0</v>
      </c>
      <c r="K81">
        <f t="shared" si="280"/>
        <v>0</v>
      </c>
      <c r="L81">
        <f t="shared" si="280"/>
        <v>0</v>
      </c>
      <c r="M81">
        <f t="shared" si="280"/>
        <v>0</v>
      </c>
      <c r="N81">
        <f t="shared" si="280"/>
        <v>0</v>
      </c>
      <c r="O81">
        <f t="shared" si="280"/>
        <v>0</v>
      </c>
      <c r="P81">
        <f t="shared" si="222"/>
        <v>-0.24010000000000001</v>
      </c>
      <c r="Q81">
        <f t="shared" si="281"/>
        <v>-1.999999999999999E-2</v>
      </c>
      <c r="R81">
        <f t="shared" si="281"/>
        <v>-4.0800000000000031E-2</v>
      </c>
      <c r="S81">
        <f t="shared" si="281"/>
        <v>-6.2399999999999983E-2</v>
      </c>
      <c r="T81">
        <f t="shared" si="281"/>
        <v>-8.4800000000000014E-2</v>
      </c>
      <c r="U81">
        <f t="shared" si="281"/>
        <v>-0.10800000000000001</v>
      </c>
      <c r="V81">
        <f t="shared" si="281"/>
        <v>-0.13200000000000003</v>
      </c>
      <c r="W81">
        <f t="shared" si="223"/>
        <v>-0.30012500000000003</v>
      </c>
      <c r="X81">
        <f t="shared" si="282"/>
        <v>-2.4999999999999967E-2</v>
      </c>
      <c r="Y81">
        <f t="shared" si="282"/>
        <v>-5.099999999999999E-2</v>
      </c>
      <c r="Z81">
        <f t="shared" si="282"/>
        <v>-7.7999999999999958E-2</v>
      </c>
      <c r="AA81">
        <f t="shared" si="282"/>
        <v>-0.10599999999999998</v>
      </c>
      <c r="AB81">
        <f t="shared" si="282"/>
        <v>-0.13499999999999995</v>
      </c>
      <c r="AC81">
        <f t="shared" si="282"/>
        <v>-0.16499999999999998</v>
      </c>
      <c r="AD81">
        <f t="shared" si="224"/>
        <v>-0.27191325</v>
      </c>
      <c r="AE81">
        <f t="shared" si="283"/>
        <v>-2.2650000000000003E-2</v>
      </c>
      <c r="AF81">
        <f t="shared" si="283"/>
        <v>-4.6206000000000025E-2</v>
      </c>
      <c r="AG81">
        <f t="shared" si="283"/>
        <v>-7.0668000000000009E-2</v>
      </c>
      <c r="AH81">
        <f t="shared" si="283"/>
        <v>-9.603600000000001E-2</v>
      </c>
      <c r="AI81">
        <f t="shared" si="283"/>
        <v>-0.12231000000000003</v>
      </c>
      <c r="AJ81">
        <f t="shared" si="283"/>
        <v>-0.14949000000000001</v>
      </c>
      <c r="AK81">
        <f t="shared" si="225"/>
        <v>-0.3061275</v>
      </c>
      <c r="AL81">
        <f t="shared" si="284"/>
        <v>-2.5500000000000023E-2</v>
      </c>
      <c r="AM81">
        <f t="shared" si="284"/>
        <v>-5.2020000000000011E-2</v>
      </c>
      <c r="AN81">
        <f t="shared" si="284"/>
        <v>-7.956000000000002E-2</v>
      </c>
      <c r="AO81">
        <f t="shared" si="284"/>
        <v>-0.10812000000000005</v>
      </c>
      <c r="AP81">
        <f t="shared" si="284"/>
        <v>-0.13770000000000004</v>
      </c>
      <c r="AQ81">
        <f t="shared" si="284"/>
        <v>-0.16830000000000006</v>
      </c>
      <c r="AR81">
        <f t="shared" si="226"/>
        <v>-0.45679024999999995</v>
      </c>
      <c r="AS81">
        <f t="shared" si="285"/>
        <v>-3.8050000000000028E-2</v>
      </c>
      <c r="AT81">
        <f t="shared" si="285"/>
        <v>-7.7621999999999969E-2</v>
      </c>
      <c r="AU81">
        <f t="shared" si="285"/>
        <v>-0.11871600000000004</v>
      </c>
      <c r="AV81">
        <f t="shared" si="285"/>
        <v>-0.16133200000000003</v>
      </c>
      <c r="AW81">
        <f t="shared" si="285"/>
        <v>-0.20547000000000004</v>
      </c>
      <c r="AX81">
        <f t="shared" si="285"/>
        <v>-0.25112999999999996</v>
      </c>
      <c r="AY81">
        <f t="shared" si="128"/>
        <v>-0.12605250000000001</v>
      </c>
      <c r="AZ81">
        <f t="shared" si="228"/>
        <v>-1.0499999999999982E-2</v>
      </c>
      <c r="BA81">
        <f t="shared" si="228"/>
        <v>-2.1419999999999995E-2</v>
      </c>
      <c r="BB81">
        <f t="shared" si="228"/>
        <v>-3.2759999999999984E-2</v>
      </c>
      <c r="BC81">
        <f t="shared" si="228"/>
        <v>-4.4520000000000004E-2</v>
      </c>
      <c r="BD81">
        <f t="shared" si="228"/>
        <v>-5.67E-2</v>
      </c>
      <c r="BE81">
        <f t="shared" si="228"/>
        <v>-6.93E-2</v>
      </c>
      <c r="BF81">
        <f t="shared" si="130"/>
        <v>-0.15006250000000002</v>
      </c>
      <c r="BG81">
        <f t="shared" si="278"/>
        <v>-1.2499999999999983E-2</v>
      </c>
      <c r="BH81">
        <f t="shared" si="278"/>
        <v>-2.5499999999999995E-2</v>
      </c>
      <c r="BI81">
        <f t="shared" si="278"/>
        <v>-3.8999999999999979E-2</v>
      </c>
      <c r="BJ81">
        <f t="shared" si="278"/>
        <v>-5.2999999999999992E-2</v>
      </c>
      <c r="BK81">
        <f t="shared" si="278"/>
        <v>-6.7499999999999977E-2</v>
      </c>
      <c r="BL81">
        <f t="shared" si="278"/>
        <v>-8.249999999999999E-2</v>
      </c>
      <c r="BM81">
        <f t="shared" si="132"/>
        <v>-0.47419749999999999</v>
      </c>
      <c r="BN81">
        <f t="shared" si="279"/>
        <v>-3.9500000000000035E-2</v>
      </c>
      <c r="BO81">
        <f t="shared" si="279"/>
        <v>-8.058000000000004E-2</v>
      </c>
      <c r="BP81">
        <f t="shared" si="279"/>
        <v>-0.12323999999999996</v>
      </c>
      <c r="BQ81">
        <f t="shared" si="279"/>
        <v>-0.16748000000000002</v>
      </c>
      <c r="BR81">
        <f t="shared" si="279"/>
        <v>-0.21329999999999999</v>
      </c>
      <c r="BS81">
        <f t="shared" si="279"/>
        <v>-0.26069999999999999</v>
      </c>
      <c r="BU81">
        <v>0.05</v>
      </c>
      <c r="BV81">
        <f t="shared" si="288"/>
        <v>-2.1829637418532469E-4</v>
      </c>
      <c r="BW81">
        <f t="shared" si="286"/>
        <v>-2.3512437585895932E-4</v>
      </c>
      <c r="BX81">
        <f t="shared" si="286"/>
        <v>-2.51952377532594E-4</v>
      </c>
      <c r="BY81">
        <f t="shared" si="286"/>
        <v>-2.6878037920622863E-4</v>
      </c>
      <c r="BZ81">
        <f t="shared" si="286"/>
        <v>-2.8560838087986326E-4</v>
      </c>
      <c r="CA81">
        <f t="shared" si="286"/>
        <v>-3.0243638255349794E-4</v>
      </c>
      <c r="CS81">
        <f t="shared" si="267"/>
        <v>2098</v>
      </c>
      <c r="CT81">
        <f t="shared" si="268"/>
        <v>4.2200000000000024</v>
      </c>
      <c r="CU81">
        <f t="shared" si="269"/>
        <v>0.04</v>
      </c>
      <c r="CV81">
        <f t="shared" si="251"/>
        <v>-8.8764580149160738E-3</v>
      </c>
      <c r="CW81">
        <f t="shared" si="270"/>
        <v>0.65156675937745268</v>
      </c>
      <c r="CX81">
        <f t="shared" si="252"/>
        <v>-4.6932923106653604E-2</v>
      </c>
      <c r="CY81">
        <f t="shared" si="270"/>
        <v>0.17251008002003435</v>
      </c>
      <c r="CZ81">
        <f t="shared" si="253"/>
        <v>5.6975623978263237E-2</v>
      </c>
      <c r="DA81">
        <f t="shared" si="270"/>
        <v>7.8967888074330892</v>
      </c>
      <c r="DB81">
        <f t="shared" si="255"/>
        <v>3.432204669774136E-2</v>
      </c>
      <c r="DC81">
        <f t="shared" si="270"/>
        <v>3.5018149297849139</v>
      </c>
      <c r="DD81">
        <f t="shared" si="256"/>
        <v>-1.7850779316241856E-2</v>
      </c>
      <c r="DE81">
        <f t="shared" si="270"/>
        <v>0.51565919408365402</v>
      </c>
      <c r="DF81">
        <f t="shared" si="257"/>
        <v>4.6375310008612225E-2</v>
      </c>
      <c r="DG81">
        <f t="shared" si="270"/>
        <v>5.4048981927026114</v>
      </c>
      <c r="DH81">
        <f t="shared" si="258"/>
        <v>-0.22244408227678181</v>
      </c>
      <c r="DI81">
        <f t="shared" si="270"/>
        <v>1.452466193395951E-4</v>
      </c>
      <c r="DJ81">
        <f t="shared" si="259"/>
        <v>-0.14684344671777522</v>
      </c>
      <c r="DK81">
        <f t="shared" si="270"/>
        <v>3.4086245179262304E-3</v>
      </c>
      <c r="DL81">
        <f t="shared" si="260"/>
        <v>0.10564286794553021</v>
      </c>
      <c r="DM81">
        <f t="shared" si="271"/>
        <v>43.70487993358627</v>
      </c>
      <c r="DN81">
        <f t="shared" si="287"/>
        <v>-2.1857846285476109E-4</v>
      </c>
      <c r="DO81">
        <f t="shared" si="270"/>
        <v>0.98489351685472115</v>
      </c>
      <c r="DQ81">
        <f>(DQ83-DQ78)/5+DQ80</f>
        <v>-4.5655326531655174</v>
      </c>
      <c r="DR81">
        <f t="shared" si="261"/>
        <v>-2.6643591089928686E-4</v>
      </c>
      <c r="DS81">
        <f t="shared" si="262"/>
        <v>-3.8062272985612411E-4</v>
      </c>
      <c r="DT81">
        <f t="shared" si="272"/>
        <v>0.9786469181156231</v>
      </c>
      <c r="DU81">
        <f t="shared" si="263"/>
        <v>-2.1353081884376901</v>
      </c>
      <c r="DV81">
        <f t="shared" si="241"/>
        <v>-34.84332406225473</v>
      </c>
      <c r="DW81">
        <f t="shared" si="242"/>
        <v>-1.5106483145278848</v>
      </c>
      <c r="DY81">
        <f t="shared" si="243"/>
        <v>-99.985475338066038</v>
      </c>
      <c r="DZ81">
        <f t="shared" si="244"/>
        <v>-99.659137548207383</v>
      </c>
      <c r="EA81">
        <f t="shared" si="245"/>
        <v>-82.748991997996569</v>
      </c>
      <c r="EB81">
        <f t="shared" si="246"/>
        <v>-48.434080591634597</v>
      </c>
      <c r="EC81">
        <f t="shared" si="247"/>
        <v>-34.84332406225473</v>
      </c>
      <c r="ED81">
        <f t="shared" si="248"/>
        <v>250.18149297849141</v>
      </c>
      <c r="EE81">
        <f t="shared" si="249"/>
        <v>440.48981927026114</v>
      </c>
      <c r="EF81">
        <f t="shared" si="250"/>
        <v>689.67888074330892</v>
      </c>
      <c r="EG81">
        <f t="shared" si="264"/>
        <v>4270.4879933586271</v>
      </c>
    </row>
    <row r="82" spans="2:137" x14ac:dyDescent="0.35">
      <c r="B82" t="s">
        <v>369</v>
      </c>
      <c r="C82" s="19">
        <f>regions!B60</f>
        <v>5741159</v>
      </c>
      <c r="D82" s="19">
        <f>regions!C60</f>
        <v>1056636372.397827</v>
      </c>
      <c r="E82" s="8">
        <f>regions!D60</f>
        <v>184.04582983990289</v>
      </c>
      <c r="F82" s="1">
        <f>regions!Z60</f>
        <v>25.5</v>
      </c>
      <c r="G82" s="8"/>
      <c r="H82" s="8"/>
      <c r="I82">
        <f t="shared" si="221"/>
        <v>-0.35547000000000001</v>
      </c>
      <c r="J82">
        <f t="shared" si="280"/>
        <v>-1.3939999999999952E-2</v>
      </c>
      <c r="K82">
        <f t="shared" si="280"/>
        <v>-2.787999999999996E-2</v>
      </c>
      <c r="L82">
        <f t="shared" si="280"/>
        <v>-4.1819999999999968E-2</v>
      </c>
      <c r="M82">
        <f t="shared" si="280"/>
        <v>-5.5759999999999976E-2</v>
      </c>
      <c r="N82">
        <f t="shared" si="280"/>
        <v>-6.9699999999999984E-2</v>
      </c>
      <c r="O82">
        <f t="shared" si="280"/>
        <v>-8.3639999999999992E-2</v>
      </c>
      <c r="P82">
        <f t="shared" si="222"/>
        <v>-0.2601</v>
      </c>
      <c r="Q82">
        <f t="shared" si="281"/>
        <v>-2.0800000000000041E-2</v>
      </c>
      <c r="R82">
        <f t="shared" si="281"/>
        <v>-4.2399999999999993E-2</v>
      </c>
      <c r="S82">
        <f t="shared" si="281"/>
        <v>-6.4800000000000024E-2</v>
      </c>
      <c r="T82">
        <f t="shared" si="281"/>
        <v>-8.8000000000000023E-2</v>
      </c>
      <c r="U82">
        <f t="shared" si="281"/>
        <v>-0.11200000000000004</v>
      </c>
      <c r="V82">
        <f t="shared" si="281"/>
        <v>-0.13680000000000003</v>
      </c>
      <c r="W82">
        <f t="shared" si="223"/>
        <v>-0.325125</v>
      </c>
      <c r="X82">
        <f t="shared" si="282"/>
        <v>-2.6000000000000023E-2</v>
      </c>
      <c r="Y82">
        <f t="shared" si="282"/>
        <v>-5.2999999999999992E-2</v>
      </c>
      <c r="Z82">
        <f t="shared" si="282"/>
        <v>-8.1000000000000016E-2</v>
      </c>
      <c r="AA82">
        <f t="shared" si="282"/>
        <v>-0.10999999999999999</v>
      </c>
      <c r="AB82">
        <f t="shared" si="282"/>
        <v>-0.14000000000000001</v>
      </c>
      <c r="AC82">
        <f t="shared" si="282"/>
        <v>-0.17099999999999999</v>
      </c>
      <c r="AD82">
        <f t="shared" si="224"/>
        <v>-0.29456325</v>
      </c>
      <c r="AE82">
        <f t="shared" si="283"/>
        <v>-2.3556000000000021E-2</v>
      </c>
      <c r="AF82">
        <f t="shared" si="283"/>
        <v>-4.8018000000000005E-2</v>
      </c>
      <c r="AG82">
        <f t="shared" si="283"/>
        <v>-7.3386000000000007E-2</v>
      </c>
      <c r="AH82">
        <f t="shared" si="283"/>
        <v>-9.9660000000000026E-2</v>
      </c>
      <c r="AI82">
        <f t="shared" si="283"/>
        <v>-0.12684000000000001</v>
      </c>
      <c r="AJ82">
        <f t="shared" si="283"/>
        <v>-0.15492600000000001</v>
      </c>
      <c r="AK82">
        <f t="shared" si="225"/>
        <v>-0.33162750000000002</v>
      </c>
      <c r="AL82">
        <f t="shared" si="284"/>
        <v>-2.6519999999999988E-2</v>
      </c>
      <c r="AM82">
        <f t="shared" si="284"/>
        <v>-5.4059999999999997E-2</v>
      </c>
      <c r="AN82">
        <f t="shared" si="284"/>
        <v>-8.2620000000000027E-2</v>
      </c>
      <c r="AO82">
        <f t="shared" si="284"/>
        <v>-0.11220000000000002</v>
      </c>
      <c r="AP82">
        <f t="shared" si="284"/>
        <v>-0.14280000000000004</v>
      </c>
      <c r="AQ82">
        <f t="shared" si="284"/>
        <v>-0.17441999999999996</v>
      </c>
      <c r="AR82">
        <f t="shared" si="226"/>
        <v>-0.49484024999999998</v>
      </c>
      <c r="AS82">
        <f t="shared" si="285"/>
        <v>-3.9571999999999941E-2</v>
      </c>
      <c r="AT82">
        <f t="shared" si="285"/>
        <v>-8.0666000000000015E-2</v>
      </c>
      <c r="AU82">
        <f t="shared" si="285"/>
        <v>-0.123282</v>
      </c>
      <c r="AV82">
        <f t="shared" si="285"/>
        <v>-0.16742000000000001</v>
      </c>
      <c r="AW82">
        <f t="shared" si="285"/>
        <v>-0.21307999999999994</v>
      </c>
      <c r="AX82">
        <f t="shared" si="285"/>
        <v>-0.26026199999999999</v>
      </c>
      <c r="AY82">
        <f t="shared" si="128"/>
        <v>-0.13655249999999999</v>
      </c>
      <c r="AZ82">
        <f t="shared" si="228"/>
        <v>-1.0920000000000013E-2</v>
      </c>
      <c r="BA82">
        <f t="shared" si="228"/>
        <v>-2.2260000000000002E-2</v>
      </c>
      <c r="BB82">
        <f t="shared" si="228"/>
        <v>-3.4020000000000022E-2</v>
      </c>
      <c r="BC82">
        <f t="shared" si="228"/>
        <v>-4.6200000000000019E-2</v>
      </c>
      <c r="BD82">
        <f t="shared" si="228"/>
        <v>-5.8800000000000019E-2</v>
      </c>
      <c r="BE82">
        <f t="shared" si="228"/>
        <v>-7.1820000000000023E-2</v>
      </c>
      <c r="BF82">
        <f t="shared" si="130"/>
        <v>-0.1625625</v>
      </c>
      <c r="BG82">
        <f t="shared" si="278"/>
        <v>-1.3000000000000012E-2</v>
      </c>
      <c r="BH82">
        <f t="shared" si="278"/>
        <v>-2.6499999999999996E-2</v>
      </c>
      <c r="BI82">
        <f t="shared" si="278"/>
        <v>-4.0500000000000008E-2</v>
      </c>
      <c r="BJ82">
        <f t="shared" si="278"/>
        <v>-5.4999999999999993E-2</v>
      </c>
      <c r="BK82">
        <f t="shared" si="278"/>
        <v>-7.0000000000000007E-2</v>
      </c>
      <c r="BL82">
        <f t="shared" si="278"/>
        <v>-8.5499999999999993E-2</v>
      </c>
      <c r="BM82">
        <f t="shared" si="132"/>
        <v>-0.51369750000000003</v>
      </c>
      <c r="BN82">
        <f t="shared" si="279"/>
        <v>-4.1080000000000005E-2</v>
      </c>
      <c r="BO82">
        <f t="shared" si="279"/>
        <v>-8.3739999999999926E-2</v>
      </c>
      <c r="BP82">
        <f t="shared" si="279"/>
        <v>-0.12797999999999998</v>
      </c>
      <c r="BQ82">
        <f t="shared" si="279"/>
        <v>-0.17379999999999995</v>
      </c>
      <c r="BR82">
        <f t="shared" si="279"/>
        <v>-0.22119999999999995</v>
      </c>
      <c r="BS82">
        <f t="shared" si="279"/>
        <v>-0.27017999999999998</v>
      </c>
      <c r="BU82">
        <v>0.06</v>
      </c>
      <c r="BV82">
        <f t="shared" si="288"/>
        <v>-2.6195564902238962E-4</v>
      </c>
      <c r="BW82">
        <f t="shared" si="286"/>
        <v>-2.8214925103075118E-4</v>
      </c>
      <c r="BX82">
        <f t="shared" si="286"/>
        <v>-3.0234285303911275E-4</v>
      </c>
      <c r="BY82">
        <f t="shared" si="286"/>
        <v>-3.2253645504747431E-4</v>
      </c>
      <c r="BZ82">
        <f t="shared" si="286"/>
        <v>-3.4273005705583593E-4</v>
      </c>
      <c r="CA82">
        <f t="shared" si="286"/>
        <v>-3.629236590641975E-4</v>
      </c>
      <c r="CS82">
        <f t="shared" si="267"/>
        <v>2099</v>
      </c>
      <c r="CT82">
        <f t="shared" si="268"/>
        <v>4.2600000000000025</v>
      </c>
      <c r="CU82">
        <f t="shared" si="269"/>
        <v>0.04</v>
      </c>
      <c r="CV82">
        <f t="shared" si="251"/>
        <v>-8.9645482045454979E-3</v>
      </c>
      <c r="CW82">
        <f t="shared" si="270"/>
        <v>0.64578315439392375</v>
      </c>
      <c r="CX82">
        <f t="shared" si="252"/>
        <v>-4.7740833097485579E-2</v>
      </c>
      <c r="CY82">
        <f t="shared" si="270"/>
        <v>0.16441367769933141</v>
      </c>
      <c r="CZ82">
        <f t="shared" si="253"/>
        <v>5.7956410445394645E-2</v>
      </c>
      <c r="DA82">
        <f t="shared" si="270"/>
        <v>8.3467132771611556</v>
      </c>
      <c r="DB82">
        <f t="shared" si="255"/>
        <v>3.4912871274550547E-2</v>
      </c>
      <c r="DC82">
        <f t="shared" si="270"/>
        <v>3.6220043853318398</v>
      </c>
      <c r="DD82">
        <f t="shared" si="256"/>
        <v>-1.8158065161637753E-2</v>
      </c>
      <c r="DE82">
        <f t="shared" si="270"/>
        <v>0.50645427560767553</v>
      </c>
      <c r="DF82">
        <f t="shared" si="257"/>
        <v>4.7173621168536045E-2</v>
      </c>
      <c r="DG82">
        <f t="shared" si="270"/>
        <v>5.6555520219541826</v>
      </c>
      <c r="DH82">
        <f t="shared" si="258"/>
        <v>-0.22627326623927368</v>
      </c>
      <c r="DI82">
        <f t="shared" si="270"/>
        <v>1.129373683967938E-4</v>
      </c>
      <c r="DJ82">
        <f t="shared" si="259"/>
        <v>-0.14937123062379565</v>
      </c>
      <c r="DK82">
        <f t="shared" si="270"/>
        <v>2.9080903451472275E-3</v>
      </c>
      <c r="DL82">
        <f t="shared" si="260"/>
        <v>0.10746141924861828</v>
      </c>
      <c r="DM82">
        <f t="shared" si="271"/>
        <v>48.321988792985373</v>
      </c>
      <c r="DN82">
        <f t="shared" si="287"/>
        <v>-2.1915495149336456E-4</v>
      </c>
      <c r="DO82">
        <f t="shared" si="270"/>
        <v>0.98467824034373141</v>
      </c>
      <c r="DQ82">
        <f>(DQ83-DQ78)/5+DQ81</f>
        <v>-4.6324868834656749</v>
      </c>
      <c r="DR82">
        <f t="shared" si="261"/>
        <v>-2.665069179127184E-4</v>
      </c>
      <c r="DS82">
        <f t="shared" si="262"/>
        <v>-3.8072416844674059E-4</v>
      </c>
      <c r="DT82">
        <f t="shared" si="272"/>
        <v>0.97827442285408461</v>
      </c>
      <c r="DU82">
        <f t="shared" si="263"/>
        <v>-2.1725577145915387</v>
      </c>
      <c r="DV82">
        <f t="shared" si="241"/>
        <v>-35.421684560607623</v>
      </c>
      <c r="DW82">
        <f t="shared" si="242"/>
        <v>-1.5321759656268585</v>
      </c>
      <c r="DY82">
        <f t="shared" si="243"/>
        <v>-99.988706263160324</v>
      </c>
      <c r="DZ82">
        <f t="shared" si="244"/>
        <v>-99.709190965485277</v>
      </c>
      <c r="EA82">
        <f t="shared" si="245"/>
        <v>-83.558632230066848</v>
      </c>
      <c r="EB82">
        <f t="shared" si="246"/>
        <v>-49.354572439232449</v>
      </c>
      <c r="EC82">
        <f t="shared" si="247"/>
        <v>-35.421684560607623</v>
      </c>
      <c r="ED82">
        <f t="shared" si="248"/>
        <v>262.20043853318396</v>
      </c>
      <c r="EE82">
        <f t="shared" si="249"/>
        <v>465.55520219541825</v>
      </c>
      <c r="EF82">
        <f t="shared" si="250"/>
        <v>734.67132771611557</v>
      </c>
      <c r="EG82">
        <f t="shared" si="264"/>
        <v>4732.1988792985376</v>
      </c>
    </row>
    <row r="83" spans="2:137" x14ac:dyDescent="0.35">
      <c r="B83" t="s">
        <v>221</v>
      </c>
      <c r="C83" s="19">
        <f>regions!B61</f>
        <v>1340161</v>
      </c>
      <c r="D83" s="19">
        <f>regions!C61</f>
        <v>13897254466.99498</v>
      </c>
      <c r="E83" s="8">
        <f>regions!D61</f>
        <v>10369.839494653985</v>
      </c>
      <c r="F83" s="1">
        <f>regions!Z61</f>
        <v>5.0999999999999996</v>
      </c>
      <c r="G83" s="8"/>
      <c r="H83" s="8"/>
      <c r="I83">
        <f t="shared" si="221"/>
        <v>0</v>
      </c>
      <c r="J83">
        <f t="shared" si="280"/>
        <v>0</v>
      </c>
      <c r="K83">
        <f t="shared" si="280"/>
        <v>0</v>
      </c>
      <c r="L83">
        <f t="shared" si="280"/>
        <v>0</v>
      </c>
      <c r="M83">
        <f t="shared" si="280"/>
        <v>0</v>
      </c>
      <c r="N83">
        <f t="shared" si="280"/>
        <v>0</v>
      </c>
      <c r="O83">
        <f t="shared" si="280"/>
        <v>0</v>
      </c>
      <c r="P83">
        <f t="shared" si="222"/>
        <v>-1.0404E-2</v>
      </c>
      <c r="Q83">
        <f t="shared" si="281"/>
        <v>-4.4799999999999979E-3</v>
      </c>
      <c r="R83">
        <f t="shared" si="281"/>
        <v>-9.7599999999999978E-3</v>
      </c>
      <c r="S83">
        <f t="shared" si="281"/>
        <v>-1.584E-2</v>
      </c>
      <c r="T83">
        <f t="shared" si="281"/>
        <v>-2.2719999999999994E-2</v>
      </c>
      <c r="U83">
        <f t="shared" si="281"/>
        <v>-3.04E-2</v>
      </c>
      <c r="V83">
        <f t="shared" si="281"/>
        <v>-3.8879999999999998E-2</v>
      </c>
      <c r="W83">
        <f t="shared" si="223"/>
        <v>-1.3004999999999999E-2</v>
      </c>
      <c r="X83">
        <f t="shared" si="282"/>
        <v>-5.5999999999999973E-3</v>
      </c>
      <c r="Y83">
        <f t="shared" si="282"/>
        <v>-1.2199999999999999E-2</v>
      </c>
      <c r="Z83">
        <f t="shared" si="282"/>
        <v>-1.9800000000000002E-2</v>
      </c>
      <c r="AA83">
        <f t="shared" si="282"/>
        <v>-2.8399999999999998E-2</v>
      </c>
      <c r="AB83">
        <f t="shared" si="282"/>
        <v>-3.7999999999999992E-2</v>
      </c>
      <c r="AC83">
        <f t="shared" si="282"/>
        <v>-4.8600000000000004E-2</v>
      </c>
      <c r="AD83">
        <f t="shared" si="224"/>
        <v>-1.1782529999999999E-2</v>
      </c>
      <c r="AE83">
        <f t="shared" si="283"/>
        <v>-5.0735999999999976E-3</v>
      </c>
      <c r="AF83">
        <f t="shared" si="283"/>
        <v>-1.1053199999999999E-2</v>
      </c>
      <c r="AG83">
        <f t="shared" si="283"/>
        <v>-1.7938800000000001E-2</v>
      </c>
      <c r="AH83">
        <f t="shared" si="283"/>
        <v>-2.5730399999999994E-2</v>
      </c>
      <c r="AI83">
        <f t="shared" si="283"/>
        <v>-3.4428E-2</v>
      </c>
      <c r="AJ83">
        <f t="shared" si="283"/>
        <v>-4.4031599999999997E-2</v>
      </c>
      <c r="AK83">
        <f t="shared" si="225"/>
        <v>-1.32651E-2</v>
      </c>
      <c r="AL83">
        <f t="shared" si="284"/>
        <v>-5.7119999999999966E-3</v>
      </c>
      <c r="AM83">
        <f t="shared" si="284"/>
        <v>-1.2443999999999998E-2</v>
      </c>
      <c r="AN83">
        <f t="shared" si="284"/>
        <v>-2.0195999999999999E-2</v>
      </c>
      <c r="AO83">
        <f t="shared" si="284"/>
        <v>-2.8967999999999994E-2</v>
      </c>
      <c r="AP83">
        <f t="shared" si="284"/>
        <v>-3.8759999999999996E-2</v>
      </c>
      <c r="AQ83">
        <f t="shared" si="284"/>
        <v>-4.9572000000000005E-2</v>
      </c>
      <c r="AR83">
        <f t="shared" si="226"/>
        <v>-1.9793609999999996E-2</v>
      </c>
      <c r="AS83">
        <f t="shared" si="285"/>
        <v>-8.5231999999999981E-3</v>
      </c>
      <c r="AT83">
        <f t="shared" si="285"/>
        <v>-1.8568399999999999E-2</v>
      </c>
      <c r="AU83">
        <f t="shared" si="285"/>
        <v>-3.0135599999999998E-2</v>
      </c>
      <c r="AV83">
        <f t="shared" si="285"/>
        <v>-4.3224799999999987E-2</v>
      </c>
      <c r="AW83">
        <f t="shared" si="285"/>
        <v>-5.7835999999999992E-2</v>
      </c>
      <c r="AX83">
        <f t="shared" si="285"/>
        <v>-7.3969199999999985E-2</v>
      </c>
      <c r="AY83">
        <f t="shared" si="128"/>
        <v>-5.4621000000000001E-3</v>
      </c>
      <c r="AZ83">
        <f t="shared" si="228"/>
        <v>-2.3519999999999991E-3</v>
      </c>
      <c r="BA83">
        <f t="shared" si="228"/>
        <v>-5.1239999999999992E-3</v>
      </c>
      <c r="BB83">
        <f t="shared" si="228"/>
        <v>-8.3160000000000005E-3</v>
      </c>
      <c r="BC83">
        <f t="shared" si="228"/>
        <v>-1.1927999999999998E-2</v>
      </c>
      <c r="BD83">
        <f t="shared" si="228"/>
        <v>-1.5959999999999998E-2</v>
      </c>
      <c r="BE83">
        <f t="shared" si="228"/>
        <v>-2.0412E-2</v>
      </c>
      <c r="BF83">
        <f t="shared" si="130"/>
        <v>-6.5024999999999996E-3</v>
      </c>
      <c r="BG83">
        <f t="shared" si="278"/>
        <v>-2.7999999999999987E-3</v>
      </c>
      <c r="BH83">
        <f t="shared" si="278"/>
        <v>-6.0999999999999995E-3</v>
      </c>
      <c r="BI83">
        <f t="shared" si="278"/>
        <v>-9.9000000000000008E-3</v>
      </c>
      <c r="BJ83">
        <f t="shared" si="278"/>
        <v>-1.4199999999999999E-2</v>
      </c>
      <c r="BK83">
        <f t="shared" si="278"/>
        <v>-1.8999999999999996E-2</v>
      </c>
      <c r="BL83">
        <f t="shared" si="278"/>
        <v>-2.4300000000000002E-2</v>
      </c>
      <c r="BM83">
        <f t="shared" si="132"/>
        <v>-2.0547899999999997E-2</v>
      </c>
      <c r="BN83">
        <f t="shared" si="279"/>
        <v>-8.8479999999999982E-3</v>
      </c>
      <c r="BO83">
        <f t="shared" si="279"/>
        <v>-1.9275999999999998E-2</v>
      </c>
      <c r="BP83">
        <f t="shared" si="279"/>
        <v>-3.1284000000000006E-2</v>
      </c>
      <c r="BQ83">
        <f t="shared" si="279"/>
        <v>-4.4871999999999995E-2</v>
      </c>
      <c r="BR83">
        <f t="shared" si="279"/>
        <v>-6.0039999999999996E-2</v>
      </c>
      <c r="BS83">
        <f t="shared" si="279"/>
        <v>-7.6788000000000009E-2</v>
      </c>
      <c r="CS83">
        <f t="shared" si="267"/>
        <v>2100</v>
      </c>
      <c r="CT83">
        <f t="shared" si="268"/>
        <v>4.3000000000000025</v>
      </c>
      <c r="CU83">
        <f t="shared" si="269"/>
        <v>0.04</v>
      </c>
      <c r="CV83">
        <f t="shared" si="251"/>
        <v>-9.0527126316741514E-3</v>
      </c>
      <c r="CW83">
        <f t="shared" si="270"/>
        <v>0.63999400017667596</v>
      </c>
      <c r="CX83">
        <f t="shared" si="252"/>
        <v>-4.8555560894147351E-2</v>
      </c>
      <c r="CY83">
        <f t="shared" si="270"/>
        <v>0.15656443175334384</v>
      </c>
      <c r="CZ83">
        <f t="shared" si="253"/>
        <v>5.8945473591573566E-2</v>
      </c>
      <c r="DA83">
        <f t="shared" si="270"/>
        <v>8.8304588177223327</v>
      </c>
      <c r="DB83">
        <f t="shared" si="255"/>
        <v>3.5508681712767408E-2</v>
      </c>
      <c r="DC83">
        <f t="shared" si="270"/>
        <v>3.7484589581927881</v>
      </c>
      <c r="DD83">
        <f t="shared" si="256"/>
        <v>-1.8467944136530655E-2</v>
      </c>
      <c r="DE83">
        <f t="shared" si="270"/>
        <v>0.49725804586980132</v>
      </c>
      <c r="DF83">
        <f t="shared" si="257"/>
        <v>4.7978669131497183E-2</v>
      </c>
      <c r="DG83">
        <f t="shared" si="270"/>
        <v>5.922344890536797</v>
      </c>
      <c r="DH83">
        <f t="shared" si="258"/>
        <v>-0.2301347639904785</v>
      </c>
      <c r="DI83">
        <f t="shared" si="270"/>
        <v>8.7382661169183148E-5</v>
      </c>
      <c r="DJ83">
        <f t="shared" si="259"/>
        <v>-0.1519203460395715</v>
      </c>
      <c r="DK83">
        <f t="shared" si="270"/>
        <v>2.4737053115274077E-3</v>
      </c>
      <c r="DL83">
        <f t="shared" si="260"/>
        <v>0.10929531697620495</v>
      </c>
      <c r="DM83">
        <f t="shared" si="271"/>
        <v>53.514738289595407</v>
      </c>
      <c r="DN83">
        <f t="shared" si="287"/>
        <v>-2.1973144013196804E-4</v>
      </c>
      <c r="DO83">
        <f t="shared" si="270"/>
        <v>0.98446244323173226</v>
      </c>
      <c r="DP83">
        <f>graph!A66</f>
        <v>4.3000000000000007</v>
      </c>
      <c r="DQ83">
        <f>DS1*graph!B66</f>
        <v>-4.6994411137658316</v>
      </c>
      <c r="DT83">
        <f t="shared" si="272"/>
        <v>0.97790197013793079</v>
      </c>
      <c r="DU83">
        <f t="shared" si="263"/>
        <v>-2.2098029862069213</v>
      </c>
      <c r="DV83">
        <f t="shared" si="241"/>
        <v>-36.000599982332403</v>
      </c>
      <c r="DW83">
        <f t="shared" si="242"/>
        <v>-1.5537556768267735</v>
      </c>
      <c r="DY83">
        <f t="shared" si="243"/>
        <v>-99.991261733883078</v>
      </c>
      <c r="DZ83">
        <f t="shared" si="244"/>
        <v>-99.75262946884726</v>
      </c>
      <c r="EA83">
        <f t="shared" si="245"/>
        <v>-84.343556824665612</v>
      </c>
      <c r="EB83">
        <f t="shared" si="246"/>
        <v>-50.274195413019875</v>
      </c>
      <c r="EC83">
        <f t="shared" si="247"/>
        <v>-36.000599982332403</v>
      </c>
      <c r="ED83">
        <f t="shared" si="248"/>
        <v>274.84589581927878</v>
      </c>
      <c r="EE83">
        <f t="shared" si="249"/>
        <v>492.23448905367968</v>
      </c>
      <c r="EF83">
        <f t="shared" si="250"/>
        <v>783.04588177223332</v>
      </c>
      <c r="EG83">
        <f t="shared" si="264"/>
        <v>5251.4738289595407</v>
      </c>
    </row>
    <row r="84" spans="2:137" x14ac:dyDescent="0.35">
      <c r="B84" t="s">
        <v>141</v>
      </c>
      <c r="C84" s="19">
        <f>regions!B62</f>
        <v>87095281</v>
      </c>
      <c r="D84" s="19">
        <f>regions!C62</f>
        <v>20402844449.621059</v>
      </c>
      <c r="E84" s="8">
        <f>regions!D62</f>
        <v>234.25889686975188</v>
      </c>
      <c r="F84" s="1">
        <f>regions!Z62</f>
        <v>22.2</v>
      </c>
      <c r="G84" s="8"/>
      <c r="H84" s="8"/>
      <c r="I84">
        <f t="shared" si="221"/>
        <v>-0.30946799999999997</v>
      </c>
      <c r="J84">
        <f t="shared" si="280"/>
        <v>-1.3940000000000008E-2</v>
      </c>
      <c r="K84">
        <f t="shared" si="280"/>
        <v>-2.7880000000000016E-2</v>
      </c>
      <c r="L84">
        <f t="shared" si="280"/>
        <v>-4.1820000000000024E-2</v>
      </c>
      <c r="M84">
        <f t="shared" si="280"/>
        <v>-5.5760000000000032E-2</v>
      </c>
      <c r="N84">
        <f t="shared" si="280"/>
        <v>-6.9699999999999984E-2</v>
      </c>
      <c r="O84">
        <f t="shared" si="280"/>
        <v>-8.3639999999999992E-2</v>
      </c>
      <c r="P84">
        <f t="shared" si="222"/>
        <v>-0.19713600000000001</v>
      </c>
      <c r="Q84">
        <f t="shared" si="281"/>
        <v>-1.8160000000000009E-2</v>
      </c>
      <c r="R84">
        <f t="shared" si="281"/>
        <v>-3.7119999999999986E-2</v>
      </c>
      <c r="S84">
        <f t="shared" si="281"/>
        <v>-5.6880000000000014E-2</v>
      </c>
      <c r="T84">
        <f t="shared" si="281"/>
        <v>-7.7439999999999981E-2</v>
      </c>
      <c r="U84">
        <f t="shared" si="281"/>
        <v>-9.8799999999999971E-2</v>
      </c>
      <c r="V84">
        <f t="shared" si="281"/>
        <v>-0.12096000000000004</v>
      </c>
      <c r="W84">
        <f t="shared" si="223"/>
        <v>-0.24642</v>
      </c>
      <c r="X84">
        <f t="shared" si="282"/>
        <v>-2.2700000000000026E-2</v>
      </c>
      <c r="Y84">
        <f t="shared" si="282"/>
        <v>-4.6400000000000025E-2</v>
      </c>
      <c r="Z84">
        <f t="shared" si="282"/>
        <v>-7.1099999999999969E-2</v>
      </c>
      <c r="AA84">
        <f t="shared" si="282"/>
        <v>-9.6799999999999969E-2</v>
      </c>
      <c r="AB84">
        <f t="shared" si="282"/>
        <v>-0.12349999999999997</v>
      </c>
      <c r="AC84">
        <f t="shared" si="282"/>
        <v>-0.15120000000000003</v>
      </c>
      <c r="AD84">
        <f t="shared" si="224"/>
        <v>-0.22325651999999999</v>
      </c>
      <c r="AE84">
        <f t="shared" si="283"/>
        <v>-2.0566200000000034E-2</v>
      </c>
      <c r="AF84">
        <f t="shared" si="283"/>
        <v>-4.2038400000000004E-2</v>
      </c>
      <c r="AG84">
        <f t="shared" si="283"/>
        <v>-6.4416600000000018E-2</v>
      </c>
      <c r="AH84">
        <f t="shared" si="283"/>
        <v>-8.7700799999999995E-2</v>
      </c>
      <c r="AI84">
        <f t="shared" si="283"/>
        <v>-0.11189099999999999</v>
      </c>
      <c r="AJ84">
        <f t="shared" si="283"/>
        <v>-0.1369872</v>
      </c>
      <c r="AK84">
        <f t="shared" si="225"/>
        <v>-0.25134840000000003</v>
      </c>
      <c r="AL84">
        <f t="shared" si="284"/>
        <v>-2.3154000000000008E-2</v>
      </c>
      <c r="AM84">
        <f t="shared" si="284"/>
        <v>-4.7327999999999981E-2</v>
      </c>
      <c r="AN84">
        <f t="shared" si="284"/>
        <v>-7.2521999999999975E-2</v>
      </c>
      <c r="AO84">
        <f t="shared" si="284"/>
        <v>-9.873599999999999E-2</v>
      </c>
      <c r="AP84">
        <f t="shared" si="284"/>
        <v>-0.12596999999999997</v>
      </c>
      <c r="AQ84">
        <f t="shared" si="284"/>
        <v>-0.15422400000000003</v>
      </c>
      <c r="AR84">
        <f t="shared" si="226"/>
        <v>-0.37505123999999995</v>
      </c>
      <c r="AS84">
        <f t="shared" si="285"/>
        <v>-3.4549400000000008E-2</v>
      </c>
      <c r="AT84">
        <f t="shared" si="285"/>
        <v>-7.0620800000000039E-2</v>
      </c>
      <c r="AU84">
        <f t="shared" si="285"/>
        <v>-0.10821419999999998</v>
      </c>
      <c r="AV84">
        <f t="shared" si="285"/>
        <v>-0.14732960000000001</v>
      </c>
      <c r="AW84">
        <f t="shared" si="285"/>
        <v>-0.18796699999999994</v>
      </c>
      <c r="AX84">
        <f t="shared" si="285"/>
        <v>-0.23012640000000001</v>
      </c>
      <c r="AY84">
        <f t="shared" si="128"/>
        <v>-0.1034964</v>
      </c>
      <c r="AZ84">
        <f t="shared" si="228"/>
        <v>-9.5340000000000008E-3</v>
      </c>
      <c r="BA84">
        <f t="shared" si="228"/>
        <v>-1.9488000000000005E-2</v>
      </c>
      <c r="BB84">
        <f t="shared" si="228"/>
        <v>-2.9861999999999986E-2</v>
      </c>
      <c r="BC84">
        <f t="shared" si="228"/>
        <v>-4.0655999999999984E-2</v>
      </c>
      <c r="BD84">
        <f t="shared" si="228"/>
        <v>-5.1869999999999986E-2</v>
      </c>
      <c r="BE84">
        <f t="shared" si="228"/>
        <v>-6.3504000000000019E-2</v>
      </c>
      <c r="BF84">
        <f t="shared" si="130"/>
        <v>-0.12321</v>
      </c>
      <c r="BG84">
        <f t="shared" si="278"/>
        <v>-1.1350000000000013E-2</v>
      </c>
      <c r="BH84">
        <f t="shared" si="278"/>
        <v>-2.3200000000000012E-2</v>
      </c>
      <c r="BI84">
        <f t="shared" si="278"/>
        <v>-3.5549999999999984E-2</v>
      </c>
      <c r="BJ84">
        <f t="shared" si="278"/>
        <v>-4.8399999999999985E-2</v>
      </c>
      <c r="BK84">
        <f t="shared" si="278"/>
        <v>-6.1749999999999985E-2</v>
      </c>
      <c r="BL84">
        <f t="shared" si="278"/>
        <v>-7.5600000000000014E-2</v>
      </c>
      <c r="BM84">
        <f t="shared" si="132"/>
        <v>-0.38934360000000001</v>
      </c>
      <c r="BN84">
        <f t="shared" si="279"/>
        <v>-3.5866000000000009E-2</v>
      </c>
      <c r="BO84">
        <f t="shared" si="279"/>
        <v>-7.3311999999999988E-2</v>
      </c>
      <c r="BP84">
        <f t="shared" si="279"/>
        <v>-0.11233799999999994</v>
      </c>
      <c r="BQ84">
        <f t="shared" si="279"/>
        <v>-0.15294399999999997</v>
      </c>
      <c r="BR84">
        <f t="shared" si="279"/>
        <v>-0.19512999999999991</v>
      </c>
      <c r="BS84">
        <f t="shared" si="279"/>
        <v>-0.238896</v>
      </c>
      <c r="BV84" s="9">
        <f>(BV77-BV53)^2</f>
        <v>1.6334587111411432E-12</v>
      </c>
      <c r="BW84" s="9">
        <f t="shared" ref="BW84:CA84" si="289">(BW77-BW53)^2</f>
        <v>1.824682989320036E-12</v>
      </c>
      <c r="BX84" s="9">
        <f t="shared" si="289"/>
        <v>2.5100328593931549E-13</v>
      </c>
      <c r="BY84" s="9">
        <f t="shared" si="289"/>
        <v>9.2038649322331985E-15</v>
      </c>
      <c r="BZ84" s="9">
        <f t="shared" si="289"/>
        <v>1.1113507925685152E-13</v>
      </c>
      <c r="CA84" s="9">
        <f t="shared" si="289"/>
        <v>2.1503068402927989E-14</v>
      </c>
      <c r="CB84" s="9"/>
    </row>
    <row r="85" spans="2:137" x14ac:dyDescent="0.35">
      <c r="B85" t="s">
        <v>602</v>
      </c>
      <c r="C85" s="19">
        <f>regions!B63</f>
        <v>49581</v>
      </c>
      <c r="D85" s="19">
        <f>regions!C63</f>
        <v>1812304428.6209128</v>
      </c>
      <c r="E85" s="8">
        <f>regions!D63</f>
        <v>36552.397664849697</v>
      </c>
      <c r="F85" s="1">
        <f>regions!Z63</f>
        <v>6.7</v>
      </c>
      <c r="G85" s="8"/>
      <c r="H85" s="8"/>
      <c r="I85">
        <f t="shared" si="221"/>
        <v>0</v>
      </c>
      <c r="J85">
        <f t="shared" si="280"/>
        <v>0</v>
      </c>
      <c r="K85">
        <f t="shared" si="280"/>
        <v>0</v>
      </c>
      <c r="L85">
        <f t="shared" si="280"/>
        <v>0</v>
      </c>
      <c r="M85">
        <f t="shared" si="280"/>
        <v>0</v>
      </c>
      <c r="N85">
        <f t="shared" si="280"/>
        <v>0</v>
      </c>
      <c r="O85">
        <f t="shared" si="280"/>
        <v>0</v>
      </c>
      <c r="P85">
        <f t="shared" si="222"/>
        <v>-1.7956E-2</v>
      </c>
      <c r="Q85">
        <f t="shared" si="281"/>
        <v>-5.7600000000000047E-3</v>
      </c>
      <c r="R85">
        <f t="shared" si="281"/>
        <v>-1.2319999999999994E-2</v>
      </c>
      <c r="S85">
        <f t="shared" si="281"/>
        <v>-1.9679999999999996E-2</v>
      </c>
      <c r="T85">
        <f t="shared" si="281"/>
        <v>-2.7839999999999997E-2</v>
      </c>
      <c r="U85">
        <f t="shared" si="281"/>
        <v>-3.6799999999999999E-2</v>
      </c>
      <c r="V85">
        <f t="shared" si="281"/>
        <v>-4.6560000000000004E-2</v>
      </c>
      <c r="W85">
        <f t="shared" si="223"/>
        <v>-2.2445E-2</v>
      </c>
      <c r="X85">
        <f t="shared" si="282"/>
        <v>-7.200000000000005E-3</v>
      </c>
      <c r="Y85">
        <f t="shared" si="282"/>
        <v>-1.539999999999999E-2</v>
      </c>
      <c r="Z85">
        <f t="shared" si="282"/>
        <v>-2.4599999999999997E-2</v>
      </c>
      <c r="AA85">
        <f t="shared" si="282"/>
        <v>-3.4799999999999991E-2</v>
      </c>
      <c r="AB85">
        <f t="shared" si="282"/>
        <v>-4.5999999999999992E-2</v>
      </c>
      <c r="AC85">
        <f t="shared" si="282"/>
        <v>-5.8199999999999995E-2</v>
      </c>
      <c r="AD85">
        <f t="shared" si="224"/>
        <v>-2.033517E-2</v>
      </c>
      <c r="AE85">
        <f t="shared" si="283"/>
        <v>-6.5232000000000033E-3</v>
      </c>
      <c r="AF85">
        <f t="shared" si="283"/>
        <v>-1.3952399999999997E-2</v>
      </c>
      <c r="AG85">
        <f t="shared" si="283"/>
        <v>-2.2287599999999998E-2</v>
      </c>
      <c r="AH85">
        <f t="shared" si="283"/>
        <v>-3.1528799999999996E-2</v>
      </c>
      <c r="AI85">
        <f t="shared" si="283"/>
        <v>-4.1675999999999998E-2</v>
      </c>
      <c r="AJ85">
        <f t="shared" si="283"/>
        <v>-5.2729200000000004E-2</v>
      </c>
      <c r="AK85">
        <f t="shared" si="225"/>
        <v>-2.2893900000000002E-2</v>
      </c>
      <c r="AL85">
        <f t="shared" si="284"/>
        <v>-7.3440000000000033E-3</v>
      </c>
      <c r="AM85">
        <f t="shared" si="284"/>
        <v>-1.5707999999999993E-2</v>
      </c>
      <c r="AN85">
        <f t="shared" si="284"/>
        <v>-2.5091999999999996E-2</v>
      </c>
      <c r="AO85">
        <f t="shared" si="284"/>
        <v>-3.5495999999999993E-2</v>
      </c>
      <c r="AP85">
        <f t="shared" si="284"/>
        <v>-4.6919999999999996E-2</v>
      </c>
      <c r="AQ85">
        <f t="shared" si="284"/>
        <v>-5.9363999999999993E-2</v>
      </c>
      <c r="AR85">
        <f t="shared" si="226"/>
        <v>-3.4161289999999997E-2</v>
      </c>
      <c r="AS85">
        <f t="shared" si="285"/>
        <v>-1.0958400000000007E-2</v>
      </c>
      <c r="AT85">
        <f t="shared" si="285"/>
        <v>-2.3438799999999989E-2</v>
      </c>
      <c r="AU85">
        <f t="shared" si="285"/>
        <v>-3.7441199999999994E-2</v>
      </c>
      <c r="AV85">
        <f t="shared" si="285"/>
        <v>-5.2965599999999988E-2</v>
      </c>
      <c r="AW85">
        <f t="shared" si="285"/>
        <v>-7.0011999999999991E-2</v>
      </c>
      <c r="AX85">
        <f t="shared" si="285"/>
        <v>-8.858039999999999E-2</v>
      </c>
      <c r="AY85">
        <f t="shared" si="128"/>
        <v>-9.4269000000000002E-3</v>
      </c>
      <c r="AZ85">
        <f t="shared" si="228"/>
        <v>-3.0240000000000024E-3</v>
      </c>
      <c r="BA85">
        <f t="shared" si="228"/>
        <v>-6.4679999999999963E-3</v>
      </c>
      <c r="BB85">
        <f t="shared" si="228"/>
        <v>-1.0331999999999999E-2</v>
      </c>
      <c r="BC85">
        <f t="shared" si="228"/>
        <v>-1.4615999999999995E-2</v>
      </c>
      <c r="BD85">
        <f t="shared" si="228"/>
        <v>-1.9319999999999997E-2</v>
      </c>
      <c r="BE85">
        <f t="shared" si="228"/>
        <v>-2.4444E-2</v>
      </c>
      <c r="BF85">
        <f t="shared" si="130"/>
        <v>-1.12225E-2</v>
      </c>
      <c r="BG85">
        <f t="shared" si="278"/>
        <v>-3.6000000000000025E-3</v>
      </c>
      <c r="BH85">
        <f t="shared" si="278"/>
        <v>-7.699999999999995E-3</v>
      </c>
      <c r="BI85">
        <f t="shared" si="278"/>
        <v>-1.2299999999999998E-2</v>
      </c>
      <c r="BJ85">
        <f t="shared" si="278"/>
        <v>-1.7399999999999995E-2</v>
      </c>
      <c r="BK85">
        <f t="shared" si="278"/>
        <v>-2.2999999999999996E-2</v>
      </c>
      <c r="BL85">
        <f t="shared" si="278"/>
        <v>-2.9099999999999997E-2</v>
      </c>
      <c r="BM85">
        <f t="shared" si="132"/>
        <v>-3.5463100000000004E-2</v>
      </c>
      <c r="BN85">
        <f t="shared" si="279"/>
        <v>-1.1376000000000004E-2</v>
      </c>
      <c r="BO85">
        <f t="shared" si="279"/>
        <v>-2.4331999999999986E-2</v>
      </c>
      <c r="BP85">
        <f t="shared" si="279"/>
        <v>-3.8867999999999993E-2</v>
      </c>
      <c r="BQ85">
        <f t="shared" si="279"/>
        <v>-5.4983999999999984E-2</v>
      </c>
      <c r="BR85">
        <f t="shared" si="279"/>
        <v>-7.2679999999999995E-2</v>
      </c>
      <c r="BS85">
        <f t="shared" si="279"/>
        <v>-9.195600000000001E-2</v>
      </c>
      <c r="BV85" s="9">
        <f t="shared" ref="BV85:CA85" si="290">(BV78-BV54)^2</f>
        <v>6.5320091656459707E-12</v>
      </c>
      <c r="BW85" s="9">
        <f t="shared" si="290"/>
        <v>7.2992254357222636E-12</v>
      </c>
      <c r="BX85" s="9">
        <f t="shared" si="290"/>
        <v>1.0041028524118702E-12</v>
      </c>
      <c r="BY85" s="9">
        <f t="shared" si="290"/>
        <v>3.6804901934707162E-14</v>
      </c>
      <c r="BZ85" s="9">
        <f t="shared" si="290"/>
        <v>4.4451490940891385E-13</v>
      </c>
      <c r="CA85" s="9">
        <f t="shared" si="290"/>
        <v>8.6003958332859424E-14</v>
      </c>
      <c r="CB85" s="9"/>
      <c r="DT85" t="s">
        <v>762</v>
      </c>
      <c r="DU85" t="s">
        <v>765</v>
      </c>
      <c r="DV85" t="s">
        <v>763</v>
      </c>
      <c r="DW85" t="s">
        <v>764</v>
      </c>
    </row>
    <row r="86" spans="2:137" x14ac:dyDescent="0.35">
      <c r="B86" t="s">
        <v>370</v>
      </c>
      <c r="C86" s="19">
        <f>regions!B64</f>
        <v>860559</v>
      </c>
      <c r="D86" s="19">
        <f>regions!C64</f>
        <v>3032066121.2225323</v>
      </c>
      <c r="E86" s="8">
        <f>regions!D64</f>
        <v>3523.3680912320156</v>
      </c>
      <c r="F86" s="1">
        <f>regions!Z64</f>
        <v>24.4</v>
      </c>
      <c r="G86" s="8"/>
      <c r="H86" s="8"/>
      <c r="I86">
        <f t="shared" si="221"/>
        <v>-0.34013599999999994</v>
      </c>
      <c r="J86">
        <f t="shared" ref="J86:O95" si="291">IF($E86&lt;$E$24,$D$11*($F86+J$25)-$I86,0)</f>
        <v>-1.3940000000000008E-2</v>
      </c>
      <c r="K86">
        <f t="shared" si="291"/>
        <v>-2.7880000000000016E-2</v>
      </c>
      <c r="L86">
        <f t="shared" si="291"/>
        <v>-4.1820000000000024E-2</v>
      </c>
      <c r="M86">
        <f t="shared" si="291"/>
        <v>-5.5760000000000032E-2</v>
      </c>
      <c r="N86">
        <f t="shared" si="291"/>
        <v>-6.970000000000004E-2</v>
      </c>
      <c r="O86">
        <f t="shared" si="291"/>
        <v>-8.3639999999999992E-2</v>
      </c>
      <c r="P86">
        <f t="shared" si="222"/>
        <v>-0.23814399999999997</v>
      </c>
      <c r="Q86">
        <f t="shared" ref="Q86:V95" si="292">$D$13*($F86+Q$25)^2-$P86</f>
        <v>-1.9920000000000049E-2</v>
      </c>
      <c r="R86">
        <f t="shared" si="292"/>
        <v>-4.0640000000000009E-2</v>
      </c>
      <c r="S86">
        <f t="shared" si="292"/>
        <v>-6.2159999999999993E-2</v>
      </c>
      <c r="T86">
        <f t="shared" si="292"/>
        <v>-8.448E-2</v>
      </c>
      <c r="U86">
        <f t="shared" si="292"/>
        <v>-0.10760000000000003</v>
      </c>
      <c r="V86">
        <f t="shared" si="292"/>
        <v>-0.13152000000000003</v>
      </c>
      <c r="W86">
        <f t="shared" si="223"/>
        <v>-0.29767999999999994</v>
      </c>
      <c r="X86">
        <f t="shared" ref="X86:AC95" si="293">$D$15*($F86+X$25)^2-$W86</f>
        <v>-2.4900000000000033E-2</v>
      </c>
      <c r="Y86">
        <f t="shared" si="293"/>
        <v>-5.0800000000000012E-2</v>
      </c>
      <c r="Z86">
        <f t="shared" si="293"/>
        <v>-7.7699999999999991E-2</v>
      </c>
      <c r="AA86">
        <f t="shared" si="293"/>
        <v>-0.10560000000000003</v>
      </c>
      <c r="AB86">
        <f t="shared" si="293"/>
        <v>-0.13450000000000001</v>
      </c>
      <c r="AC86">
        <f t="shared" si="293"/>
        <v>-0.16440000000000005</v>
      </c>
      <c r="AD86">
        <f t="shared" si="224"/>
        <v>-0.26969807999999995</v>
      </c>
      <c r="AE86">
        <f t="shared" ref="AE86:AJ95" si="294">$D$10*($F86+AE$25)^2-$AD86</f>
        <v>-2.2559400000000063E-2</v>
      </c>
      <c r="AF86">
        <f t="shared" si="294"/>
        <v>-4.6024800000000032E-2</v>
      </c>
      <c r="AG86">
        <f t="shared" si="294"/>
        <v>-7.039620000000002E-2</v>
      </c>
      <c r="AH86">
        <f t="shared" si="294"/>
        <v>-9.5673600000000025E-2</v>
      </c>
      <c r="AI86">
        <f t="shared" si="294"/>
        <v>-0.12185699999999999</v>
      </c>
      <c r="AJ86">
        <f t="shared" si="294"/>
        <v>-0.14894640000000003</v>
      </c>
      <c r="AK86">
        <f t="shared" si="225"/>
        <v>-0.30363359999999995</v>
      </c>
      <c r="AL86">
        <f t="shared" ref="AL86:AQ95" si="295">$D$17*($F86+AL$25)^2-$AK86</f>
        <v>-2.5398000000000032E-2</v>
      </c>
      <c r="AM86">
        <f t="shared" si="295"/>
        <v>-5.1816000000000029E-2</v>
      </c>
      <c r="AN86">
        <f t="shared" si="295"/>
        <v>-7.9253999999999991E-2</v>
      </c>
      <c r="AO86">
        <f t="shared" si="295"/>
        <v>-0.10771200000000003</v>
      </c>
      <c r="AP86">
        <f t="shared" si="295"/>
        <v>-0.13719000000000003</v>
      </c>
      <c r="AQ86">
        <f t="shared" si="295"/>
        <v>-0.16768800000000006</v>
      </c>
      <c r="AR86">
        <f t="shared" si="226"/>
        <v>-0.45306895999999991</v>
      </c>
      <c r="AS86">
        <f t="shared" ref="AS86:AX95" si="296">$D$8*($F86+AS$25)^2-$AR86</f>
        <v>-3.7897800000000037E-2</v>
      </c>
      <c r="AT86">
        <f t="shared" si="296"/>
        <v>-7.7317600000000042E-2</v>
      </c>
      <c r="AU86">
        <f t="shared" si="296"/>
        <v>-0.11825939999999996</v>
      </c>
      <c r="AV86">
        <f t="shared" si="296"/>
        <v>-0.16072320000000001</v>
      </c>
      <c r="AW86">
        <f t="shared" si="296"/>
        <v>-0.20470899999999997</v>
      </c>
      <c r="AX86">
        <f t="shared" si="296"/>
        <v>-0.25021680000000007</v>
      </c>
      <c r="AY86">
        <f t="shared" si="128"/>
        <v>-0.12502559999999999</v>
      </c>
      <c r="AZ86">
        <f t="shared" si="228"/>
        <v>-1.0458000000000023E-2</v>
      </c>
      <c r="BA86">
        <f t="shared" si="228"/>
        <v>-2.1335999999999994E-2</v>
      </c>
      <c r="BB86">
        <f t="shared" si="228"/>
        <v>-3.2633999999999996E-2</v>
      </c>
      <c r="BC86">
        <f t="shared" si="228"/>
        <v>-4.4352000000000003E-2</v>
      </c>
      <c r="BD86">
        <f t="shared" si="228"/>
        <v>-5.6490000000000012E-2</v>
      </c>
      <c r="BE86">
        <f t="shared" si="228"/>
        <v>-6.9048000000000026E-2</v>
      </c>
      <c r="BF86">
        <f t="shared" si="130"/>
        <v>-0.14883999999999997</v>
      </c>
      <c r="BG86">
        <f t="shared" si="278"/>
        <v>-1.2450000000000017E-2</v>
      </c>
      <c r="BH86">
        <f t="shared" si="278"/>
        <v>-2.5400000000000006E-2</v>
      </c>
      <c r="BI86">
        <f t="shared" si="278"/>
        <v>-3.8849999999999996E-2</v>
      </c>
      <c r="BJ86">
        <f t="shared" si="278"/>
        <v>-5.2800000000000014E-2</v>
      </c>
      <c r="BK86">
        <f t="shared" si="278"/>
        <v>-6.7250000000000004E-2</v>
      </c>
      <c r="BL86">
        <f t="shared" si="278"/>
        <v>-8.2200000000000023E-2</v>
      </c>
      <c r="BM86">
        <f t="shared" si="132"/>
        <v>-0.47033439999999993</v>
      </c>
      <c r="BN86">
        <f t="shared" si="279"/>
        <v>-3.9342000000000099E-2</v>
      </c>
      <c r="BO86">
        <f t="shared" si="279"/>
        <v>-8.0264000000000002E-2</v>
      </c>
      <c r="BP86">
        <f t="shared" si="279"/>
        <v>-0.12276599999999993</v>
      </c>
      <c r="BQ86">
        <f t="shared" si="279"/>
        <v>-0.166848</v>
      </c>
      <c r="BR86">
        <f t="shared" si="279"/>
        <v>-0.21250999999999998</v>
      </c>
      <c r="BS86">
        <f t="shared" si="279"/>
        <v>-0.25975200000000009</v>
      </c>
      <c r="BV86" s="9">
        <f t="shared" ref="BV86:CA86" si="297">(BV79-BV55)^2</f>
        <v>1.4690179947110069E-11</v>
      </c>
      <c r="BW86" s="9">
        <f t="shared" si="297"/>
        <v>1.642510755782571E-11</v>
      </c>
      <c r="BX86" s="9">
        <f t="shared" si="297"/>
        <v>2.2595678203271705E-12</v>
      </c>
      <c r="BY86" s="9">
        <f t="shared" si="297"/>
        <v>8.2771446933571887E-14</v>
      </c>
      <c r="BZ86" s="9">
        <f t="shared" si="297"/>
        <v>1.0000632740634352E-12</v>
      </c>
      <c r="CA86" s="9">
        <f t="shared" si="297"/>
        <v>1.9347772664960963E-13</v>
      </c>
      <c r="CB86" s="9"/>
      <c r="CR86" t="s">
        <v>753</v>
      </c>
      <c r="DV86">
        <f>M12/M2*DV88</f>
        <v>103.30375014158525</v>
      </c>
      <c r="DW86">
        <f>CH56/BY56*DW88</f>
        <v>0.44446578380979102</v>
      </c>
    </row>
    <row r="87" spans="2:137" x14ac:dyDescent="0.35">
      <c r="B87" t="s">
        <v>142</v>
      </c>
      <c r="C87" s="19">
        <f>regions!B65</f>
        <v>5363352</v>
      </c>
      <c r="D87" s="19">
        <f>regions!C65</f>
        <v>204154134528.24445</v>
      </c>
      <c r="E87" s="8">
        <f>regions!D65</f>
        <v>38064.653322818347</v>
      </c>
      <c r="F87" s="1">
        <f>regions!Z65</f>
        <v>1.7</v>
      </c>
      <c r="G87" s="8"/>
      <c r="H87" s="8"/>
      <c r="I87">
        <f t="shared" si="221"/>
        <v>0</v>
      </c>
      <c r="J87">
        <f t="shared" si="291"/>
        <v>0</v>
      </c>
      <c r="K87">
        <f t="shared" si="291"/>
        <v>0</v>
      </c>
      <c r="L87">
        <f t="shared" si="291"/>
        <v>0</v>
      </c>
      <c r="M87">
        <f t="shared" si="291"/>
        <v>0</v>
      </c>
      <c r="N87">
        <f t="shared" si="291"/>
        <v>0</v>
      </c>
      <c r="O87">
        <f t="shared" si="291"/>
        <v>0</v>
      </c>
      <c r="P87">
        <f t="shared" si="222"/>
        <v>-1.1559999999999999E-3</v>
      </c>
      <c r="Q87">
        <f t="shared" si="292"/>
        <v>-1.7600000000000007E-3</v>
      </c>
      <c r="R87">
        <f t="shared" si="292"/>
        <v>-4.3200000000000009E-3</v>
      </c>
      <c r="S87">
        <f t="shared" si="292"/>
        <v>-7.6800000000000019E-3</v>
      </c>
      <c r="T87">
        <f t="shared" si="292"/>
        <v>-1.184E-2</v>
      </c>
      <c r="U87">
        <f t="shared" si="292"/>
        <v>-1.6799999999999999E-2</v>
      </c>
      <c r="V87">
        <f t="shared" si="292"/>
        <v>-2.2560000000000004E-2</v>
      </c>
      <c r="W87">
        <f t="shared" si="223"/>
        <v>-1.4449999999999999E-3</v>
      </c>
      <c r="X87">
        <f t="shared" si="293"/>
        <v>-2.2000000000000006E-3</v>
      </c>
      <c r="Y87">
        <f t="shared" si="293"/>
        <v>-5.4000000000000003E-3</v>
      </c>
      <c r="Z87">
        <f t="shared" si="293"/>
        <v>-9.6000000000000026E-3</v>
      </c>
      <c r="AA87">
        <f t="shared" si="293"/>
        <v>-1.4800000000000002E-2</v>
      </c>
      <c r="AB87">
        <f t="shared" si="293"/>
        <v>-2.1000000000000001E-2</v>
      </c>
      <c r="AC87">
        <f t="shared" si="293"/>
        <v>-2.8200000000000006E-2</v>
      </c>
      <c r="AD87">
        <f t="shared" si="224"/>
        <v>-1.3091699999999999E-3</v>
      </c>
      <c r="AE87">
        <f t="shared" si="294"/>
        <v>-1.9932000000000005E-3</v>
      </c>
      <c r="AF87">
        <f t="shared" si="294"/>
        <v>-4.8924000000000007E-3</v>
      </c>
      <c r="AG87">
        <f t="shared" si="294"/>
        <v>-8.6976000000000015E-3</v>
      </c>
      <c r="AH87">
        <f t="shared" si="294"/>
        <v>-1.34088E-2</v>
      </c>
      <c r="AI87">
        <f t="shared" si="294"/>
        <v>-1.9026000000000001E-2</v>
      </c>
      <c r="AJ87">
        <f t="shared" si="294"/>
        <v>-2.5549200000000005E-2</v>
      </c>
      <c r="AK87">
        <f t="shared" si="225"/>
        <v>-1.4739E-3</v>
      </c>
      <c r="AL87">
        <f t="shared" si="295"/>
        <v>-2.2440000000000003E-3</v>
      </c>
      <c r="AM87">
        <f t="shared" si="295"/>
        <v>-5.5080000000000007E-3</v>
      </c>
      <c r="AN87">
        <f t="shared" si="295"/>
        <v>-9.7920000000000021E-3</v>
      </c>
      <c r="AO87">
        <f t="shared" si="295"/>
        <v>-1.5096000000000002E-2</v>
      </c>
      <c r="AP87">
        <f t="shared" si="295"/>
        <v>-2.1420000000000002E-2</v>
      </c>
      <c r="AQ87">
        <f t="shared" si="295"/>
        <v>-2.8764000000000005E-2</v>
      </c>
      <c r="AR87">
        <f t="shared" si="226"/>
        <v>-2.1992899999999996E-3</v>
      </c>
      <c r="AS87">
        <f t="shared" si="296"/>
        <v>-3.3484000000000005E-3</v>
      </c>
      <c r="AT87">
        <f t="shared" si="296"/>
        <v>-8.2188000000000001E-3</v>
      </c>
      <c r="AU87">
        <f t="shared" si="296"/>
        <v>-1.4611200000000001E-2</v>
      </c>
      <c r="AV87">
        <f t="shared" si="296"/>
        <v>-2.25256E-2</v>
      </c>
      <c r="AW87">
        <f t="shared" si="296"/>
        <v>-3.1961999999999997E-2</v>
      </c>
      <c r="AX87">
        <f t="shared" si="296"/>
        <v>-4.2920400000000004E-2</v>
      </c>
      <c r="AY87">
        <f t="shared" si="128"/>
        <v>-6.0689999999999995E-4</v>
      </c>
      <c r="AZ87">
        <f t="shared" si="228"/>
        <v>-9.2400000000000023E-4</v>
      </c>
      <c r="BA87">
        <f t="shared" si="228"/>
        <v>-2.2680000000000005E-3</v>
      </c>
      <c r="BB87">
        <f t="shared" si="228"/>
        <v>-4.0320000000000009E-3</v>
      </c>
      <c r="BC87">
        <f t="shared" si="228"/>
        <v>-6.216000000000001E-3</v>
      </c>
      <c r="BD87">
        <f t="shared" si="228"/>
        <v>-8.8199999999999997E-3</v>
      </c>
      <c r="BE87">
        <f t="shared" si="228"/>
        <v>-1.1844000000000002E-2</v>
      </c>
      <c r="BF87">
        <f t="shared" si="130"/>
        <v>-7.2249999999999994E-4</v>
      </c>
      <c r="BG87">
        <f t="shared" si="278"/>
        <v>-1.1000000000000003E-3</v>
      </c>
      <c r="BH87">
        <f t="shared" si="278"/>
        <v>-2.7000000000000001E-3</v>
      </c>
      <c r="BI87">
        <f t="shared" si="278"/>
        <v>-4.8000000000000013E-3</v>
      </c>
      <c r="BJ87">
        <f t="shared" si="278"/>
        <v>-7.4000000000000012E-3</v>
      </c>
      <c r="BK87">
        <f t="shared" si="278"/>
        <v>-1.0500000000000001E-2</v>
      </c>
      <c r="BL87">
        <f t="shared" si="278"/>
        <v>-1.4100000000000003E-2</v>
      </c>
      <c r="BM87">
        <f t="shared" si="132"/>
        <v>-2.2830999999999997E-3</v>
      </c>
      <c r="BN87">
        <f t="shared" si="279"/>
        <v>-3.4760000000000008E-3</v>
      </c>
      <c r="BO87">
        <f t="shared" si="279"/>
        <v>-8.5320000000000014E-3</v>
      </c>
      <c r="BP87">
        <f t="shared" si="279"/>
        <v>-1.5168000000000004E-2</v>
      </c>
      <c r="BQ87">
        <f t="shared" si="279"/>
        <v>-2.3384000000000002E-2</v>
      </c>
      <c r="BR87">
        <f t="shared" si="279"/>
        <v>-3.3180000000000001E-2</v>
      </c>
      <c r="BS87">
        <f t="shared" si="279"/>
        <v>-4.4556000000000012E-2</v>
      </c>
      <c r="BV87" s="9">
        <f t="shared" ref="BV87:CA87" si="298">(BV80-BV56)^2</f>
        <v>2.60988707320821E-11</v>
      </c>
      <c r="BW87" s="9">
        <f t="shared" si="298"/>
        <v>2.9204795664458607E-11</v>
      </c>
      <c r="BX87" s="9">
        <f t="shared" si="298"/>
        <v>4.0178467076796543E-12</v>
      </c>
      <c r="BY87" s="9">
        <f t="shared" si="298"/>
        <v>1.4705075749642012E-13</v>
      </c>
      <c r="BZ87" s="9">
        <f t="shared" si="298"/>
        <v>1.7776531674403926E-12</v>
      </c>
      <c r="CA87" s="9">
        <f t="shared" si="298"/>
        <v>3.4388281043987503E-13</v>
      </c>
      <c r="CB87" s="9"/>
      <c r="CR87" t="s">
        <v>759</v>
      </c>
      <c r="DT87" s="5">
        <f>DT88*graph!C66/graph!B66+DT88</f>
        <v>0.69218423304712706</v>
      </c>
      <c r="DU87" s="5">
        <f>DU88*graph!C66/graph!B66+DU88</f>
        <v>0.83278661333554194</v>
      </c>
      <c r="DV87" s="5">
        <f>M12/M2*DV88</f>
        <v>103.30375014158525</v>
      </c>
      <c r="DW87" s="5">
        <f>CH56/BY56*DW88</f>
        <v>0.44446578380979102</v>
      </c>
    </row>
    <row r="88" spans="2:137" x14ac:dyDescent="0.35">
      <c r="B88" t="s">
        <v>143</v>
      </c>
      <c r="C88" s="19">
        <f>regions!B66</f>
        <v>65031235</v>
      </c>
      <c r="D88" s="19">
        <f>regions!C66</f>
        <v>2204446339914.4404</v>
      </c>
      <c r="E88" s="8">
        <f>regions!D66</f>
        <v>33898.26965325878</v>
      </c>
      <c r="F88" s="1">
        <f>regions!Z66</f>
        <v>10.7</v>
      </c>
      <c r="G88" s="8"/>
      <c r="H88" s="8"/>
      <c r="I88">
        <f t="shared" si="221"/>
        <v>0</v>
      </c>
      <c r="J88">
        <f t="shared" si="291"/>
        <v>0</v>
      </c>
      <c r="K88">
        <f t="shared" si="291"/>
        <v>0</v>
      </c>
      <c r="L88">
        <f t="shared" si="291"/>
        <v>0</v>
      </c>
      <c r="M88">
        <f t="shared" si="291"/>
        <v>0</v>
      </c>
      <c r="N88">
        <f t="shared" si="291"/>
        <v>0</v>
      </c>
      <c r="O88">
        <f t="shared" si="291"/>
        <v>0</v>
      </c>
      <c r="P88">
        <f t="shared" si="222"/>
        <v>-4.5795999999999996E-2</v>
      </c>
      <c r="Q88">
        <f t="shared" si="292"/>
        <v>-8.9600000000000027E-3</v>
      </c>
      <c r="R88">
        <f t="shared" si="292"/>
        <v>-1.8720000000000007E-2</v>
      </c>
      <c r="S88">
        <f t="shared" si="292"/>
        <v>-2.9279999999999994E-2</v>
      </c>
      <c r="T88">
        <f t="shared" si="292"/>
        <v>-4.0640000000000003E-2</v>
      </c>
      <c r="U88">
        <f t="shared" si="292"/>
        <v>-5.2800000000000007E-2</v>
      </c>
      <c r="V88">
        <f t="shared" si="292"/>
        <v>-6.5760000000000013E-2</v>
      </c>
      <c r="W88">
        <f t="shared" si="223"/>
        <v>-5.724499999999999E-2</v>
      </c>
      <c r="X88">
        <f t="shared" si="293"/>
        <v>-1.1200000000000002E-2</v>
      </c>
      <c r="Y88">
        <f t="shared" si="293"/>
        <v>-2.3400000000000004E-2</v>
      </c>
      <c r="Z88">
        <f t="shared" si="293"/>
        <v>-3.6599999999999994E-2</v>
      </c>
      <c r="AA88">
        <f t="shared" si="293"/>
        <v>-5.0799999999999998E-2</v>
      </c>
      <c r="AB88">
        <f t="shared" si="293"/>
        <v>-6.6000000000000003E-2</v>
      </c>
      <c r="AC88">
        <f t="shared" si="293"/>
        <v>-8.2199999999999995E-2</v>
      </c>
      <c r="AD88">
        <f t="shared" si="224"/>
        <v>-5.1863969999999995E-2</v>
      </c>
      <c r="AE88">
        <f t="shared" si="294"/>
        <v>-1.0147200000000002E-2</v>
      </c>
      <c r="AF88">
        <f t="shared" si="294"/>
        <v>-2.1200400000000008E-2</v>
      </c>
      <c r="AG88">
        <f t="shared" si="294"/>
        <v>-3.3159599999999997E-2</v>
      </c>
      <c r="AH88">
        <f t="shared" si="294"/>
        <v>-4.6024799999999991E-2</v>
      </c>
      <c r="AI88">
        <f t="shared" si="294"/>
        <v>-5.9796000000000002E-2</v>
      </c>
      <c r="AJ88">
        <f t="shared" si="294"/>
        <v>-7.4473200000000003E-2</v>
      </c>
      <c r="AK88">
        <f t="shared" si="225"/>
        <v>-5.8389899999999995E-2</v>
      </c>
      <c r="AL88">
        <f t="shared" si="295"/>
        <v>-1.1424000000000004E-2</v>
      </c>
      <c r="AM88">
        <f t="shared" si="295"/>
        <v>-2.3868E-2</v>
      </c>
      <c r="AN88">
        <f t="shared" si="295"/>
        <v>-3.733199999999999E-2</v>
      </c>
      <c r="AO88">
        <f t="shared" si="295"/>
        <v>-5.1816000000000001E-2</v>
      </c>
      <c r="AP88">
        <f t="shared" si="295"/>
        <v>-6.7319999999999991E-2</v>
      </c>
      <c r="AQ88">
        <f t="shared" si="295"/>
        <v>-8.3844000000000002E-2</v>
      </c>
      <c r="AR88">
        <f t="shared" si="226"/>
        <v>-8.7126889999999985E-2</v>
      </c>
      <c r="AS88">
        <f t="shared" si="296"/>
        <v>-1.7046400000000003E-2</v>
      </c>
      <c r="AT88">
        <f t="shared" si="296"/>
        <v>-3.5614800000000002E-2</v>
      </c>
      <c r="AU88">
        <f t="shared" si="296"/>
        <v>-5.5705199999999983E-2</v>
      </c>
      <c r="AV88">
        <f t="shared" si="296"/>
        <v>-7.7317599999999986E-2</v>
      </c>
      <c r="AW88">
        <f t="shared" si="296"/>
        <v>-0.10045199999999999</v>
      </c>
      <c r="AX88">
        <f t="shared" si="296"/>
        <v>-0.12510839999999998</v>
      </c>
      <c r="AY88">
        <f t="shared" si="128"/>
        <v>-2.4042899999999996E-2</v>
      </c>
      <c r="AZ88">
        <f t="shared" si="228"/>
        <v>-4.7040000000000033E-3</v>
      </c>
      <c r="BA88">
        <f t="shared" si="228"/>
        <v>-9.8280000000000069E-3</v>
      </c>
      <c r="BB88">
        <f t="shared" si="228"/>
        <v>-1.5372E-2</v>
      </c>
      <c r="BC88">
        <f t="shared" si="228"/>
        <v>-2.1336000000000004E-2</v>
      </c>
      <c r="BD88">
        <f t="shared" si="228"/>
        <v>-2.7720000000000005E-2</v>
      </c>
      <c r="BE88">
        <f t="shared" si="228"/>
        <v>-3.4523999999999999E-2</v>
      </c>
      <c r="BF88">
        <f t="shared" si="130"/>
        <v>-2.8622499999999995E-2</v>
      </c>
      <c r="BG88">
        <f t="shared" si="278"/>
        <v>-5.6000000000000008E-3</v>
      </c>
      <c r="BH88">
        <f t="shared" si="278"/>
        <v>-1.1700000000000002E-2</v>
      </c>
      <c r="BI88">
        <f t="shared" si="278"/>
        <v>-1.8299999999999997E-2</v>
      </c>
      <c r="BJ88">
        <f t="shared" si="278"/>
        <v>-2.5399999999999999E-2</v>
      </c>
      <c r="BK88">
        <f t="shared" si="278"/>
        <v>-3.3000000000000002E-2</v>
      </c>
      <c r="BL88">
        <f t="shared" si="278"/>
        <v>-4.1099999999999998E-2</v>
      </c>
      <c r="BM88">
        <f t="shared" si="132"/>
        <v>-9.0447099999999989E-2</v>
      </c>
      <c r="BN88">
        <f t="shared" si="279"/>
        <v>-1.7696000000000003E-2</v>
      </c>
      <c r="BO88">
        <f t="shared" si="279"/>
        <v>-3.6972000000000019E-2</v>
      </c>
      <c r="BP88">
        <f t="shared" si="279"/>
        <v>-5.7827999999999977E-2</v>
      </c>
      <c r="BQ88">
        <f t="shared" si="279"/>
        <v>-8.0263999999999988E-2</v>
      </c>
      <c r="BR88">
        <f t="shared" si="279"/>
        <v>-0.10428</v>
      </c>
      <c r="BS88">
        <f t="shared" si="279"/>
        <v>-0.12987599999999999</v>
      </c>
      <c r="BV88" s="9">
        <f t="shared" ref="BV88:CA88" si="299">(BV81-BV57)^2</f>
        <v>4.074538023899353E-11</v>
      </c>
      <c r="BW88" s="9">
        <f t="shared" si="299"/>
        <v>4.5641741071879514E-11</v>
      </c>
      <c r="BX88" s="9">
        <f t="shared" si="299"/>
        <v>6.2795674042377212E-12</v>
      </c>
      <c r="BY88" s="9">
        <f t="shared" si="299"/>
        <v>2.2956905935038387E-13</v>
      </c>
      <c r="BZ88" s="9">
        <f t="shared" si="299"/>
        <v>2.7771068266761679E-12</v>
      </c>
      <c r="CA88" s="9">
        <f t="shared" si="299"/>
        <v>5.3716104049560288E-13</v>
      </c>
      <c r="CB88" s="9"/>
      <c r="CR88" t="s">
        <v>758</v>
      </c>
      <c r="DT88" s="5">
        <f>DQ83*DT1</f>
        <v>-1.8367139441236371</v>
      </c>
      <c r="DU88" s="5">
        <f>DU83</f>
        <v>-2.2098029862069213</v>
      </c>
      <c r="DV88" s="5">
        <f>DV83</f>
        <v>-36.000599982332403</v>
      </c>
      <c r="DW88" s="1">
        <f>DW83</f>
        <v>-1.5537556768267735</v>
      </c>
    </row>
    <row r="89" spans="2:137" x14ac:dyDescent="0.35">
      <c r="B89" t="s">
        <v>371</v>
      </c>
      <c r="C89" s="19">
        <f>regions!B67</f>
        <v>1556222</v>
      </c>
      <c r="D89" s="19">
        <f>regions!C67</f>
        <v>9684595588.4366875</v>
      </c>
      <c r="E89" s="8">
        <f>regions!D67</f>
        <v>6223.1452764687092</v>
      </c>
      <c r="F89" s="1">
        <f>regions!Z67</f>
        <v>25</v>
      </c>
      <c r="G89" s="8"/>
      <c r="H89" s="8"/>
      <c r="I89">
        <f t="shared" si="221"/>
        <v>0</v>
      </c>
      <c r="J89">
        <f t="shared" si="291"/>
        <v>0</v>
      </c>
      <c r="K89">
        <f t="shared" si="291"/>
        <v>0</v>
      </c>
      <c r="L89">
        <f t="shared" si="291"/>
        <v>0</v>
      </c>
      <c r="M89">
        <f t="shared" si="291"/>
        <v>0</v>
      </c>
      <c r="N89">
        <f t="shared" si="291"/>
        <v>0</v>
      </c>
      <c r="O89">
        <f t="shared" si="291"/>
        <v>0</v>
      </c>
      <c r="P89">
        <f t="shared" si="222"/>
        <v>-0.25</v>
      </c>
      <c r="Q89">
        <f t="shared" si="292"/>
        <v>-2.0400000000000029E-2</v>
      </c>
      <c r="R89">
        <f t="shared" si="292"/>
        <v>-4.1600000000000026E-2</v>
      </c>
      <c r="S89">
        <f t="shared" si="292"/>
        <v>-6.359999999999999E-2</v>
      </c>
      <c r="T89">
        <f t="shared" si="292"/>
        <v>-8.6400000000000032E-2</v>
      </c>
      <c r="U89">
        <f t="shared" si="292"/>
        <v>-0.11000000000000004</v>
      </c>
      <c r="V89">
        <f t="shared" si="292"/>
        <v>-0.13440000000000002</v>
      </c>
      <c r="W89">
        <f t="shared" si="223"/>
        <v>-0.3125</v>
      </c>
      <c r="X89">
        <f t="shared" si="293"/>
        <v>-2.5500000000000023E-2</v>
      </c>
      <c r="Y89">
        <f t="shared" si="293"/>
        <v>-5.1999999999999991E-2</v>
      </c>
      <c r="Z89">
        <f t="shared" si="293"/>
        <v>-7.9500000000000015E-2</v>
      </c>
      <c r="AA89">
        <f t="shared" si="293"/>
        <v>-0.10799999999999998</v>
      </c>
      <c r="AB89">
        <f t="shared" si="293"/>
        <v>-0.13750000000000001</v>
      </c>
      <c r="AC89">
        <f t="shared" si="293"/>
        <v>-0.16799999999999998</v>
      </c>
      <c r="AD89">
        <f t="shared" si="224"/>
        <v>-0.28312500000000002</v>
      </c>
      <c r="AE89">
        <f t="shared" si="294"/>
        <v>-2.3102999999999985E-2</v>
      </c>
      <c r="AF89">
        <f t="shared" si="294"/>
        <v>-4.7111999999999987E-2</v>
      </c>
      <c r="AG89">
        <f t="shared" si="294"/>
        <v>-7.2027000000000008E-2</v>
      </c>
      <c r="AH89">
        <f t="shared" si="294"/>
        <v>-9.7847999999999991E-2</v>
      </c>
      <c r="AI89">
        <f t="shared" si="294"/>
        <v>-0.12457499999999999</v>
      </c>
      <c r="AJ89">
        <f t="shared" si="294"/>
        <v>-0.15220800000000001</v>
      </c>
      <c r="AK89">
        <f t="shared" si="225"/>
        <v>-0.31875000000000003</v>
      </c>
      <c r="AL89">
        <f t="shared" si="295"/>
        <v>-2.6009999999999978E-2</v>
      </c>
      <c r="AM89">
        <f t="shared" si="295"/>
        <v>-5.3039999999999976E-2</v>
      </c>
      <c r="AN89">
        <f t="shared" si="295"/>
        <v>-8.1089999999999995E-2</v>
      </c>
      <c r="AO89">
        <f t="shared" si="295"/>
        <v>-0.11015999999999998</v>
      </c>
      <c r="AP89">
        <f t="shared" si="295"/>
        <v>-0.14024999999999999</v>
      </c>
      <c r="AQ89">
        <f t="shared" si="295"/>
        <v>-0.17136000000000001</v>
      </c>
      <c r="AR89">
        <f t="shared" si="226"/>
        <v>-0.47562499999999996</v>
      </c>
      <c r="AS89">
        <f t="shared" si="296"/>
        <v>-3.881100000000004E-2</v>
      </c>
      <c r="AT89">
        <f t="shared" si="296"/>
        <v>-7.9143999999999992E-2</v>
      </c>
      <c r="AU89">
        <f t="shared" si="296"/>
        <v>-0.12099899999999997</v>
      </c>
      <c r="AV89">
        <f t="shared" si="296"/>
        <v>-0.16437599999999997</v>
      </c>
      <c r="AW89">
        <f t="shared" si="296"/>
        <v>-0.20927499999999999</v>
      </c>
      <c r="AX89">
        <f t="shared" si="296"/>
        <v>-0.25569600000000003</v>
      </c>
      <c r="AY89">
        <f t="shared" si="128"/>
        <v>-0.13125000000000001</v>
      </c>
      <c r="AZ89">
        <f t="shared" si="228"/>
        <v>-1.0709999999999997E-2</v>
      </c>
      <c r="BA89">
        <f t="shared" si="228"/>
        <v>-2.1839999999999998E-2</v>
      </c>
      <c r="BB89">
        <f t="shared" si="228"/>
        <v>-3.3390000000000003E-2</v>
      </c>
      <c r="BC89">
        <f t="shared" si="228"/>
        <v>-4.5360000000000011E-2</v>
      </c>
      <c r="BD89">
        <f t="shared" si="228"/>
        <v>-5.7749999999999996E-2</v>
      </c>
      <c r="BE89">
        <f t="shared" si="228"/>
        <v>-7.0560000000000012E-2</v>
      </c>
      <c r="BF89">
        <f t="shared" si="130"/>
        <v>-0.15625</v>
      </c>
      <c r="BG89">
        <f t="shared" si="278"/>
        <v>-1.2750000000000011E-2</v>
      </c>
      <c r="BH89">
        <f t="shared" si="278"/>
        <v>-2.5999999999999995E-2</v>
      </c>
      <c r="BI89">
        <f t="shared" si="278"/>
        <v>-3.9750000000000008E-2</v>
      </c>
      <c r="BJ89">
        <f t="shared" si="278"/>
        <v>-5.3999999999999992E-2</v>
      </c>
      <c r="BK89">
        <f t="shared" si="278"/>
        <v>-6.8750000000000006E-2</v>
      </c>
      <c r="BL89">
        <f t="shared" si="278"/>
        <v>-8.3999999999999991E-2</v>
      </c>
      <c r="BM89">
        <f t="shared" si="132"/>
        <v>-0.49375000000000002</v>
      </c>
      <c r="BN89">
        <f t="shared" si="279"/>
        <v>-4.0289999999999937E-2</v>
      </c>
      <c r="BO89">
        <f t="shared" si="279"/>
        <v>-8.2160000000000011E-2</v>
      </c>
      <c r="BP89">
        <f t="shared" si="279"/>
        <v>-0.12561</v>
      </c>
      <c r="BQ89">
        <f t="shared" si="279"/>
        <v>-0.17064000000000001</v>
      </c>
      <c r="BR89">
        <f t="shared" si="279"/>
        <v>-0.21724999999999994</v>
      </c>
      <c r="BS89">
        <f t="shared" si="279"/>
        <v>-0.26544000000000001</v>
      </c>
      <c r="BV89" s="9">
        <f t="shared" ref="BV89:CA89" si="300">(BV82-BV58)^2</f>
        <v>5.861344514378499E-11</v>
      </c>
      <c r="BW89" s="9">
        <f t="shared" si="300"/>
        <v>6.5740378588950214E-11</v>
      </c>
      <c r="BX89" s="9">
        <f t="shared" si="300"/>
        <v>9.0455371360564549E-12</v>
      </c>
      <c r="BY89" s="9">
        <f t="shared" si="300"/>
        <v>3.3023161147094523E-13</v>
      </c>
      <c r="BZ89" s="9">
        <f t="shared" si="300"/>
        <v>3.9981957770347412E-12</v>
      </c>
      <c r="CA89" s="9">
        <f t="shared" si="300"/>
        <v>7.7323766017776839E-13</v>
      </c>
      <c r="CB89" s="9"/>
      <c r="CR89" t="s">
        <v>760</v>
      </c>
      <c r="DT89" s="5">
        <f>DT88-DT88*graph!D66/graph!B66</f>
        <v>-5.2723168714972832</v>
      </c>
      <c r="DU89" s="5">
        <f>DU88-DU88*graph!D66/graph!B66</f>
        <v>-6.3432749580516967</v>
      </c>
      <c r="DV89" s="5">
        <f>M13/M2*DV88</f>
        <v>-352.00250210030214</v>
      </c>
      <c r="DW89" s="5">
        <f>CG56/BY56*DW88</f>
        <v>-6.3244856264148126</v>
      </c>
    </row>
    <row r="90" spans="2:137" x14ac:dyDescent="0.35">
      <c r="B90" t="s">
        <v>372</v>
      </c>
      <c r="C90" s="19">
        <f>regions!B68</f>
        <v>1680640</v>
      </c>
      <c r="D90" s="19">
        <f>regions!C68</f>
        <v>784275580.67721629</v>
      </c>
      <c r="E90" s="8">
        <f>regions!D68</f>
        <v>466.6529302392043</v>
      </c>
      <c r="F90" s="1">
        <f>regions!Z68</f>
        <v>27.5</v>
      </c>
      <c r="G90" s="8"/>
      <c r="H90" s="8"/>
      <c r="I90">
        <f t="shared" ref="I90:I121" si="301">IF(E90&lt;E$24,$D$11*$F90,0)</f>
        <v>-0.38334999999999997</v>
      </c>
      <c r="J90">
        <f t="shared" si="291"/>
        <v>-1.3940000000000008E-2</v>
      </c>
      <c r="K90">
        <f t="shared" si="291"/>
        <v>-2.7880000000000016E-2</v>
      </c>
      <c r="L90">
        <f t="shared" si="291"/>
        <v>-4.1820000000000024E-2</v>
      </c>
      <c r="M90">
        <f t="shared" si="291"/>
        <v>-5.5760000000000032E-2</v>
      </c>
      <c r="N90">
        <f t="shared" si="291"/>
        <v>-6.9699999999999984E-2</v>
      </c>
      <c r="O90">
        <f t="shared" si="291"/>
        <v>-8.3639999999999992E-2</v>
      </c>
      <c r="P90">
        <f t="shared" ref="P90:P121" si="302">$D$13*$F90^2</f>
        <v>-0.30249999999999999</v>
      </c>
      <c r="Q90">
        <f t="shared" si="292"/>
        <v>-2.2400000000000031E-2</v>
      </c>
      <c r="R90">
        <f t="shared" si="292"/>
        <v>-4.5600000000000029E-2</v>
      </c>
      <c r="S90">
        <f t="shared" si="292"/>
        <v>-6.9600000000000051E-2</v>
      </c>
      <c r="T90">
        <f t="shared" si="292"/>
        <v>-9.4400000000000039E-2</v>
      </c>
      <c r="U90">
        <f t="shared" si="292"/>
        <v>-0.12000000000000005</v>
      </c>
      <c r="V90">
        <f t="shared" si="292"/>
        <v>-0.14640000000000003</v>
      </c>
      <c r="W90">
        <f t="shared" ref="W90:W121" si="303">$D$15*$F90^2</f>
        <v>-0.37812499999999999</v>
      </c>
      <c r="X90">
        <f t="shared" si="293"/>
        <v>-2.8000000000000025E-2</v>
      </c>
      <c r="Y90">
        <f t="shared" si="293"/>
        <v>-5.6999999999999995E-2</v>
      </c>
      <c r="Z90">
        <f t="shared" si="293"/>
        <v>-8.7000000000000022E-2</v>
      </c>
      <c r="AA90">
        <f t="shared" si="293"/>
        <v>-0.11799999999999999</v>
      </c>
      <c r="AB90">
        <f t="shared" si="293"/>
        <v>-0.14999999999999997</v>
      </c>
      <c r="AC90">
        <f t="shared" si="293"/>
        <v>-0.183</v>
      </c>
      <c r="AD90">
        <f t="shared" ref="AD90:AD121" si="304">$D$10*$F90^2</f>
        <v>-0.34258125</v>
      </c>
      <c r="AE90">
        <f t="shared" si="294"/>
        <v>-2.5368000000000002E-2</v>
      </c>
      <c r="AF90">
        <f t="shared" si="294"/>
        <v>-5.1642000000000021E-2</v>
      </c>
      <c r="AG90">
        <f t="shared" si="294"/>
        <v>-7.8822000000000003E-2</v>
      </c>
      <c r="AH90">
        <f t="shared" si="294"/>
        <v>-0.106908</v>
      </c>
      <c r="AI90">
        <f t="shared" si="294"/>
        <v>-0.13590000000000002</v>
      </c>
      <c r="AJ90">
        <f t="shared" si="294"/>
        <v>-0.16579800000000006</v>
      </c>
      <c r="AK90">
        <f t="shared" ref="AK90:AK121" si="305">$D$17*$F90^2</f>
        <v>-0.38568750000000002</v>
      </c>
      <c r="AL90">
        <f t="shared" si="295"/>
        <v>-2.856000000000003E-2</v>
      </c>
      <c r="AM90">
        <f t="shared" si="295"/>
        <v>-5.8140000000000025E-2</v>
      </c>
      <c r="AN90">
        <f t="shared" si="295"/>
        <v>-8.8740000000000041E-2</v>
      </c>
      <c r="AO90">
        <f t="shared" si="295"/>
        <v>-0.12035999999999997</v>
      </c>
      <c r="AP90">
        <f t="shared" si="295"/>
        <v>-0.15299999999999997</v>
      </c>
      <c r="AQ90">
        <f t="shared" si="295"/>
        <v>-0.18665999999999999</v>
      </c>
      <c r="AR90">
        <f t="shared" ref="AR90:AR121" si="306">$D$8*$F90^2</f>
        <v>-0.57550625</v>
      </c>
      <c r="AS90">
        <f t="shared" si="296"/>
        <v>-4.2615999999999987E-2</v>
      </c>
      <c r="AT90">
        <f t="shared" si="296"/>
        <v>-8.6753999999999998E-2</v>
      </c>
      <c r="AU90">
        <f t="shared" si="296"/>
        <v>-0.13241399999999992</v>
      </c>
      <c r="AV90">
        <f t="shared" si="296"/>
        <v>-0.17959599999999998</v>
      </c>
      <c r="AW90">
        <f t="shared" si="296"/>
        <v>-0.22829999999999995</v>
      </c>
      <c r="AX90">
        <f t="shared" si="296"/>
        <v>-0.27852599999999994</v>
      </c>
      <c r="AY90">
        <f t="shared" si="128"/>
        <v>-0.1588125</v>
      </c>
      <c r="AZ90">
        <f t="shared" si="228"/>
        <v>-1.176000000000002E-2</v>
      </c>
      <c r="BA90">
        <f t="shared" si="228"/>
        <v>-2.3940000000000017E-2</v>
      </c>
      <c r="BB90">
        <f t="shared" si="228"/>
        <v>-3.6540000000000017E-2</v>
      </c>
      <c r="BC90">
        <f t="shared" si="228"/>
        <v>-4.9560000000000021E-2</v>
      </c>
      <c r="BD90">
        <f t="shared" si="228"/>
        <v>-6.3E-2</v>
      </c>
      <c r="BE90">
        <f t="shared" si="228"/>
        <v>-7.6860000000000012E-2</v>
      </c>
      <c r="BF90">
        <f t="shared" si="130"/>
        <v>-0.18906249999999999</v>
      </c>
      <c r="BG90">
        <f t="shared" si="278"/>
        <v>-1.4000000000000012E-2</v>
      </c>
      <c r="BH90">
        <f t="shared" si="278"/>
        <v>-2.8499999999999998E-2</v>
      </c>
      <c r="BI90">
        <f t="shared" si="278"/>
        <v>-4.3500000000000011E-2</v>
      </c>
      <c r="BJ90">
        <f t="shared" si="278"/>
        <v>-5.8999999999999997E-2</v>
      </c>
      <c r="BK90">
        <f t="shared" si="278"/>
        <v>-7.4999999999999983E-2</v>
      </c>
      <c r="BL90">
        <f t="shared" si="278"/>
        <v>-9.1499999999999998E-2</v>
      </c>
      <c r="BM90">
        <f t="shared" si="132"/>
        <v>-0.59743749999999995</v>
      </c>
      <c r="BN90">
        <f t="shared" si="279"/>
        <v>-4.4240000000000057E-2</v>
      </c>
      <c r="BO90">
        <f t="shared" si="279"/>
        <v>-9.0060000000000029E-2</v>
      </c>
      <c r="BP90">
        <f t="shared" si="279"/>
        <v>-0.13746000000000003</v>
      </c>
      <c r="BQ90">
        <f t="shared" si="279"/>
        <v>-0.18644000000000005</v>
      </c>
      <c r="BR90">
        <f t="shared" si="279"/>
        <v>-0.2370000000000001</v>
      </c>
      <c r="BS90">
        <f t="shared" si="279"/>
        <v>-0.28914000000000006</v>
      </c>
      <c r="BV90" s="9"/>
      <c r="BW90" s="9"/>
      <c r="BX90" s="9"/>
      <c r="BY90" s="9"/>
      <c r="BZ90" s="9"/>
      <c r="CA90" s="9"/>
      <c r="CB90" s="9"/>
      <c r="CR90" t="s">
        <v>752</v>
      </c>
      <c r="DV90">
        <f>M13/M2*DV88</f>
        <v>-352.00250210030214</v>
      </c>
      <c r="DW90">
        <f>CG56/BY56*DW88</f>
        <v>-6.3244856264148126</v>
      </c>
    </row>
    <row r="91" spans="2:137" x14ac:dyDescent="0.35">
      <c r="B91" t="s">
        <v>222</v>
      </c>
      <c r="C91" s="19">
        <f>regions!B69</f>
        <v>4452800</v>
      </c>
      <c r="D91" s="19">
        <f>regions!C69</f>
        <v>8241335082.6298161</v>
      </c>
      <c r="E91" s="8">
        <f>regions!D69</f>
        <v>1850.8208503929698</v>
      </c>
      <c r="F91" s="1">
        <f>regions!Z69</f>
        <v>5.8</v>
      </c>
      <c r="G91" s="8"/>
      <c r="H91" s="8"/>
      <c r="I91">
        <f t="shared" si="301"/>
        <v>-8.0851999999999993E-2</v>
      </c>
      <c r="J91">
        <f t="shared" si="291"/>
        <v>-1.3939999999999994E-2</v>
      </c>
      <c r="K91">
        <f t="shared" si="291"/>
        <v>-2.7880000000000002E-2</v>
      </c>
      <c r="L91">
        <f t="shared" si="291"/>
        <v>-4.182000000000001E-2</v>
      </c>
      <c r="M91">
        <f t="shared" si="291"/>
        <v>-5.5760000000000018E-2</v>
      </c>
      <c r="N91">
        <f t="shared" si="291"/>
        <v>-6.9699999999999998E-2</v>
      </c>
      <c r="O91">
        <f t="shared" si="291"/>
        <v>-8.3640000000000006E-2</v>
      </c>
      <c r="P91">
        <f t="shared" si="302"/>
        <v>-1.3456000000000001E-2</v>
      </c>
      <c r="Q91">
        <f t="shared" si="292"/>
        <v>-5.0399999999999976E-3</v>
      </c>
      <c r="R91">
        <f t="shared" si="292"/>
        <v>-1.0879999999999999E-2</v>
      </c>
      <c r="S91">
        <f t="shared" si="292"/>
        <v>-1.7520000000000008E-2</v>
      </c>
      <c r="T91">
        <f t="shared" si="292"/>
        <v>-2.496000000000001E-2</v>
      </c>
      <c r="U91">
        <f t="shared" si="292"/>
        <v>-3.3200000000000007E-2</v>
      </c>
      <c r="V91">
        <f t="shared" si="292"/>
        <v>-4.2240000000000007E-2</v>
      </c>
      <c r="W91">
        <f t="shared" si="303"/>
        <v>-1.6820000000000002E-2</v>
      </c>
      <c r="X91">
        <f t="shared" si="293"/>
        <v>-6.2999999999999966E-3</v>
      </c>
      <c r="Y91">
        <f t="shared" si="293"/>
        <v>-1.3599999999999998E-2</v>
      </c>
      <c r="Z91">
        <f t="shared" si="293"/>
        <v>-2.1900000000000003E-2</v>
      </c>
      <c r="AA91">
        <f t="shared" si="293"/>
        <v>-3.1200000000000012E-2</v>
      </c>
      <c r="AB91">
        <f t="shared" si="293"/>
        <v>-4.1500000000000009E-2</v>
      </c>
      <c r="AC91">
        <f t="shared" si="293"/>
        <v>-5.28E-2</v>
      </c>
      <c r="AD91">
        <f t="shared" si="304"/>
        <v>-1.5238920000000001E-2</v>
      </c>
      <c r="AE91">
        <f t="shared" si="294"/>
        <v>-5.7077999999999973E-3</v>
      </c>
      <c r="AF91">
        <f t="shared" si="294"/>
        <v>-1.2321599999999997E-2</v>
      </c>
      <c r="AG91">
        <f t="shared" si="294"/>
        <v>-1.9841400000000002E-2</v>
      </c>
      <c r="AH91">
        <f t="shared" si="294"/>
        <v>-2.8267200000000006E-2</v>
      </c>
      <c r="AI91">
        <f t="shared" si="294"/>
        <v>-3.7599000000000007E-2</v>
      </c>
      <c r="AJ91">
        <f t="shared" si="294"/>
        <v>-4.7836799999999999E-2</v>
      </c>
      <c r="AK91">
        <f t="shared" si="305"/>
        <v>-1.7156400000000002E-2</v>
      </c>
      <c r="AL91">
        <f t="shared" si="295"/>
        <v>-6.4259999999999977E-3</v>
      </c>
      <c r="AM91">
        <f t="shared" si="295"/>
        <v>-1.3871999999999999E-2</v>
      </c>
      <c r="AN91">
        <f t="shared" si="295"/>
        <v>-2.2338000000000004E-2</v>
      </c>
      <c r="AO91">
        <f t="shared" si="295"/>
        <v>-3.1824000000000012E-2</v>
      </c>
      <c r="AP91">
        <f t="shared" si="295"/>
        <v>-4.2330000000000007E-2</v>
      </c>
      <c r="AQ91">
        <f t="shared" si="295"/>
        <v>-5.3856000000000001E-2</v>
      </c>
      <c r="AR91">
        <f t="shared" si="306"/>
        <v>-2.5600039999999998E-2</v>
      </c>
      <c r="AS91">
        <f t="shared" si="296"/>
        <v>-9.5885999999999957E-3</v>
      </c>
      <c r="AT91">
        <f t="shared" si="296"/>
        <v>-2.0699199999999994E-2</v>
      </c>
      <c r="AU91">
        <f t="shared" si="296"/>
        <v>-3.3331800000000009E-2</v>
      </c>
      <c r="AV91">
        <f t="shared" si="296"/>
        <v>-4.7486400000000019E-2</v>
      </c>
      <c r="AW91">
        <f t="shared" si="296"/>
        <v>-6.3162999999999997E-2</v>
      </c>
      <c r="AX91">
        <f t="shared" si="296"/>
        <v>-8.0361600000000005E-2</v>
      </c>
      <c r="AY91">
        <f t="shared" ref="AY91:AY154" si="307">$D$19*$F91^2</f>
        <v>-7.0644000000000002E-3</v>
      </c>
      <c r="AZ91">
        <f t="shared" ref="AZ91:BE122" si="308">$D$19*($F91+AZ$25)^2-$AY91</f>
        <v>-2.645999999999999E-3</v>
      </c>
      <c r="BA91">
        <f t="shared" si="308"/>
        <v>-5.7120000000000001E-3</v>
      </c>
      <c r="BB91">
        <f t="shared" si="308"/>
        <v>-9.198000000000003E-3</v>
      </c>
      <c r="BC91">
        <f t="shared" si="308"/>
        <v>-1.3104000000000006E-2</v>
      </c>
      <c r="BD91">
        <f t="shared" si="308"/>
        <v>-1.7430000000000001E-2</v>
      </c>
      <c r="BE91">
        <f t="shared" si="308"/>
        <v>-2.2176000000000001E-2</v>
      </c>
      <c r="BF91">
        <f t="shared" ref="BF91:BF154" si="309">$D$21*$F91^2</f>
        <v>-8.4100000000000008E-3</v>
      </c>
      <c r="BG91">
        <f t="shared" ref="BG91:BL106" si="310">$D$21*($F91+BG$25)^2-$BF91</f>
        <v>-3.1499999999999983E-3</v>
      </c>
      <c r="BH91">
        <f t="shared" si="310"/>
        <v>-6.7999999999999988E-3</v>
      </c>
      <c r="BI91">
        <f t="shared" si="310"/>
        <v>-1.0950000000000001E-2</v>
      </c>
      <c r="BJ91">
        <f t="shared" si="310"/>
        <v>-1.5600000000000006E-2</v>
      </c>
      <c r="BK91">
        <f t="shared" si="310"/>
        <v>-2.0750000000000005E-2</v>
      </c>
      <c r="BL91">
        <f t="shared" si="310"/>
        <v>-2.64E-2</v>
      </c>
      <c r="BM91">
        <f t="shared" ref="BM91:BM154" si="311">$D$23*$F91^2</f>
        <v>-2.6575600000000001E-2</v>
      </c>
      <c r="BN91">
        <f t="shared" ref="BN91:BS106" si="312">$D$23*($F91+BN$25)^2-$BM91</f>
        <v>-9.9539999999999941E-3</v>
      </c>
      <c r="BO91">
        <f t="shared" si="312"/>
        <v>-2.1487999999999997E-2</v>
      </c>
      <c r="BP91">
        <f t="shared" si="312"/>
        <v>-3.4602000000000008E-2</v>
      </c>
      <c r="BQ91">
        <f t="shared" si="312"/>
        <v>-4.9296000000000006E-2</v>
      </c>
      <c r="BR91">
        <f t="shared" si="312"/>
        <v>-6.5570000000000003E-2</v>
      </c>
      <c r="BS91">
        <f t="shared" si="312"/>
        <v>-8.3423999999999998E-2</v>
      </c>
      <c r="BV91" s="9"/>
      <c r="BW91" s="9"/>
      <c r="BX91" s="9"/>
      <c r="BY91" s="9"/>
      <c r="BZ91" s="9"/>
      <c r="CA91" s="9"/>
      <c r="CB91" s="9"/>
    </row>
    <row r="92" spans="2:137" x14ac:dyDescent="0.35">
      <c r="B92" t="s">
        <v>144</v>
      </c>
      <c r="C92" s="19">
        <f>regions!B70</f>
        <v>81776930</v>
      </c>
      <c r="D92" s="19">
        <f>regions!C70</f>
        <v>2954359050887.9268</v>
      </c>
      <c r="E92" s="8">
        <f>regions!D70</f>
        <v>36127.047700224583</v>
      </c>
      <c r="F92" s="1">
        <f>regions!Z70</f>
        <v>8.4</v>
      </c>
      <c r="G92" s="8"/>
      <c r="H92" s="8"/>
      <c r="I92">
        <f t="shared" si="301"/>
        <v>0</v>
      </c>
      <c r="J92">
        <f t="shared" si="291"/>
        <v>0</v>
      </c>
      <c r="K92">
        <f t="shared" si="291"/>
        <v>0</v>
      </c>
      <c r="L92">
        <f t="shared" si="291"/>
        <v>0</v>
      </c>
      <c r="M92">
        <f t="shared" si="291"/>
        <v>0</v>
      </c>
      <c r="N92">
        <f t="shared" si="291"/>
        <v>0</v>
      </c>
      <c r="O92">
        <f t="shared" si="291"/>
        <v>0</v>
      </c>
      <c r="P92">
        <f t="shared" si="302"/>
        <v>-2.8224000000000003E-2</v>
      </c>
      <c r="Q92">
        <f t="shared" si="292"/>
        <v>-7.1200000000000048E-3</v>
      </c>
      <c r="R92">
        <f t="shared" si="292"/>
        <v>-1.5040000000000001E-2</v>
      </c>
      <c r="S92">
        <f t="shared" si="292"/>
        <v>-2.376E-2</v>
      </c>
      <c r="T92">
        <f t="shared" si="292"/>
        <v>-3.3280000000000004E-2</v>
      </c>
      <c r="U92">
        <f t="shared" si="292"/>
        <v>-4.36E-2</v>
      </c>
      <c r="V92">
        <f t="shared" si="292"/>
        <v>-5.4720000000000005E-2</v>
      </c>
      <c r="W92">
        <f t="shared" si="303"/>
        <v>-3.5279999999999999E-2</v>
      </c>
      <c r="X92">
        <f t="shared" si="293"/>
        <v>-8.9000000000000121E-3</v>
      </c>
      <c r="Y92">
        <f t="shared" si="293"/>
        <v>-1.8800000000000004E-2</v>
      </c>
      <c r="Z92">
        <f t="shared" si="293"/>
        <v>-2.9700000000000011E-2</v>
      </c>
      <c r="AA92">
        <f t="shared" si="293"/>
        <v>-4.1600000000000019E-2</v>
      </c>
      <c r="AB92">
        <f t="shared" si="293"/>
        <v>-5.45E-2</v>
      </c>
      <c r="AC92">
        <f t="shared" si="293"/>
        <v>-6.8400000000000016E-2</v>
      </c>
      <c r="AD92">
        <f t="shared" si="304"/>
        <v>-3.1963680000000001E-2</v>
      </c>
      <c r="AE92">
        <f t="shared" si="294"/>
        <v>-8.0634000000000053E-3</v>
      </c>
      <c r="AF92">
        <f t="shared" si="294"/>
        <v>-1.7032800000000008E-2</v>
      </c>
      <c r="AG92">
        <f t="shared" si="294"/>
        <v>-2.69082E-2</v>
      </c>
      <c r="AH92">
        <f t="shared" si="294"/>
        <v>-3.7689600000000011E-2</v>
      </c>
      <c r="AI92">
        <f t="shared" si="294"/>
        <v>-4.9376999999999997E-2</v>
      </c>
      <c r="AJ92">
        <f t="shared" si="294"/>
        <v>-6.1970400000000002E-2</v>
      </c>
      <c r="AK92">
        <f t="shared" si="305"/>
        <v>-3.5985600000000006E-2</v>
      </c>
      <c r="AL92">
        <f t="shared" si="295"/>
        <v>-9.0780000000000027E-3</v>
      </c>
      <c r="AM92">
        <f t="shared" si="295"/>
        <v>-1.9176000000000006E-2</v>
      </c>
      <c r="AN92">
        <f t="shared" si="295"/>
        <v>-3.0294000000000001E-2</v>
      </c>
      <c r="AO92">
        <f t="shared" si="295"/>
        <v>-4.2432000000000011E-2</v>
      </c>
      <c r="AP92">
        <f t="shared" si="295"/>
        <v>-5.5590000000000001E-2</v>
      </c>
      <c r="AQ92">
        <f t="shared" si="295"/>
        <v>-6.9768000000000011E-2</v>
      </c>
      <c r="AR92">
        <f t="shared" si="306"/>
        <v>-5.369616E-2</v>
      </c>
      <c r="AS92">
        <f t="shared" si="296"/>
        <v>-1.3545800000000004E-2</v>
      </c>
      <c r="AT92">
        <f t="shared" si="296"/>
        <v>-2.861360000000001E-2</v>
      </c>
      <c r="AU92">
        <f t="shared" si="296"/>
        <v>-4.5203399999999998E-2</v>
      </c>
      <c r="AV92">
        <f t="shared" si="296"/>
        <v>-6.3315200000000016E-2</v>
      </c>
      <c r="AW92">
        <f t="shared" si="296"/>
        <v>-8.2948999999999995E-2</v>
      </c>
      <c r="AX92">
        <f t="shared" si="296"/>
        <v>-0.1041048</v>
      </c>
      <c r="AY92">
        <f t="shared" si="307"/>
        <v>-1.4817600000000002E-2</v>
      </c>
      <c r="AZ92">
        <f t="shared" si="308"/>
        <v>-3.738E-3</v>
      </c>
      <c r="BA92">
        <f t="shared" si="308"/>
        <v>-7.896000000000002E-3</v>
      </c>
      <c r="BB92">
        <f t="shared" si="308"/>
        <v>-1.2474000000000001E-2</v>
      </c>
      <c r="BC92">
        <f t="shared" si="308"/>
        <v>-1.7472000000000008E-2</v>
      </c>
      <c r="BD92">
        <f t="shared" si="308"/>
        <v>-2.2890000000000001E-2</v>
      </c>
      <c r="BE92">
        <f t="shared" si="308"/>
        <v>-2.8728000000000004E-2</v>
      </c>
      <c r="BF92">
        <f t="shared" si="309"/>
        <v>-1.7639999999999999E-2</v>
      </c>
      <c r="BG92">
        <f t="shared" si="310"/>
        <v>-4.450000000000006E-3</v>
      </c>
      <c r="BH92">
        <f t="shared" si="310"/>
        <v>-9.4000000000000021E-3</v>
      </c>
      <c r="BI92">
        <f t="shared" si="310"/>
        <v>-1.4850000000000006E-2</v>
      </c>
      <c r="BJ92">
        <f t="shared" si="310"/>
        <v>-2.0800000000000009E-2</v>
      </c>
      <c r="BK92">
        <f t="shared" si="310"/>
        <v>-2.725E-2</v>
      </c>
      <c r="BL92">
        <f t="shared" si="310"/>
        <v>-3.4200000000000008E-2</v>
      </c>
      <c r="BM92">
        <f t="shared" si="311"/>
        <v>-5.5742400000000004E-2</v>
      </c>
      <c r="BN92">
        <f t="shared" si="312"/>
        <v>-1.4062000000000012E-2</v>
      </c>
      <c r="BO92">
        <f t="shared" si="312"/>
        <v>-2.9704000000000001E-2</v>
      </c>
      <c r="BP92">
        <f t="shared" si="312"/>
        <v>-4.6926000000000002E-2</v>
      </c>
      <c r="BQ92">
        <f t="shared" si="312"/>
        <v>-6.5728000000000009E-2</v>
      </c>
      <c r="BR92">
        <f t="shared" si="312"/>
        <v>-8.611000000000002E-2</v>
      </c>
      <c r="BS92">
        <f t="shared" si="312"/>
        <v>-0.10807200000000003</v>
      </c>
      <c r="DT92" s="7">
        <f>DT87-DT88</f>
        <v>2.5288981771707641</v>
      </c>
      <c r="DU92" s="7">
        <f t="shared" ref="DU92:DW92" si="313">DU87-DU88</f>
        <v>3.0425895995424632</v>
      </c>
      <c r="DV92" s="7">
        <f t="shared" si="313"/>
        <v>139.30435012391766</v>
      </c>
      <c r="DW92" s="7">
        <f t="shared" si="313"/>
        <v>1.9982214606365645</v>
      </c>
    </row>
    <row r="93" spans="2:137" x14ac:dyDescent="0.35">
      <c r="B93" t="s">
        <v>224</v>
      </c>
      <c r="C93" s="19">
        <f>regions!B71</f>
        <v>24262901</v>
      </c>
      <c r="D93" s="19">
        <f>regions!C71</f>
        <v>14804825656.667994</v>
      </c>
      <c r="E93" s="8">
        <f>regions!D71</f>
        <v>610.18365679635724</v>
      </c>
      <c r="F93" s="1">
        <f>regions!Z71</f>
        <v>27.2</v>
      </c>
      <c r="G93" s="8"/>
      <c r="H93" s="8"/>
      <c r="I93">
        <f t="shared" si="301"/>
        <v>-0.37916799999999995</v>
      </c>
      <c r="J93">
        <f t="shared" si="291"/>
        <v>-1.3940000000000008E-2</v>
      </c>
      <c r="K93">
        <f t="shared" si="291"/>
        <v>-2.7880000000000016E-2</v>
      </c>
      <c r="L93">
        <f t="shared" si="291"/>
        <v>-4.1820000000000024E-2</v>
      </c>
      <c r="M93">
        <f t="shared" si="291"/>
        <v>-5.5760000000000032E-2</v>
      </c>
      <c r="N93">
        <f t="shared" si="291"/>
        <v>-6.970000000000004E-2</v>
      </c>
      <c r="O93">
        <f t="shared" si="291"/>
        <v>-8.3640000000000048E-2</v>
      </c>
      <c r="P93">
        <f t="shared" si="302"/>
        <v>-0.29593599999999998</v>
      </c>
      <c r="Q93">
        <f t="shared" si="292"/>
        <v>-2.2160000000000069E-2</v>
      </c>
      <c r="R93">
        <f t="shared" si="292"/>
        <v>-4.5120000000000049E-2</v>
      </c>
      <c r="S93">
        <f t="shared" si="292"/>
        <v>-6.8880000000000052E-2</v>
      </c>
      <c r="T93">
        <f t="shared" si="292"/>
        <v>-9.3440000000000023E-2</v>
      </c>
      <c r="U93">
        <f t="shared" si="292"/>
        <v>-0.11880000000000013</v>
      </c>
      <c r="V93">
        <f t="shared" si="292"/>
        <v>-0.14496000000000014</v>
      </c>
      <c r="W93">
        <f t="shared" si="303"/>
        <v>-0.36991999999999997</v>
      </c>
      <c r="X93">
        <f t="shared" si="293"/>
        <v>-2.7700000000000058E-2</v>
      </c>
      <c r="Y93">
        <f t="shared" si="293"/>
        <v>-5.6400000000000006E-2</v>
      </c>
      <c r="Z93">
        <f t="shared" si="293"/>
        <v>-8.610000000000001E-2</v>
      </c>
      <c r="AA93">
        <f t="shared" si="293"/>
        <v>-0.11680000000000001</v>
      </c>
      <c r="AB93">
        <f t="shared" si="293"/>
        <v>-0.14850000000000013</v>
      </c>
      <c r="AC93">
        <f t="shared" si="293"/>
        <v>-0.18120000000000019</v>
      </c>
      <c r="AD93">
        <f t="shared" si="304"/>
        <v>-0.33514751999999998</v>
      </c>
      <c r="AE93">
        <f t="shared" si="294"/>
        <v>-2.5096200000000013E-2</v>
      </c>
      <c r="AF93">
        <f t="shared" si="294"/>
        <v>-5.1098400000000044E-2</v>
      </c>
      <c r="AG93">
        <f t="shared" si="294"/>
        <v>-7.8006600000000037E-2</v>
      </c>
      <c r="AH93">
        <f t="shared" si="294"/>
        <v>-0.10582079999999999</v>
      </c>
      <c r="AI93">
        <f t="shared" si="294"/>
        <v>-0.13454100000000008</v>
      </c>
      <c r="AJ93">
        <f t="shared" si="294"/>
        <v>-0.16416720000000012</v>
      </c>
      <c r="AK93">
        <f t="shared" si="305"/>
        <v>-0.3773184</v>
      </c>
      <c r="AL93">
        <f t="shared" si="295"/>
        <v>-2.8254000000000057E-2</v>
      </c>
      <c r="AM93">
        <f t="shared" si="295"/>
        <v>-5.7528000000000024E-2</v>
      </c>
      <c r="AN93">
        <f t="shared" si="295"/>
        <v>-8.7822000000000011E-2</v>
      </c>
      <c r="AO93">
        <f t="shared" si="295"/>
        <v>-0.11913600000000002</v>
      </c>
      <c r="AP93">
        <f t="shared" si="295"/>
        <v>-0.15147000000000016</v>
      </c>
      <c r="AQ93">
        <f t="shared" si="295"/>
        <v>-0.18482400000000015</v>
      </c>
      <c r="AR93">
        <f t="shared" si="306"/>
        <v>-0.56301823999999989</v>
      </c>
      <c r="AS93">
        <f t="shared" si="296"/>
        <v>-4.2159400000000069E-2</v>
      </c>
      <c r="AT93">
        <f t="shared" si="296"/>
        <v>-8.584080000000005E-2</v>
      </c>
      <c r="AU93">
        <f t="shared" si="296"/>
        <v>-0.13104420000000006</v>
      </c>
      <c r="AV93">
        <f t="shared" si="296"/>
        <v>-0.17776959999999997</v>
      </c>
      <c r="AW93">
        <f t="shared" si="296"/>
        <v>-0.22601700000000013</v>
      </c>
      <c r="AX93">
        <f t="shared" si="296"/>
        <v>-0.27578640000000021</v>
      </c>
      <c r="AY93">
        <f t="shared" si="307"/>
        <v>-0.15536639999999999</v>
      </c>
      <c r="AZ93">
        <f t="shared" si="308"/>
        <v>-1.1634000000000033E-2</v>
      </c>
      <c r="BA93">
        <f t="shared" si="308"/>
        <v>-2.3688000000000015E-2</v>
      </c>
      <c r="BB93">
        <f t="shared" si="308"/>
        <v>-3.6162E-2</v>
      </c>
      <c r="BC93">
        <f t="shared" si="308"/>
        <v>-4.9056000000000016E-2</v>
      </c>
      <c r="BD93">
        <f t="shared" si="308"/>
        <v>-6.2370000000000064E-2</v>
      </c>
      <c r="BE93">
        <f t="shared" si="308"/>
        <v>-7.610400000000006E-2</v>
      </c>
      <c r="BF93">
        <f t="shared" si="309"/>
        <v>-0.18495999999999999</v>
      </c>
      <c r="BG93">
        <f t="shared" si="310"/>
        <v>-1.3850000000000029E-2</v>
      </c>
      <c r="BH93">
        <f t="shared" si="310"/>
        <v>-2.8200000000000003E-2</v>
      </c>
      <c r="BI93">
        <f t="shared" si="310"/>
        <v>-4.3050000000000005E-2</v>
      </c>
      <c r="BJ93">
        <f t="shared" si="310"/>
        <v>-5.8400000000000007E-2</v>
      </c>
      <c r="BK93">
        <f t="shared" si="310"/>
        <v>-7.4250000000000066E-2</v>
      </c>
      <c r="BL93">
        <f t="shared" si="310"/>
        <v>-9.0600000000000097E-2</v>
      </c>
      <c r="BM93">
        <f t="shared" si="311"/>
        <v>-0.58447359999999993</v>
      </c>
      <c r="BN93">
        <f t="shared" si="312"/>
        <v>-4.3766000000000083E-2</v>
      </c>
      <c r="BO93">
        <f t="shared" si="312"/>
        <v>-8.911200000000008E-2</v>
      </c>
      <c r="BP93">
        <f t="shared" si="312"/>
        <v>-0.1360380000000001</v>
      </c>
      <c r="BQ93">
        <f t="shared" si="312"/>
        <v>-0.18454400000000004</v>
      </c>
      <c r="BR93">
        <f t="shared" si="312"/>
        <v>-0.23463000000000023</v>
      </c>
      <c r="BS93">
        <f t="shared" si="312"/>
        <v>-0.28629600000000033</v>
      </c>
      <c r="DT93" s="7">
        <f>DT88-DT89</f>
        <v>3.4356029273736461</v>
      </c>
      <c r="DU93" s="7">
        <f t="shared" ref="DU93:DW93" si="314">DU88-DU89</f>
        <v>4.1334719718447754</v>
      </c>
      <c r="DV93" s="7">
        <f t="shared" si="314"/>
        <v>316.00190211796973</v>
      </c>
      <c r="DW93" s="7">
        <f t="shared" si="314"/>
        <v>4.7707299495880395</v>
      </c>
    </row>
    <row r="94" spans="2:137" x14ac:dyDescent="0.35">
      <c r="B94" t="s">
        <v>145</v>
      </c>
      <c r="C94" s="19">
        <f>regions!B72</f>
        <v>11307502</v>
      </c>
      <c r="D94" s="19">
        <f>regions!C72</f>
        <v>240951131470.42734</v>
      </c>
      <c r="E94" s="8">
        <f>regions!D72</f>
        <v>21308.962091753539</v>
      </c>
      <c r="F94" s="1">
        <f>regions!Z72</f>
        <v>15.4</v>
      </c>
      <c r="G94" s="8"/>
      <c r="H94" s="8"/>
      <c r="I94">
        <f t="shared" si="301"/>
        <v>0</v>
      </c>
      <c r="J94">
        <f t="shared" si="291"/>
        <v>0</v>
      </c>
      <c r="K94">
        <f t="shared" si="291"/>
        <v>0</v>
      </c>
      <c r="L94">
        <f t="shared" si="291"/>
        <v>0</v>
      </c>
      <c r="M94">
        <f t="shared" si="291"/>
        <v>0</v>
      </c>
      <c r="N94">
        <f t="shared" si="291"/>
        <v>0</v>
      </c>
      <c r="O94">
        <f t="shared" si="291"/>
        <v>0</v>
      </c>
      <c r="P94">
        <f t="shared" si="302"/>
        <v>-9.4864000000000018E-2</v>
      </c>
      <c r="Q94">
        <f t="shared" si="292"/>
        <v>-1.2719999999999981E-2</v>
      </c>
      <c r="R94">
        <f t="shared" si="292"/>
        <v>-2.6239999999999958E-2</v>
      </c>
      <c r="S94">
        <f t="shared" si="292"/>
        <v>-4.0559999999999971E-2</v>
      </c>
      <c r="T94">
        <f t="shared" si="292"/>
        <v>-5.5679999999999966E-2</v>
      </c>
      <c r="U94">
        <f t="shared" si="292"/>
        <v>-7.1599999999999983E-2</v>
      </c>
      <c r="V94">
        <f t="shared" si="292"/>
        <v>-8.8319999999999968E-2</v>
      </c>
      <c r="W94">
        <f t="shared" si="303"/>
        <v>-0.11858000000000002</v>
      </c>
      <c r="X94">
        <f t="shared" si="293"/>
        <v>-1.589999999999997E-2</v>
      </c>
      <c r="Y94">
        <f t="shared" si="293"/>
        <v>-3.279999999999994E-2</v>
      </c>
      <c r="Z94">
        <f t="shared" si="293"/>
        <v>-5.0699999999999967E-2</v>
      </c>
      <c r="AA94">
        <f t="shared" si="293"/>
        <v>-6.9599999999999967E-2</v>
      </c>
      <c r="AB94">
        <f t="shared" si="293"/>
        <v>-8.9499999999999968E-2</v>
      </c>
      <c r="AC94">
        <f t="shared" si="293"/>
        <v>-0.11039999999999994</v>
      </c>
      <c r="AD94">
        <f t="shared" si="304"/>
        <v>-0.10743348000000001</v>
      </c>
      <c r="AE94">
        <f t="shared" si="294"/>
        <v>-1.4405399999999985E-2</v>
      </c>
      <c r="AF94">
        <f t="shared" si="294"/>
        <v>-2.9716799999999974E-2</v>
      </c>
      <c r="AG94">
        <f t="shared" si="294"/>
        <v>-4.5934199999999967E-2</v>
      </c>
      <c r="AH94">
        <f t="shared" si="294"/>
        <v>-6.3057599999999978E-2</v>
      </c>
      <c r="AI94">
        <f t="shared" si="294"/>
        <v>-8.1086999999999979E-2</v>
      </c>
      <c r="AJ94">
        <f t="shared" si="294"/>
        <v>-0.10002239999999997</v>
      </c>
      <c r="AK94">
        <f t="shared" si="305"/>
        <v>-0.12095160000000002</v>
      </c>
      <c r="AL94">
        <f t="shared" si="295"/>
        <v>-1.6217999999999982E-2</v>
      </c>
      <c r="AM94">
        <f t="shared" si="295"/>
        <v>-3.3455999999999958E-2</v>
      </c>
      <c r="AN94">
        <f t="shared" si="295"/>
        <v>-5.1713999999999954E-2</v>
      </c>
      <c r="AO94">
        <f t="shared" si="295"/>
        <v>-7.0991999999999972E-2</v>
      </c>
      <c r="AP94">
        <f t="shared" si="295"/>
        <v>-9.1289999999999982E-2</v>
      </c>
      <c r="AQ94">
        <f t="shared" si="295"/>
        <v>-0.11260799999999996</v>
      </c>
      <c r="AR94">
        <f t="shared" si="306"/>
        <v>-0.18047876000000002</v>
      </c>
      <c r="AS94">
        <f t="shared" si="296"/>
        <v>-2.4199799999999966E-2</v>
      </c>
      <c r="AT94">
        <f t="shared" si="296"/>
        <v>-4.9921599999999927E-2</v>
      </c>
      <c r="AU94">
        <f t="shared" si="296"/>
        <v>-7.716539999999994E-2</v>
      </c>
      <c r="AV94">
        <f t="shared" si="296"/>
        <v>-0.10593119999999995</v>
      </c>
      <c r="AW94">
        <f t="shared" si="296"/>
        <v>-0.13621899999999992</v>
      </c>
      <c r="AX94">
        <f t="shared" si="296"/>
        <v>-0.16802879999999992</v>
      </c>
      <c r="AY94">
        <f t="shared" si="307"/>
        <v>-4.980360000000001E-2</v>
      </c>
      <c r="AZ94">
        <f t="shared" si="308"/>
        <v>-6.6779999999999895E-3</v>
      </c>
      <c r="BA94">
        <f t="shared" si="308"/>
        <v>-1.3775999999999976E-2</v>
      </c>
      <c r="BB94">
        <f t="shared" si="308"/>
        <v>-2.1293999999999987E-2</v>
      </c>
      <c r="BC94">
        <f t="shared" si="308"/>
        <v>-2.9231999999999987E-2</v>
      </c>
      <c r="BD94">
        <f t="shared" si="308"/>
        <v>-3.7589999999999991E-2</v>
      </c>
      <c r="BE94">
        <f t="shared" si="308"/>
        <v>-4.6367999999999972E-2</v>
      </c>
      <c r="BF94">
        <f t="shared" si="309"/>
        <v>-5.9290000000000009E-2</v>
      </c>
      <c r="BG94">
        <f t="shared" si="310"/>
        <v>-7.9499999999999849E-3</v>
      </c>
      <c r="BH94">
        <f t="shared" si="310"/>
        <v>-1.639999999999997E-2</v>
      </c>
      <c r="BI94">
        <f t="shared" si="310"/>
        <v>-2.5349999999999984E-2</v>
      </c>
      <c r="BJ94">
        <f t="shared" si="310"/>
        <v>-3.4799999999999984E-2</v>
      </c>
      <c r="BK94">
        <f t="shared" si="310"/>
        <v>-4.4749999999999984E-2</v>
      </c>
      <c r="BL94">
        <f t="shared" si="310"/>
        <v>-5.5199999999999971E-2</v>
      </c>
      <c r="BM94">
        <f t="shared" si="311"/>
        <v>-0.18735640000000003</v>
      </c>
      <c r="BN94">
        <f t="shared" si="312"/>
        <v>-2.512199999999995E-2</v>
      </c>
      <c r="BO94">
        <f t="shared" si="312"/>
        <v>-5.1823999999999926E-2</v>
      </c>
      <c r="BP94">
        <f t="shared" si="312"/>
        <v>-8.01059999999999E-2</v>
      </c>
      <c r="BQ94">
        <f t="shared" si="312"/>
        <v>-0.10996799999999995</v>
      </c>
      <c r="BR94">
        <f t="shared" si="312"/>
        <v>-0.14140999999999992</v>
      </c>
      <c r="BS94">
        <f t="shared" si="312"/>
        <v>-0.17443199999999992</v>
      </c>
    </row>
    <row r="95" spans="2:137" x14ac:dyDescent="0.35">
      <c r="B95" t="s">
        <v>603</v>
      </c>
      <c r="C95" s="19">
        <f>regions!B73</f>
        <v>56905</v>
      </c>
      <c r="D95" s="19">
        <f>regions!C73</f>
        <v>1809399165.3952253</v>
      </c>
      <c r="E95" s="8">
        <f>regions!D73</f>
        <v>31796.8397398335</v>
      </c>
      <c r="F95" s="1">
        <f>regions!Z73</f>
        <v>-1.4</v>
      </c>
      <c r="G95" s="8"/>
      <c r="H95" s="8"/>
      <c r="I95">
        <f t="shared" si="301"/>
        <v>0</v>
      </c>
      <c r="J95">
        <f t="shared" si="291"/>
        <v>0</v>
      </c>
      <c r="K95">
        <f t="shared" si="291"/>
        <v>0</v>
      </c>
      <c r="L95">
        <f t="shared" si="291"/>
        <v>0</v>
      </c>
      <c r="M95">
        <f t="shared" si="291"/>
        <v>0</v>
      </c>
      <c r="N95">
        <f t="shared" si="291"/>
        <v>0</v>
      </c>
      <c r="O95">
        <f t="shared" si="291"/>
        <v>0</v>
      </c>
      <c r="P95">
        <f t="shared" si="302"/>
        <v>-7.8399999999999997E-4</v>
      </c>
      <c r="Q95">
        <f t="shared" si="292"/>
        <v>7.2000000000000005E-4</v>
      </c>
      <c r="R95">
        <f t="shared" si="292"/>
        <v>6.3999999999999994E-4</v>
      </c>
      <c r="S95">
        <f t="shared" si="292"/>
        <v>-2.400000000000002E-4</v>
      </c>
      <c r="T95">
        <f t="shared" si="292"/>
        <v>-1.9200000000000003E-3</v>
      </c>
      <c r="U95">
        <f t="shared" si="292"/>
        <v>-4.4000000000000003E-3</v>
      </c>
      <c r="V95">
        <f t="shared" si="292"/>
        <v>-7.6799999999999993E-3</v>
      </c>
      <c r="W95">
        <f t="shared" si="303"/>
        <v>-9.7999999999999997E-4</v>
      </c>
      <c r="X95">
        <f t="shared" si="293"/>
        <v>8.9999999999999998E-4</v>
      </c>
      <c r="Y95">
        <f t="shared" si="293"/>
        <v>7.9999999999999993E-4</v>
      </c>
      <c r="Z95">
        <f t="shared" si="293"/>
        <v>-3.0000000000000035E-4</v>
      </c>
      <c r="AA95">
        <f t="shared" si="293"/>
        <v>-2.4000000000000002E-3</v>
      </c>
      <c r="AB95">
        <f t="shared" si="293"/>
        <v>-5.5000000000000005E-3</v>
      </c>
      <c r="AC95">
        <f t="shared" si="293"/>
        <v>-9.5999999999999992E-3</v>
      </c>
      <c r="AD95">
        <f t="shared" si="304"/>
        <v>-8.8787999999999985E-4</v>
      </c>
      <c r="AE95">
        <f t="shared" si="294"/>
        <v>8.1539999999999987E-4</v>
      </c>
      <c r="AF95">
        <f t="shared" si="294"/>
        <v>7.2479999999999984E-4</v>
      </c>
      <c r="AG95">
        <f t="shared" si="294"/>
        <v>-2.7180000000000032E-4</v>
      </c>
      <c r="AH95">
        <f t="shared" si="294"/>
        <v>-2.1744000000000008E-3</v>
      </c>
      <c r="AI95">
        <f t="shared" si="294"/>
        <v>-4.9830000000000004E-3</v>
      </c>
      <c r="AJ95">
        <f t="shared" si="294"/>
        <v>-8.697599999999998E-3</v>
      </c>
      <c r="AK95">
        <f t="shared" si="305"/>
        <v>-9.9960000000000001E-4</v>
      </c>
      <c r="AL95">
        <f t="shared" si="295"/>
        <v>9.1800000000000009E-4</v>
      </c>
      <c r="AM95">
        <f t="shared" si="295"/>
        <v>8.1599999999999989E-4</v>
      </c>
      <c r="AN95">
        <f t="shared" si="295"/>
        <v>-3.0600000000000028E-4</v>
      </c>
      <c r="AO95">
        <f t="shared" si="295"/>
        <v>-2.4480000000000005E-3</v>
      </c>
      <c r="AP95">
        <f t="shared" si="295"/>
        <v>-5.6100000000000013E-3</v>
      </c>
      <c r="AQ95">
        <f t="shared" si="295"/>
        <v>-9.7919999999999986E-3</v>
      </c>
      <c r="AR95">
        <f t="shared" si="306"/>
        <v>-1.4915599999999996E-3</v>
      </c>
      <c r="AS95">
        <f t="shared" si="296"/>
        <v>1.3697999999999998E-3</v>
      </c>
      <c r="AT95">
        <f t="shared" si="296"/>
        <v>1.2175999999999997E-3</v>
      </c>
      <c r="AU95">
        <f t="shared" si="296"/>
        <v>-4.5660000000000058E-4</v>
      </c>
      <c r="AV95">
        <f t="shared" si="296"/>
        <v>-3.6528000000000012E-3</v>
      </c>
      <c r="AW95">
        <f t="shared" si="296"/>
        <v>-8.371E-3</v>
      </c>
      <c r="AX95">
        <f t="shared" si="296"/>
        <v>-1.4611199999999998E-2</v>
      </c>
      <c r="AY95">
        <f t="shared" si="307"/>
        <v>-4.1159999999999998E-4</v>
      </c>
      <c r="AZ95">
        <f t="shared" si="308"/>
        <v>3.7799999999999997E-4</v>
      </c>
      <c r="BA95">
        <f t="shared" si="308"/>
        <v>3.3599999999999993E-4</v>
      </c>
      <c r="BB95">
        <f t="shared" si="308"/>
        <v>-1.2600000000000019E-4</v>
      </c>
      <c r="BC95">
        <f t="shared" si="308"/>
        <v>-1.0080000000000002E-3</v>
      </c>
      <c r="BD95">
        <f t="shared" si="308"/>
        <v>-2.3100000000000004E-3</v>
      </c>
      <c r="BE95">
        <f t="shared" si="308"/>
        <v>-4.032E-3</v>
      </c>
      <c r="BF95">
        <f t="shared" si="309"/>
        <v>-4.8999999999999998E-4</v>
      </c>
      <c r="BG95">
        <f t="shared" si="310"/>
        <v>4.4999999999999999E-4</v>
      </c>
      <c r="BH95">
        <f t="shared" si="310"/>
        <v>3.9999999999999996E-4</v>
      </c>
      <c r="BI95">
        <f t="shared" si="310"/>
        <v>-1.5000000000000018E-4</v>
      </c>
      <c r="BJ95">
        <f t="shared" si="310"/>
        <v>-1.2000000000000001E-3</v>
      </c>
      <c r="BK95">
        <f t="shared" si="310"/>
        <v>-2.7500000000000003E-3</v>
      </c>
      <c r="BL95">
        <f t="shared" si="310"/>
        <v>-4.7999999999999996E-3</v>
      </c>
      <c r="BM95">
        <f t="shared" si="311"/>
        <v>-1.5483999999999999E-3</v>
      </c>
      <c r="BN95">
        <f t="shared" si="312"/>
        <v>1.4220000000000001E-3</v>
      </c>
      <c r="BO95">
        <f t="shared" si="312"/>
        <v>1.2639999999999999E-3</v>
      </c>
      <c r="BP95">
        <f t="shared" si="312"/>
        <v>-4.7400000000000068E-4</v>
      </c>
      <c r="BQ95">
        <f t="shared" si="312"/>
        <v>-3.7920000000000002E-3</v>
      </c>
      <c r="BR95">
        <f t="shared" si="312"/>
        <v>-8.6900000000000015E-3</v>
      </c>
      <c r="BS95">
        <f t="shared" si="312"/>
        <v>-1.5167999999999996E-2</v>
      </c>
    </row>
    <row r="96" spans="2:137" x14ac:dyDescent="0.35">
      <c r="B96" t="s">
        <v>146</v>
      </c>
      <c r="C96" s="19">
        <f>regions!B74</f>
        <v>104677</v>
      </c>
      <c r="D96" s="19">
        <f>regions!C74</f>
        <v>664521216.22512019</v>
      </c>
      <c r="E96" s="8">
        <f>regions!D74</f>
        <v>6348.3020742390418</v>
      </c>
      <c r="F96" s="1">
        <f>regions!Z74</f>
        <v>26.6</v>
      </c>
      <c r="G96" s="8"/>
      <c r="H96" s="8"/>
      <c r="I96">
        <f t="shared" si="301"/>
        <v>0</v>
      </c>
      <c r="J96">
        <f t="shared" ref="J96:O105" si="315">IF($E96&lt;$E$24,$D$11*($F96+J$25)-$I96,0)</f>
        <v>0</v>
      </c>
      <c r="K96">
        <f t="shared" si="315"/>
        <v>0</v>
      </c>
      <c r="L96">
        <f t="shared" si="315"/>
        <v>0</v>
      </c>
      <c r="M96">
        <f t="shared" si="315"/>
        <v>0</v>
      </c>
      <c r="N96">
        <f t="shared" si="315"/>
        <v>0</v>
      </c>
      <c r="O96">
        <f t="shared" si="315"/>
        <v>0</v>
      </c>
      <c r="P96">
        <f t="shared" si="302"/>
        <v>-0.28302400000000005</v>
      </c>
      <c r="Q96">
        <f t="shared" ref="Q96:V105" si="316">$D$13*($F96+Q$25)^2-$P96</f>
        <v>-2.1679999999999977E-2</v>
      </c>
      <c r="R96">
        <f t="shared" si="316"/>
        <v>-4.4159999999999977E-2</v>
      </c>
      <c r="S96">
        <f t="shared" si="316"/>
        <v>-6.744E-2</v>
      </c>
      <c r="T96">
        <f t="shared" si="316"/>
        <v>-9.151999999999999E-2</v>
      </c>
      <c r="U96">
        <f t="shared" si="316"/>
        <v>-0.1164</v>
      </c>
      <c r="V96">
        <f t="shared" si="316"/>
        <v>-0.14207999999999998</v>
      </c>
      <c r="W96">
        <f t="shared" si="303"/>
        <v>-0.35378000000000004</v>
      </c>
      <c r="X96">
        <f t="shared" ref="X96:AC105" si="317">$D$15*($F96+X$25)^2-$W96</f>
        <v>-2.7100000000000013E-2</v>
      </c>
      <c r="Y96">
        <f t="shared" si="317"/>
        <v>-5.5199999999999971E-2</v>
      </c>
      <c r="Z96">
        <f t="shared" si="317"/>
        <v>-8.4299999999999986E-2</v>
      </c>
      <c r="AA96">
        <f t="shared" si="317"/>
        <v>-0.11440000000000006</v>
      </c>
      <c r="AB96">
        <f t="shared" si="317"/>
        <v>-0.14550000000000002</v>
      </c>
      <c r="AC96">
        <f t="shared" si="317"/>
        <v>-0.17759999999999992</v>
      </c>
      <c r="AD96">
        <f t="shared" si="304"/>
        <v>-0.32052468000000001</v>
      </c>
      <c r="AE96">
        <f t="shared" ref="AE96:AJ105" si="318">$D$10*($F96+AE$25)^2-$AD96</f>
        <v>-2.4552600000000036E-2</v>
      </c>
      <c r="AF96">
        <f t="shared" si="318"/>
        <v>-5.0011200000000033E-2</v>
      </c>
      <c r="AG96">
        <f t="shared" si="318"/>
        <v>-7.6375800000000049E-2</v>
      </c>
      <c r="AH96">
        <f t="shared" si="318"/>
        <v>-0.10364640000000008</v>
      </c>
      <c r="AI96">
        <f t="shared" si="318"/>
        <v>-0.13182300000000002</v>
      </c>
      <c r="AJ96">
        <f t="shared" si="318"/>
        <v>-0.16090559999999998</v>
      </c>
      <c r="AK96">
        <f t="shared" si="305"/>
        <v>-0.36085560000000005</v>
      </c>
      <c r="AL96">
        <f t="shared" ref="AL96:AQ105" si="319">$D$17*($F96+AL$25)^2-$AK96</f>
        <v>-2.7642E-2</v>
      </c>
      <c r="AM96">
        <f t="shared" si="319"/>
        <v>-5.6304000000000021E-2</v>
      </c>
      <c r="AN96">
        <f t="shared" si="319"/>
        <v>-8.5986000000000007E-2</v>
      </c>
      <c r="AO96">
        <f t="shared" si="319"/>
        <v>-0.11668800000000007</v>
      </c>
      <c r="AP96">
        <f t="shared" si="319"/>
        <v>-0.14841000000000004</v>
      </c>
      <c r="AQ96">
        <f t="shared" si="319"/>
        <v>-0.18115199999999998</v>
      </c>
      <c r="AR96">
        <f t="shared" si="306"/>
        <v>-0.53845315999999999</v>
      </c>
      <c r="AS96">
        <f t="shared" ref="AS96:AX105" si="320">$D$8*($F96+AS$25)^2-$AR96</f>
        <v>-4.1246200000000011E-2</v>
      </c>
      <c r="AT96">
        <f t="shared" si="320"/>
        <v>-8.4014400000000045E-2</v>
      </c>
      <c r="AU96">
        <f t="shared" si="320"/>
        <v>-0.12830459999999999</v>
      </c>
      <c r="AV96">
        <f t="shared" si="320"/>
        <v>-0.17411680000000007</v>
      </c>
      <c r="AW96">
        <f t="shared" si="320"/>
        <v>-0.22145100000000006</v>
      </c>
      <c r="AX96">
        <f t="shared" si="320"/>
        <v>-0.27030719999999997</v>
      </c>
      <c r="AY96">
        <f t="shared" si="307"/>
        <v>-0.14858760000000001</v>
      </c>
      <c r="AZ96">
        <f t="shared" si="308"/>
        <v>-1.1382000000000003E-2</v>
      </c>
      <c r="BA96">
        <f t="shared" si="308"/>
        <v>-2.318400000000001E-2</v>
      </c>
      <c r="BB96">
        <f t="shared" si="308"/>
        <v>-3.5406000000000021E-2</v>
      </c>
      <c r="BC96">
        <f t="shared" si="308"/>
        <v>-4.8048000000000007E-2</v>
      </c>
      <c r="BD96">
        <f t="shared" si="308"/>
        <v>-6.1109999999999998E-2</v>
      </c>
      <c r="BE96">
        <f t="shared" si="308"/>
        <v>-7.4591999999999992E-2</v>
      </c>
      <c r="BF96">
        <f t="shared" si="309"/>
        <v>-0.17689000000000002</v>
      </c>
      <c r="BG96">
        <f t="shared" si="310"/>
        <v>-1.3550000000000006E-2</v>
      </c>
      <c r="BH96">
        <f t="shared" si="310"/>
        <v>-2.7599999999999986E-2</v>
      </c>
      <c r="BI96">
        <f t="shared" si="310"/>
        <v>-4.2149999999999993E-2</v>
      </c>
      <c r="BJ96">
        <f t="shared" si="310"/>
        <v>-5.7200000000000029E-2</v>
      </c>
      <c r="BK96">
        <f t="shared" si="310"/>
        <v>-7.2750000000000009E-2</v>
      </c>
      <c r="BL96">
        <f t="shared" si="310"/>
        <v>-8.8799999999999962E-2</v>
      </c>
      <c r="BM96">
        <f t="shared" si="311"/>
        <v>-0.55897240000000004</v>
      </c>
      <c r="BN96">
        <f t="shared" si="312"/>
        <v>-4.2818000000000023E-2</v>
      </c>
      <c r="BO96">
        <f t="shared" si="312"/>
        <v>-8.721599999999996E-2</v>
      </c>
      <c r="BP96">
        <f t="shared" si="312"/>
        <v>-0.13319400000000003</v>
      </c>
      <c r="BQ96">
        <f t="shared" si="312"/>
        <v>-0.18075200000000002</v>
      </c>
      <c r="BR96">
        <f t="shared" si="312"/>
        <v>-0.22989000000000004</v>
      </c>
      <c r="BS96">
        <f t="shared" si="312"/>
        <v>-0.28060799999999997</v>
      </c>
    </row>
    <row r="97" spans="2:71" x14ac:dyDescent="0.35">
      <c r="B97" t="s">
        <v>147</v>
      </c>
      <c r="C97" s="19">
        <f>regions!B75</f>
        <v>14341576</v>
      </c>
      <c r="D97" s="19">
        <f>regions!C75</f>
        <v>32556756308.965832</v>
      </c>
      <c r="E97" s="8">
        <f>regions!D75</f>
        <v>2270.0961392922113</v>
      </c>
      <c r="F97" s="1">
        <f>regions!Z75</f>
        <v>23.4</v>
      </c>
      <c r="G97" s="8"/>
      <c r="H97" s="8"/>
      <c r="I97">
        <f t="shared" si="301"/>
        <v>-0.32619599999999999</v>
      </c>
      <c r="J97">
        <f t="shared" si="315"/>
        <v>-1.3939999999999952E-2</v>
      </c>
      <c r="K97">
        <f t="shared" si="315"/>
        <v>-2.787999999999996E-2</v>
      </c>
      <c r="L97">
        <f t="shared" si="315"/>
        <v>-4.1819999999999968E-2</v>
      </c>
      <c r="M97">
        <f t="shared" si="315"/>
        <v>-5.5759999999999976E-2</v>
      </c>
      <c r="N97">
        <f t="shared" si="315"/>
        <v>-6.9699999999999984E-2</v>
      </c>
      <c r="O97">
        <f t="shared" si="315"/>
        <v>-8.3639999999999992E-2</v>
      </c>
      <c r="P97">
        <f t="shared" si="302"/>
        <v>-0.219024</v>
      </c>
      <c r="Q97">
        <f t="shared" si="316"/>
        <v>-1.911999999999997E-2</v>
      </c>
      <c r="R97">
        <f t="shared" si="316"/>
        <v>-3.9040000000000019E-2</v>
      </c>
      <c r="S97">
        <f t="shared" si="316"/>
        <v>-5.975999999999998E-2</v>
      </c>
      <c r="T97">
        <f t="shared" si="316"/>
        <v>-8.1279999999999963E-2</v>
      </c>
      <c r="U97">
        <f t="shared" si="316"/>
        <v>-0.10359999999999997</v>
      </c>
      <c r="V97">
        <f t="shared" si="316"/>
        <v>-0.12672</v>
      </c>
      <c r="W97">
        <f t="shared" si="303"/>
        <v>-0.27377999999999997</v>
      </c>
      <c r="X97">
        <f t="shared" si="317"/>
        <v>-2.3899999999999977E-2</v>
      </c>
      <c r="Y97">
        <f t="shared" si="317"/>
        <v>-4.880000000000001E-2</v>
      </c>
      <c r="Z97">
        <f t="shared" si="317"/>
        <v>-7.4699999999999989E-2</v>
      </c>
      <c r="AA97">
        <f t="shared" si="317"/>
        <v>-0.10159999999999997</v>
      </c>
      <c r="AB97">
        <f t="shared" si="317"/>
        <v>-0.1295</v>
      </c>
      <c r="AC97">
        <f t="shared" si="317"/>
        <v>-0.15839999999999999</v>
      </c>
      <c r="AD97">
        <f t="shared" si="304"/>
        <v>-0.24804467999999999</v>
      </c>
      <c r="AE97">
        <f t="shared" si="318"/>
        <v>-2.1653399999999962E-2</v>
      </c>
      <c r="AF97">
        <f t="shared" si="318"/>
        <v>-4.4212800000000024E-2</v>
      </c>
      <c r="AG97">
        <f t="shared" si="318"/>
        <v>-6.7678199999999994E-2</v>
      </c>
      <c r="AH97">
        <f t="shared" si="318"/>
        <v>-9.2049599999999981E-2</v>
      </c>
      <c r="AI97">
        <f t="shared" si="318"/>
        <v>-0.11732699999999999</v>
      </c>
      <c r="AJ97">
        <f t="shared" si="318"/>
        <v>-0.14351039999999995</v>
      </c>
      <c r="AK97">
        <f t="shared" si="305"/>
        <v>-0.27925559999999999</v>
      </c>
      <c r="AL97">
        <f t="shared" si="319"/>
        <v>-2.4377999999999955E-2</v>
      </c>
      <c r="AM97">
        <f t="shared" si="319"/>
        <v>-4.9775999999999987E-2</v>
      </c>
      <c r="AN97">
        <f t="shared" si="319"/>
        <v>-7.6193999999999984E-2</v>
      </c>
      <c r="AO97">
        <f t="shared" si="319"/>
        <v>-0.10363199999999995</v>
      </c>
      <c r="AP97">
        <f t="shared" si="319"/>
        <v>-0.13208999999999999</v>
      </c>
      <c r="AQ97">
        <f t="shared" si="319"/>
        <v>-0.16156799999999999</v>
      </c>
      <c r="AR97">
        <f t="shared" si="306"/>
        <v>-0.41669315999999995</v>
      </c>
      <c r="AS97">
        <f t="shared" si="320"/>
        <v>-3.6375799999999958E-2</v>
      </c>
      <c r="AT97">
        <f t="shared" si="320"/>
        <v>-7.4273599999999995E-2</v>
      </c>
      <c r="AU97">
        <f t="shared" si="320"/>
        <v>-0.1136934</v>
      </c>
      <c r="AV97">
        <f t="shared" si="320"/>
        <v>-0.15463519999999992</v>
      </c>
      <c r="AW97">
        <f t="shared" si="320"/>
        <v>-0.19709899999999997</v>
      </c>
      <c r="AX97">
        <f t="shared" si="320"/>
        <v>-0.24108479999999993</v>
      </c>
      <c r="AY97">
        <f t="shared" si="307"/>
        <v>-0.1149876</v>
      </c>
      <c r="AZ97">
        <f t="shared" si="308"/>
        <v>-1.0037999999999991E-2</v>
      </c>
      <c r="BA97">
        <f t="shared" si="308"/>
        <v>-2.0496000000000014E-2</v>
      </c>
      <c r="BB97">
        <f t="shared" si="308"/>
        <v>-3.1373999999999985E-2</v>
      </c>
      <c r="BC97">
        <f t="shared" si="308"/>
        <v>-4.2671999999999988E-2</v>
      </c>
      <c r="BD97">
        <f t="shared" si="308"/>
        <v>-5.4389999999999994E-2</v>
      </c>
      <c r="BE97">
        <f t="shared" si="308"/>
        <v>-6.6528000000000004E-2</v>
      </c>
      <c r="BF97">
        <f t="shared" si="309"/>
        <v>-0.13688999999999998</v>
      </c>
      <c r="BG97">
        <f t="shared" si="310"/>
        <v>-1.1949999999999988E-2</v>
      </c>
      <c r="BH97">
        <f t="shared" si="310"/>
        <v>-2.4400000000000005E-2</v>
      </c>
      <c r="BI97">
        <f t="shared" si="310"/>
        <v>-3.7349999999999994E-2</v>
      </c>
      <c r="BJ97">
        <f t="shared" si="310"/>
        <v>-5.0799999999999984E-2</v>
      </c>
      <c r="BK97">
        <f t="shared" si="310"/>
        <v>-6.4750000000000002E-2</v>
      </c>
      <c r="BL97">
        <f t="shared" si="310"/>
        <v>-7.9199999999999993E-2</v>
      </c>
      <c r="BM97">
        <f t="shared" si="311"/>
        <v>-0.43257239999999997</v>
      </c>
      <c r="BN97">
        <f t="shared" si="312"/>
        <v>-3.7761999999999962E-2</v>
      </c>
      <c r="BO97">
        <f t="shared" si="312"/>
        <v>-7.7104000000000061E-2</v>
      </c>
      <c r="BP97">
        <f t="shared" si="312"/>
        <v>-0.11802599999999996</v>
      </c>
      <c r="BQ97">
        <f t="shared" si="312"/>
        <v>-0.16052799999999989</v>
      </c>
      <c r="BR97">
        <f t="shared" si="312"/>
        <v>-0.20460999999999996</v>
      </c>
      <c r="BS97">
        <f t="shared" si="312"/>
        <v>-0.25027199999999994</v>
      </c>
    </row>
    <row r="98" spans="2:71" x14ac:dyDescent="0.35">
      <c r="B98" t="s">
        <v>373</v>
      </c>
      <c r="C98" s="19">
        <f>regions!B76</f>
        <v>10876033</v>
      </c>
      <c r="D98" s="19">
        <f>regions!C76</f>
        <v>3267609254.7415366</v>
      </c>
      <c r="E98" s="8">
        <f>regions!D76</f>
        <v>300.44127805988973</v>
      </c>
      <c r="F98" s="1">
        <f>regions!Z76</f>
        <v>25.7</v>
      </c>
      <c r="G98" s="8"/>
      <c r="H98" s="8"/>
      <c r="I98">
        <f t="shared" si="301"/>
        <v>-0.35825799999999997</v>
      </c>
      <c r="J98">
        <f t="shared" si="315"/>
        <v>-1.3940000000000008E-2</v>
      </c>
      <c r="K98">
        <f t="shared" si="315"/>
        <v>-2.7880000000000016E-2</v>
      </c>
      <c r="L98">
        <f t="shared" si="315"/>
        <v>-4.1820000000000024E-2</v>
      </c>
      <c r="M98">
        <f t="shared" si="315"/>
        <v>-5.5759999999999976E-2</v>
      </c>
      <c r="N98">
        <f t="shared" si="315"/>
        <v>-6.9699999999999984E-2</v>
      </c>
      <c r="O98">
        <f t="shared" si="315"/>
        <v>-8.3639999999999992E-2</v>
      </c>
      <c r="P98">
        <f t="shared" si="302"/>
        <v>-0.26419600000000004</v>
      </c>
      <c r="Q98">
        <f t="shared" si="316"/>
        <v>-2.0959999999999979E-2</v>
      </c>
      <c r="R98">
        <f t="shared" si="316"/>
        <v>-4.271999999999998E-2</v>
      </c>
      <c r="S98">
        <f t="shared" si="316"/>
        <v>-6.5279999999999949E-2</v>
      </c>
      <c r="T98">
        <f t="shared" si="316"/>
        <v>-8.8639999999999941E-2</v>
      </c>
      <c r="U98">
        <f t="shared" si="316"/>
        <v>-0.11279999999999996</v>
      </c>
      <c r="V98">
        <f t="shared" si="316"/>
        <v>-0.13775999999999999</v>
      </c>
      <c r="W98">
        <f t="shared" si="303"/>
        <v>-0.33024500000000001</v>
      </c>
      <c r="X98">
        <f t="shared" si="317"/>
        <v>-2.6200000000000001E-2</v>
      </c>
      <c r="Y98">
        <f t="shared" si="317"/>
        <v>-5.3400000000000003E-2</v>
      </c>
      <c r="Z98">
        <f t="shared" si="317"/>
        <v>-8.159999999999995E-2</v>
      </c>
      <c r="AA98">
        <f t="shared" si="317"/>
        <v>-0.11079999999999995</v>
      </c>
      <c r="AB98">
        <f t="shared" si="317"/>
        <v>-0.14100000000000001</v>
      </c>
      <c r="AC98">
        <f t="shared" si="317"/>
        <v>-0.17220000000000002</v>
      </c>
      <c r="AD98">
        <f t="shared" si="304"/>
        <v>-0.29920196999999998</v>
      </c>
      <c r="AE98">
        <f t="shared" si="318"/>
        <v>-2.3737200000000014E-2</v>
      </c>
      <c r="AF98">
        <f t="shared" si="318"/>
        <v>-4.838039999999999E-2</v>
      </c>
      <c r="AG98">
        <f t="shared" si="318"/>
        <v>-7.3929599999999984E-2</v>
      </c>
      <c r="AH98">
        <f t="shared" si="318"/>
        <v>-0.1003848</v>
      </c>
      <c r="AI98">
        <f t="shared" si="318"/>
        <v>-0.12774600000000003</v>
      </c>
      <c r="AJ98">
        <f t="shared" si="318"/>
        <v>-0.15601320000000002</v>
      </c>
      <c r="AK98">
        <f t="shared" si="305"/>
        <v>-0.33684990000000004</v>
      </c>
      <c r="AL98">
        <f t="shared" si="319"/>
        <v>-2.672399999999997E-2</v>
      </c>
      <c r="AM98">
        <f t="shared" si="319"/>
        <v>-5.4467999999999961E-2</v>
      </c>
      <c r="AN98">
        <f t="shared" si="319"/>
        <v>-8.3231999999999973E-2</v>
      </c>
      <c r="AO98">
        <f t="shared" si="319"/>
        <v>-0.11301599999999995</v>
      </c>
      <c r="AP98">
        <f t="shared" si="319"/>
        <v>-0.14382</v>
      </c>
      <c r="AQ98">
        <f t="shared" si="319"/>
        <v>-0.17564400000000002</v>
      </c>
      <c r="AR98">
        <f t="shared" si="306"/>
        <v>-0.50263289</v>
      </c>
      <c r="AS98">
        <f t="shared" si="320"/>
        <v>-3.9876399999999923E-2</v>
      </c>
      <c r="AT98">
        <f t="shared" si="320"/>
        <v>-8.127479999999998E-2</v>
      </c>
      <c r="AU98">
        <f t="shared" si="320"/>
        <v>-0.12419519999999995</v>
      </c>
      <c r="AV98">
        <f t="shared" si="320"/>
        <v>-0.16863759999999994</v>
      </c>
      <c r="AW98">
        <f t="shared" si="320"/>
        <v>-0.21460199999999996</v>
      </c>
      <c r="AX98">
        <f t="shared" si="320"/>
        <v>-0.2620884</v>
      </c>
      <c r="AY98">
        <f t="shared" si="307"/>
        <v>-0.13870290000000002</v>
      </c>
      <c r="AZ98">
        <f t="shared" si="308"/>
        <v>-1.1003999999999986E-2</v>
      </c>
      <c r="BA98">
        <f t="shared" si="308"/>
        <v>-2.2427999999999976E-2</v>
      </c>
      <c r="BB98">
        <f t="shared" si="308"/>
        <v>-3.4271999999999969E-2</v>
      </c>
      <c r="BC98">
        <f t="shared" si="308"/>
        <v>-4.6535999999999966E-2</v>
      </c>
      <c r="BD98">
        <f t="shared" si="308"/>
        <v>-5.9219999999999995E-2</v>
      </c>
      <c r="BE98">
        <f t="shared" si="308"/>
        <v>-7.2323999999999999E-2</v>
      </c>
      <c r="BF98">
        <f t="shared" si="309"/>
        <v>-0.16512250000000001</v>
      </c>
      <c r="BG98">
        <f t="shared" si="310"/>
        <v>-1.3100000000000001E-2</v>
      </c>
      <c r="BH98">
        <f t="shared" si="310"/>
        <v>-2.6700000000000002E-2</v>
      </c>
      <c r="BI98">
        <f t="shared" si="310"/>
        <v>-4.0799999999999975E-2</v>
      </c>
      <c r="BJ98">
        <f t="shared" si="310"/>
        <v>-5.5399999999999977E-2</v>
      </c>
      <c r="BK98">
        <f t="shared" si="310"/>
        <v>-7.0500000000000007E-2</v>
      </c>
      <c r="BL98">
        <f t="shared" si="310"/>
        <v>-8.610000000000001E-2</v>
      </c>
      <c r="BM98">
        <f t="shared" si="311"/>
        <v>-0.52178710000000006</v>
      </c>
      <c r="BN98">
        <f t="shared" si="312"/>
        <v>-4.1395999999999988E-2</v>
      </c>
      <c r="BO98">
        <f t="shared" si="312"/>
        <v>-8.4371999999999892E-2</v>
      </c>
      <c r="BP98">
        <f t="shared" si="312"/>
        <v>-0.12892799999999993</v>
      </c>
      <c r="BQ98">
        <f t="shared" si="312"/>
        <v>-0.17506399999999989</v>
      </c>
      <c r="BR98">
        <f t="shared" si="312"/>
        <v>-0.22277999999999998</v>
      </c>
      <c r="BS98">
        <f t="shared" si="312"/>
        <v>-0.27207599999999998</v>
      </c>
    </row>
    <row r="99" spans="2:71" x14ac:dyDescent="0.35">
      <c r="B99" t="s">
        <v>374</v>
      </c>
      <c r="C99" s="19">
        <f>regions!B77</f>
        <v>1586624</v>
      </c>
      <c r="D99" s="19">
        <f>regions!C77</f>
        <v>654977405.69626474</v>
      </c>
      <c r="E99" s="8">
        <f>regions!D77</f>
        <v>412.81198676955898</v>
      </c>
      <c r="F99" s="1">
        <f>regions!Z77</f>
        <v>26.7</v>
      </c>
      <c r="G99" s="8"/>
      <c r="H99" s="8"/>
      <c r="I99">
        <f t="shared" si="301"/>
        <v>-0.37219799999999997</v>
      </c>
      <c r="J99">
        <f t="shared" si="315"/>
        <v>-1.3940000000000008E-2</v>
      </c>
      <c r="K99">
        <f t="shared" si="315"/>
        <v>-2.7880000000000016E-2</v>
      </c>
      <c r="L99">
        <f t="shared" si="315"/>
        <v>-4.1819999999999968E-2</v>
      </c>
      <c r="M99">
        <f t="shared" si="315"/>
        <v>-5.5759999999999976E-2</v>
      </c>
      <c r="N99">
        <f t="shared" si="315"/>
        <v>-6.9699999999999984E-2</v>
      </c>
      <c r="O99">
        <f t="shared" si="315"/>
        <v>-8.3640000000000048E-2</v>
      </c>
      <c r="P99">
        <f t="shared" si="302"/>
        <v>-0.28515600000000002</v>
      </c>
      <c r="Q99">
        <f t="shared" si="316"/>
        <v>-2.1760000000000002E-2</v>
      </c>
      <c r="R99">
        <f t="shared" si="316"/>
        <v>-4.4319999999999971E-2</v>
      </c>
      <c r="S99">
        <f t="shared" si="316"/>
        <v>-6.7679999999999962E-2</v>
      </c>
      <c r="T99">
        <f t="shared" si="316"/>
        <v>-9.1839999999999977E-2</v>
      </c>
      <c r="U99">
        <f t="shared" si="316"/>
        <v>-0.11680000000000001</v>
      </c>
      <c r="V99">
        <f t="shared" si="316"/>
        <v>-0.14256000000000008</v>
      </c>
      <c r="W99">
        <f t="shared" si="303"/>
        <v>-0.35644500000000001</v>
      </c>
      <c r="X99">
        <f t="shared" si="317"/>
        <v>-2.7200000000000002E-2</v>
      </c>
      <c r="Y99">
        <f t="shared" si="317"/>
        <v>-5.5399999999999949E-2</v>
      </c>
      <c r="Z99">
        <f t="shared" si="317"/>
        <v>-8.4599999999999953E-2</v>
      </c>
      <c r="AA99">
        <f t="shared" si="317"/>
        <v>-0.11480000000000001</v>
      </c>
      <c r="AB99">
        <f t="shared" si="317"/>
        <v>-0.14600000000000002</v>
      </c>
      <c r="AC99">
        <f t="shared" si="317"/>
        <v>-0.17820000000000014</v>
      </c>
      <c r="AD99">
        <f t="shared" si="304"/>
        <v>-0.32293917</v>
      </c>
      <c r="AE99">
        <f t="shared" si="318"/>
        <v>-2.4643199999999976E-2</v>
      </c>
      <c r="AF99">
        <f t="shared" si="318"/>
        <v>-5.019239999999997E-2</v>
      </c>
      <c r="AG99">
        <f t="shared" si="318"/>
        <v>-7.6647599999999982E-2</v>
      </c>
      <c r="AH99">
        <f t="shared" si="318"/>
        <v>-0.10400880000000001</v>
      </c>
      <c r="AI99">
        <f t="shared" si="318"/>
        <v>-0.132276</v>
      </c>
      <c r="AJ99">
        <f t="shared" si="318"/>
        <v>-0.16144920000000007</v>
      </c>
      <c r="AK99">
        <f t="shared" si="305"/>
        <v>-0.36357390000000001</v>
      </c>
      <c r="AL99">
        <f t="shared" si="319"/>
        <v>-2.7743999999999991E-2</v>
      </c>
      <c r="AM99">
        <f t="shared" si="319"/>
        <v>-5.6508000000000003E-2</v>
      </c>
      <c r="AN99">
        <f t="shared" si="319"/>
        <v>-8.629199999999998E-2</v>
      </c>
      <c r="AO99">
        <f t="shared" si="319"/>
        <v>-0.11709600000000003</v>
      </c>
      <c r="AP99">
        <f t="shared" si="319"/>
        <v>-0.14892000000000005</v>
      </c>
      <c r="AQ99">
        <f t="shared" si="319"/>
        <v>-0.18176400000000015</v>
      </c>
      <c r="AR99">
        <f t="shared" si="306"/>
        <v>-0.54250928999999992</v>
      </c>
      <c r="AS99">
        <f t="shared" si="320"/>
        <v>-4.1398400000000057E-2</v>
      </c>
      <c r="AT99">
        <f t="shared" si="320"/>
        <v>-8.4318800000000027E-2</v>
      </c>
      <c r="AU99">
        <f t="shared" si="320"/>
        <v>-0.12876120000000002</v>
      </c>
      <c r="AV99">
        <f t="shared" si="320"/>
        <v>-0.17472560000000004</v>
      </c>
      <c r="AW99">
        <f t="shared" si="320"/>
        <v>-0.22221200000000008</v>
      </c>
      <c r="AX99">
        <f t="shared" si="320"/>
        <v>-0.27122040000000014</v>
      </c>
      <c r="AY99">
        <f t="shared" si="307"/>
        <v>-0.1497069</v>
      </c>
      <c r="AZ99">
        <f t="shared" si="308"/>
        <v>-1.142399999999999E-2</v>
      </c>
      <c r="BA99">
        <f t="shared" si="308"/>
        <v>-2.3267999999999983E-2</v>
      </c>
      <c r="BB99">
        <f t="shared" si="308"/>
        <v>-3.553199999999998E-2</v>
      </c>
      <c r="BC99">
        <f t="shared" si="308"/>
        <v>-4.8216000000000009E-2</v>
      </c>
      <c r="BD99">
        <f t="shared" si="308"/>
        <v>-6.1320000000000013E-2</v>
      </c>
      <c r="BE99">
        <f t="shared" si="308"/>
        <v>-7.4844000000000049E-2</v>
      </c>
      <c r="BF99">
        <f t="shared" si="309"/>
        <v>-0.17822250000000001</v>
      </c>
      <c r="BG99">
        <f t="shared" si="310"/>
        <v>-1.3600000000000001E-2</v>
      </c>
      <c r="BH99">
        <f t="shared" si="310"/>
        <v>-2.7699999999999975E-2</v>
      </c>
      <c r="BI99">
        <f t="shared" si="310"/>
        <v>-4.2299999999999977E-2</v>
      </c>
      <c r="BJ99">
        <f t="shared" si="310"/>
        <v>-5.7400000000000007E-2</v>
      </c>
      <c r="BK99">
        <f t="shared" si="310"/>
        <v>-7.3000000000000009E-2</v>
      </c>
      <c r="BL99">
        <f t="shared" si="310"/>
        <v>-8.9100000000000068E-2</v>
      </c>
      <c r="BM99">
        <f t="shared" si="311"/>
        <v>-0.56318310000000005</v>
      </c>
      <c r="BN99">
        <f t="shared" si="312"/>
        <v>-4.2975999999999903E-2</v>
      </c>
      <c r="BO99">
        <f t="shared" si="312"/>
        <v>-8.7531999999999943E-2</v>
      </c>
      <c r="BP99">
        <f t="shared" si="312"/>
        <v>-0.1336679999999999</v>
      </c>
      <c r="BQ99">
        <f t="shared" si="312"/>
        <v>-0.18138399999999999</v>
      </c>
      <c r="BR99">
        <f t="shared" si="312"/>
        <v>-0.23068</v>
      </c>
      <c r="BS99">
        <f t="shared" si="312"/>
        <v>-0.28155600000000014</v>
      </c>
    </row>
    <row r="100" spans="2:71" x14ac:dyDescent="0.35">
      <c r="B100" t="s">
        <v>375</v>
      </c>
      <c r="C100" s="19">
        <f>regions!B78</f>
        <v>786126</v>
      </c>
      <c r="D100" s="19">
        <f>regions!C78</f>
        <v>918902044.7624557</v>
      </c>
      <c r="E100" s="8">
        <f>regions!D78</f>
        <v>1168.8991901583915</v>
      </c>
      <c r="F100" s="1">
        <f>regions!Z78</f>
        <v>25.9</v>
      </c>
      <c r="G100" s="8"/>
      <c r="H100" s="8"/>
      <c r="I100">
        <f t="shared" si="301"/>
        <v>-0.36104599999999998</v>
      </c>
      <c r="J100">
        <f t="shared" si="315"/>
        <v>-1.3940000000000008E-2</v>
      </c>
      <c r="K100">
        <f t="shared" si="315"/>
        <v>-2.787999999999996E-2</v>
      </c>
      <c r="L100">
        <f t="shared" si="315"/>
        <v>-4.1819999999999968E-2</v>
      </c>
      <c r="M100">
        <f t="shared" si="315"/>
        <v>-5.5759999999999976E-2</v>
      </c>
      <c r="N100">
        <f t="shared" si="315"/>
        <v>-6.9699999999999984E-2</v>
      </c>
      <c r="O100">
        <f t="shared" si="315"/>
        <v>-8.3639999999999992E-2</v>
      </c>
      <c r="P100">
        <f t="shared" si="302"/>
        <v>-0.26832400000000001</v>
      </c>
      <c r="Q100">
        <f t="shared" si="316"/>
        <v>-2.1119999999999972E-2</v>
      </c>
      <c r="R100">
        <f t="shared" si="316"/>
        <v>-4.3040000000000023E-2</v>
      </c>
      <c r="S100">
        <f t="shared" si="316"/>
        <v>-6.5759999999999985E-2</v>
      </c>
      <c r="T100">
        <f t="shared" si="316"/>
        <v>-8.927999999999997E-2</v>
      </c>
      <c r="U100">
        <f t="shared" si="316"/>
        <v>-0.11359999999999998</v>
      </c>
      <c r="V100">
        <f t="shared" si="316"/>
        <v>-0.13871999999999995</v>
      </c>
      <c r="W100">
        <f t="shared" si="303"/>
        <v>-0.33540499999999995</v>
      </c>
      <c r="X100">
        <f t="shared" si="317"/>
        <v>-2.6399999999999979E-2</v>
      </c>
      <c r="Y100">
        <f t="shared" si="317"/>
        <v>-5.3800000000000014E-2</v>
      </c>
      <c r="Z100">
        <f t="shared" si="317"/>
        <v>-8.2199999999999995E-2</v>
      </c>
      <c r="AA100">
        <f t="shared" si="317"/>
        <v>-0.11159999999999998</v>
      </c>
      <c r="AB100">
        <f t="shared" si="317"/>
        <v>-0.14200000000000002</v>
      </c>
      <c r="AC100">
        <f t="shared" si="317"/>
        <v>-0.1734</v>
      </c>
      <c r="AD100">
        <f t="shared" si="304"/>
        <v>-0.30387692999999999</v>
      </c>
      <c r="AE100">
        <f t="shared" si="318"/>
        <v>-2.3918399999999951E-2</v>
      </c>
      <c r="AF100">
        <f t="shared" si="318"/>
        <v>-4.8742799999999975E-2</v>
      </c>
      <c r="AG100">
        <f t="shared" si="318"/>
        <v>-7.4473199999999962E-2</v>
      </c>
      <c r="AH100">
        <f t="shared" si="318"/>
        <v>-0.10110959999999997</v>
      </c>
      <c r="AI100">
        <f t="shared" si="318"/>
        <v>-0.12865199999999999</v>
      </c>
      <c r="AJ100">
        <f t="shared" si="318"/>
        <v>-0.15710039999999997</v>
      </c>
      <c r="AK100">
        <f t="shared" si="305"/>
        <v>-0.3421131</v>
      </c>
      <c r="AL100">
        <f t="shared" si="319"/>
        <v>-2.6927999999999952E-2</v>
      </c>
      <c r="AM100">
        <f t="shared" si="319"/>
        <v>-5.4876000000000036E-2</v>
      </c>
      <c r="AN100">
        <f t="shared" si="319"/>
        <v>-8.3843999999999974E-2</v>
      </c>
      <c r="AO100">
        <f t="shared" si="319"/>
        <v>-0.11383199999999999</v>
      </c>
      <c r="AP100">
        <f t="shared" si="319"/>
        <v>-0.14484000000000002</v>
      </c>
      <c r="AQ100">
        <f t="shared" si="319"/>
        <v>-0.17686799999999997</v>
      </c>
      <c r="AR100">
        <f t="shared" si="306"/>
        <v>-0.51048640999999995</v>
      </c>
      <c r="AS100">
        <f t="shared" si="320"/>
        <v>-4.0180799999999905E-2</v>
      </c>
      <c r="AT100">
        <f t="shared" si="320"/>
        <v>-8.1883599999999945E-2</v>
      </c>
      <c r="AU100">
        <f t="shared" si="320"/>
        <v>-0.12510840000000001</v>
      </c>
      <c r="AV100">
        <f t="shared" si="320"/>
        <v>-0.16985519999999987</v>
      </c>
      <c r="AW100">
        <f t="shared" si="320"/>
        <v>-0.21612399999999998</v>
      </c>
      <c r="AX100">
        <f t="shared" si="320"/>
        <v>-0.26391479999999989</v>
      </c>
      <c r="AY100">
        <f t="shared" si="307"/>
        <v>-0.1408701</v>
      </c>
      <c r="AZ100">
        <f t="shared" si="308"/>
        <v>-1.1087999999999987E-2</v>
      </c>
      <c r="BA100">
        <f t="shared" si="308"/>
        <v>-2.2596000000000005E-2</v>
      </c>
      <c r="BB100">
        <f t="shared" si="308"/>
        <v>-3.4523999999999999E-2</v>
      </c>
      <c r="BC100">
        <f t="shared" si="308"/>
        <v>-4.6871999999999997E-2</v>
      </c>
      <c r="BD100">
        <f t="shared" si="308"/>
        <v>-5.9639999999999999E-2</v>
      </c>
      <c r="BE100">
        <f t="shared" si="308"/>
        <v>-7.2827999999999976E-2</v>
      </c>
      <c r="BF100">
        <f t="shared" si="309"/>
        <v>-0.16770249999999998</v>
      </c>
      <c r="BG100">
        <f t="shared" si="310"/>
        <v>-1.319999999999999E-2</v>
      </c>
      <c r="BH100">
        <f t="shared" si="310"/>
        <v>-2.6900000000000007E-2</v>
      </c>
      <c r="BI100">
        <f t="shared" si="310"/>
        <v>-4.1099999999999998E-2</v>
      </c>
      <c r="BJ100">
        <f t="shared" si="310"/>
        <v>-5.5799999999999988E-2</v>
      </c>
      <c r="BK100">
        <f t="shared" si="310"/>
        <v>-7.1000000000000008E-2</v>
      </c>
      <c r="BL100">
        <f t="shared" si="310"/>
        <v>-8.6699999999999999E-2</v>
      </c>
      <c r="BM100">
        <f t="shared" si="311"/>
        <v>-0.52993990000000002</v>
      </c>
      <c r="BN100">
        <f t="shared" si="312"/>
        <v>-4.171199999999986E-2</v>
      </c>
      <c r="BO100">
        <f t="shared" si="312"/>
        <v>-8.5003999999999968E-2</v>
      </c>
      <c r="BP100">
        <f t="shared" si="312"/>
        <v>-0.12987599999999988</v>
      </c>
      <c r="BQ100">
        <f t="shared" si="312"/>
        <v>-0.17632799999999993</v>
      </c>
      <c r="BR100">
        <f t="shared" si="312"/>
        <v>-0.22436</v>
      </c>
      <c r="BS100">
        <f t="shared" si="312"/>
        <v>-0.27397199999999988</v>
      </c>
    </row>
    <row r="101" spans="2:71" x14ac:dyDescent="0.35">
      <c r="B101" t="s">
        <v>376</v>
      </c>
      <c r="C101" s="19">
        <f>regions!B79</f>
        <v>9896400</v>
      </c>
      <c r="D101" s="19">
        <f>regions!C79</f>
        <v>4312557777.9740305</v>
      </c>
      <c r="E101" s="8">
        <f>regions!D79</f>
        <v>435.77035871367673</v>
      </c>
      <c r="F101" s="1">
        <f>regions!Z79</f>
        <v>24.8</v>
      </c>
      <c r="G101" s="8"/>
      <c r="H101" s="8"/>
      <c r="I101">
        <f t="shared" si="301"/>
        <v>-0.34571200000000002</v>
      </c>
      <c r="J101">
        <f t="shared" si="315"/>
        <v>-1.3939999999999952E-2</v>
      </c>
      <c r="K101">
        <f t="shared" si="315"/>
        <v>-2.787999999999996E-2</v>
      </c>
      <c r="L101">
        <f t="shared" si="315"/>
        <v>-4.1819999999999968E-2</v>
      </c>
      <c r="M101">
        <f t="shared" si="315"/>
        <v>-5.5759999999999976E-2</v>
      </c>
      <c r="N101">
        <f t="shared" si="315"/>
        <v>-6.9699999999999984E-2</v>
      </c>
      <c r="O101">
        <f t="shared" si="315"/>
        <v>-8.3639999999999992E-2</v>
      </c>
      <c r="P101">
        <f t="shared" si="302"/>
        <v>-0.24601600000000004</v>
      </c>
      <c r="Q101">
        <f t="shared" si="316"/>
        <v>-2.0239999999999952E-2</v>
      </c>
      <c r="R101">
        <f t="shared" si="316"/>
        <v>-4.1279999999999956E-2</v>
      </c>
      <c r="S101">
        <f t="shared" si="316"/>
        <v>-6.3119999999999982E-2</v>
      </c>
      <c r="T101">
        <f t="shared" si="316"/>
        <v>-8.5759999999999975E-2</v>
      </c>
      <c r="U101">
        <f t="shared" si="316"/>
        <v>-0.10919999999999999</v>
      </c>
      <c r="V101">
        <f t="shared" si="316"/>
        <v>-0.13344000000000003</v>
      </c>
      <c r="W101">
        <f t="shared" si="303"/>
        <v>-0.30752000000000007</v>
      </c>
      <c r="X101">
        <f t="shared" si="317"/>
        <v>-2.5299999999999934E-2</v>
      </c>
      <c r="Y101">
        <f t="shared" si="317"/>
        <v>-5.1599999999999924E-2</v>
      </c>
      <c r="Z101">
        <f t="shared" si="317"/>
        <v>-7.889999999999997E-2</v>
      </c>
      <c r="AA101">
        <f t="shared" si="317"/>
        <v>-0.10719999999999996</v>
      </c>
      <c r="AB101">
        <f t="shared" si="317"/>
        <v>-0.13649999999999995</v>
      </c>
      <c r="AC101">
        <f t="shared" si="317"/>
        <v>-0.1668</v>
      </c>
      <c r="AD101">
        <f t="shared" si="304"/>
        <v>-0.27861312000000005</v>
      </c>
      <c r="AE101">
        <f t="shared" si="318"/>
        <v>-2.2921799999999937E-2</v>
      </c>
      <c r="AF101">
        <f t="shared" si="318"/>
        <v>-4.6749599999999947E-2</v>
      </c>
      <c r="AG101">
        <f t="shared" si="318"/>
        <v>-7.1483399999999975E-2</v>
      </c>
      <c r="AH101">
        <f t="shared" si="318"/>
        <v>-9.7123199999999965E-2</v>
      </c>
      <c r="AI101">
        <f t="shared" si="318"/>
        <v>-0.12366899999999997</v>
      </c>
      <c r="AJ101">
        <f t="shared" si="318"/>
        <v>-0.1511208</v>
      </c>
      <c r="AK101">
        <f t="shared" si="305"/>
        <v>-0.31367040000000007</v>
      </c>
      <c r="AL101">
        <f t="shared" si="319"/>
        <v>-2.580599999999994E-2</v>
      </c>
      <c r="AM101">
        <f t="shared" si="319"/>
        <v>-5.2631999999999957E-2</v>
      </c>
      <c r="AN101">
        <f t="shared" si="319"/>
        <v>-8.0477999999999994E-2</v>
      </c>
      <c r="AO101">
        <f t="shared" si="319"/>
        <v>-0.109344</v>
      </c>
      <c r="AP101">
        <f t="shared" si="319"/>
        <v>-0.13923000000000002</v>
      </c>
      <c r="AQ101">
        <f t="shared" si="319"/>
        <v>-0.17013600000000001</v>
      </c>
      <c r="AR101">
        <f t="shared" si="306"/>
        <v>-0.46804544000000003</v>
      </c>
      <c r="AS101">
        <f t="shared" si="320"/>
        <v>-3.8506599999999946E-2</v>
      </c>
      <c r="AT101">
        <f t="shared" si="320"/>
        <v>-7.8535199999999916E-2</v>
      </c>
      <c r="AU101">
        <f t="shared" si="320"/>
        <v>-0.12008579999999991</v>
      </c>
      <c r="AV101">
        <f t="shared" si="320"/>
        <v>-0.16315839999999993</v>
      </c>
      <c r="AW101">
        <f t="shared" si="320"/>
        <v>-0.20775299999999997</v>
      </c>
      <c r="AX101">
        <f t="shared" si="320"/>
        <v>-0.25386960000000003</v>
      </c>
      <c r="AY101">
        <f t="shared" si="307"/>
        <v>-0.12915840000000003</v>
      </c>
      <c r="AZ101">
        <f t="shared" si="308"/>
        <v>-1.0625999999999969E-2</v>
      </c>
      <c r="BA101">
        <f t="shared" si="308"/>
        <v>-2.1671999999999969E-2</v>
      </c>
      <c r="BB101">
        <f t="shared" si="308"/>
        <v>-3.3137999999999973E-2</v>
      </c>
      <c r="BC101">
        <f t="shared" si="308"/>
        <v>-4.5023999999999981E-2</v>
      </c>
      <c r="BD101">
        <f t="shared" si="308"/>
        <v>-5.7329999999999992E-2</v>
      </c>
      <c r="BE101">
        <f t="shared" si="308"/>
        <v>-7.0056000000000007E-2</v>
      </c>
      <c r="BF101">
        <f t="shared" si="309"/>
        <v>-0.15376000000000004</v>
      </c>
      <c r="BG101">
        <f t="shared" si="310"/>
        <v>-1.2649999999999967E-2</v>
      </c>
      <c r="BH101">
        <f t="shared" si="310"/>
        <v>-2.5799999999999962E-2</v>
      </c>
      <c r="BI101">
        <f t="shared" si="310"/>
        <v>-3.9449999999999985E-2</v>
      </c>
      <c r="BJ101">
        <f t="shared" si="310"/>
        <v>-5.3599999999999981E-2</v>
      </c>
      <c r="BK101">
        <f t="shared" si="310"/>
        <v>-6.8249999999999977E-2</v>
      </c>
      <c r="BL101">
        <f t="shared" si="310"/>
        <v>-8.3400000000000002E-2</v>
      </c>
      <c r="BM101">
        <f t="shared" si="311"/>
        <v>-0.48588160000000008</v>
      </c>
      <c r="BN101">
        <f t="shared" si="312"/>
        <v>-3.9973999999999899E-2</v>
      </c>
      <c r="BO101">
        <f t="shared" si="312"/>
        <v>-8.1527999999999989E-2</v>
      </c>
      <c r="BP101">
        <f t="shared" si="312"/>
        <v>-0.124662</v>
      </c>
      <c r="BQ101">
        <f t="shared" si="312"/>
        <v>-0.16937600000000003</v>
      </c>
      <c r="BR101">
        <f t="shared" si="312"/>
        <v>-0.21566999999999997</v>
      </c>
      <c r="BS101">
        <f t="shared" si="312"/>
        <v>-0.26354400000000006</v>
      </c>
    </row>
    <row r="102" spans="2:71" x14ac:dyDescent="0.35">
      <c r="B102" t="s">
        <v>148</v>
      </c>
      <c r="C102" s="19">
        <f>regions!B80</f>
        <v>7621204</v>
      </c>
      <c r="D102" s="19">
        <f>regions!C80</f>
        <v>11546063422.563662</v>
      </c>
      <c r="E102" s="8">
        <f>regions!D80</f>
        <v>1514.9920435883439</v>
      </c>
      <c r="F102" s="1">
        <f>regions!Z80</f>
        <v>23.5</v>
      </c>
      <c r="G102" s="8"/>
      <c r="H102" s="8"/>
      <c r="I102">
        <f t="shared" si="301"/>
        <v>-0.32758999999999999</v>
      </c>
      <c r="J102">
        <f t="shared" si="315"/>
        <v>-1.3940000000000008E-2</v>
      </c>
      <c r="K102">
        <f t="shared" si="315"/>
        <v>-2.7880000000000016E-2</v>
      </c>
      <c r="L102">
        <f t="shared" si="315"/>
        <v>-4.1819999999999968E-2</v>
      </c>
      <c r="M102">
        <f t="shared" si="315"/>
        <v>-5.5759999999999976E-2</v>
      </c>
      <c r="N102">
        <f t="shared" si="315"/>
        <v>-6.9699999999999984E-2</v>
      </c>
      <c r="O102">
        <f t="shared" si="315"/>
        <v>-8.3639999999999992E-2</v>
      </c>
      <c r="P102">
        <f t="shared" si="302"/>
        <v>-0.22090000000000001</v>
      </c>
      <c r="Q102">
        <f t="shared" si="316"/>
        <v>-1.9199999999999995E-2</v>
      </c>
      <c r="R102">
        <f t="shared" si="316"/>
        <v>-3.9199999999999985E-2</v>
      </c>
      <c r="S102">
        <f t="shared" si="316"/>
        <v>-6.0000000000000026E-2</v>
      </c>
      <c r="T102">
        <f t="shared" si="316"/>
        <v>-8.1599999999999978E-2</v>
      </c>
      <c r="U102">
        <f t="shared" si="316"/>
        <v>-0.10400000000000001</v>
      </c>
      <c r="V102">
        <f t="shared" si="316"/>
        <v>-0.12720000000000001</v>
      </c>
      <c r="W102">
        <f t="shared" si="303"/>
        <v>-0.27612500000000001</v>
      </c>
      <c r="X102">
        <f t="shared" si="317"/>
        <v>-2.4000000000000021E-2</v>
      </c>
      <c r="Y102">
        <f t="shared" si="317"/>
        <v>-4.8999999999999988E-2</v>
      </c>
      <c r="Z102">
        <f t="shared" si="317"/>
        <v>-7.5000000000000011E-2</v>
      </c>
      <c r="AA102">
        <f t="shared" si="317"/>
        <v>-0.10199999999999998</v>
      </c>
      <c r="AB102">
        <f t="shared" si="317"/>
        <v>-0.13</v>
      </c>
      <c r="AC102">
        <f t="shared" si="317"/>
        <v>-0.15899999999999997</v>
      </c>
      <c r="AD102">
        <f t="shared" si="304"/>
        <v>-0.25016925000000001</v>
      </c>
      <c r="AE102">
        <f t="shared" si="318"/>
        <v>-2.1743999999999986E-2</v>
      </c>
      <c r="AF102">
        <f t="shared" si="318"/>
        <v>-4.4393999999999989E-2</v>
      </c>
      <c r="AG102">
        <f t="shared" si="318"/>
        <v>-6.795000000000001E-2</v>
      </c>
      <c r="AH102">
        <f t="shared" si="318"/>
        <v>-9.2411999999999994E-2</v>
      </c>
      <c r="AI102">
        <f t="shared" si="318"/>
        <v>-0.11778</v>
      </c>
      <c r="AJ102">
        <f t="shared" si="318"/>
        <v>-0.14405400000000002</v>
      </c>
      <c r="AK102">
        <f t="shared" si="305"/>
        <v>-0.2816475</v>
      </c>
      <c r="AL102">
        <f t="shared" si="319"/>
        <v>-2.4480000000000002E-2</v>
      </c>
      <c r="AM102">
        <f t="shared" si="319"/>
        <v>-4.9980000000000024E-2</v>
      </c>
      <c r="AN102">
        <f t="shared" si="319"/>
        <v>-7.6500000000000012E-2</v>
      </c>
      <c r="AO102">
        <f t="shared" si="319"/>
        <v>-0.10404000000000002</v>
      </c>
      <c r="AP102">
        <f t="shared" si="319"/>
        <v>-0.13260000000000005</v>
      </c>
      <c r="AQ102">
        <f t="shared" si="319"/>
        <v>-0.16218000000000005</v>
      </c>
      <c r="AR102">
        <f t="shared" si="306"/>
        <v>-0.42026225</v>
      </c>
      <c r="AS102">
        <f t="shared" si="320"/>
        <v>-3.6527999999999949E-2</v>
      </c>
      <c r="AT102">
        <f t="shared" si="320"/>
        <v>-7.4577999999999978E-2</v>
      </c>
      <c r="AU102">
        <f t="shared" si="320"/>
        <v>-0.11414999999999992</v>
      </c>
      <c r="AV102">
        <f t="shared" si="320"/>
        <v>-0.15524399999999999</v>
      </c>
      <c r="AW102">
        <f t="shared" si="320"/>
        <v>-0.19785999999999998</v>
      </c>
      <c r="AX102">
        <f t="shared" si="320"/>
        <v>-0.24199799999999999</v>
      </c>
      <c r="AY102">
        <f t="shared" si="307"/>
        <v>-0.11597250000000001</v>
      </c>
      <c r="AZ102">
        <f t="shared" si="308"/>
        <v>-1.0080000000000006E-2</v>
      </c>
      <c r="BA102">
        <f t="shared" si="308"/>
        <v>-2.0579999999999987E-2</v>
      </c>
      <c r="BB102">
        <f t="shared" si="308"/>
        <v>-3.15E-2</v>
      </c>
      <c r="BC102">
        <f t="shared" si="308"/>
        <v>-4.2839999999999989E-2</v>
      </c>
      <c r="BD102">
        <f t="shared" si="308"/>
        <v>-5.460000000000001E-2</v>
      </c>
      <c r="BE102">
        <f t="shared" si="308"/>
        <v>-6.6780000000000006E-2</v>
      </c>
      <c r="BF102">
        <f t="shared" si="309"/>
        <v>-0.1380625</v>
      </c>
      <c r="BG102">
        <f t="shared" si="310"/>
        <v>-1.2000000000000011E-2</v>
      </c>
      <c r="BH102">
        <f t="shared" si="310"/>
        <v>-2.4499999999999994E-2</v>
      </c>
      <c r="BI102">
        <f t="shared" si="310"/>
        <v>-3.7500000000000006E-2</v>
      </c>
      <c r="BJ102">
        <f t="shared" si="310"/>
        <v>-5.099999999999999E-2</v>
      </c>
      <c r="BK102">
        <f t="shared" si="310"/>
        <v>-6.5000000000000002E-2</v>
      </c>
      <c r="BL102">
        <f t="shared" si="310"/>
        <v>-7.9499999999999987E-2</v>
      </c>
      <c r="BM102">
        <f t="shared" si="311"/>
        <v>-0.43627749999999998</v>
      </c>
      <c r="BN102">
        <f t="shared" si="312"/>
        <v>-3.7920000000000009E-2</v>
      </c>
      <c r="BO102">
        <f t="shared" si="312"/>
        <v>-7.7420000000000044E-2</v>
      </c>
      <c r="BP102">
        <f t="shared" si="312"/>
        <v>-0.11850000000000005</v>
      </c>
      <c r="BQ102">
        <f t="shared" si="312"/>
        <v>-0.16115999999999997</v>
      </c>
      <c r="BR102">
        <f t="shared" si="312"/>
        <v>-0.20540000000000003</v>
      </c>
      <c r="BS102">
        <f t="shared" si="312"/>
        <v>-0.25122</v>
      </c>
    </row>
    <row r="103" spans="2:71" x14ac:dyDescent="0.35">
      <c r="B103" t="s">
        <v>149</v>
      </c>
      <c r="C103" s="19">
        <f>regions!B81</f>
        <v>7024200</v>
      </c>
      <c r="D103" s="19">
        <f>regions!C81</f>
        <v>220058248223.22446</v>
      </c>
      <c r="E103" s="8">
        <f>regions!D81</f>
        <v>31328.585208738998</v>
      </c>
      <c r="F103" s="1">
        <f>regions!Z81</f>
        <v>22.7</v>
      </c>
      <c r="G103" s="8"/>
      <c r="H103" s="8"/>
      <c r="I103">
        <f t="shared" si="301"/>
        <v>0</v>
      </c>
      <c r="J103">
        <f t="shared" si="315"/>
        <v>0</v>
      </c>
      <c r="K103">
        <f t="shared" si="315"/>
        <v>0</v>
      </c>
      <c r="L103">
        <f t="shared" si="315"/>
        <v>0</v>
      </c>
      <c r="M103">
        <f t="shared" si="315"/>
        <v>0</v>
      </c>
      <c r="N103">
        <f t="shared" si="315"/>
        <v>0</v>
      </c>
      <c r="O103">
        <f t="shared" si="315"/>
        <v>0</v>
      </c>
      <c r="P103">
        <f t="shared" si="302"/>
        <v>-0.20611599999999999</v>
      </c>
      <c r="Q103">
        <f t="shared" si="316"/>
        <v>-1.8559999999999993E-2</v>
      </c>
      <c r="R103">
        <f t="shared" si="316"/>
        <v>-3.7919999999999981E-2</v>
      </c>
      <c r="S103">
        <f t="shared" si="316"/>
        <v>-5.8080000000000048E-2</v>
      </c>
      <c r="T103">
        <f t="shared" si="316"/>
        <v>-7.9040000000000027E-2</v>
      </c>
      <c r="U103">
        <f t="shared" si="316"/>
        <v>-0.10080000000000003</v>
      </c>
      <c r="V103">
        <f t="shared" si="316"/>
        <v>-0.12336</v>
      </c>
      <c r="W103">
        <f t="shared" si="303"/>
        <v>-0.25764500000000001</v>
      </c>
      <c r="X103">
        <f t="shared" si="317"/>
        <v>-2.3199999999999943E-2</v>
      </c>
      <c r="Y103">
        <f t="shared" si="317"/>
        <v>-4.7399999999999942E-2</v>
      </c>
      <c r="Z103">
        <f t="shared" si="317"/>
        <v>-7.2599999999999998E-2</v>
      </c>
      <c r="AA103">
        <f t="shared" si="317"/>
        <v>-9.8799999999999999E-2</v>
      </c>
      <c r="AB103">
        <f t="shared" si="317"/>
        <v>-0.126</v>
      </c>
      <c r="AC103">
        <f t="shared" si="317"/>
        <v>-0.15419999999999995</v>
      </c>
      <c r="AD103">
        <f t="shared" si="304"/>
        <v>-0.23342636999999999</v>
      </c>
      <c r="AE103">
        <f t="shared" si="318"/>
        <v>-2.101919999999996E-2</v>
      </c>
      <c r="AF103">
        <f t="shared" si="318"/>
        <v>-4.2944399999999994E-2</v>
      </c>
      <c r="AG103">
        <f t="shared" si="318"/>
        <v>-6.577559999999999E-2</v>
      </c>
      <c r="AH103">
        <f t="shared" si="318"/>
        <v>-8.9512800000000003E-2</v>
      </c>
      <c r="AI103">
        <f t="shared" si="318"/>
        <v>-0.11415599999999998</v>
      </c>
      <c r="AJ103">
        <f t="shared" si="318"/>
        <v>-0.13970519999999997</v>
      </c>
      <c r="AK103">
        <f t="shared" si="305"/>
        <v>-0.26279789999999997</v>
      </c>
      <c r="AL103">
        <f t="shared" si="319"/>
        <v>-2.3664000000000018E-2</v>
      </c>
      <c r="AM103">
        <f t="shared" si="319"/>
        <v>-4.8348000000000002E-2</v>
      </c>
      <c r="AN103">
        <f t="shared" si="319"/>
        <v>-7.4052000000000062E-2</v>
      </c>
      <c r="AO103">
        <f t="shared" si="319"/>
        <v>-0.10077600000000003</v>
      </c>
      <c r="AP103">
        <f t="shared" si="319"/>
        <v>-0.12852000000000002</v>
      </c>
      <c r="AQ103">
        <f t="shared" si="319"/>
        <v>-0.15728400000000003</v>
      </c>
      <c r="AR103">
        <f t="shared" si="306"/>
        <v>-0.39213568999999993</v>
      </c>
      <c r="AS103">
        <f t="shared" si="320"/>
        <v>-3.531040000000002E-2</v>
      </c>
      <c r="AT103">
        <f t="shared" si="320"/>
        <v>-7.2142800000000007E-2</v>
      </c>
      <c r="AU103">
        <f t="shared" si="320"/>
        <v>-0.11049720000000007</v>
      </c>
      <c r="AV103">
        <f t="shared" si="320"/>
        <v>-0.1503736</v>
      </c>
      <c r="AW103">
        <f t="shared" si="320"/>
        <v>-0.19177200000000005</v>
      </c>
      <c r="AX103">
        <f t="shared" si="320"/>
        <v>-0.23469240000000002</v>
      </c>
      <c r="AY103">
        <f t="shared" si="307"/>
        <v>-0.1082109</v>
      </c>
      <c r="AZ103">
        <f t="shared" si="308"/>
        <v>-9.7439999999999888E-3</v>
      </c>
      <c r="BA103">
        <f t="shared" si="308"/>
        <v>-1.9907999999999981E-2</v>
      </c>
      <c r="BB103">
        <f t="shared" si="308"/>
        <v>-3.0492000000000019E-2</v>
      </c>
      <c r="BC103">
        <f t="shared" si="308"/>
        <v>-4.1496000000000005E-2</v>
      </c>
      <c r="BD103">
        <f t="shared" si="308"/>
        <v>-5.2919999999999995E-2</v>
      </c>
      <c r="BE103">
        <f t="shared" si="308"/>
        <v>-6.4763999999999988E-2</v>
      </c>
      <c r="BF103">
        <f t="shared" si="309"/>
        <v>-0.12882250000000001</v>
      </c>
      <c r="BG103">
        <f t="shared" si="310"/>
        <v>-1.1599999999999971E-2</v>
      </c>
      <c r="BH103">
        <f t="shared" si="310"/>
        <v>-2.3699999999999971E-2</v>
      </c>
      <c r="BI103">
        <f t="shared" si="310"/>
        <v>-3.6299999999999999E-2</v>
      </c>
      <c r="BJ103">
        <f t="shared" si="310"/>
        <v>-4.9399999999999999E-2</v>
      </c>
      <c r="BK103">
        <f t="shared" si="310"/>
        <v>-6.3E-2</v>
      </c>
      <c r="BL103">
        <f t="shared" si="310"/>
        <v>-7.7099999999999974E-2</v>
      </c>
      <c r="BM103">
        <f t="shared" si="311"/>
        <v>-0.40707909999999997</v>
      </c>
      <c r="BN103">
        <f t="shared" si="312"/>
        <v>-3.6655999999999966E-2</v>
      </c>
      <c r="BO103">
        <f t="shared" si="312"/>
        <v>-7.4891999999999959E-2</v>
      </c>
      <c r="BP103">
        <f t="shared" si="312"/>
        <v>-0.11470800000000009</v>
      </c>
      <c r="BQ103">
        <f t="shared" si="312"/>
        <v>-0.15610400000000008</v>
      </c>
      <c r="BR103">
        <f t="shared" si="312"/>
        <v>-0.19907999999999998</v>
      </c>
      <c r="BS103">
        <f t="shared" si="312"/>
        <v>-0.24363600000000002</v>
      </c>
    </row>
    <row r="104" spans="2:71" x14ac:dyDescent="0.35">
      <c r="B104" t="s">
        <v>150</v>
      </c>
      <c r="C104" s="19">
        <f>regions!B82</f>
        <v>10000023</v>
      </c>
      <c r="D104" s="19">
        <f>regions!C82</f>
        <v>109264940823.83978</v>
      </c>
      <c r="E104" s="8">
        <f>regions!D82</f>
        <v>10926.468951505391</v>
      </c>
      <c r="F104" s="1">
        <f>regions!Z82</f>
        <v>9.8000000000000007</v>
      </c>
      <c r="G104" s="8"/>
      <c r="H104" s="8"/>
      <c r="I104">
        <f t="shared" si="301"/>
        <v>0</v>
      </c>
      <c r="J104">
        <f t="shared" si="315"/>
        <v>0</v>
      </c>
      <c r="K104">
        <f t="shared" si="315"/>
        <v>0</v>
      </c>
      <c r="L104">
        <f t="shared" si="315"/>
        <v>0</v>
      </c>
      <c r="M104">
        <f t="shared" si="315"/>
        <v>0</v>
      </c>
      <c r="N104">
        <f t="shared" si="315"/>
        <v>0</v>
      </c>
      <c r="O104">
        <f t="shared" si="315"/>
        <v>0</v>
      </c>
      <c r="P104">
        <f t="shared" si="302"/>
        <v>-3.8416000000000013E-2</v>
      </c>
      <c r="Q104">
        <f t="shared" si="316"/>
        <v>-8.2399999999999973E-3</v>
      </c>
      <c r="R104">
        <f t="shared" si="316"/>
        <v>-1.7279999999999997E-2</v>
      </c>
      <c r="S104">
        <f t="shared" si="316"/>
        <v>-2.7119999999999998E-2</v>
      </c>
      <c r="T104">
        <f t="shared" si="316"/>
        <v>-3.7759999999999995E-2</v>
      </c>
      <c r="U104">
        <f t="shared" si="316"/>
        <v>-4.9200000000000001E-2</v>
      </c>
      <c r="V104">
        <f t="shared" si="316"/>
        <v>-6.1440000000000002E-2</v>
      </c>
      <c r="W104">
        <f t="shared" si="303"/>
        <v>-4.8020000000000014E-2</v>
      </c>
      <c r="X104">
        <f t="shared" si="317"/>
        <v>-1.0299999999999997E-2</v>
      </c>
      <c r="Y104">
        <f t="shared" si="317"/>
        <v>-2.1599999999999987E-2</v>
      </c>
      <c r="Z104">
        <f t="shared" si="317"/>
        <v>-3.3900000000000007E-2</v>
      </c>
      <c r="AA104">
        <f t="shared" si="317"/>
        <v>-4.7199999999999999E-2</v>
      </c>
      <c r="AB104">
        <f t="shared" si="317"/>
        <v>-6.1499999999999992E-2</v>
      </c>
      <c r="AC104">
        <f t="shared" si="317"/>
        <v>-7.6800000000000007E-2</v>
      </c>
      <c r="AD104">
        <f t="shared" si="304"/>
        <v>-4.3506120000000009E-2</v>
      </c>
      <c r="AE104">
        <f t="shared" si="318"/>
        <v>-9.3318000000000012E-3</v>
      </c>
      <c r="AF104">
        <f t="shared" si="318"/>
        <v>-1.9569599999999993E-2</v>
      </c>
      <c r="AG104">
        <f t="shared" si="318"/>
        <v>-3.0713400000000002E-2</v>
      </c>
      <c r="AH104">
        <f t="shared" si="318"/>
        <v>-4.2763200000000001E-2</v>
      </c>
      <c r="AI104">
        <f t="shared" si="318"/>
        <v>-5.5719000000000005E-2</v>
      </c>
      <c r="AJ104">
        <f t="shared" si="318"/>
        <v>-6.9580799999999998E-2</v>
      </c>
      <c r="AK104">
        <f t="shared" si="305"/>
        <v>-4.8980400000000014E-2</v>
      </c>
      <c r="AL104">
        <f t="shared" si="319"/>
        <v>-1.0505999999999995E-2</v>
      </c>
      <c r="AM104">
        <f t="shared" si="319"/>
        <v>-2.2031999999999989E-2</v>
      </c>
      <c r="AN104">
        <f t="shared" si="319"/>
        <v>-3.4578000000000005E-2</v>
      </c>
      <c r="AO104">
        <f t="shared" si="319"/>
        <v>-4.8143999999999999E-2</v>
      </c>
      <c r="AP104">
        <f t="shared" si="319"/>
        <v>-6.2730000000000008E-2</v>
      </c>
      <c r="AQ104">
        <f t="shared" si="319"/>
        <v>-7.8336000000000017E-2</v>
      </c>
      <c r="AR104">
        <f t="shared" si="306"/>
        <v>-7.3086440000000016E-2</v>
      </c>
      <c r="AS104">
        <f t="shared" si="320"/>
        <v>-1.5676599999999985E-2</v>
      </c>
      <c r="AT104">
        <f t="shared" si="320"/>
        <v>-3.2875199999999979E-2</v>
      </c>
      <c r="AU104">
        <f t="shared" si="320"/>
        <v>-5.1595799999999997E-2</v>
      </c>
      <c r="AV104">
        <f t="shared" si="320"/>
        <v>-7.1838399999999983E-2</v>
      </c>
      <c r="AW104">
        <f t="shared" si="320"/>
        <v>-9.3602999999999978E-2</v>
      </c>
      <c r="AX104">
        <f t="shared" si="320"/>
        <v>-0.1168896</v>
      </c>
      <c r="AY104">
        <f t="shared" si="307"/>
        <v>-2.0168400000000006E-2</v>
      </c>
      <c r="AZ104">
        <f t="shared" si="308"/>
        <v>-4.3259999999999965E-3</v>
      </c>
      <c r="BA104">
        <f t="shared" si="308"/>
        <v>-9.0719999999999967E-3</v>
      </c>
      <c r="BB104">
        <f t="shared" si="308"/>
        <v>-1.4238000000000004E-2</v>
      </c>
      <c r="BC104">
        <f t="shared" si="308"/>
        <v>-1.9823999999999998E-2</v>
      </c>
      <c r="BD104">
        <f t="shared" si="308"/>
        <v>-2.5830000000000002E-2</v>
      </c>
      <c r="BE104">
        <f t="shared" si="308"/>
        <v>-3.2255999999999993E-2</v>
      </c>
      <c r="BF104">
        <f t="shared" si="309"/>
        <v>-2.4010000000000007E-2</v>
      </c>
      <c r="BG104">
        <f t="shared" si="310"/>
        <v>-5.1499999999999983E-3</v>
      </c>
      <c r="BH104">
        <f t="shared" si="310"/>
        <v>-1.0799999999999994E-2</v>
      </c>
      <c r="BI104">
        <f t="shared" si="310"/>
        <v>-1.6950000000000003E-2</v>
      </c>
      <c r="BJ104">
        <f t="shared" si="310"/>
        <v>-2.3599999999999999E-2</v>
      </c>
      <c r="BK104">
        <f t="shared" si="310"/>
        <v>-3.0749999999999996E-2</v>
      </c>
      <c r="BL104">
        <f t="shared" si="310"/>
        <v>-3.8400000000000004E-2</v>
      </c>
      <c r="BM104">
        <f t="shared" si="311"/>
        <v>-7.5871600000000011E-2</v>
      </c>
      <c r="BN104">
        <f t="shared" si="312"/>
        <v>-1.6273999999999997E-2</v>
      </c>
      <c r="BO104">
        <f t="shared" si="312"/>
        <v>-3.4127999999999992E-2</v>
      </c>
      <c r="BP104">
        <f t="shared" si="312"/>
        <v>-5.3562000000000026E-2</v>
      </c>
      <c r="BQ104">
        <f t="shared" si="312"/>
        <v>-7.4576000000000003E-2</v>
      </c>
      <c r="BR104">
        <f t="shared" si="312"/>
        <v>-9.7170000000000006E-2</v>
      </c>
      <c r="BS104">
        <f t="shared" si="312"/>
        <v>-0.12134400000000001</v>
      </c>
    </row>
    <row r="105" spans="2:71" x14ac:dyDescent="0.35">
      <c r="B105" t="s">
        <v>151</v>
      </c>
      <c r="C105" s="19">
        <f>regions!B83</f>
        <v>318041</v>
      </c>
      <c r="D105" s="19">
        <f>regions!C83</f>
        <v>16388138908.052595</v>
      </c>
      <c r="E105" s="8">
        <f>regions!D83</f>
        <v>51528.384416011126</v>
      </c>
      <c r="F105" s="1">
        <f>regions!Z83</f>
        <v>1.7</v>
      </c>
      <c r="G105" s="8"/>
      <c r="H105" s="8"/>
      <c r="I105">
        <f t="shared" si="301"/>
        <v>0</v>
      </c>
      <c r="J105">
        <f t="shared" si="315"/>
        <v>0</v>
      </c>
      <c r="K105">
        <f t="shared" si="315"/>
        <v>0</v>
      </c>
      <c r="L105">
        <f t="shared" si="315"/>
        <v>0</v>
      </c>
      <c r="M105">
        <f t="shared" si="315"/>
        <v>0</v>
      </c>
      <c r="N105">
        <f t="shared" si="315"/>
        <v>0</v>
      </c>
      <c r="O105">
        <f t="shared" si="315"/>
        <v>0</v>
      </c>
      <c r="P105">
        <f t="shared" si="302"/>
        <v>-1.1559999999999999E-3</v>
      </c>
      <c r="Q105">
        <f t="shared" si="316"/>
        <v>-1.7600000000000007E-3</v>
      </c>
      <c r="R105">
        <f t="shared" si="316"/>
        <v>-4.3200000000000009E-3</v>
      </c>
      <c r="S105">
        <f t="shared" si="316"/>
        <v>-7.6800000000000019E-3</v>
      </c>
      <c r="T105">
        <f t="shared" si="316"/>
        <v>-1.184E-2</v>
      </c>
      <c r="U105">
        <f t="shared" si="316"/>
        <v>-1.6799999999999999E-2</v>
      </c>
      <c r="V105">
        <f t="shared" si="316"/>
        <v>-2.2560000000000004E-2</v>
      </c>
      <c r="W105">
        <f t="shared" si="303"/>
        <v>-1.4449999999999999E-3</v>
      </c>
      <c r="X105">
        <f t="shared" si="317"/>
        <v>-2.2000000000000006E-3</v>
      </c>
      <c r="Y105">
        <f t="shared" si="317"/>
        <v>-5.4000000000000003E-3</v>
      </c>
      <c r="Z105">
        <f t="shared" si="317"/>
        <v>-9.6000000000000026E-3</v>
      </c>
      <c r="AA105">
        <f t="shared" si="317"/>
        <v>-1.4800000000000002E-2</v>
      </c>
      <c r="AB105">
        <f t="shared" si="317"/>
        <v>-2.1000000000000001E-2</v>
      </c>
      <c r="AC105">
        <f t="shared" si="317"/>
        <v>-2.8200000000000006E-2</v>
      </c>
      <c r="AD105">
        <f t="shared" si="304"/>
        <v>-1.3091699999999999E-3</v>
      </c>
      <c r="AE105">
        <f t="shared" si="318"/>
        <v>-1.9932000000000005E-3</v>
      </c>
      <c r="AF105">
        <f t="shared" si="318"/>
        <v>-4.8924000000000007E-3</v>
      </c>
      <c r="AG105">
        <f t="shared" si="318"/>
        <v>-8.6976000000000015E-3</v>
      </c>
      <c r="AH105">
        <f t="shared" si="318"/>
        <v>-1.34088E-2</v>
      </c>
      <c r="AI105">
        <f t="shared" si="318"/>
        <v>-1.9026000000000001E-2</v>
      </c>
      <c r="AJ105">
        <f t="shared" si="318"/>
        <v>-2.5549200000000005E-2</v>
      </c>
      <c r="AK105">
        <f t="shared" si="305"/>
        <v>-1.4739E-3</v>
      </c>
      <c r="AL105">
        <f t="shared" si="319"/>
        <v>-2.2440000000000003E-3</v>
      </c>
      <c r="AM105">
        <f t="shared" si="319"/>
        <v>-5.5080000000000007E-3</v>
      </c>
      <c r="AN105">
        <f t="shared" si="319"/>
        <v>-9.7920000000000021E-3</v>
      </c>
      <c r="AO105">
        <f t="shared" si="319"/>
        <v>-1.5096000000000002E-2</v>
      </c>
      <c r="AP105">
        <f t="shared" si="319"/>
        <v>-2.1420000000000002E-2</v>
      </c>
      <c r="AQ105">
        <f t="shared" si="319"/>
        <v>-2.8764000000000005E-2</v>
      </c>
      <c r="AR105">
        <f t="shared" si="306"/>
        <v>-2.1992899999999996E-3</v>
      </c>
      <c r="AS105">
        <f t="shared" si="320"/>
        <v>-3.3484000000000005E-3</v>
      </c>
      <c r="AT105">
        <f t="shared" si="320"/>
        <v>-8.2188000000000001E-3</v>
      </c>
      <c r="AU105">
        <f t="shared" si="320"/>
        <v>-1.4611200000000001E-2</v>
      </c>
      <c r="AV105">
        <f t="shared" si="320"/>
        <v>-2.25256E-2</v>
      </c>
      <c r="AW105">
        <f t="shared" si="320"/>
        <v>-3.1961999999999997E-2</v>
      </c>
      <c r="AX105">
        <f t="shared" si="320"/>
        <v>-4.2920400000000004E-2</v>
      </c>
      <c r="AY105">
        <f t="shared" si="307"/>
        <v>-6.0689999999999995E-4</v>
      </c>
      <c r="AZ105">
        <f t="shared" si="308"/>
        <v>-9.2400000000000023E-4</v>
      </c>
      <c r="BA105">
        <f t="shared" si="308"/>
        <v>-2.2680000000000005E-3</v>
      </c>
      <c r="BB105">
        <f t="shared" si="308"/>
        <v>-4.0320000000000009E-3</v>
      </c>
      <c r="BC105">
        <f t="shared" si="308"/>
        <v>-6.216000000000001E-3</v>
      </c>
      <c r="BD105">
        <f t="shared" si="308"/>
        <v>-8.8199999999999997E-3</v>
      </c>
      <c r="BE105">
        <f t="shared" si="308"/>
        <v>-1.1844000000000002E-2</v>
      </c>
      <c r="BF105">
        <f t="shared" si="309"/>
        <v>-7.2249999999999994E-4</v>
      </c>
      <c r="BG105">
        <f t="shared" si="310"/>
        <v>-1.1000000000000003E-3</v>
      </c>
      <c r="BH105">
        <f t="shared" si="310"/>
        <v>-2.7000000000000001E-3</v>
      </c>
      <c r="BI105">
        <f t="shared" si="310"/>
        <v>-4.8000000000000013E-3</v>
      </c>
      <c r="BJ105">
        <f t="shared" si="310"/>
        <v>-7.4000000000000012E-3</v>
      </c>
      <c r="BK105">
        <f t="shared" si="310"/>
        <v>-1.0500000000000001E-2</v>
      </c>
      <c r="BL105">
        <f t="shared" si="310"/>
        <v>-1.4100000000000003E-2</v>
      </c>
      <c r="BM105">
        <f t="shared" si="311"/>
        <v>-2.2830999999999997E-3</v>
      </c>
      <c r="BN105">
        <f t="shared" si="312"/>
        <v>-3.4760000000000008E-3</v>
      </c>
      <c r="BO105">
        <f t="shared" si="312"/>
        <v>-8.5320000000000014E-3</v>
      </c>
      <c r="BP105">
        <f t="shared" si="312"/>
        <v>-1.5168000000000004E-2</v>
      </c>
      <c r="BQ105">
        <f t="shared" si="312"/>
        <v>-2.3384000000000002E-2</v>
      </c>
      <c r="BR105">
        <f t="shared" si="312"/>
        <v>-3.3180000000000001E-2</v>
      </c>
      <c r="BS105">
        <f t="shared" si="312"/>
        <v>-4.4556000000000012E-2</v>
      </c>
    </row>
    <row r="106" spans="2:71" x14ac:dyDescent="0.35">
      <c r="B106" t="s">
        <v>152</v>
      </c>
      <c r="C106" s="19">
        <f>regions!B84</f>
        <v>1205624648</v>
      </c>
      <c r="D106" s="19">
        <f>regions!C84</f>
        <v>1243675499465.8105</v>
      </c>
      <c r="E106" s="8">
        <f>regions!D84</f>
        <v>1031.5611094455749</v>
      </c>
      <c r="F106" s="1">
        <f>regions!Z84</f>
        <v>23.7</v>
      </c>
      <c r="G106" s="8"/>
      <c r="H106" s="8"/>
      <c r="I106">
        <f t="shared" si="301"/>
        <v>-0.33037799999999995</v>
      </c>
      <c r="J106">
        <f t="shared" ref="J106:O115" si="321">IF($E106&lt;$E$24,$D$11*($F106+J$25)-$I106,0)</f>
        <v>-1.3940000000000008E-2</v>
      </c>
      <c r="K106">
        <f t="shared" si="321"/>
        <v>-2.7880000000000016E-2</v>
      </c>
      <c r="L106">
        <f t="shared" si="321"/>
        <v>-4.1820000000000024E-2</v>
      </c>
      <c r="M106">
        <f t="shared" si="321"/>
        <v>-5.5760000000000032E-2</v>
      </c>
      <c r="N106">
        <f t="shared" si="321"/>
        <v>-6.970000000000004E-2</v>
      </c>
      <c r="O106">
        <f t="shared" si="321"/>
        <v>-8.3639999999999992E-2</v>
      </c>
      <c r="P106">
        <f t="shared" si="302"/>
        <v>-0.22467599999999999</v>
      </c>
      <c r="Q106">
        <f t="shared" ref="Q106:V115" si="322">$D$13*($F106+Q$25)^2-$P106</f>
        <v>-1.9359999999999988E-2</v>
      </c>
      <c r="R106">
        <f t="shared" si="322"/>
        <v>-3.9520000000000055E-2</v>
      </c>
      <c r="S106">
        <f t="shared" si="322"/>
        <v>-6.0480000000000034E-2</v>
      </c>
      <c r="T106">
        <f t="shared" si="322"/>
        <v>-8.2240000000000035E-2</v>
      </c>
      <c r="U106">
        <f t="shared" si="322"/>
        <v>-0.1048</v>
      </c>
      <c r="V106">
        <f t="shared" si="322"/>
        <v>-0.12816</v>
      </c>
      <c r="W106">
        <f t="shared" si="303"/>
        <v>-0.28084499999999996</v>
      </c>
      <c r="X106">
        <f t="shared" ref="X106:AC115" si="323">$D$15*($F106+X$25)^2-$W106</f>
        <v>-2.4199999999999999E-2</v>
      </c>
      <c r="Y106">
        <f t="shared" si="323"/>
        <v>-4.9400000000000055E-2</v>
      </c>
      <c r="Z106">
        <f t="shared" si="323"/>
        <v>-7.5600000000000056E-2</v>
      </c>
      <c r="AA106">
        <f t="shared" si="323"/>
        <v>-0.10280000000000006</v>
      </c>
      <c r="AB106">
        <f t="shared" si="323"/>
        <v>-0.13100000000000001</v>
      </c>
      <c r="AC106">
        <f t="shared" si="323"/>
        <v>-0.16020000000000001</v>
      </c>
      <c r="AD106">
        <f t="shared" si="304"/>
        <v>-0.25444556999999995</v>
      </c>
      <c r="AE106">
        <f t="shared" ref="AE106:AJ115" si="324">$D$10*($F106+AE$25)^2-$AD106</f>
        <v>-2.1925200000000034E-2</v>
      </c>
      <c r="AF106">
        <f t="shared" si="324"/>
        <v>-4.4756400000000029E-2</v>
      </c>
      <c r="AG106">
        <f t="shared" si="324"/>
        <v>-6.8493600000000043E-2</v>
      </c>
      <c r="AH106">
        <f t="shared" si="324"/>
        <v>-9.313680000000002E-2</v>
      </c>
      <c r="AI106">
        <f t="shared" si="324"/>
        <v>-0.11868600000000001</v>
      </c>
      <c r="AJ106">
        <f t="shared" si="324"/>
        <v>-0.14514120000000003</v>
      </c>
      <c r="AK106">
        <f t="shared" si="305"/>
        <v>-0.28646189999999999</v>
      </c>
      <c r="AL106">
        <f t="shared" ref="AL106:AQ115" si="325">$D$17*($F106+AL$25)^2-$AK106</f>
        <v>-2.4683999999999984E-2</v>
      </c>
      <c r="AM106">
        <f t="shared" si="325"/>
        <v>-5.0388000000000044E-2</v>
      </c>
      <c r="AN106">
        <f t="shared" si="325"/>
        <v>-7.7112000000000014E-2</v>
      </c>
      <c r="AO106">
        <f t="shared" si="325"/>
        <v>-0.104856</v>
      </c>
      <c r="AP106">
        <f t="shared" si="325"/>
        <v>-0.13362000000000002</v>
      </c>
      <c r="AQ106">
        <f t="shared" si="325"/>
        <v>-0.16340399999999999</v>
      </c>
      <c r="AR106">
        <f t="shared" si="306"/>
        <v>-0.42744608999999995</v>
      </c>
      <c r="AS106">
        <f t="shared" ref="AS106:AX115" si="326">$D$8*($F106+AS$25)^2-$AR106</f>
        <v>-3.6832399999999987E-2</v>
      </c>
      <c r="AT106">
        <f t="shared" si="326"/>
        <v>-7.5186800000000054E-2</v>
      </c>
      <c r="AU106">
        <f t="shared" si="326"/>
        <v>-0.11506319999999998</v>
      </c>
      <c r="AV106">
        <f t="shared" si="326"/>
        <v>-0.15646160000000003</v>
      </c>
      <c r="AW106">
        <f t="shared" si="326"/>
        <v>-0.199382</v>
      </c>
      <c r="AX106">
        <f t="shared" si="326"/>
        <v>-0.2438244</v>
      </c>
      <c r="AY106">
        <f t="shared" si="307"/>
        <v>-0.11795489999999999</v>
      </c>
      <c r="AZ106">
        <f t="shared" si="308"/>
        <v>-1.0163999999999992E-2</v>
      </c>
      <c r="BA106">
        <f t="shared" si="308"/>
        <v>-2.074800000000003E-2</v>
      </c>
      <c r="BB106">
        <f t="shared" si="308"/>
        <v>-3.1752000000000016E-2</v>
      </c>
      <c r="BC106">
        <f t="shared" si="308"/>
        <v>-4.3176000000000006E-2</v>
      </c>
      <c r="BD106">
        <f t="shared" si="308"/>
        <v>-5.5019999999999999E-2</v>
      </c>
      <c r="BE106">
        <f t="shared" si="308"/>
        <v>-6.7283999999999997E-2</v>
      </c>
      <c r="BF106">
        <f t="shared" si="309"/>
        <v>-0.14042249999999998</v>
      </c>
      <c r="BG106">
        <f t="shared" si="310"/>
        <v>-1.21E-2</v>
      </c>
      <c r="BH106">
        <f t="shared" si="310"/>
        <v>-2.4700000000000027E-2</v>
      </c>
      <c r="BI106">
        <f t="shared" si="310"/>
        <v>-3.7800000000000028E-2</v>
      </c>
      <c r="BJ106">
        <f t="shared" si="310"/>
        <v>-5.1400000000000029E-2</v>
      </c>
      <c r="BK106">
        <f t="shared" si="310"/>
        <v>-6.5500000000000003E-2</v>
      </c>
      <c r="BL106">
        <f t="shared" si="310"/>
        <v>-8.0100000000000005E-2</v>
      </c>
      <c r="BM106">
        <f t="shared" si="311"/>
        <v>-0.44373509999999994</v>
      </c>
      <c r="BN106">
        <f t="shared" si="312"/>
        <v>-3.8235999999999992E-2</v>
      </c>
      <c r="BO106">
        <f t="shared" si="312"/>
        <v>-7.8052000000000121E-2</v>
      </c>
      <c r="BP106">
        <f t="shared" si="312"/>
        <v>-0.11944800000000011</v>
      </c>
      <c r="BQ106">
        <f t="shared" si="312"/>
        <v>-0.16242400000000001</v>
      </c>
      <c r="BR106">
        <f t="shared" si="312"/>
        <v>-0.20698000000000005</v>
      </c>
      <c r="BS106">
        <f t="shared" si="312"/>
        <v>-0.25311600000000001</v>
      </c>
    </row>
    <row r="107" spans="2:71" x14ac:dyDescent="0.35">
      <c r="B107" t="s">
        <v>153</v>
      </c>
      <c r="C107" s="19">
        <f>regions!B85</f>
        <v>240676485</v>
      </c>
      <c r="D107" s="19">
        <f>regions!C85</f>
        <v>377898889669.60541</v>
      </c>
      <c r="E107" s="8">
        <f>regions!D85</f>
        <v>1570.1529365014842</v>
      </c>
      <c r="F107" s="1">
        <f>regions!Z85</f>
        <v>25.8</v>
      </c>
      <c r="G107" s="8"/>
      <c r="H107" s="8"/>
      <c r="I107">
        <f t="shared" si="301"/>
        <v>-0.35965199999999997</v>
      </c>
      <c r="J107">
        <f t="shared" si="321"/>
        <v>-1.3940000000000008E-2</v>
      </c>
      <c r="K107">
        <f t="shared" si="321"/>
        <v>-2.7880000000000016E-2</v>
      </c>
      <c r="L107">
        <f t="shared" si="321"/>
        <v>-4.1820000000000024E-2</v>
      </c>
      <c r="M107">
        <f t="shared" si="321"/>
        <v>-5.5760000000000032E-2</v>
      </c>
      <c r="N107">
        <f t="shared" si="321"/>
        <v>-6.970000000000004E-2</v>
      </c>
      <c r="O107">
        <f t="shared" si="321"/>
        <v>-8.3639999999999992E-2</v>
      </c>
      <c r="P107">
        <f t="shared" si="302"/>
        <v>-0.26625599999999999</v>
      </c>
      <c r="Q107">
        <f t="shared" si="322"/>
        <v>-2.1040000000000003E-2</v>
      </c>
      <c r="R107">
        <f t="shared" si="322"/>
        <v>-4.2880000000000029E-2</v>
      </c>
      <c r="S107">
        <f t="shared" si="322"/>
        <v>-6.5520000000000023E-2</v>
      </c>
      <c r="T107">
        <f t="shared" si="322"/>
        <v>-8.8960000000000039E-2</v>
      </c>
      <c r="U107">
        <f t="shared" si="322"/>
        <v>-0.11320000000000008</v>
      </c>
      <c r="V107">
        <f t="shared" si="322"/>
        <v>-0.13824000000000003</v>
      </c>
      <c r="W107">
        <f t="shared" si="303"/>
        <v>-0.33282</v>
      </c>
      <c r="X107">
        <f t="shared" si="323"/>
        <v>-2.629999999999999E-2</v>
      </c>
      <c r="Y107">
        <f t="shared" si="323"/>
        <v>-5.3600000000000037E-2</v>
      </c>
      <c r="Z107">
        <f t="shared" si="323"/>
        <v>-8.1900000000000028E-2</v>
      </c>
      <c r="AA107">
        <f t="shared" si="323"/>
        <v>-0.11120000000000002</v>
      </c>
      <c r="AB107">
        <f t="shared" si="323"/>
        <v>-0.14150000000000007</v>
      </c>
      <c r="AC107">
        <f t="shared" si="323"/>
        <v>-0.17280000000000006</v>
      </c>
      <c r="AD107">
        <f t="shared" si="304"/>
        <v>-0.30153491999999998</v>
      </c>
      <c r="AE107">
        <f t="shared" si="324"/>
        <v>-2.382780000000001E-2</v>
      </c>
      <c r="AF107">
        <f t="shared" si="324"/>
        <v>-4.8561600000000038E-2</v>
      </c>
      <c r="AG107">
        <f t="shared" si="324"/>
        <v>-7.4201400000000028E-2</v>
      </c>
      <c r="AH107">
        <f t="shared" si="324"/>
        <v>-0.10074720000000004</v>
      </c>
      <c r="AI107">
        <f t="shared" si="324"/>
        <v>-0.12819900000000006</v>
      </c>
      <c r="AJ107">
        <f t="shared" si="324"/>
        <v>-0.15655680000000005</v>
      </c>
      <c r="AK107">
        <f t="shared" si="305"/>
        <v>-0.33947640000000001</v>
      </c>
      <c r="AL107">
        <f t="shared" si="325"/>
        <v>-2.6826000000000016E-2</v>
      </c>
      <c r="AM107">
        <f t="shared" si="325"/>
        <v>-5.4672000000000054E-2</v>
      </c>
      <c r="AN107">
        <f t="shared" si="325"/>
        <v>-8.3538000000000057E-2</v>
      </c>
      <c r="AO107">
        <f t="shared" si="325"/>
        <v>-0.11342400000000008</v>
      </c>
      <c r="AP107">
        <f t="shared" si="325"/>
        <v>-0.14433000000000007</v>
      </c>
      <c r="AQ107">
        <f t="shared" si="325"/>
        <v>-0.17625600000000008</v>
      </c>
      <c r="AR107">
        <f t="shared" si="306"/>
        <v>-0.50655203999999998</v>
      </c>
      <c r="AS107">
        <f t="shared" si="326"/>
        <v>-4.002859999999997E-2</v>
      </c>
      <c r="AT107">
        <f t="shared" si="326"/>
        <v>-8.1579199999999963E-2</v>
      </c>
      <c r="AU107">
        <f t="shared" si="326"/>
        <v>-0.12465179999999998</v>
      </c>
      <c r="AV107">
        <f t="shared" si="326"/>
        <v>-0.16924640000000002</v>
      </c>
      <c r="AW107">
        <f t="shared" si="326"/>
        <v>-0.21536300000000008</v>
      </c>
      <c r="AX107">
        <f t="shared" si="326"/>
        <v>-0.26300159999999995</v>
      </c>
      <c r="AY107">
        <f t="shared" si="307"/>
        <v>-0.1397844</v>
      </c>
      <c r="AZ107">
        <f t="shared" si="308"/>
        <v>-1.1046E-2</v>
      </c>
      <c r="BA107">
        <f t="shared" si="308"/>
        <v>-2.2512000000000004E-2</v>
      </c>
      <c r="BB107">
        <f t="shared" si="308"/>
        <v>-3.4398000000000012E-2</v>
      </c>
      <c r="BC107">
        <f t="shared" si="308"/>
        <v>-4.6704000000000023E-2</v>
      </c>
      <c r="BD107">
        <f t="shared" si="308"/>
        <v>-5.9430000000000038E-2</v>
      </c>
      <c r="BE107">
        <f t="shared" si="308"/>
        <v>-7.2576000000000002E-2</v>
      </c>
      <c r="BF107">
        <f t="shared" si="309"/>
        <v>-0.16641</v>
      </c>
      <c r="BG107">
        <f t="shared" ref="BG107:BL122" si="327">$D$21*($F107+BG$25)^2-$BF107</f>
        <v>-1.3149999999999995E-2</v>
      </c>
      <c r="BH107">
        <f t="shared" si="327"/>
        <v>-2.6800000000000018E-2</v>
      </c>
      <c r="BI107">
        <f t="shared" si="327"/>
        <v>-4.0950000000000014E-2</v>
      </c>
      <c r="BJ107">
        <f t="shared" si="327"/>
        <v>-5.5600000000000011E-2</v>
      </c>
      <c r="BK107">
        <f t="shared" si="327"/>
        <v>-7.0750000000000035E-2</v>
      </c>
      <c r="BL107">
        <f t="shared" si="327"/>
        <v>-8.6400000000000032E-2</v>
      </c>
      <c r="BM107">
        <f t="shared" si="311"/>
        <v>-0.52585559999999998</v>
      </c>
      <c r="BN107">
        <f t="shared" ref="BN107:BS122" si="328">$D$23*($F107+BN$25)^2-$BM107</f>
        <v>-4.1554000000000091E-2</v>
      </c>
      <c r="BO107">
        <f t="shared" si="328"/>
        <v>-8.4688000000000097E-2</v>
      </c>
      <c r="BP107">
        <f t="shared" si="328"/>
        <v>-0.12940200000000013</v>
      </c>
      <c r="BQ107">
        <f t="shared" si="328"/>
        <v>-0.17569600000000007</v>
      </c>
      <c r="BR107">
        <f t="shared" si="328"/>
        <v>-0.22357000000000016</v>
      </c>
      <c r="BS107">
        <f t="shared" si="328"/>
        <v>-0.27302400000000004</v>
      </c>
    </row>
    <row r="108" spans="2:71" x14ac:dyDescent="0.35">
      <c r="B108" t="s">
        <v>154</v>
      </c>
      <c r="C108" s="19">
        <f>regions!B86</f>
        <v>74462314</v>
      </c>
      <c r="D108" s="19">
        <f>regions!C86</f>
        <v>242702371179.19858</v>
      </c>
      <c r="E108" s="8">
        <f>regions!D86</f>
        <v>3259.3987232145187</v>
      </c>
      <c r="F108" s="1">
        <f>regions!Z86</f>
        <v>17.2</v>
      </c>
      <c r="G108" s="8"/>
      <c r="H108" s="8"/>
      <c r="I108">
        <f t="shared" si="301"/>
        <v>-0.23976799999999998</v>
      </c>
      <c r="J108">
        <f t="shared" si="321"/>
        <v>-1.3940000000000008E-2</v>
      </c>
      <c r="K108">
        <f t="shared" si="321"/>
        <v>-2.7880000000000016E-2</v>
      </c>
      <c r="L108">
        <f t="shared" si="321"/>
        <v>-4.1819999999999968E-2</v>
      </c>
      <c r="M108">
        <f t="shared" si="321"/>
        <v>-5.5759999999999976E-2</v>
      </c>
      <c r="N108">
        <f t="shared" si="321"/>
        <v>-6.9699999999999984E-2</v>
      </c>
      <c r="O108">
        <f t="shared" si="321"/>
        <v>-8.3639999999999992E-2</v>
      </c>
      <c r="P108">
        <f t="shared" si="302"/>
        <v>-0.118336</v>
      </c>
      <c r="Q108">
        <f t="shared" si="322"/>
        <v>-1.4159999999999978E-2</v>
      </c>
      <c r="R108">
        <f t="shared" si="322"/>
        <v>-2.9120000000000007E-2</v>
      </c>
      <c r="S108">
        <f t="shared" si="322"/>
        <v>-4.4880000000000003E-2</v>
      </c>
      <c r="T108">
        <f t="shared" si="322"/>
        <v>-6.1440000000000022E-2</v>
      </c>
      <c r="U108">
        <f t="shared" si="322"/>
        <v>-7.8800000000000009E-2</v>
      </c>
      <c r="V108">
        <f t="shared" si="322"/>
        <v>-9.6960000000000018E-2</v>
      </c>
      <c r="W108">
        <f t="shared" si="303"/>
        <v>-0.14792</v>
      </c>
      <c r="X108">
        <f t="shared" si="323"/>
        <v>-1.7699999999999994E-2</v>
      </c>
      <c r="Y108">
        <f t="shared" si="323"/>
        <v>-3.6399999999999988E-2</v>
      </c>
      <c r="Z108">
        <f t="shared" si="323"/>
        <v>-5.6099999999999983E-2</v>
      </c>
      <c r="AA108">
        <f t="shared" si="323"/>
        <v>-7.6800000000000007E-2</v>
      </c>
      <c r="AB108">
        <f t="shared" si="323"/>
        <v>-9.8500000000000004E-2</v>
      </c>
      <c r="AC108">
        <f t="shared" si="323"/>
        <v>-0.12120000000000003</v>
      </c>
      <c r="AD108">
        <f t="shared" si="304"/>
        <v>-0.13401552</v>
      </c>
      <c r="AE108">
        <f t="shared" si="324"/>
        <v>-1.6036199999999973E-2</v>
      </c>
      <c r="AF108">
        <f t="shared" si="324"/>
        <v>-3.2978399999999991E-2</v>
      </c>
      <c r="AG108">
        <f t="shared" si="324"/>
        <v>-5.08266E-2</v>
      </c>
      <c r="AH108">
        <f t="shared" si="324"/>
        <v>-6.9580799999999998E-2</v>
      </c>
      <c r="AI108">
        <f t="shared" si="324"/>
        <v>-8.9240999999999987E-2</v>
      </c>
      <c r="AJ108">
        <f t="shared" si="324"/>
        <v>-0.10980720000000002</v>
      </c>
      <c r="AK108">
        <f t="shared" si="305"/>
        <v>-0.1508784</v>
      </c>
      <c r="AL108">
        <f t="shared" si="325"/>
        <v>-1.8053999999999987E-2</v>
      </c>
      <c r="AM108">
        <f t="shared" si="325"/>
        <v>-3.7128000000000022E-2</v>
      </c>
      <c r="AN108">
        <f t="shared" si="325"/>
        <v>-5.7221999999999995E-2</v>
      </c>
      <c r="AO108">
        <f t="shared" si="325"/>
        <v>-7.8336000000000017E-2</v>
      </c>
      <c r="AP108">
        <f t="shared" si="325"/>
        <v>-0.10047000000000003</v>
      </c>
      <c r="AQ108">
        <f t="shared" si="325"/>
        <v>-0.12362400000000004</v>
      </c>
      <c r="AR108">
        <f t="shared" si="306"/>
        <v>-0.22513423999999996</v>
      </c>
      <c r="AS108">
        <f t="shared" si="326"/>
        <v>-2.6939399999999974E-2</v>
      </c>
      <c r="AT108">
        <f t="shared" si="326"/>
        <v>-5.54008E-2</v>
      </c>
      <c r="AU108">
        <f t="shared" si="326"/>
        <v>-8.5384199999999993E-2</v>
      </c>
      <c r="AV108">
        <f t="shared" si="326"/>
        <v>-0.11688960000000001</v>
      </c>
      <c r="AW108">
        <f t="shared" si="326"/>
        <v>-0.14991699999999999</v>
      </c>
      <c r="AX108">
        <f t="shared" si="326"/>
        <v>-0.1844664</v>
      </c>
      <c r="AY108">
        <f t="shared" si="307"/>
        <v>-6.2126399999999998E-2</v>
      </c>
      <c r="AZ108">
        <f t="shared" si="308"/>
        <v>-7.4339999999999962E-3</v>
      </c>
      <c r="BA108">
        <f t="shared" si="308"/>
        <v>-1.5287999999999996E-2</v>
      </c>
      <c r="BB108">
        <f t="shared" si="308"/>
        <v>-2.3562E-2</v>
      </c>
      <c r="BC108">
        <f t="shared" si="308"/>
        <v>-3.2256000000000007E-2</v>
      </c>
      <c r="BD108">
        <f t="shared" si="308"/>
        <v>-4.1370000000000004E-2</v>
      </c>
      <c r="BE108">
        <f t="shared" si="308"/>
        <v>-5.0904000000000005E-2</v>
      </c>
      <c r="BF108">
        <f t="shared" si="309"/>
        <v>-7.3959999999999998E-2</v>
      </c>
      <c r="BG108">
        <f t="shared" si="327"/>
        <v>-8.8499999999999968E-3</v>
      </c>
      <c r="BH108">
        <f t="shared" si="327"/>
        <v>-1.8199999999999994E-2</v>
      </c>
      <c r="BI108">
        <f t="shared" si="327"/>
        <v>-2.8049999999999992E-2</v>
      </c>
      <c r="BJ108">
        <f t="shared" si="327"/>
        <v>-3.8400000000000004E-2</v>
      </c>
      <c r="BK108">
        <f t="shared" si="327"/>
        <v>-4.9250000000000002E-2</v>
      </c>
      <c r="BL108">
        <f t="shared" si="327"/>
        <v>-6.0600000000000015E-2</v>
      </c>
      <c r="BM108">
        <f t="shared" si="311"/>
        <v>-0.23371359999999999</v>
      </c>
      <c r="BN108">
        <f t="shared" si="328"/>
        <v>-2.7965999999999963E-2</v>
      </c>
      <c r="BO108">
        <f t="shared" si="328"/>
        <v>-5.751199999999998E-2</v>
      </c>
      <c r="BP108">
        <f t="shared" si="328"/>
        <v>-8.8637999999999967E-2</v>
      </c>
      <c r="BQ108">
        <f t="shared" si="328"/>
        <v>-0.12134400000000004</v>
      </c>
      <c r="BR108">
        <f t="shared" si="328"/>
        <v>-0.15563000000000002</v>
      </c>
      <c r="BS108">
        <f t="shared" si="328"/>
        <v>-0.19149600000000003</v>
      </c>
    </row>
    <row r="109" spans="2:71" x14ac:dyDescent="0.35">
      <c r="B109" t="s">
        <v>250</v>
      </c>
      <c r="C109" s="19">
        <f>regions!B87</f>
        <v>30962380</v>
      </c>
      <c r="D109" s="19">
        <f>regions!C87</f>
        <v>67270649065.243828</v>
      </c>
      <c r="E109" s="8">
        <f>regions!D87</f>
        <v>2172.6575626694016</v>
      </c>
      <c r="F109" s="1">
        <f>regions!Z87</f>
        <v>21.4</v>
      </c>
      <c r="G109" s="8"/>
      <c r="H109" s="8"/>
      <c r="I109">
        <f t="shared" si="301"/>
        <v>-0.29831599999999997</v>
      </c>
      <c r="J109">
        <f t="shared" si="321"/>
        <v>-1.3940000000000008E-2</v>
      </c>
      <c r="K109">
        <f t="shared" si="321"/>
        <v>-2.7880000000000016E-2</v>
      </c>
      <c r="L109">
        <f t="shared" si="321"/>
        <v>-4.1819999999999968E-2</v>
      </c>
      <c r="M109">
        <f t="shared" si="321"/>
        <v>-5.5759999999999976E-2</v>
      </c>
      <c r="N109">
        <f t="shared" si="321"/>
        <v>-6.9699999999999984E-2</v>
      </c>
      <c r="O109">
        <f t="shared" si="321"/>
        <v>-8.3639999999999992E-2</v>
      </c>
      <c r="P109">
        <f t="shared" si="302"/>
        <v>-0.18318399999999999</v>
      </c>
      <c r="Q109">
        <f t="shared" si="322"/>
        <v>-1.7520000000000008E-2</v>
      </c>
      <c r="R109">
        <f t="shared" si="322"/>
        <v>-3.5840000000000011E-2</v>
      </c>
      <c r="S109">
        <f t="shared" si="322"/>
        <v>-5.4959999999999981E-2</v>
      </c>
      <c r="T109">
        <f t="shared" si="322"/>
        <v>-7.488000000000003E-2</v>
      </c>
      <c r="U109">
        <f t="shared" si="322"/>
        <v>-9.5599999999999991E-2</v>
      </c>
      <c r="V109">
        <f t="shared" si="322"/>
        <v>-0.11711999999999997</v>
      </c>
      <c r="W109">
        <f t="shared" si="303"/>
        <v>-0.22897999999999996</v>
      </c>
      <c r="X109">
        <f t="shared" si="323"/>
        <v>-2.1900000000000031E-2</v>
      </c>
      <c r="Y109">
        <f t="shared" si="323"/>
        <v>-4.4800000000000006E-2</v>
      </c>
      <c r="Z109">
        <f t="shared" si="323"/>
        <v>-6.8699999999999983E-2</v>
      </c>
      <c r="AA109">
        <f t="shared" si="323"/>
        <v>-9.3600000000000017E-2</v>
      </c>
      <c r="AB109">
        <f t="shared" si="323"/>
        <v>-0.1195</v>
      </c>
      <c r="AC109">
        <f t="shared" si="323"/>
        <v>-0.14639999999999997</v>
      </c>
      <c r="AD109">
        <f t="shared" si="304"/>
        <v>-0.20745587999999998</v>
      </c>
      <c r="AE109">
        <f t="shared" si="324"/>
        <v>-1.9841399999999981E-2</v>
      </c>
      <c r="AF109">
        <f t="shared" si="324"/>
        <v>-4.0588800000000008E-2</v>
      </c>
      <c r="AG109">
        <f t="shared" si="324"/>
        <v>-6.224219999999997E-2</v>
      </c>
      <c r="AH109">
        <f t="shared" si="324"/>
        <v>-8.4801600000000033E-2</v>
      </c>
      <c r="AI109">
        <f t="shared" si="324"/>
        <v>-0.108267</v>
      </c>
      <c r="AJ109">
        <f t="shared" si="324"/>
        <v>-0.13263839999999999</v>
      </c>
      <c r="AK109">
        <f t="shared" si="305"/>
        <v>-0.23355959999999998</v>
      </c>
      <c r="AL109">
        <f t="shared" si="325"/>
        <v>-2.2338000000000025E-2</v>
      </c>
      <c r="AM109">
        <f t="shared" si="325"/>
        <v>-4.5696000000000014E-2</v>
      </c>
      <c r="AN109">
        <f t="shared" si="325"/>
        <v>-7.007399999999997E-2</v>
      </c>
      <c r="AO109">
        <f t="shared" si="325"/>
        <v>-9.5472000000000001E-2</v>
      </c>
      <c r="AP109">
        <f t="shared" si="325"/>
        <v>-0.12189</v>
      </c>
      <c r="AQ109">
        <f t="shared" si="325"/>
        <v>-0.14932799999999996</v>
      </c>
      <c r="AR109">
        <f t="shared" si="306"/>
        <v>-0.34850755999999994</v>
      </c>
      <c r="AS109">
        <f t="shared" si="326"/>
        <v>-3.3331799999999967E-2</v>
      </c>
      <c r="AT109">
        <f t="shared" si="326"/>
        <v>-6.8185600000000013E-2</v>
      </c>
      <c r="AU109">
        <f t="shared" si="326"/>
        <v>-0.10456139999999997</v>
      </c>
      <c r="AV109">
        <f t="shared" si="326"/>
        <v>-0.14245920000000001</v>
      </c>
      <c r="AW109">
        <f t="shared" si="326"/>
        <v>-0.18187900000000001</v>
      </c>
      <c r="AX109">
        <f t="shared" si="326"/>
        <v>-0.22282079999999993</v>
      </c>
      <c r="AY109">
        <f t="shared" si="307"/>
        <v>-9.6171599999999982E-2</v>
      </c>
      <c r="AZ109">
        <f t="shared" si="308"/>
        <v>-9.1980000000000117E-3</v>
      </c>
      <c r="BA109">
        <f t="shared" si="308"/>
        <v>-1.8816000000000013E-2</v>
      </c>
      <c r="BB109">
        <f t="shared" si="308"/>
        <v>-2.8854000000000005E-2</v>
      </c>
      <c r="BC109">
        <f t="shared" si="308"/>
        <v>-3.9312000000000027E-2</v>
      </c>
      <c r="BD109">
        <f t="shared" si="308"/>
        <v>-5.0189999999999999E-2</v>
      </c>
      <c r="BE109">
        <f t="shared" si="308"/>
        <v>-6.1488000000000001E-2</v>
      </c>
      <c r="BF109">
        <f t="shared" si="309"/>
        <v>-0.11448999999999998</v>
      </c>
      <c r="BG109">
        <f t="shared" si="327"/>
        <v>-1.0950000000000015E-2</v>
      </c>
      <c r="BH109">
        <f t="shared" si="327"/>
        <v>-2.2400000000000003E-2</v>
      </c>
      <c r="BI109">
        <f t="shared" si="327"/>
        <v>-3.4349999999999992E-2</v>
      </c>
      <c r="BJ109">
        <f t="shared" si="327"/>
        <v>-4.6800000000000008E-2</v>
      </c>
      <c r="BK109">
        <f t="shared" si="327"/>
        <v>-5.9749999999999998E-2</v>
      </c>
      <c r="BL109">
        <f t="shared" si="327"/>
        <v>-7.3199999999999987E-2</v>
      </c>
      <c r="BM109">
        <f t="shared" si="311"/>
        <v>-0.36178839999999995</v>
      </c>
      <c r="BN109">
        <f t="shared" si="328"/>
        <v>-3.4602000000000022E-2</v>
      </c>
      <c r="BO109">
        <f t="shared" si="328"/>
        <v>-7.0784000000000014E-2</v>
      </c>
      <c r="BP109">
        <f t="shared" si="328"/>
        <v>-0.10854599999999998</v>
      </c>
      <c r="BQ109">
        <f t="shared" si="328"/>
        <v>-0.14788800000000007</v>
      </c>
      <c r="BR109">
        <f t="shared" si="328"/>
        <v>-0.18880999999999998</v>
      </c>
      <c r="BS109">
        <f t="shared" si="328"/>
        <v>-0.23131199999999991</v>
      </c>
    </row>
    <row r="110" spans="2:71" x14ac:dyDescent="0.35">
      <c r="B110" t="s">
        <v>155</v>
      </c>
      <c r="C110" s="19">
        <f>regions!B88</f>
        <v>4474356</v>
      </c>
      <c r="D110" s="19">
        <f>regions!C88</f>
        <v>203306959563.6236</v>
      </c>
      <c r="E110" s="8">
        <f>regions!D88</f>
        <v>45438.261855700264</v>
      </c>
      <c r="F110" s="1">
        <f>regions!Z88</f>
        <v>9.3000000000000007</v>
      </c>
      <c r="G110" s="8"/>
      <c r="H110" s="8"/>
      <c r="I110">
        <f t="shared" si="301"/>
        <v>0</v>
      </c>
      <c r="J110">
        <f t="shared" si="321"/>
        <v>0</v>
      </c>
      <c r="K110">
        <f t="shared" si="321"/>
        <v>0</v>
      </c>
      <c r="L110">
        <f t="shared" si="321"/>
        <v>0</v>
      </c>
      <c r="M110">
        <f t="shared" si="321"/>
        <v>0</v>
      </c>
      <c r="N110">
        <f t="shared" si="321"/>
        <v>0</v>
      </c>
      <c r="O110">
        <f t="shared" si="321"/>
        <v>0</v>
      </c>
      <c r="P110">
        <f t="shared" si="302"/>
        <v>-3.4596000000000009E-2</v>
      </c>
      <c r="Q110">
        <f t="shared" si="322"/>
        <v>-7.8399999999999997E-3</v>
      </c>
      <c r="R110">
        <f t="shared" si="322"/>
        <v>-1.6480000000000002E-2</v>
      </c>
      <c r="S110">
        <f t="shared" si="322"/>
        <v>-2.5920000000000006E-2</v>
      </c>
      <c r="T110">
        <f t="shared" si="322"/>
        <v>-3.6160000000000005E-2</v>
      </c>
      <c r="U110">
        <f t="shared" si="322"/>
        <v>-4.7199999999999999E-2</v>
      </c>
      <c r="V110">
        <f t="shared" si="322"/>
        <v>-5.9040000000000002E-2</v>
      </c>
      <c r="W110">
        <f t="shared" si="303"/>
        <v>-4.3245000000000006E-2</v>
      </c>
      <c r="X110">
        <f t="shared" si="323"/>
        <v>-9.8000000000000032E-3</v>
      </c>
      <c r="Y110">
        <f t="shared" si="323"/>
        <v>-2.0600000000000007E-2</v>
      </c>
      <c r="Z110">
        <f t="shared" si="323"/>
        <v>-3.2400000000000012E-2</v>
      </c>
      <c r="AA110">
        <f t="shared" si="323"/>
        <v>-4.5200000000000004E-2</v>
      </c>
      <c r="AB110">
        <f t="shared" si="323"/>
        <v>-5.8999999999999997E-2</v>
      </c>
      <c r="AC110">
        <f t="shared" si="323"/>
        <v>-7.3800000000000018E-2</v>
      </c>
      <c r="AD110">
        <f t="shared" si="304"/>
        <v>-3.9179970000000001E-2</v>
      </c>
      <c r="AE110">
        <f t="shared" si="324"/>
        <v>-8.8788000000000061E-3</v>
      </c>
      <c r="AF110">
        <f t="shared" si="324"/>
        <v>-1.8663600000000002E-2</v>
      </c>
      <c r="AG110">
        <f t="shared" si="324"/>
        <v>-2.935440000000001E-2</v>
      </c>
      <c r="AH110">
        <f t="shared" si="324"/>
        <v>-4.09512E-2</v>
      </c>
      <c r="AI110">
        <f t="shared" si="324"/>
        <v>-5.3454000000000008E-2</v>
      </c>
      <c r="AJ110">
        <f t="shared" si="324"/>
        <v>-6.6862800000000028E-2</v>
      </c>
      <c r="AK110">
        <f t="shared" si="305"/>
        <v>-4.4109900000000007E-2</v>
      </c>
      <c r="AL110">
        <f t="shared" si="325"/>
        <v>-9.9960000000000049E-3</v>
      </c>
      <c r="AM110">
        <f t="shared" si="325"/>
        <v>-2.1012000000000003E-2</v>
      </c>
      <c r="AN110">
        <f t="shared" si="325"/>
        <v>-3.3048000000000008E-2</v>
      </c>
      <c r="AO110">
        <f t="shared" si="325"/>
        <v>-4.6104000000000006E-2</v>
      </c>
      <c r="AP110">
        <f t="shared" si="325"/>
        <v>-6.0180000000000011E-2</v>
      </c>
      <c r="AQ110">
        <f t="shared" si="325"/>
        <v>-7.5276000000000023E-2</v>
      </c>
      <c r="AR110">
        <f t="shared" si="306"/>
        <v>-6.5818890000000005E-2</v>
      </c>
      <c r="AS110">
        <f t="shared" si="326"/>
        <v>-1.4915600000000001E-2</v>
      </c>
      <c r="AT110">
        <f t="shared" si="326"/>
        <v>-3.1353199999999998E-2</v>
      </c>
      <c r="AU110">
        <f t="shared" si="326"/>
        <v>-4.9312800000000004E-2</v>
      </c>
      <c r="AV110">
        <f t="shared" si="326"/>
        <v>-6.8794399999999992E-2</v>
      </c>
      <c r="AW110">
        <f t="shared" si="326"/>
        <v>-8.9798000000000003E-2</v>
      </c>
      <c r="AX110">
        <f t="shared" si="326"/>
        <v>-0.11232360000000001</v>
      </c>
      <c r="AY110">
        <f t="shared" si="307"/>
        <v>-1.8162900000000003E-2</v>
      </c>
      <c r="AZ110">
        <f t="shared" si="308"/>
        <v>-4.1160000000000016E-3</v>
      </c>
      <c r="BA110">
        <f t="shared" si="308"/>
        <v>-8.652E-3</v>
      </c>
      <c r="BB110">
        <f t="shared" si="308"/>
        <v>-1.3608000000000002E-2</v>
      </c>
      <c r="BC110">
        <f t="shared" si="308"/>
        <v>-1.8984000000000001E-2</v>
      </c>
      <c r="BD110">
        <f t="shared" si="308"/>
        <v>-2.4780000000000003E-2</v>
      </c>
      <c r="BE110">
        <f t="shared" si="308"/>
        <v>-3.0996000000000003E-2</v>
      </c>
      <c r="BF110">
        <f t="shared" si="309"/>
        <v>-2.1622500000000003E-2</v>
      </c>
      <c r="BG110">
        <f t="shared" si="327"/>
        <v>-4.9000000000000016E-3</v>
      </c>
      <c r="BH110">
        <f t="shared" si="327"/>
        <v>-1.0300000000000004E-2</v>
      </c>
      <c r="BI110">
        <f t="shared" si="327"/>
        <v>-1.6200000000000006E-2</v>
      </c>
      <c r="BJ110">
        <f t="shared" si="327"/>
        <v>-2.2600000000000002E-2</v>
      </c>
      <c r="BK110">
        <f t="shared" si="327"/>
        <v>-2.9499999999999998E-2</v>
      </c>
      <c r="BL110">
        <f t="shared" si="327"/>
        <v>-3.6900000000000009E-2</v>
      </c>
      <c r="BM110">
        <f t="shared" si="311"/>
        <v>-6.8327100000000002E-2</v>
      </c>
      <c r="BN110">
        <f t="shared" si="328"/>
        <v>-1.5484000000000012E-2</v>
      </c>
      <c r="BO110">
        <f t="shared" si="328"/>
        <v>-3.2548000000000007E-2</v>
      </c>
      <c r="BP110">
        <f t="shared" si="328"/>
        <v>-5.1192000000000015E-2</v>
      </c>
      <c r="BQ110">
        <f t="shared" si="328"/>
        <v>-7.1416000000000007E-2</v>
      </c>
      <c r="BR110">
        <f t="shared" si="328"/>
        <v>-9.3219999999999997E-2</v>
      </c>
      <c r="BS110">
        <f t="shared" si="328"/>
        <v>-0.11660400000000001</v>
      </c>
    </row>
    <row r="111" spans="2:71" x14ac:dyDescent="0.35">
      <c r="B111" t="s">
        <v>604</v>
      </c>
      <c r="C111" s="19">
        <f>regions!B89</f>
        <v>83992</v>
      </c>
      <c r="D111" s="19">
        <f>regions!C89</f>
        <v>3528469191.2340369</v>
      </c>
      <c r="E111" s="8">
        <f>regions!D89</f>
        <v>42009.586522931197</v>
      </c>
      <c r="F111" s="1">
        <f>regions!Z89</f>
        <v>9.3000000000000007</v>
      </c>
      <c r="G111" s="8"/>
      <c r="H111" s="8"/>
      <c r="I111">
        <f t="shared" si="301"/>
        <v>0</v>
      </c>
      <c r="J111">
        <f t="shared" si="321"/>
        <v>0</v>
      </c>
      <c r="K111">
        <f t="shared" si="321"/>
        <v>0</v>
      </c>
      <c r="L111">
        <f t="shared" si="321"/>
        <v>0</v>
      </c>
      <c r="M111">
        <f t="shared" si="321"/>
        <v>0</v>
      </c>
      <c r="N111">
        <f t="shared" si="321"/>
        <v>0</v>
      </c>
      <c r="O111">
        <f t="shared" si="321"/>
        <v>0</v>
      </c>
      <c r="P111">
        <f t="shared" si="302"/>
        <v>-3.4596000000000009E-2</v>
      </c>
      <c r="Q111">
        <f t="shared" si="322"/>
        <v>-7.8399999999999997E-3</v>
      </c>
      <c r="R111">
        <f t="shared" si="322"/>
        <v>-1.6480000000000002E-2</v>
      </c>
      <c r="S111">
        <f t="shared" si="322"/>
        <v>-2.5920000000000006E-2</v>
      </c>
      <c r="T111">
        <f t="shared" si="322"/>
        <v>-3.6160000000000005E-2</v>
      </c>
      <c r="U111">
        <f t="shared" si="322"/>
        <v>-4.7199999999999999E-2</v>
      </c>
      <c r="V111">
        <f t="shared" si="322"/>
        <v>-5.9040000000000002E-2</v>
      </c>
      <c r="W111">
        <f t="shared" si="303"/>
        <v>-4.3245000000000006E-2</v>
      </c>
      <c r="X111">
        <f t="shared" si="323"/>
        <v>-9.8000000000000032E-3</v>
      </c>
      <c r="Y111">
        <f t="shared" si="323"/>
        <v>-2.0600000000000007E-2</v>
      </c>
      <c r="Z111">
        <f t="shared" si="323"/>
        <v>-3.2400000000000012E-2</v>
      </c>
      <c r="AA111">
        <f t="shared" si="323"/>
        <v>-4.5200000000000004E-2</v>
      </c>
      <c r="AB111">
        <f t="shared" si="323"/>
        <v>-5.8999999999999997E-2</v>
      </c>
      <c r="AC111">
        <f t="shared" si="323"/>
        <v>-7.3800000000000018E-2</v>
      </c>
      <c r="AD111">
        <f t="shared" si="304"/>
        <v>-3.9179970000000001E-2</v>
      </c>
      <c r="AE111">
        <f t="shared" si="324"/>
        <v>-8.8788000000000061E-3</v>
      </c>
      <c r="AF111">
        <f t="shared" si="324"/>
        <v>-1.8663600000000002E-2</v>
      </c>
      <c r="AG111">
        <f t="shared" si="324"/>
        <v>-2.935440000000001E-2</v>
      </c>
      <c r="AH111">
        <f t="shared" si="324"/>
        <v>-4.09512E-2</v>
      </c>
      <c r="AI111">
        <f t="shared" si="324"/>
        <v>-5.3454000000000008E-2</v>
      </c>
      <c r="AJ111">
        <f t="shared" si="324"/>
        <v>-6.6862800000000028E-2</v>
      </c>
      <c r="AK111">
        <f t="shared" si="305"/>
        <v>-4.4109900000000007E-2</v>
      </c>
      <c r="AL111">
        <f t="shared" si="325"/>
        <v>-9.9960000000000049E-3</v>
      </c>
      <c r="AM111">
        <f t="shared" si="325"/>
        <v>-2.1012000000000003E-2</v>
      </c>
      <c r="AN111">
        <f t="shared" si="325"/>
        <v>-3.3048000000000008E-2</v>
      </c>
      <c r="AO111">
        <f t="shared" si="325"/>
        <v>-4.6104000000000006E-2</v>
      </c>
      <c r="AP111">
        <f t="shared" si="325"/>
        <v>-6.0180000000000011E-2</v>
      </c>
      <c r="AQ111">
        <f t="shared" si="325"/>
        <v>-7.5276000000000023E-2</v>
      </c>
      <c r="AR111">
        <f t="shared" si="306"/>
        <v>-6.5818890000000005E-2</v>
      </c>
      <c r="AS111">
        <f t="shared" si="326"/>
        <v>-1.4915600000000001E-2</v>
      </c>
      <c r="AT111">
        <f t="shared" si="326"/>
        <v>-3.1353199999999998E-2</v>
      </c>
      <c r="AU111">
        <f t="shared" si="326"/>
        <v>-4.9312800000000004E-2</v>
      </c>
      <c r="AV111">
        <f t="shared" si="326"/>
        <v>-6.8794399999999992E-2</v>
      </c>
      <c r="AW111">
        <f t="shared" si="326"/>
        <v>-8.9798000000000003E-2</v>
      </c>
      <c r="AX111">
        <f t="shared" si="326"/>
        <v>-0.11232360000000001</v>
      </c>
      <c r="AY111">
        <f t="shared" si="307"/>
        <v>-1.8162900000000003E-2</v>
      </c>
      <c r="AZ111">
        <f t="shared" si="308"/>
        <v>-4.1160000000000016E-3</v>
      </c>
      <c r="BA111">
        <f t="shared" si="308"/>
        <v>-8.652E-3</v>
      </c>
      <c r="BB111">
        <f t="shared" si="308"/>
        <v>-1.3608000000000002E-2</v>
      </c>
      <c r="BC111">
        <f t="shared" si="308"/>
        <v>-1.8984000000000001E-2</v>
      </c>
      <c r="BD111">
        <f t="shared" si="308"/>
        <v>-2.4780000000000003E-2</v>
      </c>
      <c r="BE111">
        <f t="shared" si="308"/>
        <v>-3.0996000000000003E-2</v>
      </c>
      <c r="BF111">
        <f t="shared" si="309"/>
        <v>-2.1622500000000003E-2</v>
      </c>
      <c r="BG111">
        <f t="shared" si="327"/>
        <v>-4.9000000000000016E-3</v>
      </c>
      <c r="BH111">
        <f t="shared" si="327"/>
        <v>-1.0300000000000004E-2</v>
      </c>
      <c r="BI111">
        <f t="shared" si="327"/>
        <v>-1.6200000000000006E-2</v>
      </c>
      <c r="BJ111">
        <f t="shared" si="327"/>
        <v>-2.2600000000000002E-2</v>
      </c>
      <c r="BK111">
        <f t="shared" si="327"/>
        <v>-2.9499999999999998E-2</v>
      </c>
      <c r="BL111">
        <f t="shared" si="327"/>
        <v>-3.6900000000000009E-2</v>
      </c>
      <c r="BM111">
        <f t="shared" si="311"/>
        <v>-6.8327100000000002E-2</v>
      </c>
      <c r="BN111">
        <f t="shared" si="328"/>
        <v>-1.5484000000000012E-2</v>
      </c>
      <c r="BO111">
        <f t="shared" si="328"/>
        <v>-3.2548000000000007E-2</v>
      </c>
      <c r="BP111">
        <f t="shared" si="328"/>
        <v>-5.1192000000000015E-2</v>
      </c>
      <c r="BQ111">
        <f t="shared" si="328"/>
        <v>-7.1416000000000007E-2</v>
      </c>
      <c r="BR111">
        <f t="shared" si="328"/>
        <v>-9.3219999999999997E-2</v>
      </c>
      <c r="BS111">
        <f t="shared" si="328"/>
        <v>-0.11660400000000001</v>
      </c>
    </row>
    <row r="112" spans="2:71" x14ac:dyDescent="0.35">
      <c r="B112" t="s">
        <v>156</v>
      </c>
      <c r="C112" s="19">
        <f>regions!B90</f>
        <v>7623600</v>
      </c>
      <c r="D112" s="19">
        <f>regions!C90</f>
        <v>169010664818.13025</v>
      </c>
      <c r="E112" s="8">
        <f>regions!D90</f>
        <v>22169.403538765182</v>
      </c>
      <c r="F112" s="1">
        <f>regions!Z90</f>
        <v>19.2</v>
      </c>
      <c r="G112" s="8"/>
      <c r="H112" s="8"/>
      <c r="I112">
        <f t="shared" si="301"/>
        <v>0</v>
      </c>
      <c r="J112">
        <f t="shared" si="321"/>
        <v>0</v>
      </c>
      <c r="K112">
        <f t="shared" si="321"/>
        <v>0</v>
      </c>
      <c r="L112">
        <f t="shared" si="321"/>
        <v>0</v>
      </c>
      <c r="M112">
        <f t="shared" si="321"/>
        <v>0</v>
      </c>
      <c r="N112">
        <f t="shared" si="321"/>
        <v>0</v>
      </c>
      <c r="O112">
        <f t="shared" si="321"/>
        <v>0</v>
      </c>
      <c r="P112">
        <f t="shared" si="302"/>
        <v>-0.147456</v>
      </c>
      <c r="Q112">
        <f t="shared" si="322"/>
        <v>-1.5759999999999996E-2</v>
      </c>
      <c r="R112">
        <f t="shared" si="322"/>
        <v>-3.2320000000000015E-2</v>
      </c>
      <c r="S112">
        <f t="shared" si="322"/>
        <v>-4.9680000000000002E-2</v>
      </c>
      <c r="T112">
        <f t="shared" si="322"/>
        <v>-6.7840000000000011E-2</v>
      </c>
      <c r="U112">
        <f t="shared" si="322"/>
        <v>-8.6799999999999988E-2</v>
      </c>
      <c r="V112">
        <f t="shared" si="322"/>
        <v>-0.10656000000000002</v>
      </c>
      <c r="W112">
        <f t="shared" si="303"/>
        <v>-0.18431999999999998</v>
      </c>
      <c r="X112">
        <f t="shared" si="323"/>
        <v>-1.9699999999999995E-2</v>
      </c>
      <c r="Y112">
        <f t="shared" si="323"/>
        <v>-4.0400000000000019E-2</v>
      </c>
      <c r="Z112">
        <f t="shared" si="323"/>
        <v>-6.2100000000000016E-2</v>
      </c>
      <c r="AA112">
        <f t="shared" si="323"/>
        <v>-8.4800000000000042E-2</v>
      </c>
      <c r="AB112">
        <f t="shared" si="323"/>
        <v>-0.10850000000000004</v>
      </c>
      <c r="AC112">
        <f t="shared" si="323"/>
        <v>-0.13319999999999999</v>
      </c>
      <c r="AD112">
        <f t="shared" si="304"/>
        <v>-0.16699391999999999</v>
      </c>
      <c r="AE112">
        <f t="shared" si="324"/>
        <v>-1.7848200000000009E-2</v>
      </c>
      <c r="AF112">
        <f t="shared" si="324"/>
        <v>-3.6602400000000007E-2</v>
      </c>
      <c r="AG112">
        <f t="shared" si="324"/>
        <v>-5.6262599999999996E-2</v>
      </c>
      <c r="AH112">
        <f t="shared" si="324"/>
        <v>-7.682880000000003E-2</v>
      </c>
      <c r="AI112">
        <f t="shared" si="324"/>
        <v>-9.8300999999999999E-2</v>
      </c>
      <c r="AJ112">
        <f t="shared" si="324"/>
        <v>-0.12067920000000001</v>
      </c>
      <c r="AK112">
        <f t="shared" si="305"/>
        <v>-0.18800640000000002</v>
      </c>
      <c r="AL112">
        <f t="shared" si="325"/>
        <v>-2.0093999999999973E-2</v>
      </c>
      <c r="AM112">
        <f t="shared" si="325"/>
        <v>-4.1207999999999995E-2</v>
      </c>
      <c r="AN112">
        <f t="shared" si="325"/>
        <v>-6.3342000000000009E-2</v>
      </c>
      <c r="AO112">
        <f t="shared" si="325"/>
        <v>-8.6496000000000017E-2</v>
      </c>
      <c r="AP112">
        <f t="shared" si="325"/>
        <v>-0.11066999999999999</v>
      </c>
      <c r="AQ112">
        <f t="shared" si="325"/>
        <v>-0.13586399999999998</v>
      </c>
      <c r="AR112">
        <f t="shared" si="306"/>
        <v>-0.28053503999999996</v>
      </c>
      <c r="AS112">
        <f t="shared" si="326"/>
        <v>-2.9983399999999993E-2</v>
      </c>
      <c r="AT112">
        <f t="shared" si="326"/>
        <v>-6.148880000000001E-2</v>
      </c>
      <c r="AU112">
        <f t="shared" si="326"/>
        <v>-9.4516199999999995E-2</v>
      </c>
      <c r="AV112">
        <f t="shared" si="326"/>
        <v>-0.1290656</v>
      </c>
      <c r="AW112">
        <f t="shared" si="326"/>
        <v>-0.16513700000000003</v>
      </c>
      <c r="AX112">
        <f t="shared" si="326"/>
        <v>-0.20273039999999998</v>
      </c>
      <c r="AY112">
        <f t="shared" si="307"/>
        <v>-7.7414399999999994E-2</v>
      </c>
      <c r="AZ112">
        <f t="shared" si="308"/>
        <v>-8.2740000000000036E-3</v>
      </c>
      <c r="BA112">
        <f t="shared" si="308"/>
        <v>-1.6968000000000011E-2</v>
      </c>
      <c r="BB112">
        <f t="shared" si="308"/>
        <v>-2.6082000000000008E-2</v>
      </c>
      <c r="BC112">
        <f t="shared" si="308"/>
        <v>-3.5616000000000009E-2</v>
      </c>
      <c r="BD112">
        <f t="shared" si="308"/>
        <v>-4.5570000000000013E-2</v>
      </c>
      <c r="BE112">
        <f t="shared" si="308"/>
        <v>-5.5943999999999994E-2</v>
      </c>
      <c r="BF112">
        <f t="shared" si="309"/>
        <v>-9.2159999999999992E-2</v>
      </c>
      <c r="BG112">
        <f t="shared" si="327"/>
        <v>-9.8499999999999976E-3</v>
      </c>
      <c r="BH112">
        <f t="shared" si="327"/>
        <v>-2.020000000000001E-2</v>
      </c>
      <c r="BI112">
        <f t="shared" si="327"/>
        <v>-3.1050000000000008E-2</v>
      </c>
      <c r="BJ112">
        <f t="shared" si="327"/>
        <v>-4.2400000000000021E-2</v>
      </c>
      <c r="BK112">
        <f t="shared" si="327"/>
        <v>-5.425000000000002E-2</v>
      </c>
      <c r="BL112">
        <f t="shared" si="327"/>
        <v>-6.6599999999999993E-2</v>
      </c>
      <c r="BM112">
        <f t="shared" si="311"/>
        <v>-0.29122559999999997</v>
      </c>
      <c r="BN112">
        <f t="shared" si="328"/>
        <v>-3.1125999999999987E-2</v>
      </c>
      <c r="BO112">
        <f t="shared" si="328"/>
        <v>-6.3832000000000055E-2</v>
      </c>
      <c r="BP112">
        <f t="shared" si="328"/>
        <v>-9.8118000000000039E-2</v>
      </c>
      <c r="BQ112">
        <f t="shared" si="328"/>
        <v>-0.13398400000000005</v>
      </c>
      <c r="BR112">
        <f t="shared" si="328"/>
        <v>-0.17143000000000003</v>
      </c>
      <c r="BS112">
        <f t="shared" si="328"/>
        <v>-0.21045599999999998</v>
      </c>
    </row>
    <row r="113" spans="2:71" x14ac:dyDescent="0.35">
      <c r="B113" t="s">
        <v>157</v>
      </c>
      <c r="C113" s="19">
        <f>regions!B91</f>
        <v>60483385</v>
      </c>
      <c r="D113" s="19">
        <f>regions!C91</f>
        <v>1763885790470.2776</v>
      </c>
      <c r="E113" s="8">
        <f>regions!D91</f>
        <v>29163.146051932734</v>
      </c>
      <c r="F113" s="1">
        <f>regions!Z91</f>
        <v>13.4</v>
      </c>
      <c r="G113" s="8"/>
      <c r="H113" s="8"/>
      <c r="I113">
        <f t="shared" si="301"/>
        <v>0</v>
      </c>
      <c r="J113">
        <f t="shared" si="321"/>
        <v>0</v>
      </c>
      <c r="K113">
        <f t="shared" si="321"/>
        <v>0</v>
      </c>
      <c r="L113">
        <f t="shared" si="321"/>
        <v>0</v>
      </c>
      <c r="M113">
        <f t="shared" si="321"/>
        <v>0</v>
      </c>
      <c r="N113">
        <f t="shared" si="321"/>
        <v>0</v>
      </c>
      <c r="O113">
        <f t="shared" si="321"/>
        <v>0</v>
      </c>
      <c r="P113">
        <f t="shared" si="302"/>
        <v>-7.1823999999999999E-2</v>
      </c>
      <c r="Q113">
        <f t="shared" si="322"/>
        <v>-1.1120000000000005E-2</v>
      </c>
      <c r="R113">
        <f t="shared" si="322"/>
        <v>-2.3040000000000019E-2</v>
      </c>
      <c r="S113">
        <f t="shared" si="322"/>
        <v>-3.576E-2</v>
      </c>
      <c r="T113">
        <f t="shared" si="322"/>
        <v>-4.9279999999999977E-2</v>
      </c>
      <c r="U113">
        <f t="shared" si="322"/>
        <v>-6.359999999999999E-2</v>
      </c>
      <c r="V113">
        <f t="shared" si="322"/>
        <v>-7.8719999999999984E-2</v>
      </c>
      <c r="W113">
        <f t="shared" si="303"/>
        <v>-8.9779999999999999E-2</v>
      </c>
      <c r="X113">
        <f t="shared" si="323"/>
        <v>-1.390000000000001E-2</v>
      </c>
      <c r="Y113">
        <f t="shared" si="323"/>
        <v>-2.880000000000002E-2</v>
      </c>
      <c r="Z113">
        <f t="shared" si="323"/>
        <v>-4.469999999999999E-2</v>
      </c>
      <c r="AA113">
        <f t="shared" si="323"/>
        <v>-6.159999999999996E-2</v>
      </c>
      <c r="AB113">
        <f t="shared" si="323"/>
        <v>-7.9499999999999987E-2</v>
      </c>
      <c r="AC113">
        <f t="shared" si="323"/>
        <v>-9.8399999999999987E-2</v>
      </c>
      <c r="AD113">
        <f t="shared" si="304"/>
        <v>-8.1340679999999999E-2</v>
      </c>
      <c r="AE113">
        <f t="shared" si="324"/>
        <v>-1.2593400000000005E-2</v>
      </c>
      <c r="AF113">
        <f t="shared" si="324"/>
        <v>-2.6092800000000013E-2</v>
      </c>
      <c r="AG113">
        <f t="shared" si="324"/>
        <v>-4.0498199999999998E-2</v>
      </c>
      <c r="AH113">
        <f t="shared" si="324"/>
        <v>-5.5809599999999987E-2</v>
      </c>
      <c r="AI113">
        <f t="shared" si="324"/>
        <v>-7.202699999999998E-2</v>
      </c>
      <c r="AJ113">
        <f t="shared" si="324"/>
        <v>-8.9150399999999991E-2</v>
      </c>
      <c r="AK113">
        <f t="shared" si="305"/>
        <v>-9.1575600000000007E-2</v>
      </c>
      <c r="AL113">
        <f t="shared" si="325"/>
        <v>-1.417800000000001E-2</v>
      </c>
      <c r="AM113">
        <f t="shared" si="325"/>
        <v>-2.9376000000000013E-2</v>
      </c>
      <c r="AN113">
        <f t="shared" si="325"/>
        <v>-4.5593999999999996E-2</v>
      </c>
      <c r="AO113">
        <f t="shared" si="325"/>
        <v>-6.2831999999999971E-2</v>
      </c>
      <c r="AP113">
        <f t="shared" si="325"/>
        <v>-8.1089999999999968E-2</v>
      </c>
      <c r="AQ113">
        <f t="shared" si="325"/>
        <v>-0.10036799999999999</v>
      </c>
      <c r="AR113">
        <f t="shared" si="306"/>
        <v>-0.13664515999999999</v>
      </c>
      <c r="AS113">
        <f t="shared" si="326"/>
        <v>-2.1155800000000002E-2</v>
      </c>
      <c r="AT113">
        <f t="shared" si="326"/>
        <v>-4.3833600000000028E-2</v>
      </c>
      <c r="AU113">
        <f t="shared" si="326"/>
        <v>-6.8033399999999994E-2</v>
      </c>
      <c r="AV113">
        <f t="shared" si="326"/>
        <v>-9.3755199999999955E-2</v>
      </c>
      <c r="AW113">
        <f t="shared" si="326"/>
        <v>-0.12099899999999997</v>
      </c>
      <c r="AX113">
        <f t="shared" si="326"/>
        <v>-0.14976479999999998</v>
      </c>
      <c r="AY113">
        <f t="shared" si="307"/>
        <v>-3.7707600000000001E-2</v>
      </c>
      <c r="AZ113">
        <f t="shared" si="308"/>
        <v>-5.8380000000000029E-3</v>
      </c>
      <c r="BA113">
        <f t="shared" si="308"/>
        <v>-1.209600000000001E-2</v>
      </c>
      <c r="BB113">
        <f t="shared" si="308"/>
        <v>-1.8773999999999999E-2</v>
      </c>
      <c r="BC113">
        <f t="shared" si="308"/>
        <v>-2.5871999999999985E-2</v>
      </c>
      <c r="BD113">
        <f t="shared" si="308"/>
        <v>-3.3389999999999996E-2</v>
      </c>
      <c r="BE113">
        <f t="shared" si="308"/>
        <v>-4.1327999999999997E-2</v>
      </c>
      <c r="BF113">
        <f t="shared" si="309"/>
        <v>-4.4889999999999999E-2</v>
      </c>
      <c r="BG113">
        <f t="shared" si="327"/>
        <v>-6.9500000000000048E-3</v>
      </c>
      <c r="BH113">
        <f t="shared" si="327"/>
        <v>-1.440000000000001E-2</v>
      </c>
      <c r="BI113">
        <f t="shared" si="327"/>
        <v>-2.2349999999999995E-2</v>
      </c>
      <c r="BJ113">
        <f t="shared" si="327"/>
        <v>-3.079999999999998E-2</v>
      </c>
      <c r="BK113">
        <f t="shared" si="327"/>
        <v>-3.9749999999999994E-2</v>
      </c>
      <c r="BL113">
        <f t="shared" si="327"/>
        <v>-4.9199999999999994E-2</v>
      </c>
      <c r="BM113">
        <f t="shared" si="311"/>
        <v>-0.14185240000000002</v>
      </c>
      <c r="BN113">
        <f t="shared" si="328"/>
        <v>-2.1962000000000009E-2</v>
      </c>
      <c r="BO113">
        <f t="shared" si="328"/>
        <v>-4.5504000000000017E-2</v>
      </c>
      <c r="BP113">
        <f t="shared" si="328"/>
        <v>-7.0625999999999967E-2</v>
      </c>
      <c r="BQ113">
        <f t="shared" si="328"/>
        <v>-9.7327999999999942E-2</v>
      </c>
      <c r="BR113">
        <f t="shared" si="328"/>
        <v>-0.12560999999999992</v>
      </c>
      <c r="BS113">
        <f t="shared" si="328"/>
        <v>-0.15547199999999997</v>
      </c>
    </row>
    <row r="114" spans="2:71" x14ac:dyDescent="0.35">
      <c r="B114" t="s">
        <v>159</v>
      </c>
      <c r="C114" s="19">
        <f>regions!B92</f>
        <v>2701200</v>
      </c>
      <c r="D114" s="19">
        <f>regions!C92</f>
        <v>11696126739.263338</v>
      </c>
      <c r="E114" s="8">
        <f>regions!D92</f>
        <v>4329.9743592711902</v>
      </c>
      <c r="F114" s="1">
        <f>regions!Z92</f>
        <v>27.2</v>
      </c>
      <c r="G114" s="8"/>
      <c r="H114" s="8"/>
      <c r="I114">
        <f t="shared" si="301"/>
        <v>0</v>
      </c>
      <c r="J114">
        <f t="shared" si="321"/>
        <v>0</v>
      </c>
      <c r="K114">
        <f t="shared" si="321"/>
        <v>0</v>
      </c>
      <c r="L114">
        <f t="shared" si="321"/>
        <v>0</v>
      </c>
      <c r="M114">
        <f t="shared" si="321"/>
        <v>0</v>
      </c>
      <c r="N114">
        <f t="shared" si="321"/>
        <v>0</v>
      </c>
      <c r="O114">
        <f t="shared" si="321"/>
        <v>0</v>
      </c>
      <c r="P114">
        <f t="shared" si="302"/>
        <v>-0.29593599999999998</v>
      </c>
      <c r="Q114">
        <f t="shared" si="322"/>
        <v>-2.2160000000000069E-2</v>
      </c>
      <c r="R114">
        <f t="shared" si="322"/>
        <v>-4.5120000000000049E-2</v>
      </c>
      <c r="S114">
        <f t="shared" si="322"/>
        <v>-6.8880000000000052E-2</v>
      </c>
      <c r="T114">
        <f t="shared" si="322"/>
        <v>-9.3440000000000023E-2</v>
      </c>
      <c r="U114">
        <f t="shared" si="322"/>
        <v>-0.11880000000000013</v>
      </c>
      <c r="V114">
        <f t="shared" si="322"/>
        <v>-0.14496000000000014</v>
      </c>
      <c r="W114">
        <f t="shared" si="303"/>
        <v>-0.36991999999999997</v>
      </c>
      <c r="X114">
        <f t="shared" si="323"/>
        <v>-2.7700000000000058E-2</v>
      </c>
      <c r="Y114">
        <f t="shared" si="323"/>
        <v>-5.6400000000000006E-2</v>
      </c>
      <c r="Z114">
        <f t="shared" si="323"/>
        <v>-8.610000000000001E-2</v>
      </c>
      <c r="AA114">
        <f t="shared" si="323"/>
        <v>-0.11680000000000001</v>
      </c>
      <c r="AB114">
        <f t="shared" si="323"/>
        <v>-0.14850000000000013</v>
      </c>
      <c r="AC114">
        <f t="shared" si="323"/>
        <v>-0.18120000000000019</v>
      </c>
      <c r="AD114">
        <f t="shared" si="304"/>
        <v>-0.33514751999999998</v>
      </c>
      <c r="AE114">
        <f t="shared" si="324"/>
        <v>-2.5096200000000013E-2</v>
      </c>
      <c r="AF114">
        <f t="shared" si="324"/>
        <v>-5.1098400000000044E-2</v>
      </c>
      <c r="AG114">
        <f t="shared" si="324"/>
        <v>-7.8006600000000037E-2</v>
      </c>
      <c r="AH114">
        <f t="shared" si="324"/>
        <v>-0.10582079999999999</v>
      </c>
      <c r="AI114">
        <f t="shared" si="324"/>
        <v>-0.13454100000000008</v>
      </c>
      <c r="AJ114">
        <f t="shared" si="324"/>
        <v>-0.16416720000000012</v>
      </c>
      <c r="AK114">
        <f t="shared" si="305"/>
        <v>-0.3773184</v>
      </c>
      <c r="AL114">
        <f t="shared" si="325"/>
        <v>-2.8254000000000057E-2</v>
      </c>
      <c r="AM114">
        <f t="shared" si="325"/>
        <v>-5.7528000000000024E-2</v>
      </c>
      <c r="AN114">
        <f t="shared" si="325"/>
        <v>-8.7822000000000011E-2</v>
      </c>
      <c r="AO114">
        <f t="shared" si="325"/>
        <v>-0.11913600000000002</v>
      </c>
      <c r="AP114">
        <f t="shared" si="325"/>
        <v>-0.15147000000000016</v>
      </c>
      <c r="AQ114">
        <f t="shared" si="325"/>
        <v>-0.18482400000000015</v>
      </c>
      <c r="AR114">
        <f t="shared" si="306"/>
        <v>-0.56301823999999989</v>
      </c>
      <c r="AS114">
        <f t="shared" si="326"/>
        <v>-4.2159400000000069E-2</v>
      </c>
      <c r="AT114">
        <f t="shared" si="326"/>
        <v>-8.584080000000005E-2</v>
      </c>
      <c r="AU114">
        <f t="shared" si="326"/>
        <v>-0.13104420000000006</v>
      </c>
      <c r="AV114">
        <f t="shared" si="326"/>
        <v>-0.17776959999999997</v>
      </c>
      <c r="AW114">
        <f t="shared" si="326"/>
        <v>-0.22601700000000013</v>
      </c>
      <c r="AX114">
        <f t="shared" si="326"/>
        <v>-0.27578640000000021</v>
      </c>
      <c r="AY114">
        <f t="shared" si="307"/>
        <v>-0.15536639999999999</v>
      </c>
      <c r="AZ114">
        <f t="shared" si="308"/>
        <v>-1.1634000000000033E-2</v>
      </c>
      <c r="BA114">
        <f t="shared" si="308"/>
        <v>-2.3688000000000015E-2</v>
      </c>
      <c r="BB114">
        <f t="shared" si="308"/>
        <v>-3.6162E-2</v>
      </c>
      <c r="BC114">
        <f t="shared" si="308"/>
        <v>-4.9056000000000016E-2</v>
      </c>
      <c r="BD114">
        <f t="shared" si="308"/>
        <v>-6.2370000000000064E-2</v>
      </c>
      <c r="BE114">
        <f t="shared" si="308"/>
        <v>-7.610400000000006E-2</v>
      </c>
      <c r="BF114">
        <f t="shared" si="309"/>
        <v>-0.18495999999999999</v>
      </c>
      <c r="BG114">
        <f t="shared" si="327"/>
        <v>-1.3850000000000029E-2</v>
      </c>
      <c r="BH114">
        <f t="shared" si="327"/>
        <v>-2.8200000000000003E-2</v>
      </c>
      <c r="BI114">
        <f t="shared" si="327"/>
        <v>-4.3050000000000005E-2</v>
      </c>
      <c r="BJ114">
        <f t="shared" si="327"/>
        <v>-5.8400000000000007E-2</v>
      </c>
      <c r="BK114">
        <f t="shared" si="327"/>
        <v>-7.4250000000000066E-2</v>
      </c>
      <c r="BL114">
        <f t="shared" si="327"/>
        <v>-9.0600000000000097E-2</v>
      </c>
      <c r="BM114">
        <f t="shared" si="311"/>
        <v>-0.58447359999999993</v>
      </c>
      <c r="BN114">
        <f t="shared" si="328"/>
        <v>-4.3766000000000083E-2</v>
      </c>
      <c r="BO114">
        <f t="shared" si="328"/>
        <v>-8.911200000000008E-2</v>
      </c>
      <c r="BP114">
        <f t="shared" si="328"/>
        <v>-0.1360380000000001</v>
      </c>
      <c r="BQ114">
        <f t="shared" si="328"/>
        <v>-0.18454400000000004</v>
      </c>
      <c r="BR114">
        <f t="shared" si="328"/>
        <v>-0.23463000000000023</v>
      </c>
      <c r="BS114">
        <f t="shared" si="328"/>
        <v>-0.28629600000000033</v>
      </c>
    </row>
    <row r="115" spans="2:71" x14ac:dyDescent="0.35">
      <c r="B115" t="s">
        <v>64</v>
      </c>
      <c r="C115" s="19">
        <f>regions!B93</f>
        <v>127450459</v>
      </c>
      <c r="D115" s="19">
        <f>regions!C93</f>
        <v>4648468621132.7568</v>
      </c>
      <c r="E115" s="8">
        <f>regions!D93</f>
        <v>36472.749157637452</v>
      </c>
      <c r="F115" s="1">
        <f>regions!Z93</f>
        <v>11.1</v>
      </c>
      <c r="G115" s="8"/>
      <c r="H115" s="8"/>
      <c r="I115">
        <f t="shared" si="301"/>
        <v>0</v>
      </c>
      <c r="J115">
        <f t="shared" si="321"/>
        <v>0</v>
      </c>
      <c r="K115">
        <f t="shared" si="321"/>
        <v>0</v>
      </c>
      <c r="L115">
        <f t="shared" si="321"/>
        <v>0</v>
      </c>
      <c r="M115">
        <f t="shared" si="321"/>
        <v>0</v>
      </c>
      <c r="N115">
        <f t="shared" si="321"/>
        <v>0</v>
      </c>
      <c r="O115">
        <f t="shared" si="321"/>
        <v>0</v>
      </c>
      <c r="P115">
        <f t="shared" si="302"/>
        <v>-4.9284000000000001E-2</v>
      </c>
      <c r="Q115">
        <f t="shared" si="322"/>
        <v>-9.2799999999999966E-3</v>
      </c>
      <c r="R115">
        <f t="shared" si="322"/>
        <v>-1.9359999999999995E-2</v>
      </c>
      <c r="S115">
        <f t="shared" si="322"/>
        <v>-3.024000000000001E-2</v>
      </c>
      <c r="T115">
        <f t="shared" si="322"/>
        <v>-4.1920000000000006E-2</v>
      </c>
      <c r="U115">
        <f t="shared" si="322"/>
        <v>-5.4400000000000025E-2</v>
      </c>
      <c r="V115">
        <f t="shared" si="322"/>
        <v>-6.7680000000000018E-2</v>
      </c>
      <c r="W115">
        <f t="shared" si="303"/>
        <v>-6.1605E-2</v>
      </c>
      <c r="X115">
        <f t="shared" si="323"/>
        <v>-1.1600000000000006E-2</v>
      </c>
      <c r="Y115">
        <f t="shared" si="323"/>
        <v>-2.4199999999999992E-2</v>
      </c>
      <c r="Z115">
        <f t="shared" si="323"/>
        <v>-3.7800000000000007E-2</v>
      </c>
      <c r="AA115">
        <f t="shared" si="323"/>
        <v>-5.2399999999999995E-2</v>
      </c>
      <c r="AB115">
        <f t="shared" si="323"/>
        <v>-6.8000000000000033E-2</v>
      </c>
      <c r="AC115">
        <f t="shared" si="323"/>
        <v>-8.4600000000000036E-2</v>
      </c>
      <c r="AD115">
        <f t="shared" si="304"/>
        <v>-5.5814129999999997E-2</v>
      </c>
      <c r="AE115">
        <f t="shared" si="324"/>
        <v>-1.0509600000000001E-2</v>
      </c>
      <c r="AF115">
        <f t="shared" si="324"/>
        <v>-2.1925199999999999E-2</v>
      </c>
      <c r="AG115">
        <f t="shared" si="324"/>
        <v>-3.4246800000000001E-2</v>
      </c>
      <c r="AH115">
        <f t="shared" si="324"/>
        <v>-4.7474400000000007E-2</v>
      </c>
      <c r="AI115">
        <f t="shared" si="324"/>
        <v>-6.1608000000000017E-2</v>
      </c>
      <c r="AJ115">
        <f t="shared" si="324"/>
        <v>-7.664760000000001E-2</v>
      </c>
      <c r="AK115">
        <f t="shared" si="305"/>
        <v>-6.2837100000000007E-2</v>
      </c>
      <c r="AL115">
        <f t="shared" si="325"/>
        <v>-1.1831999999999995E-2</v>
      </c>
      <c r="AM115">
        <f t="shared" si="325"/>
        <v>-2.4683999999999998E-2</v>
      </c>
      <c r="AN115">
        <f t="shared" si="325"/>
        <v>-3.8556000000000007E-2</v>
      </c>
      <c r="AO115">
        <f t="shared" si="325"/>
        <v>-5.3447999999999996E-2</v>
      </c>
      <c r="AP115">
        <f t="shared" si="325"/>
        <v>-6.9360000000000033E-2</v>
      </c>
      <c r="AQ115">
        <f t="shared" si="325"/>
        <v>-8.6292000000000008E-2</v>
      </c>
      <c r="AR115">
        <f t="shared" si="306"/>
        <v>-9.3762809999999988E-2</v>
      </c>
      <c r="AS115">
        <f t="shared" si="326"/>
        <v>-1.765520000000001E-2</v>
      </c>
      <c r="AT115">
        <f t="shared" si="326"/>
        <v>-3.6832400000000001E-2</v>
      </c>
      <c r="AU115">
        <f t="shared" si="326"/>
        <v>-5.7531600000000002E-2</v>
      </c>
      <c r="AV115">
        <f t="shared" si="326"/>
        <v>-7.9752799999999999E-2</v>
      </c>
      <c r="AW115">
        <f t="shared" si="326"/>
        <v>-0.10349600000000002</v>
      </c>
      <c r="AX115">
        <f t="shared" si="326"/>
        <v>-0.12876120000000002</v>
      </c>
      <c r="AY115">
        <f t="shared" si="307"/>
        <v>-2.5874100000000001E-2</v>
      </c>
      <c r="AZ115">
        <f t="shared" si="308"/>
        <v>-4.8720000000000013E-3</v>
      </c>
      <c r="BA115">
        <f t="shared" si="308"/>
        <v>-1.0163999999999996E-2</v>
      </c>
      <c r="BB115">
        <f t="shared" si="308"/>
        <v>-1.5876000000000005E-2</v>
      </c>
      <c r="BC115">
        <f t="shared" si="308"/>
        <v>-2.2007999999999996E-2</v>
      </c>
      <c r="BD115">
        <f t="shared" si="308"/>
        <v>-2.8560000000000012E-2</v>
      </c>
      <c r="BE115">
        <f t="shared" si="308"/>
        <v>-3.5532000000000008E-2</v>
      </c>
      <c r="BF115">
        <f t="shared" si="309"/>
        <v>-3.08025E-2</v>
      </c>
      <c r="BG115">
        <f t="shared" si="327"/>
        <v>-5.8000000000000031E-3</v>
      </c>
      <c r="BH115">
        <f t="shared" si="327"/>
        <v>-1.2099999999999996E-2</v>
      </c>
      <c r="BI115">
        <f t="shared" si="327"/>
        <v>-1.8900000000000004E-2</v>
      </c>
      <c r="BJ115">
        <f t="shared" si="327"/>
        <v>-2.6199999999999998E-2</v>
      </c>
      <c r="BK115">
        <f t="shared" si="327"/>
        <v>-3.4000000000000016E-2</v>
      </c>
      <c r="BL115">
        <f t="shared" si="327"/>
        <v>-4.2300000000000018E-2</v>
      </c>
      <c r="BM115">
        <f t="shared" si="311"/>
        <v>-9.7335900000000003E-2</v>
      </c>
      <c r="BN115">
        <f t="shared" si="328"/>
        <v>-1.8327999999999997E-2</v>
      </c>
      <c r="BO115">
        <f t="shared" si="328"/>
        <v>-3.8235999999999992E-2</v>
      </c>
      <c r="BP115">
        <f t="shared" si="328"/>
        <v>-5.9723999999999999E-2</v>
      </c>
      <c r="BQ115">
        <f t="shared" si="328"/>
        <v>-8.2792000000000004E-2</v>
      </c>
      <c r="BR115">
        <f t="shared" si="328"/>
        <v>-0.10744000000000004</v>
      </c>
      <c r="BS115">
        <f t="shared" si="328"/>
        <v>-0.13366800000000001</v>
      </c>
    </row>
    <row r="116" spans="2:71" x14ac:dyDescent="0.35">
      <c r="B116" t="s">
        <v>251</v>
      </c>
      <c r="C116" s="19">
        <f>regions!B94</f>
        <v>6046000</v>
      </c>
      <c r="D116" s="19">
        <f>regions!C94</f>
        <v>17034536275.580128</v>
      </c>
      <c r="E116" s="8">
        <f>regions!D94</f>
        <v>2817.4886330764352</v>
      </c>
      <c r="F116" s="1">
        <f>regions!Z94</f>
        <v>18.3</v>
      </c>
      <c r="G116" s="8"/>
      <c r="H116" s="8"/>
      <c r="I116">
        <f t="shared" si="301"/>
        <v>-0.255102</v>
      </c>
      <c r="J116">
        <f t="shared" ref="J116:O125" si="329">IF($E116&lt;$E$24,$D$11*($F116+J$25)-$I116,0)</f>
        <v>-1.3940000000000008E-2</v>
      </c>
      <c r="K116">
        <f t="shared" si="329"/>
        <v>-2.7880000000000016E-2</v>
      </c>
      <c r="L116">
        <f t="shared" si="329"/>
        <v>-4.1820000000000024E-2</v>
      </c>
      <c r="M116">
        <f t="shared" si="329"/>
        <v>-5.5759999999999976E-2</v>
      </c>
      <c r="N116">
        <f t="shared" si="329"/>
        <v>-6.9699999999999984E-2</v>
      </c>
      <c r="O116">
        <f t="shared" si="329"/>
        <v>-8.3639999999999992E-2</v>
      </c>
      <c r="P116">
        <f t="shared" si="302"/>
        <v>-0.13395600000000002</v>
      </c>
      <c r="Q116">
        <f t="shared" ref="Q116:V125" si="330">$D$13*($F116+Q$25)^2-$P116</f>
        <v>-1.5039999999999998E-2</v>
      </c>
      <c r="R116">
        <f t="shared" si="330"/>
        <v>-3.0879999999999991E-2</v>
      </c>
      <c r="S116">
        <f t="shared" si="330"/>
        <v>-4.7520000000000007E-2</v>
      </c>
      <c r="T116">
        <f t="shared" si="330"/>
        <v>-6.495999999999999E-2</v>
      </c>
      <c r="U116">
        <f t="shared" si="330"/>
        <v>-8.3199999999999996E-2</v>
      </c>
      <c r="V116">
        <f t="shared" si="330"/>
        <v>-0.10224</v>
      </c>
      <c r="W116">
        <f t="shared" si="303"/>
        <v>-0.16744500000000004</v>
      </c>
      <c r="X116">
        <f t="shared" ref="X116:AC125" si="331">$D$15*($F116+X$25)^2-$W116</f>
        <v>-1.8799999999999983E-2</v>
      </c>
      <c r="Y116">
        <f t="shared" si="331"/>
        <v>-3.8599999999999995E-2</v>
      </c>
      <c r="Z116">
        <f t="shared" si="331"/>
        <v>-5.9399999999999981E-2</v>
      </c>
      <c r="AA116">
        <f t="shared" si="331"/>
        <v>-8.1199999999999967E-2</v>
      </c>
      <c r="AB116">
        <f t="shared" si="331"/>
        <v>-0.10399999999999995</v>
      </c>
      <c r="AC116">
        <f t="shared" si="331"/>
        <v>-0.1278</v>
      </c>
      <c r="AD116">
        <f t="shared" si="304"/>
        <v>-0.15170517000000003</v>
      </c>
      <c r="AE116">
        <f t="shared" ref="AE116:AJ125" si="332">$D$10*($F116+AE$25)^2-$AD116</f>
        <v>-1.7032799999999987E-2</v>
      </c>
      <c r="AF116">
        <f t="shared" si="332"/>
        <v>-3.4971599999999992E-2</v>
      </c>
      <c r="AG116">
        <f t="shared" si="332"/>
        <v>-5.3816399999999986E-2</v>
      </c>
      <c r="AH116">
        <f t="shared" si="332"/>
        <v>-7.3567199999999972E-2</v>
      </c>
      <c r="AI116">
        <f t="shared" si="332"/>
        <v>-9.4223999999999974E-2</v>
      </c>
      <c r="AJ116">
        <f t="shared" si="332"/>
        <v>-0.1157868</v>
      </c>
      <c r="AK116">
        <f t="shared" si="305"/>
        <v>-0.17079390000000003</v>
      </c>
      <c r="AL116">
        <f t="shared" ref="AL116:AQ125" si="333">$D$17*($F116+AL$25)^2-$AK116</f>
        <v>-1.9175999999999999E-2</v>
      </c>
      <c r="AM116">
        <f t="shared" si="333"/>
        <v>-3.9372000000000018E-2</v>
      </c>
      <c r="AN116">
        <f t="shared" si="333"/>
        <v>-6.0588000000000031E-2</v>
      </c>
      <c r="AO116">
        <f t="shared" si="333"/>
        <v>-8.2823999999999981E-2</v>
      </c>
      <c r="AP116">
        <f t="shared" si="333"/>
        <v>-0.10607999999999998</v>
      </c>
      <c r="AQ116">
        <f t="shared" si="333"/>
        <v>-0.130356</v>
      </c>
      <c r="AR116">
        <f t="shared" si="306"/>
        <v>-0.25485129000000001</v>
      </c>
      <c r="AS116">
        <f t="shared" ref="AS116:AX125" si="334">$D$8*($F116+AS$25)^2-$AR116</f>
        <v>-2.8613599999999961E-2</v>
      </c>
      <c r="AT116">
        <f t="shared" si="334"/>
        <v>-5.8749200000000001E-2</v>
      </c>
      <c r="AU116">
        <f t="shared" si="334"/>
        <v>-9.0406800000000009E-2</v>
      </c>
      <c r="AV116">
        <f t="shared" si="334"/>
        <v>-0.12358639999999999</v>
      </c>
      <c r="AW116">
        <f t="shared" si="334"/>
        <v>-0.15828799999999998</v>
      </c>
      <c r="AX116">
        <f t="shared" si="334"/>
        <v>-0.19451159999999995</v>
      </c>
      <c r="AY116">
        <f t="shared" si="307"/>
        <v>-7.0326900000000012E-2</v>
      </c>
      <c r="AZ116">
        <f t="shared" si="308"/>
        <v>-7.8960000000000002E-3</v>
      </c>
      <c r="BA116">
        <f t="shared" si="308"/>
        <v>-1.6212000000000004E-2</v>
      </c>
      <c r="BB116">
        <f t="shared" si="308"/>
        <v>-2.4947999999999998E-2</v>
      </c>
      <c r="BC116">
        <f t="shared" si="308"/>
        <v>-3.4103999999999995E-2</v>
      </c>
      <c r="BD116">
        <f t="shared" si="308"/>
        <v>-4.3679999999999997E-2</v>
      </c>
      <c r="BE116">
        <f t="shared" si="308"/>
        <v>-5.3676000000000001E-2</v>
      </c>
      <c r="BF116">
        <f t="shared" si="309"/>
        <v>-8.3722500000000019E-2</v>
      </c>
      <c r="BG116">
        <f t="shared" si="327"/>
        <v>-9.3999999999999917E-3</v>
      </c>
      <c r="BH116">
        <f t="shared" si="327"/>
        <v>-1.9299999999999998E-2</v>
      </c>
      <c r="BI116">
        <f t="shared" si="327"/>
        <v>-2.969999999999999E-2</v>
      </c>
      <c r="BJ116">
        <f t="shared" si="327"/>
        <v>-4.0599999999999983E-2</v>
      </c>
      <c r="BK116">
        <f t="shared" si="327"/>
        <v>-5.1999999999999977E-2</v>
      </c>
      <c r="BL116">
        <f t="shared" si="327"/>
        <v>-6.3899999999999998E-2</v>
      </c>
      <c r="BM116">
        <f t="shared" si="311"/>
        <v>-0.26456310000000005</v>
      </c>
      <c r="BN116">
        <f t="shared" si="328"/>
        <v>-2.9703999999999953E-2</v>
      </c>
      <c r="BO116">
        <f t="shared" si="328"/>
        <v>-6.0987999999999987E-2</v>
      </c>
      <c r="BP116">
        <f t="shared" si="328"/>
        <v>-9.3851999999999991E-2</v>
      </c>
      <c r="BQ116">
        <f t="shared" si="328"/>
        <v>-0.12829599999999997</v>
      </c>
      <c r="BR116">
        <f t="shared" si="328"/>
        <v>-0.16431999999999997</v>
      </c>
      <c r="BS116">
        <f t="shared" si="328"/>
        <v>-0.20192399999999994</v>
      </c>
    </row>
    <row r="117" spans="2:71" x14ac:dyDescent="0.35">
      <c r="B117" t="s">
        <v>377</v>
      </c>
      <c r="C117" s="19">
        <f>regions!B95</f>
        <v>16323287</v>
      </c>
      <c r="D117" s="19">
        <f>regions!C95</f>
        <v>77245319067.247726</v>
      </c>
      <c r="E117" s="8">
        <f>regions!D95</f>
        <v>4732.2159481266071</v>
      </c>
      <c r="F117" s="1">
        <f>regions!Z95</f>
        <v>6.4</v>
      </c>
      <c r="G117" s="8"/>
      <c r="H117" s="8"/>
      <c r="I117">
        <f t="shared" si="301"/>
        <v>0</v>
      </c>
      <c r="J117">
        <f t="shared" si="329"/>
        <v>0</v>
      </c>
      <c r="K117">
        <f t="shared" si="329"/>
        <v>0</v>
      </c>
      <c r="L117">
        <f t="shared" si="329"/>
        <v>0</v>
      </c>
      <c r="M117">
        <f t="shared" si="329"/>
        <v>0</v>
      </c>
      <c r="N117">
        <f t="shared" si="329"/>
        <v>0</v>
      </c>
      <c r="O117">
        <f t="shared" si="329"/>
        <v>0</v>
      </c>
      <c r="P117">
        <f t="shared" si="302"/>
        <v>-1.6384000000000003E-2</v>
      </c>
      <c r="Q117">
        <f t="shared" si="330"/>
        <v>-5.5200000000000006E-3</v>
      </c>
      <c r="R117">
        <f t="shared" si="330"/>
        <v>-1.184E-2</v>
      </c>
      <c r="S117">
        <f t="shared" si="330"/>
        <v>-1.8960000000000005E-2</v>
      </c>
      <c r="T117">
        <f t="shared" si="330"/>
        <v>-2.6880000000000001E-2</v>
      </c>
      <c r="U117">
        <f t="shared" si="330"/>
        <v>-3.56E-2</v>
      </c>
      <c r="V117">
        <f t="shared" si="330"/>
        <v>-4.5120000000000007E-2</v>
      </c>
      <c r="W117">
        <f t="shared" si="303"/>
        <v>-2.0480000000000005E-2</v>
      </c>
      <c r="X117">
        <f t="shared" si="331"/>
        <v>-6.8999999999999964E-3</v>
      </c>
      <c r="Y117">
        <f t="shared" si="331"/>
        <v>-1.4799999999999994E-2</v>
      </c>
      <c r="Z117">
        <f t="shared" si="331"/>
        <v>-2.3700000000000006E-2</v>
      </c>
      <c r="AA117">
        <f t="shared" si="331"/>
        <v>-3.3599999999999998E-2</v>
      </c>
      <c r="AB117">
        <f t="shared" si="331"/>
        <v>-4.4500000000000005E-2</v>
      </c>
      <c r="AC117">
        <f t="shared" si="331"/>
        <v>-5.6400000000000013E-2</v>
      </c>
      <c r="AD117">
        <f t="shared" si="304"/>
        <v>-1.8554880000000003E-2</v>
      </c>
      <c r="AE117">
        <f t="shared" si="332"/>
        <v>-6.2514000000000007E-3</v>
      </c>
      <c r="AF117">
        <f t="shared" si="332"/>
        <v>-1.3408799999999998E-2</v>
      </c>
      <c r="AG117">
        <f t="shared" si="332"/>
        <v>-2.1472200000000004E-2</v>
      </c>
      <c r="AH117">
        <f t="shared" si="332"/>
        <v>-3.0441600000000006E-2</v>
      </c>
      <c r="AI117">
        <f t="shared" si="332"/>
        <v>-4.0316999999999999E-2</v>
      </c>
      <c r="AJ117">
        <f t="shared" si="332"/>
        <v>-5.1098400000000009E-2</v>
      </c>
      <c r="AK117">
        <f t="shared" si="305"/>
        <v>-2.0889600000000005E-2</v>
      </c>
      <c r="AL117">
        <f t="shared" si="333"/>
        <v>-7.0379999999999991E-3</v>
      </c>
      <c r="AM117">
        <f t="shared" si="333"/>
        <v>-1.5096000000000002E-2</v>
      </c>
      <c r="AN117">
        <f t="shared" si="333"/>
        <v>-2.4174000000000005E-2</v>
      </c>
      <c r="AO117">
        <f t="shared" si="333"/>
        <v>-3.4272000000000011E-2</v>
      </c>
      <c r="AP117">
        <f t="shared" si="333"/>
        <v>-4.539E-2</v>
      </c>
      <c r="AQ117">
        <f t="shared" si="333"/>
        <v>-5.752800000000001E-2</v>
      </c>
      <c r="AR117">
        <f t="shared" si="306"/>
        <v>-3.1170560000000003E-2</v>
      </c>
      <c r="AS117">
        <f t="shared" si="334"/>
        <v>-1.0501799999999995E-2</v>
      </c>
      <c r="AT117">
        <f t="shared" si="334"/>
        <v>-2.2525599999999996E-2</v>
      </c>
      <c r="AU117">
        <f t="shared" si="334"/>
        <v>-3.6071400000000003E-2</v>
      </c>
      <c r="AV117">
        <f t="shared" si="334"/>
        <v>-5.113920000000001E-2</v>
      </c>
      <c r="AW117">
        <f t="shared" si="334"/>
        <v>-6.7728999999999998E-2</v>
      </c>
      <c r="AX117">
        <f t="shared" si="334"/>
        <v>-8.5840800000000009E-2</v>
      </c>
      <c r="AY117">
        <f t="shared" si="307"/>
        <v>-8.6016000000000026E-3</v>
      </c>
      <c r="AZ117">
        <f t="shared" si="308"/>
        <v>-2.8979999999999995E-3</v>
      </c>
      <c r="BA117">
        <f t="shared" si="308"/>
        <v>-6.2159999999999993E-3</v>
      </c>
      <c r="BB117">
        <f t="shared" si="308"/>
        <v>-9.9539999999999993E-3</v>
      </c>
      <c r="BC117">
        <f t="shared" si="308"/>
        <v>-1.4112000000000001E-2</v>
      </c>
      <c r="BD117">
        <f t="shared" si="308"/>
        <v>-1.8689999999999998E-2</v>
      </c>
      <c r="BE117">
        <f t="shared" si="308"/>
        <v>-2.3688000000000008E-2</v>
      </c>
      <c r="BF117">
        <f t="shared" si="309"/>
        <v>-1.0240000000000003E-2</v>
      </c>
      <c r="BG117">
        <f t="shared" si="327"/>
        <v>-3.4499999999999982E-3</v>
      </c>
      <c r="BH117">
        <f t="shared" si="327"/>
        <v>-7.3999999999999969E-3</v>
      </c>
      <c r="BI117">
        <f t="shared" si="327"/>
        <v>-1.1850000000000003E-2</v>
      </c>
      <c r="BJ117">
        <f t="shared" si="327"/>
        <v>-1.6799999999999999E-2</v>
      </c>
      <c r="BK117">
        <f t="shared" si="327"/>
        <v>-2.2250000000000002E-2</v>
      </c>
      <c r="BL117">
        <f t="shared" si="327"/>
        <v>-2.8200000000000006E-2</v>
      </c>
      <c r="BM117">
        <f t="shared" si="311"/>
        <v>-3.2358400000000009E-2</v>
      </c>
      <c r="BN117">
        <f t="shared" si="328"/>
        <v>-1.0901999999999995E-2</v>
      </c>
      <c r="BO117">
        <f t="shared" si="328"/>
        <v>-2.3383999999999995E-2</v>
      </c>
      <c r="BP117">
        <f t="shared" si="328"/>
        <v>-3.7446000000000007E-2</v>
      </c>
      <c r="BQ117">
        <f t="shared" si="328"/>
        <v>-5.3087999999999996E-2</v>
      </c>
      <c r="BR117">
        <f t="shared" si="328"/>
        <v>-7.0309999999999997E-2</v>
      </c>
      <c r="BS117">
        <f t="shared" si="328"/>
        <v>-8.9112000000000011E-2</v>
      </c>
    </row>
    <row r="118" spans="2:71" x14ac:dyDescent="0.35">
      <c r="B118" t="s">
        <v>160</v>
      </c>
      <c r="C118" s="19">
        <f>regions!B96</f>
        <v>40909194</v>
      </c>
      <c r="D118" s="19">
        <f>regions!C96</f>
        <v>23525253225.790203</v>
      </c>
      <c r="E118" s="8">
        <f>regions!D96</f>
        <v>575.06029636736923</v>
      </c>
      <c r="F118" s="1">
        <f>regions!Z96</f>
        <v>24.7</v>
      </c>
      <c r="G118" s="8"/>
      <c r="H118" s="8"/>
      <c r="I118">
        <f t="shared" si="301"/>
        <v>-0.34431799999999996</v>
      </c>
      <c r="J118">
        <f t="shared" si="329"/>
        <v>-1.3940000000000008E-2</v>
      </c>
      <c r="K118">
        <f t="shared" si="329"/>
        <v>-2.7880000000000016E-2</v>
      </c>
      <c r="L118">
        <f t="shared" si="329"/>
        <v>-4.1820000000000024E-2</v>
      </c>
      <c r="M118">
        <f t="shared" si="329"/>
        <v>-5.5760000000000032E-2</v>
      </c>
      <c r="N118">
        <f t="shared" si="329"/>
        <v>-6.9699999999999984E-2</v>
      </c>
      <c r="O118">
        <f t="shared" si="329"/>
        <v>-8.3639999999999992E-2</v>
      </c>
      <c r="P118">
        <f t="shared" si="302"/>
        <v>-0.24403599999999998</v>
      </c>
      <c r="Q118">
        <f t="shared" si="330"/>
        <v>-2.0160000000000067E-2</v>
      </c>
      <c r="R118">
        <f t="shared" si="330"/>
        <v>-4.1120000000000045E-2</v>
      </c>
      <c r="S118">
        <f t="shared" si="330"/>
        <v>-6.2880000000000047E-2</v>
      </c>
      <c r="T118">
        <f t="shared" si="330"/>
        <v>-8.5440000000000016E-2</v>
      </c>
      <c r="U118">
        <f t="shared" si="330"/>
        <v>-0.10880000000000001</v>
      </c>
      <c r="V118">
        <f t="shared" si="330"/>
        <v>-0.13296000000000002</v>
      </c>
      <c r="W118">
        <f t="shared" si="303"/>
        <v>-0.30504499999999996</v>
      </c>
      <c r="X118">
        <f t="shared" si="331"/>
        <v>-2.5200000000000056E-2</v>
      </c>
      <c r="Y118">
        <f t="shared" si="331"/>
        <v>-5.1400000000000057E-2</v>
      </c>
      <c r="Z118">
        <f t="shared" si="331"/>
        <v>-7.8600000000000059E-2</v>
      </c>
      <c r="AA118">
        <f t="shared" si="331"/>
        <v>-0.10680000000000001</v>
      </c>
      <c r="AB118">
        <f t="shared" si="331"/>
        <v>-0.13600000000000001</v>
      </c>
      <c r="AC118">
        <f t="shared" si="331"/>
        <v>-0.16620000000000007</v>
      </c>
      <c r="AD118">
        <f t="shared" si="304"/>
        <v>-0.27637076999999999</v>
      </c>
      <c r="AE118">
        <f t="shared" si="332"/>
        <v>-2.2831199999999996E-2</v>
      </c>
      <c r="AF118">
        <f t="shared" si="332"/>
        <v>-4.656840000000001E-2</v>
      </c>
      <c r="AG118">
        <f t="shared" si="332"/>
        <v>-7.1211599999999986E-2</v>
      </c>
      <c r="AH118">
        <f t="shared" si="332"/>
        <v>-9.676079999999998E-2</v>
      </c>
      <c r="AI118">
        <f t="shared" si="332"/>
        <v>-0.12321599999999999</v>
      </c>
      <c r="AJ118">
        <f t="shared" si="332"/>
        <v>-0.15057720000000002</v>
      </c>
      <c r="AK118">
        <f t="shared" si="305"/>
        <v>-0.31114589999999998</v>
      </c>
      <c r="AL118">
        <f t="shared" si="333"/>
        <v>-2.570400000000006E-2</v>
      </c>
      <c r="AM118">
        <f t="shared" si="333"/>
        <v>-5.242800000000003E-2</v>
      </c>
      <c r="AN118">
        <f t="shared" si="333"/>
        <v>-8.0172000000000021E-2</v>
      </c>
      <c r="AO118">
        <f t="shared" si="333"/>
        <v>-0.10893600000000003</v>
      </c>
      <c r="AP118">
        <f t="shared" si="333"/>
        <v>-0.13872000000000001</v>
      </c>
      <c r="AQ118">
        <f t="shared" si="333"/>
        <v>-0.16952400000000006</v>
      </c>
      <c r="AR118">
        <f t="shared" si="306"/>
        <v>-0.46427848999999993</v>
      </c>
      <c r="AS118">
        <f t="shared" si="334"/>
        <v>-3.8354400000000066E-2</v>
      </c>
      <c r="AT118">
        <f t="shared" si="334"/>
        <v>-7.8230799999999989E-2</v>
      </c>
      <c r="AU118">
        <f t="shared" si="334"/>
        <v>-0.11962920000000005</v>
      </c>
      <c r="AV118">
        <f t="shared" si="334"/>
        <v>-0.16254960000000002</v>
      </c>
      <c r="AW118">
        <f t="shared" si="334"/>
        <v>-0.20699200000000001</v>
      </c>
      <c r="AX118">
        <f t="shared" si="334"/>
        <v>-0.25295640000000003</v>
      </c>
      <c r="AY118">
        <f t="shared" si="307"/>
        <v>-0.12811889999999998</v>
      </c>
      <c r="AZ118">
        <f t="shared" si="308"/>
        <v>-1.0584000000000038E-2</v>
      </c>
      <c r="BA118">
        <f t="shared" si="308"/>
        <v>-2.1588000000000024E-2</v>
      </c>
      <c r="BB118">
        <f t="shared" si="308"/>
        <v>-3.3012000000000014E-2</v>
      </c>
      <c r="BC118">
        <f t="shared" si="308"/>
        <v>-4.4856000000000007E-2</v>
      </c>
      <c r="BD118">
        <f t="shared" si="308"/>
        <v>-5.7120000000000004E-2</v>
      </c>
      <c r="BE118">
        <f t="shared" si="308"/>
        <v>-6.9804000000000033E-2</v>
      </c>
      <c r="BF118">
        <f t="shared" si="309"/>
        <v>-0.15252249999999998</v>
      </c>
      <c r="BG118">
        <f t="shared" si="327"/>
        <v>-1.2600000000000028E-2</v>
      </c>
      <c r="BH118">
        <f t="shared" si="327"/>
        <v>-2.5700000000000028E-2</v>
      </c>
      <c r="BI118">
        <f t="shared" si="327"/>
        <v>-3.9300000000000029E-2</v>
      </c>
      <c r="BJ118">
        <f t="shared" si="327"/>
        <v>-5.3400000000000003E-2</v>
      </c>
      <c r="BK118">
        <f t="shared" si="327"/>
        <v>-6.8000000000000005E-2</v>
      </c>
      <c r="BL118">
        <f t="shared" si="327"/>
        <v>-8.3100000000000035E-2</v>
      </c>
      <c r="BM118">
        <f t="shared" si="311"/>
        <v>-0.48197109999999993</v>
      </c>
      <c r="BN118">
        <f t="shared" si="328"/>
        <v>-3.9816000000000129E-2</v>
      </c>
      <c r="BO118">
        <f t="shared" si="328"/>
        <v>-8.1212000000000117E-2</v>
      </c>
      <c r="BP118">
        <f t="shared" si="328"/>
        <v>-0.12418800000000002</v>
      </c>
      <c r="BQ118">
        <f t="shared" si="328"/>
        <v>-0.16874400000000006</v>
      </c>
      <c r="BR118">
        <f t="shared" si="328"/>
        <v>-0.21488000000000002</v>
      </c>
      <c r="BS118">
        <f t="shared" si="328"/>
        <v>-0.26259600000000011</v>
      </c>
    </row>
    <row r="119" spans="2:71" x14ac:dyDescent="0.35">
      <c r="B119" t="s">
        <v>378</v>
      </c>
      <c r="C119" s="19">
        <f>regions!B97</f>
        <v>97743</v>
      </c>
      <c r="D119" s="19">
        <f>regions!C97</f>
        <v>110681568.59474988</v>
      </c>
      <c r="E119" s="8">
        <f>regions!D97</f>
        <v>1132.3733525137338</v>
      </c>
      <c r="F119" s="1">
        <f>regions!Z97</f>
        <v>28.2</v>
      </c>
      <c r="G119" s="8"/>
      <c r="H119" s="8"/>
      <c r="I119">
        <f t="shared" si="301"/>
        <v>-0.39310799999999996</v>
      </c>
      <c r="J119">
        <f t="shared" si="329"/>
        <v>-1.3940000000000008E-2</v>
      </c>
      <c r="K119">
        <f t="shared" si="329"/>
        <v>-2.7880000000000016E-2</v>
      </c>
      <c r="L119">
        <f t="shared" si="329"/>
        <v>-4.1820000000000024E-2</v>
      </c>
      <c r="M119">
        <f t="shared" si="329"/>
        <v>-5.5760000000000032E-2</v>
      </c>
      <c r="N119">
        <f t="shared" si="329"/>
        <v>-6.970000000000004E-2</v>
      </c>
      <c r="O119">
        <f t="shared" si="329"/>
        <v>-8.3640000000000048E-2</v>
      </c>
      <c r="P119">
        <f t="shared" si="302"/>
        <v>-0.31809600000000005</v>
      </c>
      <c r="Q119">
        <f t="shared" si="330"/>
        <v>-2.295999999999998E-2</v>
      </c>
      <c r="R119">
        <f t="shared" si="330"/>
        <v>-4.6719999999999984E-2</v>
      </c>
      <c r="S119">
        <f t="shared" si="330"/>
        <v>-7.1279999999999955E-2</v>
      </c>
      <c r="T119">
        <f t="shared" si="330"/>
        <v>-9.6640000000000059E-2</v>
      </c>
      <c r="U119">
        <f t="shared" si="330"/>
        <v>-0.12280000000000008</v>
      </c>
      <c r="V119">
        <f t="shared" si="330"/>
        <v>-0.14976</v>
      </c>
      <c r="W119">
        <f t="shared" si="303"/>
        <v>-0.39762000000000003</v>
      </c>
      <c r="X119">
        <f t="shared" si="331"/>
        <v>-2.8699999999999948E-2</v>
      </c>
      <c r="Y119">
        <f t="shared" si="331"/>
        <v>-5.8399999999999952E-2</v>
      </c>
      <c r="Z119">
        <f t="shared" si="331"/>
        <v>-8.9099999999999957E-2</v>
      </c>
      <c r="AA119">
        <f t="shared" si="331"/>
        <v>-0.12080000000000007</v>
      </c>
      <c r="AB119">
        <f t="shared" si="331"/>
        <v>-0.15350000000000014</v>
      </c>
      <c r="AC119">
        <f t="shared" si="331"/>
        <v>-0.18720000000000009</v>
      </c>
      <c r="AD119">
        <f t="shared" si="304"/>
        <v>-0.36024371999999999</v>
      </c>
      <c r="AE119">
        <f t="shared" si="332"/>
        <v>-2.6002200000000031E-2</v>
      </c>
      <c r="AF119">
        <f t="shared" si="332"/>
        <v>-5.2910400000000024E-2</v>
      </c>
      <c r="AG119">
        <f t="shared" si="332"/>
        <v>-8.072459999999998E-2</v>
      </c>
      <c r="AH119">
        <f t="shared" si="332"/>
        <v>-0.10944480000000006</v>
      </c>
      <c r="AI119">
        <f t="shared" si="332"/>
        <v>-0.13907100000000011</v>
      </c>
      <c r="AJ119">
        <f t="shared" si="332"/>
        <v>-0.16960320000000001</v>
      </c>
      <c r="AK119">
        <f t="shared" si="305"/>
        <v>-0.40557240000000006</v>
      </c>
      <c r="AL119">
        <f t="shared" si="333"/>
        <v>-2.9273999999999967E-2</v>
      </c>
      <c r="AM119">
        <f t="shared" si="333"/>
        <v>-5.9567999999999954E-2</v>
      </c>
      <c r="AN119">
        <f t="shared" si="333"/>
        <v>-9.0881999999999963E-2</v>
      </c>
      <c r="AO119">
        <f t="shared" si="333"/>
        <v>-0.1232160000000001</v>
      </c>
      <c r="AP119">
        <f t="shared" si="333"/>
        <v>-0.1565700000000001</v>
      </c>
      <c r="AQ119">
        <f t="shared" si="333"/>
        <v>-0.190944</v>
      </c>
      <c r="AR119">
        <f t="shared" si="306"/>
        <v>-0.60517763999999996</v>
      </c>
      <c r="AS119">
        <f t="shared" si="334"/>
        <v>-4.3681399999999981E-2</v>
      </c>
      <c r="AT119">
        <f t="shared" si="334"/>
        <v>-8.8884799999999986E-2</v>
      </c>
      <c r="AU119">
        <f t="shared" si="334"/>
        <v>-0.1356101999999999</v>
      </c>
      <c r="AV119">
        <f t="shared" si="334"/>
        <v>-0.18385760000000007</v>
      </c>
      <c r="AW119">
        <f t="shared" si="334"/>
        <v>-0.23362700000000014</v>
      </c>
      <c r="AX119">
        <f t="shared" si="334"/>
        <v>-0.28491840000000002</v>
      </c>
      <c r="AY119">
        <f t="shared" si="307"/>
        <v>-0.16700040000000002</v>
      </c>
      <c r="AZ119">
        <f t="shared" si="308"/>
        <v>-1.2053999999999981E-2</v>
      </c>
      <c r="BA119">
        <f t="shared" si="308"/>
        <v>-2.4527999999999966E-2</v>
      </c>
      <c r="BB119">
        <f t="shared" si="308"/>
        <v>-3.7421999999999983E-2</v>
      </c>
      <c r="BC119">
        <f t="shared" si="308"/>
        <v>-5.0736000000000031E-2</v>
      </c>
      <c r="BD119">
        <f t="shared" si="308"/>
        <v>-6.4470000000000027E-2</v>
      </c>
      <c r="BE119">
        <f t="shared" si="308"/>
        <v>-7.8623999999999999E-2</v>
      </c>
      <c r="BF119">
        <f t="shared" si="309"/>
        <v>-0.19881000000000001</v>
      </c>
      <c r="BG119">
        <f t="shared" si="327"/>
        <v>-1.4349999999999974E-2</v>
      </c>
      <c r="BH119">
        <f t="shared" si="327"/>
        <v>-2.9199999999999976E-2</v>
      </c>
      <c r="BI119">
        <f t="shared" si="327"/>
        <v>-4.4549999999999979E-2</v>
      </c>
      <c r="BJ119">
        <f t="shared" si="327"/>
        <v>-6.0400000000000037E-2</v>
      </c>
      <c r="BK119">
        <f t="shared" si="327"/>
        <v>-7.6750000000000068E-2</v>
      </c>
      <c r="BL119">
        <f t="shared" si="327"/>
        <v>-9.3600000000000044E-2</v>
      </c>
      <c r="BM119">
        <f t="shared" si="311"/>
        <v>-0.62823960000000001</v>
      </c>
      <c r="BN119">
        <f t="shared" si="328"/>
        <v>-4.5345999999999997E-2</v>
      </c>
      <c r="BO119">
        <f t="shared" si="328"/>
        <v>-9.2272000000000021E-2</v>
      </c>
      <c r="BP119">
        <f t="shared" si="328"/>
        <v>-0.14077799999999996</v>
      </c>
      <c r="BQ119">
        <f t="shared" si="328"/>
        <v>-0.19086400000000014</v>
      </c>
      <c r="BR119">
        <f t="shared" si="328"/>
        <v>-0.24253000000000025</v>
      </c>
      <c r="BS119">
        <f t="shared" si="328"/>
        <v>-0.29577600000000004</v>
      </c>
    </row>
    <row r="120" spans="2:71" x14ac:dyDescent="0.35">
      <c r="B120" t="s">
        <v>379</v>
      </c>
      <c r="C120" s="19">
        <f>regions!B98</f>
        <v>1775680</v>
      </c>
      <c r="D120" s="19">
        <f>regions!C98</f>
        <v>4776327556.26161</v>
      </c>
      <c r="E120" s="8">
        <f>regions!D98</f>
        <v>2689.8582831712979</v>
      </c>
      <c r="F120" s="1">
        <f>regions!Z98</f>
        <v>9.9</v>
      </c>
      <c r="G120" s="8"/>
      <c r="H120" s="8"/>
      <c r="I120">
        <f t="shared" si="301"/>
        <v>-0.13800599999999999</v>
      </c>
      <c r="J120">
        <f t="shared" si="329"/>
        <v>-1.3940000000000008E-2</v>
      </c>
      <c r="K120">
        <f t="shared" si="329"/>
        <v>-2.7880000000000016E-2</v>
      </c>
      <c r="L120">
        <f t="shared" si="329"/>
        <v>-4.1819999999999996E-2</v>
      </c>
      <c r="M120">
        <f t="shared" si="329"/>
        <v>-5.5760000000000004E-2</v>
      </c>
      <c r="N120">
        <f t="shared" si="329"/>
        <v>-6.9700000000000012E-2</v>
      </c>
      <c r="O120">
        <f t="shared" si="329"/>
        <v>-8.3639999999999992E-2</v>
      </c>
      <c r="P120">
        <f t="shared" si="302"/>
        <v>-3.9204000000000003E-2</v>
      </c>
      <c r="Q120">
        <f t="shared" si="330"/>
        <v>-8.320000000000001E-3</v>
      </c>
      <c r="R120">
        <f t="shared" si="330"/>
        <v>-1.7440000000000004E-2</v>
      </c>
      <c r="S120">
        <f t="shared" si="330"/>
        <v>-2.7359999999999995E-2</v>
      </c>
      <c r="T120">
        <f t="shared" si="330"/>
        <v>-3.8080000000000003E-2</v>
      </c>
      <c r="U120">
        <f t="shared" si="330"/>
        <v>-4.9600000000000005E-2</v>
      </c>
      <c r="V120">
        <f t="shared" si="330"/>
        <v>-6.1920000000000003E-2</v>
      </c>
      <c r="W120">
        <f t="shared" si="303"/>
        <v>-4.9005000000000007E-2</v>
      </c>
      <c r="X120">
        <f t="shared" si="331"/>
        <v>-1.0399999999999993E-2</v>
      </c>
      <c r="Y120">
        <f t="shared" si="331"/>
        <v>-2.18E-2</v>
      </c>
      <c r="Z120">
        <f t="shared" si="331"/>
        <v>-3.4199999999999994E-2</v>
      </c>
      <c r="AA120">
        <f t="shared" si="331"/>
        <v>-4.7600000000000003E-2</v>
      </c>
      <c r="AB120">
        <f t="shared" si="331"/>
        <v>-6.2E-2</v>
      </c>
      <c r="AC120">
        <f t="shared" si="331"/>
        <v>-7.740000000000001E-2</v>
      </c>
      <c r="AD120">
        <f t="shared" si="304"/>
        <v>-4.4398530000000005E-2</v>
      </c>
      <c r="AE120">
        <f t="shared" si="332"/>
        <v>-9.4223999999999974E-3</v>
      </c>
      <c r="AF120">
        <f t="shared" si="332"/>
        <v>-1.9750799999999999E-2</v>
      </c>
      <c r="AG120">
        <f t="shared" si="332"/>
        <v>-3.0985199999999991E-2</v>
      </c>
      <c r="AH120">
        <f t="shared" si="332"/>
        <v>-4.31256E-2</v>
      </c>
      <c r="AI120">
        <f t="shared" si="332"/>
        <v>-5.6172E-2</v>
      </c>
      <c r="AJ120">
        <f t="shared" si="332"/>
        <v>-7.0124400000000003E-2</v>
      </c>
      <c r="AK120">
        <f t="shared" si="305"/>
        <v>-4.9985100000000005E-2</v>
      </c>
      <c r="AL120">
        <f t="shared" si="333"/>
        <v>-1.0607999999999999E-2</v>
      </c>
      <c r="AM120">
        <f t="shared" si="333"/>
        <v>-2.2236000000000006E-2</v>
      </c>
      <c r="AN120">
        <f t="shared" si="333"/>
        <v>-3.4883999999999998E-2</v>
      </c>
      <c r="AO120">
        <f t="shared" si="333"/>
        <v>-4.8552000000000012E-2</v>
      </c>
      <c r="AP120">
        <f t="shared" si="333"/>
        <v>-6.3240000000000018E-2</v>
      </c>
      <c r="AQ120">
        <f t="shared" si="333"/>
        <v>-7.8948000000000018E-2</v>
      </c>
      <c r="AR120">
        <f t="shared" si="306"/>
        <v>-7.4585609999999997E-2</v>
      </c>
      <c r="AS120">
        <f t="shared" si="334"/>
        <v>-1.5828800000000004E-2</v>
      </c>
      <c r="AT120">
        <f t="shared" si="334"/>
        <v>-3.3179600000000004E-2</v>
      </c>
      <c r="AU120">
        <f t="shared" si="334"/>
        <v>-5.2052399999999999E-2</v>
      </c>
      <c r="AV120">
        <f t="shared" si="334"/>
        <v>-7.2447199999999989E-2</v>
      </c>
      <c r="AW120">
        <f t="shared" si="334"/>
        <v>-9.4364000000000003E-2</v>
      </c>
      <c r="AX120">
        <f t="shared" si="334"/>
        <v>-0.11780279999999999</v>
      </c>
      <c r="AY120">
        <f t="shared" si="307"/>
        <v>-2.0582100000000002E-2</v>
      </c>
      <c r="AZ120">
        <f t="shared" si="308"/>
        <v>-4.3680000000000004E-3</v>
      </c>
      <c r="BA120">
        <f t="shared" si="308"/>
        <v>-9.1560000000000009E-3</v>
      </c>
      <c r="BB120">
        <f t="shared" si="308"/>
        <v>-1.4363999999999998E-2</v>
      </c>
      <c r="BC120">
        <f t="shared" si="308"/>
        <v>-1.9991999999999999E-2</v>
      </c>
      <c r="BD120">
        <f t="shared" si="308"/>
        <v>-2.6040000000000004E-2</v>
      </c>
      <c r="BE120">
        <f t="shared" si="308"/>
        <v>-3.2507999999999995E-2</v>
      </c>
      <c r="BF120">
        <f t="shared" si="309"/>
        <v>-2.4502500000000003E-2</v>
      </c>
      <c r="BG120">
        <f t="shared" si="327"/>
        <v>-5.1999999999999963E-3</v>
      </c>
      <c r="BH120">
        <f t="shared" si="327"/>
        <v>-1.09E-2</v>
      </c>
      <c r="BI120">
        <f t="shared" si="327"/>
        <v>-1.7099999999999997E-2</v>
      </c>
      <c r="BJ120">
        <f t="shared" si="327"/>
        <v>-2.3800000000000002E-2</v>
      </c>
      <c r="BK120">
        <f t="shared" si="327"/>
        <v>-3.1E-2</v>
      </c>
      <c r="BL120">
        <f t="shared" si="327"/>
        <v>-3.8700000000000005E-2</v>
      </c>
      <c r="BM120">
        <f t="shared" si="311"/>
        <v>-7.7427900000000008E-2</v>
      </c>
      <c r="BN120">
        <f t="shared" si="328"/>
        <v>-1.6432000000000002E-2</v>
      </c>
      <c r="BO120">
        <f t="shared" si="328"/>
        <v>-3.4444000000000002E-2</v>
      </c>
      <c r="BP120">
        <f t="shared" si="328"/>
        <v>-5.4035999999999987E-2</v>
      </c>
      <c r="BQ120">
        <f t="shared" si="328"/>
        <v>-7.5208000000000011E-2</v>
      </c>
      <c r="BR120">
        <f t="shared" si="328"/>
        <v>-9.7960000000000005E-2</v>
      </c>
      <c r="BS120">
        <f t="shared" si="328"/>
        <v>-0.122292</v>
      </c>
    </row>
    <row r="121" spans="2:71" x14ac:dyDescent="0.35">
      <c r="B121" t="s">
        <v>380</v>
      </c>
      <c r="C121" s="19">
        <f>regions!B99</f>
        <v>2991580</v>
      </c>
      <c r="D121" s="19">
        <f>regions!C99</f>
        <v>85606896366.229919</v>
      </c>
      <c r="E121" s="8">
        <f>regions!D99</f>
        <v>28615.94754819524</v>
      </c>
      <c r="F121" s="1">
        <f>regions!Z99</f>
        <v>25.3</v>
      </c>
      <c r="G121" s="8"/>
      <c r="H121" s="8"/>
      <c r="I121">
        <f t="shared" si="301"/>
        <v>0</v>
      </c>
      <c r="J121">
        <f t="shared" si="329"/>
        <v>0</v>
      </c>
      <c r="K121">
        <f t="shared" si="329"/>
        <v>0</v>
      </c>
      <c r="L121">
        <f t="shared" si="329"/>
        <v>0</v>
      </c>
      <c r="M121">
        <f t="shared" si="329"/>
        <v>0</v>
      </c>
      <c r="N121">
        <f t="shared" si="329"/>
        <v>0</v>
      </c>
      <c r="O121">
        <f t="shared" si="329"/>
        <v>0</v>
      </c>
      <c r="P121">
        <f t="shared" si="302"/>
        <v>-0.25603600000000004</v>
      </c>
      <c r="Q121">
        <f t="shared" si="330"/>
        <v>-2.0639999999999992E-2</v>
      </c>
      <c r="R121">
        <f t="shared" si="330"/>
        <v>-4.2080000000000006E-2</v>
      </c>
      <c r="S121">
        <f t="shared" si="330"/>
        <v>-6.4319999999999988E-2</v>
      </c>
      <c r="T121">
        <f t="shared" si="330"/>
        <v>-8.7359999999999993E-2</v>
      </c>
      <c r="U121">
        <f t="shared" si="330"/>
        <v>-0.11119999999999997</v>
      </c>
      <c r="V121">
        <f t="shared" si="330"/>
        <v>-0.13584000000000002</v>
      </c>
      <c r="W121">
        <f t="shared" si="303"/>
        <v>-0.32004500000000002</v>
      </c>
      <c r="X121">
        <f t="shared" si="331"/>
        <v>-2.579999999999999E-2</v>
      </c>
      <c r="Y121">
        <f t="shared" si="331"/>
        <v>-5.2600000000000036E-2</v>
      </c>
      <c r="Z121">
        <f t="shared" si="331"/>
        <v>-8.0399999999999971E-2</v>
      </c>
      <c r="AA121">
        <f t="shared" si="331"/>
        <v>-0.10919999999999996</v>
      </c>
      <c r="AB121">
        <f t="shared" si="331"/>
        <v>-0.13900000000000001</v>
      </c>
      <c r="AC121">
        <f t="shared" si="331"/>
        <v>-0.16980000000000001</v>
      </c>
      <c r="AD121">
        <f t="shared" si="304"/>
        <v>-0.28996077000000003</v>
      </c>
      <c r="AE121">
        <f t="shared" si="332"/>
        <v>-2.3374799999999973E-2</v>
      </c>
      <c r="AF121">
        <f t="shared" si="332"/>
        <v>-4.765560000000002E-2</v>
      </c>
      <c r="AG121">
        <f t="shared" si="332"/>
        <v>-7.2842399999999974E-2</v>
      </c>
      <c r="AH121">
        <f t="shared" si="332"/>
        <v>-9.8935200000000001E-2</v>
      </c>
      <c r="AI121">
        <f t="shared" si="332"/>
        <v>-0.12593399999999999</v>
      </c>
      <c r="AJ121">
        <f t="shared" si="332"/>
        <v>-0.1538388</v>
      </c>
      <c r="AK121">
        <f t="shared" si="305"/>
        <v>-0.32644590000000007</v>
      </c>
      <c r="AL121">
        <f t="shared" si="333"/>
        <v>-2.6316000000000006E-2</v>
      </c>
      <c r="AM121">
        <f t="shared" si="333"/>
        <v>-5.3651999999999977E-2</v>
      </c>
      <c r="AN121">
        <f t="shared" si="333"/>
        <v>-8.200799999999997E-2</v>
      </c>
      <c r="AO121">
        <f t="shared" si="333"/>
        <v>-0.11138399999999998</v>
      </c>
      <c r="AP121">
        <f t="shared" si="333"/>
        <v>-0.14177999999999996</v>
      </c>
      <c r="AQ121">
        <f t="shared" si="333"/>
        <v>-0.17319600000000002</v>
      </c>
      <c r="AR121">
        <f t="shared" si="306"/>
        <v>-0.48710849000000001</v>
      </c>
      <c r="AS121">
        <f t="shared" si="334"/>
        <v>-3.9267599999999958E-2</v>
      </c>
      <c r="AT121">
        <f t="shared" si="334"/>
        <v>-8.0057200000000051E-2</v>
      </c>
      <c r="AU121">
        <f t="shared" si="334"/>
        <v>-0.12236879999999994</v>
      </c>
      <c r="AV121">
        <f t="shared" si="334"/>
        <v>-0.16620239999999997</v>
      </c>
      <c r="AW121">
        <f t="shared" si="334"/>
        <v>-0.21155800000000002</v>
      </c>
      <c r="AX121">
        <f t="shared" si="334"/>
        <v>-0.25843559999999999</v>
      </c>
      <c r="AY121">
        <f t="shared" si="307"/>
        <v>-0.13441890000000001</v>
      </c>
      <c r="AZ121">
        <f t="shared" si="308"/>
        <v>-1.0836000000000012E-2</v>
      </c>
      <c r="BA121">
        <f t="shared" si="308"/>
        <v>-2.2092000000000028E-2</v>
      </c>
      <c r="BB121">
        <f t="shared" si="308"/>
        <v>-3.3767999999999992E-2</v>
      </c>
      <c r="BC121">
        <f t="shared" si="308"/>
        <v>-4.5863999999999988E-2</v>
      </c>
      <c r="BD121">
        <f t="shared" si="308"/>
        <v>-5.8380000000000015E-2</v>
      </c>
      <c r="BE121">
        <f t="shared" si="308"/>
        <v>-7.1316000000000018E-2</v>
      </c>
      <c r="BF121">
        <f t="shared" si="309"/>
        <v>-0.16002250000000001</v>
      </c>
      <c r="BG121">
        <f t="shared" si="327"/>
        <v>-1.2899999999999995E-2</v>
      </c>
      <c r="BH121">
        <f t="shared" si="327"/>
        <v>-2.6300000000000018E-2</v>
      </c>
      <c r="BI121">
        <f t="shared" si="327"/>
        <v>-4.0199999999999986E-2</v>
      </c>
      <c r="BJ121">
        <f t="shared" si="327"/>
        <v>-5.4599999999999982E-2</v>
      </c>
      <c r="BK121">
        <f t="shared" si="327"/>
        <v>-6.9500000000000006E-2</v>
      </c>
      <c r="BL121">
        <f t="shared" si="327"/>
        <v>-8.4900000000000003E-2</v>
      </c>
      <c r="BM121">
        <f t="shared" si="311"/>
        <v>-0.50567110000000004</v>
      </c>
      <c r="BN121">
        <f t="shared" si="328"/>
        <v>-4.0764000000000022E-2</v>
      </c>
      <c r="BO121">
        <f t="shared" si="328"/>
        <v>-8.3108000000000071E-2</v>
      </c>
      <c r="BP121">
        <f t="shared" si="328"/>
        <v>-0.12703199999999992</v>
      </c>
      <c r="BQ121">
        <f t="shared" si="328"/>
        <v>-0.17253600000000002</v>
      </c>
      <c r="BR121">
        <f t="shared" si="328"/>
        <v>-0.21962000000000004</v>
      </c>
      <c r="BS121">
        <f t="shared" si="328"/>
        <v>-0.26828399999999997</v>
      </c>
    </row>
    <row r="122" spans="2:71" x14ac:dyDescent="0.35">
      <c r="B122" t="s">
        <v>252</v>
      </c>
      <c r="C122" s="19">
        <f>regions!B100</f>
        <v>5447900</v>
      </c>
      <c r="D122" s="19">
        <f>regions!C100</f>
        <v>3055806771.435782</v>
      </c>
      <c r="E122" s="8">
        <f>regions!D100</f>
        <v>560.91462241153135</v>
      </c>
      <c r="F122" s="1">
        <f>regions!Z100</f>
        <v>1.6</v>
      </c>
      <c r="G122" s="8"/>
      <c r="H122" s="8"/>
      <c r="I122">
        <f t="shared" ref="I122:I153" si="335">IF(E122&lt;E$24,$D$11*$F122,0)</f>
        <v>-2.2304000000000001E-2</v>
      </c>
      <c r="J122">
        <f t="shared" si="329"/>
        <v>-1.3939999999999998E-2</v>
      </c>
      <c r="K122">
        <f t="shared" si="329"/>
        <v>-2.7879999999999999E-2</v>
      </c>
      <c r="L122">
        <f t="shared" si="329"/>
        <v>-4.1819999999999982E-2</v>
      </c>
      <c r="M122">
        <f t="shared" si="329"/>
        <v>-5.575999999999999E-2</v>
      </c>
      <c r="N122">
        <f t="shared" si="329"/>
        <v>-6.9699999999999984E-2</v>
      </c>
      <c r="O122">
        <f t="shared" si="329"/>
        <v>-8.3639999999999978E-2</v>
      </c>
      <c r="P122">
        <f t="shared" ref="P122:P153" si="336">$D$13*$F122^2</f>
        <v>-1.0240000000000002E-3</v>
      </c>
      <c r="Q122">
        <f t="shared" si="330"/>
        <v>-1.6800000000000001E-3</v>
      </c>
      <c r="R122">
        <f t="shared" si="330"/>
        <v>-4.1600000000000005E-3</v>
      </c>
      <c r="S122">
        <f t="shared" si="330"/>
        <v>-7.4399999999999987E-3</v>
      </c>
      <c r="T122">
        <f t="shared" si="330"/>
        <v>-1.1519999999999999E-2</v>
      </c>
      <c r="U122">
        <f t="shared" si="330"/>
        <v>-1.6399999999999998E-2</v>
      </c>
      <c r="V122">
        <f t="shared" si="330"/>
        <v>-2.2079999999999999E-2</v>
      </c>
      <c r="W122">
        <f t="shared" ref="W122:W153" si="337">$D$15*$F122^2</f>
        <v>-1.2800000000000003E-3</v>
      </c>
      <c r="X122">
        <f t="shared" si="331"/>
        <v>-2.0999999999999999E-3</v>
      </c>
      <c r="Y122">
        <f t="shared" si="331"/>
        <v>-5.1999999999999998E-3</v>
      </c>
      <c r="Z122">
        <f t="shared" si="331"/>
        <v>-9.2999999999999992E-3</v>
      </c>
      <c r="AA122">
        <f t="shared" si="331"/>
        <v>-1.44E-2</v>
      </c>
      <c r="AB122">
        <f t="shared" si="331"/>
        <v>-2.0499999999999997E-2</v>
      </c>
      <c r="AC122">
        <f t="shared" si="331"/>
        <v>-2.76E-2</v>
      </c>
      <c r="AD122">
        <f t="shared" ref="AD122:AD153" si="338">$D$10*$F122^2</f>
        <v>-1.1596800000000002E-3</v>
      </c>
      <c r="AE122">
        <f t="shared" si="332"/>
        <v>-1.9026000000000004E-3</v>
      </c>
      <c r="AF122">
        <f t="shared" si="332"/>
        <v>-4.7112000000000005E-3</v>
      </c>
      <c r="AG122">
        <f t="shared" si="332"/>
        <v>-8.4257999999999989E-3</v>
      </c>
      <c r="AH122">
        <f t="shared" si="332"/>
        <v>-1.3046399999999998E-2</v>
      </c>
      <c r="AI122">
        <f t="shared" si="332"/>
        <v>-1.8572999999999999E-2</v>
      </c>
      <c r="AJ122">
        <f t="shared" si="332"/>
        <v>-2.5005599999999999E-2</v>
      </c>
      <c r="AK122">
        <f t="shared" ref="AK122:AK153" si="339">$D$17*$F122^2</f>
        <v>-1.3056000000000003E-3</v>
      </c>
      <c r="AL122">
        <f t="shared" si="333"/>
        <v>-2.1420000000000007E-3</v>
      </c>
      <c r="AM122">
        <f t="shared" si="333"/>
        <v>-5.3040000000000006E-3</v>
      </c>
      <c r="AN122">
        <f t="shared" si="333"/>
        <v>-9.4859999999999979E-3</v>
      </c>
      <c r="AO122">
        <f t="shared" si="333"/>
        <v>-1.4688E-2</v>
      </c>
      <c r="AP122">
        <f t="shared" si="333"/>
        <v>-2.0909999999999998E-2</v>
      </c>
      <c r="AQ122">
        <f t="shared" si="333"/>
        <v>-2.8152E-2</v>
      </c>
      <c r="AR122">
        <f t="shared" ref="AR122:AR153" si="340">$D$8*$F122^2</f>
        <v>-1.9481600000000002E-3</v>
      </c>
      <c r="AS122">
        <f t="shared" si="334"/>
        <v>-3.1962000000000006E-3</v>
      </c>
      <c r="AT122">
        <f t="shared" si="334"/>
        <v>-7.9143999999999985E-3</v>
      </c>
      <c r="AU122">
        <f t="shared" si="334"/>
        <v>-1.4154599999999996E-2</v>
      </c>
      <c r="AV122">
        <f t="shared" si="334"/>
        <v>-2.1916799999999993E-2</v>
      </c>
      <c r="AW122">
        <f t="shared" si="334"/>
        <v>-3.1200999999999996E-2</v>
      </c>
      <c r="AX122">
        <f t="shared" si="334"/>
        <v>-4.2007200000000001E-2</v>
      </c>
      <c r="AY122">
        <f t="shared" si="307"/>
        <v>-5.3760000000000017E-4</v>
      </c>
      <c r="AZ122">
        <f t="shared" si="308"/>
        <v>-8.8200000000000008E-4</v>
      </c>
      <c r="BA122">
        <f t="shared" si="308"/>
        <v>-2.1840000000000002E-3</v>
      </c>
      <c r="BB122">
        <f t="shared" si="308"/>
        <v>-3.9059999999999997E-3</v>
      </c>
      <c r="BC122">
        <f t="shared" si="308"/>
        <v>-6.0479999999999996E-3</v>
      </c>
      <c r="BD122">
        <f t="shared" si="308"/>
        <v>-8.6099999999999979E-3</v>
      </c>
      <c r="BE122">
        <f t="shared" si="308"/>
        <v>-1.1592E-2</v>
      </c>
      <c r="BF122">
        <f t="shared" si="309"/>
        <v>-6.4000000000000016E-4</v>
      </c>
      <c r="BG122">
        <f t="shared" si="327"/>
        <v>-1.0499999999999999E-3</v>
      </c>
      <c r="BH122">
        <f t="shared" si="327"/>
        <v>-2.5999999999999999E-3</v>
      </c>
      <c r="BI122">
        <f t="shared" si="327"/>
        <v>-4.6499999999999996E-3</v>
      </c>
      <c r="BJ122">
        <f t="shared" si="327"/>
        <v>-7.1999999999999998E-3</v>
      </c>
      <c r="BK122">
        <f t="shared" si="327"/>
        <v>-1.0249999999999999E-2</v>
      </c>
      <c r="BL122">
        <f t="shared" si="327"/>
        <v>-1.38E-2</v>
      </c>
      <c r="BM122">
        <f t="shared" si="311"/>
        <v>-2.0224000000000006E-3</v>
      </c>
      <c r="BN122">
        <f t="shared" si="328"/>
        <v>-3.3179999999999998E-3</v>
      </c>
      <c r="BO122">
        <f t="shared" si="328"/>
        <v>-8.2160000000000011E-3</v>
      </c>
      <c r="BP122">
        <f t="shared" si="328"/>
        <v>-1.4693999999999995E-2</v>
      </c>
      <c r="BQ122">
        <f t="shared" si="328"/>
        <v>-2.2751999999999998E-2</v>
      </c>
      <c r="BR122">
        <f t="shared" si="328"/>
        <v>-3.2389999999999995E-2</v>
      </c>
      <c r="BS122">
        <f t="shared" si="328"/>
        <v>-4.3608000000000001E-2</v>
      </c>
    </row>
    <row r="123" spans="2:71" x14ac:dyDescent="0.35">
      <c r="B123" t="s">
        <v>381</v>
      </c>
      <c r="C123" s="19">
        <f>regions!B101</f>
        <v>6395713</v>
      </c>
      <c r="D123" s="19">
        <f>regions!C101</f>
        <v>4021824831.5087829</v>
      </c>
      <c r="E123" s="8">
        <f>regions!D101</f>
        <v>628.83134867195929</v>
      </c>
      <c r="F123" s="1">
        <f>regions!Z101</f>
        <v>22.7</v>
      </c>
      <c r="G123" s="8"/>
      <c r="H123" s="8"/>
      <c r="I123">
        <f t="shared" si="335"/>
        <v>-0.316438</v>
      </c>
      <c r="J123">
        <f t="shared" si="329"/>
        <v>-1.3939999999999952E-2</v>
      </c>
      <c r="K123">
        <f t="shared" si="329"/>
        <v>-2.787999999999996E-2</v>
      </c>
      <c r="L123">
        <f t="shared" si="329"/>
        <v>-4.1819999999999968E-2</v>
      </c>
      <c r="M123">
        <f t="shared" si="329"/>
        <v>-5.5759999999999976E-2</v>
      </c>
      <c r="N123">
        <f t="shared" si="329"/>
        <v>-6.9699999999999984E-2</v>
      </c>
      <c r="O123">
        <f t="shared" si="329"/>
        <v>-8.3639999999999992E-2</v>
      </c>
      <c r="P123">
        <f t="shared" si="336"/>
        <v>-0.20611599999999999</v>
      </c>
      <c r="Q123">
        <f t="shared" si="330"/>
        <v>-1.8559999999999993E-2</v>
      </c>
      <c r="R123">
        <f t="shared" si="330"/>
        <v>-3.7919999999999981E-2</v>
      </c>
      <c r="S123">
        <f t="shared" si="330"/>
        <v>-5.8080000000000048E-2</v>
      </c>
      <c r="T123">
        <f t="shared" si="330"/>
        <v>-7.9040000000000027E-2</v>
      </c>
      <c r="U123">
        <f t="shared" si="330"/>
        <v>-0.10080000000000003</v>
      </c>
      <c r="V123">
        <f t="shared" si="330"/>
        <v>-0.12336</v>
      </c>
      <c r="W123">
        <f t="shared" si="337"/>
        <v>-0.25764500000000001</v>
      </c>
      <c r="X123">
        <f t="shared" si="331"/>
        <v>-2.3199999999999943E-2</v>
      </c>
      <c r="Y123">
        <f t="shared" si="331"/>
        <v>-4.7399999999999942E-2</v>
      </c>
      <c r="Z123">
        <f t="shared" si="331"/>
        <v>-7.2599999999999998E-2</v>
      </c>
      <c r="AA123">
        <f t="shared" si="331"/>
        <v>-9.8799999999999999E-2</v>
      </c>
      <c r="AB123">
        <f t="shared" si="331"/>
        <v>-0.126</v>
      </c>
      <c r="AC123">
        <f t="shared" si="331"/>
        <v>-0.15419999999999995</v>
      </c>
      <c r="AD123">
        <f t="shared" si="338"/>
        <v>-0.23342636999999999</v>
      </c>
      <c r="AE123">
        <f t="shared" si="332"/>
        <v>-2.101919999999996E-2</v>
      </c>
      <c r="AF123">
        <f t="shared" si="332"/>
        <v>-4.2944399999999994E-2</v>
      </c>
      <c r="AG123">
        <f t="shared" si="332"/>
        <v>-6.577559999999999E-2</v>
      </c>
      <c r="AH123">
        <f t="shared" si="332"/>
        <v>-8.9512800000000003E-2</v>
      </c>
      <c r="AI123">
        <f t="shared" si="332"/>
        <v>-0.11415599999999998</v>
      </c>
      <c r="AJ123">
        <f t="shared" si="332"/>
        <v>-0.13970519999999997</v>
      </c>
      <c r="AK123">
        <f t="shared" si="339"/>
        <v>-0.26279789999999997</v>
      </c>
      <c r="AL123">
        <f t="shared" si="333"/>
        <v>-2.3664000000000018E-2</v>
      </c>
      <c r="AM123">
        <f t="shared" si="333"/>
        <v>-4.8348000000000002E-2</v>
      </c>
      <c r="AN123">
        <f t="shared" si="333"/>
        <v>-7.4052000000000062E-2</v>
      </c>
      <c r="AO123">
        <f t="shared" si="333"/>
        <v>-0.10077600000000003</v>
      </c>
      <c r="AP123">
        <f t="shared" si="333"/>
        <v>-0.12852000000000002</v>
      </c>
      <c r="AQ123">
        <f t="shared" si="333"/>
        <v>-0.15728400000000003</v>
      </c>
      <c r="AR123">
        <f t="shared" si="340"/>
        <v>-0.39213568999999993</v>
      </c>
      <c r="AS123">
        <f t="shared" si="334"/>
        <v>-3.531040000000002E-2</v>
      </c>
      <c r="AT123">
        <f t="shared" si="334"/>
        <v>-7.2142800000000007E-2</v>
      </c>
      <c r="AU123">
        <f t="shared" si="334"/>
        <v>-0.11049720000000007</v>
      </c>
      <c r="AV123">
        <f t="shared" si="334"/>
        <v>-0.1503736</v>
      </c>
      <c r="AW123">
        <f t="shared" si="334"/>
        <v>-0.19177200000000005</v>
      </c>
      <c r="AX123">
        <f t="shared" si="334"/>
        <v>-0.23469240000000002</v>
      </c>
      <c r="AY123">
        <f t="shared" si="307"/>
        <v>-0.1082109</v>
      </c>
      <c r="AZ123">
        <f t="shared" ref="AZ123:BE154" si="341">$D$19*($F123+AZ$25)^2-$AY123</f>
        <v>-9.7439999999999888E-3</v>
      </c>
      <c r="BA123">
        <f t="shared" si="341"/>
        <v>-1.9907999999999981E-2</v>
      </c>
      <c r="BB123">
        <f t="shared" si="341"/>
        <v>-3.0492000000000019E-2</v>
      </c>
      <c r="BC123">
        <f t="shared" si="341"/>
        <v>-4.1496000000000005E-2</v>
      </c>
      <c r="BD123">
        <f t="shared" si="341"/>
        <v>-5.2919999999999995E-2</v>
      </c>
      <c r="BE123">
        <f t="shared" si="341"/>
        <v>-6.4763999999999988E-2</v>
      </c>
      <c r="BF123">
        <f t="shared" si="309"/>
        <v>-0.12882250000000001</v>
      </c>
      <c r="BG123">
        <f t="shared" ref="BG123:BL138" si="342">$D$21*($F123+BG$25)^2-$BF123</f>
        <v>-1.1599999999999971E-2</v>
      </c>
      <c r="BH123">
        <f t="shared" si="342"/>
        <v>-2.3699999999999971E-2</v>
      </c>
      <c r="BI123">
        <f t="shared" si="342"/>
        <v>-3.6299999999999999E-2</v>
      </c>
      <c r="BJ123">
        <f t="shared" si="342"/>
        <v>-4.9399999999999999E-2</v>
      </c>
      <c r="BK123">
        <f t="shared" si="342"/>
        <v>-6.3E-2</v>
      </c>
      <c r="BL123">
        <f t="shared" si="342"/>
        <v>-7.7099999999999974E-2</v>
      </c>
      <c r="BM123">
        <f t="shared" si="311"/>
        <v>-0.40707909999999997</v>
      </c>
      <c r="BN123">
        <f t="shared" ref="BN123:BS138" si="343">$D$23*($F123+BN$25)^2-$BM123</f>
        <v>-3.6655999999999966E-2</v>
      </c>
      <c r="BO123">
        <f t="shared" si="343"/>
        <v>-7.4891999999999959E-2</v>
      </c>
      <c r="BP123">
        <f t="shared" si="343"/>
        <v>-0.11470800000000009</v>
      </c>
      <c r="BQ123">
        <f t="shared" si="343"/>
        <v>-0.15610400000000008</v>
      </c>
      <c r="BR123">
        <f t="shared" si="343"/>
        <v>-0.19907999999999998</v>
      </c>
      <c r="BS123">
        <f t="shared" si="343"/>
        <v>-0.24363600000000002</v>
      </c>
    </row>
    <row r="124" spans="2:71" x14ac:dyDescent="0.35">
      <c r="B124" t="s">
        <v>226</v>
      </c>
      <c r="C124" s="19">
        <f>regions!B102</f>
        <v>2239008</v>
      </c>
      <c r="D124" s="19">
        <f>regions!C102</f>
        <v>15502642580.339478</v>
      </c>
      <c r="E124" s="8">
        <f>regions!D102</f>
        <v>6923.8888741529627</v>
      </c>
      <c r="F124" s="1">
        <f>regions!Z102</f>
        <v>5.6</v>
      </c>
      <c r="G124" s="8"/>
      <c r="H124" s="8"/>
      <c r="I124">
        <f t="shared" si="335"/>
        <v>0</v>
      </c>
      <c r="J124">
        <f t="shared" si="329"/>
        <v>0</v>
      </c>
      <c r="K124">
        <f t="shared" si="329"/>
        <v>0</v>
      </c>
      <c r="L124">
        <f t="shared" si="329"/>
        <v>0</v>
      </c>
      <c r="M124">
        <f t="shared" si="329"/>
        <v>0</v>
      </c>
      <c r="N124">
        <f t="shared" si="329"/>
        <v>0</v>
      </c>
      <c r="O124">
        <f t="shared" si="329"/>
        <v>0</v>
      </c>
      <c r="P124">
        <f t="shared" si="336"/>
        <v>-1.2544E-2</v>
      </c>
      <c r="Q124">
        <f t="shared" si="330"/>
        <v>-4.8799999999999989E-3</v>
      </c>
      <c r="R124">
        <f t="shared" si="330"/>
        <v>-1.056E-2</v>
      </c>
      <c r="S124">
        <f t="shared" si="330"/>
        <v>-1.704E-2</v>
      </c>
      <c r="T124">
        <f t="shared" si="330"/>
        <v>-2.4320000000000001E-2</v>
      </c>
      <c r="U124">
        <f t="shared" si="330"/>
        <v>-3.2400000000000005E-2</v>
      </c>
      <c r="V124">
        <f t="shared" si="330"/>
        <v>-4.1280000000000004E-2</v>
      </c>
      <c r="W124">
        <f t="shared" si="337"/>
        <v>-1.5679999999999999E-2</v>
      </c>
      <c r="X124">
        <f t="shared" si="331"/>
        <v>-6.0999999999999978E-3</v>
      </c>
      <c r="Y124">
        <f t="shared" si="331"/>
        <v>-1.32E-2</v>
      </c>
      <c r="Z124">
        <f t="shared" si="331"/>
        <v>-2.1299999999999999E-2</v>
      </c>
      <c r="AA124">
        <f t="shared" si="331"/>
        <v>-3.0399999999999996E-2</v>
      </c>
      <c r="AB124">
        <f t="shared" si="331"/>
        <v>-4.0500000000000001E-2</v>
      </c>
      <c r="AC124">
        <f t="shared" si="331"/>
        <v>-5.1600000000000007E-2</v>
      </c>
      <c r="AD124">
        <f t="shared" si="338"/>
        <v>-1.4206079999999998E-2</v>
      </c>
      <c r="AE124">
        <f t="shared" si="332"/>
        <v>-5.5266000000000013E-3</v>
      </c>
      <c r="AF124">
        <f t="shared" si="332"/>
        <v>-1.1959200000000001E-2</v>
      </c>
      <c r="AG124">
        <f t="shared" si="332"/>
        <v>-1.9297800000000004E-2</v>
      </c>
      <c r="AH124">
        <f t="shared" si="332"/>
        <v>-2.7542400000000002E-2</v>
      </c>
      <c r="AI124">
        <f t="shared" si="332"/>
        <v>-3.6693000000000003E-2</v>
      </c>
      <c r="AJ124">
        <f t="shared" si="332"/>
        <v>-4.6749600000000009E-2</v>
      </c>
      <c r="AK124">
        <f t="shared" si="339"/>
        <v>-1.59936E-2</v>
      </c>
      <c r="AL124">
        <f t="shared" si="333"/>
        <v>-6.2219999999999984E-3</v>
      </c>
      <c r="AM124">
        <f t="shared" si="333"/>
        <v>-1.3464E-2</v>
      </c>
      <c r="AN124">
        <f t="shared" si="333"/>
        <v>-2.1725999999999999E-2</v>
      </c>
      <c r="AO124">
        <f t="shared" si="333"/>
        <v>-3.1008000000000004E-2</v>
      </c>
      <c r="AP124">
        <f t="shared" si="333"/>
        <v>-4.1309999999999999E-2</v>
      </c>
      <c r="AQ124">
        <f t="shared" si="333"/>
        <v>-5.2632000000000012E-2</v>
      </c>
      <c r="AR124">
        <f t="shared" si="340"/>
        <v>-2.3864959999999994E-2</v>
      </c>
      <c r="AS124">
        <f t="shared" si="334"/>
        <v>-9.2842000000000029E-3</v>
      </c>
      <c r="AT124">
        <f t="shared" si="334"/>
        <v>-2.0090400000000005E-2</v>
      </c>
      <c r="AU124">
        <f t="shared" si="334"/>
        <v>-3.2418599999999992E-2</v>
      </c>
      <c r="AV124">
        <f t="shared" si="334"/>
        <v>-4.6268799999999999E-2</v>
      </c>
      <c r="AW124">
        <f t="shared" si="334"/>
        <v>-6.1641000000000001E-2</v>
      </c>
      <c r="AX124">
        <f t="shared" si="334"/>
        <v>-7.8535199999999999E-2</v>
      </c>
      <c r="AY124">
        <f t="shared" si="307"/>
        <v>-6.5855999999999996E-3</v>
      </c>
      <c r="AZ124">
        <f t="shared" si="341"/>
        <v>-2.5619999999999992E-3</v>
      </c>
      <c r="BA124">
        <f t="shared" si="341"/>
        <v>-5.5440000000000012E-3</v>
      </c>
      <c r="BB124">
        <f t="shared" si="341"/>
        <v>-8.9459999999999991E-3</v>
      </c>
      <c r="BC124">
        <f t="shared" si="341"/>
        <v>-1.2767999999999998E-2</v>
      </c>
      <c r="BD124">
        <f t="shared" si="341"/>
        <v>-1.7010000000000001E-2</v>
      </c>
      <c r="BE124">
        <f t="shared" si="341"/>
        <v>-2.1672E-2</v>
      </c>
      <c r="BF124">
        <f t="shared" si="309"/>
        <v>-7.8399999999999997E-3</v>
      </c>
      <c r="BG124">
        <f t="shared" si="342"/>
        <v>-3.0499999999999989E-3</v>
      </c>
      <c r="BH124">
        <f t="shared" si="342"/>
        <v>-6.6E-3</v>
      </c>
      <c r="BI124">
        <f t="shared" si="342"/>
        <v>-1.065E-2</v>
      </c>
      <c r="BJ124">
        <f t="shared" si="342"/>
        <v>-1.5199999999999998E-2</v>
      </c>
      <c r="BK124">
        <f t="shared" si="342"/>
        <v>-2.0250000000000001E-2</v>
      </c>
      <c r="BL124">
        <f t="shared" si="342"/>
        <v>-2.5800000000000003E-2</v>
      </c>
      <c r="BM124">
        <f t="shared" si="311"/>
        <v>-2.4774399999999999E-2</v>
      </c>
      <c r="BN124">
        <f t="shared" si="343"/>
        <v>-9.6379999999999973E-3</v>
      </c>
      <c r="BO124">
        <f t="shared" si="343"/>
        <v>-2.0856000000000003E-2</v>
      </c>
      <c r="BP124">
        <f t="shared" si="343"/>
        <v>-3.3654000000000003E-2</v>
      </c>
      <c r="BQ124">
        <f t="shared" si="343"/>
        <v>-4.8031999999999991E-2</v>
      </c>
      <c r="BR124">
        <f t="shared" si="343"/>
        <v>-6.3990000000000005E-2</v>
      </c>
      <c r="BS124">
        <f t="shared" si="343"/>
        <v>-8.1528000000000003E-2</v>
      </c>
    </row>
    <row r="125" spans="2:71" x14ac:dyDescent="0.35">
      <c r="B125" t="s">
        <v>382</v>
      </c>
      <c r="C125" s="19">
        <f>regions!B103</f>
        <v>4341092</v>
      </c>
      <c r="D125" s="19">
        <f>regions!C103</f>
        <v>30751708803.782261</v>
      </c>
      <c r="E125" s="8">
        <f>regions!D103</f>
        <v>7083.864798023691</v>
      </c>
      <c r="F125" s="1">
        <f>regions!Z103</f>
        <v>16.399999999999999</v>
      </c>
      <c r="G125" s="8"/>
      <c r="H125" s="8"/>
      <c r="I125">
        <f t="shared" si="335"/>
        <v>0</v>
      </c>
      <c r="J125">
        <f t="shared" si="329"/>
        <v>0</v>
      </c>
      <c r="K125">
        <f t="shared" si="329"/>
        <v>0</v>
      </c>
      <c r="L125">
        <f t="shared" si="329"/>
        <v>0</v>
      </c>
      <c r="M125">
        <f t="shared" si="329"/>
        <v>0</v>
      </c>
      <c r="N125">
        <f t="shared" si="329"/>
        <v>0</v>
      </c>
      <c r="O125">
        <f t="shared" si="329"/>
        <v>0</v>
      </c>
      <c r="P125">
        <f t="shared" si="336"/>
        <v>-0.107584</v>
      </c>
      <c r="Q125">
        <f t="shared" si="330"/>
        <v>-1.3519999999999976E-2</v>
      </c>
      <c r="R125">
        <f t="shared" si="330"/>
        <v>-2.783999999999999E-2</v>
      </c>
      <c r="S125">
        <f t="shared" si="330"/>
        <v>-4.2959999999999984E-2</v>
      </c>
      <c r="T125">
        <f t="shared" si="330"/>
        <v>-5.8880000000000002E-2</v>
      </c>
      <c r="U125">
        <f t="shared" si="330"/>
        <v>-7.5599999999999987E-2</v>
      </c>
      <c r="V125">
        <f t="shared" si="330"/>
        <v>-9.3119999999999994E-2</v>
      </c>
      <c r="W125">
        <f t="shared" si="337"/>
        <v>-0.13447999999999999</v>
      </c>
      <c r="X125">
        <f t="shared" si="331"/>
        <v>-1.6899999999999971E-2</v>
      </c>
      <c r="Y125">
        <f t="shared" si="331"/>
        <v>-3.4799999999999998E-2</v>
      </c>
      <c r="Z125">
        <f t="shared" si="331"/>
        <v>-5.3699999999999998E-2</v>
      </c>
      <c r="AA125">
        <f t="shared" si="331"/>
        <v>-7.3599999999999999E-2</v>
      </c>
      <c r="AB125">
        <f t="shared" si="331"/>
        <v>-9.4499999999999973E-2</v>
      </c>
      <c r="AC125">
        <f t="shared" si="331"/>
        <v>-0.1164</v>
      </c>
      <c r="AD125">
        <f t="shared" si="338"/>
        <v>-0.12183888</v>
      </c>
      <c r="AE125">
        <f t="shared" si="332"/>
        <v>-1.5311399999999989E-2</v>
      </c>
      <c r="AF125">
        <f t="shared" si="332"/>
        <v>-3.1528799999999982E-2</v>
      </c>
      <c r="AG125">
        <f t="shared" si="332"/>
        <v>-4.8652199999999993E-2</v>
      </c>
      <c r="AH125">
        <f t="shared" si="332"/>
        <v>-6.6681599999999994E-2</v>
      </c>
      <c r="AI125">
        <f t="shared" si="332"/>
        <v>-8.5616999999999985E-2</v>
      </c>
      <c r="AJ125">
        <f t="shared" si="332"/>
        <v>-0.10545839999999997</v>
      </c>
      <c r="AK125">
        <f t="shared" si="339"/>
        <v>-0.1371696</v>
      </c>
      <c r="AL125">
        <f t="shared" si="333"/>
        <v>-1.7237999999999976E-2</v>
      </c>
      <c r="AM125">
        <f t="shared" si="333"/>
        <v>-3.5495999999999972E-2</v>
      </c>
      <c r="AN125">
        <f t="shared" si="333"/>
        <v>-5.4773999999999989E-2</v>
      </c>
      <c r="AO125">
        <f t="shared" si="333"/>
        <v>-7.5072E-2</v>
      </c>
      <c r="AP125">
        <f t="shared" si="333"/>
        <v>-9.6389999999999976E-2</v>
      </c>
      <c r="AQ125">
        <f t="shared" si="333"/>
        <v>-0.118728</v>
      </c>
      <c r="AR125">
        <f t="shared" si="340"/>
        <v>-0.20467855999999998</v>
      </c>
      <c r="AS125">
        <f t="shared" si="334"/>
        <v>-2.5721799999999961E-2</v>
      </c>
      <c r="AT125">
        <f t="shared" si="334"/>
        <v>-5.2965599999999974E-2</v>
      </c>
      <c r="AU125">
        <f t="shared" si="334"/>
        <v>-8.1731399999999982E-2</v>
      </c>
      <c r="AV125">
        <f t="shared" si="334"/>
        <v>-0.11201919999999996</v>
      </c>
      <c r="AW125">
        <f t="shared" si="334"/>
        <v>-0.14382899999999996</v>
      </c>
      <c r="AX125">
        <f t="shared" si="334"/>
        <v>-0.17716079999999992</v>
      </c>
      <c r="AY125">
        <f t="shared" si="307"/>
        <v>-5.64816E-2</v>
      </c>
      <c r="AZ125">
        <f t="shared" si="341"/>
        <v>-7.0979999999999863E-3</v>
      </c>
      <c r="BA125">
        <f t="shared" si="341"/>
        <v>-1.4615999999999997E-2</v>
      </c>
      <c r="BB125">
        <f t="shared" si="341"/>
        <v>-2.2553999999999998E-2</v>
      </c>
      <c r="BC125">
        <f t="shared" si="341"/>
        <v>-3.0912000000000002E-2</v>
      </c>
      <c r="BD125">
        <f t="shared" si="341"/>
        <v>-3.9689999999999982E-2</v>
      </c>
      <c r="BE125">
        <f t="shared" si="341"/>
        <v>-4.8887999999999994E-2</v>
      </c>
      <c r="BF125">
        <f t="shared" si="309"/>
        <v>-6.7239999999999994E-2</v>
      </c>
      <c r="BG125">
        <f t="shared" si="342"/>
        <v>-8.4499999999999853E-3</v>
      </c>
      <c r="BH125">
        <f t="shared" si="342"/>
        <v>-1.7399999999999999E-2</v>
      </c>
      <c r="BI125">
        <f t="shared" si="342"/>
        <v>-2.6849999999999999E-2</v>
      </c>
      <c r="BJ125">
        <f t="shared" si="342"/>
        <v>-3.6799999999999999E-2</v>
      </c>
      <c r="BK125">
        <f t="shared" si="342"/>
        <v>-4.7249999999999986E-2</v>
      </c>
      <c r="BL125">
        <f t="shared" si="342"/>
        <v>-5.8200000000000002E-2</v>
      </c>
      <c r="BM125">
        <f t="shared" si="311"/>
        <v>-0.21247839999999998</v>
      </c>
      <c r="BN125">
        <f t="shared" si="343"/>
        <v>-2.6701999999999976E-2</v>
      </c>
      <c r="BO125">
        <f t="shared" si="343"/>
        <v>-5.498399999999995E-2</v>
      </c>
      <c r="BP125">
        <f t="shared" si="343"/>
        <v>-8.4846000000000005E-2</v>
      </c>
      <c r="BQ125">
        <f t="shared" si="343"/>
        <v>-0.11628799999999997</v>
      </c>
      <c r="BR125">
        <f t="shared" si="343"/>
        <v>-0.14930999999999997</v>
      </c>
      <c r="BS125">
        <f t="shared" si="343"/>
        <v>-0.18391199999999999</v>
      </c>
    </row>
    <row r="126" spans="2:71" x14ac:dyDescent="0.35">
      <c r="B126" t="s">
        <v>383</v>
      </c>
      <c r="C126" s="19">
        <f>regions!B104</f>
        <v>2008921</v>
      </c>
      <c r="D126" s="19">
        <f>regions!C104</f>
        <v>1749548111.1919663</v>
      </c>
      <c r="E126" s="8">
        <f>regions!D104</f>
        <v>870.88945319002903</v>
      </c>
      <c r="F126" s="1">
        <f>regions!Z104</f>
        <v>11.8</v>
      </c>
      <c r="G126" s="8"/>
      <c r="H126" s="8"/>
      <c r="I126">
        <f t="shared" si="335"/>
        <v>-0.164492</v>
      </c>
      <c r="J126">
        <f t="shared" ref="J126:O135" si="344">IF($E126&lt;$E$24,$D$11*($F126+J$25)-$I126,0)</f>
        <v>-1.3940000000000008E-2</v>
      </c>
      <c r="K126">
        <f t="shared" si="344"/>
        <v>-2.7879999999999988E-2</v>
      </c>
      <c r="L126">
        <f t="shared" si="344"/>
        <v>-4.1819999999999996E-2</v>
      </c>
      <c r="M126">
        <f t="shared" si="344"/>
        <v>-5.5760000000000004E-2</v>
      </c>
      <c r="N126">
        <f t="shared" si="344"/>
        <v>-6.9700000000000012E-2</v>
      </c>
      <c r="O126">
        <f t="shared" si="344"/>
        <v>-8.3639999999999992E-2</v>
      </c>
      <c r="P126">
        <f t="shared" si="336"/>
        <v>-5.5696000000000009E-2</v>
      </c>
      <c r="Q126">
        <f t="shared" ref="Q126:V135" si="345">$D$13*($F126+Q$25)^2-$P126</f>
        <v>-9.8400000000000015E-3</v>
      </c>
      <c r="R126">
        <f t="shared" si="345"/>
        <v>-2.0479999999999998E-2</v>
      </c>
      <c r="S126">
        <f t="shared" si="345"/>
        <v>-3.1920000000000004E-2</v>
      </c>
      <c r="T126">
        <f t="shared" si="345"/>
        <v>-4.4160000000000005E-2</v>
      </c>
      <c r="U126">
        <f t="shared" si="345"/>
        <v>-5.7200000000000001E-2</v>
      </c>
      <c r="V126">
        <f t="shared" si="345"/>
        <v>-7.1040000000000006E-2</v>
      </c>
      <c r="W126">
        <f t="shared" si="337"/>
        <v>-6.9620000000000001E-2</v>
      </c>
      <c r="X126">
        <f t="shared" ref="X126:AC135" si="346">$D$15*($F126+X$25)^2-$W126</f>
        <v>-1.2300000000000019E-2</v>
      </c>
      <c r="Y126">
        <f t="shared" si="346"/>
        <v>-2.5600000000000012E-2</v>
      </c>
      <c r="Z126">
        <f t="shared" si="346"/>
        <v>-3.9900000000000005E-2</v>
      </c>
      <c r="AA126">
        <f t="shared" si="346"/>
        <v>-5.5200000000000013E-2</v>
      </c>
      <c r="AB126">
        <f t="shared" si="346"/>
        <v>-7.1499999999999994E-2</v>
      </c>
      <c r="AC126">
        <f t="shared" si="346"/>
        <v>-8.8800000000000032E-2</v>
      </c>
      <c r="AD126">
        <f t="shared" si="338"/>
        <v>-6.3075720000000002E-2</v>
      </c>
      <c r="AE126">
        <f t="shared" ref="AE126:AJ135" si="347">$D$10*($F126+AE$25)^2-$AD126</f>
        <v>-1.1143800000000009E-2</v>
      </c>
      <c r="AF126">
        <f t="shared" si="347"/>
        <v>-2.3193600000000009E-2</v>
      </c>
      <c r="AG126">
        <f t="shared" si="347"/>
        <v>-3.6149400000000012E-2</v>
      </c>
      <c r="AH126">
        <f t="shared" si="347"/>
        <v>-5.0011200000000006E-2</v>
      </c>
      <c r="AI126">
        <f t="shared" si="347"/>
        <v>-6.4779000000000003E-2</v>
      </c>
      <c r="AJ126">
        <f t="shared" si="347"/>
        <v>-8.0452800000000019E-2</v>
      </c>
      <c r="AK126">
        <f t="shared" si="339"/>
        <v>-7.1012400000000003E-2</v>
      </c>
      <c r="AL126">
        <f t="shared" ref="AL126:AQ135" si="348">$D$17*($F126+AL$25)^2-$AK126</f>
        <v>-1.2546000000000015E-2</v>
      </c>
      <c r="AM126">
        <f t="shared" si="348"/>
        <v>-2.611200000000001E-2</v>
      </c>
      <c r="AN126">
        <f t="shared" si="348"/>
        <v>-4.0698000000000012E-2</v>
      </c>
      <c r="AO126">
        <f t="shared" si="348"/>
        <v>-5.6304000000000021E-2</v>
      </c>
      <c r="AP126">
        <f t="shared" si="348"/>
        <v>-7.2930000000000023E-2</v>
      </c>
      <c r="AQ126">
        <f t="shared" si="348"/>
        <v>-9.0576000000000018E-2</v>
      </c>
      <c r="AR126">
        <f t="shared" si="340"/>
        <v>-0.10596164</v>
      </c>
      <c r="AS126">
        <f t="shared" ref="AS126:AX135" si="349">$D$8*($F126+AS$25)^2-$AR126</f>
        <v>-1.8720600000000018E-2</v>
      </c>
      <c r="AT126">
        <f t="shared" si="349"/>
        <v>-3.8963200000000003E-2</v>
      </c>
      <c r="AU126">
        <f t="shared" si="349"/>
        <v>-6.0727799999999998E-2</v>
      </c>
      <c r="AV126">
        <f t="shared" si="349"/>
        <v>-8.4014400000000017E-2</v>
      </c>
      <c r="AW126">
        <f t="shared" si="349"/>
        <v>-0.108823</v>
      </c>
      <c r="AX126">
        <f t="shared" si="349"/>
        <v>-0.13515360000000001</v>
      </c>
      <c r="AY126">
        <f t="shared" si="307"/>
        <v>-2.9240400000000003E-2</v>
      </c>
      <c r="AZ126">
        <f t="shared" si="341"/>
        <v>-5.1660000000000074E-3</v>
      </c>
      <c r="BA126">
        <f t="shared" si="341"/>
        <v>-1.0752000000000001E-2</v>
      </c>
      <c r="BB126">
        <f t="shared" si="341"/>
        <v>-1.6758000000000006E-2</v>
      </c>
      <c r="BC126">
        <f t="shared" si="341"/>
        <v>-2.3184E-2</v>
      </c>
      <c r="BD126">
        <f t="shared" si="341"/>
        <v>-3.0030000000000005E-2</v>
      </c>
      <c r="BE126">
        <f t="shared" si="341"/>
        <v>-3.729600000000001E-2</v>
      </c>
      <c r="BF126">
        <f t="shared" si="309"/>
        <v>-3.4810000000000001E-2</v>
      </c>
      <c r="BG126">
        <f t="shared" si="342"/>
        <v>-6.1500000000000096E-3</v>
      </c>
      <c r="BH126">
        <f t="shared" si="342"/>
        <v>-1.2800000000000006E-2</v>
      </c>
      <c r="BI126">
        <f t="shared" si="342"/>
        <v>-1.9950000000000002E-2</v>
      </c>
      <c r="BJ126">
        <f t="shared" si="342"/>
        <v>-2.7600000000000006E-2</v>
      </c>
      <c r="BK126">
        <f t="shared" si="342"/>
        <v>-3.5749999999999997E-2</v>
      </c>
      <c r="BL126">
        <f t="shared" si="342"/>
        <v>-4.4400000000000016E-2</v>
      </c>
      <c r="BM126">
        <f t="shared" si="311"/>
        <v>-0.1099996</v>
      </c>
      <c r="BN126">
        <f t="shared" si="343"/>
        <v>-1.9434000000000035E-2</v>
      </c>
      <c r="BO126">
        <f t="shared" si="343"/>
        <v>-4.0448000000000012E-2</v>
      </c>
      <c r="BP126">
        <f t="shared" si="343"/>
        <v>-6.3042000000000015E-2</v>
      </c>
      <c r="BQ126">
        <f t="shared" si="343"/>
        <v>-8.7216000000000016E-2</v>
      </c>
      <c r="BR126">
        <f t="shared" si="343"/>
        <v>-0.11297000000000001</v>
      </c>
      <c r="BS126">
        <f t="shared" si="343"/>
        <v>-0.14030400000000001</v>
      </c>
    </row>
    <row r="127" spans="2:71" x14ac:dyDescent="0.35">
      <c r="B127" t="s">
        <v>384</v>
      </c>
      <c r="C127" s="19">
        <f>regions!B105</f>
        <v>3957990</v>
      </c>
      <c r="D127" s="19">
        <f>regions!C105</f>
        <v>960255604.18450153</v>
      </c>
      <c r="E127" s="8">
        <f>regions!D105</f>
        <v>242.61193287110416</v>
      </c>
      <c r="F127" s="1">
        <f>regions!Z105</f>
        <v>25.3</v>
      </c>
      <c r="G127" s="8"/>
      <c r="H127" s="8"/>
      <c r="I127">
        <f t="shared" si="335"/>
        <v>-0.352682</v>
      </c>
      <c r="J127">
        <f t="shared" si="344"/>
        <v>-1.3940000000000008E-2</v>
      </c>
      <c r="K127">
        <f t="shared" si="344"/>
        <v>-2.7880000000000016E-2</v>
      </c>
      <c r="L127">
        <f t="shared" si="344"/>
        <v>-4.1819999999999968E-2</v>
      </c>
      <c r="M127">
        <f t="shared" si="344"/>
        <v>-5.5759999999999976E-2</v>
      </c>
      <c r="N127">
        <f t="shared" si="344"/>
        <v>-6.9699999999999984E-2</v>
      </c>
      <c r="O127">
        <f t="shared" si="344"/>
        <v>-8.3639999999999992E-2</v>
      </c>
      <c r="P127">
        <f t="shared" si="336"/>
        <v>-0.25603600000000004</v>
      </c>
      <c r="Q127">
        <f t="shared" si="345"/>
        <v>-2.0639999999999992E-2</v>
      </c>
      <c r="R127">
        <f t="shared" si="345"/>
        <v>-4.2080000000000006E-2</v>
      </c>
      <c r="S127">
        <f t="shared" si="345"/>
        <v>-6.4319999999999988E-2</v>
      </c>
      <c r="T127">
        <f t="shared" si="345"/>
        <v>-8.7359999999999993E-2</v>
      </c>
      <c r="U127">
        <f t="shared" si="345"/>
        <v>-0.11119999999999997</v>
      </c>
      <c r="V127">
        <f t="shared" si="345"/>
        <v>-0.13584000000000002</v>
      </c>
      <c r="W127">
        <f t="shared" si="337"/>
        <v>-0.32004500000000002</v>
      </c>
      <c r="X127">
        <f t="shared" si="346"/>
        <v>-2.579999999999999E-2</v>
      </c>
      <c r="Y127">
        <f t="shared" si="346"/>
        <v>-5.2600000000000036E-2</v>
      </c>
      <c r="Z127">
        <f t="shared" si="346"/>
        <v>-8.0399999999999971E-2</v>
      </c>
      <c r="AA127">
        <f t="shared" si="346"/>
        <v>-0.10919999999999996</v>
      </c>
      <c r="AB127">
        <f t="shared" si="346"/>
        <v>-0.13900000000000001</v>
      </c>
      <c r="AC127">
        <f t="shared" si="346"/>
        <v>-0.16980000000000001</v>
      </c>
      <c r="AD127">
        <f t="shared" si="338"/>
        <v>-0.28996077000000003</v>
      </c>
      <c r="AE127">
        <f t="shared" si="347"/>
        <v>-2.3374799999999973E-2</v>
      </c>
      <c r="AF127">
        <f t="shared" si="347"/>
        <v>-4.765560000000002E-2</v>
      </c>
      <c r="AG127">
        <f t="shared" si="347"/>
        <v>-7.2842399999999974E-2</v>
      </c>
      <c r="AH127">
        <f t="shared" si="347"/>
        <v>-9.8935200000000001E-2</v>
      </c>
      <c r="AI127">
        <f t="shared" si="347"/>
        <v>-0.12593399999999999</v>
      </c>
      <c r="AJ127">
        <f t="shared" si="347"/>
        <v>-0.1538388</v>
      </c>
      <c r="AK127">
        <f t="shared" si="339"/>
        <v>-0.32644590000000007</v>
      </c>
      <c r="AL127">
        <f t="shared" si="348"/>
        <v>-2.6316000000000006E-2</v>
      </c>
      <c r="AM127">
        <f t="shared" si="348"/>
        <v>-5.3651999999999977E-2</v>
      </c>
      <c r="AN127">
        <f t="shared" si="348"/>
        <v>-8.200799999999997E-2</v>
      </c>
      <c r="AO127">
        <f t="shared" si="348"/>
        <v>-0.11138399999999998</v>
      </c>
      <c r="AP127">
        <f t="shared" si="348"/>
        <v>-0.14177999999999996</v>
      </c>
      <c r="AQ127">
        <f t="shared" si="348"/>
        <v>-0.17319600000000002</v>
      </c>
      <c r="AR127">
        <f t="shared" si="340"/>
        <v>-0.48710849000000001</v>
      </c>
      <c r="AS127">
        <f t="shared" si="349"/>
        <v>-3.9267599999999958E-2</v>
      </c>
      <c r="AT127">
        <f t="shared" si="349"/>
        <v>-8.0057200000000051E-2</v>
      </c>
      <c r="AU127">
        <f t="shared" si="349"/>
        <v>-0.12236879999999994</v>
      </c>
      <c r="AV127">
        <f t="shared" si="349"/>
        <v>-0.16620239999999997</v>
      </c>
      <c r="AW127">
        <f t="shared" si="349"/>
        <v>-0.21155800000000002</v>
      </c>
      <c r="AX127">
        <f t="shared" si="349"/>
        <v>-0.25843559999999999</v>
      </c>
      <c r="AY127">
        <f t="shared" si="307"/>
        <v>-0.13441890000000001</v>
      </c>
      <c r="AZ127">
        <f t="shared" si="341"/>
        <v>-1.0836000000000012E-2</v>
      </c>
      <c r="BA127">
        <f t="shared" si="341"/>
        <v>-2.2092000000000028E-2</v>
      </c>
      <c r="BB127">
        <f t="shared" si="341"/>
        <v>-3.3767999999999992E-2</v>
      </c>
      <c r="BC127">
        <f t="shared" si="341"/>
        <v>-4.5863999999999988E-2</v>
      </c>
      <c r="BD127">
        <f t="shared" si="341"/>
        <v>-5.8380000000000015E-2</v>
      </c>
      <c r="BE127">
        <f t="shared" si="341"/>
        <v>-7.1316000000000018E-2</v>
      </c>
      <c r="BF127">
        <f t="shared" si="309"/>
        <v>-0.16002250000000001</v>
      </c>
      <c r="BG127">
        <f t="shared" si="342"/>
        <v>-1.2899999999999995E-2</v>
      </c>
      <c r="BH127">
        <f t="shared" si="342"/>
        <v>-2.6300000000000018E-2</v>
      </c>
      <c r="BI127">
        <f t="shared" si="342"/>
        <v>-4.0199999999999986E-2</v>
      </c>
      <c r="BJ127">
        <f t="shared" si="342"/>
        <v>-5.4599999999999982E-2</v>
      </c>
      <c r="BK127">
        <f t="shared" si="342"/>
        <v>-6.9500000000000006E-2</v>
      </c>
      <c r="BL127">
        <f t="shared" si="342"/>
        <v>-8.4900000000000003E-2</v>
      </c>
      <c r="BM127">
        <f t="shared" si="311"/>
        <v>-0.50567110000000004</v>
      </c>
      <c r="BN127">
        <f t="shared" si="343"/>
        <v>-4.0764000000000022E-2</v>
      </c>
      <c r="BO127">
        <f t="shared" si="343"/>
        <v>-8.3108000000000071E-2</v>
      </c>
      <c r="BP127">
        <f t="shared" si="343"/>
        <v>-0.12703199999999992</v>
      </c>
      <c r="BQ127">
        <f t="shared" si="343"/>
        <v>-0.17253600000000002</v>
      </c>
      <c r="BR127">
        <f t="shared" si="343"/>
        <v>-0.21962000000000004</v>
      </c>
      <c r="BS127">
        <f t="shared" si="343"/>
        <v>-0.26828399999999997</v>
      </c>
    </row>
    <row r="128" spans="2:71" x14ac:dyDescent="0.35">
      <c r="B128" t="s">
        <v>385</v>
      </c>
      <c r="C128" s="19">
        <f>regions!B106</f>
        <v>6040612</v>
      </c>
      <c r="D128" s="19">
        <f>regions!C106</f>
        <v>54963979226.010597</v>
      </c>
      <c r="E128" s="8">
        <f>regions!D106</f>
        <v>9099.0746013832031</v>
      </c>
      <c r="F128" s="1">
        <f>regions!Z106</f>
        <v>21.8</v>
      </c>
      <c r="G128" s="8"/>
      <c r="H128" s="8"/>
      <c r="I128">
        <f t="shared" si="335"/>
        <v>0</v>
      </c>
      <c r="J128">
        <f t="shared" si="344"/>
        <v>0</v>
      </c>
      <c r="K128">
        <f t="shared" si="344"/>
        <v>0</v>
      </c>
      <c r="L128">
        <f t="shared" si="344"/>
        <v>0</v>
      </c>
      <c r="M128">
        <f t="shared" si="344"/>
        <v>0</v>
      </c>
      <c r="N128">
        <f t="shared" si="344"/>
        <v>0</v>
      </c>
      <c r="O128">
        <f t="shared" si="344"/>
        <v>0</v>
      </c>
      <c r="P128">
        <f t="shared" si="336"/>
        <v>-0.19009600000000001</v>
      </c>
      <c r="Q128">
        <f t="shared" si="345"/>
        <v>-1.7839999999999995E-2</v>
      </c>
      <c r="R128">
        <f t="shared" si="345"/>
        <v>-3.6480000000000012E-2</v>
      </c>
      <c r="S128">
        <f t="shared" si="345"/>
        <v>-5.5920000000000025E-2</v>
      </c>
      <c r="T128">
        <f t="shared" si="345"/>
        <v>-7.6159999999999978E-2</v>
      </c>
      <c r="U128">
        <f t="shared" si="345"/>
        <v>-9.7199999999999981E-2</v>
      </c>
      <c r="V128">
        <f t="shared" si="345"/>
        <v>-0.11904000000000001</v>
      </c>
      <c r="W128">
        <f t="shared" si="337"/>
        <v>-0.23762</v>
      </c>
      <c r="X128">
        <f t="shared" si="346"/>
        <v>-2.2300000000000042E-2</v>
      </c>
      <c r="Y128">
        <f t="shared" si="346"/>
        <v>-4.5600000000000029E-2</v>
      </c>
      <c r="Z128">
        <f t="shared" si="346"/>
        <v>-6.9900000000000073E-2</v>
      </c>
      <c r="AA128">
        <f t="shared" si="346"/>
        <v>-9.5200000000000007E-2</v>
      </c>
      <c r="AB128">
        <f t="shared" si="346"/>
        <v>-0.1215</v>
      </c>
      <c r="AC128">
        <f t="shared" si="346"/>
        <v>-0.14880000000000004</v>
      </c>
      <c r="AD128">
        <f t="shared" si="338"/>
        <v>-0.21528372000000001</v>
      </c>
      <c r="AE128">
        <f t="shared" si="347"/>
        <v>-2.0203799999999994E-2</v>
      </c>
      <c r="AF128">
        <f t="shared" si="347"/>
        <v>-4.1313600000000006E-2</v>
      </c>
      <c r="AG128">
        <f t="shared" si="347"/>
        <v>-6.3329400000000036E-2</v>
      </c>
      <c r="AH128">
        <f t="shared" si="347"/>
        <v>-8.6251199999999972E-2</v>
      </c>
      <c r="AI128">
        <f t="shared" si="347"/>
        <v>-0.11007899999999998</v>
      </c>
      <c r="AJ128">
        <f t="shared" si="347"/>
        <v>-0.13481280000000001</v>
      </c>
      <c r="AK128">
        <f t="shared" si="339"/>
        <v>-0.24237240000000002</v>
      </c>
      <c r="AL128">
        <f t="shared" si="348"/>
        <v>-2.2746000000000016E-2</v>
      </c>
      <c r="AM128">
        <f t="shared" si="348"/>
        <v>-4.6512000000000026E-2</v>
      </c>
      <c r="AN128">
        <f t="shared" si="348"/>
        <v>-7.1298000000000056E-2</v>
      </c>
      <c r="AO128">
        <f t="shared" si="348"/>
        <v>-9.7103999999999996E-2</v>
      </c>
      <c r="AP128">
        <f t="shared" si="348"/>
        <v>-0.12393000000000001</v>
      </c>
      <c r="AQ128">
        <f t="shared" si="348"/>
        <v>-0.15177600000000005</v>
      </c>
      <c r="AR128">
        <f t="shared" si="340"/>
        <v>-0.36165764</v>
      </c>
      <c r="AS128">
        <f t="shared" si="349"/>
        <v>-3.3940599999999987E-2</v>
      </c>
      <c r="AT128">
        <f t="shared" si="349"/>
        <v>-6.9403199999999998E-2</v>
      </c>
      <c r="AU128">
        <f t="shared" si="349"/>
        <v>-0.10638780000000003</v>
      </c>
      <c r="AV128">
        <f t="shared" si="349"/>
        <v>-0.14489439999999998</v>
      </c>
      <c r="AW128">
        <f t="shared" si="349"/>
        <v>-0.18492299999999995</v>
      </c>
      <c r="AX128">
        <f t="shared" si="349"/>
        <v>-0.22647359999999994</v>
      </c>
      <c r="AY128">
        <f t="shared" si="307"/>
        <v>-9.9800400000000011E-2</v>
      </c>
      <c r="AZ128">
        <f t="shared" si="341"/>
        <v>-9.3659999999999993E-3</v>
      </c>
      <c r="BA128">
        <f t="shared" si="341"/>
        <v>-1.9152000000000002E-2</v>
      </c>
      <c r="BB128">
        <f t="shared" si="341"/>
        <v>-2.9358000000000023E-2</v>
      </c>
      <c r="BC128">
        <f t="shared" si="341"/>
        <v>-3.9983999999999992E-2</v>
      </c>
      <c r="BD128">
        <f t="shared" si="341"/>
        <v>-5.1029999999999992E-2</v>
      </c>
      <c r="BE128">
        <f t="shared" si="341"/>
        <v>-6.2495999999999996E-2</v>
      </c>
      <c r="BF128">
        <f t="shared" si="309"/>
        <v>-0.11881</v>
      </c>
      <c r="BG128">
        <f t="shared" si="342"/>
        <v>-1.1150000000000021E-2</v>
      </c>
      <c r="BH128">
        <f t="shared" si="342"/>
        <v>-2.2800000000000015E-2</v>
      </c>
      <c r="BI128">
        <f t="shared" si="342"/>
        <v>-3.4950000000000037E-2</v>
      </c>
      <c r="BJ128">
        <f t="shared" si="342"/>
        <v>-4.7600000000000003E-2</v>
      </c>
      <c r="BK128">
        <f t="shared" si="342"/>
        <v>-6.0749999999999998E-2</v>
      </c>
      <c r="BL128">
        <f t="shared" si="342"/>
        <v>-7.4400000000000022E-2</v>
      </c>
      <c r="BM128">
        <f t="shared" si="311"/>
        <v>-0.37543960000000004</v>
      </c>
      <c r="BN128">
        <f t="shared" si="343"/>
        <v>-3.5233999999999988E-2</v>
      </c>
      <c r="BO128">
        <f t="shared" si="343"/>
        <v>-7.2048000000000001E-2</v>
      </c>
      <c r="BP128">
        <f t="shared" si="343"/>
        <v>-0.11044200000000004</v>
      </c>
      <c r="BQ128">
        <f t="shared" si="343"/>
        <v>-0.15041599999999994</v>
      </c>
      <c r="BR128">
        <f t="shared" si="343"/>
        <v>-0.19197000000000003</v>
      </c>
      <c r="BS128">
        <f t="shared" si="343"/>
        <v>-0.23510400000000004</v>
      </c>
    </row>
    <row r="129" spans="2:71" x14ac:dyDescent="0.35">
      <c r="B129" t="s">
        <v>605</v>
      </c>
      <c r="C129" s="19">
        <f>regions!B107</f>
        <v>36120</v>
      </c>
      <c r="D129" s="19">
        <f>regions!C107</f>
        <v>4188136169.5258017</v>
      </c>
      <c r="E129" s="8">
        <f>regions!D107</f>
        <v>115950.613774247</v>
      </c>
      <c r="F129" s="1">
        <f>regions!Z107</f>
        <v>10.199999999999999</v>
      </c>
      <c r="G129" s="8"/>
      <c r="H129" s="8"/>
      <c r="I129">
        <f t="shared" si="335"/>
        <v>0</v>
      </c>
      <c r="J129">
        <f t="shared" si="344"/>
        <v>0</v>
      </c>
      <c r="K129">
        <f t="shared" si="344"/>
        <v>0</v>
      </c>
      <c r="L129">
        <f t="shared" si="344"/>
        <v>0</v>
      </c>
      <c r="M129">
        <f t="shared" si="344"/>
        <v>0</v>
      </c>
      <c r="N129">
        <f t="shared" si="344"/>
        <v>0</v>
      </c>
      <c r="O129">
        <f t="shared" si="344"/>
        <v>0</v>
      </c>
      <c r="P129">
        <f t="shared" si="336"/>
        <v>-4.1616E-2</v>
      </c>
      <c r="Q129">
        <f t="shared" si="345"/>
        <v>-8.5599999999999982E-3</v>
      </c>
      <c r="R129">
        <f t="shared" si="345"/>
        <v>-1.7919999999999991E-2</v>
      </c>
      <c r="S129">
        <f t="shared" si="345"/>
        <v>-2.8079999999999994E-2</v>
      </c>
      <c r="T129">
        <f t="shared" si="345"/>
        <v>-3.9039999999999991E-2</v>
      </c>
      <c r="U129">
        <f t="shared" si="345"/>
        <v>-5.0799999999999998E-2</v>
      </c>
      <c r="V129">
        <f t="shared" si="345"/>
        <v>-6.336E-2</v>
      </c>
      <c r="W129">
        <f t="shared" si="337"/>
        <v>-5.2019999999999997E-2</v>
      </c>
      <c r="X129">
        <f t="shared" si="346"/>
        <v>-1.0700000000000001E-2</v>
      </c>
      <c r="Y129">
        <f t="shared" si="346"/>
        <v>-2.2399999999999989E-2</v>
      </c>
      <c r="Z129">
        <f t="shared" si="346"/>
        <v>-3.5099999999999992E-2</v>
      </c>
      <c r="AA129">
        <f t="shared" si="346"/>
        <v>-4.8799999999999996E-2</v>
      </c>
      <c r="AB129">
        <f t="shared" si="346"/>
        <v>-6.3500000000000001E-2</v>
      </c>
      <c r="AC129">
        <f t="shared" si="346"/>
        <v>-7.9200000000000007E-2</v>
      </c>
      <c r="AD129">
        <f t="shared" si="338"/>
        <v>-4.7130119999999998E-2</v>
      </c>
      <c r="AE129">
        <f t="shared" si="347"/>
        <v>-9.6941999999999931E-3</v>
      </c>
      <c r="AF129">
        <f t="shared" si="347"/>
        <v>-2.029439999999999E-2</v>
      </c>
      <c r="AG129">
        <f t="shared" si="347"/>
        <v>-3.1800599999999998E-2</v>
      </c>
      <c r="AH129">
        <f t="shared" si="347"/>
        <v>-4.4212799999999997E-2</v>
      </c>
      <c r="AI129">
        <f t="shared" si="347"/>
        <v>-5.7530999999999999E-2</v>
      </c>
      <c r="AJ129">
        <f t="shared" si="347"/>
        <v>-7.1755200000000005E-2</v>
      </c>
      <c r="AK129">
        <f t="shared" si="339"/>
        <v>-5.3060400000000001E-2</v>
      </c>
      <c r="AL129">
        <f t="shared" si="348"/>
        <v>-1.0914E-2</v>
      </c>
      <c r="AM129">
        <f t="shared" si="348"/>
        <v>-2.2847999999999986E-2</v>
      </c>
      <c r="AN129">
        <f t="shared" si="348"/>
        <v>-3.5801999999999994E-2</v>
      </c>
      <c r="AO129">
        <f t="shared" si="348"/>
        <v>-4.9775999999999994E-2</v>
      </c>
      <c r="AP129">
        <f t="shared" si="348"/>
        <v>-6.4769999999999994E-2</v>
      </c>
      <c r="AQ129">
        <f t="shared" si="348"/>
        <v>-8.0783999999999995E-2</v>
      </c>
      <c r="AR129">
        <f t="shared" si="340"/>
        <v>-7.9174439999999985E-2</v>
      </c>
      <c r="AS129">
        <f t="shared" si="349"/>
        <v>-1.6285399999999992E-2</v>
      </c>
      <c r="AT129">
        <f t="shared" si="349"/>
        <v>-3.4092799999999993E-2</v>
      </c>
      <c r="AU129">
        <f t="shared" si="349"/>
        <v>-5.3422200000000003E-2</v>
      </c>
      <c r="AV129">
        <f t="shared" si="349"/>
        <v>-7.4273599999999995E-2</v>
      </c>
      <c r="AW129">
        <f t="shared" si="349"/>
        <v>-9.6647000000000011E-2</v>
      </c>
      <c r="AX129">
        <f t="shared" si="349"/>
        <v>-0.12054239999999999</v>
      </c>
      <c r="AY129">
        <f t="shared" si="307"/>
        <v>-2.18484E-2</v>
      </c>
      <c r="AZ129">
        <f t="shared" si="341"/>
        <v>-4.493999999999998E-3</v>
      </c>
      <c r="BA129">
        <f t="shared" si="341"/>
        <v>-9.4079999999999962E-3</v>
      </c>
      <c r="BB129">
        <f t="shared" si="341"/>
        <v>-1.4741999999999995E-2</v>
      </c>
      <c r="BC129">
        <f t="shared" si="341"/>
        <v>-2.0495999999999997E-2</v>
      </c>
      <c r="BD129">
        <f t="shared" si="341"/>
        <v>-2.6670000000000003E-2</v>
      </c>
      <c r="BE129">
        <f t="shared" si="341"/>
        <v>-3.3264000000000002E-2</v>
      </c>
      <c r="BF129">
        <f t="shared" si="309"/>
        <v>-2.6009999999999998E-2</v>
      </c>
      <c r="BG129">
        <f t="shared" si="342"/>
        <v>-5.3500000000000006E-3</v>
      </c>
      <c r="BH129">
        <f t="shared" si="342"/>
        <v>-1.1199999999999995E-2</v>
      </c>
      <c r="BI129">
        <f t="shared" si="342"/>
        <v>-1.7549999999999996E-2</v>
      </c>
      <c r="BJ129">
        <f t="shared" si="342"/>
        <v>-2.4399999999999998E-2</v>
      </c>
      <c r="BK129">
        <f t="shared" si="342"/>
        <v>-3.175E-2</v>
      </c>
      <c r="BL129">
        <f t="shared" si="342"/>
        <v>-3.9600000000000003E-2</v>
      </c>
      <c r="BM129">
        <f t="shared" si="311"/>
        <v>-8.219159999999999E-2</v>
      </c>
      <c r="BN129">
        <f t="shared" si="343"/>
        <v>-1.6906000000000004E-2</v>
      </c>
      <c r="BO129">
        <f t="shared" si="343"/>
        <v>-3.5391999999999993E-2</v>
      </c>
      <c r="BP129">
        <f t="shared" si="343"/>
        <v>-5.5457999999999993E-2</v>
      </c>
      <c r="BQ129">
        <f t="shared" si="343"/>
        <v>-7.7103999999999992E-2</v>
      </c>
      <c r="BR129">
        <f t="shared" si="343"/>
        <v>-0.10033000000000002</v>
      </c>
      <c r="BS129">
        <f t="shared" si="343"/>
        <v>-0.12513600000000002</v>
      </c>
    </row>
    <row r="130" spans="2:71" x14ac:dyDescent="0.35">
      <c r="B130" t="s">
        <v>227</v>
      </c>
      <c r="C130" s="19">
        <f>regions!B108</f>
        <v>3286820</v>
      </c>
      <c r="D130" s="19">
        <f>regions!C108</f>
        <v>27346902406.20084</v>
      </c>
      <c r="E130" s="8">
        <f>regions!D108</f>
        <v>8320.1703793334709</v>
      </c>
      <c r="F130" s="1">
        <f>regions!Z108</f>
        <v>6.2</v>
      </c>
      <c r="G130" s="8"/>
      <c r="H130" s="8"/>
      <c r="I130">
        <f t="shared" si="335"/>
        <v>0</v>
      </c>
      <c r="J130">
        <f t="shared" si="344"/>
        <v>0</v>
      </c>
      <c r="K130">
        <f t="shared" si="344"/>
        <v>0</v>
      </c>
      <c r="L130">
        <f t="shared" si="344"/>
        <v>0</v>
      </c>
      <c r="M130">
        <f t="shared" si="344"/>
        <v>0</v>
      </c>
      <c r="N130">
        <f t="shared" si="344"/>
        <v>0</v>
      </c>
      <c r="O130">
        <f t="shared" si="344"/>
        <v>0</v>
      </c>
      <c r="P130">
        <f t="shared" si="336"/>
        <v>-1.5376000000000003E-2</v>
      </c>
      <c r="Q130">
        <f t="shared" si="345"/>
        <v>-5.3599999999999984E-3</v>
      </c>
      <c r="R130">
        <f t="shared" si="345"/>
        <v>-1.1519999999999997E-2</v>
      </c>
      <c r="S130">
        <f t="shared" si="345"/>
        <v>-1.8479999999999996E-2</v>
      </c>
      <c r="T130">
        <f t="shared" si="345"/>
        <v>-2.6239999999999999E-2</v>
      </c>
      <c r="U130">
        <f t="shared" si="345"/>
        <v>-3.4799999999999998E-2</v>
      </c>
      <c r="V130">
        <f t="shared" si="345"/>
        <v>-4.4159999999999991E-2</v>
      </c>
      <c r="W130">
        <f t="shared" si="337"/>
        <v>-1.9220000000000004E-2</v>
      </c>
      <c r="X130">
        <f t="shared" si="346"/>
        <v>-6.6999999999999976E-3</v>
      </c>
      <c r="Y130">
        <f t="shared" si="346"/>
        <v>-1.4399999999999993E-2</v>
      </c>
      <c r="Z130">
        <f t="shared" si="346"/>
        <v>-2.3099999999999992E-2</v>
      </c>
      <c r="AA130">
        <f t="shared" si="346"/>
        <v>-3.2799999999999996E-2</v>
      </c>
      <c r="AB130">
        <f t="shared" si="346"/>
        <v>-4.3499999999999997E-2</v>
      </c>
      <c r="AC130">
        <f t="shared" si="346"/>
        <v>-5.5199999999999985E-2</v>
      </c>
      <c r="AD130">
        <f t="shared" si="338"/>
        <v>-1.7413320000000003E-2</v>
      </c>
      <c r="AE130">
        <f t="shared" si="347"/>
        <v>-6.0701999999999978E-3</v>
      </c>
      <c r="AF130">
        <f t="shared" si="347"/>
        <v>-1.3046399999999996E-2</v>
      </c>
      <c r="AG130">
        <f t="shared" si="347"/>
        <v>-2.0928599999999992E-2</v>
      </c>
      <c r="AH130">
        <f t="shared" si="347"/>
        <v>-2.9716799999999995E-2</v>
      </c>
      <c r="AI130">
        <f t="shared" si="347"/>
        <v>-3.9410999999999988E-2</v>
      </c>
      <c r="AJ130">
        <f t="shared" si="347"/>
        <v>-5.0011199999999985E-2</v>
      </c>
      <c r="AK130">
        <f t="shared" si="339"/>
        <v>-1.9604400000000004E-2</v>
      </c>
      <c r="AL130">
        <f t="shared" si="348"/>
        <v>-6.8339999999999998E-3</v>
      </c>
      <c r="AM130">
        <f t="shared" si="348"/>
        <v>-1.4687999999999996E-2</v>
      </c>
      <c r="AN130">
        <f t="shared" si="348"/>
        <v>-2.3561999999999989E-2</v>
      </c>
      <c r="AO130">
        <f t="shared" si="348"/>
        <v>-3.3456E-2</v>
      </c>
      <c r="AP130">
        <f t="shared" si="348"/>
        <v>-4.4369999999999993E-2</v>
      </c>
      <c r="AQ130">
        <f t="shared" si="348"/>
        <v>-5.6303999999999979E-2</v>
      </c>
      <c r="AR130">
        <f t="shared" si="340"/>
        <v>-2.9252840000000002E-2</v>
      </c>
      <c r="AS130">
        <f t="shared" si="349"/>
        <v>-1.0197399999999995E-2</v>
      </c>
      <c r="AT130">
        <f t="shared" si="349"/>
        <v>-2.1916799999999993E-2</v>
      </c>
      <c r="AU130">
        <f t="shared" si="349"/>
        <v>-3.5158199999999987E-2</v>
      </c>
      <c r="AV130">
        <f t="shared" si="349"/>
        <v>-4.9921599999999983E-2</v>
      </c>
      <c r="AW130">
        <f t="shared" si="349"/>
        <v>-6.6206999999999974E-2</v>
      </c>
      <c r="AX130">
        <f t="shared" si="349"/>
        <v>-8.4014399999999975E-2</v>
      </c>
      <c r="AY130">
        <f t="shared" si="307"/>
        <v>-8.0724000000000021E-3</v>
      </c>
      <c r="AZ130">
        <f t="shared" si="341"/>
        <v>-2.8139999999999988E-3</v>
      </c>
      <c r="BA130">
        <f t="shared" si="341"/>
        <v>-6.0479999999999978E-3</v>
      </c>
      <c r="BB130">
        <f t="shared" si="341"/>
        <v>-9.7019999999999971E-3</v>
      </c>
      <c r="BC130">
        <f t="shared" si="341"/>
        <v>-1.3775999999999998E-2</v>
      </c>
      <c r="BD130">
        <f t="shared" si="341"/>
        <v>-1.8269999999999995E-2</v>
      </c>
      <c r="BE130">
        <f t="shared" si="341"/>
        <v>-2.3183999999999996E-2</v>
      </c>
      <c r="BF130">
        <f t="shared" si="309"/>
        <v>-9.6100000000000022E-3</v>
      </c>
      <c r="BG130">
        <f t="shared" si="342"/>
        <v>-3.3499999999999988E-3</v>
      </c>
      <c r="BH130">
        <f t="shared" si="342"/>
        <v>-7.1999999999999963E-3</v>
      </c>
      <c r="BI130">
        <f t="shared" si="342"/>
        <v>-1.1549999999999996E-2</v>
      </c>
      <c r="BJ130">
        <f t="shared" si="342"/>
        <v>-1.6399999999999998E-2</v>
      </c>
      <c r="BK130">
        <f t="shared" si="342"/>
        <v>-2.1749999999999999E-2</v>
      </c>
      <c r="BL130">
        <f t="shared" si="342"/>
        <v>-2.7599999999999993E-2</v>
      </c>
      <c r="BM130">
        <f t="shared" si="311"/>
        <v>-3.0367600000000005E-2</v>
      </c>
      <c r="BN130">
        <f t="shared" si="343"/>
        <v>-1.0586000000000002E-2</v>
      </c>
      <c r="BO130">
        <f t="shared" si="343"/>
        <v>-2.2751999999999991E-2</v>
      </c>
      <c r="BP130">
        <f t="shared" si="343"/>
        <v>-3.6497999999999975E-2</v>
      </c>
      <c r="BQ130">
        <f t="shared" si="343"/>
        <v>-5.1823999999999981E-2</v>
      </c>
      <c r="BR130">
        <f t="shared" si="343"/>
        <v>-6.8729999999999986E-2</v>
      </c>
      <c r="BS130">
        <f t="shared" si="343"/>
        <v>-8.7215999999999974E-2</v>
      </c>
    </row>
    <row r="131" spans="2:71" x14ac:dyDescent="0.35">
      <c r="B131" t="s">
        <v>161</v>
      </c>
      <c r="C131" s="19">
        <f>regions!B109</f>
        <v>506953</v>
      </c>
      <c r="D131" s="19">
        <f>regions!C109</f>
        <v>40696164751.529617</v>
      </c>
      <c r="E131" s="8">
        <f>regions!D109</f>
        <v>80276.011290059658</v>
      </c>
      <c r="F131" s="1">
        <f>regions!Z109</f>
        <v>8.6999999999999993</v>
      </c>
      <c r="G131" s="8"/>
      <c r="H131" s="8"/>
      <c r="I131">
        <f t="shared" si="335"/>
        <v>0</v>
      </c>
      <c r="J131">
        <f t="shared" si="344"/>
        <v>0</v>
      </c>
      <c r="K131">
        <f t="shared" si="344"/>
        <v>0</v>
      </c>
      <c r="L131">
        <f t="shared" si="344"/>
        <v>0</v>
      </c>
      <c r="M131">
        <f t="shared" si="344"/>
        <v>0</v>
      </c>
      <c r="N131">
        <f t="shared" si="344"/>
        <v>0</v>
      </c>
      <c r="O131">
        <f t="shared" si="344"/>
        <v>0</v>
      </c>
      <c r="P131">
        <f t="shared" si="336"/>
        <v>-3.0275999999999994E-2</v>
      </c>
      <c r="Q131">
        <f t="shared" si="345"/>
        <v>-7.360000000000002E-3</v>
      </c>
      <c r="R131">
        <f t="shared" si="345"/>
        <v>-1.5520000000000003E-2</v>
      </c>
      <c r="S131">
        <f t="shared" si="345"/>
        <v>-2.4480000000000005E-2</v>
      </c>
      <c r="T131">
        <f t="shared" si="345"/>
        <v>-3.4240000000000007E-2</v>
      </c>
      <c r="U131">
        <f t="shared" si="345"/>
        <v>-4.4799999999999993E-2</v>
      </c>
      <c r="V131">
        <f t="shared" si="345"/>
        <v>-5.6160000000000002E-2</v>
      </c>
      <c r="W131">
        <f t="shared" si="337"/>
        <v>-3.784499999999999E-2</v>
      </c>
      <c r="X131">
        <f t="shared" si="346"/>
        <v>-9.2000000000000068E-3</v>
      </c>
      <c r="Y131">
        <f t="shared" si="346"/>
        <v>-1.9400000000000001E-2</v>
      </c>
      <c r="Z131">
        <f t="shared" si="346"/>
        <v>-3.0600000000000002E-2</v>
      </c>
      <c r="AA131">
        <f t="shared" si="346"/>
        <v>-4.2800000000000005E-2</v>
      </c>
      <c r="AB131">
        <f t="shared" si="346"/>
        <v>-5.5999999999999994E-2</v>
      </c>
      <c r="AC131">
        <f t="shared" si="346"/>
        <v>-7.0199999999999999E-2</v>
      </c>
      <c r="AD131">
        <f t="shared" si="338"/>
        <v>-3.4287569999999996E-2</v>
      </c>
      <c r="AE131">
        <f t="shared" si="347"/>
        <v>-8.3352000000000009E-3</v>
      </c>
      <c r="AF131">
        <f t="shared" si="347"/>
        <v>-1.7576399999999999E-2</v>
      </c>
      <c r="AG131">
        <f t="shared" si="347"/>
        <v>-2.7723600000000001E-2</v>
      </c>
      <c r="AH131">
        <f t="shared" si="347"/>
        <v>-3.8776800000000007E-2</v>
      </c>
      <c r="AI131">
        <f t="shared" si="347"/>
        <v>-5.0735999999999996E-2</v>
      </c>
      <c r="AJ131">
        <f t="shared" si="347"/>
        <v>-6.3601199999999997E-2</v>
      </c>
      <c r="AK131">
        <f t="shared" si="339"/>
        <v>-3.8601899999999995E-2</v>
      </c>
      <c r="AL131">
        <f t="shared" si="348"/>
        <v>-9.3840000000000034E-3</v>
      </c>
      <c r="AM131">
        <f t="shared" si="348"/>
        <v>-1.9788E-2</v>
      </c>
      <c r="AN131">
        <f t="shared" si="348"/>
        <v>-3.1212000000000004E-2</v>
      </c>
      <c r="AO131">
        <f t="shared" si="348"/>
        <v>-4.3656E-2</v>
      </c>
      <c r="AP131">
        <f t="shared" si="348"/>
        <v>-5.711999999999999E-2</v>
      </c>
      <c r="AQ131">
        <f t="shared" si="348"/>
        <v>-7.1604000000000001E-2</v>
      </c>
      <c r="AR131">
        <f t="shared" si="340"/>
        <v>-5.7600089999999986E-2</v>
      </c>
      <c r="AS131">
        <f t="shared" si="349"/>
        <v>-1.4002400000000005E-2</v>
      </c>
      <c r="AT131">
        <f t="shared" si="349"/>
        <v>-2.9526799999999999E-2</v>
      </c>
      <c r="AU131">
        <f t="shared" si="349"/>
        <v>-4.6573200000000002E-2</v>
      </c>
      <c r="AV131">
        <f t="shared" si="349"/>
        <v>-6.5141599999999994E-2</v>
      </c>
      <c r="AW131">
        <f t="shared" si="349"/>
        <v>-8.5231999999999974E-2</v>
      </c>
      <c r="AX131">
        <f t="shared" si="349"/>
        <v>-0.10684439999999998</v>
      </c>
      <c r="AY131">
        <f t="shared" si="307"/>
        <v>-1.5894899999999997E-2</v>
      </c>
      <c r="AZ131">
        <f t="shared" si="341"/>
        <v>-3.8640000000000028E-3</v>
      </c>
      <c r="BA131">
        <f t="shared" si="341"/>
        <v>-8.147999999999999E-3</v>
      </c>
      <c r="BB131">
        <f t="shared" si="341"/>
        <v>-1.2852000000000002E-2</v>
      </c>
      <c r="BC131">
        <f t="shared" si="341"/>
        <v>-1.7976000000000006E-2</v>
      </c>
      <c r="BD131">
        <f t="shared" si="341"/>
        <v>-2.3519999999999999E-2</v>
      </c>
      <c r="BE131">
        <f t="shared" si="341"/>
        <v>-2.9484000000000003E-2</v>
      </c>
      <c r="BF131">
        <f t="shared" si="309"/>
        <v>-1.8922499999999995E-2</v>
      </c>
      <c r="BG131">
        <f t="shared" si="342"/>
        <v>-4.6000000000000034E-3</v>
      </c>
      <c r="BH131">
        <f t="shared" si="342"/>
        <v>-9.7000000000000003E-3</v>
      </c>
      <c r="BI131">
        <f t="shared" si="342"/>
        <v>-1.5300000000000001E-2</v>
      </c>
      <c r="BJ131">
        <f t="shared" si="342"/>
        <v>-2.1400000000000002E-2</v>
      </c>
      <c r="BK131">
        <f t="shared" si="342"/>
        <v>-2.7999999999999997E-2</v>
      </c>
      <c r="BL131">
        <f t="shared" si="342"/>
        <v>-3.5099999999999999E-2</v>
      </c>
      <c r="BM131">
        <f t="shared" si="311"/>
        <v>-5.979509999999999E-2</v>
      </c>
      <c r="BN131">
        <f t="shared" si="343"/>
        <v>-1.4536000000000007E-2</v>
      </c>
      <c r="BO131">
        <f t="shared" si="343"/>
        <v>-3.0651999999999999E-2</v>
      </c>
      <c r="BP131">
        <f t="shared" si="343"/>
        <v>-4.8348000000000002E-2</v>
      </c>
      <c r="BQ131">
        <f t="shared" si="343"/>
        <v>-6.7624000000000017E-2</v>
      </c>
      <c r="BR131">
        <f t="shared" si="343"/>
        <v>-8.8479999999999975E-2</v>
      </c>
      <c r="BS131">
        <f t="shared" si="343"/>
        <v>-0.11091599999999999</v>
      </c>
    </row>
    <row r="132" spans="2:71" x14ac:dyDescent="0.35">
      <c r="B132" t="s">
        <v>386</v>
      </c>
      <c r="C132" s="19">
        <f>regions!B110</f>
        <v>534626</v>
      </c>
      <c r="D132" s="19">
        <f>regions!C110</f>
        <v>20684154508.54776</v>
      </c>
      <c r="E132" s="8">
        <f>regions!D110</f>
        <v>38689.01719809317</v>
      </c>
      <c r="F132" s="1">
        <f>regions!Z110</f>
        <v>22.8</v>
      </c>
      <c r="G132" s="8"/>
      <c r="H132" s="8"/>
      <c r="I132">
        <f t="shared" si="335"/>
        <v>0</v>
      </c>
      <c r="J132">
        <f t="shared" si="344"/>
        <v>0</v>
      </c>
      <c r="K132">
        <f t="shared" si="344"/>
        <v>0</v>
      </c>
      <c r="L132">
        <f t="shared" si="344"/>
        <v>0</v>
      </c>
      <c r="M132">
        <f t="shared" si="344"/>
        <v>0</v>
      </c>
      <c r="N132">
        <f t="shared" si="344"/>
        <v>0</v>
      </c>
      <c r="O132">
        <f t="shared" si="344"/>
        <v>0</v>
      </c>
      <c r="P132">
        <f t="shared" si="336"/>
        <v>-0.20793600000000001</v>
      </c>
      <c r="Q132">
        <f t="shared" si="345"/>
        <v>-1.8640000000000018E-2</v>
      </c>
      <c r="R132">
        <f t="shared" si="345"/>
        <v>-3.808000000000003E-2</v>
      </c>
      <c r="S132">
        <f t="shared" si="345"/>
        <v>-5.8319999999999983E-2</v>
      </c>
      <c r="T132">
        <f t="shared" si="345"/>
        <v>-7.9359999999999986E-2</v>
      </c>
      <c r="U132">
        <f t="shared" si="345"/>
        <v>-0.10120000000000001</v>
      </c>
      <c r="V132">
        <f t="shared" si="345"/>
        <v>-0.12384000000000001</v>
      </c>
      <c r="W132">
        <f t="shared" si="337"/>
        <v>-0.25992000000000004</v>
      </c>
      <c r="X132">
        <f t="shared" si="346"/>
        <v>-2.3299999999999987E-2</v>
      </c>
      <c r="Y132">
        <f t="shared" si="346"/>
        <v>-4.7600000000000031E-2</v>
      </c>
      <c r="Z132">
        <f t="shared" si="346"/>
        <v>-7.2899999999999965E-2</v>
      </c>
      <c r="AA132">
        <f t="shared" si="346"/>
        <v>-9.9199999999999955E-2</v>
      </c>
      <c r="AB132">
        <f t="shared" si="346"/>
        <v>-0.1265</v>
      </c>
      <c r="AC132">
        <f t="shared" si="346"/>
        <v>-0.15479999999999999</v>
      </c>
      <c r="AD132">
        <f t="shared" si="338"/>
        <v>-0.23548752000000001</v>
      </c>
      <c r="AE132">
        <f t="shared" si="347"/>
        <v>-2.1109800000000012E-2</v>
      </c>
      <c r="AF132">
        <f t="shared" si="347"/>
        <v>-4.3125600000000042E-2</v>
      </c>
      <c r="AG132">
        <f t="shared" si="347"/>
        <v>-6.6047399999999978E-2</v>
      </c>
      <c r="AH132">
        <f t="shared" si="347"/>
        <v>-8.9875199999999988E-2</v>
      </c>
      <c r="AI132">
        <f t="shared" si="347"/>
        <v>-0.11460900000000002</v>
      </c>
      <c r="AJ132">
        <f t="shared" si="347"/>
        <v>-0.14024880000000001</v>
      </c>
      <c r="AK132">
        <f t="shared" si="339"/>
        <v>-0.26511840000000003</v>
      </c>
      <c r="AL132">
        <f t="shared" si="348"/>
        <v>-2.3766000000000009E-2</v>
      </c>
      <c r="AM132">
        <f t="shared" si="348"/>
        <v>-4.855200000000004E-2</v>
      </c>
      <c r="AN132">
        <f t="shared" si="348"/>
        <v>-7.435799999999998E-2</v>
      </c>
      <c r="AO132">
        <f t="shared" si="348"/>
        <v>-0.101184</v>
      </c>
      <c r="AP132">
        <f t="shared" si="348"/>
        <v>-0.12903000000000003</v>
      </c>
      <c r="AQ132">
        <f t="shared" si="348"/>
        <v>-0.15789600000000004</v>
      </c>
      <c r="AR132">
        <f t="shared" si="340"/>
        <v>-0.39559823999999999</v>
      </c>
      <c r="AS132">
        <f t="shared" si="349"/>
        <v>-3.5462600000000011E-2</v>
      </c>
      <c r="AT132">
        <f t="shared" si="349"/>
        <v>-7.2447200000000045E-2</v>
      </c>
      <c r="AU132">
        <f t="shared" si="349"/>
        <v>-0.11095379999999999</v>
      </c>
      <c r="AV132">
        <f t="shared" si="349"/>
        <v>-0.15098239999999996</v>
      </c>
      <c r="AW132">
        <f t="shared" si="349"/>
        <v>-0.19253299999999995</v>
      </c>
      <c r="AX132">
        <f t="shared" si="349"/>
        <v>-0.23560559999999997</v>
      </c>
      <c r="AY132">
        <f t="shared" si="307"/>
        <v>-0.10916640000000001</v>
      </c>
      <c r="AZ132">
        <f t="shared" si="341"/>
        <v>-9.786000000000003E-3</v>
      </c>
      <c r="BA132">
        <f t="shared" si="341"/>
        <v>-1.9992000000000024E-2</v>
      </c>
      <c r="BB132">
        <f t="shared" si="341"/>
        <v>-3.0617999999999992E-2</v>
      </c>
      <c r="BC132">
        <f t="shared" si="341"/>
        <v>-4.1663999999999993E-2</v>
      </c>
      <c r="BD132">
        <f t="shared" si="341"/>
        <v>-5.3129999999999997E-2</v>
      </c>
      <c r="BE132">
        <f t="shared" si="341"/>
        <v>-6.5016000000000004E-2</v>
      </c>
      <c r="BF132">
        <f t="shared" si="309"/>
        <v>-0.12996000000000002</v>
      </c>
      <c r="BG132">
        <f t="shared" si="342"/>
        <v>-1.1649999999999994E-2</v>
      </c>
      <c r="BH132">
        <f t="shared" si="342"/>
        <v>-2.3800000000000016E-2</v>
      </c>
      <c r="BI132">
        <f t="shared" si="342"/>
        <v>-3.6449999999999982E-2</v>
      </c>
      <c r="BJ132">
        <f t="shared" si="342"/>
        <v>-4.9599999999999977E-2</v>
      </c>
      <c r="BK132">
        <f t="shared" si="342"/>
        <v>-6.3250000000000001E-2</v>
      </c>
      <c r="BL132">
        <f t="shared" si="342"/>
        <v>-7.7399999999999997E-2</v>
      </c>
      <c r="BM132">
        <f t="shared" si="311"/>
        <v>-0.41067360000000003</v>
      </c>
      <c r="BN132">
        <f t="shared" si="343"/>
        <v>-3.6814000000000013E-2</v>
      </c>
      <c r="BO132">
        <f t="shared" si="343"/>
        <v>-7.5208000000000053E-2</v>
      </c>
      <c r="BP132">
        <f t="shared" si="343"/>
        <v>-0.11518199999999995</v>
      </c>
      <c r="BQ132">
        <f t="shared" si="343"/>
        <v>-0.15673600000000004</v>
      </c>
      <c r="BR132">
        <f t="shared" si="343"/>
        <v>-0.19987000000000005</v>
      </c>
      <c r="BS132">
        <f t="shared" si="343"/>
        <v>-0.24458400000000008</v>
      </c>
    </row>
    <row r="133" spans="2:71" x14ac:dyDescent="0.35">
      <c r="B133" t="s">
        <v>387</v>
      </c>
      <c r="C133" s="19">
        <f>regions!B111</f>
        <v>2102216</v>
      </c>
      <c r="D133" s="19">
        <f>regions!C111</f>
        <v>7140636379.2323322</v>
      </c>
      <c r="E133" s="8">
        <f>regions!D111</f>
        <v>3396.7186907683758</v>
      </c>
      <c r="F133" s="1">
        <f>regions!Z111</f>
        <v>9.8000000000000007</v>
      </c>
      <c r="G133" s="8"/>
      <c r="H133" s="8"/>
      <c r="I133">
        <f t="shared" si="335"/>
        <v>-0.13661200000000001</v>
      </c>
      <c r="J133">
        <f t="shared" si="344"/>
        <v>-1.393999999999998E-2</v>
      </c>
      <c r="K133">
        <f t="shared" si="344"/>
        <v>-2.7879999999999988E-2</v>
      </c>
      <c r="L133">
        <f t="shared" si="344"/>
        <v>-4.1819999999999996E-2</v>
      </c>
      <c r="M133">
        <f t="shared" si="344"/>
        <v>-5.5759999999999976E-2</v>
      </c>
      <c r="N133">
        <f t="shared" si="344"/>
        <v>-6.9699999999999984E-2</v>
      </c>
      <c r="O133">
        <f t="shared" si="344"/>
        <v>-8.3639999999999992E-2</v>
      </c>
      <c r="P133">
        <f t="shared" si="336"/>
        <v>-3.8416000000000013E-2</v>
      </c>
      <c r="Q133">
        <f t="shared" si="345"/>
        <v>-8.2399999999999973E-3</v>
      </c>
      <c r="R133">
        <f t="shared" si="345"/>
        <v>-1.7279999999999997E-2</v>
      </c>
      <c r="S133">
        <f t="shared" si="345"/>
        <v>-2.7119999999999998E-2</v>
      </c>
      <c r="T133">
        <f t="shared" si="345"/>
        <v>-3.7759999999999995E-2</v>
      </c>
      <c r="U133">
        <f t="shared" si="345"/>
        <v>-4.9200000000000001E-2</v>
      </c>
      <c r="V133">
        <f t="shared" si="345"/>
        <v>-6.1440000000000002E-2</v>
      </c>
      <c r="W133">
        <f t="shared" si="337"/>
        <v>-4.8020000000000014E-2</v>
      </c>
      <c r="X133">
        <f t="shared" si="346"/>
        <v>-1.0299999999999997E-2</v>
      </c>
      <c r="Y133">
        <f t="shared" si="346"/>
        <v>-2.1599999999999987E-2</v>
      </c>
      <c r="Z133">
        <f t="shared" si="346"/>
        <v>-3.3900000000000007E-2</v>
      </c>
      <c r="AA133">
        <f t="shared" si="346"/>
        <v>-4.7199999999999999E-2</v>
      </c>
      <c r="AB133">
        <f t="shared" si="346"/>
        <v>-6.1499999999999992E-2</v>
      </c>
      <c r="AC133">
        <f t="shared" si="346"/>
        <v>-7.6800000000000007E-2</v>
      </c>
      <c r="AD133">
        <f t="shared" si="338"/>
        <v>-4.3506120000000009E-2</v>
      </c>
      <c r="AE133">
        <f t="shared" si="347"/>
        <v>-9.3318000000000012E-3</v>
      </c>
      <c r="AF133">
        <f t="shared" si="347"/>
        <v>-1.9569599999999993E-2</v>
      </c>
      <c r="AG133">
        <f t="shared" si="347"/>
        <v>-3.0713400000000002E-2</v>
      </c>
      <c r="AH133">
        <f t="shared" si="347"/>
        <v>-4.2763200000000001E-2</v>
      </c>
      <c r="AI133">
        <f t="shared" si="347"/>
        <v>-5.5719000000000005E-2</v>
      </c>
      <c r="AJ133">
        <f t="shared" si="347"/>
        <v>-6.9580799999999998E-2</v>
      </c>
      <c r="AK133">
        <f t="shared" si="339"/>
        <v>-4.8980400000000014E-2</v>
      </c>
      <c r="AL133">
        <f t="shared" si="348"/>
        <v>-1.0505999999999995E-2</v>
      </c>
      <c r="AM133">
        <f t="shared" si="348"/>
        <v>-2.2031999999999989E-2</v>
      </c>
      <c r="AN133">
        <f t="shared" si="348"/>
        <v>-3.4578000000000005E-2</v>
      </c>
      <c r="AO133">
        <f t="shared" si="348"/>
        <v>-4.8143999999999999E-2</v>
      </c>
      <c r="AP133">
        <f t="shared" si="348"/>
        <v>-6.2730000000000008E-2</v>
      </c>
      <c r="AQ133">
        <f t="shared" si="348"/>
        <v>-7.8336000000000017E-2</v>
      </c>
      <c r="AR133">
        <f t="shared" si="340"/>
        <v>-7.3086440000000016E-2</v>
      </c>
      <c r="AS133">
        <f t="shared" si="349"/>
        <v>-1.5676599999999985E-2</v>
      </c>
      <c r="AT133">
        <f t="shared" si="349"/>
        <v>-3.2875199999999979E-2</v>
      </c>
      <c r="AU133">
        <f t="shared" si="349"/>
        <v>-5.1595799999999997E-2</v>
      </c>
      <c r="AV133">
        <f t="shared" si="349"/>
        <v>-7.1838399999999983E-2</v>
      </c>
      <c r="AW133">
        <f t="shared" si="349"/>
        <v>-9.3602999999999978E-2</v>
      </c>
      <c r="AX133">
        <f t="shared" si="349"/>
        <v>-0.1168896</v>
      </c>
      <c r="AY133">
        <f t="shared" si="307"/>
        <v>-2.0168400000000006E-2</v>
      </c>
      <c r="AZ133">
        <f t="shared" si="341"/>
        <v>-4.3259999999999965E-3</v>
      </c>
      <c r="BA133">
        <f t="shared" si="341"/>
        <v>-9.0719999999999967E-3</v>
      </c>
      <c r="BB133">
        <f t="shared" si="341"/>
        <v>-1.4238000000000004E-2</v>
      </c>
      <c r="BC133">
        <f t="shared" si="341"/>
        <v>-1.9823999999999998E-2</v>
      </c>
      <c r="BD133">
        <f t="shared" si="341"/>
        <v>-2.5830000000000002E-2</v>
      </c>
      <c r="BE133">
        <f t="shared" si="341"/>
        <v>-3.2255999999999993E-2</v>
      </c>
      <c r="BF133">
        <f t="shared" si="309"/>
        <v>-2.4010000000000007E-2</v>
      </c>
      <c r="BG133">
        <f t="shared" si="342"/>
        <v>-5.1499999999999983E-3</v>
      </c>
      <c r="BH133">
        <f t="shared" si="342"/>
        <v>-1.0799999999999994E-2</v>
      </c>
      <c r="BI133">
        <f t="shared" si="342"/>
        <v>-1.6950000000000003E-2</v>
      </c>
      <c r="BJ133">
        <f t="shared" si="342"/>
        <v>-2.3599999999999999E-2</v>
      </c>
      <c r="BK133">
        <f t="shared" si="342"/>
        <v>-3.0749999999999996E-2</v>
      </c>
      <c r="BL133">
        <f t="shared" si="342"/>
        <v>-3.8400000000000004E-2</v>
      </c>
      <c r="BM133">
        <f t="shared" si="311"/>
        <v>-7.5871600000000011E-2</v>
      </c>
      <c r="BN133">
        <f t="shared" si="343"/>
        <v>-1.6273999999999997E-2</v>
      </c>
      <c r="BO133">
        <f t="shared" si="343"/>
        <v>-3.4127999999999992E-2</v>
      </c>
      <c r="BP133">
        <f t="shared" si="343"/>
        <v>-5.3562000000000026E-2</v>
      </c>
      <c r="BQ133">
        <f t="shared" si="343"/>
        <v>-7.4576000000000003E-2</v>
      </c>
      <c r="BR133">
        <f t="shared" si="343"/>
        <v>-9.7170000000000006E-2</v>
      </c>
      <c r="BS133">
        <f t="shared" si="343"/>
        <v>-0.12134400000000001</v>
      </c>
    </row>
    <row r="134" spans="2:71" x14ac:dyDescent="0.35">
      <c r="B134" t="s">
        <v>162</v>
      </c>
      <c r="C134" s="19">
        <f>regions!B112</f>
        <v>21079532</v>
      </c>
      <c r="D134" s="19">
        <f>regions!C112</f>
        <v>5759450979.3430977</v>
      </c>
      <c r="E134" s="8">
        <f>regions!D112</f>
        <v>273.22480306218836</v>
      </c>
      <c r="F134" s="1">
        <f>regions!Z112</f>
        <v>22.6</v>
      </c>
      <c r="G134" s="8"/>
      <c r="H134" s="8"/>
      <c r="I134">
        <f t="shared" si="335"/>
        <v>-0.31504399999999999</v>
      </c>
      <c r="J134">
        <f t="shared" si="344"/>
        <v>-1.3940000000000008E-2</v>
      </c>
      <c r="K134">
        <f t="shared" si="344"/>
        <v>-2.7880000000000016E-2</v>
      </c>
      <c r="L134">
        <f t="shared" si="344"/>
        <v>-4.1820000000000024E-2</v>
      </c>
      <c r="M134">
        <f t="shared" si="344"/>
        <v>-5.5760000000000032E-2</v>
      </c>
      <c r="N134">
        <f t="shared" si="344"/>
        <v>-6.9699999999999984E-2</v>
      </c>
      <c r="O134">
        <f t="shared" si="344"/>
        <v>-8.3639999999999992E-2</v>
      </c>
      <c r="P134">
        <f t="shared" si="336"/>
        <v>-0.20430400000000004</v>
      </c>
      <c r="Q134">
        <f t="shared" si="345"/>
        <v>-1.8479999999999996E-2</v>
      </c>
      <c r="R134">
        <f t="shared" si="345"/>
        <v>-3.7760000000000016E-2</v>
      </c>
      <c r="S134">
        <f t="shared" si="345"/>
        <v>-5.7840000000000003E-2</v>
      </c>
      <c r="T134">
        <f t="shared" si="345"/>
        <v>-7.8720000000000012E-2</v>
      </c>
      <c r="U134">
        <f t="shared" si="345"/>
        <v>-0.10039999999999999</v>
      </c>
      <c r="V134">
        <f t="shared" si="345"/>
        <v>-0.12287999999999999</v>
      </c>
      <c r="W134">
        <f t="shared" si="337"/>
        <v>-0.25538000000000005</v>
      </c>
      <c r="X134">
        <f t="shared" si="346"/>
        <v>-2.3099999999999954E-2</v>
      </c>
      <c r="Y134">
        <f t="shared" si="346"/>
        <v>-4.720000000000002E-2</v>
      </c>
      <c r="Z134">
        <f t="shared" si="346"/>
        <v>-7.2300000000000031E-2</v>
      </c>
      <c r="AA134">
        <f t="shared" si="346"/>
        <v>-9.8399999999999987E-2</v>
      </c>
      <c r="AB134">
        <f t="shared" si="346"/>
        <v>-0.1255</v>
      </c>
      <c r="AC134">
        <f t="shared" si="346"/>
        <v>-0.15359999999999996</v>
      </c>
      <c r="AD134">
        <f t="shared" si="338"/>
        <v>-0.23137428000000002</v>
      </c>
      <c r="AE134">
        <f t="shared" si="347"/>
        <v>-2.0928599999999992E-2</v>
      </c>
      <c r="AF134">
        <f t="shared" si="347"/>
        <v>-4.2763200000000029E-2</v>
      </c>
      <c r="AG134">
        <f t="shared" si="347"/>
        <v>-6.5503800000000029E-2</v>
      </c>
      <c r="AH134">
        <f t="shared" si="347"/>
        <v>-8.9150399999999991E-2</v>
      </c>
      <c r="AI134">
        <f t="shared" si="347"/>
        <v>-0.11370300000000003</v>
      </c>
      <c r="AJ134">
        <f t="shared" si="347"/>
        <v>-0.13916160000000002</v>
      </c>
      <c r="AK134">
        <f t="shared" si="339"/>
        <v>-0.26048760000000004</v>
      </c>
      <c r="AL134">
        <f t="shared" si="348"/>
        <v>-2.3561999999999972E-2</v>
      </c>
      <c r="AM134">
        <f t="shared" si="348"/>
        <v>-4.814400000000002E-2</v>
      </c>
      <c r="AN134">
        <f t="shared" si="348"/>
        <v>-7.3746000000000034E-2</v>
      </c>
      <c r="AO134">
        <f t="shared" si="348"/>
        <v>-0.10036800000000001</v>
      </c>
      <c r="AP134">
        <f t="shared" si="348"/>
        <v>-0.12801000000000001</v>
      </c>
      <c r="AQ134">
        <f t="shared" si="348"/>
        <v>-0.15667200000000003</v>
      </c>
      <c r="AR134">
        <f t="shared" si="340"/>
        <v>-0.38868836000000001</v>
      </c>
      <c r="AS134">
        <f t="shared" si="349"/>
        <v>-3.5158199999999973E-2</v>
      </c>
      <c r="AT134">
        <f t="shared" si="349"/>
        <v>-7.1838400000000024E-2</v>
      </c>
      <c r="AU134">
        <f t="shared" si="349"/>
        <v>-0.11004060000000004</v>
      </c>
      <c r="AV134">
        <f t="shared" si="349"/>
        <v>-0.14976479999999998</v>
      </c>
      <c r="AW134">
        <f t="shared" si="349"/>
        <v>-0.19101099999999999</v>
      </c>
      <c r="AX134">
        <f t="shared" si="349"/>
        <v>-0.23377920000000002</v>
      </c>
      <c r="AY134">
        <f t="shared" si="307"/>
        <v>-0.10725960000000001</v>
      </c>
      <c r="AZ134">
        <f t="shared" si="341"/>
        <v>-9.7020000000000023E-3</v>
      </c>
      <c r="BA134">
        <f t="shared" si="341"/>
        <v>-1.9824000000000008E-2</v>
      </c>
      <c r="BB134">
        <f t="shared" si="341"/>
        <v>-3.0366000000000032E-2</v>
      </c>
      <c r="BC134">
        <f t="shared" si="341"/>
        <v>-4.1328000000000004E-2</v>
      </c>
      <c r="BD134">
        <f t="shared" si="341"/>
        <v>-5.2710000000000007E-2</v>
      </c>
      <c r="BE134">
        <f t="shared" si="341"/>
        <v>-6.4512000000000014E-2</v>
      </c>
      <c r="BF134">
        <f t="shared" si="309"/>
        <v>-0.12769000000000003</v>
      </c>
      <c r="BG134">
        <f t="shared" si="342"/>
        <v>-1.1549999999999977E-2</v>
      </c>
      <c r="BH134">
        <f t="shared" si="342"/>
        <v>-2.360000000000001E-2</v>
      </c>
      <c r="BI134">
        <f t="shared" si="342"/>
        <v>-3.6150000000000015E-2</v>
      </c>
      <c r="BJ134">
        <f t="shared" si="342"/>
        <v>-4.9199999999999994E-2</v>
      </c>
      <c r="BK134">
        <f t="shared" si="342"/>
        <v>-6.275E-2</v>
      </c>
      <c r="BL134">
        <f t="shared" si="342"/>
        <v>-7.6799999999999979E-2</v>
      </c>
      <c r="BM134">
        <f t="shared" si="311"/>
        <v>-0.40350040000000004</v>
      </c>
      <c r="BN134">
        <f t="shared" si="343"/>
        <v>-3.6497999999999975E-2</v>
      </c>
      <c r="BO134">
        <f t="shared" si="343"/>
        <v>-7.4576000000000031E-2</v>
      </c>
      <c r="BP134">
        <f t="shared" si="343"/>
        <v>-0.11423400000000011</v>
      </c>
      <c r="BQ134">
        <f t="shared" si="343"/>
        <v>-0.155472</v>
      </c>
      <c r="BR134">
        <f t="shared" si="343"/>
        <v>-0.19829000000000002</v>
      </c>
      <c r="BS134">
        <f t="shared" si="343"/>
        <v>-0.24268799999999996</v>
      </c>
    </row>
    <row r="135" spans="2:71" x14ac:dyDescent="0.35">
      <c r="B135" t="s">
        <v>163</v>
      </c>
      <c r="C135" s="19">
        <f>regions!B113</f>
        <v>15013694</v>
      </c>
      <c r="D135" s="19">
        <f>regions!C113</f>
        <v>3290262502.0248256</v>
      </c>
      <c r="E135" s="8">
        <f>regions!D113</f>
        <v>219.15076343135976</v>
      </c>
      <c r="F135" s="1">
        <f>regions!Z113</f>
        <v>21.9</v>
      </c>
      <c r="G135" s="8"/>
      <c r="H135" s="8"/>
      <c r="I135">
        <f t="shared" si="335"/>
        <v>-0.30528599999999995</v>
      </c>
      <c r="J135">
        <f t="shared" si="344"/>
        <v>-1.3940000000000008E-2</v>
      </c>
      <c r="K135">
        <f t="shared" si="344"/>
        <v>-2.7880000000000016E-2</v>
      </c>
      <c r="L135">
        <f t="shared" si="344"/>
        <v>-4.1820000000000024E-2</v>
      </c>
      <c r="M135">
        <f t="shared" si="344"/>
        <v>-5.5760000000000032E-2</v>
      </c>
      <c r="N135">
        <f t="shared" si="344"/>
        <v>-6.970000000000004E-2</v>
      </c>
      <c r="O135">
        <f t="shared" si="344"/>
        <v>-8.3639999999999992E-2</v>
      </c>
      <c r="P135">
        <f t="shared" si="336"/>
        <v>-0.19184399999999999</v>
      </c>
      <c r="Q135">
        <f t="shared" si="345"/>
        <v>-1.7920000000000019E-2</v>
      </c>
      <c r="R135">
        <f t="shared" si="345"/>
        <v>-3.6640000000000006E-2</v>
      </c>
      <c r="S135">
        <f t="shared" si="345"/>
        <v>-5.6159999999999988E-2</v>
      </c>
      <c r="T135">
        <f t="shared" si="345"/>
        <v>-7.648000000000002E-2</v>
      </c>
      <c r="U135">
        <f t="shared" si="345"/>
        <v>-9.7599999999999992E-2</v>
      </c>
      <c r="V135">
        <f t="shared" si="345"/>
        <v>-0.11952000000000004</v>
      </c>
      <c r="W135">
        <f t="shared" si="337"/>
        <v>-0.23980499999999999</v>
      </c>
      <c r="X135">
        <f t="shared" si="346"/>
        <v>-2.2399999999999975E-2</v>
      </c>
      <c r="Y135">
        <f t="shared" si="346"/>
        <v>-4.5799999999999952E-2</v>
      </c>
      <c r="Z135">
        <f t="shared" si="346"/>
        <v>-7.0199999999999929E-2</v>
      </c>
      <c r="AA135">
        <f t="shared" si="346"/>
        <v>-9.5599999999999963E-2</v>
      </c>
      <c r="AB135">
        <f t="shared" si="346"/>
        <v>-0.12199999999999994</v>
      </c>
      <c r="AC135">
        <f t="shared" si="346"/>
        <v>-0.14939999999999998</v>
      </c>
      <c r="AD135">
        <f t="shared" si="338"/>
        <v>-0.21726332999999998</v>
      </c>
      <c r="AE135">
        <f t="shared" si="347"/>
        <v>-2.0294400000000018E-2</v>
      </c>
      <c r="AF135">
        <f t="shared" si="347"/>
        <v>-4.1494799999999998E-2</v>
      </c>
      <c r="AG135">
        <f t="shared" si="347"/>
        <v>-6.3601199999999969E-2</v>
      </c>
      <c r="AH135">
        <f t="shared" si="347"/>
        <v>-8.6613600000000013E-2</v>
      </c>
      <c r="AI135">
        <f t="shared" si="347"/>
        <v>-0.11053199999999996</v>
      </c>
      <c r="AJ135">
        <f t="shared" si="347"/>
        <v>-0.13535639999999999</v>
      </c>
      <c r="AK135">
        <f t="shared" si="339"/>
        <v>-0.24460109999999999</v>
      </c>
      <c r="AL135">
        <f t="shared" si="348"/>
        <v>-2.2848000000000007E-2</v>
      </c>
      <c r="AM135">
        <f t="shared" si="348"/>
        <v>-4.6716000000000008E-2</v>
      </c>
      <c r="AN135">
        <f t="shared" si="348"/>
        <v>-7.1603999999999973E-2</v>
      </c>
      <c r="AO135">
        <f t="shared" si="348"/>
        <v>-9.7512000000000015E-2</v>
      </c>
      <c r="AP135">
        <f t="shared" si="348"/>
        <v>-0.12443999999999997</v>
      </c>
      <c r="AQ135">
        <f t="shared" si="348"/>
        <v>-0.15238800000000005</v>
      </c>
      <c r="AR135">
        <f t="shared" si="340"/>
        <v>-0.36498320999999995</v>
      </c>
      <c r="AS135">
        <f t="shared" si="349"/>
        <v>-3.4092800000000034E-2</v>
      </c>
      <c r="AT135">
        <f t="shared" si="349"/>
        <v>-6.9707599999999981E-2</v>
      </c>
      <c r="AU135">
        <f t="shared" si="349"/>
        <v>-0.10684439999999995</v>
      </c>
      <c r="AV135">
        <f t="shared" si="349"/>
        <v>-0.1455032</v>
      </c>
      <c r="AW135">
        <f t="shared" si="349"/>
        <v>-0.1856839999999999</v>
      </c>
      <c r="AX135">
        <f t="shared" si="349"/>
        <v>-0.22738679999999994</v>
      </c>
      <c r="AY135">
        <f t="shared" si="307"/>
        <v>-0.10071809999999999</v>
      </c>
      <c r="AZ135">
        <f t="shared" si="341"/>
        <v>-9.4080000000000136E-3</v>
      </c>
      <c r="BA135">
        <f t="shared" si="341"/>
        <v>-1.9236000000000003E-2</v>
      </c>
      <c r="BB135">
        <f t="shared" si="341"/>
        <v>-2.9483999999999996E-2</v>
      </c>
      <c r="BC135">
        <f t="shared" si="341"/>
        <v>-4.0152000000000007E-2</v>
      </c>
      <c r="BD135">
        <f t="shared" si="341"/>
        <v>-5.1239999999999994E-2</v>
      </c>
      <c r="BE135">
        <f t="shared" si="341"/>
        <v>-6.2748000000000012E-2</v>
      </c>
      <c r="BF135">
        <f t="shared" si="309"/>
        <v>-0.1199025</v>
      </c>
      <c r="BG135">
        <f t="shared" si="342"/>
        <v>-1.1199999999999988E-2</v>
      </c>
      <c r="BH135">
        <f t="shared" si="342"/>
        <v>-2.2899999999999976E-2</v>
      </c>
      <c r="BI135">
        <f t="shared" si="342"/>
        <v>-3.5099999999999965E-2</v>
      </c>
      <c r="BJ135">
        <f t="shared" si="342"/>
        <v>-4.7799999999999981E-2</v>
      </c>
      <c r="BK135">
        <f t="shared" si="342"/>
        <v>-6.0999999999999971E-2</v>
      </c>
      <c r="BL135">
        <f t="shared" si="342"/>
        <v>-7.4699999999999989E-2</v>
      </c>
      <c r="BM135">
        <f t="shared" si="311"/>
        <v>-0.37889189999999995</v>
      </c>
      <c r="BN135">
        <f t="shared" si="343"/>
        <v>-3.5392000000000035E-2</v>
      </c>
      <c r="BO135">
        <f t="shared" si="343"/>
        <v>-7.2363999999999984E-2</v>
      </c>
      <c r="BP135">
        <f t="shared" si="343"/>
        <v>-0.11091599999999996</v>
      </c>
      <c r="BQ135">
        <f t="shared" si="343"/>
        <v>-0.15104800000000007</v>
      </c>
      <c r="BR135">
        <f t="shared" si="343"/>
        <v>-0.19275999999999993</v>
      </c>
      <c r="BS135">
        <f t="shared" si="343"/>
        <v>-0.23605200000000004</v>
      </c>
    </row>
    <row r="136" spans="2:71" x14ac:dyDescent="0.35">
      <c r="B136" t="s">
        <v>164</v>
      </c>
      <c r="C136" s="19">
        <f>regions!B114</f>
        <v>28275835</v>
      </c>
      <c r="D136" s="19">
        <f>regions!C114</f>
        <v>178672208075.05682</v>
      </c>
      <c r="E136" s="8">
        <f>regions!D114</f>
        <v>6318.9012128220729</v>
      </c>
      <c r="F136" s="1">
        <f>regions!Z114</f>
        <v>25.4</v>
      </c>
      <c r="G136" s="8"/>
      <c r="H136" s="8"/>
      <c r="I136">
        <f t="shared" si="335"/>
        <v>0</v>
      </c>
      <c r="J136">
        <f t="shared" ref="J136:O145" si="350">IF($E136&lt;$E$24,$D$11*($F136+J$25)-$I136,0)</f>
        <v>0</v>
      </c>
      <c r="K136">
        <f t="shared" si="350"/>
        <v>0</v>
      </c>
      <c r="L136">
        <f t="shared" si="350"/>
        <v>0</v>
      </c>
      <c r="M136">
        <f t="shared" si="350"/>
        <v>0</v>
      </c>
      <c r="N136">
        <f t="shared" si="350"/>
        <v>0</v>
      </c>
      <c r="O136">
        <f t="shared" si="350"/>
        <v>0</v>
      </c>
      <c r="P136">
        <f t="shared" si="336"/>
        <v>-0.25806400000000002</v>
      </c>
      <c r="Q136">
        <f t="shared" ref="Q136:V145" si="351">$D$13*($F136+Q$25)^2-$P136</f>
        <v>-2.0719999999999961E-2</v>
      </c>
      <c r="R136">
        <f t="shared" si="351"/>
        <v>-4.2239999999999944E-2</v>
      </c>
      <c r="S136">
        <f t="shared" si="351"/>
        <v>-6.4559999999999951E-2</v>
      </c>
      <c r="T136">
        <f t="shared" si="351"/>
        <v>-8.767999999999998E-2</v>
      </c>
      <c r="U136">
        <f t="shared" si="351"/>
        <v>-0.11159999999999998</v>
      </c>
      <c r="V136">
        <f t="shared" si="351"/>
        <v>-0.13632</v>
      </c>
      <c r="W136">
        <f t="shared" si="337"/>
        <v>-0.32257999999999998</v>
      </c>
      <c r="X136">
        <f t="shared" ref="X136:AC145" si="352">$D$15*($F136+X$25)^2-$W136</f>
        <v>-2.5899999999999979E-2</v>
      </c>
      <c r="Y136">
        <f t="shared" si="352"/>
        <v>-5.2799999999999958E-2</v>
      </c>
      <c r="Z136">
        <f t="shared" si="352"/>
        <v>-8.0699999999999994E-2</v>
      </c>
      <c r="AA136">
        <f t="shared" si="352"/>
        <v>-0.10959999999999998</v>
      </c>
      <c r="AB136">
        <f t="shared" si="352"/>
        <v>-0.13950000000000001</v>
      </c>
      <c r="AC136">
        <f t="shared" si="352"/>
        <v>-0.1704</v>
      </c>
      <c r="AD136">
        <f t="shared" si="338"/>
        <v>-0.29225748000000001</v>
      </c>
      <c r="AE136">
        <f t="shared" ref="AE136:AJ145" si="353">$D$10*($F136+AE$25)^2-$AD136</f>
        <v>-2.346539999999997E-2</v>
      </c>
      <c r="AF136">
        <f t="shared" si="353"/>
        <v>-4.7836799999999957E-2</v>
      </c>
      <c r="AG136">
        <f t="shared" si="353"/>
        <v>-7.3114199999999963E-2</v>
      </c>
      <c r="AH136">
        <f t="shared" si="353"/>
        <v>-9.929759999999993E-2</v>
      </c>
      <c r="AI136">
        <f t="shared" si="353"/>
        <v>-0.12638699999999997</v>
      </c>
      <c r="AJ136">
        <f t="shared" si="353"/>
        <v>-0.15438239999999998</v>
      </c>
      <c r="AK136">
        <f t="shared" si="339"/>
        <v>-0.32903159999999998</v>
      </c>
      <c r="AL136">
        <f t="shared" ref="AL136:AQ145" si="354">$D$17*($F136+AL$25)^2-$AK136</f>
        <v>-2.6417999999999997E-2</v>
      </c>
      <c r="AM136">
        <f t="shared" si="354"/>
        <v>-5.3855999999999959E-2</v>
      </c>
      <c r="AN136">
        <f t="shared" si="354"/>
        <v>-8.2313999999999998E-2</v>
      </c>
      <c r="AO136">
        <f t="shared" si="354"/>
        <v>-0.111792</v>
      </c>
      <c r="AP136">
        <f t="shared" si="354"/>
        <v>-0.14229000000000003</v>
      </c>
      <c r="AQ136">
        <f t="shared" si="354"/>
        <v>-0.17380799999999996</v>
      </c>
      <c r="AR136">
        <f t="shared" si="340"/>
        <v>-0.49096675999999995</v>
      </c>
      <c r="AS136">
        <f t="shared" ref="AS136:AX145" si="355">$D$8*($F136+AS$25)^2-$AR136</f>
        <v>-3.9419800000000005E-2</v>
      </c>
      <c r="AT136">
        <f t="shared" si="355"/>
        <v>-8.0361599999999922E-2</v>
      </c>
      <c r="AU136">
        <f t="shared" si="355"/>
        <v>-0.12282539999999997</v>
      </c>
      <c r="AV136">
        <f t="shared" si="355"/>
        <v>-0.16681119999999994</v>
      </c>
      <c r="AW136">
        <f t="shared" si="355"/>
        <v>-0.21231900000000004</v>
      </c>
      <c r="AX136">
        <f t="shared" si="355"/>
        <v>-0.25934879999999993</v>
      </c>
      <c r="AY136">
        <f t="shared" si="307"/>
        <v>-0.13548360000000001</v>
      </c>
      <c r="AZ136">
        <f t="shared" si="341"/>
        <v>-1.0877999999999971E-2</v>
      </c>
      <c r="BA136">
        <f t="shared" si="341"/>
        <v>-2.2175999999999974E-2</v>
      </c>
      <c r="BB136">
        <f t="shared" si="341"/>
        <v>-3.389399999999998E-2</v>
      </c>
      <c r="BC136">
        <f t="shared" si="341"/>
        <v>-4.603199999999999E-2</v>
      </c>
      <c r="BD136">
        <f t="shared" si="341"/>
        <v>-5.8590000000000003E-2</v>
      </c>
      <c r="BE136">
        <f t="shared" si="341"/>
        <v>-7.1567999999999993E-2</v>
      </c>
      <c r="BF136">
        <f t="shared" si="309"/>
        <v>-0.16128999999999999</v>
      </c>
      <c r="BG136">
        <f t="shared" si="342"/>
        <v>-1.2949999999999989E-2</v>
      </c>
      <c r="BH136">
        <f t="shared" si="342"/>
        <v>-2.6399999999999979E-2</v>
      </c>
      <c r="BI136">
        <f t="shared" si="342"/>
        <v>-4.0349999999999997E-2</v>
      </c>
      <c r="BJ136">
        <f t="shared" si="342"/>
        <v>-5.4799999999999988E-2</v>
      </c>
      <c r="BK136">
        <f t="shared" si="342"/>
        <v>-6.9750000000000006E-2</v>
      </c>
      <c r="BL136">
        <f t="shared" si="342"/>
        <v>-8.5199999999999998E-2</v>
      </c>
      <c r="BM136">
        <f t="shared" si="311"/>
        <v>-0.50967640000000003</v>
      </c>
      <c r="BN136">
        <f t="shared" si="343"/>
        <v>-4.0921999999999903E-2</v>
      </c>
      <c r="BO136">
        <f t="shared" si="343"/>
        <v>-8.3423999999999832E-2</v>
      </c>
      <c r="BP136">
        <f t="shared" si="343"/>
        <v>-0.1275059999999999</v>
      </c>
      <c r="BQ136">
        <f t="shared" si="343"/>
        <v>-0.17316799999999988</v>
      </c>
      <c r="BR136">
        <f t="shared" si="343"/>
        <v>-0.22040999999999999</v>
      </c>
      <c r="BS136">
        <f t="shared" si="343"/>
        <v>-0.26923199999999992</v>
      </c>
    </row>
    <row r="137" spans="2:71" x14ac:dyDescent="0.35">
      <c r="B137" t="s">
        <v>388</v>
      </c>
      <c r="C137" s="19">
        <f>regions!B115</f>
        <v>325694</v>
      </c>
      <c r="D137" s="19">
        <f>regions!C115</f>
        <v>1518834121.3135984</v>
      </c>
      <c r="E137" s="8">
        <f>regions!D115</f>
        <v>4663.3776529920669</v>
      </c>
      <c r="F137" s="1">
        <f>regions!Z115</f>
        <v>27.6</v>
      </c>
      <c r="G137" s="8"/>
      <c r="H137" s="8"/>
      <c r="I137">
        <f t="shared" si="335"/>
        <v>0</v>
      </c>
      <c r="J137">
        <f t="shared" si="350"/>
        <v>0</v>
      </c>
      <c r="K137">
        <f t="shared" si="350"/>
        <v>0</v>
      </c>
      <c r="L137">
        <f t="shared" si="350"/>
        <v>0</v>
      </c>
      <c r="M137">
        <f t="shared" si="350"/>
        <v>0</v>
      </c>
      <c r="N137">
        <f t="shared" si="350"/>
        <v>0</v>
      </c>
      <c r="O137">
        <f t="shared" si="350"/>
        <v>0</v>
      </c>
      <c r="P137">
        <f t="shared" si="336"/>
        <v>-0.30470400000000003</v>
      </c>
      <c r="Q137">
        <f t="shared" si="351"/>
        <v>-2.248E-2</v>
      </c>
      <c r="R137">
        <f t="shared" si="351"/>
        <v>-4.5760000000000023E-2</v>
      </c>
      <c r="S137">
        <f t="shared" si="351"/>
        <v>-6.9840000000000013E-2</v>
      </c>
      <c r="T137">
        <f t="shared" si="351"/>
        <v>-9.4720000000000026E-2</v>
      </c>
      <c r="U137">
        <f t="shared" si="351"/>
        <v>-0.12040000000000001</v>
      </c>
      <c r="V137">
        <f t="shared" si="351"/>
        <v>-0.14688000000000001</v>
      </c>
      <c r="W137">
        <f t="shared" si="337"/>
        <v>-0.38088000000000005</v>
      </c>
      <c r="X137">
        <f t="shared" si="352"/>
        <v>-2.8099999999999958E-2</v>
      </c>
      <c r="Y137">
        <f t="shared" si="352"/>
        <v>-5.7199999999999973E-2</v>
      </c>
      <c r="Z137">
        <f t="shared" si="352"/>
        <v>-8.7300000000000044E-2</v>
      </c>
      <c r="AA137">
        <f t="shared" si="352"/>
        <v>-0.11840000000000001</v>
      </c>
      <c r="AB137">
        <f t="shared" si="352"/>
        <v>-0.15049999999999991</v>
      </c>
      <c r="AC137">
        <f t="shared" si="352"/>
        <v>-0.18359999999999993</v>
      </c>
      <c r="AD137">
        <f t="shared" si="338"/>
        <v>-0.34507728000000004</v>
      </c>
      <c r="AE137">
        <f t="shared" si="353"/>
        <v>-2.5458599999999998E-2</v>
      </c>
      <c r="AF137">
        <f t="shared" si="353"/>
        <v>-5.1823200000000014E-2</v>
      </c>
      <c r="AG137">
        <f t="shared" si="353"/>
        <v>-7.9093800000000047E-2</v>
      </c>
      <c r="AH137">
        <f t="shared" si="353"/>
        <v>-0.10727039999999999</v>
      </c>
      <c r="AI137">
        <f t="shared" si="353"/>
        <v>-0.13635299999999995</v>
      </c>
      <c r="AJ137">
        <f t="shared" si="353"/>
        <v>-0.16634159999999998</v>
      </c>
      <c r="AK137">
        <f t="shared" si="339"/>
        <v>-0.38849760000000005</v>
      </c>
      <c r="AL137">
        <f t="shared" si="354"/>
        <v>-2.8662000000000021E-2</v>
      </c>
      <c r="AM137">
        <f t="shared" si="354"/>
        <v>-5.8344000000000007E-2</v>
      </c>
      <c r="AN137">
        <f t="shared" si="354"/>
        <v>-8.904600000000007E-2</v>
      </c>
      <c r="AO137">
        <f t="shared" si="354"/>
        <v>-0.12076800000000004</v>
      </c>
      <c r="AP137">
        <f t="shared" si="354"/>
        <v>-0.15350999999999998</v>
      </c>
      <c r="AQ137">
        <f t="shared" si="354"/>
        <v>-0.18727200000000005</v>
      </c>
      <c r="AR137">
        <f t="shared" si="340"/>
        <v>-0.57969936</v>
      </c>
      <c r="AS137">
        <f t="shared" si="355"/>
        <v>-4.2768200000000034E-2</v>
      </c>
      <c r="AT137">
        <f t="shared" si="355"/>
        <v>-8.705839999999998E-2</v>
      </c>
      <c r="AU137">
        <f t="shared" si="355"/>
        <v>-0.13287060000000006</v>
      </c>
      <c r="AV137">
        <f t="shared" si="355"/>
        <v>-0.18020480000000005</v>
      </c>
      <c r="AW137">
        <f t="shared" si="355"/>
        <v>-0.22906099999999996</v>
      </c>
      <c r="AX137">
        <f t="shared" si="355"/>
        <v>-0.2794392</v>
      </c>
      <c r="AY137">
        <f t="shared" si="307"/>
        <v>-0.15996960000000002</v>
      </c>
      <c r="AZ137">
        <f t="shared" si="341"/>
        <v>-1.1802000000000007E-2</v>
      </c>
      <c r="BA137">
        <f t="shared" si="341"/>
        <v>-2.4024000000000018E-2</v>
      </c>
      <c r="BB137">
        <f t="shared" si="341"/>
        <v>-3.6666000000000004E-2</v>
      </c>
      <c r="BC137">
        <f t="shared" si="341"/>
        <v>-4.9727999999999994E-2</v>
      </c>
      <c r="BD137">
        <f t="shared" si="341"/>
        <v>-6.3209999999999988E-2</v>
      </c>
      <c r="BE137">
        <f t="shared" si="341"/>
        <v>-7.7112000000000014E-2</v>
      </c>
      <c r="BF137">
        <f t="shared" si="309"/>
        <v>-0.19044000000000003</v>
      </c>
      <c r="BG137">
        <f t="shared" si="342"/>
        <v>-1.4049999999999979E-2</v>
      </c>
      <c r="BH137">
        <f t="shared" si="342"/>
        <v>-2.8599999999999987E-2</v>
      </c>
      <c r="BI137">
        <f t="shared" si="342"/>
        <v>-4.3650000000000022E-2</v>
      </c>
      <c r="BJ137">
        <f t="shared" si="342"/>
        <v>-5.9200000000000003E-2</v>
      </c>
      <c r="BK137">
        <f t="shared" si="342"/>
        <v>-7.5249999999999956E-2</v>
      </c>
      <c r="BL137">
        <f t="shared" si="342"/>
        <v>-9.1799999999999965E-2</v>
      </c>
      <c r="BM137">
        <f t="shared" si="311"/>
        <v>-0.60179040000000006</v>
      </c>
      <c r="BN137">
        <f t="shared" si="343"/>
        <v>-4.4397999999999938E-2</v>
      </c>
      <c r="BO137">
        <f t="shared" si="343"/>
        <v>-9.0376000000000012E-2</v>
      </c>
      <c r="BP137">
        <f t="shared" si="343"/>
        <v>-0.137934</v>
      </c>
      <c r="BQ137">
        <f t="shared" si="343"/>
        <v>-0.18707200000000002</v>
      </c>
      <c r="BR137">
        <f t="shared" si="343"/>
        <v>-0.23778999999999995</v>
      </c>
      <c r="BS137">
        <f t="shared" si="343"/>
        <v>-0.29008800000000001</v>
      </c>
    </row>
    <row r="138" spans="2:71" x14ac:dyDescent="0.35">
      <c r="B138" t="s">
        <v>165</v>
      </c>
      <c r="C138" s="19">
        <f>regions!B116</f>
        <v>13985961</v>
      </c>
      <c r="D138" s="19">
        <f>regions!C116</f>
        <v>6971653980.9015436</v>
      </c>
      <c r="E138" s="8">
        <f>regions!D116</f>
        <v>498.47514810755899</v>
      </c>
      <c r="F138" s="1">
        <f>regions!Z116</f>
        <v>28.2</v>
      </c>
      <c r="G138" s="8"/>
      <c r="H138" s="8"/>
      <c r="I138">
        <f t="shared" si="335"/>
        <v>-0.39310799999999996</v>
      </c>
      <c r="J138">
        <f t="shared" si="350"/>
        <v>-1.3940000000000008E-2</v>
      </c>
      <c r="K138">
        <f t="shared" si="350"/>
        <v>-2.7880000000000016E-2</v>
      </c>
      <c r="L138">
        <f t="shared" si="350"/>
        <v>-4.1820000000000024E-2</v>
      </c>
      <c r="M138">
        <f t="shared" si="350"/>
        <v>-5.5760000000000032E-2</v>
      </c>
      <c r="N138">
        <f t="shared" si="350"/>
        <v>-6.970000000000004E-2</v>
      </c>
      <c r="O138">
        <f t="shared" si="350"/>
        <v>-8.3640000000000048E-2</v>
      </c>
      <c r="P138">
        <f t="shared" si="336"/>
        <v>-0.31809600000000005</v>
      </c>
      <c r="Q138">
        <f t="shared" si="351"/>
        <v>-2.295999999999998E-2</v>
      </c>
      <c r="R138">
        <f t="shared" si="351"/>
        <v>-4.6719999999999984E-2</v>
      </c>
      <c r="S138">
        <f t="shared" si="351"/>
        <v>-7.1279999999999955E-2</v>
      </c>
      <c r="T138">
        <f t="shared" si="351"/>
        <v>-9.6640000000000059E-2</v>
      </c>
      <c r="U138">
        <f t="shared" si="351"/>
        <v>-0.12280000000000008</v>
      </c>
      <c r="V138">
        <f t="shared" si="351"/>
        <v>-0.14976</v>
      </c>
      <c r="W138">
        <f t="shared" si="337"/>
        <v>-0.39762000000000003</v>
      </c>
      <c r="X138">
        <f t="shared" si="352"/>
        <v>-2.8699999999999948E-2</v>
      </c>
      <c r="Y138">
        <f t="shared" si="352"/>
        <v>-5.8399999999999952E-2</v>
      </c>
      <c r="Z138">
        <f t="shared" si="352"/>
        <v>-8.9099999999999957E-2</v>
      </c>
      <c r="AA138">
        <f t="shared" si="352"/>
        <v>-0.12080000000000007</v>
      </c>
      <c r="AB138">
        <f t="shared" si="352"/>
        <v>-0.15350000000000014</v>
      </c>
      <c r="AC138">
        <f t="shared" si="352"/>
        <v>-0.18720000000000009</v>
      </c>
      <c r="AD138">
        <f t="shared" si="338"/>
        <v>-0.36024371999999999</v>
      </c>
      <c r="AE138">
        <f t="shared" si="353"/>
        <v>-2.6002200000000031E-2</v>
      </c>
      <c r="AF138">
        <f t="shared" si="353"/>
        <v>-5.2910400000000024E-2</v>
      </c>
      <c r="AG138">
        <f t="shared" si="353"/>
        <v>-8.072459999999998E-2</v>
      </c>
      <c r="AH138">
        <f t="shared" si="353"/>
        <v>-0.10944480000000006</v>
      </c>
      <c r="AI138">
        <f t="shared" si="353"/>
        <v>-0.13907100000000011</v>
      </c>
      <c r="AJ138">
        <f t="shared" si="353"/>
        <v>-0.16960320000000001</v>
      </c>
      <c r="AK138">
        <f t="shared" si="339"/>
        <v>-0.40557240000000006</v>
      </c>
      <c r="AL138">
        <f t="shared" si="354"/>
        <v>-2.9273999999999967E-2</v>
      </c>
      <c r="AM138">
        <f t="shared" si="354"/>
        <v>-5.9567999999999954E-2</v>
      </c>
      <c r="AN138">
        <f t="shared" si="354"/>
        <v>-9.0881999999999963E-2</v>
      </c>
      <c r="AO138">
        <f t="shared" si="354"/>
        <v>-0.1232160000000001</v>
      </c>
      <c r="AP138">
        <f t="shared" si="354"/>
        <v>-0.1565700000000001</v>
      </c>
      <c r="AQ138">
        <f t="shared" si="354"/>
        <v>-0.190944</v>
      </c>
      <c r="AR138">
        <f t="shared" si="340"/>
        <v>-0.60517763999999996</v>
      </c>
      <c r="AS138">
        <f t="shared" si="355"/>
        <v>-4.3681399999999981E-2</v>
      </c>
      <c r="AT138">
        <f t="shared" si="355"/>
        <v>-8.8884799999999986E-2</v>
      </c>
      <c r="AU138">
        <f t="shared" si="355"/>
        <v>-0.1356101999999999</v>
      </c>
      <c r="AV138">
        <f t="shared" si="355"/>
        <v>-0.18385760000000007</v>
      </c>
      <c r="AW138">
        <f t="shared" si="355"/>
        <v>-0.23362700000000014</v>
      </c>
      <c r="AX138">
        <f t="shared" si="355"/>
        <v>-0.28491840000000002</v>
      </c>
      <c r="AY138">
        <f t="shared" si="307"/>
        <v>-0.16700040000000002</v>
      </c>
      <c r="AZ138">
        <f t="shared" si="341"/>
        <v>-1.2053999999999981E-2</v>
      </c>
      <c r="BA138">
        <f t="shared" si="341"/>
        <v>-2.4527999999999966E-2</v>
      </c>
      <c r="BB138">
        <f t="shared" si="341"/>
        <v>-3.7421999999999983E-2</v>
      </c>
      <c r="BC138">
        <f t="shared" si="341"/>
        <v>-5.0736000000000031E-2</v>
      </c>
      <c r="BD138">
        <f t="shared" si="341"/>
        <v>-6.4470000000000027E-2</v>
      </c>
      <c r="BE138">
        <f t="shared" si="341"/>
        <v>-7.8623999999999999E-2</v>
      </c>
      <c r="BF138">
        <f t="shared" si="309"/>
        <v>-0.19881000000000001</v>
      </c>
      <c r="BG138">
        <f t="shared" si="342"/>
        <v>-1.4349999999999974E-2</v>
      </c>
      <c r="BH138">
        <f t="shared" si="342"/>
        <v>-2.9199999999999976E-2</v>
      </c>
      <c r="BI138">
        <f t="shared" si="342"/>
        <v>-4.4549999999999979E-2</v>
      </c>
      <c r="BJ138">
        <f t="shared" si="342"/>
        <v>-6.0400000000000037E-2</v>
      </c>
      <c r="BK138">
        <f t="shared" si="342"/>
        <v>-7.6750000000000068E-2</v>
      </c>
      <c r="BL138">
        <f t="shared" si="342"/>
        <v>-9.3600000000000044E-2</v>
      </c>
      <c r="BM138">
        <f t="shared" si="311"/>
        <v>-0.62823960000000001</v>
      </c>
      <c r="BN138">
        <f t="shared" si="343"/>
        <v>-4.5345999999999997E-2</v>
      </c>
      <c r="BO138">
        <f t="shared" si="343"/>
        <v>-9.2272000000000021E-2</v>
      </c>
      <c r="BP138">
        <f t="shared" si="343"/>
        <v>-0.14077799999999996</v>
      </c>
      <c r="BQ138">
        <f t="shared" si="343"/>
        <v>-0.19086400000000014</v>
      </c>
      <c r="BR138">
        <f t="shared" si="343"/>
        <v>-0.24253000000000025</v>
      </c>
      <c r="BS138">
        <f t="shared" si="343"/>
        <v>-0.29577600000000004</v>
      </c>
    </row>
    <row r="139" spans="2:71" x14ac:dyDescent="0.35">
      <c r="B139" t="s">
        <v>389</v>
      </c>
      <c r="C139" s="19">
        <f>regions!B117</f>
        <v>415995</v>
      </c>
      <c r="D139" s="19">
        <f>regions!C117</f>
        <v>6652772997.1789989</v>
      </c>
      <c r="E139" s="8">
        <f>regions!D117</f>
        <v>15992.434998447094</v>
      </c>
      <c r="F139" s="1">
        <f>regions!Z117</f>
        <v>19.2</v>
      </c>
      <c r="G139" s="8"/>
      <c r="H139" s="8"/>
      <c r="I139">
        <f t="shared" si="335"/>
        <v>0</v>
      </c>
      <c r="J139">
        <f t="shared" si="350"/>
        <v>0</v>
      </c>
      <c r="K139">
        <f t="shared" si="350"/>
        <v>0</v>
      </c>
      <c r="L139">
        <f t="shared" si="350"/>
        <v>0</v>
      </c>
      <c r="M139">
        <f t="shared" si="350"/>
        <v>0</v>
      </c>
      <c r="N139">
        <f t="shared" si="350"/>
        <v>0</v>
      </c>
      <c r="O139">
        <f t="shared" si="350"/>
        <v>0</v>
      </c>
      <c r="P139">
        <f t="shared" si="336"/>
        <v>-0.147456</v>
      </c>
      <c r="Q139">
        <f t="shared" si="351"/>
        <v>-1.5759999999999996E-2</v>
      </c>
      <c r="R139">
        <f t="shared" si="351"/>
        <v>-3.2320000000000015E-2</v>
      </c>
      <c r="S139">
        <f t="shared" si="351"/>
        <v>-4.9680000000000002E-2</v>
      </c>
      <c r="T139">
        <f t="shared" si="351"/>
        <v>-6.7840000000000011E-2</v>
      </c>
      <c r="U139">
        <f t="shared" si="351"/>
        <v>-8.6799999999999988E-2</v>
      </c>
      <c r="V139">
        <f t="shared" si="351"/>
        <v>-0.10656000000000002</v>
      </c>
      <c r="W139">
        <f t="shared" si="337"/>
        <v>-0.18431999999999998</v>
      </c>
      <c r="X139">
        <f t="shared" si="352"/>
        <v>-1.9699999999999995E-2</v>
      </c>
      <c r="Y139">
        <f t="shared" si="352"/>
        <v>-4.0400000000000019E-2</v>
      </c>
      <c r="Z139">
        <f t="shared" si="352"/>
        <v>-6.2100000000000016E-2</v>
      </c>
      <c r="AA139">
        <f t="shared" si="352"/>
        <v>-8.4800000000000042E-2</v>
      </c>
      <c r="AB139">
        <f t="shared" si="352"/>
        <v>-0.10850000000000004</v>
      </c>
      <c r="AC139">
        <f t="shared" si="352"/>
        <v>-0.13319999999999999</v>
      </c>
      <c r="AD139">
        <f t="shared" si="338"/>
        <v>-0.16699391999999999</v>
      </c>
      <c r="AE139">
        <f t="shared" si="353"/>
        <v>-1.7848200000000009E-2</v>
      </c>
      <c r="AF139">
        <f t="shared" si="353"/>
        <v>-3.6602400000000007E-2</v>
      </c>
      <c r="AG139">
        <f t="shared" si="353"/>
        <v>-5.6262599999999996E-2</v>
      </c>
      <c r="AH139">
        <f t="shared" si="353"/>
        <v>-7.682880000000003E-2</v>
      </c>
      <c r="AI139">
        <f t="shared" si="353"/>
        <v>-9.8300999999999999E-2</v>
      </c>
      <c r="AJ139">
        <f t="shared" si="353"/>
        <v>-0.12067920000000001</v>
      </c>
      <c r="AK139">
        <f t="shared" si="339"/>
        <v>-0.18800640000000002</v>
      </c>
      <c r="AL139">
        <f t="shared" si="354"/>
        <v>-2.0093999999999973E-2</v>
      </c>
      <c r="AM139">
        <f t="shared" si="354"/>
        <v>-4.1207999999999995E-2</v>
      </c>
      <c r="AN139">
        <f t="shared" si="354"/>
        <v>-6.3342000000000009E-2</v>
      </c>
      <c r="AO139">
        <f t="shared" si="354"/>
        <v>-8.6496000000000017E-2</v>
      </c>
      <c r="AP139">
        <f t="shared" si="354"/>
        <v>-0.11066999999999999</v>
      </c>
      <c r="AQ139">
        <f t="shared" si="354"/>
        <v>-0.13586399999999998</v>
      </c>
      <c r="AR139">
        <f t="shared" si="340"/>
        <v>-0.28053503999999996</v>
      </c>
      <c r="AS139">
        <f t="shared" si="355"/>
        <v>-2.9983399999999993E-2</v>
      </c>
      <c r="AT139">
        <f t="shared" si="355"/>
        <v>-6.148880000000001E-2</v>
      </c>
      <c r="AU139">
        <f t="shared" si="355"/>
        <v>-9.4516199999999995E-2</v>
      </c>
      <c r="AV139">
        <f t="shared" si="355"/>
        <v>-0.1290656</v>
      </c>
      <c r="AW139">
        <f t="shared" si="355"/>
        <v>-0.16513700000000003</v>
      </c>
      <c r="AX139">
        <f t="shared" si="355"/>
        <v>-0.20273039999999998</v>
      </c>
      <c r="AY139">
        <f t="shared" si="307"/>
        <v>-7.7414399999999994E-2</v>
      </c>
      <c r="AZ139">
        <f t="shared" si="341"/>
        <v>-8.2740000000000036E-3</v>
      </c>
      <c r="BA139">
        <f t="shared" si="341"/>
        <v>-1.6968000000000011E-2</v>
      </c>
      <c r="BB139">
        <f t="shared" si="341"/>
        <v>-2.6082000000000008E-2</v>
      </c>
      <c r="BC139">
        <f t="shared" si="341"/>
        <v>-3.5616000000000009E-2</v>
      </c>
      <c r="BD139">
        <f t="shared" si="341"/>
        <v>-4.5570000000000013E-2</v>
      </c>
      <c r="BE139">
        <f t="shared" si="341"/>
        <v>-5.5943999999999994E-2</v>
      </c>
      <c r="BF139">
        <f t="shared" si="309"/>
        <v>-9.2159999999999992E-2</v>
      </c>
      <c r="BG139">
        <f t="shared" ref="BG139:BL154" si="356">$D$21*($F139+BG$25)^2-$BF139</f>
        <v>-9.8499999999999976E-3</v>
      </c>
      <c r="BH139">
        <f t="shared" si="356"/>
        <v>-2.020000000000001E-2</v>
      </c>
      <c r="BI139">
        <f t="shared" si="356"/>
        <v>-3.1050000000000008E-2</v>
      </c>
      <c r="BJ139">
        <f t="shared" si="356"/>
        <v>-4.2400000000000021E-2</v>
      </c>
      <c r="BK139">
        <f t="shared" si="356"/>
        <v>-5.425000000000002E-2</v>
      </c>
      <c r="BL139">
        <f t="shared" si="356"/>
        <v>-6.6599999999999993E-2</v>
      </c>
      <c r="BM139">
        <f t="shared" si="311"/>
        <v>-0.29122559999999997</v>
      </c>
      <c r="BN139">
        <f t="shared" ref="BN139:BS154" si="357">$D$23*($F139+BN$25)^2-$BM139</f>
        <v>-3.1125999999999987E-2</v>
      </c>
      <c r="BO139">
        <f t="shared" si="357"/>
        <v>-6.3832000000000055E-2</v>
      </c>
      <c r="BP139">
        <f t="shared" si="357"/>
        <v>-9.8118000000000039E-2</v>
      </c>
      <c r="BQ139">
        <f t="shared" si="357"/>
        <v>-0.13398400000000005</v>
      </c>
      <c r="BR139">
        <f t="shared" si="357"/>
        <v>-0.17143000000000003</v>
      </c>
      <c r="BS139">
        <f t="shared" si="357"/>
        <v>-0.21045599999999998</v>
      </c>
    </row>
    <row r="140" spans="2:71" x14ac:dyDescent="0.35">
      <c r="B140" t="s">
        <v>390</v>
      </c>
      <c r="C140" s="19">
        <f>regions!B118</f>
        <v>52428</v>
      </c>
      <c r="D140" s="19">
        <f>regions!C118</f>
        <v>147320121.96961504</v>
      </c>
      <c r="E140" s="8">
        <f>regions!D118</f>
        <v>2809.9512086979294</v>
      </c>
      <c r="F140" s="1">
        <f>regions!Z118</f>
        <v>27.4</v>
      </c>
      <c r="G140" s="8"/>
      <c r="H140" s="8"/>
      <c r="I140">
        <f t="shared" si="335"/>
        <v>-0.38195599999999996</v>
      </c>
      <c r="J140">
        <f t="shared" si="350"/>
        <v>-1.3940000000000008E-2</v>
      </c>
      <c r="K140">
        <f t="shared" si="350"/>
        <v>-2.7880000000000016E-2</v>
      </c>
      <c r="L140">
        <f t="shared" si="350"/>
        <v>-4.1819999999999968E-2</v>
      </c>
      <c r="M140">
        <f t="shared" si="350"/>
        <v>-5.5759999999999976E-2</v>
      </c>
      <c r="N140">
        <f t="shared" si="350"/>
        <v>-6.9699999999999984E-2</v>
      </c>
      <c r="O140">
        <f t="shared" si="350"/>
        <v>-8.3639999999999992E-2</v>
      </c>
      <c r="P140">
        <f t="shared" si="336"/>
        <v>-0.30030399999999996</v>
      </c>
      <c r="Q140">
        <f t="shared" si="351"/>
        <v>-2.2320000000000007E-2</v>
      </c>
      <c r="R140">
        <f t="shared" si="351"/>
        <v>-4.5440000000000036E-2</v>
      </c>
      <c r="S140">
        <f t="shared" si="351"/>
        <v>-6.9360000000000033E-2</v>
      </c>
      <c r="T140">
        <f t="shared" si="351"/>
        <v>-9.4080000000000052E-2</v>
      </c>
      <c r="U140">
        <f t="shared" si="351"/>
        <v>-0.11960000000000004</v>
      </c>
      <c r="V140">
        <f t="shared" si="351"/>
        <v>-0.14592000000000005</v>
      </c>
      <c r="W140">
        <f t="shared" si="337"/>
        <v>-0.37537999999999994</v>
      </c>
      <c r="X140">
        <f t="shared" si="352"/>
        <v>-2.7900000000000036E-2</v>
      </c>
      <c r="Y140">
        <f t="shared" si="352"/>
        <v>-5.6800000000000017E-2</v>
      </c>
      <c r="Z140">
        <f t="shared" si="352"/>
        <v>-8.6700000000000055E-2</v>
      </c>
      <c r="AA140">
        <f t="shared" si="352"/>
        <v>-0.11760000000000004</v>
      </c>
      <c r="AB140">
        <f t="shared" si="352"/>
        <v>-0.14950000000000008</v>
      </c>
      <c r="AC140">
        <f t="shared" si="352"/>
        <v>-0.18240000000000001</v>
      </c>
      <c r="AD140">
        <f t="shared" si="338"/>
        <v>-0.34009427999999997</v>
      </c>
      <c r="AE140">
        <f t="shared" si="353"/>
        <v>-2.5277400000000005E-2</v>
      </c>
      <c r="AF140">
        <f t="shared" si="353"/>
        <v>-5.1460799999999973E-2</v>
      </c>
      <c r="AG140">
        <f t="shared" si="353"/>
        <v>-7.8550200000000014E-2</v>
      </c>
      <c r="AH140">
        <f t="shared" si="353"/>
        <v>-0.10654560000000002</v>
      </c>
      <c r="AI140">
        <f t="shared" si="353"/>
        <v>-0.13544700000000004</v>
      </c>
      <c r="AJ140">
        <f t="shared" si="353"/>
        <v>-0.16525440000000002</v>
      </c>
      <c r="AK140">
        <f t="shared" si="339"/>
        <v>-0.38288759999999994</v>
      </c>
      <c r="AL140">
        <f t="shared" si="354"/>
        <v>-2.8458000000000039E-2</v>
      </c>
      <c r="AM140">
        <f t="shared" si="354"/>
        <v>-5.7936000000000043E-2</v>
      </c>
      <c r="AN140">
        <f t="shared" si="354"/>
        <v>-8.8434000000000068E-2</v>
      </c>
      <c r="AO140">
        <f t="shared" si="354"/>
        <v>-0.119952</v>
      </c>
      <c r="AP140">
        <f t="shared" si="354"/>
        <v>-0.15249000000000007</v>
      </c>
      <c r="AQ140">
        <f t="shared" si="354"/>
        <v>-0.18604800000000005</v>
      </c>
      <c r="AR140">
        <f t="shared" si="340"/>
        <v>-0.57132835999999987</v>
      </c>
      <c r="AS140">
        <f t="shared" si="355"/>
        <v>-4.2463800000000052E-2</v>
      </c>
      <c r="AT140">
        <f t="shared" si="355"/>
        <v>-8.6449600000000015E-2</v>
      </c>
      <c r="AU140">
        <f t="shared" si="355"/>
        <v>-0.13195740000000011</v>
      </c>
      <c r="AV140">
        <f t="shared" si="355"/>
        <v>-0.17898720000000001</v>
      </c>
      <c r="AW140">
        <f t="shared" si="355"/>
        <v>-0.22753900000000005</v>
      </c>
      <c r="AX140">
        <f t="shared" si="355"/>
        <v>-0.27761279999999999</v>
      </c>
      <c r="AY140">
        <f t="shared" si="307"/>
        <v>-0.15765959999999998</v>
      </c>
      <c r="AZ140">
        <f t="shared" si="341"/>
        <v>-1.1718000000000006E-2</v>
      </c>
      <c r="BA140">
        <f t="shared" si="341"/>
        <v>-2.3856000000000016E-2</v>
      </c>
      <c r="BB140">
        <f t="shared" si="341"/>
        <v>-3.641400000000003E-2</v>
      </c>
      <c r="BC140">
        <f t="shared" si="341"/>
        <v>-4.9392000000000019E-2</v>
      </c>
      <c r="BD140">
        <f t="shared" si="341"/>
        <v>-6.2790000000000012E-2</v>
      </c>
      <c r="BE140">
        <f t="shared" si="341"/>
        <v>-7.6608000000000009E-2</v>
      </c>
      <c r="BF140">
        <f t="shared" si="309"/>
        <v>-0.18768999999999997</v>
      </c>
      <c r="BG140">
        <f t="shared" si="356"/>
        <v>-1.3950000000000018E-2</v>
      </c>
      <c r="BH140">
        <f t="shared" si="356"/>
        <v>-2.8400000000000009E-2</v>
      </c>
      <c r="BI140">
        <f t="shared" si="356"/>
        <v>-4.3350000000000027E-2</v>
      </c>
      <c r="BJ140">
        <f t="shared" si="356"/>
        <v>-5.8800000000000019E-2</v>
      </c>
      <c r="BK140">
        <f t="shared" si="356"/>
        <v>-7.4750000000000039E-2</v>
      </c>
      <c r="BL140">
        <f t="shared" si="356"/>
        <v>-9.1200000000000003E-2</v>
      </c>
      <c r="BM140">
        <f t="shared" si="311"/>
        <v>-0.59310039999999986</v>
      </c>
      <c r="BN140">
        <f t="shared" si="357"/>
        <v>-4.4082000000000066E-2</v>
      </c>
      <c r="BO140">
        <f t="shared" si="357"/>
        <v>-8.9744000000000046E-2</v>
      </c>
      <c r="BP140">
        <f t="shared" si="357"/>
        <v>-0.13698600000000016</v>
      </c>
      <c r="BQ140">
        <f t="shared" si="357"/>
        <v>-0.18580800000000008</v>
      </c>
      <c r="BR140">
        <f t="shared" si="357"/>
        <v>-0.23621000000000014</v>
      </c>
      <c r="BS140">
        <f t="shared" si="357"/>
        <v>-0.28819200000000011</v>
      </c>
    </row>
    <row r="141" spans="2:71" x14ac:dyDescent="0.35">
      <c r="B141" t="s">
        <v>391</v>
      </c>
      <c r="C141" s="19">
        <f>regions!B119</f>
        <v>3609420</v>
      </c>
      <c r="D141" s="19">
        <f>regions!C119</f>
        <v>2814034804.5275235</v>
      </c>
      <c r="E141" s="8">
        <f>regions!D119</f>
        <v>779.63628630847154</v>
      </c>
      <c r="F141" s="1">
        <f>regions!Z119</f>
        <v>27.6</v>
      </c>
      <c r="G141" s="8"/>
      <c r="H141" s="8"/>
      <c r="I141">
        <f t="shared" si="335"/>
        <v>-0.38474399999999997</v>
      </c>
      <c r="J141">
        <f t="shared" si="350"/>
        <v>-1.3940000000000008E-2</v>
      </c>
      <c r="K141">
        <f t="shared" si="350"/>
        <v>-2.7880000000000016E-2</v>
      </c>
      <c r="L141">
        <f t="shared" si="350"/>
        <v>-4.1820000000000024E-2</v>
      </c>
      <c r="M141">
        <f t="shared" si="350"/>
        <v>-5.5760000000000032E-2</v>
      </c>
      <c r="N141">
        <f t="shared" si="350"/>
        <v>-6.970000000000004E-2</v>
      </c>
      <c r="O141">
        <f t="shared" si="350"/>
        <v>-8.3640000000000048E-2</v>
      </c>
      <c r="P141">
        <f t="shared" si="336"/>
        <v>-0.30470400000000003</v>
      </c>
      <c r="Q141">
        <f t="shared" si="351"/>
        <v>-2.248E-2</v>
      </c>
      <c r="R141">
        <f t="shared" si="351"/>
        <v>-4.5760000000000023E-2</v>
      </c>
      <c r="S141">
        <f t="shared" si="351"/>
        <v>-6.9840000000000013E-2</v>
      </c>
      <c r="T141">
        <f t="shared" si="351"/>
        <v>-9.4720000000000026E-2</v>
      </c>
      <c r="U141">
        <f t="shared" si="351"/>
        <v>-0.12040000000000001</v>
      </c>
      <c r="V141">
        <f t="shared" si="351"/>
        <v>-0.14688000000000001</v>
      </c>
      <c r="W141">
        <f t="shared" si="337"/>
        <v>-0.38088000000000005</v>
      </c>
      <c r="X141">
        <f t="shared" si="352"/>
        <v>-2.8099999999999958E-2</v>
      </c>
      <c r="Y141">
        <f t="shared" si="352"/>
        <v>-5.7199999999999973E-2</v>
      </c>
      <c r="Z141">
        <f t="shared" si="352"/>
        <v>-8.7300000000000044E-2</v>
      </c>
      <c r="AA141">
        <f t="shared" si="352"/>
        <v>-0.11840000000000001</v>
      </c>
      <c r="AB141">
        <f t="shared" si="352"/>
        <v>-0.15049999999999991</v>
      </c>
      <c r="AC141">
        <f t="shared" si="352"/>
        <v>-0.18359999999999993</v>
      </c>
      <c r="AD141">
        <f t="shared" si="338"/>
        <v>-0.34507728000000004</v>
      </c>
      <c r="AE141">
        <f t="shared" si="353"/>
        <v>-2.5458599999999998E-2</v>
      </c>
      <c r="AF141">
        <f t="shared" si="353"/>
        <v>-5.1823200000000014E-2</v>
      </c>
      <c r="AG141">
        <f t="shared" si="353"/>
        <v>-7.9093800000000047E-2</v>
      </c>
      <c r="AH141">
        <f t="shared" si="353"/>
        <v>-0.10727039999999999</v>
      </c>
      <c r="AI141">
        <f t="shared" si="353"/>
        <v>-0.13635299999999995</v>
      </c>
      <c r="AJ141">
        <f t="shared" si="353"/>
        <v>-0.16634159999999998</v>
      </c>
      <c r="AK141">
        <f t="shared" si="339"/>
        <v>-0.38849760000000005</v>
      </c>
      <c r="AL141">
        <f t="shared" si="354"/>
        <v>-2.8662000000000021E-2</v>
      </c>
      <c r="AM141">
        <f t="shared" si="354"/>
        <v>-5.8344000000000007E-2</v>
      </c>
      <c r="AN141">
        <f t="shared" si="354"/>
        <v>-8.904600000000007E-2</v>
      </c>
      <c r="AO141">
        <f t="shared" si="354"/>
        <v>-0.12076800000000004</v>
      </c>
      <c r="AP141">
        <f t="shared" si="354"/>
        <v>-0.15350999999999998</v>
      </c>
      <c r="AQ141">
        <f t="shared" si="354"/>
        <v>-0.18727200000000005</v>
      </c>
      <c r="AR141">
        <f t="shared" si="340"/>
        <v>-0.57969936</v>
      </c>
      <c r="AS141">
        <f t="shared" si="355"/>
        <v>-4.2768200000000034E-2</v>
      </c>
      <c r="AT141">
        <f t="shared" si="355"/>
        <v>-8.705839999999998E-2</v>
      </c>
      <c r="AU141">
        <f t="shared" si="355"/>
        <v>-0.13287060000000006</v>
      </c>
      <c r="AV141">
        <f t="shared" si="355"/>
        <v>-0.18020480000000005</v>
      </c>
      <c r="AW141">
        <f t="shared" si="355"/>
        <v>-0.22906099999999996</v>
      </c>
      <c r="AX141">
        <f t="shared" si="355"/>
        <v>-0.2794392</v>
      </c>
      <c r="AY141">
        <f t="shared" si="307"/>
        <v>-0.15996960000000002</v>
      </c>
      <c r="AZ141">
        <f t="shared" si="341"/>
        <v>-1.1802000000000007E-2</v>
      </c>
      <c r="BA141">
        <f t="shared" si="341"/>
        <v>-2.4024000000000018E-2</v>
      </c>
      <c r="BB141">
        <f t="shared" si="341"/>
        <v>-3.6666000000000004E-2</v>
      </c>
      <c r="BC141">
        <f t="shared" si="341"/>
        <v>-4.9727999999999994E-2</v>
      </c>
      <c r="BD141">
        <f t="shared" si="341"/>
        <v>-6.3209999999999988E-2</v>
      </c>
      <c r="BE141">
        <f t="shared" si="341"/>
        <v>-7.7112000000000014E-2</v>
      </c>
      <c r="BF141">
        <f t="shared" si="309"/>
        <v>-0.19044000000000003</v>
      </c>
      <c r="BG141">
        <f t="shared" si="356"/>
        <v>-1.4049999999999979E-2</v>
      </c>
      <c r="BH141">
        <f t="shared" si="356"/>
        <v>-2.8599999999999987E-2</v>
      </c>
      <c r="BI141">
        <f t="shared" si="356"/>
        <v>-4.3650000000000022E-2</v>
      </c>
      <c r="BJ141">
        <f t="shared" si="356"/>
        <v>-5.9200000000000003E-2</v>
      </c>
      <c r="BK141">
        <f t="shared" si="356"/>
        <v>-7.5249999999999956E-2</v>
      </c>
      <c r="BL141">
        <f t="shared" si="356"/>
        <v>-9.1799999999999965E-2</v>
      </c>
      <c r="BM141">
        <f t="shared" si="311"/>
        <v>-0.60179040000000006</v>
      </c>
      <c r="BN141">
        <f t="shared" si="357"/>
        <v>-4.4397999999999938E-2</v>
      </c>
      <c r="BO141">
        <f t="shared" si="357"/>
        <v>-9.0376000000000012E-2</v>
      </c>
      <c r="BP141">
        <f t="shared" si="357"/>
        <v>-0.137934</v>
      </c>
      <c r="BQ141">
        <f t="shared" si="357"/>
        <v>-0.18707200000000002</v>
      </c>
      <c r="BR141">
        <f t="shared" si="357"/>
        <v>-0.23778999999999995</v>
      </c>
      <c r="BS141">
        <f t="shared" si="357"/>
        <v>-0.29008800000000001</v>
      </c>
    </row>
    <row r="142" spans="2:71" x14ac:dyDescent="0.35">
      <c r="B142" t="s">
        <v>166</v>
      </c>
      <c r="C142" s="19">
        <f>regions!B120</f>
        <v>1280924</v>
      </c>
      <c r="D142" s="19">
        <f>regions!C120</f>
        <v>7826157631.8455935</v>
      </c>
      <c r="E142" s="8">
        <f>regions!D120</f>
        <v>6109.775155938677</v>
      </c>
      <c r="F142" s="1">
        <f>regions!Z120</f>
        <v>22.4</v>
      </c>
      <c r="G142" s="8"/>
      <c r="H142" s="8"/>
      <c r="I142">
        <f t="shared" si="335"/>
        <v>0</v>
      </c>
      <c r="J142">
        <f t="shared" si="350"/>
        <v>0</v>
      </c>
      <c r="K142">
        <f t="shared" si="350"/>
        <v>0</v>
      </c>
      <c r="L142">
        <f t="shared" si="350"/>
        <v>0</v>
      </c>
      <c r="M142">
        <f t="shared" si="350"/>
        <v>0</v>
      </c>
      <c r="N142">
        <f t="shared" si="350"/>
        <v>0</v>
      </c>
      <c r="O142">
        <f t="shared" si="350"/>
        <v>0</v>
      </c>
      <c r="P142">
        <f t="shared" si="336"/>
        <v>-0.20070399999999999</v>
      </c>
      <c r="Q142">
        <f t="shared" si="351"/>
        <v>-1.8320000000000003E-2</v>
      </c>
      <c r="R142">
        <f t="shared" si="351"/>
        <v>-3.7439999999999973E-2</v>
      </c>
      <c r="S142">
        <f t="shared" si="351"/>
        <v>-5.7360000000000022E-2</v>
      </c>
      <c r="T142">
        <f t="shared" si="351"/>
        <v>-7.8079999999999983E-2</v>
      </c>
      <c r="U142">
        <f t="shared" si="351"/>
        <v>-9.9599999999999966E-2</v>
      </c>
      <c r="V142">
        <f t="shared" si="351"/>
        <v>-0.12191999999999997</v>
      </c>
      <c r="W142">
        <f t="shared" si="337"/>
        <v>-0.25087999999999999</v>
      </c>
      <c r="X142">
        <f t="shared" si="352"/>
        <v>-2.2899999999999976E-2</v>
      </c>
      <c r="Y142">
        <f t="shared" si="352"/>
        <v>-4.6799999999999953E-2</v>
      </c>
      <c r="Z142">
        <f t="shared" si="352"/>
        <v>-7.1699999999999986E-2</v>
      </c>
      <c r="AA142">
        <f t="shared" si="352"/>
        <v>-9.7599999999999965E-2</v>
      </c>
      <c r="AB142">
        <f t="shared" si="352"/>
        <v>-0.12449999999999994</v>
      </c>
      <c r="AC142">
        <f t="shared" si="352"/>
        <v>-0.15239999999999998</v>
      </c>
      <c r="AD142">
        <f t="shared" si="338"/>
        <v>-0.22729727999999996</v>
      </c>
      <c r="AE142">
        <f t="shared" si="353"/>
        <v>-2.0747400000000027E-2</v>
      </c>
      <c r="AF142">
        <f t="shared" si="353"/>
        <v>-4.2400799999999988E-2</v>
      </c>
      <c r="AG142">
        <f t="shared" si="353"/>
        <v>-6.4960200000000051E-2</v>
      </c>
      <c r="AH142">
        <f t="shared" si="353"/>
        <v>-8.8425600000000021E-2</v>
      </c>
      <c r="AI142">
        <f t="shared" si="353"/>
        <v>-0.11279700000000001</v>
      </c>
      <c r="AJ142">
        <f t="shared" si="353"/>
        <v>-0.13807440000000001</v>
      </c>
      <c r="AK142">
        <f t="shared" si="339"/>
        <v>-0.2558976</v>
      </c>
      <c r="AL142">
        <f t="shared" si="354"/>
        <v>-2.335799999999999E-2</v>
      </c>
      <c r="AM142">
        <f t="shared" si="354"/>
        <v>-4.7735999999999945E-2</v>
      </c>
      <c r="AN142">
        <f t="shared" si="354"/>
        <v>-7.3133999999999977E-2</v>
      </c>
      <c r="AO142">
        <f t="shared" si="354"/>
        <v>-9.9551999999999974E-2</v>
      </c>
      <c r="AP142">
        <f t="shared" si="354"/>
        <v>-0.12698999999999994</v>
      </c>
      <c r="AQ142">
        <f t="shared" si="354"/>
        <v>-0.15544799999999998</v>
      </c>
      <c r="AR142">
        <f t="shared" si="340"/>
        <v>-0.38183935999999991</v>
      </c>
      <c r="AS142">
        <f t="shared" si="355"/>
        <v>-3.4853800000000046E-2</v>
      </c>
      <c r="AT142">
        <f t="shared" si="355"/>
        <v>-7.1229600000000004E-2</v>
      </c>
      <c r="AU142">
        <f t="shared" si="355"/>
        <v>-0.10912740000000004</v>
      </c>
      <c r="AV142">
        <f t="shared" si="355"/>
        <v>-0.14854720000000005</v>
      </c>
      <c r="AW142">
        <f t="shared" si="355"/>
        <v>-0.18948899999999996</v>
      </c>
      <c r="AX142">
        <f t="shared" si="355"/>
        <v>-0.23195280000000001</v>
      </c>
      <c r="AY142">
        <f t="shared" si="307"/>
        <v>-0.10536959999999999</v>
      </c>
      <c r="AZ142">
        <f t="shared" si="341"/>
        <v>-9.6180000000000015E-3</v>
      </c>
      <c r="BA142">
        <f t="shared" si="341"/>
        <v>-1.9655999999999993E-2</v>
      </c>
      <c r="BB142">
        <f t="shared" si="341"/>
        <v>-3.0114000000000016E-2</v>
      </c>
      <c r="BC142">
        <f t="shared" si="341"/>
        <v>-4.0991999999999987E-2</v>
      </c>
      <c r="BD142">
        <f t="shared" si="341"/>
        <v>-5.2289999999999989E-2</v>
      </c>
      <c r="BE142">
        <f t="shared" si="341"/>
        <v>-6.4007999999999995E-2</v>
      </c>
      <c r="BF142">
        <f t="shared" si="309"/>
        <v>-0.12544</v>
      </c>
      <c r="BG142">
        <f t="shared" si="356"/>
        <v>-1.1449999999999988E-2</v>
      </c>
      <c r="BH142">
        <f t="shared" si="356"/>
        <v>-2.3399999999999976E-2</v>
      </c>
      <c r="BI142">
        <f t="shared" si="356"/>
        <v>-3.5849999999999993E-2</v>
      </c>
      <c r="BJ142">
        <f t="shared" si="356"/>
        <v>-4.8799999999999982E-2</v>
      </c>
      <c r="BK142">
        <f t="shared" si="356"/>
        <v>-6.2249999999999972E-2</v>
      </c>
      <c r="BL142">
        <f t="shared" si="356"/>
        <v>-7.619999999999999E-2</v>
      </c>
      <c r="BM142">
        <f t="shared" si="311"/>
        <v>-0.39639039999999998</v>
      </c>
      <c r="BN142">
        <f t="shared" si="357"/>
        <v>-3.6181999999999992E-2</v>
      </c>
      <c r="BO142">
        <f t="shared" si="357"/>
        <v>-7.3943999999999954E-2</v>
      </c>
      <c r="BP142">
        <f t="shared" si="357"/>
        <v>-0.11328600000000005</v>
      </c>
      <c r="BQ142">
        <f t="shared" si="357"/>
        <v>-0.15420799999999996</v>
      </c>
      <c r="BR142">
        <f t="shared" si="357"/>
        <v>-0.19670999999999988</v>
      </c>
      <c r="BS142">
        <f t="shared" si="357"/>
        <v>-0.24079199999999995</v>
      </c>
    </row>
    <row r="143" spans="2:71" x14ac:dyDescent="0.35">
      <c r="B143" t="s">
        <v>167</v>
      </c>
      <c r="C143" s="19">
        <f>regions!B121</f>
        <v>117886404</v>
      </c>
      <c r="D143" s="19">
        <f>regions!C121</f>
        <v>953067840505.29358</v>
      </c>
      <c r="E143" s="8">
        <f>regions!D121</f>
        <v>8084.6290001796442</v>
      </c>
      <c r="F143" s="1">
        <f>regions!Z121</f>
        <v>21</v>
      </c>
      <c r="G143" s="8"/>
      <c r="H143" s="8"/>
      <c r="I143">
        <f t="shared" si="335"/>
        <v>0</v>
      </c>
      <c r="J143">
        <f t="shared" si="350"/>
        <v>0</v>
      </c>
      <c r="K143">
        <f t="shared" si="350"/>
        <v>0</v>
      </c>
      <c r="L143">
        <f t="shared" si="350"/>
        <v>0</v>
      </c>
      <c r="M143">
        <f t="shared" si="350"/>
        <v>0</v>
      </c>
      <c r="N143">
        <f t="shared" si="350"/>
        <v>0</v>
      </c>
      <c r="O143">
        <f t="shared" si="350"/>
        <v>0</v>
      </c>
      <c r="P143">
        <f t="shared" si="336"/>
        <v>-0.1764</v>
      </c>
      <c r="Q143">
        <f t="shared" si="351"/>
        <v>-1.7200000000000021E-2</v>
      </c>
      <c r="R143">
        <f t="shared" si="351"/>
        <v>-3.5200000000000009E-2</v>
      </c>
      <c r="S143">
        <f t="shared" si="351"/>
        <v>-5.400000000000002E-2</v>
      </c>
      <c r="T143">
        <f t="shared" si="351"/>
        <v>-7.3599999999999999E-2</v>
      </c>
      <c r="U143">
        <f t="shared" si="351"/>
        <v>-9.4000000000000028E-2</v>
      </c>
      <c r="V143">
        <f t="shared" si="351"/>
        <v>-0.11520000000000002</v>
      </c>
      <c r="W143">
        <f t="shared" si="337"/>
        <v>-0.2205</v>
      </c>
      <c r="X143">
        <f t="shared" si="352"/>
        <v>-2.1499999999999991E-2</v>
      </c>
      <c r="Y143">
        <f t="shared" si="352"/>
        <v>-4.4000000000000011E-2</v>
      </c>
      <c r="Z143">
        <f t="shared" si="352"/>
        <v>-6.7500000000000032E-2</v>
      </c>
      <c r="AA143">
        <f t="shared" si="352"/>
        <v>-9.1999999999999998E-2</v>
      </c>
      <c r="AB143">
        <f t="shared" si="352"/>
        <v>-0.11750000000000002</v>
      </c>
      <c r="AC143">
        <f t="shared" si="352"/>
        <v>-0.14399999999999999</v>
      </c>
      <c r="AD143">
        <f t="shared" si="338"/>
        <v>-0.19977300000000001</v>
      </c>
      <c r="AE143">
        <f t="shared" si="353"/>
        <v>-1.9478999999999996E-2</v>
      </c>
      <c r="AF143">
        <f t="shared" si="353"/>
        <v>-3.9864000000000011E-2</v>
      </c>
      <c r="AG143">
        <f t="shared" si="353"/>
        <v>-6.1154999999999987E-2</v>
      </c>
      <c r="AH143">
        <f t="shared" si="353"/>
        <v>-8.3352000000000009E-2</v>
      </c>
      <c r="AI143">
        <f t="shared" si="353"/>
        <v>-0.10645499999999999</v>
      </c>
      <c r="AJ143">
        <f t="shared" si="353"/>
        <v>-0.130464</v>
      </c>
      <c r="AK143">
        <f t="shared" si="339"/>
        <v>-0.22491000000000003</v>
      </c>
      <c r="AL143">
        <f t="shared" si="354"/>
        <v>-2.1929999999999977E-2</v>
      </c>
      <c r="AM143">
        <f t="shared" si="354"/>
        <v>-4.4880000000000003E-2</v>
      </c>
      <c r="AN143">
        <f t="shared" si="354"/>
        <v>-6.8849999999999995E-2</v>
      </c>
      <c r="AO143">
        <f t="shared" si="354"/>
        <v>-9.3840000000000007E-2</v>
      </c>
      <c r="AP143">
        <f t="shared" si="354"/>
        <v>-0.11984999999999998</v>
      </c>
      <c r="AQ143">
        <f t="shared" si="354"/>
        <v>-0.14687999999999998</v>
      </c>
      <c r="AR143">
        <f t="shared" si="340"/>
        <v>-0.33560099999999998</v>
      </c>
      <c r="AS143">
        <f t="shared" si="355"/>
        <v>-3.2723000000000002E-2</v>
      </c>
      <c r="AT143">
        <f t="shared" si="355"/>
        <v>-6.6967999999999972E-2</v>
      </c>
      <c r="AU143">
        <f t="shared" si="355"/>
        <v>-0.10273499999999997</v>
      </c>
      <c r="AV143">
        <f t="shared" si="355"/>
        <v>-0.14002399999999998</v>
      </c>
      <c r="AW143">
        <f t="shared" si="355"/>
        <v>-0.17883500000000002</v>
      </c>
      <c r="AX143">
        <f t="shared" si="355"/>
        <v>-0.21916799999999997</v>
      </c>
      <c r="AY143">
        <f t="shared" si="307"/>
        <v>-9.2609999999999998E-2</v>
      </c>
      <c r="AZ143">
        <f t="shared" si="341"/>
        <v>-9.0300000000000102E-3</v>
      </c>
      <c r="BA143">
        <f t="shared" si="341"/>
        <v>-1.848000000000001E-2</v>
      </c>
      <c r="BB143">
        <f t="shared" si="341"/>
        <v>-2.8350000000000014E-2</v>
      </c>
      <c r="BC143">
        <f t="shared" si="341"/>
        <v>-3.8640000000000008E-2</v>
      </c>
      <c r="BD143">
        <f t="shared" si="341"/>
        <v>-4.9350000000000005E-2</v>
      </c>
      <c r="BE143">
        <f t="shared" si="341"/>
        <v>-6.0480000000000006E-2</v>
      </c>
      <c r="BF143">
        <f t="shared" si="309"/>
        <v>-0.11025</v>
      </c>
      <c r="BG143">
        <f t="shared" si="356"/>
        <v>-1.0749999999999996E-2</v>
      </c>
      <c r="BH143">
        <f t="shared" si="356"/>
        <v>-2.2000000000000006E-2</v>
      </c>
      <c r="BI143">
        <f t="shared" si="356"/>
        <v>-3.3750000000000016E-2</v>
      </c>
      <c r="BJ143">
        <f t="shared" si="356"/>
        <v>-4.5999999999999999E-2</v>
      </c>
      <c r="BK143">
        <f t="shared" si="356"/>
        <v>-5.8750000000000011E-2</v>
      </c>
      <c r="BL143">
        <f t="shared" si="356"/>
        <v>-7.1999999999999995E-2</v>
      </c>
      <c r="BM143">
        <f t="shared" si="311"/>
        <v>-0.34839000000000003</v>
      </c>
      <c r="BN143">
        <f t="shared" si="357"/>
        <v>-3.397E-2</v>
      </c>
      <c r="BO143">
        <f t="shared" si="357"/>
        <v>-6.9519999999999971E-2</v>
      </c>
      <c r="BP143">
        <f t="shared" si="357"/>
        <v>-0.10664999999999997</v>
      </c>
      <c r="BQ143">
        <f t="shared" si="357"/>
        <v>-0.14535999999999999</v>
      </c>
      <c r="BR143">
        <f t="shared" si="357"/>
        <v>-0.18564999999999993</v>
      </c>
      <c r="BS143">
        <f t="shared" si="357"/>
        <v>-0.22752</v>
      </c>
    </row>
    <row r="144" spans="2:71" x14ac:dyDescent="0.35">
      <c r="B144" t="s">
        <v>392</v>
      </c>
      <c r="C144" s="19">
        <f>regions!B122</f>
        <v>103619</v>
      </c>
      <c r="D144" s="19">
        <f>regions!C122</f>
        <v>246418335.62772667</v>
      </c>
      <c r="E144" s="8">
        <f>regions!D122</f>
        <v>2378.1192216459017</v>
      </c>
      <c r="F144" s="1">
        <f>regions!Z122</f>
        <v>27.6</v>
      </c>
      <c r="G144" s="8"/>
      <c r="H144" s="8"/>
      <c r="I144">
        <f t="shared" si="335"/>
        <v>-0.38474399999999997</v>
      </c>
      <c r="J144">
        <f t="shared" si="350"/>
        <v>-1.3940000000000008E-2</v>
      </c>
      <c r="K144">
        <f t="shared" si="350"/>
        <v>-2.7880000000000016E-2</v>
      </c>
      <c r="L144">
        <f t="shared" si="350"/>
        <v>-4.1820000000000024E-2</v>
      </c>
      <c r="M144">
        <f t="shared" si="350"/>
        <v>-5.5760000000000032E-2</v>
      </c>
      <c r="N144">
        <f t="shared" si="350"/>
        <v>-6.970000000000004E-2</v>
      </c>
      <c r="O144">
        <f t="shared" si="350"/>
        <v>-8.3640000000000048E-2</v>
      </c>
      <c r="P144">
        <f t="shared" si="336"/>
        <v>-0.30470400000000003</v>
      </c>
      <c r="Q144">
        <f t="shared" si="351"/>
        <v>-2.248E-2</v>
      </c>
      <c r="R144">
        <f t="shared" si="351"/>
        <v>-4.5760000000000023E-2</v>
      </c>
      <c r="S144">
        <f t="shared" si="351"/>
        <v>-6.9840000000000013E-2</v>
      </c>
      <c r="T144">
        <f t="shared" si="351"/>
        <v>-9.4720000000000026E-2</v>
      </c>
      <c r="U144">
        <f t="shared" si="351"/>
        <v>-0.12040000000000001</v>
      </c>
      <c r="V144">
        <f t="shared" si="351"/>
        <v>-0.14688000000000001</v>
      </c>
      <c r="W144">
        <f t="shared" si="337"/>
        <v>-0.38088000000000005</v>
      </c>
      <c r="X144">
        <f t="shared" si="352"/>
        <v>-2.8099999999999958E-2</v>
      </c>
      <c r="Y144">
        <f t="shared" si="352"/>
        <v>-5.7199999999999973E-2</v>
      </c>
      <c r="Z144">
        <f t="shared" si="352"/>
        <v>-8.7300000000000044E-2</v>
      </c>
      <c r="AA144">
        <f t="shared" si="352"/>
        <v>-0.11840000000000001</v>
      </c>
      <c r="AB144">
        <f t="shared" si="352"/>
        <v>-0.15049999999999991</v>
      </c>
      <c r="AC144">
        <f t="shared" si="352"/>
        <v>-0.18359999999999993</v>
      </c>
      <c r="AD144">
        <f t="shared" si="338"/>
        <v>-0.34507728000000004</v>
      </c>
      <c r="AE144">
        <f t="shared" si="353"/>
        <v>-2.5458599999999998E-2</v>
      </c>
      <c r="AF144">
        <f t="shared" si="353"/>
        <v>-5.1823200000000014E-2</v>
      </c>
      <c r="AG144">
        <f t="shared" si="353"/>
        <v>-7.9093800000000047E-2</v>
      </c>
      <c r="AH144">
        <f t="shared" si="353"/>
        <v>-0.10727039999999999</v>
      </c>
      <c r="AI144">
        <f t="shared" si="353"/>
        <v>-0.13635299999999995</v>
      </c>
      <c r="AJ144">
        <f t="shared" si="353"/>
        <v>-0.16634159999999998</v>
      </c>
      <c r="AK144">
        <f t="shared" si="339"/>
        <v>-0.38849760000000005</v>
      </c>
      <c r="AL144">
        <f t="shared" si="354"/>
        <v>-2.8662000000000021E-2</v>
      </c>
      <c r="AM144">
        <f t="shared" si="354"/>
        <v>-5.8344000000000007E-2</v>
      </c>
      <c r="AN144">
        <f t="shared" si="354"/>
        <v>-8.904600000000007E-2</v>
      </c>
      <c r="AO144">
        <f t="shared" si="354"/>
        <v>-0.12076800000000004</v>
      </c>
      <c r="AP144">
        <f t="shared" si="354"/>
        <v>-0.15350999999999998</v>
      </c>
      <c r="AQ144">
        <f t="shared" si="354"/>
        <v>-0.18727200000000005</v>
      </c>
      <c r="AR144">
        <f t="shared" si="340"/>
        <v>-0.57969936</v>
      </c>
      <c r="AS144">
        <f t="shared" si="355"/>
        <v>-4.2768200000000034E-2</v>
      </c>
      <c r="AT144">
        <f t="shared" si="355"/>
        <v>-8.705839999999998E-2</v>
      </c>
      <c r="AU144">
        <f t="shared" si="355"/>
        <v>-0.13287060000000006</v>
      </c>
      <c r="AV144">
        <f t="shared" si="355"/>
        <v>-0.18020480000000005</v>
      </c>
      <c r="AW144">
        <f t="shared" si="355"/>
        <v>-0.22906099999999996</v>
      </c>
      <c r="AX144">
        <f t="shared" si="355"/>
        <v>-0.2794392</v>
      </c>
      <c r="AY144">
        <f t="shared" si="307"/>
        <v>-0.15996960000000002</v>
      </c>
      <c r="AZ144">
        <f t="shared" si="341"/>
        <v>-1.1802000000000007E-2</v>
      </c>
      <c r="BA144">
        <f t="shared" si="341"/>
        <v>-2.4024000000000018E-2</v>
      </c>
      <c r="BB144">
        <f t="shared" si="341"/>
        <v>-3.6666000000000004E-2</v>
      </c>
      <c r="BC144">
        <f t="shared" si="341"/>
        <v>-4.9727999999999994E-2</v>
      </c>
      <c r="BD144">
        <f t="shared" si="341"/>
        <v>-6.3209999999999988E-2</v>
      </c>
      <c r="BE144">
        <f t="shared" si="341"/>
        <v>-7.7112000000000014E-2</v>
      </c>
      <c r="BF144">
        <f t="shared" si="309"/>
        <v>-0.19044000000000003</v>
      </c>
      <c r="BG144">
        <f t="shared" si="356"/>
        <v>-1.4049999999999979E-2</v>
      </c>
      <c r="BH144">
        <f t="shared" si="356"/>
        <v>-2.8599999999999987E-2</v>
      </c>
      <c r="BI144">
        <f t="shared" si="356"/>
        <v>-4.3650000000000022E-2</v>
      </c>
      <c r="BJ144">
        <f t="shared" si="356"/>
        <v>-5.9200000000000003E-2</v>
      </c>
      <c r="BK144">
        <f t="shared" si="356"/>
        <v>-7.5249999999999956E-2</v>
      </c>
      <c r="BL144">
        <f t="shared" si="356"/>
        <v>-9.1799999999999965E-2</v>
      </c>
      <c r="BM144">
        <f t="shared" si="311"/>
        <v>-0.60179040000000006</v>
      </c>
      <c r="BN144">
        <f t="shared" si="357"/>
        <v>-4.4397999999999938E-2</v>
      </c>
      <c r="BO144">
        <f t="shared" si="357"/>
        <v>-9.0376000000000012E-2</v>
      </c>
      <c r="BP144">
        <f t="shared" si="357"/>
        <v>-0.137934</v>
      </c>
      <c r="BQ144">
        <f t="shared" si="357"/>
        <v>-0.18707200000000002</v>
      </c>
      <c r="BR144">
        <f t="shared" si="357"/>
        <v>-0.23778999999999995</v>
      </c>
      <c r="BS144">
        <f t="shared" si="357"/>
        <v>-0.29008800000000001</v>
      </c>
    </row>
    <row r="145" spans="2:71" x14ac:dyDescent="0.35">
      <c r="B145" t="s">
        <v>229</v>
      </c>
      <c r="C145" s="19">
        <f>regions!B123</f>
        <v>3562062</v>
      </c>
      <c r="D145" s="19">
        <f>regions!C123</f>
        <v>3501430331.6016059</v>
      </c>
      <c r="E145" s="8">
        <f>regions!D123</f>
        <v>982.97849155955339</v>
      </c>
      <c r="F145" s="1">
        <f>regions!Z123</f>
        <v>9.4</v>
      </c>
      <c r="G145" s="8"/>
      <c r="H145" s="8"/>
      <c r="I145">
        <f t="shared" si="335"/>
        <v>-0.13103599999999999</v>
      </c>
      <c r="J145">
        <f t="shared" si="350"/>
        <v>-1.3940000000000008E-2</v>
      </c>
      <c r="K145">
        <f t="shared" si="350"/>
        <v>-2.7880000000000016E-2</v>
      </c>
      <c r="L145">
        <f t="shared" si="350"/>
        <v>-4.1820000000000024E-2</v>
      </c>
      <c r="M145">
        <f t="shared" si="350"/>
        <v>-5.5760000000000004E-2</v>
      </c>
      <c r="N145">
        <f t="shared" si="350"/>
        <v>-6.9700000000000012E-2</v>
      </c>
      <c r="O145">
        <f t="shared" si="350"/>
        <v>-8.364000000000002E-2</v>
      </c>
      <c r="P145">
        <f t="shared" si="336"/>
        <v>-3.5344000000000007E-2</v>
      </c>
      <c r="Q145">
        <f t="shared" si="351"/>
        <v>-7.9199999999999965E-3</v>
      </c>
      <c r="R145">
        <f t="shared" si="351"/>
        <v>-1.6639999999999995E-2</v>
      </c>
      <c r="S145">
        <f t="shared" si="351"/>
        <v>-2.6160000000000003E-2</v>
      </c>
      <c r="T145">
        <f t="shared" si="351"/>
        <v>-3.6479999999999992E-2</v>
      </c>
      <c r="U145">
        <f t="shared" si="351"/>
        <v>-4.7599999999999996E-2</v>
      </c>
      <c r="V145">
        <f t="shared" si="351"/>
        <v>-5.952000000000001E-2</v>
      </c>
      <c r="W145">
        <f t="shared" si="337"/>
        <v>-4.4180000000000011E-2</v>
      </c>
      <c r="X145">
        <f t="shared" si="352"/>
        <v>-9.8999999999999921E-3</v>
      </c>
      <c r="Y145">
        <f t="shared" si="352"/>
        <v>-2.0799999999999999E-2</v>
      </c>
      <c r="Z145">
        <f t="shared" si="352"/>
        <v>-3.2700000000000007E-2</v>
      </c>
      <c r="AA145">
        <f t="shared" si="352"/>
        <v>-4.5599999999999988E-2</v>
      </c>
      <c r="AB145">
        <f t="shared" si="352"/>
        <v>-5.9499999999999997E-2</v>
      </c>
      <c r="AC145">
        <f t="shared" si="352"/>
        <v>-7.4400000000000008E-2</v>
      </c>
      <c r="AD145">
        <f t="shared" si="338"/>
        <v>-4.0027080000000007E-2</v>
      </c>
      <c r="AE145">
        <f t="shared" si="353"/>
        <v>-8.9694000000000024E-3</v>
      </c>
      <c r="AF145">
        <f t="shared" si="353"/>
        <v>-1.8844799999999995E-2</v>
      </c>
      <c r="AG145">
        <f t="shared" si="353"/>
        <v>-2.9626200000000005E-2</v>
      </c>
      <c r="AH145">
        <f t="shared" si="353"/>
        <v>-4.1313599999999992E-2</v>
      </c>
      <c r="AI145">
        <f t="shared" si="353"/>
        <v>-5.3906999999999997E-2</v>
      </c>
      <c r="AJ145">
        <f t="shared" si="353"/>
        <v>-6.7406400000000005E-2</v>
      </c>
      <c r="AK145">
        <f t="shared" si="339"/>
        <v>-4.5063600000000009E-2</v>
      </c>
      <c r="AL145">
        <f t="shared" si="354"/>
        <v>-1.0098000000000003E-2</v>
      </c>
      <c r="AM145">
        <f t="shared" si="354"/>
        <v>-2.1215999999999999E-2</v>
      </c>
      <c r="AN145">
        <f t="shared" si="354"/>
        <v>-3.3354000000000009E-2</v>
      </c>
      <c r="AO145">
        <f t="shared" si="354"/>
        <v>-4.6511999999999998E-2</v>
      </c>
      <c r="AP145">
        <f t="shared" si="354"/>
        <v>-6.0690000000000008E-2</v>
      </c>
      <c r="AQ145">
        <f t="shared" si="354"/>
        <v>-7.5888000000000011E-2</v>
      </c>
      <c r="AR145">
        <f t="shared" si="340"/>
        <v>-6.7241960000000003E-2</v>
      </c>
      <c r="AS145">
        <f t="shared" si="355"/>
        <v>-1.5067800000000006E-2</v>
      </c>
      <c r="AT145">
        <f t="shared" si="355"/>
        <v>-3.1657599999999994E-2</v>
      </c>
      <c r="AU145">
        <f t="shared" si="355"/>
        <v>-4.9769400000000005E-2</v>
      </c>
      <c r="AV145">
        <f t="shared" si="355"/>
        <v>-6.9403199999999984E-2</v>
      </c>
      <c r="AW145">
        <f t="shared" si="355"/>
        <v>-9.0558999999999987E-2</v>
      </c>
      <c r="AX145">
        <f t="shared" si="355"/>
        <v>-0.11323680000000001</v>
      </c>
      <c r="AY145">
        <f t="shared" si="307"/>
        <v>-1.8555600000000002E-2</v>
      </c>
      <c r="AZ145">
        <f t="shared" si="341"/>
        <v>-4.158000000000002E-3</v>
      </c>
      <c r="BA145">
        <f t="shared" si="341"/>
        <v>-8.7360000000000007E-3</v>
      </c>
      <c r="BB145">
        <f t="shared" si="341"/>
        <v>-1.3734000000000007E-2</v>
      </c>
      <c r="BC145">
        <f t="shared" si="341"/>
        <v>-1.9151999999999999E-2</v>
      </c>
      <c r="BD145">
        <f t="shared" si="341"/>
        <v>-2.4990000000000002E-2</v>
      </c>
      <c r="BE145">
        <f t="shared" si="341"/>
        <v>-3.1248000000000008E-2</v>
      </c>
      <c r="BF145">
        <f t="shared" si="309"/>
        <v>-2.2090000000000005E-2</v>
      </c>
      <c r="BG145">
        <f t="shared" si="356"/>
        <v>-4.9499999999999961E-3</v>
      </c>
      <c r="BH145">
        <f t="shared" si="356"/>
        <v>-1.04E-2</v>
      </c>
      <c r="BI145">
        <f t="shared" si="356"/>
        <v>-1.6350000000000003E-2</v>
      </c>
      <c r="BJ145">
        <f t="shared" si="356"/>
        <v>-2.2799999999999994E-2</v>
      </c>
      <c r="BK145">
        <f t="shared" si="356"/>
        <v>-2.9749999999999999E-2</v>
      </c>
      <c r="BL145">
        <f t="shared" si="356"/>
        <v>-3.7200000000000004E-2</v>
      </c>
      <c r="BM145">
        <f t="shared" si="311"/>
        <v>-6.9804400000000016E-2</v>
      </c>
      <c r="BN145">
        <f t="shared" si="357"/>
        <v>-1.5641999999999989E-2</v>
      </c>
      <c r="BO145">
        <f t="shared" si="357"/>
        <v>-3.286399999999999E-2</v>
      </c>
      <c r="BP145">
        <f t="shared" si="357"/>
        <v>-5.1666000000000004E-2</v>
      </c>
      <c r="BQ145">
        <f t="shared" si="357"/>
        <v>-7.2048000000000001E-2</v>
      </c>
      <c r="BR145">
        <f t="shared" si="357"/>
        <v>-9.401000000000001E-2</v>
      </c>
      <c r="BS145">
        <f t="shared" si="357"/>
        <v>-0.11755200000000002</v>
      </c>
    </row>
    <row r="146" spans="2:71" x14ac:dyDescent="0.35">
      <c r="B146" t="s">
        <v>606</v>
      </c>
      <c r="C146" s="19">
        <f>regions!B124</f>
        <v>36845</v>
      </c>
      <c r="D146" s="19">
        <f>regions!C124</f>
        <v>5903610988.456316</v>
      </c>
      <c r="E146" s="8">
        <f>regions!D124</f>
        <v>160228.280321789</v>
      </c>
      <c r="F146" s="1">
        <f>regions!Z124</f>
        <v>16.2</v>
      </c>
      <c r="G146" s="8"/>
      <c r="H146" s="8"/>
      <c r="I146">
        <f t="shared" si="335"/>
        <v>0</v>
      </c>
      <c r="J146">
        <f t="shared" ref="J146:O155" si="358">IF($E146&lt;$E$24,$D$11*($F146+J$25)-$I146,0)</f>
        <v>0</v>
      </c>
      <c r="K146">
        <f t="shared" si="358"/>
        <v>0</v>
      </c>
      <c r="L146">
        <f t="shared" si="358"/>
        <v>0</v>
      </c>
      <c r="M146">
        <f t="shared" si="358"/>
        <v>0</v>
      </c>
      <c r="N146">
        <f t="shared" si="358"/>
        <v>0</v>
      </c>
      <c r="O146">
        <f t="shared" si="358"/>
        <v>0</v>
      </c>
      <c r="P146">
        <f t="shared" si="336"/>
        <v>-0.104976</v>
      </c>
      <c r="Q146">
        <f t="shared" ref="Q146:V155" si="359">$D$13*($F146+Q$25)^2-$P146</f>
        <v>-1.3359999999999997E-2</v>
      </c>
      <c r="R146">
        <f t="shared" si="359"/>
        <v>-2.7519999999999975E-2</v>
      </c>
      <c r="S146">
        <f t="shared" si="359"/>
        <v>-4.2480000000000004E-2</v>
      </c>
      <c r="T146">
        <f t="shared" si="359"/>
        <v>-5.824E-2</v>
      </c>
      <c r="U146">
        <f t="shared" si="359"/>
        <v>-7.4800000000000019E-2</v>
      </c>
      <c r="V146">
        <f t="shared" si="359"/>
        <v>-9.2160000000000006E-2</v>
      </c>
      <c r="W146">
        <f t="shared" si="337"/>
        <v>-0.13122</v>
      </c>
      <c r="X146">
        <f t="shared" ref="X146:AC155" si="360">$D$15*($F146+X$25)^2-$W146</f>
        <v>-1.6699999999999993E-2</v>
      </c>
      <c r="Y146">
        <f t="shared" si="360"/>
        <v>-3.4399999999999986E-2</v>
      </c>
      <c r="Z146">
        <f t="shared" si="360"/>
        <v>-5.3099999999999981E-2</v>
      </c>
      <c r="AA146">
        <f t="shared" si="360"/>
        <v>-7.2799999999999976E-2</v>
      </c>
      <c r="AB146">
        <f t="shared" si="360"/>
        <v>-9.35E-2</v>
      </c>
      <c r="AC146">
        <f t="shared" si="360"/>
        <v>-0.1152</v>
      </c>
      <c r="AD146">
        <f t="shared" si="338"/>
        <v>-0.11888532</v>
      </c>
      <c r="AE146">
        <f t="shared" ref="AE146:AJ155" si="361">$D$10*($F146+AE$25)^2-$AD146</f>
        <v>-1.5130199999999996E-2</v>
      </c>
      <c r="AF146">
        <f t="shared" si="361"/>
        <v>-3.1166399999999969E-2</v>
      </c>
      <c r="AG146">
        <f t="shared" si="361"/>
        <v>-4.8108599999999987E-2</v>
      </c>
      <c r="AH146">
        <f t="shared" si="361"/>
        <v>-6.5956799999999996E-2</v>
      </c>
      <c r="AI146">
        <f t="shared" si="361"/>
        <v>-8.4710999999999995E-2</v>
      </c>
      <c r="AJ146">
        <f t="shared" si="361"/>
        <v>-0.10437119999999998</v>
      </c>
      <c r="AK146">
        <f t="shared" si="339"/>
        <v>-0.1338444</v>
      </c>
      <c r="AL146">
        <f t="shared" ref="AL146:AQ155" si="362">$D$17*($F146+AL$25)^2-$AK146</f>
        <v>-1.7033999999999994E-2</v>
      </c>
      <c r="AM146">
        <f t="shared" si="362"/>
        <v>-3.508799999999998E-2</v>
      </c>
      <c r="AN146">
        <f t="shared" si="362"/>
        <v>-5.4162000000000016E-2</v>
      </c>
      <c r="AO146">
        <f t="shared" si="362"/>
        <v>-7.4255999999999989E-2</v>
      </c>
      <c r="AP146">
        <f t="shared" si="362"/>
        <v>-9.537000000000001E-2</v>
      </c>
      <c r="AQ146">
        <f t="shared" si="362"/>
        <v>-0.11750400000000003</v>
      </c>
      <c r="AR146">
        <f t="shared" si="340"/>
        <v>-0.19971683999999998</v>
      </c>
      <c r="AS146">
        <f t="shared" ref="AS146:AX155" si="363">$D$8*($F146+AS$25)^2-$AR146</f>
        <v>-2.5417399999999979E-2</v>
      </c>
      <c r="AT146">
        <f t="shared" si="363"/>
        <v>-5.2356799999999953E-2</v>
      </c>
      <c r="AU146">
        <f t="shared" si="363"/>
        <v>-8.0818199999999979E-2</v>
      </c>
      <c r="AV146">
        <f t="shared" si="363"/>
        <v>-0.11080159999999997</v>
      </c>
      <c r="AW146">
        <f t="shared" si="363"/>
        <v>-0.14230699999999999</v>
      </c>
      <c r="AX146">
        <f t="shared" si="363"/>
        <v>-0.17533439999999997</v>
      </c>
      <c r="AY146">
        <f t="shared" si="307"/>
        <v>-5.5112399999999999E-2</v>
      </c>
      <c r="AZ146">
        <f t="shared" si="341"/>
        <v>-7.0139999999999994E-3</v>
      </c>
      <c r="BA146">
        <f t="shared" si="341"/>
        <v>-1.4447999999999996E-2</v>
      </c>
      <c r="BB146">
        <f t="shared" si="341"/>
        <v>-2.2301999999999995E-2</v>
      </c>
      <c r="BC146">
        <f t="shared" si="341"/>
        <v>-3.0575999999999999E-2</v>
      </c>
      <c r="BD146">
        <f t="shared" si="341"/>
        <v>-3.9270000000000006E-2</v>
      </c>
      <c r="BE146">
        <f t="shared" si="341"/>
        <v>-4.8384000000000003E-2</v>
      </c>
      <c r="BF146">
        <f t="shared" si="309"/>
        <v>-6.5610000000000002E-2</v>
      </c>
      <c r="BG146">
        <f t="shared" si="356"/>
        <v>-8.3499999999999963E-3</v>
      </c>
      <c r="BH146">
        <f t="shared" si="356"/>
        <v>-1.7199999999999993E-2</v>
      </c>
      <c r="BI146">
        <f t="shared" si="356"/>
        <v>-2.654999999999999E-2</v>
      </c>
      <c r="BJ146">
        <f t="shared" si="356"/>
        <v>-3.6399999999999988E-2</v>
      </c>
      <c r="BK146">
        <f t="shared" si="356"/>
        <v>-4.675E-2</v>
      </c>
      <c r="BL146">
        <f t="shared" si="356"/>
        <v>-5.7599999999999998E-2</v>
      </c>
      <c r="BM146">
        <f t="shared" si="311"/>
        <v>-0.2073276</v>
      </c>
      <c r="BN146">
        <f t="shared" si="357"/>
        <v>-2.6385999999999993E-2</v>
      </c>
      <c r="BO146">
        <f t="shared" si="357"/>
        <v>-5.4351999999999956E-2</v>
      </c>
      <c r="BP146">
        <f t="shared" si="357"/>
        <v>-8.3897999999999973E-2</v>
      </c>
      <c r="BQ146">
        <f t="shared" si="357"/>
        <v>-0.11502399999999996</v>
      </c>
      <c r="BR146">
        <f t="shared" si="357"/>
        <v>-0.14773000000000003</v>
      </c>
      <c r="BS146">
        <f t="shared" si="357"/>
        <v>-0.18201600000000001</v>
      </c>
    </row>
    <row r="147" spans="2:71" x14ac:dyDescent="0.35">
      <c r="B147" t="s">
        <v>393</v>
      </c>
      <c r="C147" s="19">
        <f>regions!B125</f>
        <v>2712738</v>
      </c>
      <c r="D147" s="19">
        <f>regions!C125</f>
        <v>3453733409.7557302</v>
      </c>
      <c r="E147" s="8">
        <f>regions!D125</f>
        <v>1273.1540641800757</v>
      </c>
      <c r="F147" s="1">
        <f>regions!Z125</f>
        <v>-0.7</v>
      </c>
      <c r="G147" s="8"/>
      <c r="H147" s="8"/>
      <c r="I147">
        <f t="shared" si="335"/>
        <v>9.7579999999999993E-3</v>
      </c>
      <c r="J147">
        <f t="shared" si="358"/>
        <v>-1.3940000000000001E-2</v>
      </c>
      <c r="K147">
        <f t="shared" si="358"/>
        <v>-2.7879999999999999E-2</v>
      </c>
      <c r="L147">
        <f t="shared" si="358"/>
        <v>-4.1819999999999996E-2</v>
      </c>
      <c r="M147">
        <f t="shared" si="358"/>
        <v>-5.575999999999999E-2</v>
      </c>
      <c r="N147">
        <f t="shared" si="358"/>
        <v>-6.9699999999999998E-2</v>
      </c>
      <c r="O147">
        <f t="shared" si="358"/>
        <v>-8.3639999999999992E-2</v>
      </c>
      <c r="P147">
        <f t="shared" si="336"/>
        <v>-1.9599999999999999E-4</v>
      </c>
      <c r="Q147">
        <f t="shared" si="359"/>
        <v>1.5999999999999999E-4</v>
      </c>
      <c r="R147">
        <f t="shared" si="359"/>
        <v>-4.8000000000000007E-4</v>
      </c>
      <c r="S147">
        <f t="shared" si="359"/>
        <v>-1.9199999999999998E-3</v>
      </c>
      <c r="T147">
        <f t="shared" si="359"/>
        <v>-4.1599999999999996E-3</v>
      </c>
      <c r="U147">
        <f t="shared" si="359"/>
        <v>-7.1999999999999998E-3</v>
      </c>
      <c r="V147">
        <f t="shared" si="359"/>
        <v>-1.1040000000000001E-2</v>
      </c>
      <c r="W147">
        <f t="shared" si="337"/>
        <v>-2.4499999999999999E-4</v>
      </c>
      <c r="X147">
        <f t="shared" si="360"/>
        <v>1.9999999999999998E-4</v>
      </c>
      <c r="Y147">
        <f t="shared" si="360"/>
        <v>-6.0000000000000006E-4</v>
      </c>
      <c r="Z147">
        <f t="shared" si="360"/>
        <v>-2.3999999999999998E-3</v>
      </c>
      <c r="AA147">
        <f t="shared" si="360"/>
        <v>-5.1999999999999998E-3</v>
      </c>
      <c r="AB147">
        <f t="shared" si="360"/>
        <v>-8.9999999999999993E-3</v>
      </c>
      <c r="AC147">
        <f t="shared" si="360"/>
        <v>-1.38E-2</v>
      </c>
      <c r="AD147">
        <f t="shared" si="338"/>
        <v>-2.2196999999999996E-4</v>
      </c>
      <c r="AE147">
        <f t="shared" si="361"/>
        <v>1.8119999999999996E-4</v>
      </c>
      <c r="AF147">
        <f t="shared" si="361"/>
        <v>-5.436000000000002E-4</v>
      </c>
      <c r="AG147">
        <f t="shared" si="361"/>
        <v>-2.1743999999999995E-3</v>
      </c>
      <c r="AH147">
        <f t="shared" si="361"/>
        <v>-4.7111999999999996E-3</v>
      </c>
      <c r="AI147">
        <f t="shared" si="361"/>
        <v>-8.1539999999999998E-3</v>
      </c>
      <c r="AJ147">
        <f t="shared" si="361"/>
        <v>-1.25028E-2</v>
      </c>
      <c r="AK147">
        <f t="shared" si="339"/>
        <v>-2.499E-4</v>
      </c>
      <c r="AL147">
        <f t="shared" si="362"/>
        <v>2.0399999999999997E-4</v>
      </c>
      <c r="AM147">
        <f t="shared" si="362"/>
        <v>-6.1200000000000013E-4</v>
      </c>
      <c r="AN147">
        <f t="shared" si="362"/>
        <v>-2.4479999999999997E-3</v>
      </c>
      <c r="AO147">
        <f t="shared" si="362"/>
        <v>-5.3039999999999997E-3</v>
      </c>
      <c r="AP147">
        <f t="shared" si="362"/>
        <v>-9.1799999999999989E-3</v>
      </c>
      <c r="AQ147">
        <f t="shared" si="362"/>
        <v>-1.4076E-2</v>
      </c>
      <c r="AR147">
        <f t="shared" si="340"/>
        <v>-3.7288999999999991E-4</v>
      </c>
      <c r="AS147">
        <f t="shared" si="363"/>
        <v>3.0439999999999992E-4</v>
      </c>
      <c r="AT147">
        <f t="shared" si="363"/>
        <v>-9.132000000000003E-4</v>
      </c>
      <c r="AU147">
        <f t="shared" si="363"/>
        <v>-3.6527999999999995E-3</v>
      </c>
      <c r="AV147">
        <f t="shared" si="363"/>
        <v>-7.9143999999999985E-3</v>
      </c>
      <c r="AW147">
        <f t="shared" si="363"/>
        <v>-1.3697999999999997E-2</v>
      </c>
      <c r="AX147">
        <f t="shared" si="363"/>
        <v>-2.1003599999999997E-2</v>
      </c>
      <c r="AY147">
        <f t="shared" si="307"/>
        <v>-1.0289999999999999E-4</v>
      </c>
      <c r="AZ147">
        <f t="shared" si="341"/>
        <v>8.3999999999999982E-5</v>
      </c>
      <c r="BA147">
        <f t="shared" si="341"/>
        <v>-2.5200000000000005E-4</v>
      </c>
      <c r="BB147">
        <f t="shared" si="341"/>
        <v>-1.008E-3</v>
      </c>
      <c r="BC147">
        <f t="shared" si="341"/>
        <v>-2.1839999999999997E-3</v>
      </c>
      <c r="BD147">
        <f t="shared" si="341"/>
        <v>-3.7799999999999999E-3</v>
      </c>
      <c r="BE147">
        <f t="shared" si="341"/>
        <v>-5.7959999999999999E-3</v>
      </c>
      <c r="BF147">
        <f t="shared" si="309"/>
        <v>-1.225E-4</v>
      </c>
      <c r="BG147">
        <f t="shared" si="356"/>
        <v>9.9999999999999991E-5</v>
      </c>
      <c r="BH147">
        <f t="shared" si="356"/>
        <v>-3.0000000000000003E-4</v>
      </c>
      <c r="BI147">
        <f t="shared" si="356"/>
        <v>-1.1999999999999999E-3</v>
      </c>
      <c r="BJ147">
        <f t="shared" si="356"/>
        <v>-2.5999999999999999E-3</v>
      </c>
      <c r="BK147">
        <f t="shared" si="356"/>
        <v>-4.4999999999999997E-3</v>
      </c>
      <c r="BL147">
        <f t="shared" si="356"/>
        <v>-6.8999999999999999E-3</v>
      </c>
      <c r="BM147">
        <f t="shared" si="311"/>
        <v>-3.8709999999999998E-4</v>
      </c>
      <c r="BN147">
        <f t="shared" si="357"/>
        <v>3.1599999999999998E-4</v>
      </c>
      <c r="BO147">
        <f t="shared" si="357"/>
        <v>-9.4800000000000006E-4</v>
      </c>
      <c r="BP147">
        <f t="shared" si="357"/>
        <v>-3.7919999999999989E-3</v>
      </c>
      <c r="BQ147">
        <f t="shared" si="357"/>
        <v>-8.2159999999999993E-3</v>
      </c>
      <c r="BR147">
        <f t="shared" si="357"/>
        <v>-1.422E-2</v>
      </c>
      <c r="BS147">
        <f t="shared" si="357"/>
        <v>-2.1804E-2</v>
      </c>
    </row>
    <row r="148" spans="2:71" x14ac:dyDescent="0.35">
      <c r="B148" t="s">
        <v>230</v>
      </c>
      <c r="C148" s="19">
        <f>regions!B126</f>
        <v>620078</v>
      </c>
      <c r="D148" s="19">
        <f>regions!C126</f>
        <v>2803866144.4280138</v>
      </c>
      <c r="E148" s="8">
        <f>regions!D126</f>
        <v>4521.7958779831151</v>
      </c>
      <c r="F148" s="1">
        <f>regions!Z126</f>
        <v>9.9</v>
      </c>
      <c r="G148" s="8"/>
      <c r="H148" s="8"/>
      <c r="I148">
        <f t="shared" si="335"/>
        <v>0</v>
      </c>
      <c r="J148">
        <f t="shared" si="358"/>
        <v>0</v>
      </c>
      <c r="K148">
        <f t="shared" si="358"/>
        <v>0</v>
      </c>
      <c r="L148">
        <f t="shared" si="358"/>
        <v>0</v>
      </c>
      <c r="M148">
        <f t="shared" si="358"/>
        <v>0</v>
      </c>
      <c r="N148">
        <f t="shared" si="358"/>
        <v>0</v>
      </c>
      <c r="O148">
        <f t="shared" si="358"/>
        <v>0</v>
      </c>
      <c r="P148">
        <f t="shared" si="336"/>
        <v>-3.9204000000000003E-2</v>
      </c>
      <c r="Q148">
        <f t="shared" si="359"/>
        <v>-8.320000000000001E-3</v>
      </c>
      <c r="R148">
        <f t="shared" si="359"/>
        <v>-1.7440000000000004E-2</v>
      </c>
      <c r="S148">
        <f t="shared" si="359"/>
        <v>-2.7359999999999995E-2</v>
      </c>
      <c r="T148">
        <f t="shared" si="359"/>
        <v>-3.8080000000000003E-2</v>
      </c>
      <c r="U148">
        <f t="shared" si="359"/>
        <v>-4.9600000000000005E-2</v>
      </c>
      <c r="V148">
        <f t="shared" si="359"/>
        <v>-6.1920000000000003E-2</v>
      </c>
      <c r="W148">
        <f t="shared" si="337"/>
        <v>-4.9005000000000007E-2</v>
      </c>
      <c r="X148">
        <f t="shared" si="360"/>
        <v>-1.0399999999999993E-2</v>
      </c>
      <c r="Y148">
        <f t="shared" si="360"/>
        <v>-2.18E-2</v>
      </c>
      <c r="Z148">
        <f t="shared" si="360"/>
        <v>-3.4199999999999994E-2</v>
      </c>
      <c r="AA148">
        <f t="shared" si="360"/>
        <v>-4.7600000000000003E-2</v>
      </c>
      <c r="AB148">
        <f t="shared" si="360"/>
        <v>-6.2E-2</v>
      </c>
      <c r="AC148">
        <f t="shared" si="360"/>
        <v>-7.740000000000001E-2</v>
      </c>
      <c r="AD148">
        <f t="shared" si="338"/>
        <v>-4.4398530000000005E-2</v>
      </c>
      <c r="AE148">
        <f t="shared" si="361"/>
        <v>-9.4223999999999974E-3</v>
      </c>
      <c r="AF148">
        <f t="shared" si="361"/>
        <v>-1.9750799999999999E-2</v>
      </c>
      <c r="AG148">
        <f t="shared" si="361"/>
        <v>-3.0985199999999991E-2</v>
      </c>
      <c r="AH148">
        <f t="shared" si="361"/>
        <v>-4.31256E-2</v>
      </c>
      <c r="AI148">
        <f t="shared" si="361"/>
        <v>-5.6172E-2</v>
      </c>
      <c r="AJ148">
        <f t="shared" si="361"/>
        <v>-7.0124400000000003E-2</v>
      </c>
      <c r="AK148">
        <f t="shared" si="339"/>
        <v>-4.9985100000000005E-2</v>
      </c>
      <c r="AL148">
        <f t="shared" si="362"/>
        <v>-1.0607999999999999E-2</v>
      </c>
      <c r="AM148">
        <f t="shared" si="362"/>
        <v>-2.2236000000000006E-2</v>
      </c>
      <c r="AN148">
        <f t="shared" si="362"/>
        <v>-3.4883999999999998E-2</v>
      </c>
      <c r="AO148">
        <f t="shared" si="362"/>
        <v>-4.8552000000000012E-2</v>
      </c>
      <c r="AP148">
        <f t="shared" si="362"/>
        <v>-6.3240000000000018E-2</v>
      </c>
      <c r="AQ148">
        <f t="shared" si="362"/>
        <v>-7.8948000000000018E-2</v>
      </c>
      <c r="AR148">
        <f t="shared" si="340"/>
        <v>-7.4585609999999997E-2</v>
      </c>
      <c r="AS148">
        <f t="shared" si="363"/>
        <v>-1.5828800000000004E-2</v>
      </c>
      <c r="AT148">
        <f t="shared" si="363"/>
        <v>-3.3179600000000004E-2</v>
      </c>
      <c r="AU148">
        <f t="shared" si="363"/>
        <v>-5.2052399999999999E-2</v>
      </c>
      <c r="AV148">
        <f t="shared" si="363"/>
        <v>-7.2447199999999989E-2</v>
      </c>
      <c r="AW148">
        <f t="shared" si="363"/>
        <v>-9.4364000000000003E-2</v>
      </c>
      <c r="AX148">
        <f t="shared" si="363"/>
        <v>-0.11780279999999999</v>
      </c>
      <c r="AY148">
        <f t="shared" si="307"/>
        <v>-2.0582100000000002E-2</v>
      </c>
      <c r="AZ148">
        <f t="shared" si="341"/>
        <v>-4.3680000000000004E-3</v>
      </c>
      <c r="BA148">
        <f t="shared" si="341"/>
        <v>-9.1560000000000009E-3</v>
      </c>
      <c r="BB148">
        <f t="shared" si="341"/>
        <v>-1.4363999999999998E-2</v>
      </c>
      <c r="BC148">
        <f t="shared" si="341"/>
        <v>-1.9991999999999999E-2</v>
      </c>
      <c r="BD148">
        <f t="shared" si="341"/>
        <v>-2.6040000000000004E-2</v>
      </c>
      <c r="BE148">
        <f t="shared" si="341"/>
        <v>-3.2507999999999995E-2</v>
      </c>
      <c r="BF148">
        <f t="shared" si="309"/>
        <v>-2.4502500000000003E-2</v>
      </c>
      <c r="BG148">
        <f t="shared" si="356"/>
        <v>-5.1999999999999963E-3</v>
      </c>
      <c r="BH148">
        <f t="shared" si="356"/>
        <v>-1.09E-2</v>
      </c>
      <c r="BI148">
        <f t="shared" si="356"/>
        <v>-1.7099999999999997E-2</v>
      </c>
      <c r="BJ148">
        <f t="shared" si="356"/>
        <v>-2.3800000000000002E-2</v>
      </c>
      <c r="BK148">
        <f t="shared" si="356"/>
        <v>-3.1E-2</v>
      </c>
      <c r="BL148">
        <f t="shared" si="356"/>
        <v>-3.8700000000000005E-2</v>
      </c>
      <c r="BM148">
        <f t="shared" si="311"/>
        <v>-7.7427900000000008E-2</v>
      </c>
      <c r="BN148">
        <f t="shared" si="357"/>
        <v>-1.6432000000000002E-2</v>
      </c>
      <c r="BO148">
        <f t="shared" si="357"/>
        <v>-3.4444000000000002E-2</v>
      </c>
      <c r="BP148">
        <f t="shared" si="357"/>
        <v>-5.4035999999999987E-2</v>
      </c>
      <c r="BQ148">
        <f t="shared" si="357"/>
        <v>-7.5208000000000011E-2</v>
      </c>
      <c r="BR148">
        <f t="shared" si="357"/>
        <v>-9.7960000000000005E-2</v>
      </c>
      <c r="BS148">
        <f t="shared" si="357"/>
        <v>-0.122292</v>
      </c>
    </row>
    <row r="149" spans="2:71" x14ac:dyDescent="0.35">
      <c r="B149" t="s">
        <v>168</v>
      </c>
      <c r="C149" s="19">
        <f>regions!B127</f>
        <v>31642360</v>
      </c>
      <c r="D149" s="19">
        <f>regions!C127</f>
        <v>75523499823.662308</v>
      </c>
      <c r="E149" s="8">
        <f>regions!D127</f>
        <v>2386.7846716762692</v>
      </c>
      <c r="F149" s="1">
        <f>regions!Z127</f>
        <v>17.100000000000001</v>
      </c>
      <c r="G149" s="8"/>
      <c r="H149" s="8"/>
      <c r="I149">
        <f t="shared" si="335"/>
        <v>-0.238374</v>
      </c>
      <c r="J149">
        <f t="shared" si="358"/>
        <v>-1.393999999999998E-2</v>
      </c>
      <c r="K149">
        <f t="shared" si="358"/>
        <v>-2.7879999999999988E-2</v>
      </c>
      <c r="L149">
        <f t="shared" si="358"/>
        <v>-4.1819999999999996E-2</v>
      </c>
      <c r="M149">
        <f t="shared" si="358"/>
        <v>-5.5760000000000004E-2</v>
      </c>
      <c r="N149">
        <f t="shared" si="358"/>
        <v>-6.9700000000000012E-2</v>
      </c>
      <c r="O149">
        <f t="shared" si="358"/>
        <v>-8.364000000000002E-2</v>
      </c>
      <c r="P149">
        <f t="shared" si="336"/>
        <v>-0.11696400000000001</v>
      </c>
      <c r="Q149">
        <f t="shared" si="359"/>
        <v>-1.4080000000000009E-2</v>
      </c>
      <c r="R149">
        <f t="shared" si="359"/>
        <v>-2.8960000000000014E-2</v>
      </c>
      <c r="S149">
        <f t="shared" si="359"/>
        <v>-4.4640000000000013E-2</v>
      </c>
      <c r="T149">
        <f t="shared" si="359"/>
        <v>-6.1120000000000008E-2</v>
      </c>
      <c r="U149">
        <f t="shared" si="359"/>
        <v>-7.8400000000000025E-2</v>
      </c>
      <c r="V149">
        <f t="shared" si="359"/>
        <v>-9.648000000000001E-2</v>
      </c>
      <c r="W149">
        <f t="shared" si="337"/>
        <v>-0.14620500000000003</v>
      </c>
      <c r="X149">
        <f t="shared" si="360"/>
        <v>-1.7600000000000005E-2</v>
      </c>
      <c r="Y149">
        <f t="shared" si="360"/>
        <v>-3.620000000000001E-2</v>
      </c>
      <c r="Z149">
        <f t="shared" si="360"/>
        <v>-5.5799999999999988E-2</v>
      </c>
      <c r="AA149">
        <f t="shared" si="360"/>
        <v>-7.6399999999999996E-2</v>
      </c>
      <c r="AB149">
        <f t="shared" si="360"/>
        <v>-9.8000000000000004E-2</v>
      </c>
      <c r="AC149">
        <f t="shared" si="360"/>
        <v>-0.12059999999999998</v>
      </c>
      <c r="AD149">
        <f t="shared" si="338"/>
        <v>-0.13246173</v>
      </c>
      <c r="AE149">
        <f t="shared" si="361"/>
        <v>-1.5945600000000032E-2</v>
      </c>
      <c r="AF149">
        <f t="shared" si="361"/>
        <v>-3.2797200000000026E-2</v>
      </c>
      <c r="AG149">
        <f t="shared" si="361"/>
        <v>-5.0554800000000011E-2</v>
      </c>
      <c r="AH149">
        <f t="shared" si="361"/>
        <v>-6.9218400000000013E-2</v>
      </c>
      <c r="AI149">
        <f t="shared" si="361"/>
        <v>-8.8788000000000034E-2</v>
      </c>
      <c r="AJ149">
        <f t="shared" si="361"/>
        <v>-0.10926360000000002</v>
      </c>
      <c r="AK149">
        <f t="shared" si="339"/>
        <v>-0.14912910000000001</v>
      </c>
      <c r="AL149">
        <f t="shared" si="362"/>
        <v>-1.7952000000000023E-2</v>
      </c>
      <c r="AM149">
        <f t="shared" si="362"/>
        <v>-3.692400000000004E-2</v>
      </c>
      <c r="AN149">
        <f t="shared" si="362"/>
        <v>-5.6916000000000022E-2</v>
      </c>
      <c r="AO149">
        <f t="shared" si="362"/>
        <v>-7.7928000000000025E-2</v>
      </c>
      <c r="AP149">
        <f t="shared" si="362"/>
        <v>-9.9960000000000049E-2</v>
      </c>
      <c r="AQ149">
        <f t="shared" si="362"/>
        <v>-0.12301200000000001</v>
      </c>
      <c r="AR149">
        <f t="shared" si="340"/>
        <v>-0.22252400999999999</v>
      </c>
      <c r="AS149">
        <f t="shared" si="363"/>
        <v>-2.6787200000000039E-2</v>
      </c>
      <c r="AT149">
        <f t="shared" si="363"/>
        <v>-5.5096400000000045E-2</v>
      </c>
      <c r="AU149">
        <f t="shared" si="363"/>
        <v>-8.4927600000000047E-2</v>
      </c>
      <c r="AV149">
        <f t="shared" si="363"/>
        <v>-0.11628080000000002</v>
      </c>
      <c r="AW149">
        <f t="shared" si="363"/>
        <v>-0.14915600000000007</v>
      </c>
      <c r="AX149">
        <f t="shared" si="363"/>
        <v>-0.18355319999999997</v>
      </c>
      <c r="AY149">
        <f t="shared" si="307"/>
        <v>-6.1406100000000005E-2</v>
      </c>
      <c r="AZ149">
        <f t="shared" si="341"/>
        <v>-7.3920000000000097E-3</v>
      </c>
      <c r="BA149">
        <f t="shared" si="341"/>
        <v>-1.5204000000000009E-2</v>
      </c>
      <c r="BB149">
        <f t="shared" si="341"/>
        <v>-2.3436000000000012E-2</v>
      </c>
      <c r="BC149">
        <f t="shared" si="341"/>
        <v>-3.2088000000000005E-2</v>
      </c>
      <c r="BD149">
        <f t="shared" si="341"/>
        <v>-4.1160000000000016E-2</v>
      </c>
      <c r="BE149">
        <f t="shared" si="341"/>
        <v>-5.0652000000000003E-2</v>
      </c>
      <c r="BF149">
        <f t="shared" si="309"/>
        <v>-7.3102500000000015E-2</v>
      </c>
      <c r="BG149">
        <f t="shared" si="356"/>
        <v>-8.8000000000000023E-3</v>
      </c>
      <c r="BH149">
        <f t="shared" si="356"/>
        <v>-1.8100000000000005E-2</v>
      </c>
      <c r="BI149">
        <f t="shared" si="356"/>
        <v>-2.7899999999999994E-2</v>
      </c>
      <c r="BJ149">
        <f t="shared" si="356"/>
        <v>-3.8199999999999998E-2</v>
      </c>
      <c r="BK149">
        <f t="shared" si="356"/>
        <v>-4.9000000000000002E-2</v>
      </c>
      <c r="BL149">
        <f t="shared" si="356"/>
        <v>-6.0299999999999992E-2</v>
      </c>
      <c r="BM149">
        <f t="shared" si="311"/>
        <v>-0.23100390000000001</v>
      </c>
      <c r="BN149">
        <f t="shared" si="357"/>
        <v>-2.7808000000000027E-2</v>
      </c>
      <c r="BO149">
        <f t="shared" si="357"/>
        <v>-5.7196000000000052E-2</v>
      </c>
      <c r="BP149">
        <f t="shared" si="357"/>
        <v>-8.8164000000000048E-2</v>
      </c>
      <c r="BQ149">
        <f t="shared" si="357"/>
        <v>-0.12071200000000001</v>
      </c>
      <c r="BR149">
        <f t="shared" si="357"/>
        <v>-0.15484000000000006</v>
      </c>
      <c r="BS149">
        <f t="shared" si="357"/>
        <v>-0.19054800000000002</v>
      </c>
    </row>
    <row r="150" spans="2:71" x14ac:dyDescent="0.35">
      <c r="B150" t="s">
        <v>394</v>
      </c>
      <c r="C150" s="19">
        <f>regions!B128</f>
        <v>23967265</v>
      </c>
      <c r="D150" s="19">
        <f>regions!C128</f>
        <v>9127794918.9110737</v>
      </c>
      <c r="E150" s="8">
        <f>regions!D128</f>
        <v>380.84424396822391</v>
      </c>
      <c r="F150" s="1">
        <f>regions!Z128</f>
        <v>23.8</v>
      </c>
      <c r="G150" s="8"/>
      <c r="H150" s="8"/>
      <c r="I150">
        <f t="shared" si="335"/>
        <v>-0.33177200000000001</v>
      </c>
      <c r="J150">
        <f t="shared" si="358"/>
        <v>-1.3940000000000008E-2</v>
      </c>
      <c r="K150">
        <f t="shared" si="358"/>
        <v>-2.787999999999996E-2</v>
      </c>
      <c r="L150">
        <f t="shared" si="358"/>
        <v>-4.1819999999999968E-2</v>
      </c>
      <c r="M150">
        <f t="shared" si="358"/>
        <v>-5.5759999999999976E-2</v>
      </c>
      <c r="N150">
        <f t="shared" si="358"/>
        <v>-6.9699999999999984E-2</v>
      </c>
      <c r="O150">
        <f t="shared" si="358"/>
        <v>-8.3639999999999992E-2</v>
      </c>
      <c r="P150">
        <f t="shared" si="336"/>
        <v>-0.22657600000000003</v>
      </c>
      <c r="Q150">
        <f t="shared" si="359"/>
        <v>-1.9440000000000013E-2</v>
      </c>
      <c r="R150">
        <f t="shared" si="359"/>
        <v>-3.9679999999999965E-2</v>
      </c>
      <c r="S150">
        <f t="shared" si="359"/>
        <v>-6.0719999999999968E-2</v>
      </c>
      <c r="T150">
        <f t="shared" si="359"/>
        <v>-8.2559999999999995E-2</v>
      </c>
      <c r="U150">
        <f t="shared" si="359"/>
        <v>-0.10519999999999999</v>
      </c>
      <c r="V150">
        <f t="shared" si="359"/>
        <v>-0.12864</v>
      </c>
      <c r="W150">
        <f t="shared" si="337"/>
        <v>-0.28322000000000003</v>
      </c>
      <c r="X150">
        <f t="shared" si="360"/>
        <v>-2.4300000000000044E-2</v>
      </c>
      <c r="Y150">
        <f t="shared" si="360"/>
        <v>-4.9599999999999977E-2</v>
      </c>
      <c r="Z150">
        <f t="shared" si="360"/>
        <v>-7.5899999999999967E-2</v>
      </c>
      <c r="AA150">
        <f t="shared" si="360"/>
        <v>-0.10320000000000001</v>
      </c>
      <c r="AB150">
        <f t="shared" si="360"/>
        <v>-0.13150000000000001</v>
      </c>
      <c r="AC150">
        <f t="shared" si="360"/>
        <v>-0.1608</v>
      </c>
      <c r="AD150">
        <f t="shared" si="338"/>
        <v>-0.25659732000000002</v>
      </c>
      <c r="AE150">
        <f t="shared" si="361"/>
        <v>-2.201580000000003E-2</v>
      </c>
      <c r="AF150">
        <f t="shared" si="361"/>
        <v>-4.4937599999999966E-2</v>
      </c>
      <c r="AG150">
        <f t="shared" si="361"/>
        <v>-6.8765399999999977E-2</v>
      </c>
      <c r="AH150">
        <f t="shared" si="361"/>
        <v>-9.3499200000000005E-2</v>
      </c>
      <c r="AI150">
        <f t="shared" si="361"/>
        <v>-0.11913899999999999</v>
      </c>
      <c r="AJ150">
        <f t="shared" si="361"/>
        <v>-0.1456848</v>
      </c>
      <c r="AK150">
        <f t="shared" si="339"/>
        <v>-0.28888440000000004</v>
      </c>
      <c r="AL150">
        <f t="shared" si="362"/>
        <v>-2.478600000000003E-2</v>
      </c>
      <c r="AM150">
        <f t="shared" si="362"/>
        <v>-5.059199999999997E-2</v>
      </c>
      <c r="AN150">
        <f t="shared" si="362"/>
        <v>-7.7417999999999987E-2</v>
      </c>
      <c r="AO150">
        <f t="shared" si="362"/>
        <v>-0.10526400000000002</v>
      </c>
      <c r="AP150">
        <f t="shared" si="362"/>
        <v>-0.13413000000000003</v>
      </c>
      <c r="AQ150">
        <f t="shared" si="362"/>
        <v>-0.16401600000000005</v>
      </c>
      <c r="AR150">
        <f t="shared" si="340"/>
        <v>-0.43106084</v>
      </c>
      <c r="AS150">
        <f t="shared" si="363"/>
        <v>-3.6984600000000034E-2</v>
      </c>
      <c r="AT150">
        <f t="shared" si="363"/>
        <v>-7.5491199999999981E-2</v>
      </c>
      <c r="AU150">
        <f t="shared" si="363"/>
        <v>-0.11551979999999995</v>
      </c>
      <c r="AV150">
        <f t="shared" si="363"/>
        <v>-0.15707039999999994</v>
      </c>
      <c r="AW150">
        <f t="shared" si="363"/>
        <v>-0.20014299999999996</v>
      </c>
      <c r="AX150">
        <f t="shared" si="363"/>
        <v>-0.2447376</v>
      </c>
      <c r="AY150">
        <f t="shared" si="307"/>
        <v>-0.11895240000000001</v>
      </c>
      <c r="AZ150">
        <f t="shared" si="341"/>
        <v>-1.0206000000000021E-2</v>
      </c>
      <c r="BA150">
        <f t="shared" si="341"/>
        <v>-2.0831999999999989E-2</v>
      </c>
      <c r="BB150">
        <f t="shared" si="341"/>
        <v>-3.187799999999999E-2</v>
      </c>
      <c r="BC150">
        <f t="shared" si="341"/>
        <v>-4.3343999999999994E-2</v>
      </c>
      <c r="BD150">
        <f t="shared" si="341"/>
        <v>-5.5230000000000001E-2</v>
      </c>
      <c r="BE150">
        <f t="shared" si="341"/>
        <v>-6.7536000000000013E-2</v>
      </c>
      <c r="BF150">
        <f t="shared" si="309"/>
        <v>-0.14161000000000001</v>
      </c>
      <c r="BG150">
        <f t="shared" si="356"/>
        <v>-1.2150000000000022E-2</v>
      </c>
      <c r="BH150">
        <f t="shared" si="356"/>
        <v>-2.4799999999999989E-2</v>
      </c>
      <c r="BI150">
        <f t="shared" si="356"/>
        <v>-3.7949999999999984E-2</v>
      </c>
      <c r="BJ150">
        <f t="shared" si="356"/>
        <v>-5.1600000000000007E-2</v>
      </c>
      <c r="BK150">
        <f t="shared" si="356"/>
        <v>-6.5750000000000003E-2</v>
      </c>
      <c r="BL150">
        <f t="shared" si="356"/>
        <v>-8.0399999999999999E-2</v>
      </c>
      <c r="BM150">
        <f t="shared" si="311"/>
        <v>-0.44748760000000004</v>
      </c>
      <c r="BN150">
        <f t="shared" si="357"/>
        <v>-3.8394000000000039E-2</v>
      </c>
      <c r="BO150">
        <f t="shared" si="357"/>
        <v>-7.8367999999999938E-2</v>
      </c>
      <c r="BP150">
        <f t="shared" si="357"/>
        <v>-0.11992200000000003</v>
      </c>
      <c r="BQ150">
        <f t="shared" si="357"/>
        <v>-0.16305600000000003</v>
      </c>
      <c r="BR150">
        <f t="shared" si="357"/>
        <v>-0.20777000000000007</v>
      </c>
      <c r="BS150">
        <f t="shared" si="357"/>
        <v>-0.25406400000000001</v>
      </c>
    </row>
    <row r="151" spans="2:71" x14ac:dyDescent="0.35">
      <c r="B151" t="s">
        <v>395</v>
      </c>
      <c r="C151" s="19">
        <f>regions!B129</f>
        <v>2178967</v>
      </c>
      <c r="D151" s="19">
        <f>regions!C129</f>
        <v>8936748666.272974</v>
      </c>
      <c r="E151" s="8">
        <f>regions!D129</f>
        <v>4101.3694407822486</v>
      </c>
      <c r="F151" s="1">
        <f>regions!Z129</f>
        <v>19.899999999999999</v>
      </c>
      <c r="G151" s="8"/>
      <c r="H151" s="8"/>
      <c r="I151">
        <f t="shared" si="335"/>
        <v>0</v>
      </c>
      <c r="J151">
        <f t="shared" si="358"/>
        <v>0</v>
      </c>
      <c r="K151">
        <f t="shared" si="358"/>
        <v>0</v>
      </c>
      <c r="L151">
        <f t="shared" si="358"/>
        <v>0</v>
      </c>
      <c r="M151">
        <f t="shared" si="358"/>
        <v>0</v>
      </c>
      <c r="N151">
        <f t="shared" si="358"/>
        <v>0</v>
      </c>
      <c r="O151">
        <f t="shared" si="358"/>
        <v>0</v>
      </c>
      <c r="P151">
        <f t="shared" si="336"/>
        <v>-0.15840399999999999</v>
      </c>
      <c r="Q151">
        <f t="shared" si="359"/>
        <v>-1.6320000000000001E-2</v>
      </c>
      <c r="R151">
        <f t="shared" si="359"/>
        <v>-3.3439999999999998E-2</v>
      </c>
      <c r="S151">
        <f t="shared" si="359"/>
        <v>-5.1360000000000017E-2</v>
      </c>
      <c r="T151">
        <f t="shared" si="359"/>
        <v>-7.0080000000000003E-2</v>
      </c>
      <c r="U151">
        <f t="shared" si="359"/>
        <v>-8.9599999999999985E-2</v>
      </c>
      <c r="V151">
        <f t="shared" si="359"/>
        <v>-0.10992000000000002</v>
      </c>
      <c r="W151">
        <f t="shared" si="337"/>
        <v>-0.19800499999999996</v>
      </c>
      <c r="X151">
        <f t="shared" si="360"/>
        <v>-2.0400000000000029E-2</v>
      </c>
      <c r="Y151">
        <f t="shared" si="360"/>
        <v>-4.1800000000000032E-2</v>
      </c>
      <c r="Z151">
        <f t="shared" si="360"/>
        <v>-6.4200000000000007E-2</v>
      </c>
      <c r="AA151">
        <f t="shared" si="360"/>
        <v>-8.7599999999999983E-2</v>
      </c>
      <c r="AB151">
        <f t="shared" si="360"/>
        <v>-0.11199999999999996</v>
      </c>
      <c r="AC151">
        <f t="shared" si="360"/>
        <v>-0.13739999999999999</v>
      </c>
      <c r="AD151">
        <f t="shared" si="338"/>
        <v>-0.17939252999999997</v>
      </c>
      <c r="AE151">
        <f t="shared" si="361"/>
        <v>-1.848240000000001E-2</v>
      </c>
      <c r="AF151">
        <f t="shared" si="361"/>
        <v>-3.787080000000001E-2</v>
      </c>
      <c r="AG151">
        <f t="shared" si="361"/>
        <v>-5.8165200000000028E-2</v>
      </c>
      <c r="AH151">
        <f t="shared" si="361"/>
        <v>-7.9365600000000008E-2</v>
      </c>
      <c r="AI151">
        <f t="shared" si="361"/>
        <v>-0.10147199999999998</v>
      </c>
      <c r="AJ151">
        <f t="shared" si="361"/>
        <v>-0.12448440000000002</v>
      </c>
      <c r="AK151">
        <f t="shared" si="339"/>
        <v>-0.20196509999999998</v>
      </c>
      <c r="AL151">
        <f t="shared" si="362"/>
        <v>-2.0808000000000021E-2</v>
      </c>
      <c r="AM151">
        <f t="shared" si="362"/>
        <v>-4.2636000000000007E-2</v>
      </c>
      <c r="AN151">
        <f t="shared" si="362"/>
        <v>-6.5484000000000014E-2</v>
      </c>
      <c r="AO151">
        <f t="shared" si="362"/>
        <v>-8.9352000000000015E-2</v>
      </c>
      <c r="AP151">
        <f t="shared" si="362"/>
        <v>-0.11423999999999998</v>
      </c>
      <c r="AQ151">
        <f t="shared" si="362"/>
        <v>-0.14014800000000002</v>
      </c>
      <c r="AR151">
        <f t="shared" si="340"/>
        <v>-0.30136360999999995</v>
      </c>
      <c r="AS151">
        <f t="shared" si="363"/>
        <v>-3.1048799999999988E-2</v>
      </c>
      <c r="AT151">
        <f t="shared" si="363"/>
        <v>-6.3619599999999998E-2</v>
      </c>
      <c r="AU151">
        <f t="shared" si="363"/>
        <v>-9.7712400000000033E-2</v>
      </c>
      <c r="AV151">
        <f t="shared" si="363"/>
        <v>-0.13332719999999998</v>
      </c>
      <c r="AW151">
        <f t="shared" si="363"/>
        <v>-0.17046399999999995</v>
      </c>
      <c r="AX151">
        <f t="shared" si="363"/>
        <v>-0.2091228</v>
      </c>
      <c r="AY151">
        <f t="shared" si="307"/>
        <v>-8.3162099999999989E-2</v>
      </c>
      <c r="AZ151">
        <f t="shared" si="341"/>
        <v>-8.5680000000000062E-3</v>
      </c>
      <c r="BA151">
        <f t="shared" si="341"/>
        <v>-1.7556000000000002E-2</v>
      </c>
      <c r="BB151">
        <f t="shared" si="341"/>
        <v>-2.6964000000000016E-2</v>
      </c>
      <c r="BC151">
        <f t="shared" si="341"/>
        <v>-3.6792000000000005E-2</v>
      </c>
      <c r="BD151">
        <f t="shared" si="341"/>
        <v>-4.7039999999999998E-2</v>
      </c>
      <c r="BE151">
        <f t="shared" si="341"/>
        <v>-5.7708000000000009E-2</v>
      </c>
      <c r="BF151">
        <f t="shared" si="309"/>
        <v>-9.9002499999999979E-2</v>
      </c>
      <c r="BG151">
        <f t="shared" si="356"/>
        <v>-1.0200000000000015E-2</v>
      </c>
      <c r="BH151">
        <f t="shared" si="356"/>
        <v>-2.0900000000000016E-2</v>
      </c>
      <c r="BI151">
        <f t="shared" si="356"/>
        <v>-3.2100000000000004E-2</v>
      </c>
      <c r="BJ151">
        <f t="shared" si="356"/>
        <v>-4.3799999999999992E-2</v>
      </c>
      <c r="BK151">
        <f t="shared" si="356"/>
        <v>-5.599999999999998E-2</v>
      </c>
      <c r="BL151">
        <f t="shared" si="356"/>
        <v>-6.8699999999999997E-2</v>
      </c>
      <c r="BM151">
        <f t="shared" si="311"/>
        <v>-0.31284789999999996</v>
      </c>
      <c r="BN151">
        <f t="shared" si="357"/>
        <v>-3.2231999999999983E-2</v>
      </c>
      <c r="BO151">
        <f t="shared" si="357"/>
        <v>-6.6043999999999992E-2</v>
      </c>
      <c r="BP151">
        <f t="shared" si="357"/>
        <v>-0.10143600000000003</v>
      </c>
      <c r="BQ151">
        <f t="shared" si="357"/>
        <v>-0.13840799999999998</v>
      </c>
      <c r="BR151">
        <f t="shared" si="357"/>
        <v>-0.17695999999999995</v>
      </c>
      <c r="BS151">
        <f t="shared" si="357"/>
        <v>-0.21709200000000006</v>
      </c>
    </row>
    <row r="152" spans="2:71" x14ac:dyDescent="0.35">
      <c r="B152" t="s">
        <v>169</v>
      </c>
      <c r="C152" s="19">
        <f>regions!B130</f>
        <v>26846016</v>
      </c>
      <c r="D152" s="19">
        <f>regions!C130</f>
        <v>10103288981.142262</v>
      </c>
      <c r="E152" s="8">
        <f>regions!D130</f>
        <v>376.34220962776232</v>
      </c>
      <c r="F152" s="1">
        <f>regions!Z130</f>
        <v>8.1</v>
      </c>
      <c r="G152" s="8"/>
      <c r="H152" s="8"/>
      <c r="I152">
        <f t="shared" si="335"/>
        <v>-0.11291399999999999</v>
      </c>
      <c r="J152">
        <f t="shared" si="358"/>
        <v>-1.3940000000000008E-2</v>
      </c>
      <c r="K152">
        <f t="shared" si="358"/>
        <v>-2.7879999999999988E-2</v>
      </c>
      <c r="L152">
        <f t="shared" si="358"/>
        <v>-4.1819999999999996E-2</v>
      </c>
      <c r="M152">
        <f t="shared" si="358"/>
        <v>-5.5760000000000004E-2</v>
      </c>
      <c r="N152">
        <f t="shared" si="358"/>
        <v>-6.9700000000000012E-2</v>
      </c>
      <c r="O152">
        <f t="shared" si="358"/>
        <v>-8.3639999999999992E-2</v>
      </c>
      <c r="P152">
        <f t="shared" si="336"/>
        <v>-2.6244E-2</v>
      </c>
      <c r="Q152">
        <f t="shared" si="359"/>
        <v>-6.8799999999999938E-3</v>
      </c>
      <c r="R152">
        <f t="shared" si="359"/>
        <v>-1.456E-2</v>
      </c>
      <c r="S152">
        <f t="shared" si="359"/>
        <v>-2.3040000000000001E-2</v>
      </c>
      <c r="T152">
        <f t="shared" si="359"/>
        <v>-3.2320000000000002E-2</v>
      </c>
      <c r="U152">
        <f t="shared" si="359"/>
        <v>-4.2399999999999993E-2</v>
      </c>
      <c r="V152">
        <f t="shared" si="359"/>
        <v>-5.3280000000000008E-2</v>
      </c>
      <c r="W152">
        <f t="shared" si="337"/>
        <v>-3.2805000000000001E-2</v>
      </c>
      <c r="X152">
        <f t="shared" si="360"/>
        <v>-8.5999999999999965E-3</v>
      </c>
      <c r="Y152">
        <f t="shared" si="360"/>
        <v>-1.8199999999999994E-2</v>
      </c>
      <c r="Z152">
        <f t="shared" si="360"/>
        <v>-2.8799999999999999E-2</v>
      </c>
      <c r="AA152">
        <f t="shared" si="360"/>
        <v>-4.0400000000000005E-2</v>
      </c>
      <c r="AB152">
        <f t="shared" si="360"/>
        <v>-5.2999999999999992E-2</v>
      </c>
      <c r="AC152">
        <f t="shared" si="360"/>
        <v>-6.6600000000000006E-2</v>
      </c>
      <c r="AD152">
        <f t="shared" si="338"/>
        <v>-2.9721330000000001E-2</v>
      </c>
      <c r="AE152">
        <f t="shared" si="361"/>
        <v>-7.7915999999999923E-3</v>
      </c>
      <c r="AF152">
        <f t="shared" si="361"/>
        <v>-1.6489199999999999E-2</v>
      </c>
      <c r="AG152">
        <f t="shared" si="361"/>
        <v>-2.6092799999999996E-2</v>
      </c>
      <c r="AH152">
        <f t="shared" si="361"/>
        <v>-3.6602399999999993E-2</v>
      </c>
      <c r="AI152">
        <f t="shared" si="361"/>
        <v>-4.8017999999999991E-2</v>
      </c>
      <c r="AJ152">
        <f t="shared" si="361"/>
        <v>-6.0339599999999993E-2</v>
      </c>
      <c r="AK152">
        <f t="shared" si="339"/>
        <v>-3.3461100000000001E-2</v>
      </c>
      <c r="AL152">
        <f t="shared" si="362"/>
        <v>-8.7719999999999951E-3</v>
      </c>
      <c r="AM152">
        <f t="shared" si="362"/>
        <v>-1.8563999999999997E-2</v>
      </c>
      <c r="AN152">
        <f t="shared" si="362"/>
        <v>-2.9376000000000006E-2</v>
      </c>
      <c r="AO152">
        <f t="shared" si="362"/>
        <v>-4.1208000000000002E-2</v>
      </c>
      <c r="AP152">
        <f t="shared" si="362"/>
        <v>-5.4060000000000004E-2</v>
      </c>
      <c r="AQ152">
        <f t="shared" si="362"/>
        <v>-6.793200000000002E-2</v>
      </c>
      <c r="AR152">
        <f t="shared" si="340"/>
        <v>-4.9929209999999995E-2</v>
      </c>
      <c r="AS152">
        <f t="shared" si="363"/>
        <v>-1.3089199999999988E-2</v>
      </c>
      <c r="AT152">
        <f t="shared" si="363"/>
        <v>-2.7700399999999993E-2</v>
      </c>
      <c r="AU152">
        <f t="shared" si="363"/>
        <v>-4.3833599999999993E-2</v>
      </c>
      <c r="AV152">
        <f t="shared" si="363"/>
        <v>-6.1488800000000003E-2</v>
      </c>
      <c r="AW152">
        <f t="shared" si="363"/>
        <v>-8.0665999999999988E-2</v>
      </c>
      <c r="AX152">
        <f t="shared" si="363"/>
        <v>-0.10136519999999999</v>
      </c>
      <c r="AY152">
        <f t="shared" si="307"/>
        <v>-1.37781E-2</v>
      </c>
      <c r="AZ152">
        <f t="shared" si="341"/>
        <v>-3.6119999999999989E-3</v>
      </c>
      <c r="BA152">
        <f t="shared" si="341"/>
        <v>-7.6439999999999998E-3</v>
      </c>
      <c r="BB152">
        <f t="shared" si="341"/>
        <v>-1.2096000000000001E-2</v>
      </c>
      <c r="BC152">
        <f t="shared" si="341"/>
        <v>-1.6968000000000004E-2</v>
      </c>
      <c r="BD152">
        <f t="shared" si="341"/>
        <v>-2.2259999999999995E-2</v>
      </c>
      <c r="BE152">
        <f t="shared" si="341"/>
        <v>-2.7972000000000004E-2</v>
      </c>
      <c r="BF152">
        <f t="shared" si="309"/>
        <v>-1.64025E-2</v>
      </c>
      <c r="BG152">
        <f t="shared" si="356"/>
        <v>-4.2999999999999983E-3</v>
      </c>
      <c r="BH152">
        <f t="shared" si="356"/>
        <v>-9.099999999999997E-3</v>
      </c>
      <c r="BI152">
        <f t="shared" si="356"/>
        <v>-1.44E-2</v>
      </c>
      <c r="BJ152">
        <f t="shared" si="356"/>
        <v>-2.0200000000000003E-2</v>
      </c>
      <c r="BK152">
        <f t="shared" si="356"/>
        <v>-2.6499999999999996E-2</v>
      </c>
      <c r="BL152">
        <f t="shared" si="356"/>
        <v>-3.3300000000000003E-2</v>
      </c>
      <c r="BM152">
        <f t="shared" si="311"/>
        <v>-5.18319E-2</v>
      </c>
      <c r="BN152">
        <f t="shared" si="357"/>
        <v>-1.3587999999999989E-2</v>
      </c>
      <c r="BO152">
        <f t="shared" si="357"/>
        <v>-2.875599999999999E-2</v>
      </c>
      <c r="BP152">
        <f t="shared" si="357"/>
        <v>-4.5504000000000003E-2</v>
      </c>
      <c r="BQ152">
        <f t="shared" si="357"/>
        <v>-6.3832E-2</v>
      </c>
      <c r="BR152">
        <f t="shared" si="357"/>
        <v>-8.3739999999999995E-2</v>
      </c>
      <c r="BS152">
        <f t="shared" si="357"/>
        <v>-0.105228</v>
      </c>
    </row>
    <row r="153" spans="2:71" x14ac:dyDescent="0.35">
      <c r="B153" t="s">
        <v>170</v>
      </c>
      <c r="C153" s="19">
        <f>regions!B131</f>
        <v>16615394</v>
      </c>
      <c r="D153" s="19">
        <f>regions!C131</f>
        <v>683063473113.4657</v>
      </c>
      <c r="E153" s="8">
        <f>regions!D131</f>
        <v>41110.27840287541</v>
      </c>
      <c r="F153" s="1">
        <f>regions!Z131</f>
        <v>9.1999999999999993</v>
      </c>
      <c r="G153" s="8"/>
      <c r="H153" s="8"/>
      <c r="I153">
        <f t="shared" si="335"/>
        <v>0</v>
      </c>
      <c r="J153">
        <f t="shared" si="358"/>
        <v>0</v>
      </c>
      <c r="K153">
        <f t="shared" si="358"/>
        <v>0</v>
      </c>
      <c r="L153">
        <f t="shared" si="358"/>
        <v>0</v>
      </c>
      <c r="M153">
        <f t="shared" si="358"/>
        <v>0</v>
      </c>
      <c r="N153">
        <f t="shared" si="358"/>
        <v>0</v>
      </c>
      <c r="O153">
        <f t="shared" si="358"/>
        <v>0</v>
      </c>
      <c r="P153">
        <f t="shared" si="336"/>
        <v>-3.3855999999999997E-2</v>
      </c>
      <c r="Q153">
        <f t="shared" si="359"/>
        <v>-7.760000000000003E-3</v>
      </c>
      <c r="R153">
        <f t="shared" si="359"/>
        <v>-1.6320000000000001E-2</v>
      </c>
      <c r="S153">
        <f t="shared" si="359"/>
        <v>-2.5679999999999994E-2</v>
      </c>
      <c r="T153">
        <f t="shared" si="359"/>
        <v>-3.5839999999999997E-2</v>
      </c>
      <c r="U153">
        <f t="shared" si="359"/>
        <v>-4.6799999999999994E-2</v>
      </c>
      <c r="V153">
        <f t="shared" si="359"/>
        <v>-5.8560000000000001E-2</v>
      </c>
      <c r="W153">
        <f t="shared" si="337"/>
        <v>-4.2319999999999997E-2</v>
      </c>
      <c r="X153">
        <f t="shared" si="360"/>
        <v>-9.7000000000000003E-3</v>
      </c>
      <c r="Y153">
        <f t="shared" si="360"/>
        <v>-2.0400000000000001E-2</v>
      </c>
      <c r="Z153">
        <f t="shared" si="360"/>
        <v>-3.209999999999999E-2</v>
      </c>
      <c r="AA153">
        <f t="shared" si="360"/>
        <v>-4.4799999999999993E-2</v>
      </c>
      <c r="AB153">
        <f t="shared" si="360"/>
        <v>-5.8499999999999996E-2</v>
      </c>
      <c r="AC153">
        <f t="shared" si="360"/>
        <v>-7.3200000000000001E-2</v>
      </c>
      <c r="AD153">
        <f t="shared" si="338"/>
        <v>-3.8341919999999995E-2</v>
      </c>
      <c r="AE153">
        <f t="shared" si="361"/>
        <v>-8.788200000000003E-3</v>
      </c>
      <c r="AF153">
        <f t="shared" si="361"/>
        <v>-1.8482399999999996E-2</v>
      </c>
      <c r="AG153">
        <f t="shared" si="361"/>
        <v>-2.9082599999999993E-2</v>
      </c>
      <c r="AH153">
        <f t="shared" si="361"/>
        <v>-4.0588800000000001E-2</v>
      </c>
      <c r="AI153">
        <f t="shared" si="361"/>
        <v>-5.3001E-2</v>
      </c>
      <c r="AJ153">
        <f t="shared" si="361"/>
        <v>-6.6319199999999995E-2</v>
      </c>
      <c r="AK153">
        <f t="shared" si="339"/>
        <v>-4.3166399999999994E-2</v>
      </c>
      <c r="AL153">
        <f t="shared" si="362"/>
        <v>-9.894000000000007E-3</v>
      </c>
      <c r="AM153">
        <f t="shared" si="362"/>
        <v>-2.0808000000000007E-2</v>
      </c>
      <c r="AN153">
        <f t="shared" si="362"/>
        <v>-3.2741999999999993E-2</v>
      </c>
      <c r="AO153">
        <f t="shared" si="362"/>
        <v>-4.5696000000000001E-2</v>
      </c>
      <c r="AP153">
        <f t="shared" si="362"/>
        <v>-5.9670000000000001E-2</v>
      </c>
      <c r="AQ153">
        <f t="shared" si="362"/>
        <v>-7.4664000000000008E-2</v>
      </c>
      <c r="AR153">
        <f t="shared" si="340"/>
        <v>-6.4411039999999989E-2</v>
      </c>
      <c r="AS153">
        <f t="shared" si="363"/>
        <v>-1.4763399999999996E-2</v>
      </c>
      <c r="AT153">
        <f t="shared" si="363"/>
        <v>-3.1048799999999988E-2</v>
      </c>
      <c r="AU153">
        <f t="shared" si="363"/>
        <v>-4.8856199999999989E-2</v>
      </c>
      <c r="AV153">
        <f t="shared" si="363"/>
        <v>-6.8185599999999999E-2</v>
      </c>
      <c r="AW153">
        <f t="shared" si="363"/>
        <v>-8.9036999999999991E-2</v>
      </c>
      <c r="AX153">
        <f t="shared" si="363"/>
        <v>-0.11141040000000001</v>
      </c>
      <c r="AY153">
        <f t="shared" si="307"/>
        <v>-1.7774399999999999E-2</v>
      </c>
      <c r="AZ153">
        <f t="shared" si="341"/>
        <v>-4.0740000000000012E-3</v>
      </c>
      <c r="BA153">
        <f t="shared" si="341"/>
        <v>-8.5679999999999992E-3</v>
      </c>
      <c r="BB153">
        <f t="shared" si="341"/>
        <v>-1.3481999999999997E-2</v>
      </c>
      <c r="BC153">
        <f t="shared" si="341"/>
        <v>-1.8815999999999996E-2</v>
      </c>
      <c r="BD153">
        <f t="shared" si="341"/>
        <v>-2.4569999999999998E-2</v>
      </c>
      <c r="BE153">
        <f t="shared" si="341"/>
        <v>-3.0744000000000004E-2</v>
      </c>
      <c r="BF153">
        <f t="shared" si="309"/>
        <v>-2.1159999999999998E-2</v>
      </c>
      <c r="BG153">
        <f t="shared" si="356"/>
        <v>-4.8500000000000001E-3</v>
      </c>
      <c r="BH153">
        <f t="shared" si="356"/>
        <v>-1.0200000000000001E-2</v>
      </c>
      <c r="BI153">
        <f t="shared" si="356"/>
        <v>-1.6049999999999995E-2</v>
      </c>
      <c r="BJ153">
        <f t="shared" si="356"/>
        <v>-2.2399999999999996E-2</v>
      </c>
      <c r="BK153">
        <f t="shared" si="356"/>
        <v>-2.9249999999999998E-2</v>
      </c>
      <c r="BL153">
        <f t="shared" si="356"/>
        <v>-3.6600000000000001E-2</v>
      </c>
      <c r="BM153">
        <f t="shared" si="311"/>
        <v>-6.6865599999999983E-2</v>
      </c>
      <c r="BN153">
        <f t="shared" si="357"/>
        <v>-1.5326000000000006E-2</v>
      </c>
      <c r="BO153">
        <f t="shared" si="357"/>
        <v>-3.2232000000000011E-2</v>
      </c>
      <c r="BP153">
        <f t="shared" si="357"/>
        <v>-5.0717999999999999E-2</v>
      </c>
      <c r="BQ153">
        <f t="shared" si="357"/>
        <v>-7.0784E-2</v>
      </c>
      <c r="BR153">
        <f t="shared" si="357"/>
        <v>-9.2429999999999998E-2</v>
      </c>
      <c r="BS153">
        <f t="shared" si="357"/>
        <v>-0.11565600000000002</v>
      </c>
    </row>
    <row r="154" spans="2:71" x14ac:dyDescent="0.35">
      <c r="B154" t="s">
        <v>171</v>
      </c>
      <c r="C154" s="19">
        <f>regions!B132</f>
        <v>4367800</v>
      </c>
      <c r="D154" s="19">
        <f>regions!C132</f>
        <v>120042479359.5708</v>
      </c>
      <c r="E154" s="8">
        <f>regions!D132</f>
        <v>27483.511003152802</v>
      </c>
      <c r="F154" s="1">
        <f>regions!Z132</f>
        <v>10.5</v>
      </c>
      <c r="G154" s="8"/>
      <c r="H154" s="8"/>
      <c r="I154">
        <f t="shared" ref="I154:I185" si="364">IF(E154&lt;E$24,$D$11*$F154,0)</f>
        <v>0</v>
      </c>
      <c r="J154">
        <f t="shared" si="358"/>
        <v>0</v>
      </c>
      <c r="K154">
        <f t="shared" si="358"/>
        <v>0</v>
      </c>
      <c r="L154">
        <f t="shared" si="358"/>
        <v>0</v>
      </c>
      <c r="M154">
        <f t="shared" si="358"/>
        <v>0</v>
      </c>
      <c r="N154">
        <f t="shared" si="358"/>
        <v>0</v>
      </c>
      <c r="O154">
        <f t="shared" si="358"/>
        <v>0</v>
      </c>
      <c r="P154">
        <f t="shared" ref="P154:P185" si="365">$D$13*$F154^2</f>
        <v>-4.41E-2</v>
      </c>
      <c r="Q154">
        <f t="shared" si="359"/>
        <v>-8.8000000000000023E-3</v>
      </c>
      <c r="R154">
        <f t="shared" si="359"/>
        <v>-1.84E-2</v>
      </c>
      <c r="S154">
        <f t="shared" si="359"/>
        <v>-2.8800000000000006E-2</v>
      </c>
      <c r="T154">
        <f t="shared" si="359"/>
        <v>-4.0000000000000008E-2</v>
      </c>
      <c r="U154">
        <f t="shared" si="359"/>
        <v>-5.2000000000000005E-2</v>
      </c>
      <c r="V154">
        <f t="shared" si="359"/>
        <v>-6.480000000000001E-2</v>
      </c>
      <c r="W154">
        <f t="shared" ref="W154:W185" si="366">$D$15*$F154^2</f>
        <v>-5.5125E-2</v>
      </c>
      <c r="X154">
        <f t="shared" si="360"/>
        <v>-1.1000000000000003E-2</v>
      </c>
      <c r="Y154">
        <f t="shared" si="360"/>
        <v>-2.3E-2</v>
      </c>
      <c r="Z154">
        <f t="shared" si="360"/>
        <v>-3.5999999999999997E-2</v>
      </c>
      <c r="AA154">
        <f t="shared" si="360"/>
        <v>-4.9999999999999996E-2</v>
      </c>
      <c r="AB154">
        <f t="shared" si="360"/>
        <v>-6.5000000000000002E-2</v>
      </c>
      <c r="AC154">
        <f t="shared" si="360"/>
        <v>-8.0999999999999989E-2</v>
      </c>
      <c r="AD154">
        <f t="shared" ref="AD154:AD185" si="367">$D$10*$F154^2</f>
        <v>-4.9943250000000002E-2</v>
      </c>
      <c r="AE154">
        <f t="shared" si="361"/>
        <v>-9.9660000000000026E-3</v>
      </c>
      <c r="AF154">
        <f t="shared" si="361"/>
        <v>-2.0838000000000002E-2</v>
      </c>
      <c r="AG154">
        <f t="shared" si="361"/>
        <v>-3.2615999999999999E-2</v>
      </c>
      <c r="AH154">
        <f t="shared" si="361"/>
        <v>-4.53E-2</v>
      </c>
      <c r="AI154">
        <f t="shared" si="361"/>
        <v>-5.8890000000000005E-2</v>
      </c>
      <c r="AJ154">
        <f t="shared" si="361"/>
        <v>-7.3386000000000007E-2</v>
      </c>
      <c r="AK154">
        <f t="shared" ref="AK154:AK185" si="368">$D$17*$F154^2</f>
        <v>-5.6227500000000007E-2</v>
      </c>
      <c r="AL154">
        <f t="shared" si="362"/>
        <v>-1.1220000000000001E-2</v>
      </c>
      <c r="AM154">
        <f t="shared" si="362"/>
        <v>-2.3460000000000002E-2</v>
      </c>
      <c r="AN154">
        <f t="shared" si="362"/>
        <v>-3.6719999999999996E-2</v>
      </c>
      <c r="AO154">
        <f t="shared" si="362"/>
        <v>-5.0999999999999997E-2</v>
      </c>
      <c r="AP154">
        <f t="shared" si="362"/>
        <v>-6.6299999999999998E-2</v>
      </c>
      <c r="AQ154">
        <f t="shared" si="362"/>
        <v>-8.2619999999999999E-2</v>
      </c>
      <c r="AR154">
        <f t="shared" ref="AR154:AR185" si="369">$D$8*$F154^2</f>
        <v>-8.3900249999999996E-2</v>
      </c>
      <c r="AS154">
        <f t="shared" si="363"/>
        <v>-1.6741999999999993E-2</v>
      </c>
      <c r="AT154">
        <f t="shared" si="363"/>
        <v>-3.5005999999999995E-2</v>
      </c>
      <c r="AU154">
        <f t="shared" si="363"/>
        <v>-5.4791999999999993E-2</v>
      </c>
      <c r="AV154">
        <f t="shared" si="363"/>
        <v>-7.6099999999999987E-2</v>
      </c>
      <c r="AW154">
        <f t="shared" si="363"/>
        <v>-9.8930000000000004E-2</v>
      </c>
      <c r="AX154">
        <f t="shared" si="363"/>
        <v>-0.12328199999999999</v>
      </c>
      <c r="AY154">
        <f t="shared" si="307"/>
        <v>-2.3152499999999999E-2</v>
      </c>
      <c r="AZ154">
        <f t="shared" si="341"/>
        <v>-4.6200000000000026E-3</v>
      </c>
      <c r="BA154">
        <f t="shared" si="341"/>
        <v>-9.6600000000000019E-3</v>
      </c>
      <c r="BB154">
        <f t="shared" si="341"/>
        <v>-1.5120000000000001E-2</v>
      </c>
      <c r="BC154">
        <f t="shared" si="341"/>
        <v>-2.1000000000000005E-2</v>
      </c>
      <c r="BD154">
        <f t="shared" si="341"/>
        <v>-2.7300000000000005E-2</v>
      </c>
      <c r="BE154">
        <f t="shared" si="341"/>
        <v>-3.4020000000000002E-2</v>
      </c>
      <c r="BF154">
        <f t="shared" si="309"/>
        <v>-2.75625E-2</v>
      </c>
      <c r="BG154">
        <f t="shared" si="356"/>
        <v>-5.5000000000000014E-3</v>
      </c>
      <c r="BH154">
        <f t="shared" si="356"/>
        <v>-1.15E-2</v>
      </c>
      <c r="BI154">
        <f t="shared" si="356"/>
        <v>-1.7999999999999999E-2</v>
      </c>
      <c r="BJ154">
        <f t="shared" si="356"/>
        <v>-2.4999999999999998E-2</v>
      </c>
      <c r="BK154">
        <f t="shared" si="356"/>
        <v>-3.2500000000000001E-2</v>
      </c>
      <c r="BL154">
        <f t="shared" si="356"/>
        <v>-4.0499999999999994E-2</v>
      </c>
      <c r="BM154">
        <f t="shared" si="311"/>
        <v>-8.7097500000000008E-2</v>
      </c>
      <c r="BN154">
        <f t="shared" si="357"/>
        <v>-1.7379999999999993E-2</v>
      </c>
      <c r="BO154">
        <f t="shared" si="357"/>
        <v>-3.6339999999999997E-2</v>
      </c>
      <c r="BP154">
        <f t="shared" si="357"/>
        <v>-5.688E-2</v>
      </c>
      <c r="BQ154">
        <f t="shared" si="357"/>
        <v>-7.9000000000000001E-2</v>
      </c>
      <c r="BR154">
        <f t="shared" si="357"/>
        <v>-0.1027</v>
      </c>
      <c r="BS154">
        <f t="shared" si="357"/>
        <v>-0.12797999999999998</v>
      </c>
    </row>
    <row r="155" spans="2:71" x14ac:dyDescent="0.35">
      <c r="B155" t="s">
        <v>396</v>
      </c>
      <c r="C155" s="19">
        <f>regions!B133</f>
        <v>5822209</v>
      </c>
      <c r="D155" s="19">
        <f>regions!C133</f>
        <v>7163269747.9907646</v>
      </c>
      <c r="E155" s="8">
        <f>regions!D133</f>
        <v>1230.3353843860234</v>
      </c>
      <c r="F155" s="1">
        <f>regions!Z133</f>
        <v>24.8</v>
      </c>
      <c r="G155" s="8"/>
      <c r="H155" s="8"/>
      <c r="I155">
        <f t="shared" si="364"/>
        <v>-0.34571200000000002</v>
      </c>
      <c r="J155">
        <f t="shared" si="358"/>
        <v>-1.3939999999999952E-2</v>
      </c>
      <c r="K155">
        <f t="shared" si="358"/>
        <v>-2.787999999999996E-2</v>
      </c>
      <c r="L155">
        <f t="shared" si="358"/>
        <v>-4.1819999999999968E-2</v>
      </c>
      <c r="M155">
        <f t="shared" si="358"/>
        <v>-5.5759999999999976E-2</v>
      </c>
      <c r="N155">
        <f t="shared" si="358"/>
        <v>-6.9699999999999984E-2</v>
      </c>
      <c r="O155">
        <f t="shared" si="358"/>
        <v>-8.3639999999999992E-2</v>
      </c>
      <c r="P155">
        <f t="shared" si="365"/>
        <v>-0.24601600000000004</v>
      </c>
      <c r="Q155">
        <f t="shared" si="359"/>
        <v>-2.0239999999999952E-2</v>
      </c>
      <c r="R155">
        <f t="shared" si="359"/>
        <v>-4.1279999999999956E-2</v>
      </c>
      <c r="S155">
        <f t="shared" si="359"/>
        <v>-6.3119999999999982E-2</v>
      </c>
      <c r="T155">
        <f t="shared" si="359"/>
        <v>-8.5759999999999975E-2</v>
      </c>
      <c r="U155">
        <f t="shared" si="359"/>
        <v>-0.10919999999999999</v>
      </c>
      <c r="V155">
        <f t="shared" si="359"/>
        <v>-0.13344000000000003</v>
      </c>
      <c r="W155">
        <f t="shared" si="366"/>
        <v>-0.30752000000000007</v>
      </c>
      <c r="X155">
        <f t="shared" si="360"/>
        <v>-2.5299999999999934E-2</v>
      </c>
      <c r="Y155">
        <f t="shared" si="360"/>
        <v>-5.1599999999999924E-2</v>
      </c>
      <c r="Z155">
        <f t="shared" si="360"/>
        <v>-7.889999999999997E-2</v>
      </c>
      <c r="AA155">
        <f t="shared" si="360"/>
        <v>-0.10719999999999996</v>
      </c>
      <c r="AB155">
        <f t="shared" si="360"/>
        <v>-0.13649999999999995</v>
      </c>
      <c r="AC155">
        <f t="shared" si="360"/>
        <v>-0.1668</v>
      </c>
      <c r="AD155">
        <f t="shared" si="367"/>
        <v>-0.27861312000000005</v>
      </c>
      <c r="AE155">
        <f t="shared" si="361"/>
        <v>-2.2921799999999937E-2</v>
      </c>
      <c r="AF155">
        <f t="shared" si="361"/>
        <v>-4.6749599999999947E-2</v>
      </c>
      <c r="AG155">
        <f t="shared" si="361"/>
        <v>-7.1483399999999975E-2</v>
      </c>
      <c r="AH155">
        <f t="shared" si="361"/>
        <v>-9.7123199999999965E-2</v>
      </c>
      <c r="AI155">
        <f t="shared" si="361"/>
        <v>-0.12366899999999997</v>
      </c>
      <c r="AJ155">
        <f t="shared" si="361"/>
        <v>-0.1511208</v>
      </c>
      <c r="AK155">
        <f t="shared" si="368"/>
        <v>-0.31367040000000007</v>
      </c>
      <c r="AL155">
        <f t="shared" si="362"/>
        <v>-2.580599999999994E-2</v>
      </c>
      <c r="AM155">
        <f t="shared" si="362"/>
        <v>-5.2631999999999957E-2</v>
      </c>
      <c r="AN155">
        <f t="shared" si="362"/>
        <v>-8.0477999999999994E-2</v>
      </c>
      <c r="AO155">
        <f t="shared" si="362"/>
        <v>-0.109344</v>
      </c>
      <c r="AP155">
        <f t="shared" si="362"/>
        <v>-0.13923000000000002</v>
      </c>
      <c r="AQ155">
        <f t="shared" si="362"/>
        <v>-0.17013600000000001</v>
      </c>
      <c r="AR155">
        <f t="shared" si="369"/>
        <v>-0.46804544000000003</v>
      </c>
      <c r="AS155">
        <f t="shared" si="363"/>
        <v>-3.8506599999999946E-2</v>
      </c>
      <c r="AT155">
        <f t="shared" si="363"/>
        <v>-7.8535199999999916E-2</v>
      </c>
      <c r="AU155">
        <f t="shared" si="363"/>
        <v>-0.12008579999999991</v>
      </c>
      <c r="AV155">
        <f t="shared" si="363"/>
        <v>-0.16315839999999993</v>
      </c>
      <c r="AW155">
        <f t="shared" si="363"/>
        <v>-0.20775299999999997</v>
      </c>
      <c r="AX155">
        <f t="shared" si="363"/>
        <v>-0.25386960000000003</v>
      </c>
      <c r="AY155">
        <f t="shared" ref="AY155:AY218" si="370">$D$19*$F155^2</f>
        <v>-0.12915840000000003</v>
      </c>
      <c r="AZ155">
        <f t="shared" ref="AZ155:BE186" si="371">$D$19*($F155+AZ$25)^2-$AY155</f>
        <v>-1.0625999999999969E-2</v>
      </c>
      <c r="BA155">
        <f t="shared" si="371"/>
        <v>-2.1671999999999969E-2</v>
      </c>
      <c r="BB155">
        <f t="shared" si="371"/>
        <v>-3.3137999999999973E-2</v>
      </c>
      <c r="BC155">
        <f t="shared" si="371"/>
        <v>-4.5023999999999981E-2</v>
      </c>
      <c r="BD155">
        <f t="shared" si="371"/>
        <v>-5.7329999999999992E-2</v>
      </c>
      <c r="BE155">
        <f t="shared" si="371"/>
        <v>-7.0056000000000007E-2</v>
      </c>
      <c r="BF155">
        <f t="shared" ref="BF155:BF218" si="372">$D$21*$F155^2</f>
        <v>-0.15376000000000004</v>
      </c>
      <c r="BG155">
        <f t="shared" ref="BG155:BL170" si="373">$D$21*($F155+BG$25)^2-$BF155</f>
        <v>-1.2649999999999967E-2</v>
      </c>
      <c r="BH155">
        <f t="shared" si="373"/>
        <v>-2.5799999999999962E-2</v>
      </c>
      <c r="BI155">
        <f t="shared" si="373"/>
        <v>-3.9449999999999985E-2</v>
      </c>
      <c r="BJ155">
        <f t="shared" si="373"/>
        <v>-5.3599999999999981E-2</v>
      </c>
      <c r="BK155">
        <f t="shared" si="373"/>
        <v>-6.8249999999999977E-2</v>
      </c>
      <c r="BL155">
        <f t="shared" si="373"/>
        <v>-8.3400000000000002E-2</v>
      </c>
      <c r="BM155">
        <f t="shared" ref="BM155:BM218" si="374">$D$23*$F155^2</f>
        <v>-0.48588160000000008</v>
      </c>
      <c r="BN155">
        <f t="shared" ref="BN155:BS170" si="375">$D$23*($F155+BN$25)^2-$BM155</f>
        <v>-3.9973999999999899E-2</v>
      </c>
      <c r="BO155">
        <f t="shared" si="375"/>
        <v>-8.1527999999999989E-2</v>
      </c>
      <c r="BP155">
        <f t="shared" si="375"/>
        <v>-0.124662</v>
      </c>
      <c r="BQ155">
        <f t="shared" si="375"/>
        <v>-0.16937600000000003</v>
      </c>
      <c r="BR155">
        <f t="shared" si="375"/>
        <v>-0.21566999999999997</v>
      </c>
      <c r="BS155">
        <f t="shared" si="375"/>
        <v>-0.26354400000000006</v>
      </c>
    </row>
    <row r="156" spans="2:71" x14ac:dyDescent="0.35">
      <c r="B156" t="s">
        <v>397</v>
      </c>
      <c r="C156" s="19">
        <f>regions!B134</f>
        <v>15893746</v>
      </c>
      <c r="D156" s="19">
        <f>regions!C134</f>
        <v>4381636014.6785507</v>
      </c>
      <c r="E156" s="8">
        <f>regions!D134</f>
        <v>275.68302744227515</v>
      </c>
      <c r="F156" s="1">
        <f>regions!Z134</f>
        <v>27.1</v>
      </c>
      <c r="G156" s="8"/>
      <c r="H156" s="8"/>
      <c r="I156">
        <f t="shared" si="364"/>
        <v>-0.377774</v>
      </c>
      <c r="J156">
        <f t="shared" ref="J156:O165" si="376">IF($E156&lt;$E$24,$D$11*($F156+J$25)-$I156,0)</f>
        <v>-1.3940000000000008E-2</v>
      </c>
      <c r="K156">
        <f t="shared" si="376"/>
        <v>-2.7880000000000016E-2</v>
      </c>
      <c r="L156">
        <f t="shared" si="376"/>
        <v>-4.1820000000000024E-2</v>
      </c>
      <c r="M156">
        <f t="shared" si="376"/>
        <v>-5.5759999999999976E-2</v>
      </c>
      <c r="N156">
        <f t="shared" si="376"/>
        <v>-6.9699999999999984E-2</v>
      </c>
      <c r="O156">
        <f t="shared" si="376"/>
        <v>-8.3639999999999992E-2</v>
      </c>
      <c r="P156">
        <f t="shared" si="365"/>
        <v>-0.29376400000000003</v>
      </c>
      <c r="Q156">
        <f t="shared" ref="Q156:V165" si="377">$D$13*($F156+Q$25)^2-$P156</f>
        <v>-2.2080000000000044E-2</v>
      </c>
      <c r="R156">
        <f t="shared" si="377"/>
        <v>-4.496E-2</v>
      </c>
      <c r="S156">
        <f t="shared" si="377"/>
        <v>-6.8640000000000034E-2</v>
      </c>
      <c r="T156">
        <f t="shared" si="377"/>
        <v>-9.3119999999999981E-2</v>
      </c>
      <c r="U156">
        <f t="shared" si="377"/>
        <v>-0.11840000000000001</v>
      </c>
      <c r="V156">
        <f t="shared" si="377"/>
        <v>-0.14448000000000005</v>
      </c>
      <c r="W156">
        <f t="shared" si="366"/>
        <v>-0.36720500000000006</v>
      </c>
      <c r="X156">
        <f t="shared" ref="X156:AC165" si="378">$D$15*($F156+X$25)^2-$W156</f>
        <v>-2.7600000000000013E-2</v>
      </c>
      <c r="Y156">
        <f t="shared" si="378"/>
        <v>-5.6199999999999972E-2</v>
      </c>
      <c r="Z156">
        <f t="shared" si="378"/>
        <v>-8.5799999999999987E-2</v>
      </c>
      <c r="AA156">
        <f t="shared" si="378"/>
        <v>-0.11639999999999995</v>
      </c>
      <c r="AB156">
        <f t="shared" si="378"/>
        <v>-0.14799999999999996</v>
      </c>
      <c r="AC156">
        <f t="shared" si="378"/>
        <v>-0.18060000000000004</v>
      </c>
      <c r="AD156">
        <f t="shared" si="367"/>
        <v>-0.33268773000000001</v>
      </c>
      <c r="AE156">
        <f t="shared" ref="AE156:AJ165" si="379">$D$10*($F156+AE$25)^2-$AD156</f>
        <v>-2.5005600000000072E-2</v>
      </c>
      <c r="AF156">
        <f t="shared" si="379"/>
        <v>-5.0917199999999996E-2</v>
      </c>
      <c r="AG156">
        <f t="shared" si="379"/>
        <v>-7.7734800000000048E-2</v>
      </c>
      <c r="AH156">
        <f t="shared" si="379"/>
        <v>-0.10545840000000001</v>
      </c>
      <c r="AI156">
        <f t="shared" si="379"/>
        <v>-0.13408800000000004</v>
      </c>
      <c r="AJ156">
        <f t="shared" si="379"/>
        <v>-0.16362360000000004</v>
      </c>
      <c r="AK156">
        <f t="shared" si="368"/>
        <v>-0.37454910000000008</v>
      </c>
      <c r="AL156">
        <f t="shared" ref="AL156:AQ165" si="380">$D$17*($F156+AL$25)^2-$AK156</f>
        <v>-2.815200000000001E-2</v>
      </c>
      <c r="AM156">
        <f t="shared" si="380"/>
        <v>-5.7323999999999986E-2</v>
      </c>
      <c r="AN156">
        <f t="shared" si="380"/>
        <v>-8.7515999999999983E-2</v>
      </c>
      <c r="AO156">
        <f t="shared" si="380"/>
        <v>-0.118728</v>
      </c>
      <c r="AP156">
        <f t="shared" si="380"/>
        <v>-0.15095999999999998</v>
      </c>
      <c r="AQ156">
        <f t="shared" si="380"/>
        <v>-0.18421200000000004</v>
      </c>
      <c r="AR156">
        <f t="shared" si="369"/>
        <v>-0.55888601000000004</v>
      </c>
      <c r="AS156">
        <f t="shared" ref="AS156:AX165" si="381">$D$8*($F156+AS$25)^2-$AR156</f>
        <v>-4.2007200000000022E-2</v>
      </c>
      <c r="AT156">
        <f t="shared" si="381"/>
        <v>-8.5536399999999957E-2</v>
      </c>
      <c r="AU156">
        <f t="shared" si="381"/>
        <v>-0.13058760000000003</v>
      </c>
      <c r="AV156">
        <f t="shared" si="381"/>
        <v>-0.1771607999999999</v>
      </c>
      <c r="AW156">
        <f t="shared" si="381"/>
        <v>-0.22525600000000001</v>
      </c>
      <c r="AX156">
        <f t="shared" si="381"/>
        <v>-0.27487320000000004</v>
      </c>
      <c r="AY156">
        <f t="shared" si="370"/>
        <v>-0.15422610000000003</v>
      </c>
      <c r="AZ156">
        <f t="shared" si="371"/>
        <v>-1.1591999999999991E-2</v>
      </c>
      <c r="BA156">
        <f t="shared" si="371"/>
        <v>-2.3603999999999986E-2</v>
      </c>
      <c r="BB156">
        <f t="shared" si="371"/>
        <v>-3.6035999999999985E-2</v>
      </c>
      <c r="BC156">
        <f t="shared" si="371"/>
        <v>-4.8887999999999987E-2</v>
      </c>
      <c r="BD156">
        <f t="shared" si="371"/>
        <v>-6.2159999999999993E-2</v>
      </c>
      <c r="BE156">
        <f t="shared" si="371"/>
        <v>-7.5852000000000003E-2</v>
      </c>
      <c r="BF156">
        <f t="shared" si="372"/>
        <v>-0.18360250000000003</v>
      </c>
      <c r="BG156">
        <f t="shared" si="373"/>
        <v>-1.3800000000000007E-2</v>
      </c>
      <c r="BH156">
        <f t="shared" si="373"/>
        <v>-2.8099999999999986E-2</v>
      </c>
      <c r="BI156">
        <f t="shared" si="373"/>
        <v>-4.2899999999999994E-2</v>
      </c>
      <c r="BJ156">
        <f t="shared" si="373"/>
        <v>-5.8199999999999974E-2</v>
      </c>
      <c r="BK156">
        <f t="shared" si="373"/>
        <v>-7.3999999999999982E-2</v>
      </c>
      <c r="BL156">
        <f t="shared" si="373"/>
        <v>-9.0300000000000019E-2</v>
      </c>
      <c r="BM156">
        <f t="shared" si="374"/>
        <v>-0.58018390000000009</v>
      </c>
      <c r="BN156">
        <f t="shared" si="375"/>
        <v>-4.360799999999998E-2</v>
      </c>
      <c r="BO156">
        <f t="shared" si="375"/>
        <v>-8.8795999999999986E-2</v>
      </c>
      <c r="BP156">
        <f t="shared" si="375"/>
        <v>-0.13556400000000002</v>
      </c>
      <c r="BQ156">
        <f t="shared" si="375"/>
        <v>-0.18391199999999996</v>
      </c>
      <c r="BR156">
        <f t="shared" si="375"/>
        <v>-0.23383999999999994</v>
      </c>
      <c r="BS156">
        <f t="shared" si="375"/>
        <v>-0.28534800000000005</v>
      </c>
    </row>
    <row r="157" spans="2:71" x14ac:dyDescent="0.35">
      <c r="B157" t="s">
        <v>172</v>
      </c>
      <c r="C157" s="19">
        <f>regions!B135</f>
        <v>159707780</v>
      </c>
      <c r="D157" s="19">
        <f>regions!C135</f>
        <v>159017874554.81158</v>
      </c>
      <c r="E157" s="8">
        <f>regions!D135</f>
        <v>995.6802013953959</v>
      </c>
      <c r="F157" s="1">
        <f>regions!Z135</f>
        <v>26.8</v>
      </c>
      <c r="G157" s="8"/>
      <c r="H157" s="8"/>
      <c r="I157">
        <f t="shared" si="364"/>
        <v>-0.37359199999999998</v>
      </c>
      <c r="J157">
        <f t="shared" si="376"/>
        <v>-1.3940000000000008E-2</v>
      </c>
      <c r="K157">
        <f t="shared" si="376"/>
        <v>-2.7880000000000016E-2</v>
      </c>
      <c r="L157">
        <f t="shared" si="376"/>
        <v>-4.1820000000000024E-2</v>
      </c>
      <c r="M157">
        <f t="shared" si="376"/>
        <v>-5.5760000000000032E-2</v>
      </c>
      <c r="N157">
        <f t="shared" si="376"/>
        <v>-6.9699999999999984E-2</v>
      </c>
      <c r="O157">
        <f t="shared" si="376"/>
        <v>-8.3639999999999937E-2</v>
      </c>
      <c r="P157">
        <f t="shared" si="365"/>
        <v>-0.287296</v>
      </c>
      <c r="Q157">
        <f t="shared" si="377"/>
        <v>-2.1840000000000026E-2</v>
      </c>
      <c r="R157">
        <f t="shared" si="377"/>
        <v>-4.448000000000002E-2</v>
      </c>
      <c r="S157">
        <f t="shared" si="377"/>
        <v>-6.7920000000000036E-2</v>
      </c>
      <c r="T157">
        <f t="shared" si="377"/>
        <v>-9.2160000000000075E-2</v>
      </c>
      <c r="U157">
        <f t="shared" si="377"/>
        <v>-0.11720000000000003</v>
      </c>
      <c r="V157">
        <f t="shared" si="377"/>
        <v>-0.14304</v>
      </c>
      <c r="W157">
        <f t="shared" si="366"/>
        <v>-0.35911999999999999</v>
      </c>
      <c r="X157">
        <f t="shared" si="378"/>
        <v>-2.7300000000000046E-2</v>
      </c>
      <c r="Y157">
        <f t="shared" si="378"/>
        <v>-5.5600000000000038E-2</v>
      </c>
      <c r="Z157">
        <f t="shared" si="378"/>
        <v>-8.4900000000000031E-2</v>
      </c>
      <c r="AA157">
        <f t="shared" si="378"/>
        <v>-0.11520000000000008</v>
      </c>
      <c r="AB157">
        <f t="shared" si="378"/>
        <v>-0.14650000000000007</v>
      </c>
      <c r="AC157">
        <f t="shared" si="378"/>
        <v>-0.17879999999999996</v>
      </c>
      <c r="AD157">
        <f t="shared" si="367"/>
        <v>-0.32536271999999999</v>
      </c>
      <c r="AE157">
        <f t="shared" si="379"/>
        <v>-2.4733800000000028E-2</v>
      </c>
      <c r="AF157">
        <f t="shared" si="379"/>
        <v>-5.0373600000000018E-2</v>
      </c>
      <c r="AG157">
        <f t="shared" si="379"/>
        <v>-7.6919400000000027E-2</v>
      </c>
      <c r="AH157">
        <f t="shared" si="379"/>
        <v>-0.10437120000000005</v>
      </c>
      <c r="AI157">
        <f t="shared" si="379"/>
        <v>-0.13272900000000004</v>
      </c>
      <c r="AJ157">
        <f t="shared" si="379"/>
        <v>-0.16199279999999999</v>
      </c>
      <c r="AK157">
        <f t="shared" si="368"/>
        <v>-0.36630240000000003</v>
      </c>
      <c r="AL157">
        <f t="shared" si="380"/>
        <v>-2.7846000000000037E-2</v>
      </c>
      <c r="AM157">
        <f t="shared" si="380"/>
        <v>-5.671200000000004E-2</v>
      </c>
      <c r="AN157">
        <f t="shared" si="380"/>
        <v>-8.6598000000000064E-2</v>
      </c>
      <c r="AO157">
        <f t="shared" si="380"/>
        <v>-0.11750400000000005</v>
      </c>
      <c r="AP157">
        <f t="shared" si="380"/>
        <v>-0.14943000000000006</v>
      </c>
      <c r="AQ157">
        <f t="shared" si="380"/>
        <v>-0.18237599999999998</v>
      </c>
      <c r="AR157">
        <f t="shared" si="369"/>
        <v>-0.54658063999999995</v>
      </c>
      <c r="AS157">
        <f t="shared" si="381"/>
        <v>-4.1550599999999993E-2</v>
      </c>
      <c r="AT157">
        <f t="shared" si="381"/>
        <v>-8.462320000000001E-2</v>
      </c>
      <c r="AU157">
        <f t="shared" si="381"/>
        <v>-0.12921780000000005</v>
      </c>
      <c r="AV157">
        <f t="shared" si="381"/>
        <v>-0.17533440000000011</v>
      </c>
      <c r="AW157">
        <f t="shared" si="381"/>
        <v>-0.22297299999999998</v>
      </c>
      <c r="AX157">
        <f t="shared" si="381"/>
        <v>-0.27213359999999998</v>
      </c>
      <c r="AY157">
        <f t="shared" si="370"/>
        <v>-0.1508304</v>
      </c>
      <c r="AZ157">
        <f t="shared" si="371"/>
        <v>-1.1466000000000004E-2</v>
      </c>
      <c r="BA157">
        <f t="shared" si="371"/>
        <v>-2.3352000000000012E-2</v>
      </c>
      <c r="BB157">
        <f t="shared" si="371"/>
        <v>-3.5658000000000023E-2</v>
      </c>
      <c r="BC157">
        <f t="shared" si="371"/>
        <v>-4.8384000000000038E-2</v>
      </c>
      <c r="BD157">
        <f t="shared" si="371"/>
        <v>-6.1530000000000001E-2</v>
      </c>
      <c r="BE157">
        <f t="shared" si="371"/>
        <v>-7.5095999999999996E-2</v>
      </c>
      <c r="BF157">
        <f t="shared" si="372"/>
        <v>-0.17956</v>
      </c>
      <c r="BG157">
        <f t="shared" si="373"/>
        <v>-1.3650000000000023E-2</v>
      </c>
      <c r="BH157">
        <f t="shared" si="373"/>
        <v>-2.7800000000000019E-2</v>
      </c>
      <c r="BI157">
        <f t="shared" si="373"/>
        <v>-4.2450000000000015E-2</v>
      </c>
      <c r="BJ157">
        <f t="shared" si="373"/>
        <v>-5.760000000000004E-2</v>
      </c>
      <c r="BK157">
        <f t="shared" si="373"/>
        <v>-7.3250000000000037E-2</v>
      </c>
      <c r="BL157">
        <f t="shared" si="373"/>
        <v>-8.9399999999999979E-2</v>
      </c>
      <c r="BM157">
        <f t="shared" si="374"/>
        <v>-0.56740960000000007</v>
      </c>
      <c r="BN157">
        <f t="shared" si="375"/>
        <v>-4.3134000000000006E-2</v>
      </c>
      <c r="BO157">
        <f t="shared" si="375"/>
        <v>-8.7848000000000037E-2</v>
      </c>
      <c r="BP157">
        <f t="shared" si="375"/>
        <v>-0.13414199999999998</v>
      </c>
      <c r="BQ157">
        <f t="shared" si="375"/>
        <v>-0.18201600000000007</v>
      </c>
      <c r="BR157">
        <f t="shared" si="375"/>
        <v>-0.23146999999999995</v>
      </c>
      <c r="BS157">
        <f t="shared" si="375"/>
        <v>-0.28250399999999987</v>
      </c>
    </row>
    <row r="158" spans="2:71" x14ac:dyDescent="0.35">
      <c r="B158" t="s">
        <v>173</v>
      </c>
      <c r="C158" s="19">
        <f>regions!B136</f>
        <v>4889252</v>
      </c>
      <c r="D158" s="19">
        <f>regions!C136</f>
        <v>315796662786.18549</v>
      </c>
      <c r="E158" s="8">
        <f>regions!D136</f>
        <v>64589.974659965468</v>
      </c>
      <c r="F158" s="1">
        <f>regions!Z136</f>
        <v>1.5</v>
      </c>
      <c r="G158" s="8"/>
      <c r="H158" s="8"/>
      <c r="I158">
        <f t="shared" si="364"/>
        <v>0</v>
      </c>
      <c r="J158">
        <f t="shared" si="376"/>
        <v>0</v>
      </c>
      <c r="K158">
        <f t="shared" si="376"/>
        <v>0</v>
      </c>
      <c r="L158">
        <f t="shared" si="376"/>
        <v>0</v>
      </c>
      <c r="M158">
        <f t="shared" si="376"/>
        <v>0</v>
      </c>
      <c r="N158">
        <f t="shared" si="376"/>
        <v>0</v>
      </c>
      <c r="O158">
        <f t="shared" si="376"/>
        <v>0</v>
      </c>
      <c r="P158">
        <f t="shared" si="365"/>
        <v>-9.0000000000000008E-4</v>
      </c>
      <c r="Q158">
        <f t="shared" si="377"/>
        <v>-1.5999999999999999E-3</v>
      </c>
      <c r="R158">
        <f t="shared" si="377"/>
        <v>-4.0000000000000001E-3</v>
      </c>
      <c r="S158">
        <f t="shared" si="377"/>
        <v>-7.1999999999999998E-3</v>
      </c>
      <c r="T158">
        <f t="shared" si="377"/>
        <v>-1.1200000000000002E-2</v>
      </c>
      <c r="U158">
        <f t="shared" si="377"/>
        <v>-1.6E-2</v>
      </c>
      <c r="V158">
        <f t="shared" si="377"/>
        <v>-2.1600000000000001E-2</v>
      </c>
      <c r="W158">
        <f t="shared" si="366"/>
        <v>-1.1250000000000001E-3</v>
      </c>
      <c r="X158">
        <f t="shared" si="378"/>
        <v>-2E-3</v>
      </c>
      <c r="Y158">
        <f t="shared" si="378"/>
        <v>-5.0000000000000001E-3</v>
      </c>
      <c r="Z158">
        <f t="shared" si="378"/>
        <v>-9.0000000000000011E-3</v>
      </c>
      <c r="AA158">
        <f t="shared" si="378"/>
        <v>-1.3999999999999999E-2</v>
      </c>
      <c r="AB158">
        <f t="shared" si="378"/>
        <v>-0.02</v>
      </c>
      <c r="AC158">
        <f t="shared" si="378"/>
        <v>-2.7E-2</v>
      </c>
      <c r="AD158">
        <f t="shared" si="367"/>
        <v>-1.01925E-3</v>
      </c>
      <c r="AE158">
        <f t="shared" si="379"/>
        <v>-1.812E-3</v>
      </c>
      <c r="AF158">
        <f t="shared" si="379"/>
        <v>-4.5300000000000002E-3</v>
      </c>
      <c r="AG158">
        <f t="shared" si="379"/>
        <v>-8.1540000000000015E-3</v>
      </c>
      <c r="AH158">
        <f t="shared" si="379"/>
        <v>-1.2684000000000001E-2</v>
      </c>
      <c r="AI158">
        <f t="shared" si="379"/>
        <v>-1.8120000000000001E-2</v>
      </c>
      <c r="AJ158">
        <f t="shared" si="379"/>
        <v>-2.4462000000000001E-2</v>
      </c>
      <c r="AK158">
        <f t="shared" si="368"/>
        <v>-1.1475000000000001E-3</v>
      </c>
      <c r="AL158">
        <f t="shared" si="380"/>
        <v>-2.0400000000000001E-3</v>
      </c>
      <c r="AM158">
        <f t="shared" si="380"/>
        <v>-5.1000000000000004E-3</v>
      </c>
      <c r="AN158">
        <f t="shared" si="380"/>
        <v>-9.1800000000000007E-3</v>
      </c>
      <c r="AO158">
        <f t="shared" si="380"/>
        <v>-1.4280000000000001E-2</v>
      </c>
      <c r="AP158">
        <f t="shared" si="380"/>
        <v>-2.0400000000000001E-2</v>
      </c>
      <c r="AQ158">
        <f t="shared" si="380"/>
        <v>-2.7540000000000002E-2</v>
      </c>
      <c r="AR158">
        <f t="shared" si="369"/>
        <v>-1.7122499999999998E-3</v>
      </c>
      <c r="AS158">
        <f t="shared" si="381"/>
        <v>-3.0440000000000003E-3</v>
      </c>
      <c r="AT158">
        <f t="shared" si="381"/>
        <v>-7.6099999999999987E-3</v>
      </c>
      <c r="AU158">
        <f t="shared" si="381"/>
        <v>-1.3697999999999998E-2</v>
      </c>
      <c r="AV158">
        <f t="shared" si="381"/>
        <v>-2.1308000000000001E-2</v>
      </c>
      <c r="AW158">
        <f t="shared" si="381"/>
        <v>-3.0440000000000002E-2</v>
      </c>
      <c r="AX158">
        <f t="shared" si="381"/>
        <v>-4.1093999999999999E-2</v>
      </c>
      <c r="AY158">
        <f t="shared" si="370"/>
        <v>-4.7250000000000005E-4</v>
      </c>
      <c r="AZ158">
        <f t="shared" si="371"/>
        <v>-8.4000000000000003E-4</v>
      </c>
      <c r="BA158">
        <f t="shared" si="371"/>
        <v>-2.1000000000000003E-3</v>
      </c>
      <c r="BB158">
        <f t="shared" si="371"/>
        <v>-3.7800000000000004E-3</v>
      </c>
      <c r="BC158">
        <f t="shared" si="371"/>
        <v>-5.8800000000000007E-3</v>
      </c>
      <c r="BD158">
        <f t="shared" si="371"/>
        <v>-8.3999999999999995E-3</v>
      </c>
      <c r="BE158">
        <f t="shared" si="371"/>
        <v>-1.1339999999999999E-2</v>
      </c>
      <c r="BF158">
        <f t="shared" si="372"/>
        <v>-5.6250000000000007E-4</v>
      </c>
      <c r="BG158">
        <f t="shared" si="373"/>
        <v>-1E-3</v>
      </c>
      <c r="BH158">
        <f t="shared" si="373"/>
        <v>-2.5000000000000001E-3</v>
      </c>
      <c r="BI158">
        <f t="shared" si="373"/>
        <v>-4.5000000000000005E-3</v>
      </c>
      <c r="BJ158">
        <f t="shared" si="373"/>
        <v>-6.9999999999999993E-3</v>
      </c>
      <c r="BK158">
        <f t="shared" si="373"/>
        <v>-0.01</v>
      </c>
      <c r="BL158">
        <f t="shared" si="373"/>
        <v>-1.35E-2</v>
      </c>
      <c r="BM158">
        <f t="shared" si="374"/>
        <v>-1.7775E-3</v>
      </c>
      <c r="BN158">
        <f t="shared" si="375"/>
        <v>-3.16E-3</v>
      </c>
      <c r="BO158">
        <f t="shared" si="375"/>
        <v>-7.9000000000000008E-3</v>
      </c>
      <c r="BP158">
        <f t="shared" si="375"/>
        <v>-1.4220000000000002E-2</v>
      </c>
      <c r="BQ158">
        <f t="shared" si="375"/>
        <v>-2.2120000000000001E-2</v>
      </c>
      <c r="BR158">
        <f t="shared" si="375"/>
        <v>-3.1599999999999996E-2</v>
      </c>
      <c r="BS158">
        <f t="shared" si="375"/>
        <v>-4.2659999999999997E-2</v>
      </c>
    </row>
    <row r="159" spans="2:71" x14ac:dyDescent="0.35">
      <c r="B159" t="s">
        <v>398</v>
      </c>
      <c r="C159" s="19">
        <f>regions!B137</f>
        <v>2802768</v>
      </c>
      <c r="D159" s="19">
        <f>regions!C137</f>
        <v>41935096066.201286</v>
      </c>
      <c r="E159" s="8">
        <f>regions!D137</f>
        <v>14962.028989271066</v>
      </c>
      <c r="F159" s="1">
        <f>regions!Z137</f>
        <v>25.6</v>
      </c>
      <c r="G159" s="8"/>
      <c r="H159" s="8"/>
      <c r="I159">
        <f t="shared" si="364"/>
        <v>0</v>
      </c>
      <c r="J159">
        <f t="shared" si="376"/>
        <v>0</v>
      </c>
      <c r="K159">
        <f t="shared" si="376"/>
        <v>0</v>
      </c>
      <c r="L159">
        <f t="shared" si="376"/>
        <v>0</v>
      </c>
      <c r="M159">
        <f t="shared" si="376"/>
        <v>0</v>
      </c>
      <c r="N159">
        <f t="shared" si="376"/>
        <v>0</v>
      </c>
      <c r="O159">
        <f t="shared" si="376"/>
        <v>0</v>
      </c>
      <c r="P159">
        <f t="shared" si="365"/>
        <v>-0.26214400000000004</v>
      </c>
      <c r="Q159">
        <f t="shared" si="377"/>
        <v>-2.088000000000001E-2</v>
      </c>
      <c r="R159">
        <f t="shared" si="377"/>
        <v>-4.2559999999999987E-2</v>
      </c>
      <c r="S159">
        <f t="shared" si="377"/>
        <v>-6.5039999999999987E-2</v>
      </c>
      <c r="T159">
        <f t="shared" si="377"/>
        <v>-8.832000000000001E-2</v>
      </c>
      <c r="U159">
        <f t="shared" si="377"/>
        <v>-0.1124</v>
      </c>
      <c r="V159">
        <f t="shared" si="377"/>
        <v>-0.13728000000000001</v>
      </c>
      <c r="W159">
        <f t="shared" si="366"/>
        <v>-0.32768000000000008</v>
      </c>
      <c r="X159">
        <f t="shared" si="378"/>
        <v>-2.6099999999999957E-2</v>
      </c>
      <c r="Y159">
        <f t="shared" si="378"/>
        <v>-5.319999999999997E-2</v>
      </c>
      <c r="Z159">
        <f t="shared" si="378"/>
        <v>-8.1299999999999928E-2</v>
      </c>
      <c r="AA159">
        <f t="shared" si="378"/>
        <v>-0.11039999999999994</v>
      </c>
      <c r="AB159">
        <f t="shared" si="378"/>
        <v>-0.14050000000000001</v>
      </c>
      <c r="AC159">
        <f t="shared" si="378"/>
        <v>-0.17159999999999997</v>
      </c>
      <c r="AD159">
        <f t="shared" si="367"/>
        <v>-0.29687808000000004</v>
      </c>
      <c r="AE159">
        <f t="shared" si="379"/>
        <v>-2.3646599999999962E-2</v>
      </c>
      <c r="AF159">
        <f t="shared" si="379"/>
        <v>-4.8199199999999998E-2</v>
      </c>
      <c r="AG159">
        <f t="shared" si="379"/>
        <v>-7.3657799999999995E-2</v>
      </c>
      <c r="AH159">
        <f t="shared" si="379"/>
        <v>-0.10002240000000001</v>
      </c>
      <c r="AI159">
        <f t="shared" si="379"/>
        <v>-0.12729300000000005</v>
      </c>
      <c r="AJ159">
        <f t="shared" si="379"/>
        <v>-0.15546959999999999</v>
      </c>
      <c r="AK159">
        <f t="shared" si="368"/>
        <v>-0.33423360000000008</v>
      </c>
      <c r="AL159">
        <f t="shared" si="380"/>
        <v>-2.6621999999999979E-2</v>
      </c>
      <c r="AM159">
        <f t="shared" si="380"/>
        <v>-5.4263999999999979E-2</v>
      </c>
      <c r="AN159">
        <f t="shared" si="380"/>
        <v>-8.2926E-2</v>
      </c>
      <c r="AO159">
        <f t="shared" si="380"/>
        <v>-0.11260799999999999</v>
      </c>
      <c r="AP159">
        <f t="shared" si="380"/>
        <v>-0.14331000000000005</v>
      </c>
      <c r="AQ159">
        <f t="shared" si="380"/>
        <v>-0.17503200000000002</v>
      </c>
      <c r="AR159">
        <f t="shared" si="369"/>
        <v>-0.49872896000000005</v>
      </c>
      <c r="AS159">
        <f t="shared" si="381"/>
        <v>-3.9724199999999932E-2</v>
      </c>
      <c r="AT159">
        <f t="shared" si="381"/>
        <v>-8.0970399999999942E-2</v>
      </c>
      <c r="AU159">
        <f t="shared" si="381"/>
        <v>-0.12373859999999998</v>
      </c>
      <c r="AV159">
        <f t="shared" si="381"/>
        <v>-0.16802879999999992</v>
      </c>
      <c r="AW159">
        <f t="shared" si="381"/>
        <v>-0.213841</v>
      </c>
      <c r="AX159">
        <f t="shared" si="381"/>
        <v>-0.2611752</v>
      </c>
      <c r="AY159">
        <f t="shared" si="370"/>
        <v>-0.13762560000000004</v>
      </c>
      <c r="AZ159">
        <f t="shared" si="371"/>
        <v>-1.0961999999999972E-2</v>
      </c>
      <c r="BA159">
        <f t="shared" si="371"/>
        <v>-2.2343999999999975E-2</v>
      </c>
      <c r="BB159">
        <f t="shared" si="371"/>
        <v>-3.4145999999999982E-2</v>
      </c>
      <c r="BC159">
        <f t="shared" si="371"/>
        <v>-4.6367999999999993E-2</v>
      </c>
      <c r="BD159">
        <f t="shared" si="371"/>
        <v>-5.9009999999999979E-2</v>
      </c>
      <c r="BE159">
        <f t="shared" si="371"/>
        <v>-7.2071999999999969E-2</v>
      </c>
      <c r="BF159">
        <f t="shared" si="372"/>
        <v>-0.16384000000000004</v>
      </c>
      <c r="BG159">
        <f t="shared" si="373"/>
        <v>-1.3049999999999978E-2</v>
      </c>
      <c r="BH159">
        <f t="shared" si="373"/>
        <v>-2.6599999999999985E-2</v>
      </c>
      <c r="BI159">
        <f t="shared" si="373"/>
        <v>-4.0649999999999964E-2</v>
      </c>
      <c r="BJ159">
        <f t="shared" si="373"/>
        <v>-5.5199999999999971E-2</v>
      </c>
      <c r="BK159">
        <f t="shared" si="373"/>
        <v>-7.0250000000000007E-2</v>
      </c>
      <c r="BL159">
        <f t="shared" si="373"/>
        <v>-8.5799999999999987E-2</v>
      </c>
      <c r="BM159">
        <f t="shared" si="374"/>
        <v>-0.51773440000000015</v>
      </c>
      <c r="BN159">
        <f t="shared" si="375"/>
        <v>-4.1237999999999886E-2</v>
      </c>
      <c r="BO159">
        <f t="shared" si="375"/>
        <v>-8.4055999999999909E-2</v>
      </c>
      <c r="BP159">
        <f t="shared" si="375"/>
        <v>-0.12845399999999985</v>
      </c>
      <c r="BQ159">
        <f t="shared" si="375"/>
        <v>-0.17443199999999992</v>
      </c>
      <c r="BR159">
        <f t="shared" si="375"/>
        <v>-0.22198999999999991</v>
      </c>
      <c r="BS159">
        <f t="shared" si="375"/>
        <v>-0.27112799999999992</v>
      </c>
    </row>
    <row r="160" spans="2:71" x14ac:dyDescent="0.35">
      <c r="B160" t="s">
        <v>174</v>
      </c>
      <c r="C160" s="19">
        <f>regions!B138</f>
        <v>173149306</v>
      </c>
      <c r="D160" s="19">
        <f>regions!C138</f>
        <v>129517496849.86209</v>
      </c>
      <c r="E160" s="8">
        <f>regions!D138</f>
        <v>748.01048783794772</v>
      </c>
      <c r="F160" s="1">
        <f>regions!Z138</f>
        <v>20.2</v>
      </c>
      <c r="G160" s="8"/>
      <c r="H160" s="8"/>
      <c r="I160">
        <f t="shared" si="364"/>
        <v>-0.28158799999999995</v>
      </c>
      <c r="J160">
        <f t="shared" si="376"/>
        <v>-1.3940000000000008E-2</v>
      </c>
      <c r="K160">
        <f t="shared" si="376"/>
        <v>-2.7880000000000016E-2</v>
      </c>
      <c r="L160">
        <f t="shared" si="376"/>
        <v>-4.1820000000000024E-2</v>
      </c>
      <c r="M160">
        <f t="shared" si="376"/>
        <v>-5.5760000000000032E-2</v>
      </c>
      <c r="N160">
        <f t="shared" si="376"/>
        <v>-6.970000000000004E-2</v>
      </c>
      <c r="O160">
        <f t="shared" si="376"/>
        <v>-8.3640000000000048E-2</v>
      </c>
      <c r="P160">
        <f t="shared" si="365"/>
        <v>-0.163216</v>
      </c>
      <c r="Q160">
        <f t="shared" si="377"/>
        <v>-1.6560000000000019E-2</v>
      </c>
      <c r="R160">
        <f t="shared" si="377"/>
        <v>-3.3920000000000006E-2</v>
      </c>
      <c r="S160">
        <f t="shared" si="377"/>
        <v>-5.2080000000000015E-2</v>
      </c>
      <c r="T160">
        <f t="shared" si="377"/>
        <v>-7.1039999999999992E-2</v>
      </c>
      <c r="U160">
        <f t="shared" si="377"/>
        <v>-9.080000000000002E-2</v>
      </c>
      <c r="V160">
        <f t="shared" si="377"/>
        <v>-0.11135999999999999</v>
      </c>
      <c r="W160">
        <f t="shared" si="366"/>
        <v>-0.20401999999999998</v>
      </c>
      <c r="X160">
        <f t="shared" si="378"/>
        <v>-2.0700000000000024E-2</v>
      </c>
      <c r="Y160">
        <f t="shared" si="378"/>
        <v>-4.2400000000000021E-2</v>
      </c>
      <c r="Z160">
        <f t="shared" si="378"/>
        <v>-6.5100000000000047E-2</v>
      </c>
      <c r="AA160">
        <f t="shared" si="378"/>
        <v>-8.8800000000000046E-2</v>
      </c>
      <c r="AB160">
        <f t="shared" si="378"/>
        <v>-0.11349999999999999</v>
      </c>
      <c r="AC160">
        <f t="shared" si="378"/>
        <v>-0.13919999999999999</v>
      </c>
      <c r="AD160">
        <f t="shared" si="367"/>
        <v>-0.18484212</v>
      </c>
      <c r="AE160">
        <f t="shared" si="379"/>
        <v>-1.8754199999999999E-2</v>
      </c>
      <c r="AF160">
        <f t="shared" si="379"/>
        <v>-3.8414399999999987E-2</v>
      </c>
      <c r="AG160">
        <f t="shared" si="379"/>
        <v>-5.8980600000000022E-2</v>
      </c>
      <c r="AH160">
        <f t="shared" si="379"/>
        <v>-8.0452799999999991E-2</v>
      </c>
      <c r="AI160">
        <f t="shared" si="379"/>
        <v>-0.10283100000000001</v>
      </c>
      <c r="AJ160">
        <f t="shared" si="379"/>
        <v>-0.12611519999999998</v>
      </c>
      <c r="AK160">
        <f t="shared" si="368"/>
        <v>-0.20810039999999999</v>
      </c>
      <c r="AL160">
        <f t="shared" si="380"/>
        <v>-2.1114000000000022E-2</v>
      </c>
      <c r="AM160">
        <f t="shared" si="380"/>
        <v>-4.3248000000000036E-2</v>
      </c>
      <c r="AN160">
        <f t="shared" si="380"/>
        <v>-6.6402000000000044E-2</v>
      </c>
      <c r="AO160">
        <f t="shared" si="380"/>
        <v>-9.0576000000000018E-2</v>
      </c>
      <c r="AP160">
        <f t="shared" si="380"/>
        <v>-0.11577000000000001</v>
      </c>
      <c r="AQ160">
        <f t="shared" si="380"/>
        <v>-0.14198400000000003</v>
      </c>
      <c r="AR160">
        <f t="shared" si="369"/>
        <v>-0.31051843999999995</v>
      </c>
      <c r="AS160">
        <f t="shared" si="381"/>
        <v>-3.1505400000000017E-2</v>
      </c>
      <c r="AT160">
        <f t="shared" si="381"/>
        <v>-6.4532800000000001E-2</v>
      </c>
      <c r="AU160">
        <f t="shared" si="381"/>
        <v>-9.9082200000000009E-2</v>
      </c>
      <c r="AV160">
        <f t="shared" si="381"/>
        <v>-0.13515360000000004</v>
      </c>
      <c r="AW160">
        <f t="shared" si="381"/>
        <v>-0.17274699999999998</v>
      </c>
      <c r="AX160">
        <f t="shared" si="381"/>
        <v>-0.21186240000000001</v>
      </c>
      <c r="AY160">
        <f t="shared" si="370"/>
        <v>-8.5688399999999998E-2</v>
      </c>
      <c r="AZ160">
        <f t="shared" si="371"/>
        <v>-8.6940000000000073E-3</v>
      </c>
      <c r="BA160">
        <f t="shared" si="371"/>
        <v>-1.7808000000000004E-2</v>
      </c>
      <c r="BB160">
        <f t="shared" si="371"/>
        <v>-2.7342000000000005E-2</v>
      </c>
      <c r="BC160">
        <f t="shared" si="371"/>
        <v>-3.729600000000001E-2</v>
      </c>
      <c r="BD160">
        <f t="shared" si="371"/>
        <v>-4.766999999999999E-2</v>
      </c>
      <c r="BE160">
        <f t="shared" si="371"/>
        <v>-5.8463999999999988E-2</v>
      </c>
      <c r="BF160">
        <f t="shared" si="372"/>
        <v>-0.10200999999999999</v>
      </c>
      <c r="BG160">
        <f t="shared" si="373"/>
        <v>-1.0350000000000012E-2</v>
      </c>
      <c r="BH160">
        <f t="shared" si="373"/>
        <v>-2.1200000000000011E-2</v>
      </c>
      <c r="BI160">
        <f t="shared" si="373"/>
        <v>-3.2550000000000023E-2</v>
      </c>
      <c r="BJ160">
        <f t="shared" si="373"/>
        <v>-4.4400000000000023E-2</v>
      </c>
      <c r="BK160">
        <f t="shared" si="373"/>
        <v>-5.6749999999999995E-2</v>
      </c>
      <c r="BL160">
        <f t="shared" si="373"/>
        <v>-6.9599999999999995E-2</v>
      </c>
      <c r="BM160">
        <f t="shared" si="374"/>
        <v>-0.32235159999999996</v>
      </c>
      <c r="BN160">
        <f t="shared" si="375"/>
        <v>-3.2706000000000068E-2</v>
      </c>
      <c r="BO160">
        <f t="shared" si="375"/>
        <v>-6.6992000000000052E-2</v>
      </c>
      <c r="BP160">
        <f t="shared" si="375"/>
        <v>-0.10285800000000006</v>
      </c>
      <c r="BQ160">
        <f t="shared" si="375"/>
        <v>-0.14030400000000004</v>
      </c>
      <c r="BR160">
        <f t="shared" si="375"/>
        <v>-0.17932999999999999</v>
      </c>
      <c r="BS160">
        <f t="shared" si="375"/>
        <v>-0.21993600000000002</v>
      </c>
    </row>
    <row r="161" spans="2:71" x14ac:dyDescent="0.35">
      <c r="B161" t="s">
        <v>399</v>
      </c>
      <c r="C161" s="19">
        <f>regions!B139</f>
        <v>20470</v>
      </c>
      <c r="D161" s="19">
        <f>regions!C139</f>
        <v>180183623.83524305</v>
      </c>
      <c r="E161" s="8">
        <f>regions!D139</f>
        <v>8802.3265185756245</v>
      </c>
      <c r="F161" s="1">
        <f>regions!Z139</f>
        <v>27.6</v>
      </c>
      <c r="G161" s="8"/>
      <c r="H161" s="8"/>
      <c r="I161">
        <f t="shared" si="364"/>
        <v>0</v>
      </c>
      <c r="J161">
        <f t="shared" si="376"/>
        <v>0</v>
      </c>
      <c r="K161">
        <f t="shared" si="376"/>
        <v>0</v>
      </c>
      <c r="L161">
        <f t="shared" si="376"/>
        <v>0</v>
      </c>
      <c r="M161">
        <f t="shared" si="376"/>
        <v>0</v>
      </c>
      <c r="N161">
        <f t="shared" si="376"/>
        <v>0</v>
      </c>
      <c r="O161">
        <f t="shared" si="376"/>
        <v>0</v>
      </c>
      <c r="P161">
        <f t="shared" si="365"/>
        <v>-0.30470400000000003</v>
      </c>
      <c r="Q161">
        <f t="shared" si="377"/>
        <v>-2.248E-2</v>
      </c>
      <c r="R161">
        <f t="shared" si="377"/>
        <v>-4.5760000000000023E-2</v>
      </c>
      <c r="S161">
        <f t="shared" si="377"/>
        <v>-6.9840000000000013E-2</v>
      </c>
      <c r="T161">
        <f t="shared" si="377"/>
        <v>-9.4720000000000026E-2</v>
      </c>
      <c r="U161">
        <f t="shared" si="377"/>
        <v>-0.12040000000000001</v>
      </c>
      <c r="V161">
        <f t="shared" si="377"/>
        <v>-0.14688000000000001</v>
      </c>
      <c r="W161">
        <f t="shared" si="366"/>
        <v>-0.38088000000000005</v>
      </c>
      <c r="X161">
        <f t="shared" si="378"/>
        <v>-2.8099999999999958E-2</v>
      </c>
      <c r="Y161">
        <f t="shared" si="378"/>
        <v>-5.7199999999999973E-2</v>
      </c>
      <c r="Z161">
        <f t="shared" si="378"/>
        <v>-8.7300000000000044E-2</v>
      </c>
      <c r="AA161">
        <f t="shared" si="378"/>
        <v>-0.11840000000000001</v>
      </c>
      <c r="AB161">
        <f t="shared" si="378"/>
        <v>-0.15049999999999991</v>
      </c>
      <c r="AC161">
        <f t="shared" si="378"/>
        <v>-0.18359999999999993</v>
      </c>
      <c r="AD161">
        <f t="shared" si="367"/>
        <v>-0.34507728000000004</v>
      </c>
      <c r="AE161">
        <f t="shared" si="379"/>
        <v>-2.5458599999999998E-2</v>
      </c>
      <c r="AF161">
        <f t="shared" si="379"/>
        <v>-5.1823200000000014E-2</v>
      </c>
      <c r="AG161">
        <f t="shared" si="379"/>
        <v>-7.9093800000000047E-2</v>
      </c>
      <c r="AH161">
        <f t="shared" si="379"/>
        <v>-0.10727039999999999</v>
      </c>
      <c r="AI161">
        <f t="shared" si="379"/>
        <v>-0.13635299999999995</v>
      </c>
      <c r="AJ161">
        <f t="shared" si="379"/>
        <v>-0.16634159999999998</v>
      </c>
      <c r="AK161">
        <f t="shared" si="368"/>
        <v>-0.38849760000000005</v>
      </c>
      <c r="AL161">
        <f t="shared" si="380"/>
        <v>-2.8662000000000021E-2</v>
      </c>
      <c r="AM161">
        <f t="shared" si="380"/>
        <v>-5.8344000000000007E-2</v>
      </c>
      <c r="AN161">
        <f t="shared" si="380"/>
        <v>-8.904600000000007E-2</v>
      </c>
      <c r="AO161">
        <f t="shared" si="380"/>
        <v>-0.12076800000000004</v>
      </c>
      <c r="AP161">
        <f t="shared" si="380"/>
        <v>-0.15350999999999998</v>
      </c>
      <c r="AQ161">
        <f t="shared" si="380"/>
        <v>-0.18727200000000005</v>
      </c>
      <c r="AR161">
        <f t="shared" si="369"/>
        <v>-0.57969936</v>
      </c>
      <c r="AS161">
        <f t="shared" si="381"/>
        <v>-4.2768200000000034E-2</v>
      </c>
      <c r="AT161">
        <f t="shared" si="381"/>
        <v>-8.705839999999998E-2</v>
      </c>
      <c r="AU161">
        <f t="shared" si="381"/>
        <v>-0.13287060000000006</v>
      </c>
      <c r="AV161">
        <f t="shared" si="381"/>
        <v>-0.18020480000000005</v>
      </c>
      <c r="AW161">
        <f t="shared" si="381"/>
        <v>-0.22906099999999996</v>
      </c>
      <c r="AX161">
        <f t="shared" si="381"/>
        <v>-0.2794392</v>
      </c>
      <c r="AY161">
        <f t="shared" si="370"/>
        <v>-0.15996960000000002</v>
      </c>
      <c r="AZ161">
        <f t="shared" si="371"/>
        <v>-1.1802000000000007E-2</v>
      </c>
      <c r="BA161">
        <f t="shared" si="371"/>
        <v>-2.4024000000000018E-2</v>
      </c>
      <c r="BB161">
        <f t="shared" si="371"/>
        <v>-3.6666000000000004E-2</v>
      </c>
      <c r="BC161">
        <f t="shared" si="371"/>
        <v>-4.9727999999999994E-2</v>
      </c>
      <c r="BD161">
        <f t="shared" si="371"/>
        <v>-6.3209999999999988E-2</v>
      </c>
      <c r="BE161">
        <f t="shared" si="371"/>
        <v>-7.7112000000000014E-2</v>
      </c>
      <c r="BF161">
        <f t="shared" si="372"/>
        <v>-0.19044000000000003</v>
      </c>
      <c r="BG161">
        <f t="shared" si="373"/>
        <v>-1.4049999999999979E-2</v>
      </c>
      <c r="BH161">
        <f t="shared" si="373"/>
        <v>-2.8599999999999987E-2</v>
      </c>
      <c r="BI161">
        <f t="shared" si="373"/>
        <v>-4.3650000000000022E-2</v>
      </c>
      <c r="BJ161">
        <f t="shared" si="373"/>
        <v>-5.9200000000000003E-2</v>
      </c>
      <c r="BK161">
        <f t="shared" si="373"/>
        <v>-7.5249999999999956E-2</v>
      </c>
      <c r="BL161">
        <f t="shared" si="373"/>
        <v>-9.1799999999999965E-2</v>
      </c>
      <c r="BM161">
        <f t="shared" si="374"/>
        <v>-0.60179040000000006</v>
      </c>
      <c r="BN161">
        <f t="shared" si="375"/>
        <v>-4.4397999999999938E-2</v>
      </c>
      <c r="BO161">
        <f t="shared" si="375"/>
        <v>-9.0376000000000012E-2</v>
      </c>
      <c r="BP161">
        <f t="shared" si="375"/>
        <v>-0.137934</v>
      </c>
      <c r="BQ161">
        <f t="shared" si="375"/>
        <v>-0.18707200000000002</v>
      </c>
      <c r="BR161">
        <f t="shared" si="375"/>
        <v>-0.23778999999999995</v>
      </c>
      <c r="BS161">
        <f t="shared" si="375"/>
        <v>-0.29008800000000001</v>
      </c>
    </row>
    <row r="162" spans="2:71" x14ac:dyDescent="0.35">
      <c r="B162" t="s">
        <v>400</v>
      </c>
      <c r="C162" s="19">
        <f>regions!B140</f>
        <v>3811102</v>
      </c>
      <c r="D162" s="19">
        <f>regions!C140</f>
        <v>4836140076.078743</v>
      </c>
      <c r="E162" s="8">
        <f>regions!D140</f>
        <v>1268.9610711229307</v>
      </c>
      <c r="F162" s="1">
        <f>regions!Z140</f>
        <v>19.2</v>
      </c>
      <c r="G162" s="8"/>
      <c r="H162" s="8"/>
      <c r="I162">
        <f t="shared" si="364"/>
        <v>-0.267648</v>
      </c>
      <c r="J162">
        <f t="shared" si="376"/>
        <v>-1.3939999999999952E-2</v>
      </c>
      <c r="K162">
        <f t="shared" si="376"/>
        <v>-2.787999999999996E-2</v>
      </c>
      <c r="L162">
        <f t="shared" si="376"/>
        <v>-4.1819999999999968E-2</v>
      </c>
      <c r="M162">
        <f t="shared" si="376"/>
        <v>-5.5759999999999976E-2</v>
      </c>
      <c r="N162">
        <f t="shared" si="376"/>
        <v>-6.9699999999999984E-2</v>
      </c>
      <c r="O162">
        <f t="shared" si="376"/>
        <v>-8.3639999999999992E-2</v>
      </c>
      <c r="P162">
        <f t="shared" si="365"/>
        <v>-0.147456</v>
      </c>
      <c r="Q162">
        <f t="shared" si="377"/>
        <v>-1.5759999999999996E-2</v>
      </c>
      <c r="R162">
        <f t="shared" si="377"/>
        <v>-3.2320000000000015E-2</v>
      </c>
      <c r="S162">
        <f t="shared" si="377"/>
        <v>-4.9680000000000002E-2</v>
      </c>
      <c r="T162">
        <f t="shared" si="377"/>
        <v>-6.7840000000000011E-2</v>
      </c>
      <c r="U162">
        <f t="shared" si="377"/>
        <v>-8.6799999999999988E-2</v>
      </c>
      <c r="V162">
        <f t="shared" si="377"/>
        <v>-0.10656000000000002</v>
      </c>
      <c r="W162">
        <f t="shared" si="366"/>
        <v>-0.18431999999999998</v>
      </c>
      <c r="X162">
        <f t="shared" si="378"/>
        <v>-1.9699999999999995E-2</v>
      </c>
      <c r="Y162">
        <f t="shared" si="378"/>
        <v>-4.0400000000000019E-2</v>
      </c>
      <c r="Z162">
        <f t="shared" si="378"/>
        <v>-6.2100000000000016E-2</v>
      </c>
      <c r="AA162">
        <f t="shared" si="378"/>
        <v>-8.4800000000000042E-2</v>
      </c>
      <c r="AB162">
        <f t="shared" si="378"/>
        <v>-0.10850000000000004</v>
      </c>
      <c r="AC162">
        <f t="shared" si="378"/>
        <v>-0.13319999999999999</v>
      </c>
      <c r="AD162">
        <f t="shared" si="367"/>
        <v>-0.16699391999999999</v>
      </c>
      <c r="AE162">
        <f t="shared" si="379"/>
        <v>-1.7848200000000009E-2</v>
      </c>
      <c r="AF162">
        <f t="shared" si="379"/>
        <v>-3.6602400000000007E-2</v>
      </c>
      <c r="AG162">
        <f t="shared" si="379"/>
        <v>-5.6262599999999996E-2</v>
      </c>
      <c r="AH162">
        <f t="shared" si="379"/>
        <v>-7.682880000000003E-2</v>
      </c>
      <c r="AI162">
        <f t="shared" si="379"/>
        <v>-9.8300999999999999E-2</v>
      </c>
      <c r="AJ162">
        <f t="shared" si="379"/>
        <v>-0.12067920000000001</v>
      </c>
      <c r="AK162">
        <f t="shared" si="368"/>
        <v>-0.18800640000000002</v>
      </c>
      <c r="AL162">
        <f t="shared" si="380"/>
        <v>-2.0093999999999973E-2</v>
      </c>
      <c r="AM162">
        <f t="shared" si="380"/>
        <v>-4.1207999999999995E-2</v>
      </c>
      <c r="AN162">
        <f t="shared" si="380"/>
        <v>-6.3342000000000009E-2</v>
      </c>
      <c r="AO162">
        <f t="shared" si="380"/>
        <v>-8.6496000000000017E-2</v>
      </c>
      <c r="AP162">
        <f t="shared" si="380"/>
        <v>-0.11066999999999999</v>
      </c>
      <c r="AQ162">
        <f t="shared" si="380"/>
        <v>-0.13586399999999998</v>
      </c>
      <c r="AR162">
        <f t="shared" si="369"/>
        <v>-0.28053503999999996</v>
      </c>
      <c r="AS162">
        <f t="shared" si="381"/>
        <v>-2.9983399999999993E-2</v>
      </c>
      <c r="AT162">
        <f t="shared" si="381"/>
        <v>-6.148880000000001E-2</v>
      </c>
      <c r="AU162">
        <f t="shared" si="381"/>
        <v>-9.4516199999999995E-2</v>
      </c>
      <c r="AV162">
        <f t="shared" si="381"/>
        <v>-0.1290656</v>
      </c>
      <c r="AW162">
        <f t="shared" si="381"/>
        <v>-0.16513700000000003</v>
      </c>
      <c r="AX162">
        <f t="shared" si="381"/>
        <v>-0.20273039999999998</v>
      </c>
      <c r="AY162">
        <f t="shared" si="370"/>
        <v>-7.7414399999999994E-2</v>
      </c>
      <c r="AZ162">
        <f t="shared" si="371"/>
        <v>-8.2740000000000036E-3</v>
      </c>
      <c r="BA162">
        <f t="shared" si="371"/>
        <v>-1.6968000000000011E-2</v>
      </c>
      <c r="BB162">
        <f t="shared" si="371"/>
        <v>-2.6082000000000008E-2</v>
      </c>
      <c r="BC162">
        <f t="shared" si="371"/>
        <v>-3.5616000000000009E-2</v>
      </c>
      <c r="BD162">
        <f t="shared" si="371"/>
        <v>-4.5570000000000013E-2</v>
      </c>
      <c r="BE162">
        <f t="shared" si="371"/>
        <v>-5.5943999999999994E-2</v>
      </c>
      <c r="BF162">
        <f t="shared" si="372"/>
        <v>-9.2159999999999992E-2</v>
      </c>
      <c r="BG162">
        <f t="shared" si="373"/>
        <v>-9.8499999999999976E-3</v>
      </c>
      <c r="BH162">
        <f t="shared" si="373"/>
        <v>-2.020000000000001E-2</v>
      </c>
      <c r="BI162">
        <f t="shared" si="373"/>
        <v>-3.1050000000000008E-2</v>
      </c>
      <c r="BJ162">
        <f t="shared" si="373"/>
        <v>-4.2400000000000021E-2</v>
      </c>
      <c r="BK162">
        <f t="shared" si="373"/>
        <v>-5.425000000000002E-2</v>
      </c>
      <c r="BL162">
        <f t="shared" si="373"/>
        <v>-6.6599999999999993E-2</v>
      </c>
      <c r="BM162">
        <f t="shared" si="374"/>
        <v>-0.29122559999999997</v>
      </c>
      <c r="BN162">
        <f t="shared" si="375"/>
        <v>-3.1125999999999987E-2</v>
      </c>
      <c r="BO162">
        <f t="shared" si="375"/>
        <v>-6.3832000000000055E-2</v>
      </c>
      <c r="BP162">
        <f t="shared" si="375"/>
        <v>-9.8118000000000039E-2</v>
      </c>
      <c r="BQ162">
        <f t="shared" si="375"/>
        <v>-0.13398400000000005</v>
      </c>
      <c r="BR162">
        <f t="shared" si="375"/>
        <v>-0.17143000000000003</v>
      </c>
      <c r="BS162">
        <f t="shared" si="375"/>
        <v>-0.21045599999999998</v>
      </c>
    </row>
    <row r="163" spans="2:71" x14ac:dyDescent="0.35">
      <c r="B163" t="s">
        <v>175</v>
      </c>
      <c r="C163" s="19">
        <f>regions!B141</f>
        <v>3678128</v>
      </c>
      <c r="D163" s="19">
        <f>regions!C141</f>
        <v>22603329668.360188</v>
      </c>
      <c r="E163" s="8">
        <f>regions!D141</f>
        <v>6145.3352543359524</v>
      </c>
      <c r="F163" s="1">
        <f>regions!Z141</f>
        <v>25.4</v>
      </c>
      <c r="G163" s="8"/>
      <c r="H163" s="8"/>
      <c r="I163">
        <f t="shared" si="364"/>
        <v>0</v>
      </c>
      <c r="J163">
        <f t="shared" si="376"/>
        <v>0</v>
      </c>
      <c r="K163">
        <f t="shared" si="376"/>
        <v>0</v>
      </c>
      <c r="L163">
        <f t="shared" si="376"/>
        <v>0</v>
      </c>
      <c r="M163">
        <f t="shared" si="376"/>
        <v>0</v>
      </c>
      <c r="N163">
        <f t="shared" si="376"/>
        <v>0</v>
      </c>
      <c r="O163">
        <f t="shared" si="376"/>
        <v>0</v>
      </c>
      <c r="P163">
        <f t="shared" si="365"/>
        <v>-0.25806400000000002</v>
      </c>
      <c r="Q163">
        <f t="shared" si="377"/>
        <v>-2.0719999999999961E-2</v>
      </c>
      <c r="R163">
        <f t="shared" si="377"/>
        <v>-4.2239999999999944E-2</v>
      </c>
      <c r="S163">
        <f t="shared" si="377"/>
        <v>-6.4559999999999951E-2</v>
      </c>
      <c r="T163">
        <f t="shared" si="377"/>
        <v>-8.767999999999998E-2</v>
      </c>
      <c r="U163">
        <f t="shared" si="377"/>
        <v>-0.11159999999999998</v>
      </c>
      <c r="V163">
        <f t="shared" si="377"/>
        <v>-0.13632</v>
      </c>
      <c r="W163">
        <f t="shared" si="366"/>
        <v>-0.32257999999999998</v>
      </c>
      <c r="X163">
        <f t="shared" si="378"/>
        <v>-2.5899999999999979E-2</v>
      </c>
      <c r="Y163">
        <f t="shared" si="378"/>
        <v>-5.2799999999999958E-2</v>
      </c>
      <c r="Z163">
        <f t="shared" si="378"/>
        <v>-8.0699999999999994E-2</v>
      </c>
      <c r="AA163">
        <f t="shared" si="378"/>
        <v>-0.10959999999999998</v>
      </c>
      <c r="AB163">
        <f t="shared" si="378"/>
        <v>-0.13950000000000001</v>
      </c>
      <c r="AC163">
        <f t="shared" si="378"/>
        <v>-0.1704</v>
      </c>
      <c r="AD163">
        <f t="shared" si="367"/>
        <v>-0.29225748000000001</v>
      </c>
      <c r="AE163">
        <f t="shared" si="379"/>
        <v>-2.346539999999997E-2</v>
      </c>
      <c r="AF163">
        <f t="shared" si="379"/>
        <v>-4.7836799999999957E-2</v>
      </c>
      <c r="AG163">
        <f t="shared" si="379"/>
        <v>-7.3114199999999963E-2</v>
      </c>
      <c r="AH163">
        <f t="shared" si="379"/>
        <v>-9.929759999999993E-2</v>
      </c>
      <c r="AI163">
        <f t="shared" si="379"/>
        <v>-0.12638699999999997</v>
      </c>
      <c r="AJ163">
        <f t="shared" si="379"/>
        <v>-0.15438239999999998</v>
      </c>
      <c r="AK163">
        <f t="shared" si="368"/>
        <v>-0.32903159999999998</v>
      </c>
      <c r="AL163">
        <f t="shared" si="380"/>
        <v>-2.6417999999999997E-2</v>
      </c>
      <c r="AM163">
        <f t="shared" si="380"/>
        <v>-5.3855999999999959E-2</v>
      </c>
      <c r="AN163">
        <f t="shared" si="380"/>
        <v>-8.2313999999999998E-2</v>
      </c>
      <c r="AO163">
        <f t="shared" si="380"/>
        <v>-0.111792</v>
      </c>
      <c r="AP163">
        <f t="shared" si="380"/>
        <v>-0.14229000000000003</v>
      </c>
      <c r="AQ163">
        <f t="shared" si="380"/>
        <v>-0.17380799999999996</v>
      </c>
      <c r="AR163">
        <f t="shared" si="369"/>
        <v>-0.49096675999999995</v>
      </c>
      <c r="AS163">
        <f t="shared" si="381"/>
        <v>-3.9419800000000005E-2</v>
      </c>
      <c r="AT163">
        <f t="shared" si="381"/>
        <v>-8.0361599999999922E-2</v>
      </c>
      <c r="AU163">
        <f t="shared" si="381"/>
        <v>-0.12282539999999997</v>
      </c>
      <c r="AV163">
        <f t="shared" si="381"/>
        <v>-0.16681119999999994</v>
      </c>
      <c r="AW163">
        <f t="shared" si="381"/>
        <v>-0.21231900000000004</v>
      </c>
      <c r="AX163">
        <f t="shared" si="381"/>
        <v>-0.25934879999999993</v>
      </c>
      <c r="AY163">
        <f t="shared" si="370"/>
        <v>-0.13548360000000001</v>
      </c>
      <c r="AZ163">
        <f t="shared" si="371"/>
        <v>-1.0877999999999971E-2</v>
      </c>
      <c r="BA163">
        <f t="shared" si="371"/>
        <v>-2.2175999999999974E-2</v>
      </c>
      <c r="BB163">
        <f t="shared" si="371"/>
        <v>-3.389399999999998E-2</v>
      </c>
      <c r="BC163">
        <f t="shared" si="371"/>
        <v>-4.603199999999999E-2</v>
      </c>
      <c r="BD163">
        <f t="shared" si="371"/>
        <v>-5.8590000000000003E-2</v>
      </c>
      <c r="BE163">
        <f t="shared" si="371"/>
        <v>-7.1567999999999993E-2</v>
      </c>
      <c r="BF163">
        <f t="shared" si="372"/>
        <v>-0.16128999999999999</v>
      </c>
      <c r="BG163">
        <f t="shared" si="373"/>
        <v>-1.2949999999999989E-2</v>
      </c>
      <c r="BH163">
        <f t="shared" si="373"/>
        <v>-2.6399999999999979E-2</v>
      </c>
      <c r="BI163">
        <f t="shared" si="373"/>
        <v>-4.0349999999999997E-2</v>
      </c>
      <c r="BJ163">
        <f t="shared" si="373"/>
        <v>-5.4799999999999988E-2</v>
      </c>
      <c r="BK163">
        <f t="shared" si="373"/>
        <v>-6.9750000000000006E-2</v>
      </c>
      <c r="BL163">
        <f t="shared" si="373"/>
        <v>-8.5199999999999998E-2</v>
      </c>
      <c r="BM163">
        <f t="shared" si="374"/>
        <v>-0.50967640000000003</v>
      </c>
      <c r="BN163">
        <f t="shared" si="375"/>
        <v>-4.0921999999999903E-2</v>
      </c>
      <c r="BO163">
        <f t="shared" si="375"/>
        <v>-8.3423999999999832E-2</v>
      </c>
      <c r="BP163">
        <f t="shared" si="375"/>
        <v>-0.1275059999999999</v>
      </c>
      <c r="BQ163">
        <f t="shared" si="375"/>
        <v>-0.17316799999999988</v>
      </c>
      <c r="BR163">
        <f t="shared" si="375"/>
        <v>-0.22040999999999999</v>
      </c>
      <c r="BS163">
        <f t="shared" si="375"/>
        <v>-0.26923199999999992</v>
      </c>
    </row>
    <row r="164" spans="2:71" x14ac:dyDescent="0.35">
      <c r="B164" t="s">
        <v>401</v>
      </c>
      <c r="C164" s="19">
        <f>regions!B142</f>
        <v>6858945</v>
      </c>
      <c r="D164" s="19">
        <f>regions!C142</f>
        <v>6553203635.5810919</v>
      </c>
      <c r="E164" s="8">
        <f>regions!D142</f>
        <v>955.42443270518891</v>
      </c>
      <c r="F164" s="1">
        <f>regions!Z142</f>
        <v>25.2</v>
      </c>
      <c r="G164" s="8"/>
      <c r="H164" s="8"/>
      <c r="I164">
        <f t="shared" si="364"/>
        <v>-0.35128799999999999</v>
      </c>
      <c r="J164">
        <f t="shared" si="376"/>
        <v>-1.3940000000000008E-2</v>
      </c>
      <c r="K164">
        <f t="shared" si="376"/>
        <v>-2.787999999999996E-2</v>
      </c>
      <c r="L164">
        <f t="shared" si="376"/>
        <v>-4.1819999999999968E-2</v>
      </c>
      <c r="M164">
        <f t="shared" si="376"/>
        <v>-5.5759999999999976E-2</v>
      </c>
      <c r="N164">
        <f t="shared" si="376"/>
        <v>-6.9699999999999984E-2</v>
      </c>
      <c r="O164">
        <f t="shared" si="376"/>
        <v>-8.3639999999999992E-2</v>
      </c>
      <c r="P164">
        <f t="shared" si="365"/>
        <v>-0.25401600000000002</v>
      </c>
      <c r="Q164">
        <f t="shared" si="377"/>
        <v>-2.0559999999999967E-2</v>
      </c>
      <c r="R164">
        <f t="shared" si="377"/>
        <v>-4.1919999999999957E-2</v>
      </c>
      <c r="S164">
        <f t="shared" si="377"/>
        <v>-6.4080000000000026E-2</v>
      </c>
      <c r="T164">
        <f t="shared" si="377"/>
        <v>-8.7040000000000006E-2</v>
      </c>
      <c r="U164">
        <f t="shared" si="377"/>
        <v>-0.11080000000000001</v>
      </c>
      <c r="V164">
        <f t="shared" si="377"/>
        <v>-0.13535999999999998</v>
      </c>
      <c r="W164">
        <f t="shared" si="366"/>
        <v>-0.31751999999999997</v>
      </c>
      <c r="X164">
        <f t="shared" si="378"/>
        <v>-2.5700000000000001E-2</v>
      </c>
      <c r="Y164">
        <f t="shared" si="378"/>
        <v>-5.2400000000000002E-2</v>
      </c>
      <c r="Z164">
        <f t="shared" si="378"/>
        <v>-8.010000000000006E-2</v>
      </c>
      <c r="AA164">
        <f t="shared" si="378"/>
        <v>-0.10880000000000001</v>
      </c>
      <c r="AB164">
        <f t="shared" si="378"/>
        <v>-0.13850000000000001</v>
      </c>
      <c r="AC164">
        <f t="shared" si="378"/>
        <v>-0.16920000000000002</v>
      </c>
      <c r="AD164">
        <f t="shared" si="367"/>
        <v>-0.28767312</v>
      </c>
      <c r="AE164">
        <f t="shared" si="379"/>
        <v>-2.3284199999999977E-2</v>
      </c>
      <c r="AF164">
        <f t="shared" si="379"/>
        <v>-4.7474399999999972E-2</v>
      </c>
      <c r="AG164">
        <f t="shared" si="379"/>
        <v>-7.2570599999999985E-2</v>
      </c>
      <c r="AH164">
        <f t="shared" si="379"/>
        <v>-9.8572800000000016E-2</v>
      </c>
      <c r="AI164">
        <f t="shared" si="379"/>
        <v>-0.12548100000000001</v>
      </c>
      <c r="AJ164">
        <f t="shared" si="379"/>
        <v>-0.15329519999999996</v>
      </c>
      <c r="AK164">
        <f t="shared" si="368"/>
        <v>-0.3238704</v>
      </c>
      <c r="AL164">
        <f t="shared" si="380"/>
        <v>-2.6214000000000015E-2</v>
      </c>
      <c r="AM164">
        <f t="shared" si="380"/>
        <v>-5.3447999999999996E-2</v>
      </c>
      <c r="AN164">
        <f t="shared" si="380"/>
        <v>-8.1702000000000052E-2</v>
      </c>
      <c r="AO164">
        <f t="shared" si="380"/>
        <v>-0.11097600000000002</v>
      </c>
      <c r="AP164">
        <f t="shared" si="380"/>
        <v>-0.14127000000000001</v>
      </c>
      <c r="AQ164">
        <f t="shared" si="380"/>
        <v>-0.17258400000000002</v>
      </c>
      <c r="AR164">
        <f t="shared" si="369"/>
        <v>-0.48326543999999994</v>
      </c>
      <c r="AS164">
        <f t="shared" si="381"/>
        <v>-3.9115400000000022E-2</v>
      </c>
      <c r="AT164">
        <f t="shared" si="381"/>
        <v>-7.9752799999999957E-2</v>
      </c>
      <c r="AU164">
        <f t="shared" si="381"/>
        <v>-0.12191220000000003</v>
      </c>
      <c r="AV164">
        <f t="shared" si="381"/>
        <v>-0.16559360000000001</v>
      </c>
      <c r="AW164">
        <f t="shared" si="381"/>
        <v>-0.21079700000000001</v>
      </c>
      <c r="AX164">
        <f t="shared" si="381"/>
        <v>-0.25752239999999993</v>
      </c>
      <c r="AY164">
        <f t="shared" si="370"/>
        <v>-0.13335839999999999</v>
      </c>
      <c r="AZ164">
        <f t="shared" si="371"/>
        <v>-1.0793999999999998E-2</v>
      </c>
      <c r="BA164">
        <f t="shared" si="371"/>
        <v>-2.2008E-2</v>
      </c>
      <c r="BB164">
        <f t="shared" si="371"/>
        <v>-3.3642000000000033E-2</v>
      </c>
      <c r="BC164">
        <f t="shared" si="371"/>
        <v>-4.5696000000000014E-2</v>
      </c>
      <c r="BD164">
        <f t="shared" si="371"/>
        <v>-5.8169999999999999E-2</v>
      </c>
      <c r="BE164">
        <f t="shared" si="371"/>
        <v>-7.1064000000000016E-2</v>
      </c>
      <c r="BF164">
        <f t="shared" si="372"/>
        <v>-0.15875999999999998</v>
      </c>
      <c r="BG164">
        <f t="shared" si="373"/>
        <v>-1.285E-2</v>
      </c>
      <c r="BH164">
        <f t="shared" si="373"/>
        <v>-2.6200000000000001E-2</v>
      </c>
      <c r="BI164">
        <f t="shared" si="373"/>
        <v>-4.005000000000003E-2</v>
      </c>
      <c r="BJ164">
        <f t="shared" si="373"/>
        <v>-5.4400000000000004E-2</v>
      </c>
      <c r="BK164">
        <f t="shared" si="373"/>
        <v>-6.9250000000000006E-2</v>
      </c>
      <c r="BL164">
        <f t="shared" si="373"/>
        <v>-8.4600000000000009E-2</v>
      </c>
      <c r="BM164">
        <f t="shared" si="374"/>
        <v>-0.50168159999999995</v>
      </c>
      <c r="BN164">
        <f t="shared" si="375"/>
        <v>-4.0606000000000031E-2</v>
      </c>
      <c r="BO164">
        <f t="shared" si="375"/>
        <v>-8.2791999999999977E-2</v>
      </c>
      <c r="BP164">
        <f t="shared" si="375"/>
        <v>-0.12655800000000006</v>
      </c>
      <c r="BQ164">
        <f t="shared" si="375"/>
        <v>-0.17190400000000006</v>
      </c>
      <c r="BR164">
        <f t="shared" si="375"/>
        <v>-0.21883000000000008</v>
      </c>
      <c r="BS164">
        <f t="shared" si="375"/>
        <v>-0.26733600000000002</v>
      </c>
    </row>
    <row r="165" spans="2:71" x14ac:dyDescent="0.35">
      <c r="B165" t="s">
        <v>176</v>
      </c>
      <c r="C165" s="19">
        <f>regions!B143</f>
        <v>6459721</v>
      </c>
      <c r="D165" s="19">
        <f>regions!C143</f>
        <v>11148152913.231319</v>
      </c>
      <c r="E165" s="8">
        <f>regions!D143</f>
        <v>1725.7948003065951</v>
      </c>
      <c r="F165" s="1">
        <f>regions!Z143</f>
        <v>23.5</v>
      </c>
      <c r="G165" s="8"/>
      <c r="H165" s="8"/>
      <c r="I165">
        <f t="shared" si="364"/>
        <v>-0.32758999999999999</v>
      </c>
      <c r="J165">
        <f t="shared" si="376"/>
        <v>-1.3940000000000008E-2</v>
      </c>
      <c r="K165">
        <f t="shared" si="376"/>
        <v>-2.7880000000000016E-2</v>
      </c>
      <c r="L165">
        <f t="shared" si="376"/>
        <v>-4.1819999999999968E-2</v>
      </c>
      <c r="M165">
        <f t="shared" si="376"/>
        <v>-5.5759999999999976E-2</v>
      </c>
      <c r="N165">
        <f t="shared" si="376"/>
        <v>-6.9699999999999984E-2</v>
      </c>
      <c r="O165">
        <f t="shared" si="376"/>
        <v>-8.3639999999999992E-2</v>
      </c>
      <c r="P165">
        <f t="shared" si="365"/>
        <v>-0.22090000000000001</v>
      </c>
      <c r="Q165">
        <f t="shared" si="377"/>
        <v>-1.9199999999999995E-2</v>
      </c>
      <c r="R165">
        <f t="shared" si="377"/>
        <v>-3.9199999999999985E-2</v>
      </c>
      <c r="S165">
        <f t="shared" si="377"/>
        <v>-6.0000000000000026E-2</v>
      </c>
      <c r="T165">
        <f t="shared" si="377"/>
        <v>-8.1599999999999978E-2</v>
      </c>
      <c r="U165">
        <f t="shared" si="377"/>
        <v>-0.10400000000000001</v>
      </c>
      <c r="V165">
        <f t="shared" si="377"/>
        <v>-0.12720000000000001</v>
      </c>
      <c r="W165">
        <f t="shared" si="366"/>
        <v>-0.27612500000000001</v>
      </c>
      <c r="X165">
        <f t="shared" si="378"/>
        <v>-2.4000000000000021E-2</v>
      </c>
      <c r="Y165">
        <f t="shared" si="378"/>
        <v>-4.8999999999999988E-2</v>
      </c>
      <c r="Z165">
        <f t="shared" si="378"/>
        <v>-7.5000000000000011E-2</v>
      </c>
      <c r="AA165">
        <f t="shared" si="378"/>
        <v>-0.10199999999999998</v>
      </c>
      <c r="AB165">
        <f t="shared" si="378"/>
        <v>-0.13</v>
      </c>
      <c r="AC165">
        <f t="shared" si="378"/>
        <v>-0.15899999999999997</v>
      </c>
      <c r="AD165">
        <f t="shared" si="367"/>
        <v>-0.25016925000000001</v>
      </c>
      <c r="AE165">
        <f t="shared" si="379"/>
        <v>-2.1743999999999986E-2</v>
      </c>
      <c r="AF165">
        <f t="shared" si="379"/>
        <v>-4.4393999999999989E-2</v>
      </c>
      <c r="AG165">
        <f t="shared" si="379"/>
        <v>-6.795000000000001E-2</v>
      </c>
      <c r="AH165">
        <f t="shared" si="379"/>
        <v>-9.2411999999999994E-2</v>
      </c>
      <c r="AI165">
        <f t="shared" si="379"/>
        <v>-0.11778</v>
      </c>
      <c r="AJ165">
        <f t="shared" si="379"/>
        <v>-0.14405400000000002</v>
      </c>
      <c r="AK165">
        <f t="shared" si="368"/>
        <v>-0.2816475</v>
      </c>
      <c r="AL165">
        <f t="shared" si="380"/>
        <v>-2.4480000000000002E-2</v>
      </c>
      <c r="AM165">
        <f t="shared" si="380"/>
        <v>-4.9980000000000024E-2</v>
      </c>
      <c r="AN165">
        <f t="shared" si="380"/>
        <v>-7.6500000000000012E-2</v>
      </c>
      <c r="AO165">
        <f t="shared" si="380"/>
        <v>-0.10404000000000002</v>
      </c>
      <c r="AP165">
        <f t="shared" si="380"/>
        <v>-0.13260000000000005</v>
      </c>
      <c r="AQ165">
        <f t="shared" si="380"/>
        <v>-0.16218000000000005</v>
      </c>
      <c r="AR165">
        <f t="shared" si="369"/>
        <v>-0.42026225</v>
      </c>
      <c r="AS165">
        <f t="shared" si="381"/>
        <v>-3.6527999999999949E-2</v>
      </c>
      <c r="AT165">
        <f t="shared" si="381"/>
        <v>-7.4577999999999978E-2</v>
      </c>
      <c r="AU165">
        <f t="shared" si="381"/>
        <v>-0.11414999999999992</v>
      </c>
      <c r="AV165">
        <f t="shared" si="381"/>
        <v>-0.15524399999999999</v>
      </c>
      <c r="AW165">
        <f t="shared" si="381"/>
        <v>-0.19785999999999998</v>
      </c>
      <c r="AX165">
        <f t="shared" si="381"/>
        <v>-0.24199799999999999</v>
      </c>
      <c r="AY165">
        <f t="shared" si="370"/>
        <v>-0.11597250000000001</v>
      </c>
      <c r="AZ165">
        <f t="shared" si="371"/>
        <v>-1.0080000000000006E-2</v>
      </c>
      <c r="BA165">
        <f t="shared" si="371"/>
        <v>-2.0579999999999987E-2</v>
      </c>
      <c r="BB165">
        <f t="shared" si="371"/>
        <v>-3.15E-2</v>
      </c>
      <c r="BC165">
        <f t="shared" si="371"/>
        <v>-4.2839999999999989E-2</v>
      </c>
      <c r="BD165">
        <f t="shared" si="371"/>
        <v>-5.460000000000001E-2</v>
      </c>
      <c r="BE165">
        <f t="shared" si="371"/>
        <v>-6.6780000000000006E-2</v>
      </c>
      <c r="BF165">
        <f t="shared" si="372"/>
        <v>-0.1380625</v>
      </c>
      <c r="BG165">
        <f t="shared" si="373"/>
        <v>-1.2000000000000011E-2</v>
      </c>
      <c r="BH165">
        <f t="shared" si="373"/>
        <v>-2.4499999999999994E-2</v>
      </c>
      <c r="BI165">
        <f t="shared" si="373"/>
        <v>-3.7500000000000006E-2</v>
      </c>
      <c r="BJ165">
        <f t="shared" si="373"/>
        <v>-5.099999999999999E-2</v>
      </c>
      <c r="BK165">
        <f t="shared" si="373"/>
        <v>-6.5000000000000002E-2</v>
      </c>
      <c r="BL165">
        <f t="shared" si="373"/>
        <v>-7.9499999999999987E-2</v>
      </c>
      <c r="BM165">
        <f t="shared" si="374"/>
        <v>-0.43627749999999998</v>
      </c>
      <c r="BN165">
        <f t="shared" si="375"/>
        <v>-3.7920000000000009E-2</v>
      </c>
      <c r="BO165">
        <f t="shared" si="375"/>
        <v>-7.7420000000000044E-2</v>
      </c>
      <c r="BP165">
        <f t="shared" si="375"/>
        <v>-0.11850000000000005</v>
      </c>
      <c r="BQ165">
        <f t="shared" si="375"/>
        <v>-0.16115999999999997</v>
      </c>
      <c r="BR165">
        <f t="shared" si="375"/>
        <v>-0.20540000000000003</v>
      </c>
      <c r="BS165">
        <f t="shared" si="375"/>
        <v>-0.25122</v>
      </c>
    </row>
    <row r="166" spans="2:71" x14ac:dyDescent="0.35">
      <c r="B166" t="s">
        <v>177</v>
      </c>
      <c r="C166" s="19">
        <f>regions!B144</f>
        <v>29262830</v>
      </c>
      <c r="D166" s="19">
        <f>regions!C144</f>
        <v>103487662932.25778</v>
      </c>
      <c r="E166" s="8">
        <f>regions!D144</f>
        <v>3536.4885396339923</v>
      </c>
      <c r="F166" s="1">
        <f>regions!Z144</f>
        <v>19.600000000000001</v>
      </c>
      <c r="G166" s="8"/>
      <c r="H166" s="8"/>
      <c r="I166">
        <f t="shared" si="364"/>
        <v>-0.27322400000000002</v>
      </c>
      <c r="J166">
        <f t="shared" ref="J166:O175" si="382">IF($E166&lt;$E$24,$D$11*($F166+J$25)-$I166,0)</f>
        <v>-1.3940000000000008E-2</v>
      </c>
      <c r="K166">
        <f t="shared" si="382"/>
        <v>-2.787999999999996E-2</v>
      </c>
      <c r="L166">
        <f t="shared" si="382"/>
        <v>-4.1819999999999968E-2</v>
      </c>
      <c r="M166">
        <f t="shared" si="382"/>
        <v>-5.5759999999999976E-2</v>
      </c>
      <c r="N166">
        <f t="shared" si="382"/>
        <v>-6.9699999999999984E-2</v>
      </c>
      <c r="O166">
        <f t="shared" si="382"/>
        <v>-8.3639999999999992E-2</v>
      </c>
      <c r="P166">
        <f t="shared" si="365"/>
        <v>-0.15366400000000005</v>
      </c>
      <c r="Q166">
        <f t="shared" ref="Q166:V175" si="383">$D$13*($F166+Q$25)^2-$P166</f>
        <v>-1.6079999999999983E-2</v>
      </c>
      <c r="R166">
        <f t="shared" si="383"/>
        <v>-3.2959999999999989E-2</v>
      </c>
      <c r="S166">
        <f t="shared" si="383"/>
        <v>-5.0639999999999991E-2</v>
      </c>
      <c r="T166">
        <f t="shared" si="383"/>
        <v>-6.9119999999999987E-2</v>
      </c>
      <c r="U166">
        <f t="shared" si="383"/>
        <v>-8.8400000000000006E-2</v>
      </c>
      <c r="V166">
        <f t="shared" si="383"/>
        <v>-0.10847999999999999</v>
      </c>
      <c r="W166">
        <f t="shared" si="366"/>
        <v>-0.19208000000000006</v>
      </c>
      <c r="X166">
        <f t="shared" ref="X166:AC175" si="384">$D$15*($F166+X$25)^2-$W166</f>
        <v>-2.0099999999999979E-2</v>
      </c>
      <c r="Y166">
        <f t="shared" si="384"/>
        <v>-4.1199999999999987E-2</v>
      </c>
      <c r="Z166">
        <f t="shared" si="384"/>
        <v>-6.3299999999999995E-2</v>
      </c>
      <c r="AA166">
        <f t="shared" si="384"/>
        <v>-8.6399999999999949E-2</v>
      </c>
      <c r="AB166">
        <f t="shared" si="384"/>
        <v>-0.11050000000000001</v>
      </c>
      <c r="AC166">
        <f t="shared" si="384"/>
        <v>-0.13560000000000003</v>
      </c>
      <c r="AD166">
        <f t="shared" si="367"/>
        <v>-0.17402448000000004</v>
      </c>
      <c r="AE166">
        <f t="shared" ref="AE166:AJ175" si="385">$D$10*($F166+AE$25)^2-$AD166</f>
        <v>-1.8210599999999993E-2</v>
      </c>
      <c r="AF166">
        <f t="shared" si="385"/>
        <v>-3.7327200000000005E-2</v>
      </c>
      <c r="AG166">
        <f t="shared" si="385"/>
        <v>-5.7349799999999979E-2</v>
      </c>
      <c r="AH166">
        <f t="shared" si="385"/>
        <v>-7.827839999999997E-2</v>
      </c>
      <c r="AI166">
        <f t="shared" si="385"/>
        <v>-0.10011300000000001</v>
      </c>
      <c r="AJ166">
        <f t="shared" si="385"/>
        <v>-0.12285360000000001</v>
      </c>
      <c r="AK166">
        <f t="shared" si="368"/>
        <v>-0.19592160000000006</v>
      </c>
      <c r="AL166">
        <f t="shared" ref="AL166:AQ175" si="386">$D$17*($F166+AL$25)^2-$AK166</f>
        <v>-2.0501999999999992E-2</v>
      </c>
      <c r="AM166">
        <f t="shared" si="386"/>
        <v>-4.2023999999999978E-2</v>
      </c>
      <c r="AN166">
        <f t="shared" si="386"/>
        <v>-6.4565999999999985E-2</v>
      </c>
      <c r="AO166">
        <f t="shared" si="386"/>
        <v>-8.8127999999999956E-2</v>
      </c>
      <c r="AP166">
        <f t="shared" si="386"/>
        <v>-0.11271</v>
      </c>
      <c r="AQ166">
        <f t="shared" si="386"/>
        <v>-0.13831200000000002</v>
      </c>
      <c r="AR166">
        <f t="shared" si="369"/>
        <v>-0.29234576000000007</v>
      </c>
      <c r="AS166">
        <f t="shared" ref="AS166:AX175" si="387">$D$8*($F166+AS$25)^2-$AR166</f>
        <v>-3.0592199999999958E-2</v>
      </c>
      <c r="AT166">
        <f t="shared" si="387"/>
        <v>-6.270639999999994E-2</v>
      </c>
      <c r="AU166">
        <f t="shared" si="387"/>
        <v>-9.6342599999999945E-2</v>
      </c>
      <c r="AV166">
        <f t="shared" si="387"/>
        <v>-0.13150079999999992</v>
      </c>
      <c r="AW166">
        <f t="shared" si="387"/>
        <v>-0.16818099999999997</v>
      </c>
      <c r="AX166">
        <f t="shared" si="387"/>
        <v>-0.20638319999999999</v>
      </c>
      <c r="AY166">
        <f t="shared" si="370"/>
        <v>-8.0673600000000026E-2</v>
      </c>
      <c r="AZ166">
        <f t="shared" si="371"/>
        <v>-8.4419999999999912E-3</v>
      </c>
      <c r="BA166">
        <f t="shared" si="371"/>
        <v>-1.7303999999999986E-2</v>
      </c>
      <c r="BB166">
        <f t="shared" si="371"/>
        <v>-2.6585999999999985E-2</v>
      </c>
      <c r="BC166">
        <f t="shared" si="371"/>
        <v>-3.6287999999999987E-2</v>
      </c>
      <c r="BD166">
        <f t="shared" si="371"/>
        <v>-4.6409999999999993E-2</v>
      </c>
      <c r="BE166">
        <f t="shared" si="371"/>
        <v>-5.6952000000000016E-2</v>
      </c>
      <c r="BF166">
        <f t="shared" si="372"/>
        <v>-9.6040000000000028E-2</v>
      </c>
      <c r="BG166">
        <f t="shared" si="373"/>
        <v>-1.0049999999999989E-2</v>
      </c>
      <c r="BH166">
        <f t="shared" si="373"/>
        <v>-2.0599999999999993E-2</v>
      </c>
      <c r="BI166">
        <f t="shared" si="373"/>
        <v>-3.1649999999999998E-2</v>
      </c>
      <c r="BJ166">
        <f t="shared" si="373"/>
        <v>-4.3199999999999975E-2</v>
      </c>
      <c r="BK166">
        <f t="shared" si="373"/>
        <v>-5.5250000000000007E-2</v>
      </c>
      <c r="BL166">
        <f t="shared" si="373"/>
        <v>-6.7800000000000013E-2</v>
      </c>
      <c r="BM166">
        <f t="shared" si="374"/>
        <v>-0.30348640000000005</v>
      </c>
      <c r="BN166">
        <f t="shared" si="375"/>
        <v>-3.1758000000000008E-2</v>
      </c>
      <c r="BO166">
        <f t="shared" si="375"/>
        <v>-6.5095999999999987E-2</v>
      </c>
      <c r="BP166">
        <f t="shared" si="375"/>
        <v>-0.10001399999999999</v>
      </c>
      <c r="BQ166">
        <f t="shared" si="375"/>
        <v>-0.13651199999999997</v>
      </c>
      <c r="BR166">
        <f t="shared" si="375"/>
        <v>-0.17459000000000002</v>
      </c>
      <c r="BS166">
        <f t="shared" si="375"/>
        <v>-0.21424800000000011</v>
      </c>
    </row>
    <row r="167" spans="2:71" x14ac:dyDescent="0.35">
      <c r="B167" t="s">
        <v>178</v>
      </c>
      <c r="C167" s="19">
        <f>regions!B145</f>
        <v>93444322</v>
      </c>
      <c r="D167" s="19">
        <f>regions!C145</f>
        <v>131131009140.35426</v>
      </c>
      <c r="E167" s="8">
        <f>regions!D145</f>
        <v>1403.3063361554944</v>
      </c>
      <c r="F167" s="1">
        <f>regions!Z145</f>
        <v>25.8</v>
      </c>
      <c r="G167" s="8"/>
      <c r="H167" s="8"/>
      <c r="I167">
        <f t="shared" si="364"/>
        <v>-0.35965199999999997</v>
      </c>
      <c r="J167">
        <f t="shared" si="382"/>
        <v>-1.3940000000000008E-2</v>
      </c>
      <c r="K167">
        <f t="shared" si="382"/>
        <v>-2.7880000000000016E-2</v>
      </c>
      <c r="L167">
        <f t="shared" si="382"/>
        <v>-4.1820000000000024E-2</v>
      </c>
      <c r="M167">
        <f t="shared" si="382"/>
        <v>-5.5760000000000032E-2</v>
      </c>
      <c r="N167">
        <f t="shared" si="382"/>
        <v>-6.970000000000004E-2</v>
      </c>
      <c r="O167">
        <f t="shared" si="382"/>
        <v>-8.3639999999999992E-2</v>
      </c>
      <c r="P167">
        <f t="shared" si="365"/>
        <v>-0.26625599999999999</v>
      </c>
      <c r="Q167">
        <f t="shared" si="383"/>
        <v>-2.1040000000000003E-2</v>
      </c>
      <c r="R167">
        <f t="shared" si="383"/>
        <v>-4.2880000000000029E-2</v>
      </c>
      <c r="S167">
        <f t="shared" si="383"/>
        <v>-6.5520000000000023E-2</v>
      </c>
      <c r="T167">
        <f t="shared" si="383"/>
        <v>-8.8960000000000039E-2</v>
      </c>
      <c r="U167">
        <f t="shared" si="383"/>
        <v>-0.11320000000000008</v>
      </c>
      <c r="V167">
        <f t="shared" si="383"/>
        <v>-0.13824000000000003</v>
      </c>
      <c r="W167">
        <f t="shared" si="366"/>
        <v>-0.33282</v>
      </c>
      <c r="X167">
        <f t="shared" si="384"/>
        <v>-2.629999999999999E-2</v>
      </c>
      <c r="Y167">
        <f t="shared" si="384"/>
        <v>-5.3600000000000037E-2</v>
      </c>
      <c r="Z167">
        <f t="shared" si="384"/>
        <v>-8.1900000000000028E-2</v>
      </c>
      <c r="AA167">
        <f t="shared" si="384"/>
        <v>-0.11120000000000002</v>
      </c>
      <c r="AB167">
        <f t="shared" si="384"/>
        <v>-0.14150000000000007</v>
      </c>
      <c r="AC167">
        <f t="shared" si="384"/>
        <v>-0.17280000000000006</v>
      </c>
      <c r="AD167">
        <f t="shared" si="367"/>
        <v>-0.30153491999999998</v>
      </c>
      <c r="AE167">
        <f t="shared" si="385"/>
        <v>-2.382780000000001E-2</v>
      </c>
      <c r="AF167">
        <f t="shared" si="385"/>
        <v>-4.8561600000000038E-2</v>
      </c>
      <c r="AG167">
        <f t="shared" si="385"/>
        <v>-7.4201400000000028E-2</v>
      </c>
      <c r="AH167">
        <f t="shared" si="385"/>
        <v>-0.10074720000000004</v>
      </c>
      <c r="AI167">
        <f t="shared" si="385"/>
        <v>-0.12819900000000006</v>
      </c>
      <c r="AJ167">
        <f t="shared" si="385"/>
        <v>-0.15655680000000005</v>
      </c>
      <c r="AK167">
        <f t="shared" si="368"/>
        <v>-0.33947640000000001</v>
      </c>
      <c r="AL167">
        <f t="shared" si="386"/>
        <v>-2.6826000000000016E-2</v>
      </c>
      <c r="AM167">
        <f t="shared" si="386"/>
        <v>-5.4672000000000054E-2</v>
      </c>
      <c r="AN167">
        <f t="shared" si="386"/>
        <v>-8.3538000000000057E-2</v>
      </c>
      <c r="AO167">
        <f t="shared" si="386"/>
        <v>-0.11342400000000008</v>
      </c>
      <c r="AP167">
        <f t="shared" si="386"/>
        <v>-0.14433000000000007</v>
      </c>
      <c r="AQ167">
        <f t="shared" si="386"/>
        <v>-0.17625600000000008</v>
      </c>
      <c r="AR167">
        <f t="shared" si="369"/>
        <v>-0.50655203999999998</v>
      </c>
      <c r="AS167">
        <f t="shared" si="387"/>
        <v>-4.002859999999997E-2</v>
      </c>
      <c r="AT167">
        <f t="shared" si="387"/>
        <v>-8.1579199999999963E-2</v>
      </c>
      <c r="AU167">
        <f t="shared" si="387"/>
        <v>-0.12465179999999998</v>
      </c>
      <c r="AV167">
        <f t="shared" si="387"/>
        <v>-0.16924640000000002</v>
      </c>
      <c r="AW167">
        <f t="shared" si="387"/>
        <v>-0.21536300000000008</v>
      </c>
      <c r="AX167">
        <f t="shared" si="387"/>
        <v>-0.26300159999999995</v>
      </c>
      <c r="AY167">
        <f t="shared" si="370"/>
        <v>-0.1397844</v>
      </c>
      <c r="AZ167">
        <f t="shared" si="371"/>
        <v>-1.1046E-2</v>
      </c>
      <c r="BA167">
        <f t="shared" si="371"/>
        <v>-2.2512000000000004E-2</v>
      </c>
      <c r="BB167">
        <f t="shared" si="371"/>
        <v>-3.4398000000000012E-2</v>
      </c>
      <c r="BC167">
        <f t="shared" si="371"/>
        <v>-4.6704000000000023E-2</v>
      </c>
      <c r="BD167">
        <f t="shared" si="371"/>
        <v>-5.9430000000000038E-2</v>
      </c>
      <c r="BE167">
        <f t="shared" si="371"/>
        <v>-7.2576000000000002E-2</v>
      </c>
      <c r="BF167">
        <f t="shared" si="372"/>
        <v>-0.16641</v>
      </c>
      <c r="BG167">
        <f t="shared" si="373"/>
        <v>-1.3149999999999995E-2</v>
      </c>
      <c r="BH167">
        <f t="shared" si="373"/>
        <v>-2.6800000000000018E-2</v>
      </c>
      <c r="BI167">
        <f t="shared" si="373"/>
        <v>-4.0950000000000014E-2</v>
      </c>
      <c r="BJ167">
        <f t="shared" si="373"/>
        <v>-5.5600000000000011E-2</v>
      </c>
      <c r="BK167">
        <f t="shared" si="373"/>
        <v>-7.0750000000000035E-2</v>
      </c>
      <c r="BL167">
        <f t="shared" si="373"/>
        <v>-8.6400000000000032E-2</v>
      </c>
      <c r="BM167">
        <f t="shared" si="374"/>
        <v>-0.52585559999999998</v>
      </c>
      <c r="BN167">
        <f t="shared" si="375"/>
        <v>-4.1554000000000091E-2</v>
      </c>
      <c r="BO167">
        <f t="shared" si="375"/>
        <v>-8.4688000000000097E-2</v>
      </c>
      <c r="BP167">
        <f t="shared" si="375"/>
        <v>-0.12940200000000013</v>
      </c>
      <c r="BQ167">
        <f t="shared" si="375"/>
        <v>-0.17569600000000007</v>
      </c>
      <c r="BR167">
        <f t="shared" si="375"/>
        <v>-0.22357000000000016</v>
      </c>
      <c r="BS167">
        <f t="shared" si="375"/>
        <v>-0.27302400000000004</v>
      </c>
    </row>
    <row r="168" spans="2:71" x14ac:dyDescent="0.35">
      <c r="B168" t="s">
        <v>179</v>
      </c>
      <c r="C168" s="19">
        <f>regions!B146</f>
        <v>38183683</v>
      </c>
      <c r="D168" s="19">
        <f>regions!C146</f>
        <v>383205737633.98334</v>
      </c>
      <c r="E168" s="8">
        <f>regions!D146</f>
        <v>10035.850591834826</v>
      </c>
      <c r="F168" s="1">
        <f>regions!Z146</f>
        <v>7.8</v>
      </c>
      <c r="G168" s="8"/>
      <c r="H168" s="8"/>
      <c r="I168">
        <f t="shared" si="364"/>
        <v>0</v>
      </c>
      <c r="J168">
        <f t="shared" si="382"/>
        <v>0</v>
      </c>
      <c r="K168">
        <f t="shared" si="382"/>
        <v>0</v>
      </c>
      <c r="L168">
        <f t="shared" si="382"/>
        <v>0</v>
      </c>
      <c r="M168">
        <f t="shared" si="382"/>
        <v>0</v>
      </c>
      <c r="N168">
        <f t="shared" si="382"/>
        <v>0</v>
      </c>
      <c r="O168">
        <f t="shared" si="382"/>
        <v>0</v>
      </c>
      <c r="P168">
        <f t="shared" si="365"/>
        <v>-2.4336E-2</v>
      </c>
      <c r="Q168">
        <f t="shared" si="383"/>
        <v>-6.640000000000007E-3</v>
      </c>
      <c r="R168">
        <f t="shared" si="383"/>
        <v>-1.4080000000000013E-2</v>
      </c>
      <c r="S168">
        <f t="shared" si="383"/>
        <v>-2.232000000000001E-2</v>
      </c>
      <c r="T168">
        <f t="shared" si="383"/>
        <v>-3.1360000000000013E-2</v>
      </c>
      <c r="U168">
        <f t="shared" si="383"/>
        <v>-4.1200000000000014E-2</v>
      </c>
      <c r="V168">
        <f t="shared" si="383"/>
        <v>-5.1840000000000011E-2</v>
      </c>
      <c r="W168">
        <f t="shared" si="366"/>
        <v>-3.0419999999999999E-2</v>
      </c>
      <c r="X168">
        <f t="shared" si="384"/>
        <v>-8.3000000000000053E-3</v>
      </c>
      <c r="Y168">
        <f t="shared" si="384"/>
        <v>-1.7600000000000015E-2</v>
      </c>
      <c r="Z168">
        <f t="shared" si="384"/>
        <v>-2.7900000000000012E-2</v>
      </c>
      <c r="AA168">
        <f t="shared" si="384"/>
        <v>-3.9199999999999999E-2</v>
      </c>
      <c r="AB168">
        <f t="shared" si="384"/>
        <v>-5.1500000000000018E-2</v>
      </c>
      <c r="AC168">
        <f t="shared" si="384"/>
        <v>-6.480000000000001E-2</v>
      </c>
      <c r="AD168">
        <f t="shared" si="367"/>
        <v>-2.7560519999999998E-2</v>
      </c>
      <c r="AE168">
        <f t="shared" si="385"/>
        <v>-7.519800000000007E-3</v>
      </c>
      <c r="AF168">
        <f t="shared" si="385"/>
        <v>-1.5945600000000011E-2</v>
      </c>
      <c r="AG168">
        <f t="shared" si="385"/>
        <v>-2.5277400000000012E-2</v>
      </c>
      <c r="AH168">
        <f t="shared" si="385"/>
        <v>-3.5515200000000004E-2</v>
      </c>
      <c r="AI168">
        <f t="shared" si="385"/>
        <v>-4.6659000000000013E-2</v>
      </c>
      <c r="AJ168">
        <f t="shared" si="385"/>
        <v>-5.8708800000000012E-2</v>
      </c>
      <c r="AK168">
        <f t="shared" si="368"/>
        <v>-3.1028400000000001E-2</v>
      </c>
      <c r="AL168">
        <f t="shared" si="386"/>
        <v>-8.4660000000000048E-3</v>
      </c>
      <c r="AM168">
        <f t="shared" si="386"/>
        <v>-1.7952000000000013E-2</v>
      </c>
      <c r="AN168">
        <f t="shared" si="386"/>
        <v>-2.8458000000000008E-2</v>
      </c>
      <c r="AO168">
        <f t="shared" si="386"/>
        <v>-3.9984000000000006E-2</v>
      </c>
      <c r="AP168">
        <f t="shared" si="386"/>
        <v>-5.2530000000000021E-2</v>
      </c>
      <c r="AQ168">
        <f t="shared" si="386"/>
        <v>-6.6096000000000016E-2</v>
      </c>
      <c r="AR168">
        <f t="shared" si="369"/>
        <v>-4.6299239999999992E-2</v>
      </c>
      <c r="AS168">
        <f t="shared" si="387"/>
        <v>-1.2632600000000015E-2</v>
      </c>
      <c r="AT168">
        <f t="shared" si="387"/>
        <v>-2.6787200000000025E-2</v>
      </c>
      <c r="AU168">
        <f t="shared" si="387"/>
        <v>-4.246380000000001E-2</v>
      </c>
      <c r="AV168">
        <f t="shared" si="387"/>
        <v>-5.9662400000000004E-2</v>
      </c>
      <c r="AW168">
        <f t="shared" si="387"/>
        <v>-7.8383000000000022E-2</v>
      </c>
      <c r="AX168">
        <f t="shared" si="387"/>
        <v>-9.8625600000000008E-2</v>
      </c>
      <c r="AY168">
        <f t="shared" si="370"/>
        <v>-1.27764E-2</v>
      </c>
      <c r="AZ168">
        <f t="shared" si="371"/>
        <v>-3.486000000000003E-3</v>
      </c>
      <c r="BA168">
        <f t="shared" si="371"/>
        <v>-7.3920000000000062E-3</v>
      </c>
      <c r="BB168">
        <f t="shared" si="371"/>
        <v>-1.1718000000000003E-2</v>
      </c>
      <c r="BC168">
        <f t="shared" si="371"/>
        <v>-1.6464000000000003E-2</v>
      </c>
      <c r="BD168">
        <f t="shared" si="371"/>
        <v>-2.163000000000001E-2</v>
      </c>
      <c r="BE168">
        <f t="shared" si="371"/>
        <v>-2.7216000000000004E-2</v>
      </c>
      <c r="BF168">
        <f t="shared" si="372"/>
        <v>-1.521E-2</v>
      </c>
      <c r="BG168">
        <f t="shared" si="373"/>
        <v>-4.1500000000000026E-3</v>
      </c>
      <c r="BH168">
        <f t="shared" si="373"/>
        <v>-8.8000000000000075E-3</v>
      </c>
      <c r="BI168">
        <f t="shared" si="373"/>
        <v>-1.3950000000000006E-2</v>
      </c>
      <c r="BJ168">
        <f t="shared" si="373"/>
        <v>-1.9599999999999999E-2</v>
      </c>
      <c r="BK168">
        <f t="shared" si="373"/>
        <v>-2.5750000000000009E-2</v>
      </c>
      <c r="BL168">
        <f t="shared" si="373"/>
        <v>-3.2400000000000005E-2</v>
      </c>
      <c r="BM168">
        <f t="shared" si="374"/>
        <v>-4.8063599999999998E-2</v>
      </c>
      <c r="BN168">
        <f t="shared" si="375"/>
        <v>-1.3114000000000015E-2</v>
      </c>
      <c r="BO168">
        <f t="shared" si="375"/>
        <v>-2.7808000000000013E-2</v>
      </c>
      <c r="BP168">
        <f t="shared" si="375"/>
        <v>-4.408200000000001E-2</v>
      </c>
      <c r="BQ168">
        <f t="shared" si="375"/>
        <v>-6.1936000000000005E-2</v>
      </c>
      <c r="BR168">
        <f t="shared" si="375"/>
        <v>-8.137000000000004E-2</v>
      </c>
      <c r="BS168">
        <f t="shared" si="375"/>
        <v>-0.10238400000000002</v>
      </c>
    </row>
    <row r="169" spans="2:71" x14ac:dyDescent="0.35">
      <c r="B169" t="s">
        <v>180</v>
      </c>
      <c r="C169" s="19">
        <f>regions!B147</f>
        <v>10637346</v>
      </c>
      <c r="D169" s="19">
        <f>regions!C147</f>
        <v>197164604092.98117</v>
      </c>
      <c r="E169" s="8">
        <f>regions!D147</f>
        <v>18535.131234142536</v>
      </c>
      <c r="F169" s="1">
        <f>regions!Z147</f>
        <v>15.1</v>
      </c>
      <c r="G169" s="8"/>
      <c r="H169" s="8"/>
      <c r="I169">
        <f t="shared" si="364"/>
        <v>0</v>
      </c>
      <c r="J169">
        <f t="shared" si="382"/>
        <v>0</v>
      </c>
      <c r="K169">
        <f t="shared" si="382"/>
        <v>0</v>
      </c>
      <c r="L169">
        <f t="shared" si="382"/>
        <v>0</v>
      </c>
      <c r="M169">
        <f t="shared" si="382"/>
        <v>0</v>
      </c>
      <c r="N169">
        <f t="shared" si="382"/>
        <v>0</v>
      </c>
      <c r="O169">
        <f t="shared" si="382"/>
        <v>0</v>
      </c>
      <c r="P169">
        <f t="shared" si="365"/>
        <v>-9.1204000000000007E-2</v>
      </c>
      <c r="Q169">
        <f t="shared" si="383"/>
        <v>-1.2480000000000019E-2</v>
      </c>
      <c r="R169">
        <f t="shared" si="383"/>
        <v>-2.5760000000000005E-2</v>
      </c>
      <c r="S169">
        <f t="shared" si="383"/>
        <v>-3.9840000000000014E-2</v>
      </c>
      <c r="T169">
        <f t="shared" si="383"/>
        <v>-5.4720000000000019E-2</v>
      </c>
      <c r="U169">
        <f t="shared" si="383"/>
        <v>-7.0400000000000018E-2</v>
      </c>
      <c r="V169">
        <f t="shared" si="383"/>
        <v>-8.6880000000000013E-2</v>
      </c>
      <c r="W169">
        <f t="shared" si="366"/>
        <v>-0.114005</v>
      </c>
      <c r="X169">
        <f t="shared" si="384"/>
        <v>-1.5600000000000031E-2</v>
      </c>
      <c r="Y169">
        <f t="shared" si="384"/>
        <v>-3.2200000000000034E-2</v>
      </c>
      <c r="Z169">
        <f t="shared" si="384"/>
        <v>-4.9800000000000039E-2</v>
      </c>
      <c r="AA169">
        <f t="shared" si="384"/>
        <v>-6.8400000000000044E-2</v>
      </c>
      <c r="AB169">
        <f t="shared" si="384"/>
        <v>-8.8000000000000023E-2</v>
      </c>
      <c r="AC169">
        <f t="shared" si="384"/>
        <v>-0.10860000000000003</v>
      </c>
      <c r="AD169">
        <f t="shared" si="367"/>
        <v>-0.10328853</v>
      </c>
      <c r="AE169">
        <f t="shared" si="385"/>
        <v>-1.413360000000001E-2</v>
      </c>
      <c r="AF169">
        <f t="shared" si="385"/>
        <v>-2.9173199999999996E-2</v>
      </c>
      <c r="AG169">
        <f t="shared" si="385"/>
        <v>-4.5118800000000028E-2</v>
      </c>
      <c r="AH169">
        <f t="shared" si="385"/>
        <v>-6.1970400000000023E-2</v>
      </c>
      <c r="AI169">
        <f t="shared" si="385"/>
        <v>-7.9728000000000007E-2</v>
      </c>
      <c r="AJ169">
        <f t="shared" si="385"/>
        <v>-9.839160000000001E-2</v>
      </c>
      <c r="AK169">
        <f t="shared" si="368"/>
        <v>-0.1162851</v>
      </c>
      <c r="AL169">
        <f t="shared" si="386"/>
        <v>-1.5912000000000037E-2</v>
      </c>
      <c r="AM169">
        <f t="shared" si="386"/>
        <v>-3.2844000000000012E-2</v>
      </c>
      <c r="AN169">
        <f t="shared" si="386"/>
        <v>-5.0796000000000036E-2</v>
      </c>
      <c r="AO169">
        <f t="shared" si="386"/>
        <v>-6.9768000000000052E-2</v>
      </c>
      <c r="AP169">
        <f t="shared" si="386"/>
        <v>-8.9760000000000034E-2</v>
      </c>
      <c r="AQ169">
        <f t="shared" si="386"/>
        <v>-0.11077200000000004</v>
      </c>
      <c r="AR169">
        <f t="shared" si="369"/>
        <v>-0.17351560999999999</v>
      </c>
      <c r="AS169">
        <f t="shared" si="387"/>
        <v>-2.374320000000002E-2</v>
      </c>
      <c r="AT169">
        <f t="shared" si="387"/>
        <v>-4.9008400000000008E-2</v>
      </c>
      <c r="AU169">
        <f t="shared" si="387"/>
        <v>-7.5795600000000046E-2</v>
      </c>
      <c r="AV169">
        <f t="shared" si="387"/>
        <v>-0.10410480000000005</v>
      </c>
      <c r="AW169">
        <f t="shared" si="387"/>
        <v>-0.13393600000000006</v>
      </c>
      <c r="AX169">
        <f t="shared" si="387"/>
        <v>-0.16528920000000002</v>
      </c>
      <c r="AY169">
        <f t="shared" si="370"/>
        <v>-4.7882099999999997E-2</v>
      </c>
      <c r="AZ169">
        <f t="shared" si="371"/>
        <v>-6.5520000000000161E-3</v>
      </c>
      <c r="BA169">
        <f t="shared" si="371"/>
        <v>-1.3524000000000008E-2</v>
      </c>
      <c r="BB169">
        <f t="shared" si="371"/>
        <v>-2.0916000000000018E-2</v>
      </c>
      <c r="BC169">
        <f t="shared" si="371"/>
        <v>-2.8728000000000017E-2</v>
      </c>
      <c r="BD169">
        <f t="shared" si="371"/>
        <v>-3.6960000000000021E-2</v>
      </c>
      <c r="BE169">
        <f t="shared" si="371"/>
        <v>-4.5612000000000014E-2</v>
      </c>
      <c r="BF169">
        <f t="shared" si="372"/>
        <v>-5.7002499999999998E-2</v>
      </c>
      <c r="BG169">
        <f t="shared" si="373"/>
        <v>-7.8000000000000153E-3</v>
      </c>
      <c r="BH169">
        <f t="shared" si="373"/>
        <v>-1.6100000000000017E-2</v>
      </c>
      <c r="BI169">
        <f t="shared" si="373"/>
        <v>-2.4900000000000019E-2</v>
      </c>
      <c r="BJ169">
        <f t="shared" si="373"/>
        <v>-3.4200000000000022E-2</v>
      </c>
      <c r="BK169">
        <f t="shared" si="373"/>
        <v>-4.4000000000000011E-2</v>
      </c>
      <c r="BL169">
        <f t="shared" si="373"/>
        <v>-5.4300000000000015E-2</v>
      </c>
      <c r="BM169">
        <f t="shared" si="374"/>
        <v>-0.18012790000000001</v>
      </c>
      <c r="BN169">
        <f t="shared" si="375"/>
        <v>-2.4648000000000031E-2</v>
      </c>
      <c r="BO169">
        <f t="shared" si="375"/>
        <v>-5.0876000000000005E-2</v>
      </c>
      <c r="BP169">
        <f t="shared" si="375"/>
        <v>-7.8684000000000032E-2</v>
      </c>
      <c r="BQ169">
        <f t="shared" si="375"/>
        <v>-0.10807200000000006</v>
      </c>
      <c r="BR169">
        <f t="shared" si="375"/>
        <v>-0.13904000000000005</v>
      </c>
      <c r="BS169">
        <f t="shared" si="375"/>
        <v>-0.17158800000000002</v>
      </c>
    </row>
    <row r="170" spans="2:71" x14ac:dyDescent="0.35">
      <c r="B170" t="s">
        <v>232</v>
      </c>
      <c r="C170" s="19">
        <f>regions!B148</f>
        <v>3721208</v>
      </c>
      <c r="D170" s="19">
        <f>regions!C148</f>
        <v>77337254437.921829</v>
      </c>
      <c r="E170" s="8">
        <f>regions!D148</f>
        <v>20782.83569150712</v>
      </c>
      <c r="F170" s="1">
        <f>regions!Z148</f>
        <v>25.2</v>
      </c>
      <c r="G170" s="8"/>
      <c r="H170" s="8"/>
      <c r="I170">
        <f t="shared" si="364"/>
        <v>0</v>
      </c>
      <c r="J170">
        <f t="shared" si="382"/>
        <v>0</v>
      </c>
      <c r="K170">
        <f t="shared" si="382"/>
        <v>0</v>
      </c>
      <c r="L170">
        <f t="shared" si="382"/>
        <v>0</v>
      </c>
      <c r="M170">
        <f t="shared" si="382"/>
        <v>0</v>
      </c>
      <c r="N170">
        <f t="shared" si="382"/>
        <v>0</v>
      </c>
      <c r="O170">
        <f t="shared" si="382"/>
        <v>0</v>
      </c>
      <c r="P170">
        <f t="shared" si="365"/>
        <v>-0.25401600000000002</v>
      </c>
      <c r="Q170">
        <f t="shared" si="383"/>
        <v>-2.0559999999999967E-2</v>
      </c>
      <c r="R170">
        <f t="shared" si="383"/>
        <v>-4.1919999999999957E-2</v>
      </c>
      <c r="S170">
        <f t="shared" si="383"/>
        <v>-6.4080000000000026E-2</v>
      </c>
      <c r="T170">
        <f t="shared" si="383"/>
        <v>-8.7040000000000006E-2</v>
      </c>
      <c r="U170">
        <f t="shared" si="383"/>
        <v>-0.11080000000000001</v>
      </c>
      <c r="V170">
        <f t="shared" si="383"/>
        <v>-0.13535999999999998</v>
      </c>
      <c r="W170">
        <f t="shared" si="366"/>
        <v>-0.31751999999999997</v>
      </c>
      <c r="X170">
        <f t="shared" si="384"/>
        <v>-2.5700000000000001E-2</v>
      </c>
      <c r="Y170">
        <f t="shared" si="384"/>
        <v>-5.2400000000000002E-2</v>
      </c>
      <c r="Z170">
        <f t="shared" si="384"/>
        <v>-8.010000000000006E-2</v>
      </c>
      <c r="AA170">
        <f t="shared" si="384"/>
        <v>-0.10880000000000001</v>
      </c>
      <c r="AB170">
        <f t="shared" si="384"/>
        <v>-0.13850000000000001</v>
      </c>
      <c r="AC170">
        <f t="shared" si="384"/>
        <v>-0.16920000000000002</v>
      </c>
      <c r="AD170">
        <f t="shared" si="367"/>
        <v>-0.28767312</v>
      </c>
      <c r="AE170">
        <f t="shared" si="385"/>
        <v>-2.3284199999999977E-2</v>
      </c>
      <c r="AF170">
        <f t="shared" si="385"/>
        <v>-4.7474399999999972E-2</v>
      </c>
      <c r="AG170">
        <f t="shared" si="385"/>
        <v>-7.2570599999999985E-2</v>
      </c>
      <c r="AH170">
        <f t="shared" si="385"/>
        <v>-9.8572800000000016E-2</v>
      </c>
      <c r="AI170">
        <f t="shared" si="385"/>
        <v>-0.12548100000000001</v>
      </c>
      <c r="AJ170">
        <f t="shared" si="385"/>
        <v>-0.15329519999999996</v>
      </c>
      <c r="AK170">
        <f t="shared" si="368"/>
        <v>-0.3238704</v>
      </c>
      <c r="AL170">
        <f t="shared" si="386"/>
        <v>-2.6214000000000015E-2</v>
      </c>
      <c r="AM170">
        <f t="shared" si="386"/>
        <v>-5.3447999999999996E-2</v>
      </c>
      <c r="AN170">
        <f t="shared" si="386"/>
        <v>-8.1702000000000052E-2</v>
      </c>
      <c r="AO170">
        <f t="shared" si="386"/>
        <v>-0.11097600000000002</v>
      </c>
      <c r="AP170">
        <f t="shared" si="386"/>
        <v>-0.14127000000000001</v>
      </c>
      <c r="AQ170">
        <f t="shared" si="386"/>
        <v>-0.17258400000000002</v>
      </c>
      <c r="AR170">
        <f t="shared" si="369"/>
        <v>-0.48326543999999994</v>
      </c>
      <c r="AS170">
        <f t="shared" si="387"/>
        <v>-3.9115400000000022E-2</v>
      </c>
      <c r="AT170">
        <f t="shared" si="387"/>
        <v>-7.9752799999999957E-2</v>
      </c>
      <c r="AU170">
        <f t="shared" si="387"/>
        <v>-0.12191220000000003</v>
      </c>
      <c r="AV170">
        <f t="shared" si="387"/>
        <v>-0.16559360000000001</v>
      </c>
      <c r="AW170">
        <f t="shared" si="387"/>
        <v>-0.21079700000000001</v>
      </c>
      <c r="AX170">
        <f t="shared" si="387"/>
        <v>-0.25752239999999993</v>
      </c>
      <c r="AY170">
        <f t="shared" si="370"/>
        <v>-0.13335839999999999</v>
      </c>
      <c r="AZ170">
        <f t="shared" si="371"/>
        <v>-1.0793999999999998E-2</v>
      </c>
      <c r="BA170">
        <f t="shared" si="371"/>
        <v>-2.2008E-2</v>
      </c>
      <c r="BB170">
        <f t="shared" si="371"/>
        <v>-3.3642000000000033E-2</v>
      </c>
      <c r="BC170">
        <f t="shared" si="371"/>
        <v>-4.5696000000000014E-2</v>
      </c>
      <c r="BD170">
        <f t="shared" si="371"/>
        <v>-5.8169999999999999E-2</v>
      </c>
      <c r="BE170">
        <f t="shared" si="371"/>
        <v>-7.1064000000000016E-2</v>
      </c>
      <c r="BF170">
        <f t="shared" si="372"/>
        <v>-0.15875999999999998</v>
      </c>
      <c r="BG170">
        <f t="shared" si="373"/>
        <v>-1.285E-2</v>
      </c>
      <c r="BH170">
        <f t="shared" si="373"/>
        <v>-2.6200000000000001E-2</v>
      </c>
      <c r="BI170">
        <f t="shared" si="373"/>
        <v>-4.005000000000003E-2</v>
      </c>
      <c r="BJ170">
        <f t="shared" si="373"/>
        <v>-5.4400000000000004E-2</v>
      </c>
      <c r="BK170">
        <f t="shared" si="373"/>
        <v>-6.9250000000000006E-2</v>
      </c>
      <c r="BL170">
        <f t="shared" si="373"/>
        <v>-8.4600000000000009E-2</v>
      </c>
      <c r="BM170">
        <f t="shared" si="374"/>
        <v>-0.50168159999999995</v>
      </c>
      <c r="BN170">
        <f t="shared" si="375"/>
        <v>-4.0606000000000031E-2</v>
      </c>
      <c r="BO170">
        <f t="shared" si="375"/>
        <v>-8.2791999999999977E-2</v>
      </c>
      <c r="BP170">
        <f t="shared" si="375"/>
        <v>-0.12655800000000006</v>
      </c>
      <c r="BQ170">
        <f t="shared" si="375"/>
        <v>-0.17190400000000006</v>
      </c>
      <c r="BR170">
        <f t="shared" si="375"/>
        <v>-0.21883000000000008</v>
      </c>
      <c r="BS170">
        <f t="shared" si="375"/>
        <v>-0.26733600000000002</v>
      </c>
    </row>
    <row r="171" spans="2:71" x14ac:dyDescent="0.35">
      <c r="B171" t="s">
        <v>402</v>
      </c>
      <c r="C171" s="19">
        <f>regions!B149</f>
        <v>1749713</v>
      </c>
      <c r="D171" s="19">
        <f>regions!C149</f>
        <v>101932972130.43025</v>
      </c>
      <c r="E171" s="8">
        <f>regions!D149</f>
        <v>58256.966788513462</v>
      </c>
      <c r="F171" s="1">
        <f>regions!Z149</f>
        <v>27.2</v>
      </c>
      <c r="G171" s="8"/>
      <c r="H171" s="8"/>
      <c r="I171">
        <f t="shared" si="364"/>
        <v>0</v>
      </c>
      <c r="J171">
        <f t="shared" si="382"/>
        <v>0</v>
      </c>
      <c r="K171">
        <f t="shared" si="382"/>
        <v>0</v>
      </c>
      <c r="L171">
        <f t="shared" si="382"/>
        <v>0</v>
      </c>
      <c r="M171">
        <f t="shared" si="382"/>
        <v>0</v>
      </c>
      <c r="N171">
        <f t="shared" si="382"/>
        <v>0</v>
      </c>
      <c r="O171">
        <f t="shared" si="382"/>
        <v>0</v>
      </c>
      <c r="P171">
        <f t="shared" si="365"/>
        <v>-0.29593599999999998</v>
      </c>
      <c r="Q171">
        <f t="shared" si="383"/>
        <v>-2.2160000000000069E-2</v>
      </c>
      <c r="R171">
        <f t="shared" si="383"/>
        <v>-4.5120000000000049E-2</v>
      </c>
      <c r="S171">
        <f t="shared" si="383"/>
        <v>-6.8880000000000052E-2</v>
      </c>
      <c r="T171">
        <f t="shared" si="383"/>
        <v>-9.3440000000000023E-2</v>
      </c>
      <c r="U171">
        <f t="shared" si="383"/>
        <v>-0.11880000000000013</v>
      </c>
      <c r="V171">
        <f t="shared" si="383"/>
        <v>-0.14496000000000014</v>
      </c>
      <c r="W171">
        <f t="shared" si="366"/>
        <v>-0.36991999999999997</v>
      </c>
      <c r="X171">
        <f t="shared" si="384"/>
        <v>-2.7700000000000058E-2</v>
      </c>
      <c r="Y171">
        <f t="shared" si="384"/>
        <v>-5.6400000000000006E-2</v>
      </c>
      <c r="Z171">
        <f t="shared" si="384"/>
        <v>-8.610000000000001E-2</v>
      </c>
      <c r="AA171">
        <f t="shared" si="384"/>
        <v>-0.11680000000000001</v>
      </c>
      <c r="AB171">
        <f t="shared" si="384"/>
        <v>-0.14850000000000013</v>
      </c>
      <c r="AC171">
        <f t="shared" si="384"/>
        <v>-0.18120000000000019</v>
      </c>
      <c r="AD171">
        <f t="shared" si="367"/>
        <v>-0.33514751999999998</v>
      </c>
      <c r="AE171">
        <f t="shared" si="385"/>
        <v>-2.5096200000000013E-2</v>
      </c>
      <c r="AF171">
        <f t="shared" si="385"/>
        <v>-5.1098400000000044E-2</v>
      </c>
      <c r="AG171">
        <f t="shared" si="385"/>
        <v>-7.8006600000000037E-2</v>
      </c>
      <c r="AH171">
        <f t="shared" si="385"/>
        <v>-0.10582079999999999</v>
      </c>
      <c r="AI171">
        <f t="shared" si="385"/>
        <v>-0.13454100000000008</v>
      </c>
      <c r="AJ171">
        <f t="shared" si="385"/>
        <v>-0.16416720000000012</v>
      </c>
      <c r="AK171">
        <f t="shared" si="368"/>
        <v>-0.3773184</v>
      </c>
      <c r="AL171">
        <f t="shared" si="386"/>
        <v>-2.8254000000000057E-2</v>
      </c>
      <c r="AM171">
        <f t="shared" si="386"/>
        <v>-5.7528000000000024E-2</v>
      </c>
      <c r="AN171">
        <f t="shared" si="386"/>
        <v>-8.7822000000000011E-2</v>
      </c>
      <c r="AO171">
        <f t="shared" si="386"/>
        <v>-0.11913600000000002</v>
      </c>
      <c r="AP171">
        <f t="shared" si="386"/>
        <v>-0.15147000000000016</v>
      </c>
      <c r="AQ171">
        <f t="shared" si="386"/>
        <v>-0.18482400000000015</v>
      </c>
      <c r="AR171">
        <f t="shared" si="369"/>
        <v>-0.56301823999999989</v>
      </c>
      <c r="AS171">
        <f t="shared" si="387"/>
        <v>-4.2159400000000069E-2</v>
      </c>
      <c r="AT171">
        <f t="shared" si="387"/>
        <v>-8.584080000000005E-2</v>
      </c>
      <c r="AU171">
        <f t="shared" si="387"/>
        <v>-0.13104420000000006</v>
      </c>
      <c r="AV171">
        <f t="shared" si="387"/>
        <v>-0.17776959999999997</v>
      </c>
      <c r="AW171">
        <f t="shared" si="387"/>
        <v>-0.22601700000000013</v>
      </c>
      <c r="AX171">
        <f t="shared" si="387"/>
        <v>-0.27578640000000021</v>
      </c>
      <c r="AY171">
        <f t="shared" si="370"/>
        <v>-0.15536639999999999</v>
      </c>
      <c r="AZ171">
        <f t="shared" si="371"/>
        <v>-1.1634000000000033E-2</v>
      </c>
      <c r="BA171">
        <f t="shared" si="371"/>
        <v>-2.3688000000000015E-2</v>
      </c>
      <c r="BB171">
        <f t="shared" si="371"/>
        <v>-3.6162E-2</v>
      </c>
      <c r="BC171">
        <f t="shared" si="371"/>
        <v>-4.9056000000000016E-2</v>
      </c>
      <c r="BD171">
        <f t="shared" si="371"/>
        <v>-6.2370000000000064E-2</v>
      </c>
      <c r="BE171">
        <f t="shared" si="371"/>
        <v>-7.610400000000006E-2</v>
      </c>
      <c r="BF171">
        <f t="shared" si="372"/>
        <v>-0.18495999999999999</v>
      </c>
      <c r="BG171">
        <f t="shared" ref="BG171:BL186" si="388">$D$21*($F171+BG$25)^2-$BF171</f>
        <v>-1.3850000000000029E-2</v>
      </c>
      <c r="BH171">
        <f t="shared" si="388"/>
        <v>-2.8200000000000003E-2</v>
      </c>
      <c r="BI171">
        <f t="shared" si="388"/>
        <v>-4.3050000000000005E-2</v>
      </c>
      <c r="BJ171">
        <f t="shared" si="388"/>
        <v>-5.8400000000000007E-2</v>
      </c>
      <c r="BK171">
        <f t="shared" si="388"/>
        <v>-7.4250000000000066E-2</v>
      </c>
      <c r="BL171">
        <f t="shared" si="388"/>
        <v>-9.0600000000000097E-2</v>
      </c>
      <c r="BM171">
        <f t="shared" si="374"/>
        <v>-0.58447359999999993</v>
      </c>
      <c r="BN171">
        <f t="shared" ref="BN171:BS186" si="389">$D$23*($F171+BN$25)^2-$BM171</f>
        <v>-4.3766000000000083E-2</v>
      </c>
      <c r="BO171">
        <f t="shared" si="389"/>
        <v>-8.911200000000008E-2</v>
      </c>
      <c r="BP171">
        <f t="shared" si="389"/>
        <v>-0.1360380000000001</v>
      </c>
      <c r="BQ171">
        <f t="shared" si="389"/>
        <v>-0.18454400000000004</v>
      </c>
      <c r="BR171">
        <f t="shared" si="389"/>
        <v>-0.23463000000000023</v>
      </c>
      <c r="BS171">
        <f t="shared" si="389"/>
        <v>-0.28629600000000033</v>
      </c>
    </row>
    <row r="172" spans="2:71" x14ac:dyDescent="0.35">
      <c r="B172" t="s">
        <v>181</v>
      </c>
      <c r="C172" s="19">
        <f>regions!B150</f>
        <v>21438001</v>
      </c>
      <c r="D172" s="19">
        <f>regions!C150</f>
        <v>114088972368.88327</v>
      </c>
      <c r="E172" s="8">
        <f>regions!D150</f>
        <v>5321.8101990424975</v>
      </c>
      <c r="F172" s="1">
        <f>regions!Z150</f>
        <v>8.8000000000000007</v>
      </c>
      <c r="G172" s="8"/>
      <c r="H172" s="8"/>
      <c r="I172">
        <f t="shared" si="364"/>
        <v>0</v>
      </c>
      <c r="J172">
        <f t="shared" si="382"/>
        <v>0</v>
      </c>
      <c r="K172">
        <f t="shared" si="382"/>
        <v>0</v>
      </c>
      <c r="L172">
        <f t="shared" si="382"/>
        <v>0</v>
      </c>
      <c r="M172">
        <f t="shared" si="382"/>
        <v>0</v>
      </c>
      <c r="N172">
        <f t="shared" si="382"/>
        <v>0</v>
      </c>
      <c r="O172">
        <f t="shared" si="382"/>
        <v>0</v>
      </c>
      <c r="P172">
        <f t="shared" si="365"/>
        <v>-3.0976000000000007E-2</v>
      </c>
      <c r="Q172">
        <f t="shared" si="383"/>
        <v>-7.4400000000000056E-3</v>
      </c>
      <c r="R172">
        <f t="shared" si="383"/>
        <v>-1.5680000000000003E-2</v>
      </c>
      <c r="S172">
        <f t="shared" si="383"/>
        <v>-2.4720000000000002E-2</v>
      </c>
      <c r="T172">
        <f t="shared" si="383"/>
        <v>-3.4560000000000007E-2</v>
      </c>
      <c r="U172">
        <f t="shared" si="383"/>
        <v>-4.5200000000000004E-2</v>
      </c>
      <c r="V172">
        <f t="shared" si="383"/>
        <v>-5.664000000000001E-2</v>
      </c>
      <c r="W172">
        <f t="shared" si="366"/>
        <v>-3.8720000000000004E-2</v>
      </c>
      <c r="X172">
        <f t="shared" si="384"/>
        <v>-9.3000000000000096E-3</v>
      </c>
      <c r="Y172">
        <f t="shared" si="384"/>
        <v>-1.9600000000000006E-2</v>
      </c>
      <c r="Z172">
        <f t="shared" si="384"/>
        <v>-3.0899999999999997E-2</v>
      </c>
      <c r="AA172">
        <f t="shared" si="384"/>
        <v>-4.3200000000000016E-2</v>
      </c>
      <c r="AB172">
        <f t="shared" si="384"/>
        <v>-5.6500000000000009E-2</v>
      </c>
      <c r="AC172">
        <f t="shared" si="384"/>
        <v>-7.0800000000000002E-2</v>
      </c>
      <c r="AD172">
        <f t="shared" si="367"/>
        <v>-3.5080320000000005E-2</v>
      </c>
      <c r="AE172">
        <f t="shared" si="385"/>
        <v>-8.4258000000000041E-3</v>
      </c>
      <c r="AF172">
        <f t="shared" si="385"/>
        <v>-1.7757600000000005E-2</v>
      </c>
      <c r="AG172">
        <f t="shared" si="385"/>
        <v>-2.7995399999999997E-2</v>
      </c>
      <c r="AH172">
        <f t="shared" si="385"/>
        <v>-3.9139200000000006E-2</v>
      </c>
      <c r="AI172">
        <f t="shared" si="385"/>
        <v>-5.1189000000000005E-2</v>
      </c>
      <c r="AJ172">
        <f t="shared" si="385"/>
        <v>-6.4144800000000002E-2</v>
      </c>
      <c r="AK172">
        <f t="shared" si="368"/>
        <v>-3.9494400000000006E-2</v>
      </c>
      <c r="AL172">
        <f t="shared" si="386"/>
        <v>-9.4860000000000083E-3</v>
      </c>
      <c r="AM172">
        <f t="shared" si="386"/>
        <v>-1.9992000000000003E-2</v>
      </c>
      <c r="AN172">
        <f t="shared" si="386"/>
        <v>-3.1517999999999997E-2</v>
      </c>
      <c r="AO172">
        <f t="shared" si="386"/>
        <v>-4.4064000000000013E-2</v>
      </c>
      <c r="AP172">
        <f t="shared" si="386"/>
        <v>-5.7630000000000008E-2</v>
      </c>
      <c r="AQ172">
        <f t="shared" si="386"/>
        <v>-7.2216000000000002E-2</v>
      </c>
      <c r="AR172">
        <f t="shared" si="369"/>
        <v>-5.8931840000000006E-2</v>
      </c>
      <c r="AS172">
        <f t="shared" si="387"/>
        <v>-1.415460000000001E-2</v>
      </c>
      <c r="AT172">
        <f t="shared" si="387"/>
        <v>-2.9831199999999995E-2</v>
      </c>
      <c r="AU172">
        <f t="shared" si="387"/>
        <v>-4.702979999999999E-2</v>
      </c>
      <c r="AV172">
        <f t="shared" si="387"/>
        <v>-6.5750400000000014E-2</v>
      </c>
      <c r="AW172">
        <f t="shared" si="387"/>
        <v>-8.5992999999999986E-2</v>
      </c>
      <c r="AX172">
        <f t="shared" si="387"/>
        <v>-0.10775759999999998</v>
      </c>
      <c r="AY172">
        <f t="shared" si="370"/>
        <v>-1.6262400000000003E-2</v>
      </c>
      <c r="AZ172">
        <f t="shared" si="371"/>
        <v>-3.9060000000000032E-3</v>
      </c>
      <c r="BA172">
        <f t="shared" si="371"/>
        <v>-8.2319999999999997E-3</v>
      </c>
      <c r="BB172">
        <f t="shared" si="371"/>
        <v>-1.2978E-2</v>
      </c>
      <c r="BC172">
        <f t="shared" si="371"/>
        <v>-1.8144000000000007E-2</v>
      </c>
      <c r="BD172">
        <f t="shared" si="371"/>
        <v>-2.3730000000000001E-2</v>
      </c>
      <c r="BE172">
        <f t="shared" si="371"/>
        <v>-2.9736000000000005E-2</v>
      </c>
      <c r="BF172">
        <f t="shared" si="372"/>
        <v>-1.9360000000000002E-2</v>
      </c>
      <c r="BG172">
        <f t="shared" si="388"/>
        <v>-4.6500000000000048E-3</v>
      </c>
      <c r="BH172">
        <f t="shared" si="388"/>
        <v>-9.8000000000000032E-3</v>
      </c>
      <c r="BI172">
        <f t="shared" si="388"/>
        <v>-1.5449999999999998E-2</v>
      </c>
      <c r="BJ172">
        <f t="shared" si="388"/>
        <v>-2.1600000000000008E-2</v>
      </c>
      <c r="BK172">
        <f t="shared" si="388"/>
        <v>-2.8250000000000004E-2</v>
      </c>
      <c r="BL172">
        <f t="shared" si="388"/>
        <v>-3.5400000000000001E-2</v>
      </c>
      <c r="BM172">
        <f t="shared" si="374"/>
        <v>-6.1177600000000013E-2</v>
      </c>
      <c r="BN172">
        <f t="shared" si="389"/>
        <v>-1.4693999999999999E-2</v>
      </c>
      <c r="BO172">
        <f t="shared" si="389"/>
        <v>-3.0967999999999996E-2</v>
      </c>
      <c r="BP172">
        <f t="shared" si="389"/>
        <v>-4.882199999999999E-2</v>
      </c>
      <c r="BQ172">
        <f t="shared" si="389"/>
        <v>-6.8256000000000025E-2</v>
      </c>
      <c r="BR172">
        <f t="shared" si="389"/>
        <v>-8.9270000000000002E-2</v>
      </c>
      <c r="BS172">
        <f t="shared" si="389"/>
        <v>-0.11186400000000001</v>
      </c>
    </row>
    <row r="173" spans="2:71" x14ac:dyDescent="0.35">
      <c r="B173" t="s">
        <v>233</v>
      </c>
      <c r="C173" s="19">
        <f>regions!B151</f>
        <v>142389000</v>
      </c>
      <c r="D173" s="19">
        <f>regions!C151</f>
        <v>909241662711.50525</v>
      </c>
      <c r="E173" s="8">
        <f>regions!D151</f>
        <v>6385.6173068952321</v>
      </c>
      <c r="F173" s="1">
        <f>regions!Z151</f>
        <v>-5.0999999999999996</v>
      </c>
      <c r="G173" s="8"/>
      <c r="H173" s="8"/>
      <c r="I173">
        <f t="shared" si="364"/>
        <v>0</v>
      </c>
      <c r="J173">
        <f t="shared" si="382"/>
        <v>0</v>
      </c>
      <c r="K173">
        <f t="shared" si="382"/>
        <v>0</v>
      </c>
      <c r="L173">
        <f t="shared" si="382"/>
        <v>0</v>
      </c>
      <c r="M173">
        <f t="shared" si="382"/>
        <v>0</v>
      </c>
      <c r="N173">
        <f t="shared" si="382"/>
        <v>0</v>
      </c>
      <c r="O173">
        <f t="shared" si="382"/>
        <v>0</v>
      </c>
      <c r="P173">
        <f t="shared" si="365"/>
        <v>-1.0404E-2</v>
      </c>
      <c r="Q173">
        <f t="shared" si="383"/>
        <v>3.6800000000000001E-3</v>
      </c>
      <c r="R173">
        <f t="shared" si="383"/>
        <v>6.5600000000000007E-3</v>
      </c>
      <c r="S173">
        <f t="shared" si="383"/>
        <v>8.6400000000000001E-3</v>
      </c>
      <c r="T173">
        <f t="shared" si="383"/>
        <v>9.92E-3</v>
      </c>
      <c r="U173">
        <f t="shared" si="383"/>
        <v>1.04E-2</v>
      </c>
      <c r="V173">
        <f t="shared" si="383"/>
        <v>1.008E-2</v>
      </c>
      <c r="W173">
        <f t="shared" si="366"/>
        <v>-1.3004999999999999E-2</v>
      </c>
      <c r="X173">
        <f t="shared" si="384"/>
        <v>4.5999999999999999E-3</v>
      </c>
      <c r="Y173">
        <f t="shared" si="384"/>
        <v>8.2000000000000007E-3</v>
      </c>
      <c r="Z173">
        <f t="shared" si="384"/>
        <v>1.0800000000000001E-2</v>
      </c>
      <c r="AA173">
        <f t="shared" si="384"/>
        <v>1.24E-2</v>
      </c>
      <c r="AB173">
        <f t="shared" si="384"/>
        <v>1.2999999999999999E-2</v>
      </c>
      <c r="AC173">
        <f t="shared" si="384"/>
        <v>1.2599999999999998E-2</v>
      </c>
      <c r="AD173">
        <f t="shared" si="367"/>
        <v>-1.1782529999999999E-2</v>
      </c>
      <c r="AE173">
        <f t="shared" si="385"/>
        <v>4.1675999999999996E-3</v>
      </c>
      <c r="AF173">
        <f t="shared" si="385"/>
        <v>7.4292000000000004E-3</v>
      </c>
      <c r="AG173">
        <f t="shared" si="385"/>
        <v>9.7847999999999997E-3</v>
      </c>
      <c r="AH173">
        <f t="shared" si="385"/>
        <v>1.12344E-2</v>
      </c>
      <c r="AI173">
        <f t="shared" si="385"/>
        <v>1.1778E-2</v>
      </c>
      <c r="AJ173">
        <f t="shared" si="385"/>
        <v>1.14156E-2</v>
      </c>
      <c r="AK173">
        <f t="shared" si="368"/>
        <v>-1.32651E-2</v>
      </c>
      <c r="AL173">
        <f t="shared" si="386"/>
        <v>4.692E-3</v>
      </c>
      <c r="AM173">
        <f t="shared" si="386"/>
        <v>8.3639999999999999E-3</v>
      </c>
      <c r="AN173">
        <f t="shared" si="386"/>
        <v>1.1016000000000001E-2</v>
      </c>
      <c r="AO173">
        <f t="shared" si="386"/>
        <v>1.2648000000000001E-2</v>
      </c>
      <c r="AP173">
        <f t="shared" si="386"/>
        <v>1.3260000000000001E-2</v>
      </c>
      <c r="AQ173">
        <f t="shared" si="386"/>
        <v>1.2852000000000001E-2</v>
      </c>
      <c r="AR173">
        <f t="shared" si="369"/>
        <v>-1.9793609999999996E-2</v>
      </c>
      <c r="AS173">
        <f t="shared" si="387"/>
        <v>7.0011999999999974E-3</v>
      </c>
      <c r="AT173">
        <f t="shared" si="387"/>
        <v>1.2480399999999999E-2</v>
      </c>
      <c r="AU173">
        <f t="shared" si="387"/>
        <v>1.6437599999999997E-2</v>
      </c>
      <c r="AV173">
        <f t="shared" si="387"/>
        <v>1.8872799999999995E-2</v>
      </c>
      <c r="AW173">
        <f t="shared" si="387"/>
        <v>1.9785999999999995E-2</v>
      </c>
      <c r="AX173">
        <f t="shared" si="387"/>
        <v>1.9177199999999995E-2</v>
      </c>
      <c r="AY173">
        <f t="shared" si="370"/>
        <v>-5.4621000000000001E-3</v>
      </c>
      <c r="AZ173">
        <f t="shared" si="371"/>
        <v>1.9320000000000001E-3</v>
      </c>
      <c r="BA173">
        <f t="shared" si="371"/>
        <v>3.4440000000000004E-3</v>
      </c>
      <c r="BB173">
        <f t="shared" si="371"/>
        <v>4.5360000000000001E-3</v>
      </c>
      <c r="BC173">
        <f t="shared" si="371"/>
        <v>5.208E-3</v>
      </c>
      <c r="BD173">
        <f t="shared" si="371"/>
        <v>5.4600000000000004E-3</v>
      </c>
      <c r="BE173">
        <f t="shared" si="371"/>
        <v>5.2919999999999998E-3</v>
      </c>
      <c r="BF173">
        <f t="shared" si="372"/>
        <v>-6.5024999999999996E-3</v>
      </c>
      <c r="BG173">
        <f t="shared" si="388"/>
        <v>2.3E-3</v>
      </c>
      <c r="BH173">
        <f t="shared" si="388"/>
        <v>4.1000000000000003E-3</v>
      </c>
      <c r="BI173">
        <f t="shared" si="388"/>
        <v>5.4000000000000003E-3</v>
      </c>
      <c r="BJ173">
        <f t="shared" si="388"/>
        <v>6.1999999999999998E-3</v>
      </c>
      <c r="BK173">
        <f t="shared" si="388"/>
        <v>6.4999999999999997E-3</v>
      </c>
      <c r="BL173">
        <f t="shared" si="388"/>
        <v>6.2999999999999992E-3</v>
      </c>
      <c r="BM173">
        <f t="shared" si="374"/>
        <v>-2.0547899999999997E-2</v>
      </c>
      <c r="BN173">
        <f t="shared" si="389"/>
        <v>7.2679999999999984E-3</v>
      </c>
      <c r="BO173">
        <f t="shared" si="389"/>
        <v>1.2955999999999999E-2</v>
      </c>
      <c r="BP173">
        <f t="shared" si="389"/>
        <v>1.7063999999999999E-2</v>
      </c>
      <c r="BQ173">
        <f t="shared" si="389"/>
        <v>1.9591999999999998E-2</v>
      </c>
      <c r="BR173">
        <f t="shared" si="389"/>
        <v>2.0539999999999996E-2</v>
      </c>
      <c r="BS173">
        <f t="shared" si="389"/>
        <v>1.9907999999999995E-2</v>
      </c>
    </row>
    <row r="174" spans="2:71" x14ac:dyDescent="0.35">
      <c r="B174" t="s">
        <v>182</v>
      </c>
      <c r="C174" s="19">
        <f>regions!B152</f>
        <v>10836732</v>
      </c>
      <c r="D174" s="19">
        <f>regions!C152</f>
        <v>3785756661.0048919</v>
      </c>
      <c r="E174" s="8">
        <f>regions!D152</f>
        <v>349.34486347036096</v>
      </c>
      <c r="F174" s="1">
        <f>regions!Z152</f>
        <v>17.899999999999999</v>
      </c>
      <c r="G174" s="8"/>
      <c r="H174" s="8"/>
      <c r="I174">
        <f t="shared" si="364"/>
        <v>-0.24952599999999997</v>
      </c>
      <c r="J174">
        <f t="shared" si="382"/>
        <v>-1.3940000000000008E-2</v>
      </c>
      <c r="K174">
        <f t="shared" si="382"/>
        <v>-2.7880000000000016E-2</v>
      </c>
      <c r="L174">
        <f t="shared" si="382"/>
        <v>-4.1819999999999968E-2</v>
      </c>
      <c r="M174">
        <f t="shared" si="382"/>
        <v>-5.5759999999999976E-2</v>
      </c>
      <c r="N174">
        <f t="shared" si="382"/>
        <v>-6.9699999999999984E-2</v>
      </c>
      <c r="O174">
        <f t="shared" si="382"/>
        <v>-8.3639999999999992E-2</v>
      </c>
      <c r="P174">
        <f t="shared" si="365"/>
        <v>-0.128164</v>
      </c>
      <c r="Q174">
        <f t="shared" si="383"/>
        <v>-1.4719999999999983E-2</v>
      </c>
      <c r="R174">
        <f t="shared" si="383"/>
        <v>-3.0239999999999989E-2</v>
      </c>
      <c r="S174">
        <f t="shared" si="383"/>
        <v>-4.655999999999999E-2</v>
      </c>
      <c r="T174">
        <f t="shared" si="383"/>
        <v>-6.3679999999999987E-2</v>
      </c>
      <c r="U174">
        <f t="shared" si="383"/>
        <v>-8.1600000000000006E-2</v>
      </c>
      <c r="V174">
        <f t="shared" si="383"/>
        <v>-0.10031999999999999</v>
      </c>
      <c r="W174">
        <f t="shared" si="366"/>
        <v>-0.16020499999999999</v>
      </c>
      <c r="X174">
        <f t="shared" si="384"/>
        <v>-1.8399999999999972E-2</v>
      </c>
      <c r="Y174">
        <f t="shared" si="384"/>
        <v>-3.7799999999999973E-2</v>
      </c>
      <c r="Z174">
        <f t="shared" si="384"/>
        <v>-5.8200000000000002E-2</v>
      </c>
      <c r="AA174">
        <f t="shared" si="384"/>
        <v>-7.9600000000000004E-2</v>
      </c>
      <c r="AB174">
        <f t="shared" si="384"/>
        <v>-0.10199999999999998</v>
      </c>
      <c r="AC174">
        <f t="shared" si="384"/>
        <v>-0.12539999999999996</v>
      </c>
      <c r="AD174">
        <f t="shared" si="367"/>
        <v>-0.14514573</v>
      </c>
      <c r="AE174">
        <f t="shared" si="385"/>
        <v>-1.6670399999999974E-2</v>
      </c>
      <c r="AF174">
        <f t="shared" si="385"/>
        <v>-3.4246799999999966E-2</v>
      </c>
      <c r="AG174">
        <f t="shared" si="385"/>
        <v>-5.2729199999999976E-2</v>
      </c>
      <c r="AH174">
        <f t="shared" si="385"/>
        <v>-7.2117599999999976E-2</v>
      </c>
      <c r="AI174">
        <f t="shared" si="385"/>
        <v>-9.2411999999999994E-2</v>
      </c>
      <c r="AJ174">
        <f t="shared" si="385"/>
        <v>-0.11361239999999997</v>
      </c>
      <c r="AK174">
        <f t="shared" si="368"/>
        <v>-0.1634091</v>
      </c>
      <c r="AL174">
        <f t="shared" si="386"/>
        <v>-1.8767999999999979E-2</v>
      </c>
      <c r="AM174">
        <f t="shared" si="386"/>
        <v>-3.8555999999999979E-2</v>
      </c>
      <c r="AN174">
        <f t="shared" si="386"/>
        <v>-5.9364E-2</v>
      </c>
      <c r="AO174">
        <f t="shared" si="386"/>
        <v>-8.1191999999999986E-2</v>
      </c>
      <c r="AP174">
        <f t="shared" si="386"/>
        <v>-0.10403999999999999</v>
      </c>
      <c r="AQ174">
        <f t="shared" si="386"/>
        <v>-0.12790799999999999</v>
      </c>
      <c r="AR174">
        <f t="shared" si="369"/>
        <v>-0.24383200999999996</v>
      </c>
      <c r="AS174">
        <f t="shared" si="387"/>
        <v>-2.8004799999999969E-2</v>
      </c>
      <c r="AT174">
        <f t="shared" si="387"/>
        <v>-5.7531599999999988E-2</v>
      </c>
      <c r="AU174">
        <f t="shared" si="387"/>
        <v>-8.8580399999999976E-2</v>
      </c>
      <c r="AV174">
        <f t="shared" si="387"/>
        <v>-0.12115119999999999</v>
      </c>
      <c r="AW174">
        <f t="shared" si="387"/>
        <v>-0.15524400000000002</v>
      </c>
      <c r="AX174">
        <f t="shared" si="387"/>
        <v>-0.19085879999999997</v>
      </c>
      <c r="AY174">
        <f t="shared" si="370"/>
        <v>-6.7286100000000001E-2</v>
      </c>
      <c r="AZ174">
        <f t="shared" si="371"/>
        <v>-7.7279999999999849E-3</v>
      </c>
      <c r="BA174">
        <f t="shared" si="371"/>
        <v>-1.5875999999999987E-2</v>
      </c>
      <c r="BB174">
        <f t="shared" si="371"/>
        <v>-2.4443999999999994E-2</v>
      </c>
      <c r="BC174">
        <f t="shared" si="371"/>
        <v>-3.343199999999999E-2</v>
      </c>
      <c r="BD174">
        <f t="shared" si="371"/>
        <v>-4.2840000000000003E-2</v>
      </c>
      <c r="BE174">
        <f t="shared" si="371"/>
        <v>-5.2667999999999993E-2</v>
      </c>
      <c r="BF174">
        <f t="shared" si="372"/>
        <v>-8.0102499999999993E-2</v>
      </c>
      <c r="BG174">
        <f t="shared" si="388"/>
        <v>-9.199999999999986E-3</v>
      </c>
      <c r="BH174">
        <f t="shared" si="388"/>
        <v>-1.8899999999999986E-2</v>
      </c>
      <c r="BI174">
        <f t="shared" si="388"/>
        <v>-2.9100000000000001E-2</v>
      </c>
      <c r="BJ174">
        <f t="shared" si="388"/>
        <v>-3.9800000000000002E-2</v>
      </c>
      <c r="BK174">
        <f t="shared" si="388"/>
        <v>-5.099999999999999E-2</v>
      </c>
      <c r="BL174">
        <f t="shared" si="388"/>
        <v>-6.2699999999999978E-2</v>
      </c>
      <c r="BM174">
        <f t="shared" si="374"/>
        <v>-0.25312389999999996</v>
      </c>
      <c r="BN174">
        <f t="shared" si="389"/>
        <v>-2.9071999999999987E-2</v>
      </c>
      <c r="BO174">
        <f t="shared" si="389"/>
        <v>-5.9723999999999999E-2</v>
      </c>
      <c r="BP174">
        <f t="shared" si="389"/>
        <v>-9.1955999999999982E-2</v>
      </c>
      <c r="BQ174">
        <f t="shared" si="389"/>
        <v>-0.12576799999999999</v>
      </c>
      <c r="BR174">
        <f t="shared" si="389"/>
        <v>-0.16116000000000003</v>
      </c>
      <c r="BS174">
        <f t="shared" si="389"/>
        <v>-0.19813199999999997</v>
      </c>
    </row>
    <row r="175" spans="2:71" x14ac:dyDescent="0.35">
      <c r="B175" t="s">
        <v>403</v>
      </c>
      <c r="C175" s="19">
        <f>regions!B153</f>
        <v>178228</v>
      </c>
      <c r="D175" s="19">
        <f>regions!C153</f>
        <v>167926229.92155305</v>
      </c>
      <c r="E175" s="8">
        <f>regions!D153</f>
        <v>942.19892453235764</v>
      </c>
      <c r="F175" s="1">
        <f>regions!Z153</f>
        <v>23.7</v>
      </c>
      <c r="G175" s="8"/>
      <c r="H175" s="8"/>
      <c r="I175">
        <f t="shared" si="364"/>
        <v>-0.33037799999999995</v>
      </c>
      <c r="J175">
        <f t="shared" si="382"/>
        <v>-1.3940000000000008E-2</v>
      </c>
      <c r="K175">
        <f t="shared" si="382"/>
        <v>-2.7880000000000016E-2</v>
      </c>
      <c r="L175">
        <f t="shared" si="382"/>
        <v>-4.1820000000000024E-2</v>
      </c>
      <c r="M175">
        <f t="shared" si="382"/>
        <v>-5.5760000000000032E-2</v>
      </c>
      <c r="N175">
        <f t="shared" si="382"/>
        <v>-6.970000000000004E-2</v>
      </c>
      <c r="O175">
        <f t="shared" si="382"/>
        <v>-8.3639999999999992E-2</v>
      </c>
      <c r="P175">
        <f t="shared" si="365"/>
        <v>-0.22467599999999999</v>
      </c>
      <c r="Q175">
        <f t="shared" si="383"/>
        <v>-1.9359999999999988E-2</v>
      </c>
      <c r="R175">
        <f t="shared" si="383"/>
        <v>-3.9520000000000055E-2</v>
      </c>
      <c r="S175">
        <f t="shared" si="383"/>
        <v>-6.0480000000000034E-2</v>
      </c>
      <c r="T175">
        <f t="shared" si="383"/>
        <v>-8.2240000000000035E-2</v>
      </c>
      <c r="U175">
        <f t="shared" si="383"/>
        <v>-0.1048</v>
      </c>
      <c r="V175">
        <f t="shared" si="383"/>
        <v>-0.12816</v>
      </c>
      <c r="W175">
        <f t="shared" si="366"/>
        <v>-0.28084499999999996</v>
      </c>
      <c r="X175">
        <f t="shared" si="384"/>
        <v>-2.4199999999999999E-2</v>
      </c>
      <c r="Y175">
        <f t="shared" si="384"/>
        <v>-4.9400000000000055E-2</v>
      </c>
      <c r="Z175">
        <f t="shared" si="384"/>
        <v>-7.5600000000000056E-2</v>
      </c>
      <c r="AA175">
        <f t="shared" si="384"/>
        <v>-0.10280000000000006</v>
      </c>
      <c r="AB175">
        <f t="shared" si="384"/>
        <v>-0.13100000000000001</v>
      </c>
      <c r="AC175">
        <f t="shared" si="384"/>
        <v>-0.16020000000000001</v>
      </c>
      <c r="AD175">
        <f t="shared" si="367"/>
        <v>-0.25444556999999995</v>
      </c>
      <c r="AE175">
        <f t="shared" si="385"/>
        <v>-2.1925200000000034E-2</v>
      </c>
      <c r="AF175">
        <f t="shared" si="385"/>
        <v>-4.4756400000000029E-2</v>
      </c>
      <c r="AG175">
        <f t="shared" si="385"/>
        <v>-6.8493600000000043E-2</v>
      </c>
      <c r="AH175">
        <f t="shared" si="385"/>
        <v>-9.313680000000002E-2</v>
      </c>
      <c r="AI175">
        <f t="shared" si="385"/>
        <v>-0.11868600000000001</v>
      </c>
      <c r="AJ175">
        <f t="shared" si="385"/>
        <v>-0.14514120000000003</v>
      </c>
      <c r="AK175">
        <f t="shared" si="368"/>
        <v>-0.28646189999999999</v>
      </c>
      <c r="AL175">
        <f t="shared" si="386"/>
        <v>-2.4683999999999984E-2</v>
      </c>
      <c r="AM175">
        <f t="shared" si="386"/>
        <v>-5.0388000000000044E-2</v>
      </c>
      <c r="AN175">
        <f t="shared" si="386"/>
        <v>-7.7112000000000014E-2</v>
      </c>
      <c r="AO175">
        <f t="shared" si="386"/>
        <v>-0.104856</v>
      </c>
      <c r="AP175">
        <f t="shared" si="386"/>
        <v>-0.13362000000000002</v>
      </c>
      <c r="AQ175">
        <f t="shared" si="386"/>
        <v>-0.16340399999999999</v>
      </c>
      <c r="AR175">
        <f t="shared" si="369"/>
        <v>-0.42744608999999995</v>
      </c>
      <c r="AS175">
        <f t="shared" si="387"/>
        <v>-3.6832399999999987E-2</v>
      </c>
      <c r="AT175">
        <f t="shared" si="387"/>
        <v>-7.5186800000000054E-2</v>
      </c>
      <c r="AU175">
        <f t="shared" si="387"/>
        <v>-0.11506319999999998</v>
      </c>
      <c r="AV175">
        <f t="shared" si="387"/>
        <v>-0.15646160000000003</v>
      </c>
      <c r="AW175">
        <f t="shared" si="387"/>
        <v>-0.199382</v>
      </c>
      <c r="AX175">
        <f t="shared" si="387"/>
        <v>-0.2438244</v>
      </c>
      <c r="AY175">
        <f t="shared" si="370"/>
        <v>-0.11795489999999999</v>
      </c>
      <c r="AZ175">
        <f t="shared" si="371"/>
        <v>-1.0163999999999992E-2</v>
      </c>
      <c r="BA175">
        <f t="shared" si="371"/>
        <v>-2.074800000000003E-2</v>
      </c>
      <c r="BB175">
        <f t="shared" si="371"/>
        <v>-3.1752000000000016E-2</v>
      </c>
      <c r="BC175">
        <f t="shared" si="371"/>
        <v>-4.3176000000000006E-2</v>
      </c>
      <c r="BD175">
        <f t="shared" si="371"/>
        <v>-5.5019999999999999E-2</v>
      </c>
      <c r="BE175">
        <f t="shared" si="371"/>
        <v>-6.7283999999999997E-2</v>
      </c>
      <c r="BF175">
        <f t="shared" si="372"/>
        <v>-0.14042249999999998</v>
      </c>
      <c r="BG175">
        <f t="shared" si="388"/>
        <v>-1.21E-2</v>
      </c>
      <c r="BH175">
        <f t="shared" si="388"/>
        <v>-2.4700000000000027E-2</v>
      </c>
      <c r="BI175">
        <f t="shared" si="388"/>
        <v>-3.7800000000000028E-2</v>
      </c>
      <c r="BJ175">
        <f t="shared" si="388"/>
        <v>-5.1400000000000029E-2</v>
      </c>
      <c r="BK175">
        <f t="shared" si="388"/>
        <v>-6.5500000000000003E-2</v>
      </c>
      <c r="BL175">
        <f t="shared" si="388"/>
        <v>-8.0100000000000005E-2</v>
      </c>
      <c r="BM175">
        <f t="shared" si="374"/>
        <v>-0.44373509999999994</v>
      </c>
      <c r="BN175">
        <f t="shared" si="389"/>
        <v>-3.8235999999999992E-2</v>
      </c>
      <c r="BO175">
        <f t="shared" si="389"/>
        <v>-7.8052000000000121E-2</v>
      </c>
      <c r="BP175">
        <f t="shared" si="389"/>
        <v>-0.11944800000000011</v>
      </c>
      <c r="BQ175">
        <f t="shared" si="389"/>
        <v>-0.16242400000000001</v>
      </c>
      <c r="BR175">
        <f t="shared" si="389"/>
        <v>-0.20698000000000005</v>
      </c>
      <c r="BS175">
        <f t="shared" si="389"/>
        <v>-0.25311600000000001</v>
      </c>
    </row>
    <row r="176" spans="2:71" x14ac:dyDescent="0.35">
      <c r="B176" t="s">
        <v>404</v>
      </c>
      <c r="C176" s="19">
        <f>regions!B154</f>
        <v>52352</v>
      </c>
      <c r="D176" s="19">
        <f>regions!C154</f>
        <v>554642952.86511683</v>
      </c>
      <c r="E176" s="8">
        <f>regions!D154</f>
        <v>10594.494056867299</v>
      </c>
      <c r="F176" s="1">
        <f>regions!Z154</f>
        <v>24.4</v>
      </c>
      <c r="G176" s="8"/>
      <c r="H176" s="8"/>
      <c r="I176">
        <f t="shared" si="364"/>
        <v>0</v>
      </c>
      <c r="J176">
        <f t="shared" ref="J176:O185" si="390">IF($E176&lt;$E$24,$D$11*($F176+J$25)-$I176,0)</f>
        <v>0</v>
      </c>
      <c r="K176">
        <f t="shared" si="390"/>
        <v>0</v>
      </c>
      <c r="L176">
        <f t="shared" si="390"/>
        <v>0</v>
      </c>
      <c r="M176">
        <f t="shared" si="390"/>
        <v>0</v>
      </c>
      <c r="N176">
        <f t="shared" si="390"/>
        <v>0</v>
      </c>
      <c r="O176">
        <f t="shared" si="390"/>
        <v>0</v>
      </c>
      <c r="P176">
        <f t="shared" si="365"/>
        <v>-0.23814399999999997</v>
      </c>
      <c r="Q176">
        <f t="shared" ref="Q176:V185" si="391">$D$13*($F176+Q$25)^2-$P176</f>
        <v>-1.9920000000000049E-2</v>
      </c>
      <c r="R176">
        <f t="shared" si="391"/>
        <v>-4.0640000000000009E-2</v>
      </c>
      <c r="S176">
        <f t="shared" si="391"/>
        <v>-6.2159999999999993E-2</v>
      </c>
      <c r="T176">
        <f t="shared" si="391"/>
        <v>-8.448E-2</v>
      </c>
      <c r="U176">
        <f t="shared" si="391"/>
        <v>-0.10760000000000003</v>
      </c>
      <c r="V176">
        <f t="shared" si="391"/>
        <v>-0.13152000000000003</v>
      </c>
      <c r="W176">
        <f t="shared" si="366"/>
        <v>-0.29767999999999994</v>
      </c>
      <c r="X176">
        <f t="shared" ref="X176:AC185" si="392">$D$15*($F176+X$25)^2-$W176</f>
        <v>-2.4900000000000033E-2</v>
      </c>
      <c r="Y176">
        <f t="shared" si="392"/>
        <v>-5.0800000000000012E-2</v>
      </c>
      <c r="Z176">
        <f t="shared" si="392"/>
        <v>-7.7699999999999991E-2</v>
      </c>
      <c r="AA176">
        <f t="shared" si="392"/>
        <v>-0.10560000000000003</v>
      </c>
      <c r="AB176">
        <f t="shared" si="392"/>
        <v>-0.13450000000000001</v>
      </c>
      <c r="AC176">
        <f t="shared" si="392"/>
        <v>-0.16440000000000005</v>
      </c>
      <c r="AD176">
        <f t="shared" si="367"/>
        <v>-0.26969807999999995</v>
      </c>
      <c r="AE176">
        <f t="shared" ref="AE176:AJ185" si="393">$D$10*($F176+AE$25)^2-$AD176</f>
        <v>-2.2559400000000063E-2</v>
      </c>
      <c r="AF176">
        <f t="shared" si="393"/>
        <v>-4.6024800000000032E-2</v>
      </c>
      <c r="AG176">
        <f t="shared" si="393"/>
        <v>-7.039620000000002E-2</v>
      </c>
      <c r="AH176">
        <f t="shared" si="393"/>
        <v>-9.5673600000000025E-2</v>
      </c>
      <c r="AI176">
        <f t="shared" si="393"/>
        <v>-0.12185699999999999</v>
      </c>
      <c r="AJ176">
        <f t="shared" si="393"/>
        <v>-0.14894640000000003</v>
      </c>
      <c r="AK176">
        <f t="shared" si="368"/>
        <v>-0.30363359999999995</v>
      </c>
      <c r="AL176">
        <f t="shared" ref="AL176:AQ185" si="394">$D$17*($F176+AL$25)^2-$AK176</f>
        <v>-2.5398000000000032E-2</v>
      </c>
      <c r="AM176">
        <f t="shared" si="394"/>
        <v>-5.1816000000000029E-2</v>
      </c>
      <c r="AN176">
        <f t="shared" si="394"/>
        <v>-7.9253999999999991E-2</v>
      </c>
      <c r="AO176">
        <f t="shared" si="394"/>
        <v>-0.10771200000000003</v>
      </c>
      <c r="AP176">
        <f t="shared" si="394"/>
        <v>-0.13719000000000003</v>
      </c>
      <c r="AQ176">
        <f t="shared" si="394"/>
        <v>-0.16768800000000006</v>
      </c>
      <c r="AR176">
        <f t="shared" si="369"/>
        <v>-0.45306895999999991</v>
      </c>
      <c r="AS176">
        <f t="shared" ref="AS176:AX185" si="395">$D$8*($F176+AS$25)^2-$AR176</f>
        <v>-3.7897800000000037E-2</v>
      </c>
      <c r="AT176">
        <f t="shared" si="395"/>
        <v>-7.7317600000000042E-2</v>
      </c>
      <c r="AU176">
        <f t="shared" si="395"/>
        <v>-0.11825939999999996</v>
      </c>
      <c r="AV176">
        <f t="shared" si="395"/>
        <v>-0.16072320000000001</v>
      </c>
      <c r="AW176">
        <f t="shared" si="395"/>
        <v>-0.20470899999999997</v>
      </c>
      <c r="AX176">
        <f t="shared" si="395"/>
        <v>-0.25021680000000007</v>
      </c>
      <c r="AY176">
        <f t="shared" si="370"/>
        <v>-0.12502559999999999</v>
      </c>
      <c r="AZ176">
        <f t="shared" si="371"/>
        <v>-1.0458000000000023E-2</v>
      </c>
      <c r="BA176">
        <f t="shared" si="371"/>
        <v>-2.1335999999999994E-2</v>
      </c>
      <c r="BB176">
        <f t="shared" si="371"/>
        <v>-3.2633999999999996E-2</v>
      </c>
      <c r="BC176">
        <f t="shared" si="371"/>
        <v>-4.4352000000000003E-2</v>
      </c>
      <c r="BD176">
        <f t="shared" si="371"/>
        <v>-5.6490000000000012E-2</v>
      </c>
      <c r="BE176">
        <f t="shared" si="371"/>
        <v>-6.9048000000000026E-2</v>
      </c>
      <c r="BF176">
        <f t="shared" si="372"/>
        <v>-0.14883999999999997</v>
      </c>
      <c r="BG176">
        <f t="shared" si="388"/>
        <v>-1.2450000000000017E-2</v>
      </c>
      <c r="BH176">
        <f t="shared" si="388"/>
        <v>-2.5400000000000006E-2</v>
      </c>
      <c r="BI176">
        <f t="shared" si="388"/>
        <v>-3.8849999999999996E-2</v>
      </c>
      <c r="BJ176">
        <f t="shared" si="388"/>
        <v>-5.2800000000000014E-2</v>
      </c>
      <c r="BK176">
        <f t="shared" si="388"/>
        <v>-6.7250000000000004E-2</v>
      </c>
      <c r="BL176">
        <f t="shared" si="388"/>
        <v>-8.2200000000000023E-2</v>
      </c>
      <c r="BM176">
        <f t="shared" si="374"/>
        <v>-0.47033439999999993</v>
      </c>
      <c r="BN176">
        <f t="shared" si="389"/>
        <v>-3.9342000000000099E-2</v>
      </c>
      <c r="BO176">
        <f t="shared" si="389"/>
        <v>-8.0264000000000002E-2</v>
      </c>
      <c r="BP176">
        <f t="shared" si="389"/>
        <v>-0.12276599999999993</v>
      </c>
      <c r="BQ176">
        <f t="shared" si="389"/>
        <v>-0.166848</v>
      </c>
      <c r="BR176">
        <f t="shared" si="389"/>
        <v>-0.21250999999999998</v>
      </c>
      <c r="BS176">
        <f t="shared" si="389"/>
        <v>-0.25975200000000009</v>
      </c>
    </row>
    <row r="177" spans="2:71" x14ac:dyDescent="0.35">
      <c r="B177" t="s">
        <v>183</v>
      </c>
      <c r="C177" s="19">
        <f>regions!B155</f>
        <v>177397</v>
      </c>
      <c r="D177" s="19">
        <f>regions!C155</f>
        <v>1083804878.6319301</v>
      </c>
      <c r="E177" s="8">
        <f>regions!D155</f>
        <v>6109.4882023480113</v>
      </c>
      <c r="F177" s="1">
        <f>regions!Z155</f>
        <v>25.5</v>
      </c>
      <c r="G177" s="8"/>
      <c r="H177" s="8"/>
      <c r="I177">
        <f t="shared" si="364"/>
        <v>0</v>
      </c>
      <c r="J177">
        <f t="shared" si="390"/>
        <v>0</v>
      </c>
      <c r="K177">
        <f t="shared" si="390"/>
        <v>0</v>
      </c>
      <c r="L177">
        <f t="shared" si="390"/>
        <v>0</v>
      </c>
      <c r="M177">
        <f t="shared" si="390"/>
        <v>0</v>
      </c>
      <c r="N177">
        <f t="shared" si="390"/>
        <v>0</v>
      </c>
      <c r="O177">
        <f t="shared" si="390"/>
        <v>0</v>
      </c>
      <c r="P177">
        <f t="shared" si="365"/>
        <v>-0.2601</v>
      </c>
      <c r="Q177">
        <f t="shared" si="391"/>
        <v>-2.0800000000000041E-2</v>
      </c>
      <c r="R177">
        <f t="shared" si="391"/>
        <v>-4.2399999999999993E-2</v>
      </c>
      <c r="S177">
        <f t="shared" si="391"/>
        <v>-6.4800000000000024E-2</v>
      </c>
      <c r="T177">
        <f t="shared" si="391"/>
        <v>-8.8000000000000023E-2</v>
      </c>
      <c r="U177">
        <f t="shared" si="391"/>
        <v>-0.11200000000000004</v>
      </c>
      <c r="V177">
        <f t="shared" si="391"/>
        <v>-0.13680000000000003</v>
      </c>
      <c r="W177">
        <f t="shared" si="366"/>
        <v>-0.325125</v>
      </c>
      <c r="X177">
        <f t="shared" si="392"/>
        <v>-2.6000000000000023E-2</v>
      </c>
      <c r="Y177">
        <f t="shared" si="392"/>
        <v>-5.2999999999999992E-2</v>
      </c>
      <c r="Z177">
        <f t="shared" si="392"/>
        <v>-8.1000000000000016E-2</v>
      </c>
      <c r="AA177">
        <f t="shared" si="392"/>
        <v>-0.10999999999999999</v>
      </c>
      <c r="AB177">
        <f t="shared" si="392"/>
        <v>-0.14000000000000001</v>
      </c>
      <c r="AC177">
        <f t="shared" si="392"/>
        <v>-0.17099999999999999</v>
      </c>
      <c r="AD177">
        <f t="shared" si="367"/>
        <v>-0.29456325</v>
      </c>
      <c r="AE177">
        <f t="shared" si="393"/>
        <v>-2.3556000000000021E-2</v>
      </c>
      <c r="AF177">
        <f t="shared" si="393"/>
        <v>-4.8018000000000005E-2</v>
      </c>
      <c r="AG177">
        <f t="shared" si="393"/>
        <v>-7.3386000000000007E-2</v>
      </c>
      <c r="AH177">
        <f t="shared" si="393"/>
        <v>-9.9660000000000026E-2</v>
      </c>
      <c r="AI177">
        <f t="shared" si="393"/>
        <v>-0.12684000000000001</v>
      </c>
      <c r="AJ177">
        <f t="shared" si="393"/>
        <v>-0.15492600000000001</v>
      </c>
      <c r="AK177">
        <f t="shared" si="368"/>
        <v>-0.33162750000000002</v>
      </c>
      <c r="AL177">
        <f t="shared" si="394"/>
        <v>-2.6519999999999988E-2</v>
      </c>
      <c r="AM177">
        <f t="shared" si="394"/>
        <v>-5.4059999999999997E-2</v>
      </c>
      <c r="AN177">
        <f t="shared" si="394"/>
        <v>-8.2620000000000027E-2</v>
      </c>
      <c r="AO177">
        <f t="shared" si="394"/>
        <v>-0.11220000000000002</v>
      </c>
      <c r="AP177">
        <f t="shared" si="394"/>
        <v>-0.14280000000000004</v>
      </c>
      <c r="AQ177">
        <f t="shared" si="394"/>
        <v>-0.17441999999999996</v>
      </c>
      <c r="AR177">
        <f t="shared" si="369"/>
        <v>-0.49484024999999998</v>
      </c>
      <c r="AS177">
        <f t="shared" si="395"/>
        <v>-3.9571999999999941E-2</v>
      </c>
      <c r="AT177">
        <f t="shared" si="395"/>
        <v>-8.0666000000000015E-2</v>
      </c>
      <c r="AU177">
        <f t="shared" si="395"/>
        <v>-0.123282</v>
      </c>
      <c r="AV177">
        <f t="shared" si="395"/>
        <v>-0.16742000000000001</v>
      </c>
      <c r="AW177">
        <f t="shared" si="395"/>
        <v>-0.21307999999999994</v>
      </c>
      <c r="AX177">
        <f t="shared" si="395"/>
        <v>-0.26026199999999999</v>
      </c>
      <c r="AY177">
        <f t="shared" si="370"/>
        <v>-0.13655249999999999</v>
      </c>
      <c r="AZ177">
        <f t="shared" si="371"/>
        <v>-1.0920000000000013E-2</v>
      </c>
      <c r="BA177">
        <f t="shared" si="371"/>
        <v>-2.2260000000000002E-2</v>
      </c>
      <c r="BB177">
        <f t="shared" si="371"/>
        <v>-3.4020000000000022E-2</v>
      </c>
      <c r="BC177">
        <f t="shared" si="371"/>
        <v>-4.6200000000000019E-2</v>
      </c>
      <c r="BD177">
        <f t="shared" si="371"/>
        <v>-5.8800000000000019E-2</v>
      </c>
      <c r="BE177">
        <f t="shared" si="371"/>
        <v>-7.1820000000000023E-2</v>
      </c>
      <c r="BF177">
        <f t="shared" si="372"/>
        <v>-0.1625625</v>
      </c>
      <c r="BG177">
        <f t="shared" si="388"/>
        <v>-1.3000000000000012E-2</v>
      </c>
      <c r="BH177">
        <f t="shared" si="388"/>
        <v>-2.6499999999999996E-2</v>
      </c>
      <c r="BI177">
        <f t="shared" si="388"/>
        <v>-4.0500000000000008E-2</v>
      </c>
      <c r="BJ177">
        <f t="shared" si="388"/>
        <v>-5.4999999999999993E-2</v>
      </c>
      <c r="BK177">
        <f t="shared" si="388"/>
        <v>-7.0000000000000007E-2</v>
      </c>
      <c r="BL177">
        <f t="shared" si="388"/>
        <v>-8.5499999999999993E-2</v>
      </c>
      <c r="BM177">
        <f t="shared" si="374"/>
        <v>-0.51369750000000003</v>
      </c>
      <c r="BN177">
        <f t="shared" si="389"/>
        <v>-4.1080000000000005E-2</v>
      </c>
      <c r="BO177">
        <f t="shared" si="389"/>
        <v>-8.3739999999999926E-2</v>
      </c>
      <c r="BP177">
        <f t="shared" si="389"/>
        <v>-0.12797999999999998</v>
      </c>
      <c r="BQ177">
        <f t="shared" si="389"/>
        <v>-0.17379999999999995</v>
      </c>
      <c r="BR177">
        <f t="shared" si="389"/>
        <v>-0.22119999999999995</v>
      </c>
      <c r="BS177">
        <f t="shared" si="389"/>
        <v>-0.27017999999999998</v>
      </c>
    </row>
    <row r="178" spans="2:71" x14ac:dyDescent="0.35">
      <c r="B178" t="s">
        <v>405</v>
      </c>
      <c r="C178" s="19">
        <f>regions!B156</f>
        <v>109316</v>
      </c>
      <c r="D178" s="19">
        <f>regions!C156</f>
        <v>589844929.93824661</v>
      </c>
      <c r="E178" s="8">
        <f>regions!D156</f>
        <v>5395.7785679886438</v>
      </c>
      <c r="F178" s="1">
        <f>regions!Z156</f>
        <v>26.7</v>
      </c>
      <c r="G178" s="8"/>
      <c r="H178" s="8"/>
      <c r="I178">
        <f t="shared" si="364"/>
        <v>0</v>
      </c>
      <c r="J178">
        <f t="shared" si="390"/>
        <v>0</v>
      </c>
      <c r="K178">
        <f t="shared" si="390"/>
        <v>0</v>
      </c>
      <c r="L178">
        <f t="shared" si="390"/>
        <v>0</v>
      </c>
      <c r="M178">
        <f t="shared" si="390"/>
        <v>0</v>
      </c>
      <c r="N178">
        <f t="shared" si="390"/>
        <v>0</v>
      </c>
      <c r="O178">
        <f t="shared" si="390"/>
        <v>0</v>
      </c>
      <c r="P178">
        <f t="shared" si="365"/>
        <v>-0.28515600000000002</v>
      </c>
      <c r="Q178">
        <f t="shared" si="391"/>
        <v>-2.1760000000000002E-2</v>
      </c>
      <c r="R178">
        <f t="shared" si="391"/>
        <v>-4.4319999999999971E-2</v>
      </c>
      <c r="S178">
        <f t="shared" si="391"/>
        <v>-6.7679999999999962E-2</v>
      </c>
      <c r="T178">
        <f t="shared" si="391"/>
        <v>-9.1839999999999977E-2</v>
      </c>
      <c r="U178">
        <f t="shared" si="391"/>
        <v>-0.11680000000000001</v>
      </c>
      <c r="V178">
        <f t="shared" si="391"/>
        <v>-0.14256000000000008</v>
      </c>
      <c r="W178">
        <f t="shared" si="366"/>
        <v>-0.35644500000000001</v>
      </c>
      <c r="X178">
        <f t="shared" si="392"/>
        <v>-2.7200000000000002E-2</v>
      </c>
      <c r="Y178">
        <f t="shared" si="392"/>
        <v>-5.5399999999999949E-2</v>
      </c>
      <c r="Z178">
        <f t="shared" si="392"/>
        <v>-8.4599999999999953E-2</v>
      </c>
      <c r="AA178">
        <f t="shared" si="392"/>
        <v>-0.11480000000000001</v>
      </c>
      <c r="AB178">
        <f t="shared" si="392"/>
        <v>-0.14600000000000002</v>
      </c>
      <c r="AC178">
        <f t="shared" si="392"/>
        <v>-0.17820000000000014</v>
      </c>
      <c r="AD178">
        <f t="shared" si="367"/>
        <v>-0.32293917</v>
      </c>
      <c r="AE178">
        <f t="shared" si="393"/>
        <v>-2.4643199999999976E-2</v>
      </c>
      <c r="AF178">
        <f t="shared" si="393"/>
        <v>-5.019239999999997E-2</v>
      </c>
      <c r="AG178">
        <f t="shared" si="393"/>
        <v>-7.6647599999999982E-2</v>
      </c>
      <c r="AH178">
        <f t="shared" si="393"/>
        <v>-0.10400880000000001</v>
      </c>
      <c r="AI178">
        <f t="shared" si="393"/>
        <v>-0.132276</v>
      </c>
      <c r="AJ178">
        <f t="shared" si="393"/>
        <v>-0.16144920000000007</v>
      </c>
      <c r="AK178">
        <f t="shared" si="368"/>
        <v>-0.36357390000000001</v>
      </c>
      <c r="AL178">
        <f t="shared" si="394"/>
        <v>-2.7743999999999991E-2</v>
      </c>
      <c r="AM178">
        <f t="shared" si="394"/>
        <v>-5.6508000000000003E-2</v>
      </c>
      <c r="AN178">
        <f t="shared" si="394"/>
        <v>-8.629199999999998E-2</v>
      </c>
      <c r="AO178">
        <f t="shared" si="394"/>
        <v>-0.11709600000000003</v>
      </c>
      <c r="AP178">
        <f t="shared" si="394"/>
        <v>-0.14892000000000005</v>
      </c>
      <c r="AQ178">
        <f t="shared" si="394"/>
        <v>-0.18176400000000015</v>
      </c>
      <c r="AR178">
        <f t="shared" si="369"/>
        <v>-0.54250928999999992</v>
      </c>
      <c r="AS178">
        <f t="shared" si="395"/>
        <v>-4.1398400000000057E-2</v>
      </c>
      <c r="AT178">
        <f t="shared" si="395"/>
        <v>-8.4318800000000027E-2</v>
      </c>
      <c r="AU178">
        <f t="shared" si="395"/>
        <v>-0.12876120000000002</v>
      </c>
      <c r="AV178">
        <f t="shared" si="395"/>
        <v>-0.17472560000000004</v>
      </c>
      <c r="AW178">
        <f t="shared" si="395"/>
        <v>-0.22221200000000008</v>
      </c>
      <c r="AX178">
        <f t="shared" si="395"/>
        <v>-0.27122040000000014</v>
      </c>
      <c r="AY178">
        <f t="shared" si="370"/>
        <v>-0.1497069</v>
      </c>
      <c r="AZ178">
        <f t="shared" si="371"/>
        <v>-1.142399999999999E-2</v>
      </c>
      <c r="BA178">
        <f t="shared" si="371"/>
        <v>-2.3267999999999983E-2</v>
      </c>
      <c r="BB178">
        <f t="shared" si="371"/>
        <v>-3.553199999999998E-2</v>
      </c>
      <c r="BC178">
        <f t="shared" si="371"/>
        <v>-4.8216000000000009E-2</v>
      </c>
      <c r="BD178">
        <f t="shared" si="371"/>
        <v>-6.1320000000000013E-2</v>
      </c>
      <c r="BE178">
        <f t="shared" si="371"/>
        <v>-7.4844000000000049E-2</v>
      </c>
      <c r="BF178">
        <f t="shared" si="372"/>
        <v>-0.17822250000000001</v>
      </c>
      <c r="BG178">
        <f t="shared" si="388"/>
        <v>-1.3600000000000001E-2</v>
      </c>
      <c r="BH178">
        <f t="shared" si="388"/>
        <v>-2.7699999999999975E-2</v>
      </c>
      <c r="BI178">
        <f t="shared" si="388"/>
        <v>-4.2299999999999977E-2</v>
      </c>
      <c r="BJ178">
        <f t="shared" si="388"/>
        <v>-5.7400000000000007E-2</v>
      </c>
      <c r="BK178">
        <f t="shared" si="388"/>
        <v>-7.3000000000000009E-2</v>
      </c>
      <c r="BL178">
        <f t="shared" si="388"/>
        <v>-8.9100000000000068E-2</v>
      </c>
      <c r="BM178">
        <f t="shared" si="374"/>
        <v>-0.56318310000000005</v>
      </c>
      <c r="BN178">
        <f t="shared" si="389"/>
        <v>-4.2975999999999903E-2</v>
      </c>
      <c r="BO178">
        <f t="shared" si="389"/>
        <v>-8.7531999999999943E-2</v>
      </c>
      <c r="BP178">
        <f t="shared" si="389"/>
        <v>-0.1336679999999999</v>
      </c>
      <c r="BQ178">
        <f t="shared" si="389"/>
        <v>-0.18138399999999999</v>
      </c>
      <c r="BR178">
        <f t="shared" si="389"/>
        <v>-0.23068</v>
      </c>
      <c r="BS178">
        <f t="shared" si="389"/>
        <v>-0.28155600000000014</v>
      </c>
    </row>
    <row r="179" spans="2:71" x14ac:dyDescent="0.35">
      <c r="B179" t="s">
        <v>406</v>
      </c>
      <c r="C179" s="19">
        <f>regions!B157</f>
        <v>186029</v>
      </c>
      <c r="D179" s="19">
        <f>regions!C157</f>
        <v>426326498.14749146</v>
      </c>
      <c r="E179" s="8">
        <f>regions!D157</f>
        <v>2291.7206357476061</v>
      </c>
      <c r="F179" s="1">
        <f>regions!Z157</f>
        <v>26.7</v>
      </c>
      <c r="G179" s="8"/>
      <c r="H179" s="8"/>
      <c r="I179">
        <f t="shared" si="364"/>
        <v>-0.37219799999999997</v>
      </c>
      <c r="J179">
        <f t="shared" si="390"/>
        <v>-1.3940000000000008E-2</v>
      </c>
      <c r="K179">
        <f t="shared" si="390"/>
        <v>-2.7880000000000016E-2</v>
      </c>
      <c r="L179">
        <f t="shared" si="390"/>
        <v>-4.1819999999999968E-2</v>
      </c>
      <c r="M179">
        <f t="shared" si="390"/>
        <v>-5.5759999999999976E-2</v>
      </c>
      <c r="N179">
        <f t="shared" si="390"/>
        <v>-6.9699999999999984E-2</v>
      </c>
      <c r="O179">
        <f t="shared" si="390"/>
        <v>-8.3640000000000048E-2</v>
      </c>
      <c r="P179">
        <f t="shared" si="365"/>
        <v>-0.28515600000000002</v>
      </c>
      <c r="Q179">
        <f t="shared" si="391"/>
        <v>-2.1760000000000002E-2</v>
      </c>
      <c r="R179">
        <f t="shared" si="391"/>
        <v>-4.4319999999999971E-2</v>
      </c>
      <c r="S179">
        <f t="shared" si="391"/>
        <v>-6.7679999999999962E-2</v>
      </c>
      <c r="T179">
        <f t="shared" si="391"/>
        <v>-9.1839999999999977E-2</v>
      </c>
      <c r="U179">
        <f t="shared" si="391"/>
        <v>-0.11680000000000001</v>
      </c>
      <c r="V179">
        <f t="shared" si="391"/>
        <v>-0.14256000000000008</v>
      </c>
      <c r="W179">
        <f t="shared" si="366"/>
        <v>-0.35644500000000001</v>
      </c>
      <c r="X179">
        <f t="shared" si="392"/>
        <v>-2.7200000000000002E-2</v>
      </c>
      <c r="Y179">
        <f t="shared" si="392"/>
        <v>-5.5399999999999949E-2</v>
      </c>
      <c r="Z179">
        <f t="shared" si="392"/>
        <v>-8.4599999999999953E-2</v>
      </c>
      <c r="AA179">
        <f t="shared" si="392"/>
        <v>-0.11480000000000001</v>
      </c>
      <c r="AB179">
        <f t="shared" si="392"/>
        <v>-0.14600000000000002</v>
      </c>
      <c r="AC179">
        <f t="shared" si="392"/>
        <v>-0.17820000000000014</v>
      </c>
      <c r="AD179">
        <f t="shared" si="367"/>
        <v>-0.32293917</v>
      </c>
      <c r="AE179">
        <f t="shared" si="393"/>
        <v>-2.4643199999999976E-2</v>
      </c>
      <c r="AF179">
        <f t="shared" si="393"/>
        <v>-5.019239999999997E-2</v>
      </c>
      <c r="AG179">
        <f t="shared" si="393"/>
        <v>-7.6647599999999982E-2</v>
      </c>
      <c r="AH179">
        <f t="shared" si="393"/>
        <v>-0.10400880000000001</v>
      </c>
      <c r="AI179">
        <f t="shared" si="393"/>
        <v>-0.132276</v>
      </c>
      <c r="AJ179">
        <f t="shared" si="393"/>
        <v>-0.16144920000000007</v>
      </c>
      <c r="AK179">
        <f t="shared" si="368"/>
        <v>-0.36357390000000001</v>
      </c>
      <c r="AL179">
        <f t="shared" si="394"/>
        <v>-2.7743999999999991E-2</v>
      </c>
      <c r="AM179">
        <f t="shared" si="394"/>
        <v>-5.6508000000000003E-2</v>
      </c>
      <c r="AN179">
        <f t="shared" si="394"/>
        <v>-8.629199999999998E-2</v>
      </c>
      <c r="AO179">
        <f t="shared" si="394"/>
        <v>-0.11709600000000003</v>
      </c>
      <c r="AP179">
        <f t="shared" si="394"/>
        <v>-0.14892000000000005</v>
      </c>
      <c r="AQ179">
        <f t="shared" si="394"/>
        <v>-0.18176400000000015</v>
      </c>
      <c r="AR179">
        <f t="shared" si="369"/>
        <v>-0.54250928999999992</v>
      </c>
      <c r="AS179">
        <f t="shared" si="395"/>
        <v>-4.1398400000000057E-2</v>
      </c>
      <c r="AT179">
        <f t="shared" si="395"/>
        <v>-8.4318800000000027E-2</v>
      </c>
      <c r="AU179">
        <f t="shared" si="395"/>
        <v>-0.12876120000000002</v>
      </c>
      <c r="AV179">
        <f t="shared" si="395"/>
        <v>-0.17472560000000004</v>
      </c>
      <c r="AW179">
        <f t="shared" si="395"/>
        <v>-0.22221200000000008</v>
      </c>
      <c r="AX179">
        <f t="shared" si="395"/>
        <v>-0.27122040000000014</v>
      </c>
      <c r="AY179">
        <f t="shared" si="370"/>
        <v>-0.1497069</v>
      </c>
      <c r="AZ179">
        <f t="shared" si="371"/>
        <v>-1.142399999999999E-2</v>
      </c>
      <c r="BA179">
        <f t="shared" si="371"/>
        <v>-2.3267999999999983E-2</v>
      </c>
      <c r="BB179">
        <f t="shared" si="371"/>
        <v>-3.553199999999998E-2</v>
      </c>
      <c r="BC179">
        <f t="shared" si="371"/>
        <v>-4.8216000000000009E-2</v>
      </c>
      <c r="BD179">
        <f t="shared" si="371"/>
        <v>-6.1320000000000013E-2</v>
      </c>
      <c r="BE179">
        <f t="shared" si="371"/>
        <v>-7.4844000000000049E-2</v>
      </c>
      <c r="BF179">
        <f t="shared" si="372"/>
        <v>-0.17822250000000001</v>
      </c>
      <c r="BG179">
        <f t="shared" si="388"/>
        <v>-1.3600000000000001E-2</v>
      </c>
      <c r="BH179">
        <f t="shared" si="388"/>
        <v>-2.7699999999999975E-2</v>
      </c>
      <c r="BI179">
        <f t="shared" si="388"/>
        <v>-4.2299999999999977E-2</v>
      </c>
      <c r="BJ179">
        <f t="shared" si="388"/>
        <v>-5.7400000000000007E-2</v>
      </c>
      <c r="BK179">
        <f t="shared" si="388"/>
        <v>-7.3000000000000009E-2</v>
      </c>
      <c r="BL179">
        <f t="shared" si="388"/>
        <v>-8.9100000000000068E-2</v>
      </c>
      <c r="BM179">
        <f t="shared" si="374"/>
        <v>-0.56318310000000005</v>
      </c>
      <c r="BN179">
        <f t="shared" si="389"/>
        <v>-4.2975999999999903E-2</v>
      </c>
      <c r="BO179">
        <f t="shared" si="389"/>
        <v>-8.7531999999999943E-2</v>
      </c>
      <c r="BP179">
        <f t="shared" si="389"/>
        <v>-0.1336679999999999</v>
      </c>
      <c r="BQ179">
        <f t="shared" si="389"/>
        <v>-0.18138399999999999</v>
      </c>
      <c r="BR179">
        <f t="shared" si="389"/>
        <v>-0.23068</v>
      </c>
      <c r="BS179">
        <f t="shared" si="389"/>
        <v>-0.28155600000000014</v>
      </c>
    </row>
    <row r="180" spans="2:71" x14ac:dyDescent="0.35">
      <c r="B180" t="s">
        <v>607</v>
      </c>
      <c r="C180" s="19">
        <f>regions!B158</f>
        <v>30861</v>
      </c>
      <c r="D180" s="19">
        <f>regions!C158</f>
        <v>1541851055.8333526</v>
      </c>
      <c r="E180" s="8">
        <f>regions!D158</f>
        <v>49961.150184159698</v>
      </c>
      <c r="F180" s="1">
        <f>regions!Z158</f>
        <v>14.3</v>
      </c>
      <c r="G180" s="8"/>
      <c r="H180" s="8"/>
      <c r="I180">
        <f t="shared" si="364"/>
        <v>0</v>
      </c>
      <c r="J180">
        <f t="shared" si="390"/>
        <v>0</v>
      </c>
      <c r="K180">
        <f t="shared" si="390"/>
        <v>0</v>
      </c>
      <c r="L180">
        <f t="shared" si="390"/>
        <v>0</v>
      </c>
      <c r="M180">
        <f t="shared" si="390"/>
        <v>0</v>
      </c>
      <c r="N180">
        <f t="shared" si="390"/>
        <v>0</v>
      </c>
      <c r="O180">
        <f t="shared" si="390"/>
        <v>0</v>
      </c>
      <c r="P180">
        <f t="shared" si="365"/>
        <v>-8.1796000000000008E-2</v>
      </c>
      <c r="Q180">
        <f t="shared" si="391"/>
        <v>-1.1840000000000003E-2</v>
      </c>
      <c r="R180">
        <f t="shared" si="391"/>
        <v>-2.4480000000000002E-2</v>
      </c>
      <c r="S180">
        <f t="shared" si="391"/>
        <v>-3.7920000000000009E-2</v>
      </c>
      <c r="T180">
        <f t="shared" si="391"/>
        <v>-5.2160000000000012E-2</v>
      </c>
      <c r="U180">
        <f t="shared" si="391"/>
        <v>-6.720000000000001E-2</v>
      </c>
      <c r="V180">
        <f t="shared" si="391"/>
        <v>-8.3040000000000003E-2</v>
      </c>
      <c r="W180">
        <f t="shared" si="366"/>
        <v>-0.102245</v>
      </c>
      <c r="X180">
        <f t="shared" si="392"/>
        <v>-1.4800000000000021E-2</v>
      </c>
      <c r="Y180">
        <f t="shared" si="392"/>
        <v>-3.0599999999999988E-2</v>
      </c>
      <c r="Z180">
        <f t="shared" si="392"/>
        <v>-4.7399999999999998E-2</v>
      </c>
      <c r="AA180">
        <f t="shared" si="392"/>
        <v>-6.5200000000000036E-2</v>
      </c>
      <c r="AB180">
        <f t="shared" si="392"/>
        <v>-8.4000000000000019E-2</v>
      </c>
      <c r="AC180">
        <f t="shared" si="392"/>
        <v>-0.10380000000000003</v>
      </c>
      <c r="AD180">
        <f t="shared" si="367"/>
        <v>-9.263397000000001E-2</v>
      </c>
      <c r="AE180">
        <f t="shared" si="393"/>
        <v>-1.3408800000000012E-2</v>
      </c>
      <c r="AF180">
        <f t="shared" si="393"/>
        <v>-2.7723599999999987E-2</v>
      </c>
      <c r="AG180">
        <f t="shared" si="393"/>
        <v>-4.2944399999999994E-2</v>
      </c>
      <c r="AH180">
        <f t="shared" si="393"/>
        <v>-5.9071200000000018E-2</v>
      </c>
      <c r="AI180">
        <f t="shared" si="393"/>
        <v>-7.6104000000000005E-2</v>
      </c>
      <c r="AJ180">
        <f t="shared" si="393"/>
        <v>-9.404280000000001E-2</v>
      </c>
      <c r="AK180">
        <f t="shared" si="368"/>
        <v>-0.10428990000000002</v>
      </c>
      <c r="AL180">
        <f t="shared" si="394"/>
        <v>-1.5096000000000012E-2</v>
      </c>
      <c r="AM180">
        <f t="shared" si="394"/>
        <v>-3.121199999999999E-2</v>
      </c>
      <c r="AN180">
        <f t="shared" si="394"/>
        <v>-4.8348000000000002E-2</v>
      </c>
      <c r="AO180">
        <f t="shared" si="394"/>
        <v>-6.6504000000000008E-2</v>
      </c>
      <c r="AP180">
        <f t="shared" si="394"/>
        <v>-8.5680000000000006E-2</v>
      </c>
      <c r="AQ180">
        <f t="shared" si="394"/>
        <v>-0.10587600000000003</v>
      </c>
      <c r="AR180">
        <f t="shared" si="369"/>
        <v>-0.15561689000000001</v>
      </c>
      <c r="AS180">
        <f t="shared" si="395"/>
        <v>-2.2525600000000007E-2</v>
      </c>
      <c r="AT180">
        <f t="shared" si="395"/>
        <v>-4.6573199999999981E-2</v>
      </c>
      <c r="AU180">
        <f t="shared" si="395"/>
        <v>-7.2142800000000007E-2</v>
      </c>
      <c r="AV180">
        <f t="shared" si="395"/>
        <v>-9.92344E-2</v>
      </c>
      <c r="AW180">
        <f t="shared" si="395"/>
        <v>-0.12784799999999996</v>
      </c>
      <c r="AX180">
        <f t="shared" si="395"/>
        <v>-0.1579836</v>
      </c>
      <c r="AY180">
        <f t="shared" si="370"/>
        <v>-4.2942900000000006E-2</v>
      </c>
      <c r="AZ180">
        <f t="shared" si="371"/>
        <v>-6.2159999999999993E-3</v>
      </c>
      <c r="BA180">
        <f t="shared" si="371"/>
        <v>-1.2851999999999995E-2</v>
      </c>
      <c r="BB180">
        <f t="shared" si="371"/>
        <v>-1.9907999999999995E-2</v>
      </c>
      <c r="BC180">
        <f t="shared" si="371"/>
        <v>-2.7384000000000006E-2</v>
      </c>
      <c r="BD180">
        <f t="shared" si="371"/>
        <v>-3.5280000000000006E-2</v>
      </c>
      <c r="BE180">
        <f t="shared" si="371"/>
        <v>-4.359600000000001E-2</v>
      </c>
      <c r="BF180">
        <f t="shared" si="372"/>
        <v>-5.1122500000000001E-2</v>
      </c>
      <c r="BG180">
        <f t="shared" si="388"/>
        <v>-7.4000000000000107E-3</v>
      </c>
      <c r="BH180">
        <f t="shared" si="388"/>
        <v>-1.5299999999999994E-2</v>
      </c>
      <c r="BI180">
        <f t="shared" si="388"/>
        <v>-2.3699999999999999E-2</v>
      </c>
      <c r="BJ180">
        <f t="shared" si="388"/>
        <v>-3.2600000000000018E-2</v>
      </c>
      <c r="BK180">
        <f t="shared" si="388"/>
        <v>-4.200000000000001E-2</v>
      </c>
      <c r="BL180">
        <f t="shared" si="388"/>
        <v>-5.1900000000000016E-2</v>
      </c>
      <c r="BM180">
        <f t="shared" si="374"/>
        <v>-0.1615471</v>
      </c>
      <c r="BN180">
        <f t="shared" si="389"/>
        <v>-2.3384000000000016E-2</v>
      </c>
      <c r="BO180">
        <f t="shared" si="389"/>
        <v>-4.8348000000000002E-2</v>
      </c>
      <c r="BP180">
        <f t="shared" si="389"/>
        <v>-7.4892000000000014E-2</v>
      </c>
      <c r="BQ180">
        <f t="shared" si="389"/>
        <v>-0.10301600000000005</v>
      </c>
      <c r="BR180">
        <f t="shared" si="389"/>
        <v>-0.13272</v>
      </c>
      <c r="BS180">
        <f t="shared" si="389"/>
        <v>-0.16400400000000004</v>
      </c>
    </row>
    <row r="181" spans="2:71" x14ac:dyDescent="0.35">
      <c r="B181" t="s">
        <v>253</v>
      </c>
      <c r="C181" s="19">
        <f>regions!B159</f>
        <v>27258387</v>
      </c>
      <c r="D181" s="19">
        <f>regions!C159</f>
        <v>435991918415.44006</v>
      </c>
      <c r="E181" s="8">
        <f>regions!D159</f>
        <v>15994.78055746439</v>
      </c>
      <c r="F181" s="1">
        <f>regions!Z159</f>
        <v>24.6</v>
      </c>
      <c r="G181" s="8"/>
      <c r="H181" s="8"/>
      <c r="I181">
        <f t="shared" si="364"/>
        <v>0</v>
      </c>
      <c r="J181">
        <f t="shared" si="390"/>
        <v>0</v>
      </c>
      <c r="K181">
        <f t="shared" si="390"/>
        <v>0</v>
      </c>
      <c r="L181">
        <f t="shared" si="390"/>
        <v>0</v>
      </c>
      <c r="M181">
        <f t="shared" si="390"/>
        <v>0</v>
      </c>
      <c r="N181">
        <f t="shared" si="390"/>
        <v>0</v>
      </c>
      <c r="O181">
        <f t="shared" si="390"/>
        <v>0</v>
      </c>
      <c r="P181">
        <f t="shared" si="365"/>
        <v>-0.24206400000000006</v>
      </c>
      <c r="Q181">
        <f t="shared" si="391"/>
        <v>-2.0079999999999987E-2</v>
      </c>
      <c r="R181">
        <f t="shared" si="391"/>
        <v>-4.0959999999999996E-2</v>
      </c>
      <c r="S181">
        <f t="shared" si="391"/>
        <v>-6.2639999999999973E-2</v>
      </c>
      <c r="T181">
        <f t="shared" si="391"/>
        <v>-8.5119999999999973E-2</v>
      </c>
      <c r="U181">
        <f t="shared" si="391"/>
        <v>-0.1084</v>
      </c>
      <c r="V181">
        <f t="shared" si="391"/>
        <v>-0.13247999999999999</v>
      </c>
      <c r="W181">
        <f t="shared" si="366"/>
        <v>-0.30258000000000007</v>
      </c>
      <c r="X181">
        <f t="shared" si="392"/>
        <v>-2.5100000000000011E-2</v>
      </c>
      <c r="Y181">
        <f t="shared" si="392"/>
        <v>-5.1199999999999968E-2</v>
      </c>
      <c r="Z181">
        <f t="shared" si="392"/>
        <v>-7.8299999999999981E-2</v>
      </c>
      <c r="AA181">
        <f t="shared" si="392"/>
        <v>-0.10639999999999994</v>
      </c>
      <c r="AB181">
        <f t="shared" si="392"/>
        <v>-0.13549999999999995</v>
      </c>
      <c r="AC181">
        <f t="shared" si="392"/>
        <v>-0.16560000000000002</v>
      </c>
      <c r="AD181">
        <f t="shared" si="367"/>
        <v>-0.27413748000000004</v>
      </c>
      <c r="AE181">
        <f t="shared" si="393"/>
        <v>-2.27406E-2</v>
      </c>
      <c r="AF181">
        <f t="shared" si="393"/>
        <v>-4.6387199999999962E-2</v>
      </c>
      <c r="AG181">
        <f t="shared" si="393"/>
        <v>-7.0939799999999997E-2</v>
      </c>
      <c r="AH181">
        <f t="shared" si="393"/>
        <v>-9.6398399999999995E-2</v>
      </c>
      <c r="AI181">
        <f t="shared" si="393"/>
        <v>-0.12276300000000001</v>
      </c>
      <c r="AJ181">
        <f t="shared" si="393"/>
        <v>-0.15003360000000004</v>
      </c>
      <c r="AK181">
        <f t="shared" si="368"/>
        <v>-0.30863160000000006</v>
      </c>
      <c r="AL181">
        <f t="shared" si="394"/>
        <v>-2.5602000000000014E-2</v>
      </c>
      <c r="AM181">
        <f t="shared" si="394"/>
        <v>-5.2223999999999993E-2</v>
      </c>
      <c r="AN181">
        <f t="shared" si="394"/>
        <v>-7.9865999999999993E-2</v>
      </c>
      <c r="AO181">
        <f t="shared" si="394"/>
        <v>-0.10852800000000001</v>
      </c>
      <c r="AP181">
        <f t="shared" si="394"/>
        <v>-0.13821</v>
      </c>
      <c r="AQ181">
        <f t="shared" si="394"/>
        <v>-0.16891200000000006</v>
      </c>
      <c r="AR181">
        <f t="shared" si="369"/>
        <v>-0.46052676000000003</v>
      </c>
      <c r="AS181">
        <f t="shared" si="395"/>
        <v>-3.8202200000000019E-2</v>
      </c>
      <c r="AT181">
        <f t="shared" si="395"/>
        <v>-7.7926399999999951E-2</v>
      </c>
      <c r="AU181">
        <f t="shared" si="395"/>
        <v>-0.11917259999999996</v>
      </c>
      <c r="AV181">
        <f t="shared" si="395"/>
        <v>-0.1619408</v>
      </c>
      <c r="AW181">
        <f t="shared" si="395"/>
        <v>-0.20623099999999994</v>
      </c>
      <c r="AX181">
        <f t="shared" si="395"/>
        <v>-0.25204320000000002</v>
      </c>
      <c r="AY181">
        <f t="shared" si="370"/>
        <v>-0.12708360000000002</v>
      </c>
      <c r="AZ181">
        <f t="shared" si="371"/>
        <v>-1.0542000000000024E-2</v>
      </c>
      <c r="BA181">
        <f t="shared" si="371"/>
        <v>-2.1503999999999995E-2</v>
      </c>
      <c r="BB181">
        <f t="shared" si="371"/>
        <v>-3.2885999999999999E-2</v>
      </c>
      <c r="BC181">
        <f t="shared" si="371"/>
        <v>-4.4688000000000005E-2</v>
      </c>
      <c r="BD181">
        <f t="shared" si="371"/>
        <v>-5.6910000000000016E-2</v>
      </c>
      <c r="BE181">
        <f t="shared" si="371"/>
        <v>-6.9552000000000003E-2</v>
      </c>
      <c r="BF181">
        <f t="shared" si="372"/>
        <v>-0.15129000000000004</v>
      </c>
      <c r="BG181">
        <f t="shared" si="388"/>
        <v>-1.2550000000000006E-2</v>
      </c>
      <c r="BH181">
        <f t="shared" si="388"/>
        <v>-2.5599999999999984E-2</v>
      </c>
      <c r="BI181">
        <f t="shared" si="388"/>
        <v>-3.914999999999999E-2</v>
      </c>
      <c r="BJ181">
        <f t="shared" si="388"/>
        <v>-5.319999999999997E-2</v>
      </c>
      <c r="BK181">
        <f t="shared" si="388"/>
        <v>-6.7749999999999977E-2</v>
      </c>
      <c r="BL181">
        <f t="shared" si="388"/>
        <v>-8.2800000000000012E-2</v>
      </c>
      <c r="BM181">
        <f t="shared" si="374"/>
        <v>-0.47807640000000007</v>
      </c>
      <c r="BN181">
        <f t="shared" si="389"/>
        <v>-3.9658000000000082E-2</v>
      </c>
      <c r="BO181">
        <f t="shared" si="389"/>
        <v>-8.0895999999999968E-2</v>
      </c>
      <c r="BP181">
        <f t="shared" si="389"/>
        <v>-0.12371399999999999</v>
      </c>
      <c r="BQ181">
        <f t="shared" si="389"/>
        <v>-0.16811199999999993</v>
      </c>
      <c r="BR181">
        <f t="shared" si="389"/>
        <v>-0.21409</v>
      </c>
      <c r="BS181">
        <f t="shared" si="389"/>
        <v>-0.26164799999999999</v>
      </c>
    </row>
    <row r="182" spans="2:71" x14ac:dyDescent="0.35">
      <c r="B182" t="s">
        <v>184</v>
      </c>
      <c r="C182" s="19">
        <f>regions!B160</f>
        <v>12950564</v>
      </c>
      <c r="D182" s="19">
        <f>regions!C160</f>
        <v>10366034228.236326</v>
      </c>
      <c r="E182" s="8">
        <f>regions!D160</f>
        <v>800.43110309607573</v>
      </c>
      <c r="F182" s="1">
        <f>regions!Z160</f>
        <v>27.8</v>
      </c>
      <c r="G182" s="8"/>
      <c r="H182" s="8"/>
      <c r="I182">
        <f t="shared" si="364"/>
        <v>-0.38753199999999999</v>
      </c>
      <c r="J182">
        <f t="shared" si="390"/>
        <v>-1.3940000000000008E-2</v>
      </c>
      <c r="K182">
        <f t="shared" si="390"/>
        <v>-2.7880000000000016E-2</v>
      </c>
      <c r="L182">
        <f t="shared" si="390"/>
        <v>-4.1820000000000024E-2</v>
      </c>
      <c r="M182">
        <f t="shared" si="390"/>
        <v>-5.5759999999999976E-2</v>
      </c>
      <c r="N182">
        <f t="shared" si="390"/>
        <v>-6.9699999999999929E-2</v>
      </c>
      <c r="O182">
        <f t="shared" si="390"/>
        <v>-8.3639999999999937E-2</v>
      </c>
      <c r="P182">
        <f t="shared" si="365"/>
        <v>-0.30913600000000002</v>
      </c>
      <c r="Q182">
        <f t="shared" si="391"/>
        <v>-2.2639999999999993E-2</v>
      </c>
      <c r="R182">
        <f t="shared" si="391"/>
        <v>-4.608000000000001E-2</v>
      </c>
      <c r="S182">
        <f t="shared" si="391"/>
        <v>-7.0320000000000049E-2</v>
      </c>
      <c r="T182">
        <f t="shared" si="391"/>
        <v>-9.536E-2</v>
      </c>
      <c r="U182">
        <f t="shared" si="391"/>
        <v>-0.12119999999999997</v>
      </c>
      <c r="V182">
        <f t="shared" si="391"/>
        <v>-0.14783999999999992</v>
      </c>
      <c r="W182">
        <f t="shared" si="366"/>
        <v>-0.38642000000000004</v>
      </c>
      <c r="X182">
        <f t="shared" si="392"/>
        <v>-2.8299999999999992E-2</v>
      </c>
      <c r="Y182">
        <f t="shared" si="392"/>
        <v>-5.7599999999999985E-2</v>
      </c>
      <c r="Z182">
        <f t="shared" si="392"/>
        <v>-8.7900000000000034E-2</v>
      </c>
      <c r="AA182">
        <f t="shared" si="392"/>
        <v>-0.11920000000000003</v>
      </c>
      <c r="AB182">
        <f t="shared" si="392"/>
        <v>-0.15149999999999991</v>
      </c>
      <c r="AC182">
        <f t="shared" si="392"/>
        <v>-0.18479999999999991</v>
      </c>
      <c r="AD182">
        <f t="shared" si="367"/>
        <v>-0.35009652000000002</v>
      </c>
      <c r="AE182">
        <f t="shared" si="393"/>
        <v>-2.563979999999999E-2</v>
      </c>
      <c r="AF182">
        <f t="shared" si="393"/>
        <v>-5.2185599999999999E-2</v>
      </c>
      <c r="AG182">
        <f t="shared" si="393"/>
        <v>-7.9637400000000025E-2</v>
      </c>
      <c r="AH182">
        <f t="shared" si="393"/>
        <v>-0.10799520000000001</v>
      </c>
      <c r="AI182">
        <f t="shared" si="393"/>
        <v>-0.13725899999999996</v>
      </c>
      <c r="AJ182">
        <f t="shared" si="393"/>
        <v>-0.16742879999999993</v>
      </c>
      <c r="AK182">
        <f t="shared" si="368"/>
        <v>-0.39414840000000007</v>
      </c>
      <c r="AL182">
        <f t="shared" si="394"/>
        <v>-2.8866000000000003E-2</v>
      </c>
      <c r="AM182">
        <f t="shared" si="394"/>
        <v>-5.8752000000000026E-2</v>
      </c>
      <c r="AN182">
        <f t="shared" si="394"/>
        <v>-8.9658000000000015E-2</v>
      </c>
      <c r="AO182">
        <f t="shared" si="394"/>
        <v>-0.12158400000000003</v>
      </c>
      <c r="AP182">
        <f t="shared" si="394"/>
        <v>-0.15452999999999995</v>
      </c>
      <c r="AQ182">
        <f t="shared" si="394"/>
        <v>-0.18849599999999989</v>
      </c>
      <c r="AR182">
        <f t="shared" si="369"/>
        <v>-0.58813123999999994</v>
      </c>
      <c r="AS182">
        <f t="shared" si="395"/>
        <v>-4.3072600000000016E-2</v>
      </c>
      <c r="AT182">
        <f t="shared" si="395"/>
        <v>-8.7667200000000056E-2</v>
      </c>
      <c r="AU182">
        <f t="shared" si="395"/>
        <v>-0.13378380000000012</v>
      </c>
      <c r="AV182">
        <f t="shared" si="395"/>
        <v>-0.18142239999999998</v>
      </c>
      <c r="AW182">
        <f t="shared" si="395"/>
        <v>-0.23058299999999998</v>
      </c>
      <c r="AX182">
        <f t="shared" si="395"/>
        <v>-0.28126559999999989</v>
      </c>
      <c r="AY182">
        <f t="shared" si="370"/>
        <v>-0.16229640000000001</v>
      </c>
      <c r="AZ182">
        <f t="shared" si="371"/>
        <v>-1.1886000000000008E-2</v>
      </c>
      <c r="BA182">
        <f t="shared" si="371"/>
        <v>-2.4192000000000019E-2</v>
      </c>
      <c r="BB182">
        <f t="shared" si="371"/>
        <v>-3.6918000000000034E-2</v>
      </c>
      <c r="BC182">
        <f t="shared" si="371"/>
        <v>-5.0063999999999997E-2</v>
      </c>
      <c r="BD182">
        <f t="shared" si="371"/>
        <v>-6.3629999999999992E-2</v>
      </c>
      <c r="BE182">
        <f t="shared" si="371"/>
        <v>-7.7615999999999963E-2</v>
      </c>
      <c r="BF182">
        <f t="shared" si="372"/>
        <v>-0.19321000000000002</v>
      </c>
      <c r="BG182">
        <f t="shared" si="388"/>
        <v>-1.4149999999999996E-2</v>
      </c>
      <c r="BH182">
        <f t="shared" si="388"/>
        <v>-2.8799999999999992E-2</v>
      </c>
      <c r="BI182">
        <f t="shared" si="388"/>
        <v>-4.3950000000000017E-2</v>
      </c>
      <c r="BJ182">
        <f t="shared" si="388"/>
        <v>-5.9600000000000014E-2</v>
      </c>
      <c r="BK182">
        <f t="shared" si="388"/>
        <v>-7.5749999999999956E-2</v>
      </c>
      <c r="BL182">
        <f t="shared" si="388"/>
        <v>-9.2399999999999954E-2</v>
      </c>
      <c r="BM182">
        <f t="shared" si="374"/>
        <v>-0.61054360000000008</v>
      </c>
      <c r="BN182">
        <f t="shared" si="389"/>
        <v>-4.4714000000000031E-2</v>
      </c>
      <c r="BO182">
        <f t="shared" si="389"/>
        <v>-9.1007999999999978E-2</v>
      </c>
      <c r="BP182">
        <f t="shared" si="389"/>
        <v>-0.13888200000000006</v>
      </c>
      <c r="BQ182">
        <f t="shared" si="389"/>
        <v>-0.18833599999999995</v>
      </c>
      <c r="BR182">
        <f t="shared" si="389"/>
        <v>-0.23936999999999986</v>
      </c>
      <c r="BS182">
        <f t="shared" si="389"/>
        <v>-0.2919839999999998</v>
      </c>
    </row>
    <row r="183" spans="2:71" x14ac:dyDescent="0.35">
      <c r="B183" t="s">
        <v>234</v>
      </c>
      <c r="C183" s="19">
        <f>regions!B161</f>
        <v>7291436</v>
      </c>
      <c r="D183" s="19">
        <f>regions!C161</f>
        <v>27876766882.558659</v>
      </c>
      <c r="E183" s="8">
        <f>regions!D161</f>
        <v>3823.2204030260514</v>
      </c>
      <c r="F183" s="1">
        <f>regions!Z161</f>
        <v>9.9</v>
      </c>
      <c r="G183" s="8"/>
      <c r="H183" s="8"/>
      <c r="I183">
        <f t="shared" si="364"/>
        <v>-0.13800599999999999</v>
      </c>
      <c r="J183">
        <f t="shared" si="390"/>
        <v>-1.3940000000000008E-2</v>
      </c>
      <c r="K183">
        <f t="shared" si="390"/>
        <v>-2.7880000000000016E-2</v>
      </c>
      <c r="L183">
        <f t="shared" si="390"/>
        <v>-4.1819999999999996E-2</v>
      </c>
      <c r="M183">
        <f t="shared" si="390"/>
        <v>-5.5760000000000004E-2</v>
      </c>
      <c r="N183">
        <f t="shared" si="390"/>
        <v>-6.9700000000000012E-2</v>
      </c>
      <c r="O183">
        <f t="shared" si="390"/>
        <v>-8.3639999999999992E-2</v>
      </c>
      <c r="P183">
        <f t="shared" si="365"/>
        <v>-3.9204000000000003E-2</v>
      </c>
      <c r="Q183">
        <f t="shared" si="391"/>
        <v>-8.320000000000001E-3</v>
      </c>
      <c r="R183">
        <f t="shared" si="391"/>
        <v>-1.7440000000000004E-2</v>
      </c>
      <c r="S183">
        <f t="shared" si="391"/>
        <v>-2.7359999999999995E-2</v>
      </c>
      <c r="T183">
        <f t="shared" si="391"/>
        <v>-3.8080000000000003E-2</v>
      </c>
      <c r="U183">
        <f t="shared" si="391"/>
        <v>-4.9600000000000005E-2</v>
      </c>
      <c r="V183">
        <f t="shared" si="391"/>
        <v>-6.1920000000000003E-2</v>
      </c>
      <c r="W183">
        <f t="shared" si="366"/>
        <v>-4.9005000000000007E-2</v>
      </c>
      <c r="X183">
        <f t="shared" si="392"/>
        <v>-1.0399999999999993E-2</v>
      </c>
      <c r="Y183">
        <f t="shared" si="392"/>
        <v>-2.18E-2</v>
      </c>
      <c r="Z183">
        <f t="shared" si="392"/>
        <v>-3.4199999999999994E-2</v>
      </c>
      <c r="AA183">
        <f t="shared" si="392"/>
        <v>-4.7600000000000003E-2</v>
      </c>
      <c r="AB183">
        <f t="shared" si="392"/>
        <v>-6.2E-2</v>
      </c>
      <c r="AC183">
        <f t="shared" si="392"/>
        <v>-7.740000000000001E-2</v>
      </c>
      <c r="AD183">
        <f t="shared" si="367"/>
        <v>-4.4398530000000005E-2</v>
      </c>
      <c r="AE183">
        <f t="shared" si="393"/>
        <v>-9.4223999999999974E-3</v>
      </c>
      <c r="AF183">
        <f t="shared" si="393"/>
        <v>-1.9750799999999999E-2</v>
      </c>
      <c r="AG183">
        <f t="shared" si="393"/>
        <v>-3.0985199999999991E-2</v>
      </c>
      <c r="AH183">
        <f t="shared" si="393"/>
        <v>-4.31256E-2</v>
      </c>
      <c r="AI183">
        <f t="shared" si="393"/>
        <v>-5.6172E-2</v>
      </c>
      <c r="AJ183">
        <f t="shared" si="393"/>
        <v>-7.0124400000000003E-2</v>
      </c>
      <c r="AK183">
        <f t="shared" si="368"/>
        <v>-4.9985100000000005E-2</v>
      </c>
      <c r="AL183">
        <f t="shared" si="394"/>
        <v>-1.0607999999999999E-2</v>
      </c>
      <c r="AM183">
        <f t="shared" si="394"/>
        <v>-2.2236000000000006E-2</v>
      </c>
      <c r="AN183">
        <f t="shared" si="394"/>
        <v>-3.4883999999999998E-2</v>
      </c>
      <c r="AO183">
        <f t="shared" si="394"/>
        <v>-4.8552000000000012E-2</v>
      </c>
      <c r="AP183">
        <f t="shared" si="394"/>
        <v>-6.3240000000000018E-2</v>
      </c>
      <c r="AQ183">
        <f t="shared" si="394"/>
        <v>-7.8948000000000018E-2</v>
      </c>
      <c r="AR183">
        <f t="shared" si="369"/>
        <v>-7.4585609999999997E-2</v>
      </c>
      <c r="AS183">
        <f t="shared" si="395"/>
        <v>-1.5828800000000004E-2</v>
      </c>
      <c r="AT183">
        <f t="shared" si="395"/>
        <v>-3.3179600000000004E-2</v>
      </c>
      <c r="AU183">
        <f t="shared" si="395"/>
        <v>-5.2052399999999999E-2</v>
      </c>
      <c r="AV183">
        <f t="shared" si="395"/>
        <v>-7.2447199999999989E-2</v>
      </c>
      <c r="AW183">
        <f t="shared" si="395"/>
        <v>-9.4364000000000003E-2</v>
      </c>
      <c r="AX183">
        <f t="shared" si="395"/>
        <v>-0.11780279999999999</v>
      </c>
      <c r="AY183">
        <f t="shared" si="370"/>
        <v>-2.0582100000000002E-2</v>
      </c>
      <c r="AZ183">
        <f t="shared" si="371"/>
        <v>-4.3680000000000004E-3</v>
      </c>
      <c r="BA183">
        <f t="shared" si="371"/>
        <v>-9.1560000000000009E-3</v>
      </c>
      <c r="BB183">
        <f t="shared" si="371"/>
        <v>-1.4363999999999998E-2</v>
      </c>
      <c r="BC183">
        <f t="shared" si="371"/>
        <v>-1.9991999999999999E-2</v>
      </c>
      <c r="BD183">
        <f t="shared" si="371"/>
        <v>-2.6040000000000004E-2</v>
      </c>
      <c r="BE183">
        <f t="shared" si="371"/>
        <v>-3.2507999999999995E-2</v>
      </c>
      <c r="BF183">
        <f t="shared" si="372"/>
        <v>-2.4502500000000003E-2</v>
      </c>
      <c r="BG183">
        <f t="shared" si="388"/>
        <v>-5.1999999999999963E-3</v>
      </c>
      <c r="BH183">
        <f t="shared" si="388"/>
        <v>-1.09E-2</v>
      </c>
      <c r="BI183">
        <f t="shared" si="388"/>
        <v>-1.7099999999999997E-2</v>
      </c>
      <c r="BJ183">
        <f t="shared" si="388"/>
        <v>-2.3800000000000002E-2</v>
      </c>
      <c r="BK183">
        <f t="shared" si="388"/>
        <v>-3.1E-2</v>
      </c>
      <c r="BL183">
        <f t="shared" si="388"/>
        <v>-3.8700000000000005E-2</v>
      </c>
      <c r="BM183">
        <f t="shared" si="374"/>
        <v>-7.7427900000000008E-2</v>
      </c>
      <c r="BN183">
        <f t="shared" si="389"/>
        <v>-1.6432000000000002E-2</v>
      </c>
      <c r="BO183">
        <f t="shared" si="389"/>
        <v>-3.4444000000000002E-2</v>
      </c>
      <c r="BP183">
        <f t="shared" si="389"/>
        <v>-5.4035999999999987E-2</v>
      </c>
      <c r="BQ183">
        <f t="shared" si="389"/>
        <v>-7.5208000000000011E-2</v>
      </c>
      <c r="BR183">
        <f t="shared" si="389"/>
        <v>-9.7960000000000005E-2</v>
      </c>
      <c r="BS183">
        <f t="shared" si="389"/>
        <v>-0.122292</v>
      </c>
    </row>
    <row r="184" spans="2:71" x14ac:dyDescent="0.35">
      <c r="B184" t="s">
        <v>407</v>
      </c>
      <c r="C184" s="19">
        <f>regions!B162</f>
        <v>89770</v>
      </c>
      <c r="D184" s="19">
        <f>regions!C162</f>
        <v>1135149255.7550099</v>
      </c>
      <c r="E184" s="8">
        <f>regions!D162</f>
        <v>12645.084724908209</v>
      </c>
      <c r="F184" s="1">
        <f>regions!Z162</f>
        <v>27.1</v>
      </c>
      <c r="G184" s="8"/>
      <c r="H184" s="8"/>
      <c r="I184">
        <f t="shared" si="364"/>
        <v>0</v>
      </c>
      <c r="J184">
        <f t="shared" si="390"/>
        <v>0</v>
      </c>
      <c r="K184">
        <f t="shared" si="390"/>
        <v>0</v>
      </c>
      <c r="L184">
        <f t="shared" si="390"/>
        <v>0</v>
      </c>
      <c r="M184">
        <f t="shared" si="390"/>
        <v>0</v>
      </c>
      <c r="N184">
        <f t="shared" si="390"/>
        <v>0</v>
      </c>
      <c r="O184">
        <f t="shared" si="390"/>
        <v>0</v>
      </c>
      <c r="P184">
        <f t="shared" si="365"/>
        <v>-0.29376400000000003</v>
      </c>
      <c r="Q184">
        <f t="shared" si="391"/>
        <v>-2.2080000000000044E-2</v>
      </c>
      <c r="R184">
        <f t="shared" si="391"/>
        <v>-4.496E-2</v>
      </c>
      <c r="S184">
        <f t="shared" si="391"/>
        <v>-6.8640000000000034E-2</v>
      </c>
      <c r="T184">
        <f t="shared" si="391"/>
        <v>-9.3119999999999981E-2</v>
      </c>
      <c r="U184">
        <f t="shared" si="391"/>
        <v>-0.11840000000000001</v>
      </c>
      <c r="V184">
        <f t="shared" si="391"/>
        <v>-0.14448000000000005</v>
      </c>
      <c r="W184">
        <f t="shared" si="366"/>
        <v>-0.36720500000000006</v>
      </c>
      <c r="X184">
        <f t="shared" si="392"/>
        <v>-2.7600000000000013E-2</v>
      </c>
      <c r="Y184">
        <f t="shared" si="392"/>
        <v>-5.6199999999999972E-2</v>
      </c>
      <c r="Z184">
        <f t="shared" si="392"/>
        <v>-8.5799999999999987E-2</v>
      </c>
      <c r="AA184">
        <f t="shared" si="392"/>
        <v>-0.11639999999999995</v>
      </c>
      <c r="AB184">
        <f t="shared" si="392"/>
        <v>-0.14799999999999996</v>
      </c>
      <c r="AC184">
        <f t="shared" si="392"/>
        <v>-0.18060000000000004</v>
      </c>
      <c r="AD184">
        <f t="shared" si="367"/>
        <v>-0.33268773000000001</v>
      </c>
      <c r="AE184">
        <f t="shared" si="393"/>
        <v>-2.5005600000000072E-2</v>
      </c>
      <c r="AF184">
        <f t="shared" si="393"/>
        <v>-5.0917199999999996E-2</v>
      </c>
      <c r="AG184">
        <f t="shared" si="393"/>
        <v>-7.7734800000000048E-2</v>
      </c>
      <c r="AH184">
        <f t="shared" si="393"/>
        <v>-0.10545840000000001</v>
      </c>
      <c r="AI184">
        <f t="shared" si="393"/>
        <v>-0.13408800000000004</v>
      </c>
      <c r="AJ184">
        <f t="shared" si="393"/>
        <v>-0.16362360000000004</v>
      </c>
      <c r="AK184">
        <f t="shared" si="368"/>
        <v>-0.37454910000000008</v>
      </c>
      <c r="AL184">
        <f t="shared" si="394"/>
        <v>-2.815200000000001E-2</v>
      </c>
      <c r="AM184">
        <f t="shared" si="394"/>
        <v>-5.7323999999999986E-2</v>
      </c>
      <c r="AN184">
        <f t="shared" si="394"/>
        <v>-8.7515999999999983E-2</v>
      </c>
      <c r="AO184">
        <f t="shared" si="394"/>
        <v>-0.118728</v>
      </c>
      <c r="AP184">
        <f t="shared" si="394"/>
        <v>-0.15095999999999998</v>
      </c>
      <c r="AQ184">
        <f t="shared" si="394"/>
        <v>-0.18421200000000004</v>
      </c>
      <c r="AR184">
        <f t="shared" si="369"/>
        <v>-0.55888601000000004</v>
      </c>
      <c r="AS184">
        <f t="shared" si="395"/>
        <v>-4.2007200000000022E-2</v>
      </c>
      <c r="AT184">
        <f t="shared" si="395"/>
        <v>-8.5536399999999957E-2</v>
      </c>
      <c r="AU184">
        <f t="shared" si="395"/>
        <v>-0.13058760000000003</v>
      </c>
      <c r="AV184">
        <f t="shared" si="395"/>
        <v>-0.1771607999999999</v>
      </c>
      <c r="AW184">
        <f t="shared" si="395"/>
        <v>-0.22525600000000001</v>
      </c>
      <c r="AX184">
        <f t="shared" si="395"/>
        <v>-0.27487320000000004</v>
      </c>
      <c r="AY184">
        <f t="shared" si="370"/>
        <v>-0.15422610000000003</v>
      </c>
      <c r="AZ184">
        <f t="shared" si="371"/>
        <v>-1.1591999999999991E-2</v>
      </c>
      <c r="BA184">
        <f t="shared" si="371"/>
        <v>-2.3603999999999986E-2</v>
      </c>
      <c r="BB184">
        <f t="shared" si="371"/>
        <v>-3.6035999999999985E-2</v>
      </c>
      <c r="BC184">
        <f t="shared" si="371"/>
        <v>-4.8887999999999987E-2</v>
      </c>
      <c r="BD184">
        <f t="shared" si="371"/>
        <v>-6.2159999999999993E-2</v>
      </c>
      <c r="BE184">
        <f t="shared" si="371"/>
        <v>-7.5852000000000003E-2</v>
      </c>
      <c r="BF184">
        <f t="shared" si="372"/>
        <v>-0.18360250000000003</v>
      </c>
      <c r="BG184">
        <f t="shared" si="388"/>
        <v>-1.3800000000000007E-2</v>
      </c>
      <c r="BH184">
        <f t="shared" si="388"/>
        <v>-2.8099999999999986E-2</v>
      </c>
      <c r="BI184">
        <f t="shared" si="388"/>
        <v>-4.2899999999999994E-2</v>
      </c>
      <c r="BJ184">
        <f t="shared" si="388"/>
        <v>-5.8199999999999974E-2</v>
      </c>
      <c r="BK184">
        <f t="shared" si="388"/>
        <v>-7.3999999999999982E-2</v>
      </c>
      <c r="BL184">
        <f t="shared" si="388"/>
        <v>-9.0300000000000019E-2</v>
      </c>
      <c r="BM184">
        <f t="shared" si="374"/>
        <v>-0.58018390000000009</v>
      </c>
      <c r="BN184">
        <f t="shared" si="389"/>
        <v>-4.360799999999998E-2</v>
      </c>
      <c r="BO184">
        <f t="shared" si="389"/>
        <v>-8.8795999999999986E-2</v>
      </c>
      <c r="BP184">
        <f t="shared" si="389"/>
        <v>-0.13556400000000002</v>
      </c>
      <c r="BQ184">
        <f t="shared" si="389"/>
        <v>-0.18391199999999996</v>
      </c>
      <c r="BR184">
        <f t="shared" si="389"/>
        <v>-0.23383999999999994</v>
      </c>
      <c r="BS184">
        <f t="shared" si="389"/>
        <v>-0.28534800000000005</v>
      </c>
    </row>
    <row r="185" spans="2:71" x14ac:dyDescent="0.35">
      <c r="B185" t="s">
        <v>185</v>
      </c>
      <c r="C185" s="19">
        <f>regions!B163</f>
        <v>5751976</v>
      </c>
      <c r="D185" s="19">
        <f>regions!C163</f>
        <v>2130751272.7919905</v>
      </c>
      <c r="E185" s="8">
        <f>regions!D163</f>
        <v>370.43813687539563</v>
      </c>
      <c r="F185" s="1">
        <f>regions!Z163</f>
        <v>26</v>
      </c>
      <c r="G185" s="8"/>
      <c r="H185" s="8"/>
      <c r="I185">
        <f t="shared" si="364"/>
        <v>-0.36243999999999998</v>
      </c>
      <c r="J185">
        <f t="shared" si="390"/>
        <v>-1.3940000000000008E-2</v>
      </c>
      <c r="K185">
        <f t="shared" si="390"/>
        <v>-2.7880000000000016E-2</v>
      </c>
      <c r="L185">
        <f t="shared" si="390"/>
        <v>-4.1819999999999968E-2</v>
      </c>
      <c r="M185">
        <f t="shared" si="390"/>
        <v>-5.5759999999999976E-2</v>
      </c>
      <c r="N185">
        <f t="shared" si="390"/>
        <v>-6.9699999999999984E-2</v>
      </c>
      <c r="O185">
        <f t="shared" si="390"/>
        <v>-8.3639999999999992E-2</v>
      </c>
      <c r="P185">
        <f t="shared" si="365"/>
        <v>-0.27040000000000003</v>
      </c>
      <c r="Q185">
        <f t="shared" si="391"/>
        <v>-2.1199999999999997E-2</v>
      </c>
      <c r="R185">
        <f t="shared" si="391"/>
        <v>-4.3199999999999961E-2</v>
      </c>
      <c r="S185">
        <f t="shared" si="391"/>
        <v>-6.6000000000000003E-2</v>
      </c>
      <c r="T185">
        <f t="shared" si="391"/>
        <v>-8.9600000000000013E-2</v>
      </c>
      <c r="U185">
        <f t="shared" si="391"/>
        <v>-0.11399999999999999</v>
      </c>
      <c r="V185">
        <f t="shared" si="391"/>
        <v>-0.13919999999999999</v>
      </c>
      <c r="W185">
        <f t="shared" si="366"/>
        <v>-0.33800000000000002</v>
      </c>
      <c r="X185">
        <f t="shared" si="392"/>
        <v>-2.6499999999999968E-2</v>
      </c>
      <c r="Y185">
        <f t="shared" si="392"/>
        <v>-5.3999999999999992E-2</v>
      </c>
      <c r="Z185">
        <f t="shared" si="392"/>
        <v>-8.2499999999999962E-2</v>
      </c>
      <c r="AA185">
        <f t="shared" si="392"/>
        <v>-0.11199999999999999</v>
      </c>
      <c r="AB185">
        <f t="shared" si="392"/>
        <v>-0.14249999999999996</v>
      </c>
      <c r="AC185">
        <f t="shared" si="392"/>
        <v>-0.17399999999999999</v>
      </c>
      <c r="AD185">
        <f t="shared" si="367"/>
        <v>-0.306228</v>
      </c>
      <c r="AE185">
        <f t="shared" si="393"/>
        <v>-2.4009000000000003E-2</v>
      </c>
      <c r="AF185">
        <f t="shared" si="393"/>
        <v>-4.8924000000000023E-2</v>
      </c>
      <c r="AG185">
        <f t="shared" si="393"/>
        <v>-7.4745000000000006E-2</v>
      </c>
      <c r="AH185">
        <f t="shared" si="393"/>
        <v>-0.10147200000000001</v>
      </c>
      <c r="AI185">
        <f t="shared" si="393"/>
        <v>-0.12910500000000003</v>
      </c>
      <c r="AJ185">
        <f t="shared" si="393"/>
        <v>-0.15764400000000001</v>
      </c>
      <c r="AK185">
        <f t="shared" si="368"/>
        <v>-0.34476000000000001</v>
      </c>
      <c r="AL185">
        <f t="shared" si="394"/>
        <v>-2.7029999999999998E-2</v>
      </c>
      <c r="AM185">
        <f t="shared" si="394"/>
        <v>-5.5080000000000018E-2</v>
      </c>
      <c r="AN185">
        <f t="shared" si="394"/>
        <v>-8.4150000000000003E-2</v>
      </c>
      <c r="AO185">
        <f t="shared" si="394"/>
        <v>-0.11424000000000001</v>
      </c>
      <c r="AP185">
        <f t="shared" si="394"/>
        <v>-0.14535000000000003</v>
      </c>
      <c r="AQ185">
        <f t="shared" si="394"/>
        <v>-0.17748000000000003</v>
      </c>
      <c r="AR185">
        <f t="shared" si="369"/>
        <v>-0.514436</v>
      </c>
      <c r="AS185">
        <f t="shared" si="395"/>
        <v>-4.0332999999999952E-2</v>
      </c>
      <c r="AT185">
        <f t="shared" si="395"/>
        <v>-8.2187999999999928E-2</v>
      </c>
      <c r="AU185">
        <f t="shared" si="395"/>
        <v>-0.12556499999999993</v>
      </c>
      <c r="AV185">
        <f t="shared" si="395"/>
        <v>-0.17046399999999995</v>
      </c>
      <c r="AW185">
        <f t="shared" si="395"/>
        <v>-0.21688499999999999</v>
      </c>
      <c r="AX185">
        <f t="shared" si="395"/>
        <v>-0.26482799999999995</v>
      </c>
      <c r="AY185">
        <f t="shared" si="370"/>
        <v>-0.14196</v>
      </c>
      <c r="AZ185">
        <f t="shared" si="371"/>
        <v>-1.1130000000000001E-2</v>
      </c>
      <c r="BA185">
        <f t="shared" si="371"/>
        <v>-2.2680000000000006E-2</v>
      </c>
      <c r="BB185">
        <f t="shared" si="371"/>
        <v>-3.4650000000000014E-2</v>
      </c>
      <c r="BC185">
        <f t="shared" si="371"/>
        <v>-4.7039999999999998E-2</v>
      </c>
      <c r="BD185">
        <f t="shared" si="371"/>
        <v>-5.9850000000000014E-2</v>
      </c>
      <c r="BE185">
        <f t="shared" si="371"/>
        <v>-7.3080000000000006E-2</v>
      </c>
      <c r="BF185">
        <f t="shared" si="372"/>
        <v>-0.16900000000000001</v>
      </c>
      <c r="BG185">
        <f t="shared" si="388"/>
        <v>-1.3249999999999984E-2</v>
      </c>
      <c r="BH185">
        <f t="shared" si="388"/>
        <v>-2.6999999999999996E-2</v>
      </c>
      <c r="BI185">
        <f t="shared" si="388"/>
        <v>-4.1249999999999981E-2</v>
      </c>
      <c r="BJ185">
        <f t="shared" si="388"/>
        <v>-5.5999999999999994E-2</v>
      </c>
      <c r="BK185">
        <f t="shared" si="388"/>
        <v>-7.124999999999998E-2</v>
      </c>
      <c r="BL185">
        <f t="shared" si="388"/>
        <v>-8.6999999999999994E-2</v>
      </c>
      <c r="BM185">
        <f t="shared" si="374"/>
        <v>-0.53403999999999996</v>
      </c>
      <c r="BN185">
        <f t="shared" si="389"/>
        <v>-4.1870000000000074E-2</v>
      </c>
      <c r="BO185">
        <f t="shared" si="389"/>
        <v>-8.5320000000000062E-2</v>
      </c>
      <c r="BP185">
        <f t="shared" si="389"/>
        <v>-0.13035000000000008</v>
      </c>
      <c r="BQ185">
        <f t="shared" si="389"/>
        <v>-0.17696000000000001</v>
      </c>
      <c r="BR185">
        <f t="shared" si="389"/>
        <v>-0.22515000000000007</v>
      </c>
      <c r="BS185">
        <f t="shared" si="389"/>
        <v>-0.27492000000000005</v>
      </c>
    </row>
    <row r="186" spans="2:71" x14ac:dyDescent="0.35">
      <c r="B186" t="s">
        <v>207</v>
      </c>
      <c r="C186" s="19">
        <f>regions!B164</f>
        <v>5076700</v>
      </c>
      <c r="D186" s="19">
        <f>regions!C164</f>
        <v>176457991287.06442</v>
      </c>
      <c r="E186" s="8">
        <f>regions!D164</f>
        <v>34758.404334915285</v>
      </c>
      <c r="F186" s="1">
        <f>regions!Z164</f>
        <v>26.4</v>
      </c>
      <c r="G186" s="8"/>
      <c r="H186" s="8"/>
      <c r="I186">
        <f t="shared" ref="I186:I217" si="396">IF(E186&lt;E$24,$D$11*$F186,0)</f>
        <v>0</v>
      </c>
      <c r="J186">
        <f t="shared" ref="J186:O195" si="397">IF($E186&lt;$E$24,$D$11*($F186+J$25)-$I186,0)</f>
        <v>0</v>
      </c>
      <c r="K186">
        <f t="shared" si="397"/>
        <v>0</v>
      </c>
      <c r="L186">
        <f t="shared" si="397"/>
        <v>0</v>
      </c>
      <c r="M186">
        <f t="shared" si="397"/>
        <v>0</v>
      </c>
      <c r="N186">
        <f t="shared" si="397"/>
        <v>0</v>
      </c>
      <c r="O186">
        <f t="shared" si="397"/>
        <v>0</v>
      </c>
      <c r="P186">
        <f t="shared" ref="P186:P217" si="398">$D$13*$F186^2</f>
        <v>-0.27878399999999998</v>
      </c>
      <c r="Q186">
        <f t="shared" ref="Q186:V195" si="399">$D$13*($F186+Q$25)^2-$P186</f>
        <v>-2.1519999999999984E-2</v>
      </c>
      <c r="R186">
        <f t="shared" si="399"/>
        <v>-4.383999999999999E-2</v>
      </c>
      <c r="S186">
        <f t="shared" si="399"/>
        <v>-6.696000000000002E-2</v>
      </c>
      <c r="T186">
        <f t="shared" si="399"/>
        <v>-9.0880000000000016E-2</v>
      </c>
      <c r="U186">
        <f t="shared" si="399"/>
        <v>-0.11560000000000004</v>
      </c>
      <c r="V186">
        <f t="shared" si="399"/>
        <v>-0.14112000000000002</v>
      </c>
      <c r="W186">
        <f t="shared" ref="W186:W217" si="400">$D$15*$F186^2</f>
        <v>-0.34847999999999996</v>
      </c>
      <c r="X186">
        <f t="shared" ref="X186:AC195" si="401">$D$15*($F186+X$25)^2-$W186</f>
        <v>-2.6899999999999979E-2</v>
      </c>
      <c r="Y186">
        <f t="shared" si="401"/>
        <v>-5.4800000000000015E-2</v>
      </c>
      <c r="Z186">
        <f t="shared" si="401"/>
        <v>-8.3699999999999997E-2</v>
      </c>
      <c r="AA186">
        <f t="shared" si="401"/>
        <v>-0.11360000000000003</v>
      </c>
      <c r="AB186">
        <f t="shared" si="401"/>
        <v>-0.14450000000000002</v>
      </c>
      <c r="AC186">
        <f t="shared" si="401"/>
        <v>-0.17640000000000006</v>
      </c>
      <c r="AD186">
        <f t="shared" ref="AD186:AD217" si="402">$D$10*$F186^2</f>
        <v>-0.31572287999999998</v>
      </c>
      <c r="AE186">
        <f t="shared" ref="AE186:AJ195" si="403">$D$10*($F186+AE$25)^2-$AD186</f>
        <v>-2.4371399999999988E-2</v>
      </c>
      <c r="AF186">
        <f t="shared" si="403"/>
        <v>-4.9648799999999993E-2</v>
      </c>
      <c r="AG186">
        <f t="shared" si="403"/>
        <v>-7.5832199999999961E-2</v>
      </c>
      <c r="AH186">
        <f t="shared" si="403"/>
        <v>-0.1029216</v>
      </c>
      <c r="AI186">
        <f t="shared" si="403"/>
        <v>-0.13091700000000001</v>
      </c>
      <c r="AJ186">
        <f t="shared" si="403"/>
        <v>-0.15981840000000003</v>
      </c>
      <c r="AK186">
        <f t="shared" ref="AK186:AK217" si="404">$D$17*$F186^2</f>
        <v>-0.35544959999999998</v>
      </c>
      <c r="AL186">
        <f t="shared" ref="AL186:AQ195" si="405">$D$17*($F186+AL$25)^2-$AK186</f>
        <v>-2.7437999999999962E-2</v>
      </c>
      <c r="AM186">
        <f t="shared" si="405"/>
        <v>-5.5896000000000001E-2</v>
      </c>
      <c r="AN186">
        <f t="shared" si="405"/>
        <v>-8.5374000000000005E-2</v>
      </c>
      <c r="AO186">
        <f t="shared" si="405"/>
        <v>-0.11587200000000003</v>
      </c>
      <c r="AP186">
        <f t="shared" si="405"/>
        <v>-0.14738999999999997</v>
      </c>
      <c r="AQ186">
        <f t="shared" si="405"/>
        <v>-0.17992800000000003</v>
      </c>
      <c r="AR186">
        <f t="shared" ref="AR186:AR217" si="406">$D$8*$F186^2</f>
        <v>-0.53038655999999995</v>
      </c>
      <c r="AS186">
        <f t="shared" ref="AS186:AX195" si="407">$D$8*($F186+AS$25)^2-$AR186</f>
        <v>-4.0941799999999917E-2</v>
      </c>
      <c r="AT186">
        <f t="shared" si="407"/>
        <v>-8.3405599999999969E-2</v>
      </c>
      <c r="AU186">
        <f t="shared" si="407"/>
        <v>-0.12739139999999993</v>
      </c>
      <c r="AV186">
        <f t="shared" si="407"/>
        <v>-0.17289920000000003</v>
      </c>
      <c r="AW186">
        <f t="shared" si="407"/>
        <v>-0.21992899999999993</v>
      </c>
      <c r="AX186">
        <f t="shared" si="407"/>
        <v>-0.26848079999999996</v>
      </c>
      <c r="AY186">
        <f t="shared" si="370"/>
        <v>-0.14636159999999998</v>
      </c>
      <c r="AZ186">
        <f t="shared" si="371"/>
        <v>-1.1298000000000002E-2</v>
      </c>
      <c r="BA186">
        <f t="shared" si="371"/>
        <v>-2.3016000000000009E-2</v>
      </c>
      <c r="BB186">
        <f t="shared" si="371"/>
        <v>-3.5154000000000019E-2</v>
      </c>
      <c r="BC186">
        <f t="shared" si="371"/>
        <v>-4.7712000000000032E-2</v>
      </c>
      <c r="BD186">
        <f t="shared" si="371"/>
        <v>-6.0690000000000022E-2</v>
      </c>
      <c r="BE186">
        <f t="shared" si="371"/>
        <v>-7.4088000000000015E-2</v>
      </c>
      <c r="BF186">
        <f t="shared" si="372"/>
        <v>-0.17423999999999998</v>
      </c>
      <c r="BG186">
        <f t="shared" si="388"/>
        <v>-1.344999999999999E-2</v>
      </c>
      <c r="BH186">
        <f t="shared" si="388"/>
        <v>-2.7400000000000008E-2</v>
      </c>
      <c r="BI186">
        <f t="shared" si="388"/>
        <v>-4.1849999999999998E-2</v>
      </c>
      <c r="BJ186">
        <f t="shared" si="388"/>
        <v>-5.6800000000000017E-2</v>
      </c>
      <c r="BK186">
        <f t="shared" si="388"/>
        <v>-7.2250000000000009E-2</v>
      </c>
      <c r="BL186">
        <f t="shared" si="388"/>
        <v>-8.8200000000000028E-2</v>
      </c>
      <c r="BM186">
        <f t="shared" si="374"/>
        <v>-0.55059839999999993</v>
      </c>
      <c r="BN186">
        <f t="shared" si="389"/>
        <v>-4.2501999999999929E-2</v>
      </c>
      <c r="BO186">
        <f t="shared" si="389"/>
        <v>-8.6583999999999994E-2</v>
      </c>
      <c r="BP186">
        <f t="shared" si="389"/>
        <v>-0.13224599999999997</v>
      </c>
      <c r="BQ186">
        <f t="shared" si="389"/>
        <v>-0.17948800000000009</v>
      </c>
      <c r="BR186">
        <f t="shared" si="389"/>
        <v>-0.22831000000000001</v>
      </c>
      <c r="BS186">
        <f t="shared" si="389"/>
        <v>-0.27871200000000007</v>
      </c>
    </row>
    <row r="187" spans="2:71" x14ac:dyDescent="0.35">
      <c r="B187" t="s">
        <v>235</v>
      </c>
      <c r="C187" s="19">
        <f>regions!B165</f>
        <v>5430099</v>
      </c>
      <c r="D187" s="19">
        <f>regions!C165</f>
        <v>76899962691.20755</v>
      </c>
      <c r="E187" s="8">
        <f>regions!D165</f>
        <v>14161.797545718329</v>
      </c>
      <c r="F187" s="1">
        <f>regions!Z165</f>
        <v>6.8</v>
      </c>
      <c r="G187" s="8"/>
      <c r="H187" s="8"/>
      <c r="I187">
        <f t="shared" si="396"/>
        <v>0</v>
      </c>
      <c r="J187">
        <f t="shared" si="397"/>
        <v>0</v>
      </c>
      <c r="K187">
        <f t="shared" si="397"/>
        <v>0</v>
      </c>
      <c r="L187">
        <f t="shared" si="397"/>
        <v>0</v>
      </c>
      <c r="M187">
        <f t="shared" si="397"/>
        <v>0</v>
      </c>
      <c r="N187">
        <f t="shared" si="397"/>
        <v>0</v>
      </c>
      <c r="O187">
        <f t="shared" si="397"/>
        <v>0</v>
      </c>
      <c r="P187">
        <f t="shared" si="398"/>
        <v>-1.8495999999999999E-2</v>
      </c>
      <c r="Q187">
        <f t="shared" si="399"/>
        <v>-5.8400000000000014E-3</v>
      </c>
      <c r="R187">
        <f t="shared" si="399"/>
        <v>-1.2480000000000008E-2</v>
      </c>
      <c r="S187">
        <f t="shared" si="399"/>
        <v>-1.9920000000000014E-2</v>
      </c>
      <c r="T187">
        <f t="shared" si="399"/>
        <v>-2.8160000000000011E-2</v>
      </c>
      <c r="U187">
        <f t="shared" si="399"/>
        <v>-3.7200000000000011E-2</v>
      </c>
      <c r="V187">
        <f t="shared" si="399"/>
        <v>-4.7040000000000012E-2</v>
      </c>
      <c r="W187">
        <f t="shared" si="400"/>
        <v>-2.3119999999999998E-2</v>
      </c>
      <c r="X187">
        <f t="shared" si="401"/>
        <v>-7.3000000000000009E-3</v>
      </c>
      <c r="Y187">
        <f t="shared" si="401"/>
        <v>-1.5600000000000006E-2</v>
      </c>
      <c r="Z187">
        <f t="shared" si="401"/>
        <v>-2.4900000000000016E-2</v>
      </c>
      <c r="AA187">
        <f t="shared" si="401"/>
        <v>-3.5200000000000009E-2</v>
      </c>
      <c r="AB187">
        <f t="shared" si="401"/>
        <v>-4.65E-2</v>
      </c>
      <c r="AC187">
        <f t="shared" si="401"/>
        <v>-5.8800000000000019E-2</v>
      </c>
      <c r="AD187">
        <f t="shared" si="402"/>
        <v>-2.0946719999999999E-2</v>
      </c>
      <c r="AE187">
        <f t="shared" si="403"/>
        <v>-6.6137999999999995E-3</v>
      </c>
      <c r="AF187">
        <f t="shared" si="403"/>
        <v>-1.4133600000000007E-2</v>
      </c>
      <c r="AG187">
        <f t="shared" si="403"/>
        <v>-2.2559400000000011E-2</v>
      </c>
      <c r="AH187">
        <f t="shared" si="403"/>
        <v>-3.1891200000000008E-2</v>
      </c>
      <c r="AI187">
        <f t="shared" si="403"/>
        <v>-4.2129E-2</v>
      </c>
      <c r="AJ187">
        <f t="shared" si="403"/>
        <v>-5.3272800000000009E-2</v>
      </c>
      <c r="AK187">
        <f t="shared" si="404"/>
        <v>-2.35824E-2</v>
      </c>
      <c r="AL187">
        <f t="shared" si="405"/>
        <v>-7.4460000000000012E-3</v>
      </c>
      <c r="AM187">
        <f t="shared" si="405"/>
        <v>-1.5912000000000006E-2</v>
      </c>
      <c r="AN187">
        <f t="shared" si="405"/>
        <v>-2.5398000000000014E-2</v>
      </c>
      <c r="AO187">
        <f t="shared" si="405"/>
        <v>-3.5904000000000005E-2</v>
      </c>
      <c r="AP187">
        <f t="shared" si="405"/>
        <v>-4.743E-2</v>
      </c>
      <c r="AQ187">
        <f t="shared" si="405"/>
        <v>-5.9976000000000015E-2</v>
      </c>
      <c r="AR187">
        <f t="shared" si="406"/>
        <v>-3.5188639999999993E-2</v>
      </c>
      <c r="AS187">
        <f t="shared" si="407"/>
        <v>-1.1110599999999998E-2</v>
      </c>
      <c r="AT187">
        <f t="shared" si="407"/>
        <v>-2.3743200000000013E-2</v>
      </c>
      <c r="AU187">
        <f t="shared" si="407"/>
        <v>-3.7897800000000023E-2</v>
      </c>
      <c r="AV187">
        <f t="shared" si="407"/>
        <v>-5.3574400000000008E-2</v>
      </c>
      <c r="AW187">
        <f t="shared" si="407"/>
        <v>-7.0773000000000003E-2</v>
      </c>
      <c r="AX187">
        <f t="shared" si="407"/>
        <v>-8.949360000000002E-2</v>
      </c>
      <c r="AY187">
        <f t="shared" si="370"/>
        <v>-9.7103999999999992E-3</v>
      </c>
      <c r="AZ187">
        <f t="shared" ref="AZ187:BE223" si="408">$D$19*($F187+AZ$25)^2-$AY187</f>
        <v>-3.066000000000001E-3</v>
      </c>
      <c r="BA187">
        <f t="shared" si="408"/>
        <v>-6.552000000000004E-3</v>
      </c>
      <c r="BB187">
        <f t="shared" si="408"/>
        <v>-1.0458000000000007E-2</v>
      </c>
      <c r="BC187">
        <f t="shared" si="408"/>
        <v>-1.4784000000000004E-2</v>
      </c>
      <c r="BD187">
        <f t="shared" si="408"/>
        <v>-1.9530000000000006E-2</v>
      </c>
      <c r="BE187">
        <f t="shared" si="408"/>
        <v>-2.469600000000001E-2</v>
      </c>
      <c r="BF187">
        <f t="shared" si="372"/>
        <v>-1.1559999999999999E-2</v>
      </c>
      <c r="BG187">
        <f t="shared" ref="BG187:BL202" si="409">$D$21*($F187+BG$25)^2-$BF187</f>
        <v>-3.6500000000000005E-3</v>
      </c>
      <c r="BH187">
        <f t="shared" si="409"/>
        <v>-7.8000000000000031E-3</v>
      </c>
      <c r="BI187">
        <f t="shared" si="409"/>
        <v>-1.2450000000000008E-2</v>
      </c>
      <c r="BJ187">
        <f t="shared" si="409"/>
        <v>-1.7600000000000005E-2</v>
      </c>
      <c r="BK187">
        <f t="shared" si="409"/>
        <v>-2.325E-2</v>
      </c>
      <c r="BL187">
        <f t="shared" si="409"/>
        <v>-2.9400000000000009E-2</v>
      </c>
      <c r="BM187">
        <f t="shared" si="374"/>
        <v>-3.6529599999999995E-2</v>
      </c>
      <c r="BN187">
        <f t="shared" ref="BN187:BS202" si="410">$D$23*($F187+BN$25)^2-$BM187</f>
        <v>-1.1534000000000003E-2</v>
      </c>
      <c r="BO187">
        <f t="shared" si="410"/>
        <v>-2.4648000000000017E-2</v>
      </c>
      <c r="BP187">
        <f t="shared" si="410"/>
        <v>-3.9342000000000016E-2</v>
      </c>
      <c r="BQ187">
        <f t="shared" si="410"/>
        <v>-5.5616000000000013E-2</v>
      </c>
      <c r="BR187">
        <f t="shared" si="410"/>
        <v>-7.3470000000000008E-2</v>
      </c>
      <c r="BS187">
        <f t="shared" si="410"/>
        <v>-9.2904000000000042E-2</v>
      </c>
    </row>
    <row r="188" spans="2:71" x14ac:dyDescent="0.35">
      <c r="B188" t="s">
        <v>236</v>
      </c>
      <c r="C188" s="19">
        <f>regions!B166</f>
        <v>2048583</v>
      </c>
      <c r="D188" s="19">
        <f>regions!C166</f>
        <v>39034227961.239731</v>
      </c>
      <c r="E188" s="8">
        <f>regions!D166</f>
        <v>19054.257484924816</v>
      </c>
      <c r="F188" s="1">
        <f>regions!Z166</f>
        <v>8.9</v>
      </c>
      <c r="G188" s="8"/>
      <c r="H188" s="8"/>
      <c r="I188">
        <f t="shared" si="396"/>
        <v>0</v>
      </c>
      <c r="J188">
        <f t="shared" si="397"/>
        <v>0</v>
      </c>
      <c r="K188">
        <f t="shared" si="397"/>
        <v>0</v>
      </c>
      <c r="L188">
        <f t="shared" si="397"/>
        <v>0</v>
      </c>
      <c r="M188">
        <f t="shared" si="397"/>
        <v>0</v>
      </c>
      <c r="N188">
        <f t="shared" si="397"/>
        <v>0</v>
      </c>
      <c r="O188">
        <f t="shared" si="397"/>
        <v>0</v>
      </c>
      <c r="P188">
        <f t="shared" si="398"/>
        <v>-3.1684000000000004E-2</v>
      </c>
      <c r="Q188">
        <f t="shared" si="399"/>
        <v>-7.5199999999999989E-3</v>
      </c>
      <c r="R188">
        <f t="shared" si="399"/>
        <v>-1.584E-2</v>
      </c>
      <c r="S188">
        <f t="shared" si="399"/>
        <v>-2.4960000000000003E-2</v>
      </c>
      <c r="T188">
        <f t="shared" si="399"/>
        <v>-3.4879999999999994E-2</v>
      </c>
      <c r="U188">
        <f t="shared" si="399"/>
        <v>-4.5600000000000002E-2</v>
      </c>
      <c r="V188">
        <f t="shared" si="399"/>
        <v>-5.7120000000000004E-2</v>
      </c>
      <c r="W188">
        <f t="shared" si="400"/>
        <v>-3.9605000000000008E-2</v>
      </c>
      <c r="X188">
        <f t="shared" si="401"/>
        <v>-9.3999999999999986E-3</v>
      </c>
      <c r="Y188">
        <f t="shared" si="401"/>
        <v>-1.9799999999999991E-2</v>
      </c>
      <c r="Z188">
        <f t="shared" si="401"/>
        <v>-3.1199999999999999E-2</v>
      </c>
      <c r="AA188">
        <f t="shared" si="401"/>
        <v>-4.3599999999999993E-2</v>
      </c>
      <c r="AB188">
        <f t="shared" si="401"/>
        <v>-5.7000000000000002E-2</v>
      </c>
      <c r="AC188">
        <f t="shared" si="401"/>
        <v>-7.1399999999999991E-2</v>
      </c>
      <c r="AD188">
        <f t="shared" si="402"/>
        <v>-3.5882130000000005E-2</v>
      </c>
      <c r="AE188">
        <f t="shared" si="403"/>
        <v>-8.5164000000000004E-3</v>
      </c>
      <c r="AF188">
        <f t="shared" si="403"/>
        <v>-1.7938799999999998E-2</v>
      </c>
      <c r="AG188">
        <f t="shared" si="403"/>
        <v>-2.8267199999999999E-2</v>
      </c>
      <c r="AH188">
        <f t="shared" si="403"/>
        <v>-3.9501599999999991E-2</v>
      </c>
      <c r="AI188">
        <f t="shared" si="403"/>
        <v>-5.1642E-2</v>
      </c>
      <c r="AJ188">
        <f t="shared" si="403"/>
        <v>-6.4688400000000007E-2</v>
      </c>
      <c r="AK188">
        <f t="shared" si="404"/>
        <v>-4.0397100000000005E-2</v>
      </c>
      <c r="AL188">
        <f t="shared" si="405"/>
        <v>-9.5879999999999993E-3</v>
      </c>
      <c r="AM188">
        <f t="shared" si="405"/>
        <v>-2.0195999999999999E-2</v>
      </c>
      <c r="AN188">
        <f t="shared" si="405"/>
        <v>-3.1824000000000005E-2</v>
      </c>
      <c r="AO188">
        <f t="shared" si="405"/>
        <v>-4.4471999999999998E-2</v>
      </c>
      <c r="AP188">
        <f t="shared" si="405"/>
        <v>-5.8140000000000011E-2</v>
      </c>
      <c r="AQ188">
        <f t="shared" si="405"/>
        <v>-7.2828000000000018E-2</v>
      </c>
      <c r="AR188">
        <f t="shared" si="406"/>
        <v>-6.0278810000000002E-2</v>
      </c>
      <c r="AS188">
        <f t="shared" si="407"/>
        <v>-1.4306799999999995E-2</v>
      </c>
      <c r="AT188">
        <f t="shared" si="407"/>
        <v>-3.0135599999999998E-2</v>
      </c>
      <c r="AU188">
        <f t="shared" si="407"/>
        <v>-4.7486399999999998E-2</v>
      </c>
      <c r="AV188">
        <f t="shared" si="407"/>
        <v>-6.6359199999999993E-2</v>
      </c>
      <c r="AW188">
        <f t="shared" si="407"/>
        <v>-8.6753999999999984E-2</v>
      </c>
      <c r="AX188">
        <f t="shared" si="407"/>
        <v>-0.1086708</v>
      </c>
      <c r="AY188">
        <f t="shared" si="370"/>
        <v>-1.6634100000000002E-2</v>
      </c>
      <c r="AZ188">
        <f t="shared" si="408"/>
        <v>-3.9480000000000001E-3</v>
      </c>
      <c r="BA188">
        <f t="shared" si="408"/>
        <v>-8.3160000000000005E-3</v>
      </c>
      <c r="BB188">
        <f t="shared" si="408"/>
        <v>-1.3104000000000001E-2</v>
      </c>
      <c r="BC188">
        <f t="shared" si="408"/>
        <v>-1.8311999999999998E-2</v>
      </c>
      <c r="BD188">
        <f t="shared" si="408"/>
        <v>-2.3939999999999999E-2</v>
      </c>
      <c r="BE188">
        <f t="shared" si="408"/>
        <v>-2.9988000000000004E-2</v>
      </c>
      <c r="BF188">
        <f t="shared" si="372"/>
        <v>-1.9802500000000004E-2</v>
      </c>
      <c r="BG188">
        <f t="shared" si="409"/>
        <v>-4.6999999999999993E-3</v>
      </c>
      <c r="BH188">
        <f t="shared" si="409"/>
        <v>-9.8999999999999956E-3</v>
      </c>
      <c r="BI188">
        <f t="shared" si="409"/>
        <v>-1.5599999999999999E-2</v>
      </c>
      <c r="BJ188">
        <f t="shared" si="409"/>
        <v>-2.1799999999999996E-2</v>
      </c>
      <c r="BK188">
        <f t="shared" si="409"/>
        <v>-2.8500000000000001E-2</v>
      </c>
      <c r="BL188">
        <f t="shared" si="409"/>
        <v>-3.5699999999999996E-2</v>
      </c>
      <c r="BM188">
        <f t="shared" si="374"/>
        <v>-6.2575900000000004E-2</v>
      </c>
      <c r="BN188">
        <f t="shared" si="410"/>
        <v>-1.4852000000000004E-2</v>
      </c>
      <c r="BO188">
        <f t="shared" si="410"/>
        <v>-3.1284000000000006E-2</v>
      </c>
      <c r="BP188">
        <f t="shared" si="410"/>
        <v>-4.9296000000000006E-2</v>
      </c>
      <c r="BQ188">
        <f t="shared" si="410"/>
        <v>-6.8887999999999991E-2</v>
      </c>
      <c r="BR188">
        <f t="shared" si="410"/>
        <v>-9.0060000000000015E-2</v>
      </c>
      <c r="BS188">
        <f t="shared" si="410"/>
        <v>-0.11281200000000001</v>
      </c>
    </row>
    <row r="189" spans="2:71" x14ac:dyDescent="0.35">
      <c r="B189" t="s">
        <v>408</v>
      </c>
      <c r="C189" s="19">
        <f>regions!B167</f>
        <v>526447</v>
      </c>
      <c r="D189" s="19">
        <f>regions!C167</f>
        <v>522614190.24701446</v>
      </c>
      <c r="E189" s="8">
        <f>regions!D167</f>
        <v>992.71947650383504</v>
      </c>
      <c r="F189" s="1">
        <f>regions!Z167</f>
        <v>25.6</v>
      </c>
      <c r="G189" s="8"/>
      <c r="H189" s="8"/>
      <c r="I189">
        <f t="shared" si="396"/>
        <v>-0.35686400000000001</v>
      </c>
      <c r="J189">
        <f t="shared" si="397"/>
        <v>-1.3940000000000008E-2</v>
      </c>
      <c r="K189">
        <f t="shared" si="397"/>
        <v>-2.787999999999996E-2</v>
      </c>
      <c r="L189">
        <f t="shared" si="397"/>
        <v>-4.1819999999999968E-2</v>
      </c>
      <c r="M189">
        <f t="shared" si="397"/>
        <v>-5.5759999999999976E-2</v>
      </c>
      <c r="N189">
        <f t="shared" si="397"/>
        <v>-6.9699999999999984E-2</v>
      </c>
      <c r="O189">
        <f t="shared" si="397"/>
        <v>-8.3639999999999992E-2</v>
      </c>
      <c r="P189">
        <f t="shared" si="398"/>
        <v>-0.26214400000000004</v>
      </c>
      <c r="Q189">
        <f t="shared" si="399"/>
        <v>-2.088000000000001E-2</v>
      </c>
      <c r="R189">
        <f t="shared" si="399"/>
        <v>-4.2559999999999987E-2</v>
      </c>
      <c r="S189">
        <f t="shared" si="399"/>
        <v>-6.5039999999999987E-2</v>
      </c>
      <c r="T189">
        <f t="shared" si="399"/>
        <v>-8.832000000000001E-2</v>
      </c>
      <c r="U189">
        <f t="shared" si="399"/>
        <v>-0.1124</v>
      </c>
      <c r="V189">
        <f t="shared" si="399"/>
        <v>-0.13728000000000001</v>
      </c>
      <c r="W189">
        <f t="shared" si="400"/>
        <v>-0.32768000000000008</v>
      </c>
      <c r="X189">
        <f t="shared" si="401"/>
        <v>-2.6099999999999957E-2</v>
      </c>
      <c r="Y189">
        <f t="shared" si="401"/>
        <v>-5.319999999999997E-2</v>
      </c>
      <c r="Z189">
        <f t="shared" si="401"/>
        <v>-8.1299999999999928E-2</v>
      </c>
      <c r="AA189">
        <f t="shared" si="401"/>
        <v>-0.11039999999999994</v>
      </c>
      <c r="AB189">
        <f t="shared" si="401"/>
        <v>-0.14050000000000001</v>
      </c>
      <c r="AC189">
        <f t="shared" si="401"/>
        <v>-0.17159999999999997</v>
      </c>
      <c r="AD189">
        <f t="shared" si="402"/>
        <v>-0.29687808000000004</v>
      </c>
      <c r="AE189">
        <f t="shared" si="403"/>
        <v>-2.3646599999999962E-2</v>
      </c>
      <c r="AF189">
        <f t="shared" si="403"/>
        <v>-4.8199199999999998E-2</v>
      </c>
      <c r="AG189">
        <f t="shared" si="403"/>
        <v>-7.3657799999999995E-2</v>
      </c>
      <c r="AH189">
        <f t="shared" si="403"/>
        <v>-0.10002240000000001</v>
      </c>
      <c r="AI189">
        <f t="shared" si="403"/>
        <v>-0.12729300000000005</v>
      </c>
      <c r="AJ189">
        <f t="shared" si="403"/>
        <v>-0.15546959999999999</v>
      </c>
      <c r="AK189">
        <f t="shared" si="404"/>
        <v>-0.33423360000000008</v>
      </c>
      <c r="AL189">
        <f t="shared" si="405"/>
        <v>-2.6621999999999979E-2</v>
      </c>
      <c r="AM189">
        <f t="shared" si="405"/>
        <v>-5.4263999999999979E-2</v>
      </c>
      <c r="AN189">
        <f t="shared" si="405"/>
        <v>-8.2926E-2</v>
      </c>
      <c r="AO189">
        <f t="shared" si="405"/>
        <v>-0.11260799999999999</v>
      </c>
      <c r="AP189">
        <f t="shared" si="405"/>
        <v>-0.14331000000000005</v>
      </c>
      <c r="AQ189">
        <f t="shared" si="405"/>
        <v>-0.17503200000000002</v>
      </c>
      <c r="AR189">
        <f t="shared" si="406"/>
        <v>-0.49872896000000005</v>
      </c>
      <c r="AS189">
        <f t="shared" si="407"/>
        <v>-3.9724199999999932E-2</v>
      </c>
      <c r="AT189">
        <f t="shared" si="407"/>
        <v>-8.0970399999999942E-2</v>
      </c>
      <c r="AU189">
        <f t="shared" si="407"/>
        <v>-0.12373859999999998</v>
      </c>
      <c r="AV189">
        <f t="shared" si="407"/>
        <v>-0.16802879999999992</v>
      </c>
      <c r="AW189">
        <f t="shared" si="407"/>
        <v>-0.213841</v>
      </c>
      <c r="AX189">
        <f t="shared" si="407"/>
        <v>-0.2611752</v>
      </c>
      <c r="AY189">
        <f t="shared" si="370"/>
        <v>-0.13762560000000004</v>
      </c>
      <c r="AZ189">
        <f t="shared" si="408"/>
        <v>-1.0961999999999972E-2</v>
      </c>
      <c r="BA189">
        <f t="shared" si="408"/>
        <v>-2.2343999999999975E-2</v>
      </c>
      <c r="BB189">
        <f t="shared" si="408"/>
        <v>-3.4145999999999982E-2</v>
      </c>
      <c r="BC189">
        <f t="shared" si="408"/>
        <v>-4.6367999999999993E-2</v>
      </c>
      <c r="BD189">
        <f t="shared" si="408"/>
        <v>-5.9009999999999979E-2</v>
      </c>
      <c r="BE189">
        <f t="shared" si="408"/>
        <v>-7.2071999999999969E-2</v>
      </c>
      <c r="BF189">
        <f t="shared" si="372"/>
        <v>-0.16384000000000004</v>
      </c>
      <c r="BG189">
        <f t="shared" si="409"/>
        <v>-1.3049999999999978E-2</v>
      </c>
      <c r="BH189">
        <f t="shared" si="409"/>
        <v>-2.6599999999999985E-2</v>
      </c>
      <c r="BI189">
        <f t="shared" si="409"/>
        <v>-4.0649999999999964E-2</v>
      </c>
      <c r="BJ189">
        <f t="shared" si="409"/>
        <v>-5.5199999999999971E-2</v>
      </c>
      <c r="BK189">
        <f t="shared" si="409"/>
        <v>-7.0250000000000007E-2</v>
      </c>
      <c r="BL189">
        <f t="shared" si="409"/>
        <v>-8.5799999999999987E-2</v>
      </c>
      <c r="BM189">
        <f t="shared" si="374"/>
        <v>-0.51773440000000015</v>
      </c>
      <c r="BN189">
        <f t="shared" si="410"/>
        <v>-4.1237999999999886E-2</v>
      </c>
      <c r="BO189">
        <f t="shared" si="410"/>
        <v>-8.4055999999999909E-2</v>
      </c>
      <c r="BP189">
        <f t="shared" si="410"/>
        <v>-0.12845399999999985</v>
      </c>
      <c r="BQ189">
        <f t="shared" si="410"/>
        <v>-0.17443199999999992</v>
      </c>
      <c r="BR189">
        <f t="shared" si="410"/>
        <v>-0.22198999999999991</v>
      </c>
      <c r="BS189">
        <f t="shared" si="410"/>
        <v>-0.27112799999999992</v>
      </c>
    </row>
    <row r="190" spans="2:71" x14ac:dyDescent="0.35">
      <c r="B190" t="s">
        <v>237</v>
      </c>
      <c r="C190" s="19">
        <f>regions!B168</f>
        <v>49991300</v>
      </c>
      <c r="D190" s="19">
        <f>regions!C168</f>
        <v>289811738503.83063</v>
      </c>
      <c r="E190" s="8">
        <f>regions!D168</f>
        <v>5797.2434904439497</v>
      </c>
      <c r="F190" s="1">
        <f>regions!Z168</f>
        <v>17.8</v>
      </c>
      <c r="G190" s="8"/>
      <c r="H190" s="8"/>
      <c r="I190">
        <f t="shared" si="396"/>
        <v>0</v>
      </c>
      <c r="J190">
        <f t="shared" si="397"/>
        <v>0</v>
      </c>
      <c r="K190">
        <f t="shared" si="397"/>
        <v>0</v>
      </c>
      <c r="L190">
        <f t="shared" si="397"/>
        <v>0</v>
      </c>
      <c r="M190">
        <f t="shared" si="397"/>
        <v>0</v>
      </c>
      <c r="N190">
        <f t="shared" si="397"/>
        <v>0</v>
      </c>
      <c r="O190">
        <f t="shared" si="397"/>
        <v>0</v>
      </c>
      <c r="P190">
        <f t="shared" si="398"/>
        <v>-0.12673600000000002</v>
      </c>
      <c r="Q190">
        <f t="shared" si="399"/>
        <v>-1.4640000000000014E-2</v>
      </c>
      <c r="R190">
        <f t="shared" si="399"/>
        <v>-3.0079999999999996E-2</v>
      </c>
      <c r="S190">
        <f t="shared" si="399"/>
        <v>-4.632E-2</v>
      </c>
      <c r="T190">
        <f t="shared" si="399"/>
        <v>-6.336E-2</v>
      </c>
      <c r="U190">
        <f t="shared" si="399"/>
        <v>-8.1199999999999994E-2</v>
      </c>
      <c r="V190">
        <f t="shared" si="399"/>
        <v>-9.9840000000000012E-2</v>
      </c>
      <c r="W190">
        <f t="shared" si="400"/>
        <v>-0.15842000000000003</v>
      </c>
      <c r="X190">
        <f t="shared" si="401"/>
        <v>-1.8300000000000011E-2</v>
      </c>
      <c r="Y190">
        <f t="shared" si="401"/>
        <v>-3.7599999999999995E-2</v>
      </c>
      <c r="Z190">
        <f t="shared" si="401"/>
        <v>-5.7899999999999979E-2</v>
      </c>
      <c r="AA190">
        <f t="shared" si="401"/>
        <v>-7.9199999999999965E-2</v>
      </c>
      <c r="AB190">
        <f t="shared" si="401"/>
        <v>-0.10150000000000001</v>
      </c>
      <c r="AC190">
        <f t="shared" si="401"/>
        <v>-0.12479999999999999</v>
      </c>
      <c r="AD190">
        <f t="shared" si="402"/>
        <v>-0.14352852000000002</v>
      </c>
      <c r="AE190">
        <f t="shared" si="403"/>
        <v>-1.6579800000000006E-2</v>
      </c>
      <c r="AF190">
        <f t="shared" si="403"/>
        <v>-3.4065600000000001E-2</v>
      </c>
      <c r="AG190">
        <f t="shared" si="403"/>
        <v>-5.2457400000000015E-2</v>
      </c>
      <c r="AH190">
        <f t="shared" si="403"/>
        <v>-7.1755199999999991E-2</v>
      </c>
      <c r="AI190">
        <f t="shared" si="403"/>
        <v>-9.1958999999999985E-2</v>
      </c>
      <c r="AJ190">
        <f t="shared" si="403"/>
        <v>-0.1130688</v>
      </c>
      <c r="AK190">
        <f t="shared" si="404"/>
        <v>-0.16158840000000002</v>
      </c>
      <c r="AL190">
        <f t="shared" si="405"/>
        <v>-1.8666000000000016E-2</v>
      </c>
      <c r="AM190">
        <f t="shared" si="405"/>
        <v>-3.8351999999999997E-2</v>
      </c>
      <c r="AN190">
        <f t="shared" si="405"/>
        <v>-5.9058000000000027E-2</v>
      </c>
      <c r="AO190">
        <f t="shared" si="405"/>
        <v>-8.0783999999999995E-2</v>
      </c>
      <c r="AP190">
        <f t="shared" si="405"/>
        <v>-0.10353000000000001</v>
      </c>
      <c r="AQ190">
        <f t="shared" si="405"/>
        <v>-0.12729600000000002</v>
      </c>
      <c r="AR190">
        <f t="shared" si="406"/>
        <v>-0.24111524000000001</v>
      </c>
      <c r="AS190">
        <f t="shared" si="407"/>
        <v>-2.7852600000000005E-2</v>
      </c>
      <c r="AT190">
        <f t="shared" si="407"/>
        <v>-5.7227199999999978E-2</v>
      </c>
      <c r="AU190">
        <f t="shared" si="407"/>
        <v>-8.812380000000003E-2</v>
      </c>
      <c r="AV190">
        <f t="shared" si="407"/>
        <v>-0.12054239999999999</v>
      </c>
      <c r="AW190">
        <f t="shared" si="407"/>
        <v>-0.15448299999999998</v>
      </c>
      <c r="AX190">
        <f t="shared" si="407"/>
        <v>-0.18994559999999999</v>
      </c>
      <c r="AY190">
        <f t="shared" si="370"/>
        <v>-6.6536400000000009E-2</v>
      </c>
      <c r="AZ190">
        <f t="shared" si="408"/>
        <v>-7.6859999999999984E-3</v>
      </c>
      <c r="BA190">
        <f t="shared" si="408"/>
        <v>-1.5792E-2</v>
      </c>
      <c r="BB190">
        <f t="shared" si="408"/>
        <v>-2.4318000000000006E-2</v>
      </c>
      <c r="BC190">
        <f t="shared" si="408"/>
        <v>-3.3264000000000002E-2</v>
      </c>
      <c r="BD190">
        <f t="shared" si="408"/>
        <v>-4.2630000000000001E-2</v>
      </c>
      <c r="BE190">
        <f t="shared" si="408"/>
        <v>-5.2416000000000004E-2</v>
      </c>
      <c r="BF190">
        <f t="shared" si="372"/>
        <v>-7.9210000000000017E-2</v>
      </c>
      <c r="BG190">
        <f t="shared" si="409"/>
        <v>-9.1500000000000054E-3</v>
      </c>
      <c r="BH190">
        <f t="shared" si="409"/>
        <v>-1.8799999999999997E-2</v>
      </c>
      <c r="BI190">
        <f t="shared" si="409"/>
        <v>-2.894999999999999E-2</v>
      </c>
      <c r="BJ190">
        <f t="shared" si="409"/>
        <v>-3.9599999999999982E-2</v>
      </c>
      <c r="BK190">
        <f t="shared" si="409"/>
        <v>-5.0750000000000003E-2</v>
      </c>
      <c r="BL190">
        <f t="shared" si="409"/>
        <v>-6.2399999999999997E-2</v>
      </c>
      <c r="BM190">
        <f t="shared" si="374"/>
        <v>-0.25030360000000001</v>
      </c>
      <c r="BN190">
        <f t="shared" si="410"/>
        <v>-2.8914000000000051E-2</v>
      </c>
      <c r="BO190">
        <f t="shared" si="410"/>
        <v>-5.9408000000000016E-2</v>
      </c>
      <c r="BP190">
        <f t="shared" si="410"/>
        <v>-9.1482000000000008E-2</v>
      </c>
      <c r="BQ190">
        <f t="shared" si="410"/>
        <v>-0.12513600000000002</v>
      </c>
      <c r="BR190">
        <f t="shared" si="410"/>
        <v>-0.16037000000000001</v>
      </c>
      <c r="BS190">
        <f t="shared" si="410"/>
        <v>-0.19718400000000003</v>
      </c>
    </row>
    <row r="191" spans="2:71" x14ac:dyDescent="0.35">
      <c r="B191" t="s">
        <v>186</v>
      </c>
      <c r="C191" s="19">
        <f>regions!B169</f>
        <v>49410000</v>
      </c>
      <c r="D191" s="19">
        <f>regions!C169</f>
        <v>1098690046553.521</v>
      </c>
      <c r="E191" s="8">
        <f>regions!D169</f>
        <v>22236.187948867053</v>
      </c>
      <c r="F191" s="1">
        <f>regions!Z169</f>
        <v>11.5</v>
      </c>
      <c r="G191" s="8"/>
      <c r="H191" s="8"/>
      <c r="I191">
        <f t="shared" si="396"/>
        <v>0</v>
      </c>
      <c r="J191">
        <f t="shared" si="397"/>
        <v>0</v>
      </c>
      <c r="K191">
        <f t="shared" si="397"/>
        <v>0</v>
      </c>
      <c r="L191">
        <f t="shared" si="397"/>
        <v>0</v>
      </c>
      <c r="M191">
        <f t="shared" si="397"/>
        <v>0</v>
      </c>
      <c r="N191">
        <f t="shared" si="397"/>
        <v>0</v>
      </c>
      <c r="O191">
        <f t="shared" si="397"/>
        <v>0</v>
      </c>
      <c r="P191">
        <f t="shared" si="398"/>
        <v>-5.2900000000000003E-2</v>
      </c>
      <c r="Q191">
        <f t="shared" si="399"/>
        <v>-9.5999999999999974E-3</v>
      </c>
      <c r="R191">
        <f t="shared" si="399"/>
        <v>-2.0000000000000004E-2</v>
      </c>
      <c r="S191">
        <f t="shared" si="399"/>
        <v>-3.1200000000000006E-2</v>
      </c>
      <c r="T191">
        <f t="shared" si="399"/>
        <v>-4.3200000000000002E-2</v>
      </c>
      <c r="U191">
        <f t="shared" si="399"/>
        <v>-5.6000000000000008E-2</v>
      </c>
      <c r="V191">
        <f t="shared" si="399"/>
        <v>-6.9600000000000009E-2</v>
      </c>
      <c r="W191">
        <f t="shared" si="400"/>
        <v>-6.6125000000000003E-2</v>
      </c>
      <c r="X191">
        <f t="shared" si="401"/>
        <v>-1.1999999999999997E-2</v>
      </c>
      <c r="Y191">
        <f t="shared" si="401"/>
        <v>-2.4999999999999994E-2</v>
      </c>
      <c r="Z191">
        <f t="shared" si="401"/>
        <v>-3.8999999999999993E-2</v>
      </c>
      <c r="AA191">
        <f t="shared" si="401"/>
        <v>-5.3999999999999992E-2</v>
      </c>
      <c r="AB191">
        <f t="shared" si="401"/>
        <v>-6.9999999999999993E-2</v>
      </c>
      <c r="AC191">
        <f t="shared" si="401"/>
        <v>-8.7000000000000008E-2</v>
      </c>
      <c r="AD191">
        <f t="shared" si="402"/>
        <v>-5.9909250000000004E-2</v>
      </c>
      <c r="AE191">
        <f t="shared" si="403"/>
        <v>-1.0872E-2</v>
      </c>
      <c r="AF191">
        <f t="shared" si="403"/>
        <v>-2.2649999999999997E-2</v>
      </c>
      <c r="AG191">
        <f t="shared" si="403"/>
        <v>-3.5333999999999997E-2</v>
      </c>
      <c r="AH191">
        <f t="shared" si="403"/>
        <v>-4.8924000000000002E-2</v>
      </c>
      <c r="AI191">
        <f t="shared" si="403"/>
        <v>-6.3420000000000004E-2</v>
      </c>
      <c r="AJ191">
        <f t="shared" si="403"/>
        <v>-7.8822000000000003E-2</v>
      </c>
      <c r="AK191">
        <f t="shared" si="404"/>
        <v>-6.7447500000000007E-2</v>
      </c>
      <c r="AL191">
        <f t="shared" si="405"/>
        <v>-1.2240000000000001E-2</v>
      </c>
      <c r="AM191">
        <f t="shared" si="405"/>
        <v>-2.5499999999999995E-2</v>
      </c>
      <c r="AN191">
        <f t="shared" si="405"/>
        <v>-3.9779999999999996E-2</v>
      </c>
      <c r="AO191">
        <f t="shared" si="405"/>
        <v>-5.5080000000000004E-2</v>
      </c>
      <c r="AP191">
        <f t="shared" si="405"/>
        <v>-7.1400000000000005E-2</v>
      </c>
      <c r="AQ191">
        <f t="shared" si="405"/>
        <v>-8.8739999999999999E-2</v>
      </c>
      <c r="AR191">
        <f t="shared" si="406"/>
        <v>-0.10064224999999999</v>
      </c>
      <c r="AS191">
        <f t="shared" si="407"/>
        <v>-1.8264000000000002E-2</v>
      </c>
      <c r="AT191">
        <f t="shared" si="407"/>
        <v>-3.805E-2</v>
      </c>
      <c r="AU191">
        <f t="shared" si="407"/>
        <v>-5.9357999999999994E-2</v>
      </c>
      <c r="AV191">
        <f t="shared" si="407"/>
        <v>-8.2188000000000011E-2</v>
      </c>
      <c r="AW191">
        <f t="shared" si="407"/>
        <v>-0.10654</v>
      </c>
      <c r="AX191">
        <f t="shared" si="407"/>
        <v>-0.132414</v>
      </c>
      <c r="AY191">
        <f t="shared" si="370"/>
        <v>-2.7772500000000002E-2</v>
      </c>
      <c r="AZ191">
        <f t="shared" si="408"/>
        <v>-5.0399999999999993E-3</v>
      </c>
      <c r="BA191">
        <f t="shared" si="408"/>
        <v>-1.0499999999999999E-2</v>
      </c>
      <c r="BB191">
        <f t="shared" si="408"/>
        <v>-1.6380000000000002E-2</v>
      </c>
      <c r="BC191">
        <f t="shared" si="408"/>
        <v>-2.2680000000000002E-2</v>
      </c>
      <c r="BD191">
        <f t="shared" si="408"/>
        <v>-2.9399999999999999E-2</v>
      </c>
      <c r="BE191">
        <f t="shared" si="408"/>
        <v>-3.6540000000000003E-2</v>
      </c>
      <c r="BF191">
        <f t="shared" si="372"/>
        <v>-3.3062500000000002E-2</v>
      </c>
      <c r="BG191">
        <f t="shared" si="409"/>
        <v>-5.9999999999999984E-3</v>
      </c>
      <c r="BH191">
        <f t="shared" si="409"/>
        <v>-1.2499999999999997E-2</v>
      </c>
      <c r="BI191">
        <f t="shared" si="409"/>
        <v>-1.9499999999999997E-2</v>
      </c>
      <c r="BJ191">
        <f t="shared" si="409"/>
        <v>-2.6999999999999996E-2</v>
      </c>
      <c r="BK191">
        <f t="shared" si="409"/>
        <v>-3.4999999999999996E-2</v>
      </c>
      <c r="BL191">
        <f t="shared" si="409"/>
        <v>-4.3500000000000004E-2</v>
      </c>
      <c r="BM191">
        <f t="shared" si="374"/>
        <v>-0.1044775</v>
      </c>
      <c r="BN191">
        <f t="shared" si="410"/>
        <v>-1.8960000000000005E-2</v>
      </c>
      <c r="BO191">
        <f t="shared" si="410"/>
        <v>-3.9500000000000007E-2</v>
      </c>
      <c r="BP191">
        <f t="shared" si="410"/>
        <v>-6.1620000000000008E-2</v>
      </c>
      <c r="BQ191">
        <f t="shared" si="410"/>
        <v>-8.5320000000000007E-2</v>
      </c>
      <c r="BR191">
        <f t="shared" si="410"/>
        <v>-0.1106</v>
      </c>
      <c r="BS191">
        <f t="shared" si="410"/>
        <v>-0.13746</v>
      </c>
    </row>
    <row r="192" spans="2:71" x14ac:dyDescent="0.35">
      <c r="B192" t="s">
        <v>187</v>
      </c>
      <c r="C192" s="19">
        <f>regions!B170</f>
        <v>46070971</v>
      </c>
      <c r="D192" s="19">
        <f>regions!C170</f>
        <v>1179232117935.5505</v>
      </c>
      <c r="E192" s="8">
        <f>regions!D170</f>
        <v>25595.990106992766</v>
      </c>
      <c r="F192" s="1">
        <f>regions!Z170</f>
        <v>13.3</v>
      </c>
      <c r="G192" s="8"/>
      <c r="H192" s="8"/>
      <c r="I192">
        <f t="shared" si="396"/>
        <v>0</v>
      </c>
      <c r="J192">
        <f t="shared" si="397"/>
        <v>0</v>
      </c>
      <c r="K192">
        <f t="shared" si="397"/>
        <v>0</v>
      </c>
      <c r="L192">
        <f t="shared" si="397"/>
        <v>0</v>
      </c>
      <c r="M192">
        <f t="shared" si="397"/>
        <v>0</v>
      </c>
      <c r="N192">
        <f t="shared" si="397"/>
        <v>0</v>
      </c>
      <c r="O192">
        <f t="shared" si="397"/>
        <v>0</v>
      </c>
      <c r="P192">
        <f t="shared" si="398"/>
        <v>-7.0756000000000013E-2</v>
      </c>
      <c r="Q192">
        <f t="shared" si="399"/>
        <v>-1.1039999999999994E-2</v>
      </c>
      <c r="R192">
        <f t="shared" si="399"/>
        <v>-2.2879999999999998E-2</v>
      </c>
      <c r="S192">
        <f t="shared" si="399"/>
        <v>-3.5519999999999996E-2</v>
      </c>
      <c r="T192">
        <f t="shared" si="399"/>
        <v>-4.8960000000000004E-2</v>
      </c>
      <c r="U192">
        <f t="shared" si="399"/>
        <v>-6.3200000000000006E-2</v>
      </c>
      <c r="V192">
        <f t="shared" si="399"/>
        <v>-7.8240000000000004E-2</v>
      </c>
      <c r="W192">
        <f t="shared" si="400"/>
        <v>-8.844500000000001E-2</v>
      </c>
      <c r="X192">
        <f t="shared" si="401"/>
        <v>-1.3799999999999993E-2</v>
      </c>
      <c r="Y192">
        <f t="shared" si="401"/>
        <v>-2.8600000000000014E-2</v>
      </c>
      <c r="Z192">
        <f t="shared" si="401"/>
        <v>-4.4399999999999981E-2</v>
      </c>
      <c r="AA192">
        <f t="shared" si="401"/>
        <v>-6.1199999999999991E-2</v>
      </c>
      <c r="AB192">
        <f t="shared" si="401"/>
        <v>-7.9000000000000029E-2</v>
      </c>
      <c r="AC192">
        <f t="shared" si="401"/>
        <v>-9.7800000000000012E-2</v>
      </c>
      <c r="AD192">
        <f t="shared" si="402"/>
        <v>-8.0131170000000002E-2</v>
      </c>
      <c r="AE192">
        <f t="shared" si="403"/>
        <v>-1.2502800000000008E-2</v>
      </c>
      <c r="AF192">
        <f t="shared" si="403"/>
        <v>-2.5911600000000021E-2</v>
      </c>
      <c r="AG192">
        <f t="shared" si="403"/>
        <v>-4.0226399999999995E-2</v>
      </c>
      <c r="AH192">
        <f t="shared" si="403"/>
        <v>-5.5447200000000002E-2</v>
      </c>
      <c r="AI192">
        <f t="shared" si="403"/>
        <v>-7.1574000000000026E-2</v>
      </c>
      <c r="AJ192">
        <f t="shared" si="403"/>
        <v>-8.8606800000000013E-2</v>
      </c>
      <c r="AK192">
        <f t="shared" si="404"/>
        <v>-9.0213900000000014E-2</v>
      </c>
      <c r="AL192">
        <f t="shared" si="405"/>
        <v>-1.4076000000000005E-2</v>
      </c>
      <c r="AM192">
        <f t="shared" si="405"/>
        <v>-2.9172000000000017E-2</v>
      </c>
      <c r="AN192">
        <f t="shared" si="405"/>
        <v>-4.5287999999999995E-2</v>
      </c>
      <c r="AO192">
        <f t="shared" si="405"/>
        <v>-6.2424000000000007E-2</v>
      </c>
      <c r="AP192">
        <f t="shared" si="405"/>
        <v>-8.0580000000000013E-2</v>
      </c>
      <c r="AQ192">
        <f t="shared" si="405"/>
        <v>-9.9756000000000011E-2</v>
      </c>
      <c r="AR192">
        <f t="shared" si="406"/>
        <v>-0.13461329</v>
      </c>
      <c r="AS192">
        <f t="shared" si="407"/>
        <v>-2.1003600000000011E-2</v>
      </c>
      <c r="AT192">
        <f t="shared" si="407"/>
        <v>-4.3529200000000018E-2</v>
      </c>
      <c r="AU192">
        <f t="shared" si="407"/>
        <v>-6.7576799999999992E-2</v>
      </c>
      <c r="AV192">
        <f t="shared" si="407"/>
        <v>-9.3146400000000018E-2</v>
      </c>
      <c r="AW192">
        <f t="shared" si="407"/>
        <v>-0.12023800000000001</v>
      </c>
      <c r="AX192">
        <f t="shared" si="407"/>
        <v>-0.14885159999999997</v>
      </c>
      <c r="AY192">
        <f t="shared" si="370"/>
        <v>-3.7146900000000004E-2</v>
      </c>
      <c r="AZ192">
        <f t="shared" si="408"/>
        <v>-5.7960000000000025E-3</v>
      </c>
      <c r="BA192">
        <f t="shared" si="408"/>
        <v>-1.2012000000000002E-2</v>
      </c>
      <c r="BB192">
        <f t="shared" si="408"/>
        <v>-1.8647999999999998E-2</v>
      </c>
      <c r="BC192">
        <f t="shared" si="408"/>
        <v>-2.5703999999999998E-2</v>
      </c>
      <c r="BD192">
        <f t="shared" si="408"/>
        <v>-3.3180000000000008E-2</v>
      </c>
      <c r="BE192">
        <f t="shared" si="408"/>
        <v>-4.1076000000000008E-2</v>
      </c>
      <c r="BF192">
        <f t="shared" si="372"/>
        <v>-4.4222500000000005E-2</v>
      </c>
      <c r="BG192">
        <f t="shared" si="409"/>
        <v>-6.8999999999999964E-3</v>
      </c>
      <c r="BH192">
        <f t="shared" si="409"/>
        <v>-1.4300000000000007E-2</v>
      </c>
      <c r="BI192">
        <f t="shared" si="409"/>
        <v>-2.2199999999999991E-2</v>
      </c>
      <c r="BJ192">
        <f t="shared" si="409"/>
        <v>-3.0599999999999995E-2</v>
      </c>
      <c r="BK192">
        <f t="shared" si="409"/>
        <v>-3.9500000000000014E-2</v>
      </c>
      <c r="BL192">
        <f t="shared" si="409"/>
        <v>-4.8900000000000006E-2</v>
      </c>
      <c r="BM192">
        <f t="shared" si="374"/>
        <v>-0.13974310000000001</v>
      </c>
      <c r="BN192">
        <f t="shared" si="410"/>
        <v>-2.180399999999999E-2</v>
      </c>
      <c r="BO192">
        <f t="shared" si="410"/>
        <v>-4.5188000000000006E-2</v>
      </c>
      <c r="BP192">
        <f t="shared" si="410"/>
        <v>-7.0151999999999992E-2</v>
      </c>
      <c r="BQ192">
        <f t="shared" si="410"/>
        <v>-9.6696000000000004E-2</v>
      </c>
      <c r="BR192">
        <f t="shared" si="410"/>
        <v>-0.12482000000000004</v>
      </c>
      <c r="BS192">
        <f t="shared" si="410"/>
        <v>-0.15452399999999999</v>
      </c>
    </row>
    <row r="193" spans="2:71" x14ac:dyDescent="0.35">
      <c r="B193" t="s">
        <v>188</v>
      </c>
      <c r="C193" s="19">
        <f>regions!B171</f>
        <v>20653000</v>
      </c>
      <c r="D193" s="19">
        <f>regions!C171</f>
        <v>33253082140.166439</v>
      </c>
      <c r="E193" s="8">
        <f>regions!D171</f>
        <v>1610.0848370777339</v>
      </c>
      <c r="F193" s="1">
        <f>regions!Z171</f>
        <v>26.9</v>
      </c>
      <c r="G193" s="8"/>
      <c r="H193" s="8"/>
      <c r="I193">
        <f t="shared" si="396"/>
        <v>-0.37498599999999999</v>
      </c>
      <c r="J193">
        <f t="shared" si="397"/>
        <v>-1.3939999999999952E-2</v>
      </c>
      <c r="K193">
        <f t="shared" si="397"/>
        <v>-2.787999999999996E-2</v>
      </c>
      <c r="L193">
        <f t="shared" si="397"/>
        <v>-4.1819999999999968E-2</v>
      </c>
      <c r="M193">
        <f t="shared" si="397"/>
        <v>-5.5759999999999976E-2</v>
      </c>
      <c r="N193">
        <f t="shared" si="397"/>
        <v>-6.9699999999999984E-2</v>
      </c>
      <c r="O193">
        <f t="shared" si="397"/>
        <v>-8.3639999999999992E-2</v>
      </c>
      <c r="P193">
        <f t="shared" si="398"/>
        <v>-0.28944399999999998</v>
      </c>
      <c r="Q193">
        <f t="shared" si="399"/>
        <v>-2.1920000000000051E-2</v>
      </c>
      <c r="R193">
        <f t="shared" si="399"/>
        <v>-4.4640000000000013E-2</v>
      </c>
      <c r="S193">
        <f t="shared" si="399"/>
        <v>-6.8159999999999998E-2</v>
      </c>
      <c r="T193">
        <f t="shared" si="399"/>
        <v>-9.2480000000000007E-2</v>
      </c>
      <c r="U193">
        <f t="shared" si="399"/>
        <v>-0.11759999999999998</v>
      </c>
      <c r="V193">
        <f t="shared" si="399"/>
        <v>-0.14351999999999998</v>
      </c>
      <c r="W193">
        <f t="shared" si="400"/>
        <v>-0.36180499999999993</v>
      </c>
      <c r="X193">
        <f t="shared" si="401"/>
        <v>-2.7400000000000035E-2</v>
      </c>
      <c r="Y193">
        <f t="shared" si="401"/>
        <v>-5.5800000000000016E-2</v>
      </c>
      <c r="Z193">
        <f t="shared" si="401"/>
        <v>-8.5199999999999998E-2</v>
      </c>
      <c r="AA193">
        <f t="shared" si="401"/>
        <v>-0.11560000000000004</v>
      </c>
      <c r="AB193">
        <f t="shared" si="401"/>
        <v>-0.14700000000000002</v>
      </c>
      <c r="AC193">
        <f t="shared" si="401"/>
        <v>-0.1794</v>
      </c>
      <c r="AD193">
        <f t="shared" si="402"/>
        <v>-0.32779532999999994</v>
      </c>
      <c r="AE193">
        <f t="shared" si="403"/>
        <v>-2.4824400000000024E-2</v>
      </c>
      <c r="AF193">
        <f t="shared" si="403"/>
        <v>-5.0554800000000011E-2</v>
      </c>
      <c r="AG193">
        <f t="shared" si="403"/>
        <v>-7.7191200000000015E-2</v>
      </c>
      <c r="AH193">
        <f t="shared" si="403"/>
        <v>-0.10473360000000004</v>
      </c>
      <c r="AI193">
        <f t="shared" si="403"/>
        <v>-0.13318200000000002</v>
      </c>
      <c r="AJ193">
        <f t="shared" si="403"/>
        <v>-0.16253640000000003</v>
      </c>
      <c r="AK193">
        <f t="shared" si="404"/>
        <v>-0.36904109999999996</v>
      </c>
      <c r="AL193">
        <f t="shared" si="405"/>
        <v>-2.7948000000000084E-2</v>
      </c>
      <c r="AM193">
        <f t="shared" si="405"/>
        <v>-5.6916000000000022E-2</v>
      </c>
      <c r="AN193">
        <f t="shared" si="405"/>
        <v>-8.6904000000000037E-2</v>
      </c>
      <c r="AO193">
        <f t="shared" si="405"/>
        <v>-0.11791200000000007</v>
      </c>
      <c r="AP193">
        <f t="shared" si="405"/>
        <v>-0.14994000000000002</v>
      </c>
      <c r="AQ193">
        <f t="shared" si="405"/>
        <v>-0.18298799999999998</v>
      </c>
      <c r="AR193">
        <f t="shared" si="406"/>
        <v>-0.55066720999999985</v>
      </c>
      <c r="AS193">
        <f t="shared" si="407"/>
        <v>-4.170280000000004E-2</v>
      </c>
      <c r="AT193">
        <f t="shared" si="407"/>
        <v>-8.4927600000000103E-2</v>
      </c>
      <c r="AU193">
        <f t="shared" si="407"/>
        <v>-0.12967439999999997</v>
      </c>
      <c r="AV193">
        <f t="shared" si="407"/>
        <v>-0.17594320000000008</v>
      </c>
      <c r="AW193">
        <f t="shared" si="407"/>
        <v>-0.22373399999999999</v>
      </c>
      <c r="AX193">
        <f t="shared" si="407"/>
        <v>-0.27304680000000003</v>
      </c>
      <c r="AY193">
        <f t="shared" si="370"/>
        <v>-0.15195809999999998</v>
      </c>
      <c r="AZ193">
        <f t="shared" si="408"/>
        <v>-1.1508000000000018E-2</v>
      </c>
      <c r="BA193">
        <f t="shared" si="408"/>
        <v>-2.3436000000000012E-2</v>
      </c>
      <c r="BB193">
        <f t="shared" si="408"/>
        <v>-3.578400000000001E-2</v>
      </c>
      <c r="BC193">
        <f t="shared" si="408"/>
        <v>-4.8552000000000012E-2</v>
      </c>
      <c r="BD193">
        <f t="shared" si="408"/>
        <v>-6.1739999999999989E-2</v>
      </c>
      <c r="BE193">
        <f t="shared" si="408"/>
        <v>-7.5347999999999998E-2</v>
      </c>
      <c r="BF193">
        <f t="shared" si="372"/>
        <v>-0.18090249999999997</v>
      </c>
      <c r="BG193">
        <f t="shared" si="409"/>
        <v>-1.3700000000000018E-2</v>
      </c>
      <c r="BH193">
        <f t="shared" si="409"/>
        <v>-2.7900000000000008E-2</v>
      </c>
      <c r="BI193">
        <f t="shared" si="409"/>
        <v>-4.2599999999999999E-2</v>
      </c>
      <c r="BJ193">
        <f t="shared" si="409"/>
        <v>-5.7800000000000018E-2</v>
      </c>
      <c r="BK193">
        <f t="shared" si="409"/>
        <v>-7.350000000000001E-2</v>
      </c>
      <c r="BL193">
        <f t="shared" si="409"/>
        <v>-8.9700000000000002E-2</v>
      </c>
      <c r="BM193">
        <f t="shared" si="374"/>
        <v>-0.57165189999999988</v>
      </c>
      <c r="BN193">
        <f t="shared" si="410"/>
        <v>-4.3292000000000108E-2</v>
      </c>
      <c r="BO193">
        <f t="shared" si="410"/>
        <v>-8.816400000000002E-2</v>
      </c>
      <c r="BP193">
        <f t="shared" si="410"/>
        <v>-0.13461600000000007</v>
      </c>
      <c r="BQ193">
        <f t="shared" si="410"/>
        <v>-0.18264800000000014</v>
      </c>
      <c r="BR193">
        <f t="shared" si="410"/>
        <v>-0.23226000000000002</v>
      </c>
      <c r="BS193">
        <f t="shared" si="410"/>
        <v>-0.28345200000000004</v>
      </c>
    </row>
    <row r="194" spans="2:71" x14ac:dyDescent="0.35">
      <c r="B194" t="s">
        <v>409</v>
      </c>
      <c r="C194" s="19">
        <f>regions!B172</f>
        <v>35652002</v>
      </c>
      <c r="D194" s="19">
        <f>regions!C172</f>
        <v>35822262376.238686</v>
      </c>
      <c r="E194" s="8">
        <f>regions!D172</f>
        <v>1004.7756189466916</v>
      </c>
      <c r="F194" s="1">
        <f>regions!Z172</f>
        <v>26.8</v>
      </c>
      <c r="G194" s="8"/>
      <c r="H194" s="8"/>
      <c r="I194">
        <f t="shared" si="396"/>
        <v>-0.37359199999999998</v>
      </c>
      <c r="J194">
        <f t="shared" si="397"/>
        <v>-1.3940000000000008E-2</v>
      </c>
      <c r="K194">
        <f t="shared" si="397"/>
        <v>-2.7880000000000016E-2</v>
      </c>
      <c r="L194">
        <f t="shared" si="397"/>
        <v>-4.1820000000000024E-2</v>
      </c>
      <c r="M194">
        <f t="shared" si="397"/>
        <v>-5.5760000000000032E-2</v>
      </c>
      <c r="N194">
        <f t="shared" si="397"/>
        <v>-6.9699999999999984E-2</v>
      </c>
      <c r="O194">
        <f t="shared" si="397"/>
        <v>-8.3639999999999937E-2</v>
      </c>
      <c r="P194">
        <f t="shared" si="398"/>
        <v>-0.287296</v>
      </c>
      <c r="Q194">
        <f t="shared" si="399"/>
        <v>-2.1840000000000026E-2</v>
      </c>
      <c r="R194">
        <f t="shared" si="399"/>
        <v>-4.448000000000002E-2</v>
      </c>
      <c r="S194">
        <f t="shared" si="399"/>
        <v>-6.7920000000000036E-2</v>
      </c>
      <c r="T194">
        <f t="shared" si="399"/>
        <v>-9.2160000000000075E-2</v>
      </c>
      <c r="U194">
        <f t="shared" si="399"/>
        <v>-0.11720000000000003</v>
      </c>
      <c r="V194">
        <f t="shared" si="399"/>
        <v>-0.14304</v>
      </c>
      <c r="W194">
        <f t="shared" si="400"/>
        <v>-0.35911999999999999</v>
      </c>
      <c r="X194">
        <f t="shared" si="401"/>
        <v>-2.7300000000000046E-2</v>
      </c>
      <c r="Y194">
        <f t="shared" si="401"/>
        <v>-5.5600000000000038E-2</v>
      </c>
      <c r="Z194">
        <f t="shared" si="401"/>
        <v>-8.4900000000000031E-2</v>
      </c>
      <c r="AA194">
        <f t="shared" si="401"/>
        <v>-0.11520000000000008</v>
      </c>
      <c r="AB194">
        <f t="shared" si="401"/>
        <v>-0.14650000000000007</v>
      </c>
      <c r="AC194">
        <f t="shared" si="401"/>
        <v>-0.17879999999999996</v>
      </c>
      <c r="AD194">
        <f t="shared" si="402"/>
        <v>-0.32536271999999999</v>
      </c>
      <c r="AE194">
        <f t="shared" si="403"/>
        <v>-2.4733800000000028E-2</v>
      </c>
      <c r="AF194">
        <f t="shared" si="403"/>
        <v>-5.0373600000000018E-2</v>
      </c>
      <c r="AG194">
        <f t="shared" si="403"/>
        <v>-7.6919400000000027E-2</v>
      </c>
      <c r="AH194">
        <f t="shared" si="403"/>
        <v>-0.10437120000000005</v>
      </c>
      <c r="AI194">
        <f t="shared" si="403"/>
        <v>-0.13272900000000004</v>
      </c>
      <c r="AJ194">
        <f t="shared" si="403"/>
        <v>-0.16199279999999999</v>
      </c>
      <c r="AK194">
        <f t="shared" si="404"/>
        <v>-0.36630240000000003</v>
      </c>
      <c r="AL194">
        <f t="shared" si="405"/>
        <v>-2.7846000000000037E-2</v>
      </c>
      <c r="AM194">
        <f t="shared" si="405"/>
        <v>-5.671200000000004E-2</v>
      </c>
      <c r="AN194">
        <f t="shared" si="405"/>
        <v>-8.6598000000000064E-2</v>
      </c>
      <c r="AO194">
        <f t="shared" si="405"/>
        <v>-0.11750400000000005</v>
      </c>
      <c r="AP194">
        <f t="shared" si="405"/>
        <v>-0.14943000000000006</v>
      </c>
      <c r="AQ194">
        <f t="shared" si="405"/>
        <v>-0.18237599999999998</v>
      </c>
      <c r="AR194">
        <f t="shared" si="406"/>
        <v>-0.54658063999999995</v>
      </c>
      <c r="AS194">
        <f t="shared" si="407"/>
        <v>-4.1550599999999993E-2</v>
      </c>
      <c r="AT194">
        <f t="shared" si="407"/>
        <v>-8.462320000000001E-2</v>
      </c>
      <c r="AU194">
        <f t="shared" si="407"/>
        <v>-0.12921780000000005</v>
      </c>
      <c r="AV194">
        <f t="shared" si="407"/>
        <v>-0.17533440000000011</v>
      </c>
      <c r="AW194">
        <f t="shared" si="407"/>
        <v>-0.22297299999999998</v>
      </c>
      <c r="AX194">
        <f t="shared" si="407"/>
        <v>-0.27213359999999998</v>
      </c>
      <c r="AY194">
        <f t="shared" si="370"/>
        <v>-0.1508304</v>
      </c>
      <c r="AZ194">
        <f t="shared" si="408"/>
        <v>-1.1466000000000004E-2</v>
      </c>
      <c r="BA194">
        <f t="shared" si="408"/>
        <v>-2.3352000000000012E-2</v>
      </c>
      <c r="BB194">
        <f t="shared" si="408"/>
        <v>-3.5658000000000023E-2</v>
      </c>
      <c r="BC194">
        <f t="shared" si="408"/>
        <v>-4.8384000000000038E-2</v>
      </c>
      <c r="BD194">
        <f t="shared" si="408"/>
        <v>-6.1530000000000001E-2</v>
      </c>
      <c r="BE194">
        <f t="shared" si="408"/>
        <v>-7.5095999999999996E-2</v>
      </c>
      <c r="BF194">
        <f t="shared" si="372"/>
        <v>-0.17956</v>
      </c>
      <c r="BG194">
        <f t="shared" si="409"/>
        <v>-1.3650000000000023E-2</v>
      </c>
      <c r="BH194">
        <f t="shared" si="409"/>
        <v>-2.7800000000000019E-2</v>
      </c>
      <c r="BI194">
        <f t="shared" si="409"/>
        <v>-4.2450000000000015E-2</v>
      </c>
      <c r="BJ194">
        <f t="shared" si="409"/>
        <v>-5.760000000000004E-2</v>
      </c>
      <c r="BK194">
        <f t="shared" si="409"/>
        <v>-7.3250000000000037E-2</v>
      </c>
      <c r="BL194">
        <f t="shared" si="409"/>
        <v>-8.9399999999999979E-2</v>
      </c>
      <c r="BM194">
        <f t="shared" si="374"/>
        <v>-0.56740960000000007</v>
      </c>
      <c r="BN194">
        <f t="shared" si="410"/>
        <v>-4.3134000000000006E-2</v>
      </c>
      <c r="BO194">
        <f t="shared" si="410"/>
        <v>-8.7848000000000037E-2</v>
      </c>
      <c r="BP194">
        <f t="shared" si="410"/>
        <v>-0.13414199999999998</v>
      </c>
      <c r="BQ194">
        <f t="shared" si="410"/>
        <v>-0.18201600000000007</v>
      </c>
      <c r="BR194">
        <f t="shared" si="410"/>
        <v>-0.23146999999999995</v>
      </c>
      <c r="BS194">
        <f t="shared" si="410"/>
        <v>-0.28250399999999987</v>
      </c>
    </row>
    <row r="195" spans="2:71" x14ac:dyDescent="0.35">
      <c r="B195" t="s">
        <v>189</v>
      </c>
      <c r="C195" s="19">
        <f>regions!B173</f>
        <v>524960</v>
      </c>
      <c r="D195" s="19">
        <f>regions!C173</f>
        <v>2188868338.2963519</v>
      </c>
      <c r="E195" s="8">
        <f>regions!D173</f>
        <v>4169.5907084279788</v>
      </c>
      <c r="F195" s="1">
        <f>regions!Z173</f>
        <v>25.7</v>
      </c>
      <c r="G195" s="8"/>
      <c r="H195" s="8"/>
      <c r="I195">
        <f t="shared" si="396"/>
        <v>0</v>
      </c>
      <c r="J195">
        <f t="shared" si="397"/>
        <v>0</v>
      </c>
      <c r="K195">
        <f t="shared" si="397"/>
        <v>0</v>
      </c>
      <c r="L195">
        <f t="shared" si="397"/>
        <v>0</v>
      </c>
      <c r="M195">
        <f t="shared" si="397"/>
        <v>0</v>
      </c>
      <c r="N195">
        <f t="shared" si="397"/>
        <v>0</v>
      </c>
      <c r="O195">
        <f t="shared" si="397"/>
        <v>0</v>
      </c>
      <c r="P195">
        <f t="shared" si="398"/>
        <v>-0.26419600000000004</v>
      </c>
      <c r="Q195">
        <f t="shared" si="399"/>
        <v>-2.0959999999999979E-2</v>
      </c>
      <c r="R195">
        <f t="shared" si="399"/>
        <v>-4.271999999999998E-2</v>
      </c>
      <c r="S195">
        <f t="shared" si="399"/>
        <v>-6.5279999999999949E-2</v>
      </c>
      <c r="T195">
        <f t="shared" si="399"/>
        <v>-8.8639999999999941E-2</v>
      </c>
      <c r="U195">
        <f t="shared" si="399"/>
        <v>-0.11279999999999996</v>
      </c>
      <c r="V195">
        <f t="shared" si="399"/>
        <v>-0.13775999999999999</v>
      </c>
      <c r="W195">
        <f t="shared" si="400"/>
        <v>-0.33024500000000001</v>
      </c>
      <c r="X195">
        <f t="shared" si="401"/>
        <v>-2.6200000000000001E-2</v>
      </c>
      <c r="Y195">
        <f t="shared" si="401"/>
        <v>-5.3400000000000003E-2</v>
      </c>
      <c r="Z195">
        <f t="shared" si="401"/>
        <v>-8.159999999999995E-2</v>
      </c>
      <c r="AA195">
        <f t="shared" si="401"/>
        <v>-0.11079999999999995</v>
      </c>
      <c r="AB195">
        <f t="shared" si="401"/>
        <v>-0.14100000000000001</v>
      </c>
      <c r="AC195">
        <f t="shared" si="401"/>
        <v>-0.17220000000000002</v>
      </c>
      <c r="AD195">
        <f t="shared" si="402"/>
        <v>-0.29920196999999998</v>
      </c>
      <c r="AE195">
        <f t="shared" si="403"/>
        <v>-2.3737200000000014E-2</v>
      </c>
      <c r="AF195">
        <f t="shared" si="403"/>
        <v>-4.838039999999999E-2</v>
      </c>
      <c r="AG195">
        <f t="shared" si="403"/>
        <v>-7.3929599999999984E-2</v>
      </c>
      <c r="AH195">
        <f t="shared" si="403"/>
        <v>-0.1003848</v>
      </c>
      <c r="AI195">
        <f t="shared" si="403"/>
        <v>-0.12774600000000003</v>
      </c>
      <c r="AJ195">
        <f t="shared" si="403"/>
        <v>-0.15601320000000002</v>
      </c>
      <c r="AK195">
        <f t="shared" si="404"/>
        <v>-0.33684990000000004</v>
      </c>
      <c r="AL195">
        <f t="shared" si="405"/>
        <v>-2.672399999999997E-2</v>
      </c>
      <c r="AM195">
        <f t="shared" si="405"/>
        <v>-5.4467999999999961E-2</v>
      </c>
      <c r="AN195">
        <f t="shared" si="405"/>
        <v>-8.3231999999999973E-2</v>
      </c>
      <c r="AO195">
        <f t="shared" si="405"/>
        <v>-0.11301599999999995</v>
      </c>
      <c r="AP195">
        <f t="shared" si="405"/>
        <v>-0.14382</v>
      </c>
      <c r="AQ195">
        <f t="shared" si="405"/>
        <v>-0.17564400000000002</v>
      </c>
      <c r="AR195">
        <f t="shared" si="406"/>
        <v>-0.50263289</v>
      </c>
      <c r="AS195">
        <f t="shared" si="407"/>
        <v>-3.9876399999999923E-2</v>
      </c>
      <c r="AT195">
        <f t="shared" si="407"/>
        <v>-8.127479999999998E-2</v>
      </c>
      <c r="AU195">
        <f t="shared" si="407"/>
        <v>-0.12419519999999995</v>
      </c>
      <c r="AV195">
        <f t="shared" si="407"/>
        <v>-0.16863759999999994</v>
      </c>
      <c r="AW195">
        <f t="shared" si="407"/>
        <v>-0.21460199999999996</v>
      </c>
      <c r="AX195">
        <f t="shared" si="407"/>
        <v>-0.2620884</v>
      </c>
      <c r="AY195">
        <f t="shared" si="370"/>
        <v>-0.13870290000000002</v>
      </c>
      <c r="AZ195">
        <f t="shared" si="408"/>
        <v>-1.1003999999999986E-2</v>
      </c>
      <c r="BA195">
        <f t="shared" si="408"/>
        <v>-2.2427999999999976E-2</v>
      </c>
      <c r="BB195">
        <f t="shared" si="408"/>
        <v>-3.4271999999999969E-2</v>
      </c>
      <c r="BC195">
        <f t="shared" si="408"/>
        <v>-4.6535999999999966E-2</v>
      </c>
      <c r="BD195">
        <f t="shared" si="408"/>
        <v>-5.9219999999999995E-2</v>
      </c>
      <c r="BE195">
        <f t="shared" si="408"/>
        <v>-7.2323999999999999E-2</v>
      </c>
      <c r="BF195">
        <f t="shared" si="372"/>
        <v>-0.16512250000000001</v>
      </c>
      <c r="BG195">
        <f t="shared" si="409"/>
        <v>-1.3100000000000001E-2</v>
      </c>
      <c r="BH195">
        <f t="shared" si="409"/>
        <v>-2.6700000000000002E-2</v>
      </c>
      <c r="BI195">
        <f t="shared" si="409"/>
        <v>-4.0799999999999975E-2</v>
      </c>
      <c r="BJ195">
        <f t="shared" si="409"/>
        <v>-5.5399999999999977E-2</v>
      </c>
      <c r="BK195">
        <f t="shared" si="409"/>
        <v>-7.0500000000000007E-2</v>
      </c>
      <c r="BL195">
        <f t="shared" si="409"/>
        <v>-8.610000000000001E-2</v>
      </c>
      <c r="BM195">
        <f t="shared" si="374"/>
        <v>-0.52178710000000006</v>
      </c>
      <c r="BN195">
        <f t="shared" si="410"/>
        <v>-4.1395999999999988E-2</v>
      </c>
      <c r="BO195">
        <f t="shared" si="410"/>
        <v>-8.4371999999999892E-2</v>
      </c>
      <c r="BP195">
        <f t="shared" si="410"/>
        <v>-0.12892799999999993</v>
      </c>
      <c r="BQ195">
        <f t="shared" si="410"/>
        <v>-0.17506399999999989</v>
      </c>
      <c r="BR195">
        <f t="shared" si="410"/>
        <v>-0.22277999999999998</v>
      </c>
      <c r="BS195">
        <f t="shared" si="410"/>
        <v>-0.27207599999999998</v>
      </c>
    </row>
    <row r="196" spans="2:71" x14ac:dyDescent="0.35">
      <c r="B196" t="s">
        <v>190</v>
      </c>
      <c r="C196" s="19">
        <f>regions!B174</f>
        <v>1193148</v>
      </c>
      <c r="D196" s="19">
        <f>regions!C174</f>
        <v>2917342648.1127834</v>
      </c>
      <c r="E196" s="8">
        <f>regions!D174</f>
        <v>2445.0802818366064</v>
      </c>
      <c r="F196" s="1">
        <f>regions!Z174</f>
        <v>21.4</v>
      </c>
      <c r="G196" s="8"/>
      <c r="H196" s="8"/>
      <c r="I196">
        <f t="shared" si="396"/>
        <v>-0.29831599999999997</v>
      </c>
      <c r="J196">
        <f t="shared" ref="J196:O205" si="411">IF($E196&lt;$E$24,$D$11*($F196+J$25)-$I196,0)</f>
        <v>-1.3940000000000008E-2</v>
      </c>
      <c r="K196">
        <f t="shared" si="411"/>
        <v>-2.7880000000000016E-2</v>
      </c>
      <c r="L196">
        <f t="shared" si="411"/>
        <v>-4.1819999999999968E-2</v>
      </c>
      <c r="M196">
        <f t="shared" si="411"/>
        <v>-5.5759999999999976E-2</v>
      </c>
      <c r="N196">
        <f t="shared" si="411"/>
        <v>-6.9699999999999984E-2</v>
      </c>
      <c r="O196">
        <f t="shared" si="411"/>
        <v>-8.3639999999999992E-2</v>
      </c>
      <c r="P196">
        <f t="shared" si="398"/>
        <v>-0.18318399999999999</v>
      </c>
      <c r="Q196">
        <f t="shared" ref="Q196:V205" si="412">$D$13*($F196+Q$25)^2-$P196</f>
        <v>-1.7520000000000008E-2</v>
      </c>
      <c r="R196">
        <f t="shared" si="412"/>
        <v>-3.5840000000000011E-2</v>
      </c>
      <c r="S196">
        <f t="shared" si="412"/>
        <v>-5.4959999999999981E-2</v>
      </c>
      <c r="T196">
        <f t="shared" si="412"/>
        <v>-7.488000000000003E-2</v>
      </c>
      <c r="U196">
        <f t="shared" si="412"/>
        <v>-9.5599999999999991E-2</v>
      </c>
      <c r="V196">
        <f t="shared" si="412"/>
        <v>-0.11711999999999997</v>
      </c>
      <c r="W196">
        <f t="shared" si="400"/>
        <v>-0.22897999999999996</v>
      </c>
      <c r="X196">
        <f t="shared" ref="X196:AC205" si="413">$D$15*($F196+X$25)^2-$W196</f>
        <v>-2.1900000000000031E-2</v>
      </c>
      <c r="Y196">
        <f t="shared" si="413"/>
        <v>-4.4800000000000006E-2</v>
      </c>
      <c r="Z196">
        <f t="shared" si="413"/>
        <v>-6.8699999999999983E-2</v>
      </c>
      <c r="AA196">
        <f t="shared" si="413"/>
        <v>-9.3600000000000017E-2</v>
      </c>
      <c r="AB196">
        <f t="shared" si="413"/>
        <v>-0.1195</v>
      </c>
      <c r="AC196">
        <f t="shared" si="413"/>
        <v>-0.14639999999999997</v>
      </c>
      <c r="AD196">
        <f t="shared" si="402"/>
        <v>-0.20745587999999998</v>
      </c>
      <c r="AE196">
        <f t="shared" ref="AE196:AJ205" si="414">$D$10*($F196+AE$25)^2-$AD196</f>
        <v>-1.9841399999999981E-2</v>
      </c>
      <c r="AF196">
        <f t="shared" si="414"/>
        <v>-4.0588800000000008E-2</v>
      </c>
      <c r="AG196">
        <f t="shared" si="414"/>
        <v>-6.224219999999997E-2</v>
      </c>
      <c r="AH196">
        <f t="shared" si="414"/>
        <v>-8.4801600000000033E-2</v>
      </c>
      <c r="AI196">
        <f t="shared" si="414"/>
        <v>-0.108267</v>
      </c>
      <c r="AJ196">
        <f t="shared" si="414"/>
        <v>-0.13263839999999999</v>
      </c>
      <c r="AK196">
        <f t="shared" si="404"/>
        <v>-0.23355959999999998</v>
      </c>
      <c r="AL196">
        <f t="shared" ref="AL196:AQ205" si="415">$D$17*($F196+AL$25)^2-$AK196</f>
        <v>-2.2338000000000025E-2</v>
      </c>
      <c r="AM196">
        <f t="shared" si="415"/>
        <v>-4.5696000000000014E-2</v>
      </c>
      <c r="AN196">
        <f t="shared" si="415"/>
        <v>-7.007399999999997E-2</v>
      </c>
      <c r="AO196">
        <f t="shared" si="415"/>
        <v>-9.5472000000000001E-2</v>
      </c>
      <c r="AP196">
        <f t="shared" si="415"/>
        <v>-0.12189</v>
      </c>
      <c r="AQ196">
        <f t="shared" si="415"/>
        <v>-0.14932799999999996</v>
      </c>
      <c r="AR196">
        <f t="shared" si="406"/>
        <v>-0.34850755999999994</v>
      </c>
      <c r="AS196">
        <f t="shared" ref="AS196:AX205" si="416">$D$8*($F196+AS$25)^2-$AR196</f>
        <v>-3.3331799999999967E-2</v>
      </c>
      <c r="AT196">
        <f t="shared" si="416"/>
        <v>-6.8185600000000013E-2</v>
      </c>
      <c r="AU196">
        <f t="shared" si="416"/>
        <v>-0.10456139999999997</v>
      </c>
      <c r="AV196">
        <f t="shared" si="416"/>
        <v>-0.14245920000000001</v>
      </c>
      <c r="AW196">
        <f t="shared" si="416"/>
        <v>-0.18187900000000001</v>
      </c>
      <c r="AX196">
        <f t="shared" si="416"/>
        <v>-0.22282079999999993</v>
      </c>
      <c r="AY196">
        <f t="shared" si="370"/>
        <v>-9.6171599999999982E-2</v>
      </c>
      <c r="AZ196">
        <f t="shared" si="408"/>
        <v>-9.1980000000000117E-3</v>
      </c>
      <c r="BA196">
        <f t="shared" si="408"/>
        <v>-1.8816000000000013E-2</v>
      </c>
      <c r="BB196">
        <f t="shared" si="408"/>
        <v>-2.8854000000000005E-2</v>
      </c>
      <c r="BC196">
        <f t="shared" si="408"/>
        <v>-3.9312000000000027E-2</v>
      </c>
      <c r="BD196">
        <f t="shared" si="408"/>
        <v>-5.0189999999999999E-2</v>
      </c>
      <c r="BE196">
        <f t="shared" si="408"/>
        <v>-6.1488000000000001E-2</v>
      </c>
      <c r="BF196">
        <f t="shared" si="372"/>
        <v>-0.11448999999999998</v>
      </c>
      <c r="BG196">
        <f t="shared" si="409"/>
        <v>-1.0950000000000015E-2</v>
      </c>
      <c r="BH196">
        <f t="shared" si="409"/>
        <v>-2.2400000000000003E-2</v>
      </c>
      <c r="BI196">
        <f t="shared" si="409"/>
        <v>-3.4349999999999992E-2</v>
      </c>
      <c r="BJ196">
        <f t="shared" si="409"/>
        <v>-4.6800000000000008E-2</v>
      </c>
      <c r="BK196">
        <f t="shared" si="409"/>
        <v>-5.9749999999999998E-2</v>
      </c>
      <c r="BL196">
        <f t="shared" si="409"/>
        <v>-7.3199999999999987E-2</v>
      </c>
      <c r="BM196">
        <f t="shared" si="374"/>
        <v>-0.36178839999999995</v>
      </c>
      <c r="BN196">
        <f t="shared" si="410"/>
        <v>-3.4602000000000022E-2</v>
      </c>
      <c r="BO196">
        <f t="shared" si="410"/>
        <v>-7.0784000000000014E-2</v>
      </c>
      <c r="BP196">
        <f t="shared" si="410"/>
        <v>-0.10854599999999998</v>
      </c>
      <c r="BQ196">
        <f t="shared" si="410"/>
        <v>-0.14788800000000007</v>
      </c>
      <c r="BR196">
        <f t="shared" si="410"/>
        <v>-0.18880999999999998</v>
      </c>
      <c r="BS196">
        <f t="shared" si="410"/>
        <v>-0.23131199999999991</v>
      </c>
    </row>
    <row r="197" spans="2:71" x14ac:dyDescent="0.35">
      <c r="B197" t="s">
        <v>191</v>
      </c>
      <c r="C197" s="19">
        <f>regions!B175</f>
        <v>9378126</v>
      </c>
      <c r="D197" s="19">
        <f>regions!C175</f>
        <v>401624584927.2937</v>
      </c>
      <c r="E197" s="8">
        <f>regions!D175</f>
        <v>42825.675932195161</v>
      </c>
      <c r="F197" s="1">
        <f>regions!Z175</f>
        <v>2.1</v>
      </c>
      <c r="G197" s="8"/>
      <c r="H197" s="8"/>
      <c r="I197">
        <f t="shared" si="396"/>
        <v>0</v>
      </c>
      <c r="J197">
        <f t="shared" si="411"/>
        <v>0</v>
      </c>
      <c r="K197">
        <f t="shared" si="411"/>
        <v>0</v>
      </c>
      <c r="L197">
        <f t="shared" si="411"/>
        <v>0</v>
      </c>
      <c r="M197">
        <f t="shared" si="411"/>
        <v>0</v>
      </c>
      <c r="N197">
        <f t="shared" si="411"/>
        <v>0</v>
      </c>
      <c r="O197">
        <f t="shared" si="411"/>
        <v>0</v>
      </c>
      <c r="P197">
        <f t="shared" si="398"/>
        <v>-1.7640000000000002E-3</v>
      </c>
      <c r="Q197">
        <f t="shared" si="412"/>
        <v>-2.0800000000000003E-3</v>
      </c>
      <c r="R197">
        <f t="shared" si="412"/>
        <v>-4.96E-3</v>
      </c>
      <c r="S197">
        <f t="shared" si="412"/>
        <v>-8.6400000000000001E-3</v>
      </c>
      <c r="T197">
        <f t="shared" si="412"/>
        <v>-1.3119999999999998E-2</v>
      </c>
      <c r="U197">
        <f t="shared" si="412"/>
        <v>-1.8399999999999996E-2</v>
      </c>
      <c r="V197">
        <f t="shared" si="412"/>
        <v>-2.4479999999999998E-2</v>
      </c>
      <c r="W197">
        <f t="shared" si="400"/>
        <v>-2.2049999999999999E-3</v>
      </c>
      <c r="X197">
        <f t="shared" si="413"/>
        <v>-2.6000000000000012E-3</v>
      </c>
      <c r="Y197">
        <f t="shared" si="413"/>
        <v>-6.1999999999999989E-3</v>
      </c>
      <c r="Z197">
        <f t="shared" si="413"/>
        <v>-1.0799999999999999E-2</v>
      </c>
      <c r="AA197">
        <f t="shared" si="413"/>
        <v>-1.6399999999999998E-2</v>
      </c>
      <c r="AB197">
        <f t="shared" si="413"/>
        <v>-2.3E-2</v>
      </c>
      <c r="AC197">
        <f t="shared" si="413"/>
        <v>-3.0600000000000002E-2</v>
      </c>
      <c r="AD197">
        <f t="shared" si="402"/>
        <v>-1.9977300000000001E-3</v>
      </c>
      <c r="AE197">
        <f t="shared" si="414"/>
        <v>-2.3556000000000007E-3</v>
      </c>
      <c r="AF197">
        <f t="shared" si="414"/>
        <v>-5.6171999999999993E-3</v>
      </c>
      <c r="AG197">
        <f t="shared" si="414"/>
        <v>-9.7847999999999997E-3</v>
      </c>
      <c r="AH197">
        <f t="shared" si="414"/>
        <v>-1.4858399999999997E-2</v>
      </c>
      <c r="AI197">
        <f t="shared" si="414"/>
        <v>-2.0837999999999999E-2</v>
      </c>
      <c r="AJ197">
        <f t="shared" si="414"/>
        <v>-2.7723600000000001E-2</v>
      </c>
      <c r="AK197">
        <f t="shared" si="404"/>
        <v>-2.2491000000000004E-3</v>
      </c>
      <c r="AL197">
        <f t="shared" si="415"/>
        <v>-2.6520000000000007E-3</v>
      </c>
      <c r="AM197">
        <f t="shared" si="415"/>
        <v>-6.3239999999999998E-3</v>
      </c>
      <c r="AN197">
        <f t="shared" si="415"/>
        <v>-1.1016E-2</v>
      </c>
      <c r="AO197">
        <f t="shared" si="415"/>
        <v>-1.6727999999999996E-2</v>
      </c>
      <c r="AP197">
        <f t="shared" si="415"/>
        <v>-2.3459999999999998E-2</v>
      </c>
      <c r="AQ197">
        <f t="shared" si="415"/>
        <v>-3.1212E-2</v>
      </c>
      <c r="AR197">
        <f t="shared" si="406"/>
        <v>-3.35601E-3</v>
      </c>
      <c r="AS197">
        <f t="shared" si="416"/>
        <v>-3.957200000000001E-3</v>
      </c>
      <c r="AT197">
        <f t="shared" si="416"/>
        <v>-9.4363999999999993E-3</v>
      </c>
      <c r="AU197">
        <f t="shared" si="416"/>
        <v>-1.6437599999999997E-2</v>
      </c>
      <c r="AV197">
        <f t="shared" si="416"/>
        <v>-2.4960799999999995E-2</v>
      </c>
      <c r="AW197">
        <f t="shared" si="416"/>
        <v>-3.5005999999999995E-2</v>
      </c>
      <c r="AX197">
        <f t="shared" si="416"/>
        <v>-4.6573199999999995E-2</v>
      </c>
      <c r="AY197">
        <f t="shared" si="370"/>
        <v>-9.2610000000000012E-4</v>
      </c>
      <c r="AZ197">
        <f t="shared" si="408"/>
        <v>-1.0920000000000005E-3</v>
      </c>
      <c r="BA197">
        <f t="shared" si="408"/>
        <v>-2.604E-3</v>
      </c>
      <c r="BB197">
        <f t="shared" si="408"/>
        <v>-4.5360000000000001E-3</v>
      </c>
      <c r="BC197">
        <f t="shared" si="408"/>
        <v>-6.8879999999999992E-3</v>
      </c>
      <c r="BD197">
        <f t="shared" si="408"/>
        <v>-9.6599999999999984E-3</v>
      </c>
      <c r="BE197">
        <f t="shared" si="408"/>
        <v>-1.2851999999999999E-2</v>
      </c>
      <c r="BF197">
        <f t="shared" si="372"/>
        <v>-1.1025E-3</v>
      </c>
      <c r="BG197">
        <f t="shared" si="409"/>
        <v>-1.3000000000000006E-3</v>
      </c>
      <c r="BH197">
        <f t="shared" si="409"/>
        <v>-3.0999999999999995E-3</v>
      </c>
      <c r="BI197">
        <f t="shared" si="409"/>
        <v>-5.3999999999999994E-3</v>
      </c>
      <c r="BJ197">
        <f t="shared" si="409"/>
        <v>-8.199999999999999E-3</v>
      </c>
      <c r="BK197">
        <f t="shared" si="409"/>
        <v>-1.15E-2</v>
      </c>
      <c r="BL197">
        <f t="shared" si="409"/>
        <v>-1.5300000000000001E-2</v>
      </c>
      <c r="BM197">
        <f t="shared" si="374"/>
        <v>-3.4839000000000003E-3</v>
      </c>
      <c r="BN197">
        <f t="shared" si="410"/>
        <v>-4.1080000000000005E-3</v>
      </c>
      <c r="BO197">
        <f t="shared" si="410"/>
        <v>-9.7959999999999992E-3</v>
      </c>
      <c r="BP197">
        <f t="shared" si="410"/>
        <v>-1.7063999999999996E-2</v>
      </c>
      <c r="BQ197">
        <f t="shared" si="410"/>
        <v>-2.5911999999999994E-2</v>
      </c>
      <c r="BR197">
        <f t="shared" si="410"/>
        <v>-3.6339999999999997E-2</v>
      </c>
      <c r="BS197">
        <f t="shared" si="410"/>
        <v>-4.8348000000000002E-2</v>
      </c>
    </row>
    <row r="198" spans="2:71" x14ac:dyDescent="0.35">
      <c r="B198" t="s">
        <v>192</v>
      </c>
      <c r="C198" s="19">
        <f>regions!B176</f>
        <v>7824909</v>
      </c>
      <c r="D198" s="19">
        <f>regions!C176</f>
        <v>427575024211.02106</v>
      </c>
      <c r="E198" s="8">
        <f>regions!D176</f>
        <v>54642.81108074497</v>
      </c>
      <c r="F198" s="1">
        <f>regions!Z176</f>
        <v>5.5</v>
      </c>
      <c r="G198" s="8"/>
      <c r="H198" s="8"/>
      <c r="I198">
        <f t="shared" si="396"/>
        <v>0</v>
      </c>
      <c r="J198">
        <f t="shared" si="411"/>
        <v>0</v>
      </c>
      <c r="K198">
        <f t="shared" si="411"/>
        <v>0</v>
      </c>
      <c r="L198">
        <f t="shared" si="411"/>
        <v>0</v>
      </c>
      <c r="M198">
        <f t="shared" si="411"/>
        <v>0</v>
      </c>
      <c r="N198">
        <f t="shared" si="411"/>
        <v>0</v>
      </c>
      <c r="O198">
        <f t="shared" si="411"/>
        <v>0</v>
      </c>
      <c r="P198">
        <f t="shared" si="398"/>
        <v>-1.2100000000000001E-2</v>
      </c>
      <c r="Q198">
        <f t="shared" si="412"/>
        <v>-4.8000000000000004E-3</v>
      </c>
      <c r="R198">
        <f t="shared" si="412"/>
        <v>-1.0400000000000001E-2</v>
      </c>
      <c r="S198">
        <f t="shared" si="412"/>
        <v>-1.6800000000000002E-2</v>
      </c>
      <c r="T198">
        <f t="shared" si="412"/>
        <v>-2.4E-2</v>
      </c>
      <c r="U198">
        <f t="shared" si="412"/>
        <v>-3.2000000000000001E-2</v>
      </c>
      <c r="V198">
        <f t="shared" si="412"/>
        <v>-4.0800000000000003E-2</v>
      </c>
      <c r="W198">
        <f t="shared" si="400"/>
        <v>-1.5125E-2</v>
      </c>
      <c r="X198">
        <f t="shared" si="413"/>
        <v>-6.0000000000000019E-3</v>
      </c>
      <c r="Y198">
        <f t="shared" si="413"/>
        <v>-1.3000000000000001E-2</v>
      </c>
      <c r="Z198">
        <f t="shared" si="413"/>
        <v>-2.0999999999999998E-2</v>
      </c>
      <c r="AA198">
        <f t="shared" si="413"/>
        <v>-0.03</v>
      </c>
      <c r="AB198">
        <f t="shared" si="413"/>
        <v>-0.04</v>
      </c>
      <c r="AC198">
        <f t="shared" si="413"/>
        <v>-5.1000000000000004E-2</v>
      </c>
      <c r="AD198">
        <f t="shared" si="402"/>
        <v>-1.370325E-2</v>
      </c>
      <c r="AE198">
        <f t="shared" si="414"/>
        <v>-5.4359999999999999E-3</v>
      </c>
      <c r="AF198">
        <f t="shared" si="414"/>
        <v>-1.1778E-2</v>
      </c>
      <c r="AG198">
        <f t="shared" si="414"/>
        <v>-1.9026000000000001E-2</v>
      </c>
      <c r="AH198">
        <f t="shared" si="414"/>
        <v>-2.7180000000000003E-2</v>
      </c>
      <c r="AI198">
        <f t="shared" si="414"/>
        <v>-3.6240000000000001E-2</v>
      </c>
      <c r="AJ198">
        <f t="shared" si="414"/>
        <v>-4.6206000000000004E-2</v>
      </c>
      <c r="AK198">
        <f t="shared" si="404"/>
        <v>-1.54275E-2</v>
      </c>
      <c r="AL198">
        <f t="shared" si="415"/>
        <v>-6.1200000000000004E-3</v>
      </c>
      <c r="AM198">
        <f t="shared" si="415"/>
        <v>-1.3260000000000001E-2</v>
      </c>
      <c r="AN198">
        <f t="shared" si="415"/>
        <v>-2.1420000000000005E-2</v>
      </c>
      <c r="AO198">
        <f t="shared" si="415"/>
        <v>-3.0600000000000006E-2</v>
      </c>
      <c r="AP198">
        <f t="shared" si="415"/>
        <v>-4.0800000000000003E-2</v>
      </c>
      <c r="AQ198">
        <f t="shared" si="415"/>
        <v>-5.2020000000000011E-2</v>
      </c>
      <c r="AR198">
        <f t="shared" si="406"/>
        <v>-2.3020249999999999E-2</v>
      </c>
      <c r="AS198">
        <f t="shared" si="416"/>
        <v>-9.1320000000000012E-3</v>
      </c>
      <c r="AT198">
        <f t="shared" si="416"/>
        <v>-1.9785999999999998E-2</v>
      </c>
      <c r="AU198">
        <f t="shared" si="416"/>
        <v>-3.1961999999999997E-2</v>
      </c>
      <c r="AV198">
        <f t="shared" si="416"/>
        <v>-4.5659999999999999E-2</v>
      </c>
      <c r="AW198">
        <f t="shared" si="416"/>
        <v>-6.0879999999999997E-2</v>
      </c>
      <c r="AX198">
        <f t="shared" si="416"/>
        <v>-7.7621999999999997E-2</v>
      </c>
      <c r="AY198">
        <f t="shared" si="370"/>
        <v>-6.3525000000000005E-3</v>
      </c>
      <c r="AZ198">
        <f t="shared" si="408"/>
        <v>-2.5199999999999997E-3</v>
      </c>
      <c r="BA198">
        <f t="shared" si="408"/>
        <v>-5.4599999999999996E-3</v>
      </c>
      <c r="BB198">
        <f t="shared" si="408"/>
        <v>-8.8199999999999997E-3</v>
      </c>
      <c r="BC198">
        <f t="shared" si="408"/>
        <v>-1.26E-2</v>
      </c>
      <c r="BD198">
        <f t="shared" si="408"/>
        <v>-1.6799999999999999E-2</v>
      </c>
      <c r="BE198">
        <f t="shared" si="408"/>
        <v>-2.1420000000000002E-2</v>
      </c>
      <c r="BF198">
        <f t="shared" si="372"/>
        <v>-7.5624999999999998E-3</v>
      </c>
      <c r="BG198">
        <f t="shared" si="409"/>
        <v>-3.0000000000000009E-3</v>
      </c>
      <c r="BH198">
        <f t="shared" si="409"/>
        <v>-6.5000000000000006E-3</v>
      </c>
      <c r="BI198">
        <f t="shared" si="409"/>
        <v>-1.0499999999999999E-2</v>
      </c>
      <c r="BJ198">
        <f t="shared" si="409"/>
        <v>-1.4999999999999999E-2</v>
      </c>
      <c r="BK198">
        <f t="shared" si="409"/>
        <v>-0.02</v>
      </c>
      <c r="BL198">
        <f t="shared" si="409"/>
        <v>-2.5500000000000002E-2</v>
      </c>
      <c r="BM198">
        <f t="shared" si="374"/>
        <v>-2.3897500000000002E-2</v>
      </c>
      <c r="BN198">
        <f t="shared" si="410"/>
        <v>-9.4799999999999954E-3</v>
      </c>
      <c r="BO198">
        <f t="shared" si="410"/>
        <v>-2.0539999999999996E-2</v>
      </c>
      <c r="BP198">
        <f t="shared" si="410"/>
        <v>-3.3180000000000001E-2</v>
      </c>
      <c r="BQ198">
        <f t="shared" si="410"/>
        <v>-4.7399999999999998E-2</v>
      </c>
      <c r="BR198">
        <f t="shared" si="410"/>
        <v>-6.3200000000000006E-2</v>
      </c>
      <c r="BS198">
        <f t="shared" si="410"/>
        <v>-8.0579999999999999E-2</v>
      </c>
    </row>
    <row r="199" spans="2:71" x14ac:dyDescent="0.35">
      <c r="B199" t="s">
        <v>193</v>
      </c>
      <c r="C199" s="19">
        <f>regions!B177</f>
        <v>21532647</v>
      </c>
      <c r="D199" s="19">
        <f>regions!C177</f>
        <v>35446687900.822365</v>
      </c>
      <c r="E199" s="8">
        <f>regions!D177</f>
        <v>1646.18348597933</v>
      </c>
      <c r="F199" s="1">
        <f>regions!Z177</f>
        <v>16.7</v>
      </c>
      <c r="G199" s="8"/>
      <c r="H199" s="8"/>
      <c r="I199">
        <f t="shared" si="396"/>
        <v>-0.23279799999999998</v>
      </c>
      <c r="J199">
        <f t="shared" si="411"/>
        <v>-1.3940000000000008E-2</v>
      </c>
      <c r="K199">
        <f t="shared" si="411"/>
        <v>-2.7879999999999988E-2</v>
      </c>
      <c r="L199">
        <f t="shared" si="411"/>
        <v>-4.1819999999999996E-2</v>
      </c>
      <c r="M199">
        <f t="shared" si="411"/>
        <v>-5.5760000000000004E-2</v>
      </c>
      <c r="N199">
        <f t="shared" si="411"/>
        <v>-6.9700000000000012E-2</v>
      </c>
      <c r="O199">
        <f t="shared" si="411"/>
        <v>-8.364000000000002E-2</v>
      </c>
      <c r="P199">
        <f t="shared" si="398"/>
        <v>-0.111556</v>
      </c>
      <c r="Q199">
        <f t="shared" si="412"/>
        <v>-1.3759999999999981E-2</v>
      </c>
      <c r="R199">
        <f t="shared" si="412"/>
        <v>-2.8319999999999998E-2</v>
      </c>
      <c r="S199">
        <f t="shared" si="412"/>
        <v>-4.3679999999999983E-2</v>
      </c>
      <c r="T199">
        <f t="shared" si="412"/>
        <v>-5.983999999999999E-2</v>
      </c>
      <c r="U199">
        <f t="shared" si="412"/>
        <v>-7.6799999999999993E-2</v>
      </c>
      <c r="V199">
        <f t="shared" si="412"/>
        <v>-9.4559999999999991E-2</v>
      </c>
      <c r="W199">
        <f t="shared" si="400"/>
        <v>-0.13944499999999999</v>
      </c>
      <c r="X199">
        <f t="shared" si="413"/>
        <v>-1.7199999999999993E-2</v>
      </c>
      <c r="Y199">
        <f t="shared" si="413"/>
        <v>-3.5400000000000015E-2</v>
      </c>
      <c r="Z199">
        <f t="shared" si="413"/>
        <v>-5.460000000000001E-2</v>
      </c>
      <c r="AA199">
        <f t="shared" si="413"/>
        <v>-7.4800000000000005E-2</v>
      </c>
      <c r="AB199">
        <f t="shared" si="413"/>
        <v>-9.6000000000000002E-2</v>
      </c>
      <c r="AC199">
        <f t="shared" si="413"/>
        <v>-0.11820000000000003</v>
      </c>
      <c r="AD199">
        <f t="shared" si="402"/>
        <v>-0.12633717</v>
      </c>
      <c r="AE199">
        <f t="shared" si="414"/>
        <v>-1.5583199999999992E-2</v>
      </c>
      <c r="AF199">
        <f t="shared" si="414"/>
        <v>-3.2072400000000001E-2</v>
      </c>
      <c r="AG199">
        <f t="shared" si="414"/>
        <v>-4.94676E-2</v>
      </c>
      <c r="AH199">
        <f t="shared" si="414"/>
        <v>-6.776879999999999E-2</v>
      </c>
      <c r="AI199">
        <f t="shared" si="414"/>
        <v>-8.6975999999999998E-2</v>
      </c>
      <c r="AJ199">
        <f t="shared" si="414"/>
        <v>-0.1070892</v>
      </c>
      <c r="AK199">
        <f t="shared" si="404"/>
        <v>-0.1422339</v>
      </c>
      <c r="AL199">
        <f t="shared" si="415"/>
        <v>-1.7544000000000004E-2</v>
      </c>
      <c r="AM199">
        <f t="shared" si="415"/>
        <v>-3.6108000000000029E-2</v>
      </c>
      <c r="AN199">
        <f t="shared" si="415"/>
        <v>-5.5691999999999992E-2</v>
      </c>
      <c r="AO199">
        <f t="shared" si="415"/>
        <v>-7.6296000000000003E-2</v>
      </c>
      <c r="AP199">
        <f t="shared" si="415"/>
        <v>-9.7920000000000007E-2</v>
      </c>
      <c r="AQ199">
        <f t="shared" si="415"/>
        <v>-0.12056399999999998</v>
      </c>
      <c r="AR199">
        <f t="shared" si="406"/>
        <v>-0.21223528999999997</v>
      </c>
      <c r="AS199">
        <f t="shared" si="416"/>
        <v>-2.6178399999999991E-2</v>
      </c>
      <c r="AT199">
        <f t="shared" si="416"/>
        <v>-5.3878800000000004E-2</v>
      </c>
      <c r="AU199">
        <f t="shared" si="416"/>
        <v>-8.3101199999999986E-2</v>
      </c>
      <c r="AV199">
        <f t="shared" si="416"/>
        <v>-0.11384559999999999</v>
      </c>
      <c r="AW199">
        <f t="shared" si="416"/>
        <v>-0.14611200000000002</v>
      </c>
      <c r="AX199">
        <f t="shared" si="416"/>
        <v>-0.17990039999999996</v>
      </c>
      <c r="AY199">
        <f t="shared" si="370"/>
        <v>-5.8566899999999998E-2</v>
      </c>
      <c r="AZ199">
        <f t="shared" si="408"/>
        <v>-7.2240000000000013E-3</v>
      </c>
      <c r="BA199">
        <f t="shared" si="408"/>
        <v>-1.4867999999999999E-2</v>
      </c>
      <c r="BB199">
        <f t="shared" si="408"/>
        <v>-2.2932000000000001E-2</v>
      </c>
      <c r="BC199">
        <f t="shared" si="408"/>
        <v>-3.1415999999999993E-2</v>
      </c>
      <c r="BD199">
        <f t="shared" si="408"/>
        <v>-4.0320000000000002E-2</v>
      </c>
      <c r="BE199">
        <f t="shared" si="408"/>
        <v>-4.9644000000000001E-2</v>
      </c>
      <c r="BF199">
        <f t="shared" si="372"/>
        <v>-6.9722499999999993E-2</v>
      </c>
      <c r="BG199">
        <f t="shared" si="409"/>
        <v>-8.5999999999999965E-3</v>
      </c>
      <c r="BH199">
        <f t="shared" si="409"/>
        <v>-1.7700000000000007E-2</v>
      </c>
      <c r="BI199">
        <f t="shared" si="409"/>
        <v>-2.7300000000000005E-2</v>
      </c>
      <c r="BJ199">
        <f t="shared" si="409"/>
        <v>-3.7400000000000003E-2</v>
      </c>
      <c r="BK199">
        <f t="shared" si="409"/>
        <v>-4.8000000000000001E-2</v>
      </c>
      <c r="BL199">
        <f t="shared" si="409"/>
        <v>-5.9100000000000014E-2</v>
      </c>
      <c r="BM199">
        <f t="shared" si="374"/>
        <v>-0.22032309999999999</v>
      </c>
      <c r="BN199">
        <f t="shared" si="410"/>
        <v>-2.7175999999999978E-2</v>
      </c>
      <c r="BO199">
        <f t="shared" si="410"/>
        <v>-5.5931999999999982E-2</v>
      </c>
      <c r="BP199">
        <f t="shared" si="410"/>
        <v>-8.6268000000000011E-2</v>
      </c>
      <c r="BQ199">
        <f t="shared" si="410"/>
        <v>-0.11818399999999996</v>
      </c>
      <c r="BR199">
        <f t="shared" si="410"/>
        <v>-0.15167999999999998</v>
      </c>
      <c r="BS199">
        <f t="shared" si="410"/>
        <v>-0.18675599999999998</v>
      </c>
    </row>
    <row r="200" spans="2:71" x14ac:dyDescent="0.35">
      <c r="B200" t="s">
        <v>410</v>
      </c>
      <c r="C200" s="19">
        <f>regions!B178</f>
        <v>7627326</v>
      </c>
      <c r="D200" s="19">
        <f>regions!C178</f>
        <v>3181403840.3997879</v>
      </c>
      <c r="E200" s="8">
        <f>regions!D178</f>
        <v>417.10605268475319</v>
      </c>
      <c r="F200" s="1">
        <f>regions!Z178</f>
        <v>2</v>
      </c>
      <c r="G200" s="8"/>
      <c r="H200" s="8"/>
      <c r="I200">
        <f t="shared" si="396"/>
        <v>-2.7879999999999999E-2</v>
      </c>
      <c r="J200">
        <f t="shared" si="411"/>
        <v>-1.3939999999999998E-2</v>
      </c>
      <c r="K200">
        <f t="shared" si="411"/>
        <v>-2.7879999999999999E-2</v>
      </c>
      <c r="L200">
        <f t="shared" si="411"/>
        <v>-4.1819999999999996E-2</v>
      </c>
      <c r="M200">
        <f t="shared" si="411"/>
        <v>-5.575999999999999E-2</v>
      </c>
      <c r="N200">
        <f t="shared" si="411"/>
        <v>-6.9699999999999998E-2</v>
      </c>
      <c r="O200">
        <f t="shared" si="411"/>
        <v>-8.3639999999999992E-2</v>
      </c>
      <c r="P200">
        <f t="shared" si="398"/>
        <v>-1.6000000000000001E-3</v>
      </c>
      <c r="Q200">
        <f t="shared" si="412"/>
        <v>-2E-3</v>
      </c>
      <c r="R200">
        <f t="shared" si="412"/>
        <v>-4.8000000000000004E-3</v>
      </c>
      <c r="S200">
        <f t="shared" si="412"/>
        <v>-8.3999999999999995E-3</v>
      </c>
      <c r="T200">
        <f t="shared" si="412"/>
        <v>-1.2800000000000001E-2</v>
      </c>
      <c r="U200">
        <f t="shared" si="412"/>
        <v>-1.7999999999999999E-2</v>
      </c>
      <c r="V200">
        <f t="shared" si="412"/>
        <v>-2.4E-2</v>
      </c>
      <c r="W200">
        <f t="shared" si="400"/>
        <v>-2E-3</v>
      </c>
      <c r="X200">
        <f t="shared" si="413"/>
        <v>-2.5000000000000005E-3</v>
      </c>
      <c r="Y200">
        <f t="shared" si="413"/>
        <v>-6.0000000000000001E-3</v>
      </c>
      <c r="Z200">
        <f t="shared" si="413"/>
        <v>-1.0500000000000001E-2</v>
      </c>
      <c r="AA200">
        <f t="shared" si="413"/>
        <v>-1.6E-2</v>
      </c>
      <c r="AB200">
        <f t="shared" si="413"/>
        <v>-2.2499999999999999E-2</v>
      </c>
      <c r="AC200">
        <f t="shared" si="413"/>
        <v>-0.03</v>
      </c>
      <c r="AD200">
        <f t="shared" si="402"/>
        <v>-1.812E-3</v>
      </c>
      <c r="AE200">
        <f t="shared" si="414"/>
        <v>-2.2649999999999997E-3</v>
      </c>
      <c r="AF200">
        <f t="shared" si="414"/>
        <v>-5.4359999999999999E-3</v>
      </c>
      <c r="AG200">
        <f t="shared" si="414"/>
        <v>-9.5130000000000006E-3</v>
      </c>
      <c r="AH200">
        <f t="shared" si="414"/>
        <v>-1.4496E-2</v>
      </c>
      <c r="AI200">
        <f t="shared" si="414"/>
        <v>-2.0385E-2</v>
      </c>
      <c r="AJ200">
        <f t="shared" si="414"/>
        <v>-2.7179999999999999E-2</v>
      </c>
      <c r="AK200">
        <f t="shared" si="404"/>
        <v>-2.0400000000000001E-3</v>
      </c>
      <c r="AL200">
        <f t="shared" si="415"/>
        <v>-2.5500000000000002E-3</v>
      </c>
      <c r="AM200">
        <f t="shared" si="415"/>
        <v>-6.1200000000000004E-3</v>
      </c>
      <c r="AN200">
        <f t="shared" si="415"/>
        <v>-1.0710000000000001E-2</v>
      </c>
      <c r="AO200">
        <f t="shared" si="415"/>
        <v>-1.6320000000000001E-2</v>
      </c>
      <c r="AP200">
        <f t="shared" si="415"/>
        <v>-2.2950000000000002E-2</v>
      </c>
      <c r="AQ200">
        <f t="shared" si="415"/>
        <v>-3.0600000000000002E-2</v>
      </c>
      <c r="AR200">
        <f t="shared" si="406"/>
        <v>-3.0439999999999998E-3</v>
      </c>
      <c r="AS200">
        <f t="shared" si="416"/>
        <v>-3.8049999999999994E-3</v>
      </c>
      <c r="AT200">
        <f t="shared" si="416"/>
        <v>-9.1319999999999995E-3</v>
      </c>
      <c r="AU200">
        <f t="shared" si="416"/>
        <v>-1.5981000000000002E-2</v>
      </c>
      <c r="AV200">
        <f t="shared" si="416"/>
        <v>-2.4351999999999999E-2</v>
      </c>
      <c r="AW200">
        <f t="shared" si="416"/>
        <v>-3.4244999999999998E-2</v>
      </c>
      <c r="AX200">
        <f t="shared" si="416"/>
        <v>-4.5659999999999999E-2</v>
      </c>
      <c r="AY200">
        <f t="shared" si="370"/>
        <v>-8.4000000000000003E-4</v>
      </c>
      <c r="AZ200">
        <f t="shared" si="408"/>
        <v>-1.0500000000000002E-3</v>
      </c>
      <c r="BA200">
        <f t="shared" si="408"/>
        <v>-2.5200000000000001E-3</v>
      </c>
      <c r="BB200">
        <f t="shared" si="408"/>
        <v>-4.4100000000000007E-3</v>
      </c>
      <c r="BC200">
        <f t="shared" si="408"/>
        <v>-6.7200000000000003E-3</v>
      </c>
      <c r="BD200">
        <f t="shared" si="408"/>
        <v>-9.4500000000000001E-3</v>
      </c>
      <c r="BE200">
        <f t="shared" si="408"/>
        <v>-1.26E-2</v>
      </c>
      <c r="BF200">
        <f t="shared" si="372"/>
        <v>-1E-3</v>
      </c>
      <c r="BG200">
        <f t="shared" si="409"/>
        <v>-1.2500000000000002E-3</v>
      </c>
      <c r="BH200">
        <f t="shared" si="409"/>
        <v>-3.0000000000000001E-3</v>
      </c>
      <c r="BI200">
        <f t="shared" si="409"/>
        <v>-5.2500000000000003E-3</v>
      </c>
      <c r="BJ200">
        <f t="shared" si="409"/>
        <v>-8.0000000000000002E-3</v>
      </c>
      <c r="BK200">
        <f t="shared" si="409"/>
        <v>-1.125E-2</v>
      </c>
      <c r="BL200">
        <f t="shared" si="409"/>
        <v>-1.4999999999999999E-2</v>
      </c>
      <c r="BM200">
        <f t="shared" si="374"/>
        <v>-3.16E-3</v>
      </c>
      <c r="BN200">
        <f t="shared" si="410"/>
        <v>-3.9500000000000004E-3</v>
      </c>
      <c r="BO200">
        <f t="shared" si="410"/>
        <v>-9.4800000000000006E-3</v>
      </c>
      <c r="BP200">
        <f t="shared" si="410"/>
        <v>-1.6590000000000001E-2</v>
      </c>
      <c r="BQ200">
        <f t="shared" si="410"/>
        <v>-2.528E-2</v>
      </c>
      <c r="BR200">
        <f t="shared" si="410"/>
        <v>-3.5549999999999998E-2</v>
      </c>
      <c r="BS200">
        <f t="shared" si="410"/>
        <v>-4.7399999999999998E-2</v>
      </c>
    </row>
    <row r="201" spans="2:71" x14ac:dyDescent="0.35">
      <c r="B201" t="s">
        <v>194</v>
      </c>
      <c r="C201" s="19">
        <f>regions!B179</f>
        <v>44973330</v>
      </c>
      <c r="D201" s="19">
        <f>regions!C179</f>
        <v>19720449298.896339</v>
      </c>
      <c r="E201" s="8">
        <f>regions!D179</f>
        <v>438.4920862852793</v>
      </c>
      <c r="F201" s="1">
        <f>regions!Z179</f>
        <v>22.3</v>
      </c>
      <c r="G201" s="8"/>
      <c r="H201" s="8"/>
      <c r="I201">
        <f t="shared" si="396"/>
        <v>-0.31086199999999997</v>
      </c>
      <c r="J201">
        <f t="shared" si="411"/>
        <v>-1.3940000000000008E-2</v>
      </c>
      <c r="K201">
        <f t="shared" si="411"/>
        <v>-2.7880000000000016E-2</v>
      </c>
      <c r="L201">
        <f t="shared" si="411"/>
        <v>-4.1820000000000024E-2</v>
      </c>
      <c r="M201">
        <f t="shared" si="411"/>
        <v>-5.5760000000000032E-2</v>
      </c>
      <c r="N201">
        <f t="shared" si="411"/>
        <v>-6.970000000000004E-2</v>
      </c>
      <c r="O201">
        <f t="shared" si="411"/>
        <v>-8.3639999999999992E-2</v>
      </c>
      <c r="P201">
        <f t="shared" si="398"/>
        <v>-0.19891600000000001</v>
      </c>
      <c r="Q201">
        <f t="shared" si="412"/>
        <v>-1.8240000000000006E-2</v>
      </c>
      <c r="R201">
        <f t="shared" si="412"/>
        <v>-3.7280000000000008E-2</v>
      </c>
      <c r="S201">
        <f t="shared" si="412"/>
        <v>-5.7120000000000032E-2</v>
      </c>
      <c r="T201">
        <f t="shared" si="412"/>
        <v>-7.7760000000000024E-2</v>
      </c>
      <c r="U201">
        <f t="shared" si="412"/>
        <v>-9.9200000000000038E-2</v>
      </c>
      <c r="V201">
        <f t="shared" si="412"/>
        <v>-0.12144000000000002</v>
      </c>
      <c r="W201">
        <f t="shared" si="400"/>
        <v>-0.248645</v>
      </c>
      <c r="X201">
        <f t="shared" si="413"/>
        <v>-2.2799999999999987E-2</v>
      </c>
      <c r="Y201">
        <f t="shared" si="413"/>
        <v>-4.660000000000003E-2</v>
      </c>
      <c r="Z201">
        <f t="shared" si="413"/>
        <v>-7.1400000000000019E-2</v>
      </c>
      <c r="AA201">
        <f t="shared" si="413"/>
        <v>-9.7200000000000009E-2</v>
      </c>
      <c r="AB201">
        <f t="shared" si="413"/>
        <v>-0.12400000000000005</v>
      </c>
      <c r="AC201">
        <f t="shared" si="413"/>
        <v>-0.15179999999999999</v>
      </c>
      <c r="AD201">
        <f t="shared" si="402"/>
        <v>-0.22527237</v>
      </c>
      <c r="AE201">
        <f t="shared" si="414"/>
        <v>-2.0656800000000003E-2</v>
      </c>
      <c r="AF201">
        <f t="shared" si="414"/>
        <v>-4.2219600000000024E-2</v>
      </c>
      <c r="AG201">
        <f t="shared" si="414"/>
        <v>-6.4688400000000035E-2</v>
      </c>
      <c r="AH201">
        <f t="shared" si="414"/>
        <v>-8.8063200000000008E-2</v>
      </c>
      <c r="AI201">
        <f t="shared" si="414"/>
        <v>-0.11234400000000005</v>
      </c>
      <c r="AJ201">
        <f t="shared" si="414"/>
        <v>-0.13753080000000001</v>
      </c>
      <c r="AK201">
        <f t="shared" si="404"/>
        <v>-0.25361790000000001</v>
      </c>
      <c r="AL201">
        <f t="shared" si="415"/>
        <v>-2.3255999999999999E-2</v>
      </c>
      <c r="AM201">
        <f t="shared" si="415"/>
        <v>-4.7532000000000019E-2</v>
      </c>
      <c r="AN201">
        <f t="shared" si="415"/>
        <v>-7.2828000000000059E-2</v>
      </c>
      <c r="AO201">
        <f t="shared" si="415"/>
        <v>-9.9144000000000065E-2</v>
      </c>
      <c r="AP201">
        <f t="shared" si="415"/>
        <v>-0.12648000000000004</v>
      </c>
      <c r="AQ201">
        <f t="shared" si="415"/>
        <v>-0.15483600000000003</v>
      </c>
      <c r="AR201">
        <f t="shared" si="406"/>
        <v>-0.37843768999999999</v>
      </c>
      <c r="AS201">
        <f t="shared" si="416"/>
        <v>-3.4701599999999999E-2</v>
      </c>
      <c r="AT201">
        <f t="shared" si="416"/>
        <v>-7.0925199999999966E-2</v>
      </c>
      <c r="AU201">
        <f t="shared" si="416"/>
        <v>-0.10867080000000001</v>
      </c>
      <c r="AV201">
        <f t="shared" si="416"/>
        <v>-0.14793839999999997</v>
      </c>
      <c r="AW201">
        <f t="shared" si="416"/>
        <v>-0.18872800000000006</v>
      </c>
      <c r="AX201">
        <f t="shared" si="416"/>
        <v>-0.23103959999999996</v>
      </c>
      <c r="AY201">
        <f t="shared" si="370"/>
        <v>-0.10443090000000001</v>
      </c>
      <c r="AZ201">
        <f t="shared" si="408"/>
        <v>-9.5760000000000012E-3</v>
      </c>
      <c r="BA201">
        <f t="shared" si="408"/>
        <v>-1.9572000000000006E-2</v>
      </c>
      <c r="BB201">
        <f t="shared" si="408"/>
        <v>-2.9988000000000001E-2</v>
      </c>
      <c r="BC201">
        <f t="shared" si="408"/>
        <v>-4.0824000000000013E-2</v>
      </c>
      <c r="BD201">
        <f t="shared" si="408"/>
        <v>-5.2080000000000029E-2</v>
      </c>
      <c r="BE201">
        <f t="shared" si="408"/>
        <v>-6.3755999999999993E-2</v>
      </c>
      <c r="BF201">
        <f t="shared" si="372"/>
        <v>-0.1243225</v>
      </c>
      <c r="BG201">
        <f t="shared" si="409"/>
        <v>-1.1399999999999993E-2</v>
      </c>
      <c r="BH201">
        <f t="shared" si="409"/>
        <v>-2.3300000000000015E-2</v>
      </c>
      <c r="BI201">
        <f t="shared" si="409"/>
        <v>-3.570000000000001E-2</v>
      </c>
      <c r="BJ201">
        <f t="shared" si="409"/>
        <v>-4.8600000000000004E-2</v>
      </c>
      <c r="BK201">
        <f t="shared" si="409"/>
        <v>-6.2000000000000027E-2</v>
      </c>
      <c r="BL201">
        <f t="shared" si="409"/>
        <v>-7.5899999999999995E-2</v>
      </c>
      <c r="BM201">
        <f t="shared" si="374"/>
        <v>-0.39285910000000002</v>
      </c>
      <c r="BN201">
        <f t="shared" si="410"/>
        <v>-3.6024E-2</v>
      </c>
      <c r="BO201">
        <f t="shared" si="410"/>
        <v>-7.3627999999999971E-2</v>
      </c>
      <c r="BP201">
        <f t="shared" si="410"/>
        <v>-0.11281200000000002</v>
      </c>
      <c r="BQ201">
        <f t="shared" si="410"/>
        <v>-0.15357600000000005</v>
      </c>
      <c r="BR201">
        <f t="shared" si="410"/>
        <v>-0.19592000000000009</v>
      </c>
      <c r="BS201">
        <f t="shared" si="410"/>
        <v>-0.23984399999999995</v>
      </c>
    </row>
    <row r="202" spans="2:71" x14ac:dyDescent="0.35">
      <c r="B202" t="s">
        <v>195</v>
      </c>
      <c r="C202" s="19">
        <f>regions!B180</f>
        <v>66402316</v>
      </c>
      <c r="D202" s="19">
        <f>regions!C180</f>
        <v>210090542914.01364</v>
      </c>
      <c r="E202" s="8">
        <f>regions!D180</f>
        <v>3163.9038450709104</v>
      </c>
      <c r="F202" s="1">
        <f>regions!Z180</f>
        <v>26.3</v>
      </c>
      <c r="G202" s="8"/>
      <c r="H202" s="8"/>
      <c r="I202">
        <f t="shared" si="396"/>
        <v>-0.366622</v>
      </c>
      <c r="J202">
        <f t="shared" si="411"/>
        <v>-1.3940000000000008E-2</v>
      </c>
      <c r="K202">
        <f t="shared" si="411"/>
        <v>-2.787999999999996E-2</v>
      </c>
      <c r="L202">
        <f t="shared" si="411"/>
        <v>-4.1819999999999968E-2</v>
      </c>
      <c r="M202">
        <f t="shared" si="411"/>
        <v>-5.5759999999999976E-2</v>
      </c>
      <c r="N202">
        <f t="shared" si="411"/>
        <v>-6.9699999999999984E-2</v>
      </c>
      <c r="O202">
        <f t="shared" si="411"/>
        <v>-8.3639999999999937E-2</v>
      </c>
      <c r="P202">
        <f t="shared" si="398"/>
        <v>-0.27667600000000003</v>
      </c>
      <c r="Q202">
        <f t="shared" si="412"/>
        <v>-2.1440000000000015E-2</v>
      </c>
      <c r="R202">
        <f t="shared" si="412"/>
        <v>-4.3679999999999997E-2</v>
      </c>
      <c r="S202">
        <f t="shared" si="412"/>
        <v>-6.6720000000000002E-2</v>
      </c>
      <c r="T202">
        <f t="shared" si="412"/>
        <v>-9.0559999999999974E-2</v>
      </c>
      <c r="U202">
        <f t="shared" si="412"/>
        <v>-0.11520000000000002</v>
      </c>
      <c r="V202">
        <f t="shared" si="412"/>
        <v>-0.14063999999999988</v>
      </c>
      <c r="W202">
        <f t="shared" si="400"/>
        <v>-0.34584500000000001</v>
      </c>
      <c r="X202">
        <f t="shared" si="413"/>
        <v>-2.6800000000000046E-2</v>
      </c>
      <c r="Y202">
        <f t="shared" si="413"/>
        <v>-5.4599999999999982E-2</v>
      </c>
      <c r="Z202">
        <f t="shared" si="413"/>
        <v>-8.3399999999999974E-2</v>
      </c>
      <c r="AA202">
        <f t="shared" si="413"/>
        <v>-0.11320000000000002</v>
      </c>
      <c r="AB202">
        <f t="shared" si="413"/>
        <v>-0.14400000000000002</v>
      </c>
      <c r="AC202">
        <f t="shared" si="413"/>
        <v>-0.1757999999999999</v>
      </c>
      <c r="AD202">
        <f t="shared" si="402"/>
        <v>-0.31333557000000001</v>
      </c>
      <c r="AE202">
        <f t="shared" si="414"/>
        <v>-2.4280800000000047E-2</v>
      </c>
      <c r="AF202">
        <f t="shared" si="414"/>
        <v>-4.94676E-2</v>
      </c>
      <c r="AG202">
        <f t="shared" si="414"/>
        <v>-7.5560400000000028E-2</v>
      </c>
      <c r="AH202">
        <f t="shared" si="414"/>
        <v>-0.10255920000000002</v>
      </c>
      <c r="AI202">
        <f t="shared" si="414"/>
        <v>-0.13046400000000002</v>
      </c>
      <c r="AJ202">
        <f t="shared" si="414"/>
        <v>-0.15927479999999988</v>
      </c>
      <c r="AK202">
        <f t="shared" si="404"/>
        <v>-0.35276190000000007</v>
      </c>
      <c r="AL202">
        <f t="shared" si="415"/>
        <v>-2.7335999999999971E-2</v>
      </c>
      <c r="AM202">
        <f t="shared" si="415"/>
        <v>-5.5691999999999964E-2</v>
      </c>
      <c r="AN202">
        <f t="shared" si="415"/>
        <v>-8.5067999999999977E-2</v>
      </c>
      <c r="AO202">
        <f t="shared" si="415"/>
        <v>-0.11546399999999996</v>
      </c>
      <c r="AP202">
        <f t="shared" si="415"/>
        <v>-0.14688000000000001</v>
      </c>
      <c r="AQ202">
        <f t="shared" si="415"/>
        <v>-0.17931599999999981</v>
      </c>
      <c r="AR202">
        <f t="shared" si="406"/>
        <v>-0.52637608999999996</v>
      </c>
      <c r="AS202">
        <f t="shared" si="416"/>
        <v>-4.0789600000000092E-2</v>
      </c>
      <c r="AT202">
        <f t="shared" si="416"/>
        <v>-8.3101199999999986E-2</v>
      </c>
      <c r="AU202">
        <f t="shared" si="416"/>
        <v>-0.12693480000000001</v>
      </c>
      <c r="AV202">
        <f t="shared" si="416"/>
        <v>-0.17229040000000007</v>
      </c>
      <c r="AW202">
        <f t="shared" si="416"/>
        <v>-0.21916800000000003</v>
      </c>
      <c r="AX202">
        <f t="shared" si="416"/>
        <v>-0.26756759999999979</v>
      </c>
      <c r="AY202">
        <f t="shared" si="370"/>
        <v>-0.14525490000000002</v>
      </c>
      <c r="AZ202">
        <f t="shared" si="408"/>
        <v>-1.1256000000000016E-2</v>
      </c>
      <c r="BA202">
        <f t="shared" si="408"/>
        <v>-2.293199999999998E-2</v>
      </c>
      <c r="BB202">
        <f t="shared" si="408"/>
        <v>-3.5027999999999976E-2</v>
      </c>
      <c r="BC202">
        <f t="shared" si="408"/>
        <v>-4.7544000000000003E-2</v>
      </c>
      <c r="BD202">
        <f t="shared" si="408"/>
        <v>-6.0480000000000006E-2</v>
      </c>
      <c r="BE202">
        <f t="shared" si="408"/>
        <v>-7.3835999999999929E-2</v>
      </c>
      <c r="BF202">
        <f t="shared" si="372"/>
        <v>-0.17292250000000001</v>
      </c>
      <c r="BG202">
        <f t="shared" si="409"/>
        <v>-1.3400000000000023E-2</v>
      </c>
      <c r="BH202">
        <f t="shared" si="409"/>
        <v>-2.7299999999999991E-2</v>
      </c>
      <c r="BI202">
        <f t="shared" si="409"/>
        <v>-4.1699999999999987E-2</v>
      </c>
      <c r="BJ202">
        <f t="shared" si="409"/>
        <v>-5.6600000000000011E-2</v>
      </c>
      <c r="BK202">
        <f t="shared" si="409"/>
        <v>-7.2000000000000008E-2</v>
      </c>
      <c r="BL202">
        <f t="shared" si="409"/>
        <v>-8.789999999999995E-2</v>
      </c>
      <c r="BM202">
        <f t="shared" si="374"/>
        <v>-0.54643510000000006</v>
      </c>
      <c r="BN202">
        <f t="shared" si="410"/>
        <v>-4.2344000000000048E-2</v>
      </c>
      <c r="BO202">
        <f t="shared" si="410"/>
        <v>-8.62679999999999E-2</v>
      </c>
      <c r="BP202">
        <f t="shared" si="410"/>
        <v>-0.131772</v>
      </c>
      <c r="BQ202">
        <f t="shared" si="410"/>
        <v>-0.17885600000000001</v>
      </c>
      <c r="BR202">
        <f t="shared" si="410"/>
        <v>-0.22751999999999994</v>
      </c>
      <c r="BS202">
        <f t="shared" si="410"/>
        <v>-0.27776399999999979</v>
      </c>
    </row>
    <row r="203" spans="2:71" x14ac:dyDescent="0.35">
      <c r="B203" t="s">
        <v>411</v>
      </c>
      <c r="C203" s="19">
        <f>regions!B181</f>
        <v>1142502</v>
      </c>
      <c r="D203" s="19">
        <f>regions!C181</f>
        <v>732847298.62475431</v>
      </c>
      <c r="E203" s="8">
        <f>regions!D181</f>
        <v>641.4407139985351</v>
      </c>
      <c r="F203" s="1">
        <f>regions!Z181</f>
        <v>25.8</v>
      </c>
      <c r="G203" s="8"/>
      <c r="H203" s="8"/>
      <c r="I203">
        <f t="shared" si="396"/>
        <v>-0.35965199999999997</v>
      </c>
      <c r="J203">
        <f t="shared" si="411"/>
        <v>-1.3940000000000008E-2</v>
      </c>
      <c r="K203">
        <f t="shared" si="411"/>
        <v>-2.7880000000000016E-2</v>
      </c>
      <c r="L203">
        <f t="shared" si="411"/>
        <v>-4.1820000000000024E-2</v>
      </c>
      <c r="M203">
        <f t="shared" si="411"/>
        <v>-5.5760000000000032E-2</v>
      </c>
      <c r="N203">
        <f t="shared" si="411"/>
        <v>-6.970000000000004E-2</v>
      </c>
      <c r="O203">
        <f t="shared" si="411"/>
        <v>-8.3639999999999992E-2</v>
      </c>
      <c r="P203">
        <f t="shared" si="398"/>
        <v>-0.26625599999999999</v>
      </c>
      <c r="Q203">
        <f t="shared" si="412"/>
        <v>-2.1040000000000003E-2</v>
      </c>
      <c r="R203">
        <f t="shared" si="412"/>
        <v>-4.2880000000000029E-2</v>
      </c>
      <c r="S203">
        <f t="shared" si="412"/>
        <v>-6.5520000000000023E-2</v>
      </c>
      <c r="T203">
        <f t="shared" si="412"/>
        <v>-8.8960000000000039E-2</v>
      </c>
      <c r="U203">
        <f t="shared" si="412"/>
        <v>-0.11320000000000008</v>
      </c>
      <c r="V203">
        <f t="shared" si="412"/>
        <v>-0.13824000000000003</v>
      </c>
      <c r="W203">
        <f t="shared" si="400"/>
        <v>-0.33282</v>
      </c>
      <c r="X203">
        <f t="shared" si="413"/>
        <v>-2.629999999999999E-2</v>
      </c>
      <c r="Y203">
        <f t="shared" si="413"/>
        <v>-5.3600000000000037E-2</v>
      </c>
      <c r="Z203">
        <f t="shared" si="413"/>
        <v>-8.1900000000000028E-2</v>
      </c>
      <c r="AA203">
        <f t="shared" si="413"/>
        <v>-0.11120000000000002</v>
      </c>
      <c r="AB203">
        <f t="shared" si="413"/>
        <v>-0.14150000000000007</v>
      </c>
      <c r="AC203">
        <f t="shared" si="413"/>
        <v>-0.17280000000000006</v>
      </c>
      <c r="AD203">
        <f t="shared" si="402"/>
        <v>-0.30153491999999998</v>
      </c>
      <c r="AE203">
        <f t="shared" si="414"/>
        <v>-2.382780000000001E-2</v>
      </c>
      <c r="AF203">
        <f t="shared" si="414"/>
        <v>-4.8561600000000038E-2</v>
      </c>
      <c r="AG203">
        <f t="shared" si="414"/>
        <v>-7.4201400000000028E-2</v>
      </c>
      <c r="AH203">
        <f t="shared" si="414"/>
        <v>-0.10074720000000004</v>
      </c>
      <c r="AI203">
        <f t="shared" si="414"/>
        <v>-0.12819900000000006</v>
      </c>
      <c r="AJ203">
        <f t="shared" si="414"/>
        <v>-0.15655680000000005</v>
      </c>
      <c r="AK203">
        <f t="shared" si="404"/>
        <v>-0.33947640000000001</v>
      </c>
      <c r="AL203">
        <f t="shared" si="415"/>
        <v>-2.6826000000000016E-2</v>
      </c>
      <c r="AM203">
        <f t="shared" si="415"/>
        <v>-5.4672000000000054E-2</v>
      </c>
      <c r="AN203">
        <f t="shared" si="415"/>
        <v>-8.3538000000000057E-2</v>
      </c>
      <c r="AO203">
        <f t="shared" si="415"/>
        <v>-0.11342400000000008</v>
      </c>
      <c r="AP203">
        <f t="shared" si="415"/>
        <v>-0.14433000000000007</v>
      </c>
      <c r="AQ203">
        <f t="shared" si="415"/>
        <v>-0.17625600000000008</v>
      </c>
      <c r="AR203">
        <f t="shared" si="406"/>
        <v>-0.50655203999999998</v>
      </c>
      <c r="AS203">
        <f t="shared" si="416"/>
        <v>-4.002859999999997E-2</v>
      </c>
      <c r="AT203">
        <f t="shared" si="416"/>
        <v>-8.1579199999999963E-2</v>
      </c>
      <c r="AU203">
        <f t="shared" si="416"/>
        <v>-0.12465179999999998</v>
      </c>
      <c r="AV203">
        <f t="shared" si="416"/>
        <v>-0.16924640000000002</v>
      </c>
      <c r="AW203">
        <f t="shared" si="416"/>
        <v>-0.21536300000000008</v>
      </c>
      <c r="AX203">
        <f t="shared" si="416"/>
        <v>-0.26300159999999995</v>
      </c>
      <c r="AY203">
        <f t="shared" si="370"/>
        <v>-0.1397844</v>
      </c>
      <c r="AZ203">
        <f t="shared" si="408"/>
        <v>-1.1046E-2</v>
      </c>
      <c r="BA203">
        <f t="shared" si="408"/>
        <v>-2.2512000000000004E-2</v>
      </c>
      <c r="BB203">
        <f t="shared" si="408"/>
        <v>-3.4398000000000012E-2</v>
      </c>
      <c r="BC203">
        <f t="shared" si="408"/>
        <v>-4.6704000000000023E-2</v>
      </c>
      <c r="BD203">
        <f t="shared" si="408"/>
        <v>-5.9430000000000038E-2</v>
      </c>
      <c r="BE203">
        <f t="shared" si="408"/>
        <v>-7.2576000000000002E-2</v>
      </c>
      <c r="BF203">
        <f t="shared" si="372"/>
        <v>-0.16641</v>
      </c>
      <c r="BG203">
        <f t="shared" ref="BG203:BL218" si="417">$D$21*($F203+BG$25)^2-$BF203</f>
        <v>-1.3149999999999995E-2</v>
      </c>
      <c r="BH203">
        <f t="shared" si="417"/>
        <v>-2.6800000000000018E-2</v>
      </c>
      <c r="BI203">
        <f t="shared" si="417"/>
        <v>-4.0950000000000014E-2</v>
      </c>
      <c r="BJ203">
        <f t="shared" si="417"/>
        <v>-5.5600000000000011E-2</v>
      </c>
      <c r="BK203">
        <f t="shared" si="417"/>
        <v>-7.0750000000000035E-2</v>
      </c>
      <c r="BL203">
        <f t="shared" si="417"/>
        <v>-8.6400000000000032E-2</v>
      </c>
      <c r="BM203">
        <f t="shared" si="374"/>
        <v>-0.52585559999999998</v>
      </c>
      <c r="BN203">
        <f t="shared" ref="BN203:BS218" si="418">$D$23*($F203+BN$25)^2-$BM203</f>
        <v>-4.1554000000000091E-2</v>
      </c>
      <c r="BO203">
        <f t="shared" si="418"/>
        <v>-8.4688000000000097E-2</v>
      </c>
      <c r="BP203">
        <f t="shared" si="418"/>
        <v>-0.12940200000000013</v>
      </c>
      <c r="BQ203">
        <f t="shared" si="418"/>
        <v>-0.17569600000000007</v>
      </c>
      <c r="BR203">
        <f t="shared" si="418"/>
        <v>-0.22357000000000016</v>
      </c>
      <c r="BS203">
        <f t="shared" si="418"/>
        <v>-0.27302400000000004</v>
      </c>
    </row>
    <row r="204" spans="2:71" x14ac:dyDescent="0.35">
      <c r="B204" t="s">
        <v>412</v>
      </c>
      <c r="C204" s="19">
        <f>regions!B182</f>
        <v>6306014</v>
      </c>
      <c r="D204" s="19">
        <f>regions!C182</f>
        <v>2477349486.2692142</v>
      </c>
      <c r="E204" s="8">
        <f>regions!D182</f>
        <v>392.85505650149429</v>
      </c>
      <c r="F204" s="1">
        <f>regions!Z182</f>
        <v>27.1</v>
      </c>
      <c r="G204" s="8"/>
      <c r="H204" s="8"/>
      <c r="I204">
        <f t="shared" si="396"/>
        <v>-0.377774</v>
      </c>
      <c r="J204">
        <f t="shared" si="411"/>
        <v>-1.3940000000000008E-2</v>
      </c>
      <c r="K204">
        <f t="shared" si="411"/>
        <v>-2.7880000000000016E-2</v>
      </c>
      <c r="L204">
        <f t="shared" si="411"/>
        <v>-4.1820000000000024E-2</v>
      </c>
      <c r="M204">
        <f t="shared" si="411"/>
        <v>-5.5759999999999976E-2</v>
      </c>
      <c r="N204">
        <f t="shared" si="411"/>
        <v>-6.9699999999999984E-2</v>
      </c>
      <c r="O204">
        <f t="shared" si="411"/>
        <v>-8.3639999999999992E-2</v>
      </c>
      <c r="P204">
        <f t="shared" si="398"/>
        <v>-0.29376400000000003</v>
      </c>
      <c r="Q204">
        <f t="shared" si="412"/>
        <v>-2.2080000000000044E-2</v>
      </c>
      <c r="R204">
        <f t="shared" si="412"/>
        <v>-4.496E-2</v>
      </c>
      <c r="S204">
        <f t="shared" si="412"/>
        <v>-6.8640000000000034E-2</v>
      </c>
      <c r="T204">
        <f t="shared" si="412"/>
        <v>-9.3119999999999981E-2</v>
      </c>
      <c r="U204">
        <f t="shared" si="412"/>
        <v>-0.11840000000000001</v>
      </c>
      <c r="V204">
        <f t="shared" si="412"/>
        <v>-0.14448000000000005</v>
      </c>
      <c r="W204">
        <f t="shared" si="400"/>
        <v>-0.36720500000000006</v>
      </c>
      <c r="X204">
        <f t="shared" si="413"/>
        <v>-2.7600000000000013E-2</v>
      </c>
      <c r="Y204">
        <f t="shared" si="413"/>
        <v>-5.6199999999999972E-2</v>
      </c>
      <c r="Z204">
        <f t="shared" si="413"/>
        <v>-8.5799999999999987E-2</v>
      </c>
      <c r="AA204">
        <f t="shared" si="413"/>
        <v>-0.11639999999999995</v>
      </c>
      <c r="AB204">
        <f t="shared" si="413"/>
        <v>-0.14799999999999996</v>
      </c>
      <c r="AC204">
        <f t="shared" si="413"/>
        <v>-0.18060000000000004</v>
      </c>
      <c r="AD204">
        <f t="shared" si="402"/>
        <v>-0.33268773000000001</v>
      </c>
      <c r="AE204">
        <f t="shared" si="414"/>
        <v>-2.5005600000000072E-2</v>
      </c>
      <c r="AF204">
        <f t="shared" si="414"/>
        <v>-5.0917199999999996E-2</v>
      </c>
      <c r="AG204">
        <f t="shared" si="414"/>
        <v>-7.7734800000000048E-2</v>
      </c>
      <c r="AH204">
        <f t="shared" si="414"/>
        <v>-0.10545840000000001</v>
      </c>
      <c r="AI204">
        <f t="shared" si="414"/>
        <v>-0.13408800000000004</v>
      </c>
      <c r="AJ204">
        <f t="shared" si="414"/>
        <v>-0.16362360000000004</v>
      </c>
      <c r="AK204">
        <f t="shared" si="404"/>
        <v>-0.37454910000000008</v>
      </c>
      <c r="AL204">
        <f t="shared" si="415"/>
        <v>-2.815200000000001E-2</v>
      </c>
      <c r="AM204">
        <f t="shared" si="415"/>
        <v>-5.7323999999999986E-2</v>
      </c>
      <c r="AN204">
        <f t="shared" si="415"/>
        <v>-8.7515999999999983E-2</v>
      </c>
      <c r="AO204">
        <f t="shared" si="415"/>
        <v>-0.118728</v>
      </c>
      <c r="AP204">
        <f t="shared" si="415"/>
        <v>-0.15095999999999998</v>
      </c>
      <c r="AQ204">
        <f t="shared" si="415"/>
        <v>-0.18421200000000004</v>
      </c>
      <c r="AR204">
        <f t="shared" si="406"/>
        <v>-0.55888601000000004</v>
      </c>
      <c r="AS204">
        <f t="shared" si="416"/>
        <v>-4.2007200000000022E-2</v>
      </c>
      <c r="AT204">
        <f t="shared" si="416"/>
        <v>-8.5536399999999957E-2</v>
      </c>
      <c r="AU204">
        <f t="shared" si="416"/>
        <v>-0.13058760000000003</v>
      </c>
      <c r="AV204">
        <f t="shared" si="416"/>
        <v>-0.1771607999999999</v>
      </c>
      <c r="AW204">
        <f t="shared" si="416"/>
        <v>-0.22525600000000001</v>
      </c>
      <c r="AX204">
        <f t="shared" si="416"/>
        <v>-0.27487320000000004</v>
      </c>
      <c r="AY204">
        <f t="shared" si="370"/>
        <v>-0.15422610000000003</v>
      </c>
      <c r="AZ204">
        <f t="shared" si="408"/>
        <v>-1.1591999999999991E-2</v>
      </c>
      <c r="BA204">
        <f t="shared" si="408"/>
        <v>-2.3603999999999986E-2</v>
      </c>
      <c r="BB204">
        <f t="shared" si="408"/>
        <v>-3.6035999999999985E-2</v>
      </c>
      <c r="BC204">
        <f t="shared" si="408"/>
        <v>-4.8887999999999987E-2</v>
      </c>
      <c r="BD204">
        <f t="shared" si="408"/>
        <v>-6.2159999999999993E-2</v>
      </c>
      <c r="BE204">
        <f t="shared" si="408"/>
        <v>-7.5852000000000003E-2</v>
      </c>
      <c r="BF204">
        <f t="shared" si="372"/>
        <v>-0.18360250000000003</v>
      </c>
      <c r="BG204">
        <f t="shared" si="417"/>
        <v>-1.3800000000000007E-2</v>
      </c>
      <c r="BH204">
        <f t="shared" si="417"/>
        <v>-2.8099999999999986E-2</v>
      </c>
      <c r="BI204">
        <f t="shared" si="417"/>
        <v>-4.2899999999999994E-2</v>
      </c>
      <c r="BJ204">
        <f t="shared" si="417"/>
        <v>-5.8199999999999974E-2</v>
      </c>
      <c r="BK204">
        <f t="shared" si="417"/>
        <v>-7.3999999999999982E-2</v>
      </c>
      <c r="BL204">
        <f t="shared" si="417"/>
        <v>-9.0300000000000019E-2</v>
      </c>
      <c r="BM204">
        <f t="shared" si="374"/>
        <v>-0.58018390000000009</v>
      </c>
      <c r="BN204">
        <f t="shared" si="418"/>
        <v>-4.360799999999998E-2</v>
      </c>
      <c r="BO204">
        <f t="shared" si="418"/>
        <v>-8.8795999999999986E-2</v>
      </c>
      <c r="BP204">
        <f t="shared" si="418"/>
        <v>-0.13556400000000002</v>
      </c>
      <c r="BQ204">
        <f t="shared" si="418"/>
        <v>-0.18391199999999996</v>
      </c>
      <c r="BR204">
        <f t="shared" si="418"/>
        <v>-0.23383999999999994</v>
      </c>
      <c r="BS204">
        <f t="shared" si="418"/>
        <v>-0.28534800000000005</v>
      </c>
    </row>
    <row r="205" spans="2:71" x14ac:dyDescent="0.35">
      <c r="B205" t="s">
        <v>413</v>
      </c>
      <c r="C205" s="19">
        <f>regions!B183</f>
        <v>104098</v>
      </c>
      <c r="D205" s="19">
        <f>regions!C183</f>
        <v>268854242.96830958</v>
      </c>
      <c r="E205" s="8">
        <f>regions!D183</f>
        <v>2582.7032504784875</v>
      </c>
      <c r="F205" s="1">
        <f>regions!Z183</f>
        <v>25.2</v>
      </c>
      <c r="G205" s="8"/>
      <c r="H205" s="8"/>
      <c r="I205">
        <f t="shared" si="396"/>
        <v>-0.35128799999999999</v>
      </c>
      <c r="J205">
        <f t="shared" si="411"/>
        <v>-1.3940000000000008E-2</v>
      </c>
      <c r="K205">
        <f t="shared" si="411"/>
        <v>-2.787999999999996E-2</v>
      </c>
      <c r="L205">
        <f t="shared" si="411"/>
        <v>-4.1819999999999968E-2</v>
      </c>
      <c r="M205">
        <f t="shared" si="411"/>
        <v>-5.5759999999999976E-2</v>
      </c>
      <c r="N205">
        <f t="shared" si="411"/>
        <v>-6.9699999999999984E-2</v>
      </c>
      <c r="O205">
        <f t="shared" si="411"/>
        <v>-8.3639999999999992E-2</v>
      </c>
      <c r="P205">
        <f t="shared" si="398"/>
        <v>-0.25401600000000002</v>
      </c>
      <c r="Q205">
        <f t="shared" si="412"/>
        <v>-2.0559999999999967E-2</v>
      </c>
      <c r="R205">
        <f t="shared" si="412"/>
        <v>-4.1919999999999957E-2</v>
      </c>
      <c r="S205">
        <f t="shared" si="412"/>
        <v>-6.4080000000000026E-2</v>
      </c>
      <c r="T205">
        <f t="shared" si="412"/>
        <v>-8.7040000000000006E-2</v>
      </c>
      <c r="U205">
        <f t="shared" si="412"/>
        <v>-0.11080000000000001</v>
      </c>
      <c r="V205">
        <f t="shared" si="412"/>
        <v>-0.13535999999999998</v>
      </c>
      <c r="W205">
        <f t="shared" si="400"/>
        <v>-0.31751999999999997</v>
      </c>
      <c r="X205">
        <f t="shared" si="413"/>
        <v>-2.5700000000000001E-2</v>
      </c>
      <c r="Y205">
        <f t="shared" si="413"/>
        <v>-5.2400000000000002E-2</v>
      </c>
      <c r="Z205">
        <f t="shared" si="413"/>
        <v>-8.010000000000006E-2</v>
      </c>
      <c r="AA205">
        <f t="shared" si="413"/>
        <v>-0.10880000000000001</v>
      </c>
      <c r="AB205">
        <f t="shared" si="413"/>
        <v>-0.13850000000000001</v>
      </c>
      <c r="AC205">
        <f t="shared" si="413"/>
        <v>-0.16920000000000002</v>
      </c>
      <c r="AD205">
        <f t="shared" si="402"/>
        <v>-0.28767312</v>
      </c>
      <c r="AE205">
        <f t="shared" si="414"/>
        <v>-2.3284199999999977E-2</v>
      </c>
      <c r="AF205">
        <f t="shared" si="414"/>
        <v>-4.7474399999999972E-2</v>
      </c>
      <c r="AG205">
        <f t="shared" si="414"/>
        <v>-7.2570599999999985E-2</v>
      </c>
      <c r="AH205">
        <f t="shared" si="414"/>
        <v>-9.8572800000000016E-2</v>
      </c>
      <c r="AI205">
        <f t="shared" si="414"/>
        <v>-0.12548100000000001</v>
      </c>
      <c r="AJ205">
        <f t="shared" si="414"/>
        <v>-0.15329519999999996</v>
      </c>
      <c r="AK205">
        <f t="shared" si="404"/>
        <v>-0.3238704</v>
      </c>
      <c r="AL205">
        <f t="shared" si="415"/>
        <v>-2.6214000000000015E-2</v>
      </c>
      <c r="AM205">
        <f t="shared" si="415"/>
        <v>-5.3447999999999996E-2</v>
      </c>
      <c r="AN205">
        <f t="shared" si="415"/>
        <v>-8.1702000000000052E-2</v>
      </c>
      <c r="AO205">
        <f t="shared" si="415"/>
        <v>-0.11097600000000002</v>
      </c>
      <c r="AP205">
        <f t="shared" si="415"/>
        <v>-0.14127000000000001</v>
      </c>
      <c r="AQ205">
        <f t="shared" si="415"/>
        <v>-0.17258400000000002</v>
      </c>
      <c r="AR205">
        <f t="shared" si="406"/>
        <v>-0.48326543999999994</v>
      </c>
      <c r="AS205">
        <f t="shared" si="416"/>
        <v>-3.9115400000000022E-2</v>
      </c>
      <c r="AT205">
        <f t="shared" si="416"/>
        <v>-7.9752799999999957E-2</v>
      </c>
      <c r="AU205">
        <f t="shared" si="416"/>
        <v>-0.12191220000000003</v>
      </c>
      <c r="AV205">
        <f t="shared" si="416"/>
        <v>-0.16559360000000001</v>
      </c>
      <c r="AW205">
        <f t="shared" si="416"/>
        <v>-0.21079700000000001</v>
      </c>
      <c r="AX205">
        <f t="shared" si="416"/>
        <v>-0.25752239999999993</v>
      </c>
      <c r="AY205">
        <f t="shared" si="370"/>
        <v>-0.13335839999999999</v>
      </c>
      <c r="AZ205">
        <f t="shared" si="408"/>
        <v>-1.0793999999999998E-2</v>
      </c>
      <c r="BA205">
        <f t="shared" si="408"/>
        <v>-2.2008E-2</v>
      </c>
      <c r="BB205">
        <f t="shared" si="408"/>
        <v>-3.3642000000000033E-2</v>
      </c>
      <c r="BC205">
        <f t="shared" si="408"/>
        <v>-4.5696000000000014E-2</v>
      </c>
      <c r="BD205">
        <f t="shared" si="408"/>
        <v>-5.8169999999999999E-2</v>
      </c>
      <c r="BE205">
        <f t="shared" si="408"/>
        <v>-7.1064000000000016E-2</v>
      </c>
      <c r="BF205">
        <f t="shared" si="372"/>
        <v>-0.15875999999999998</v>
      </c>
      <c r="BG205">
        <f t="shared" si="417"/>
        <v>-1.285E-2</v>
      </c>
      <c r="BH205">
        <f t="shared" si="417"/>
        <v>-2.6200000000000001E-2</v>
      </c>
      <c r="BI205">
        <f t="shared" si="417"/>
        <v>-4.005000000000003E-2</v>
      </c>
      <c r="BJ205">
        <f t="shared" si="417"/>
        <v>-5.4400000000000004E-2</v>
      </c>
      <c r="BK205">
        <f t="shared" si="417"/>
        <v>-6.9250000000000006E-2</v>
      </c>
      <c r="BL205">
        <f t="shared" si="417"/>
        <v>-8.4600000000000009E-2</v>
      </c>
      <c r="BM205">
        <f t="shared" si="374"/>
        <v>-0.50168159999999995</v>
      </c>
      <c r="BN205">
        <f t="shared" si="418"/>
        <v>-4.0606000000000031E-2</v>
      </c>
      <c r="BO205">
        <f t="shared" si="418"/>
        <v>-8.2791999999999977E-2</v>
      </c>
      <c r="BP205">
        <f t="shared" si="418"/>
        <v>-0.12655800000000006</v>
      </c>
      <c r="BQ205">
        <f t="shared" si="418"/>
        <v>-0.17190400000000006</v>
      </c>
      <c r="BR205">
        <f t="shared" si="418"/>
        <v>-0.21883000000000008</v>
      </c>
      <c r="BS205">
        <f t="shared" si="418"/>
        <v>-0.26733600000000002</v>
      </c>
    </row>
    <row r="206" spans="2:71" x14ac:dyDescent="0.35">
      <c r="B206" t="s">
        <v>196</v>
      </c>
      <c r="C206" s="19">
        <f>regions!B184</f>
        <v>1328095</v>
      </c>
      <c r="D206" s="19">
        <f>regions!C184</f>
        <v>18988955441.46624</v>
      </c>
      <c r="E206" s="8">
        <f>regions!D184</f>
        <v>14297.889414135465</v>
      </c>
      <c r="F206" s="1">
        <f>regions!Z184</f>
        <v>25.7</v>
      </c>
      <c r="G206" s="8"/>
      <c r="H206" s="8"/>
      <c r="I206">
        <f t="shared" si="396"/>
        <v>0</v>
      </c>
      <c r="J206">
        <f t="shared" ref="J206:O215" si="419">IF($E206&lt;$E$24,$D$11*($F206+J$25)-$I206,0)</f>
        <v>0</v>
      </c>
      <c r="K206">
        <f t="shared" si="419"/>
        <v>0</v>
      </c>
      <c r="L206">
        <f t="shared" si="419"/>
        <v>0</v>
      </c>
      <c r="M206">
        <f t="shared" si="419"/>
        <v>0</v>
      </c>
      <c r="N206">
        <f t="shared" si="419"/>
        <v>0</v>
      </c>
      <c r="O206">
        <f t="shared" si="419"/>
        <v>0</v>
      </c>
      <c r="P206">
        <f t="shared" si="398"/>
        <v>-0.26419600000000004</v>
      </c>
      <c r="Q206">
        <f t="shared" ref="Q206:V215" si="420">$D$13*($F206+Q$25)^2-$P206</f>
        <v>-2.0959999999999979E-2</v>
      </c>
      <c r="R206">
        <f t="shared" si="420"/>
        <v>-4.271999999999998E-2</v>
      </c>
      <c r="S206">
        <f t="shared" si="420"/>
        <v>-6.5279999999999949E-2</v>
      </c>
      <c r="T206">
        <f t="shared" si="420"/>
        <v>-8.8639999999999941E-2</v>
      </c>
      <c r="U206">
        <f t="shared" si="420"/>
        <v>-0.11279999999999996</v>
      </c>
      <c r="V206">
        <f t="shared" si="420"/>
        <v>-0.13775999999999999</v>
      </c>
      <c r="W206">
        <f t="shared" si="400"/>
        <v>-0.33024500000000001</v>
      </c>
      <c r="X206">
        <f t="shared" ref="X206:AC215" si="421">$D$15*($F206+X$25)^2-$W206</f>
        <v>-2.6200000000000001E-2</v>
      </c>
      <c r="Y206">
        <f t="shared" si="421"/>
        <v>-5.3400000000000003E-2</v>
      </c>
      <c r="Z206">
        <f t="shared" si="421"/>
        <v>-8.159999999999995E-2</v>
      </c>
      <c r="AA206">
        <f t="shared" si="421"/>
        <v>-0.11079999999999995</v>
      </c>
      <c r="AB206">
        <f t="shared" si="421"/>
        <v>-0.14100000000000001</v>
      </c>
      <c r="AC206">
        <f t="shared" si="421"/>
        <v>-0.17220000000000002</v>
      </c>
      <c r="AD206">
        <f t="shared" si="402"/>
        <v>-0.29920196999999998</v>
      </c>
      <c r="AE206">
        <f t="shared" ref="AE206:AJ215" si="422">$D$10*($F206+AE$25)^2-$AD206</f>
        <v>-2.3737200000000014E-2</v>
      </c>
      <c r="AF206">
        <f t="shared" si="422"/>
        <v>-4.838039999999999E-2</v>
      </c>
      <c r="AG206">
        <f t="shared" si="422"/>
        <v>-7.3929599999999984E-2</v>
      </c>
      <c r="AH206">
        <f t="shared" si="422"/>
        <v>-0.1003848</v>
      </c>
      <c r="AI206">
        <f t="shared" si="422"/>
        <v>-0.12774600000000003</v>
      </c>
      <c r="AJ206">
        <f t="shared" si="422"/>
        <v>-0.15601320000000002</v>
      </c>
      <c r="AK206">
        <f t="shared" si="404"/>
        <v>-0.33684990000000004</v>
      </c>
      <c r="AL206">
        <f t="shared" ref="AL206:AQ215" si="423">$D$17*($F206+AL$25)^2-$AK206</f>
        <v>-2.672399999999997E-2</v>
      </c>
      <c r="AM206">
        <f t="shared" si="423"/>
        <v>-5.4467999999999961E-2</v>
      </c>
      <c r="AN206">
        <f t="shared" si="423"/>
        <v>-8.3231999999999973E-2</v>
      </c>
      <c r="AO206">
        <f t="shared" si="423"/>
        <v>-0.11301599999999995</v>
      </c>
      <c r="AP206">
        <f t="shared" si="423"/>
        <v>-0.14382</v>
      </c>
      <c r="AQ206">
        <f t="shared" si="423"/>
        <v>-0.17564400000000002</v>
      </c>
      <c r="AR206">
        <f t="shared" si="406"/>
        <v>-0.50263289</v>
      </c>
      <c r="AS206">
        <f t="shared" ref="AS206:AX215" si="424">$D$8*($F206+AS$25)^2-$AR206</f>
        <v>-3.9876399999999923E-2</v>
      </c>
      <c r="AT206">
        <f t="shared" si="424"/>
        <v>-8.127479999999998E-2</v>
      </c>
      <c r="AU206">
        <f t="shared" si="424"/>
        <v>-0.12419519999999995</v>
      </c>
      <c r="AV206">
        <f t="shared" si="424"/>
        <v>-0.16863759999999994</v>
      </c>
      <c r="AW206">
        <f t="shared" si="424"/>
        <v>-0.21460199999999996</v>
      </c>
      <c r="AX206">
        <f t="shared" si="424"/>
        <v>-0.2620884</v>
      </c>
      <c r="AY206">
        <f t="shared" si="370"/>
        <v>-0.13870290000000002</v>
      </c>
      <c r="AZ206">
        <f t="shared" si="408"/>
        <v>-1.1003999999999986E-2</v>
      </c>
      <c r="BA206">
        <f t="shared" si="408"/>
        <v>-2.2427999999999976E-2</v>
      </c>
      <c r="BB206">
        <f t="shared" si="408"/>
        <v>-3.4271999999999969E-2</v>
      </c>
      <c r="BC206">
        <f t="shared" si="408"/>
        <v>-4.6535999999999966E-2</v>
      </c>
      <c r="BD206">
        <f t="shared" si="408"/>
        <v>-5.9219999999999995E-2</v>
      </c>
      <c r="BE206">
        <f t="shared" si="408"/>
        <v>-7.2323999999999999E-2</v>
      </c>
      <c r="BF206">
        <f t="shared" si="372"/>
        <v>-0.16512250000000001</v>
      </c>
      <c r="BG206">
        <f t="shared" si="417"/>
        <v>-1.3100000000000001E-2</v>
      </c>
      <c r="BH206">
        <f t="shared" si="417"/>
        <v>-2.6700000000000002E-2</v>
      </c>
      <c r="BI206">
        <f t="shared" si="417"/>
        <v>-4.0799999999999975E-2</v>
      </c>
      <c r="BJ206">
        <f t="shared" si="417"/>
        <v>-5.5399999999999977E-2</v>
      </c>
      <c r="BK206">
        <f t="shared" si="417"/>
        <v>-7.0500000000000007E-2</v>
      </c>
      <c r="BL206">
        <f t="shared" si="417"/>
        <v>-8.610000000000001E-2</v>
      </c>
      <c r="BM206">
        <f t="shared" si="374"/>
        <v>-0.52178710000000006</v>
      </c>
      <c r="BN206">
        <f t="shared" si="418"/>
        <v>-4.1395999999999988E-2</v>
      </c>
      <c r="BO206">
        <f t="shared" si="418"/>
        <v>-8.4371999999999892E-2</v>
      </c>
      <c r="BP206">
        <f t="shared" si="418"/>
        <v>-0.12892799999999993</v>
      </c>
      <c r="BQ206">
        <f t="shared" si="418"/>
        <v>-0.17506399999999989</v>
      </c>
      <c r="BR206">
        <f t="shared" si="418"/>
        <v>-0.22277999999999998</v>
      </c>
      <c r="BS206">
        <f t="shared" si="418"/>
        <v>-0.27207599999999998</v>
      </c>
    </row>
    <row r="207" spans="2:71" x14ac:dyDescent="0.35">
      <c r="B207" t="s">
        <v>197</v>
      </c>
      <c r="C207" s="19">
        <f>regions!B185</f>
        <v>10549100</v>
      </c>
      <c r="D207" s="19">
        <f>regions!C185</f>
        <v>40735443534.70594</v>
      </c>
      <c r="E207" s="8">
        <f>regions!D185</f>
        <v>3861.5088997834828</v>
      </c>
      <c r="F207" s="1">
        <f>regions!Z185</f>
        <v>19.2</v>
      </c>
      <c r="G207" s="8"/>
      <c r="H207" s="8"/>
      <c r="I207">
        <f t="shared" si="396"/>
        <v>0</v>
      </c>
      <c r="J207">
        <f t="shared" si="419"/>
        <v>0</v>
      </c>
      <c r="K207">
        <f t="shared" si="419"/>
        <v>0</v>
      </c>
      <c r="L207">
        <f t="shared" si="419"/>
        <v>0</v>
      </c>
      <c r="M207">
        <f t="shared" si="419"/>
        <v>0</v>
      </c>
      <c r="N207">
        <f t="shared" si="419"/>
        <v>0</v>
      </c>
      <c r="O207">
        <f t="shared" si="419"/>
        <v>0</v>
      </c>
      <c r="P207">
        <f t="shared" si="398"/>
        <v>-0.147456</v>
      </c>
      <c r="Q207">
        <f t="shared" si="420"/>
        <v>-1.5759999999999996E-2</v>
      </c>
      <c r="R207">
        <f t="shared" si="420"/>
        <v>-3.2320000000000015E-2</v>
      </c>
      <c r="S207">
        <f t="shared" si="420"/>
        <v>-4.9680000000000002E-2</v>
      </c>
      <c r="T207">
        <f t="shared" si="420"/>
        <v>-6.7840000000000011E-2</v>
      </c>
      <c r="U207">
        <f t="shared" si="420"/>
        <v>-8.6799999999999988E-2</v>
      </c>
      <c r="V207">
        <f t="shared" si="420"/>
        <v>-0.10656000000000002</v>
      </c>
      <c r="W207">
        <f t="shared" si="400"/>
        <v>-0.18431999999999998</v>
      </c>
      <c r="X207">
        <f t="shared" si="421"/>
        <v>-1.9699999999999995E-2</v>
      </c>
      <c r="Y207">
        <f t="shared" si="421"/>
        <v>-4.0400000000000019E-2</v>
      </c>
      <c r="Z207">
        <f t="shared" si="421"/>
        <v>-6.2100000000000016E-2</v>
      </c>
      <c r="AA207">
        <f t="shared" si="421"/>
        <v>-8.4800000000000042E-2</v>
      </c>
      <c r="AB207">
        <f t="shared" si="421"/>
        <v>-0.10850000000000004</v>
      </c>
      <c r="AC207">
        <f t="shared" si="421"/>
        <v>-0.13319999999999999</v>
      </c>
      <c r="AD207">
        <f t="shared" si="402"/>
        <v>-0.16699391999999999</v>
      </c>
      <c r="AE207">
        <f t="shared" si="422"/>
        <v>-1.7848200000000009E-2</v>
      </c>
      <c r="AF207">
        <f t="shared" si="422"/>
        <v>-3.6602400000000007E-2</v>
      </c>
      <c r="AG207">
        <f t="shared" si="422"/>
        <v>-5.6262599999999996E-2</v>
      </c>
      <c r="AH207">
        <f t="shared" si="422"/>
        <v>-7.682880000000003E-2</v>
      </c>
      <c r="AI207">
        <f t="shared" si="422"/>
        <v>-9.8300999999999999E-2</v>
      </c>
      <c r="AJ207">
        <f t="shared" si="422"/>
        <v>-0.12067920000000001</v>
      </c>
      <c r="AK207">
        <f t="shared" si="404"/>
        <v>-0.18800640000000002</v>
      </c>
      <c r="AL207">
        <f t="shared" si="423"/>
        <v>-2.0093999999999973E-2</v>
      </c>
      <c r="AM207">
        <f t="shared" si="423"/>
        <v>-4.1207999999999995E-2</v>
      </c>
      <c r="AN207">
        <f t="shared" si="423"/>
        <v>-6.3342000000000009E-2</v>
      </c>
      <c r="AO207">
        <f t="shared" si="423"/>
        <v>-8.6496000000000017E-2</v>
      </c>
      <c r="AP207">
        <f t="shared" si="423"/>
        <v>-0.11066999999999999</v>
      </c>
      <c r="AQ207">
        <f t="shared" si="423"/>
        <v>-0.13586399999999998</v>
      </c>
      <c r="AR207">
        <f t="shared" si="406"/>
        <v>-0.28053503999999996</v>
      </c>
      <c r="AS207">
        <f t="shared" si="424"/>
        <v>-2.9983399999999993E-2</v>
      </c>
      <c r="AT207">
        <f t="shared" si="424"/>
        <v>-6.148880000000001E-2</v>
      </c>
      <c r="AU207">
        <f t="shared" si="424"/>
        <v>-9.4516199999999995E-2</v>
      </c>
      <c r="AV207">
        <f t="shared" si="424"/>
        <v>-0.1290656</v>
      </c>
      <c r="AW207">
        <f t="shared" si="424"/>
        <v>-0.16513700000000003</v>
      </c>
      <c r="AX207">
        <f t="shared" si="424"/>
        <v>-0.20273039999999998</v>
      </c>
      <c r="AY207">
        <f t="shared" si="370"/>
        <v>-7.7414399999999994E-2</v>
      </c>
      <c r="AZ207">
        <f t="shared" si="408"/>
        <v>-8.2740000000000036E-3</v>
      </c>
      <c r="BA207">
        <f t="shared" si="408"/>
        <v>-1.6968000000000011E-2</v>
      </c>
      <c r="BB207">
        <f t="shared" si="408"/>
        <v>-2.6082000000000008E-2</v>
      </c>
      <c r="BC207">
        <f t="shared" si="408"/>
        <v>-3.5616000000000009E-2</v>
      </c>
      <c r="BD207">
        <f t="shared" si="408"/>
        <v>-4.5570000000000013E-2</v>
      </c>
      <c r="BE207">
        <f t="shared" si="408"/>
        <v>-5.5943999999999994E-2</v>
      </c>
      <c r="BF207">
        <f t="shared" si="372"/>
        <v>-9.2159999999999992E-2</v>
      </c>
      <c r="BG207">
        <f t="shared" si="417"/>
        <v>-9.8499999999999976E-3</v>
      </c>
      <c r="BH207">
        <f t="shared" si="417"/>
        <v>-2.020000000000001E-2</v>
      </c>
      <c r="BI207">
        <f t="shared" si="417"/>
        <v>-3.1050000000000008E-2</v>
      </c>
      <c r="BJ207">
        <f t="shared" si="417"/>
        <v>-4.2400000000000021E-2</v>
      </c>
      <c r="BK207">
        <f t="shared" si="417"/>
        <v>-5.425000000000002E-2</v>
      </c>
      <c r="BL207">
        <f t="shared" si="417"/>
        <v>-6.6599999999999993E-2</v>
      </c>
      <c r="BM207">
        <f t="shared" si="374"/>
        <v>-0.29122559999999997</v>
      </c>
      <c r="BN207">
        <f t="shared" si="418"/>
        <v>-3.1125999999999987E-2</v>
      </c>
      <c r="BO207">
        <f t="shared" si="418"/>
        <v>-6.3832000000000055E-2</v>
      </c>
      <c r="BP207">
        <f t="shared" si="418"/>
        <v>-9.8118000000000039E-2</v>
      </c>
      <c r="BQ207">
        <f t="shared" si="418"/>
        <v>-0.13398400000000005</v>
      </c>
      <c r="BR207">
        <f t="shared" si="418"/>
        <v>-0.17143000000000003</v>
      </c>
      <c r="BS207">
        <f t="shared" si="418"/>
        <v>-0.21045599999999998</v>
      </c>
    </row>
    <row r="208" spans="2:71" x14ac:dyDescent="0.35">
      <c r="B208" t="s">
        <v>198</v>
      </c>
      <c r="C208" s="19">
        <f>regions!B186</f>
        <v>72137546</v>
      </c>
      <c r="D208" s="19">
        <f>regions!C186</f>
        <v>565091528615.37659</v>
      </c>
      <c r="E208" s="8">
        <f>regions!D186</f>
        <v>7833.5285846205052</v>
      </c>
      <c r="F208" s="1">
        <f>regions!Z186</f>
        <v>11.1</v>
      </c>
      <c r="G208" s="8"/>
      <c r="H208" s="8"/>
      <c r="I208">
        <f t="shared" si="396"/>
        <v>0</v>
      </c>
      <c r="J208">
        <f t="shared" si="419"/>
        <v>0</v>
      </c>
      <c r="K208">
        <f t="shared" si="419"/>
        <v>0</v>
      </c>
      <c r="L208">
        <f t="shared" si="419"/>
        <v>0</v>
      </c>
      <c r="M208">
        <f t="shared" si="419"/>
        <v>0</v>
      </c>
      <c r="N208">
        <f t="shared" si="419"/>
        <v>0</v>
      </c>
      <c r="O208">
        <f t="shared" si="419"/>
        <v>0</v>
      </c>
      <c r="P208">
        <f t="shared" si="398"/>
        <v>-4.9284000000000001E-2</v>
      </c>
      <c r="Q208">
        <f t="shared" si="420"/>
        <v>-9.2799999999999966E-3</v>
      </c>
      <c r="R208">
        <f t="shared" si="420"/>
        <v>-1.9359999999999995E-2</v>
      </c>
      <c r="S208">
        <f t="shared" si="420"/>
        <v>-3.024000000000001E-2</v>
      </c>
      <c r="T208">
        <f t="shared" si="420"/>
        <v>-4.1920000000000006E-2</v>
      </c>
      <c r="U208">
        <f t="shared" si="420"/>
        <v>-5.4400000000000025E-2</v>
      </c>
      <c r="V208">
        <f t="shared" si="420"/>
        <v>-6.7680000000000018E-2</v>
      </c>
      <c r="W208">
        <f t="shared" si="400"/>
        <v>-6.1605E-2</v>
      </c>
      <c r="X208">
        <f t="shared" si="421"/>
        <v>-1.1600000000000006E-2</v>
      </c>
      <c r="Y208">
        <f t="shared" si="421"/>
        <v>-2.4199999999999992E-2</v>
      </c>
      <c r="Z208">
        <f t="shared" si="421"/>
        <v>-3.7800000000000007E-2</v>
      </c>
      <c r="AA208">
        <f t="shared" si="421"/>
        <v>-5.2399999999999995E-2</v>
      </c>
      <c r="AB208">
        <f t="shared" si="421"/>
        <v>-6.8000000000000033E-2</v>
      </c>
      <c r="AC208">
        <f t="shared" si="421"/>
        <v>-8.4600000000000036E-2</v>
      </c>
      <c r="AD208">
        <f t="shared" si="402"/>
        <v>-5.5814129999999997E-2</v>
      </c>
      <c r="AE208">
        <f t="shared" si="422"/>
        <v>-1.0509600000000001E-2</v>
      </c>
      <c r="AF208">
        <f t="shared" si="422"/>
        <v>-2.1925199999999999E-2</v>
      </c>
      <c r="AG208">
        <f t="shared" si="422"/>
        <v>-3.4246800000000001E-2</v>
      </c>
      <c r="AH208">
        <f t="shared" si="422"/>
        <v>-4.7474400000000007E-2</v>
      </c>
      <c r="AI208">
        <f t="shared" si="422"/>
        <v>-6.1608000000000017E-2</v>
      </c>
      <c r="AJ208">
        <f t="shared" si="422"/>
        <v>-7.664760000000001E-2</v>
      </c>
      <c r="AK208">
        <f t="shared" si="404"/>
        <v>-6.2837100000000007E-2</v>
      </c>
      <c r="AL208">
        <f t="shared" si="423"/>
        <v>-1.1831999999999995E-2</v>
      </c>
      <c r="AM208">
        <f t="shared" si="423"/>
        <v>-2.4683999999999998E-2</v>
      </c>
      <c r="AN208">
        <f t="shared" si="423"/>
        <v>-3.8556000000000007E-2</v>
      </c>
      <c r="AO208">
        <f t="shared" si="423"/>
        <v>-5.3447999999999996E-2</v>
      </c>
      <c r="AP208">
        <f t="shared" si="423"/>
        <v>-6.9360000000000033E-2</v>
      </c>
      <c r="AQ208">
        <f t="shared" si="423"/>
        <v>-8.6292000000000008E-2</v>
      </c>
      <c r="AR208">
        <f t="shared" si="406"/>
        <v>-9.3762809999999988E-2</v>
      </c>
      <c r="AS208">
        <f t="shared" si="424"/>
        <v>-1.765520000000001E-2</v>
      </c>
      <c r="AT208">
        <f t="shared" si="424"/>
        <v>-3.6832400000000001E-2</v>
      </c>
      <c r="AU208">
        <f t="shared" si="424"/>
        <v>-5.7531600000000002E-2</v>
      </c>
      <c r="AV208">
        <f t="shared" si="424"/>
        <v>-7.9752799999999999E-2</v>
      </c>
      <c r="AW208">
        <f t="shared" si="424"/>
        <v>-0.10349600000000002</v>
      </c>
      <c r="AX208">
        <f t="shared" si="424"/>
        <v>-0.12876120000000002</v>
      </c>
      <c r="AY208">
        <f t="shared" si="370"/>
        <v>-2.5874100000000001E-2</v>
      </c>
      <c r="AZ208">
        <f t="shared" si="408"/>
        <v>-4.8720000000000013E-3</v>
      </c>
      <c r="BA208">
        <f t="shared" si="408"/>
        <v>-1.0163999999999996E-2</v>
      </c>
      <c r="BB208">
        <f t="shared" si="408"/>
        <v>-1.5876000000000005E-2</v>
      </c>
      <c r="BC208">
        <f t="shared" si="408"/>
        <v>-2.2007999999999996E-2</v>
      </c>
      <c r="BD208">
        <f t="shared" si="408"/>
        <v>-2.8560000000000012E-2</v>
      </c>
      <c r="BE208">
        <f t="shared" si="408"/>
        <v>-3.5532000000000008E-2</v>
      </c>
      <c r="BF208">
        <f t="shared" si="372"/>
        <v>-3.08025E-2</v>
      </c>
      <c r="BG208">
        <f t="shared" si="417"/>
        <v>-5.8000000000000031E-3</v>
      </c>
      <c r="BH208">
        <f t="shared" si="417"/>
        <v>-1.2099999999999996E-2</v>
      </c>
      <c r="BI208">
        <f t="shared" si="417"/>
        <v>-1.8900000000000004E-2</v>
      </c>
      <c r="BJ208">
        <f t="shared" si="417"/>
        <v>-2.6199999999999998E-2</v>
      </c>
      <c r="BK208">
        <f t="shared" si="417"/>
        <v>-3.4000000000000016E-2</v>
      </c>
      <c r="BL208">
        <f t="shared" si="417"/>
        <v>-4.2300000000000018E-2</v>
      </c>
      <c r="BM208">
        <f t="shared" si="374"/>
        <v>-9.7335900000000003E-2</v>
      </c>
      <c r="BN208">
        <f t="shared" si="418"/>
        <v>-1.8327999999999997E-2</v>
      </c>
      <c r="BO208">
        <f t="shared" si="418"/>
        <v>-3.8235999999999992E-2</v>
      </c>
      <c r="BP208">
        <f t="shared" si="418"/>
        <v>-5.9723999999999999E-2</v>
      </c>
      <c r="BQ208">
        <f t="shared" si="418"/>
        <v>-8.2792000000000004E-2</v>
      </c>
      <c r="BR208">
        <f t="shared" si="418"/>
        <v>-0.10744000000000004</v>
      </c>
      <c r="BS208">
        <f t="shared" si="418"/>
        <v>-0.13366800000000001</v>
      </c>
    </row>
    <row r="209" spans="2:71" x14ac:dyDescent="0.35">
      <c r="B209" t="s">
        <v>414</v>
      </c>
      <c r="C209" s="19">
        <f>regions!B187</f>
        <v>5041995</v>
      </c>
      <c r="D209" s="19">
        <f>regions!C187</f>
        <v>13272686025.408352</v>
      </c>
      <c r="E209" s="8">
        <f>regions!D187</f>
        <v>2632.4274469546981</v>
      </c>
      <c r="F209" s="1">
        <f>regions!Z187</f>
        <v>15.1</v>
      </c>
      <c r="G209" s="8"/>
      <c r="H209" s="8"/>
      <c r="I209">
        <f t="shared" si="396"/>
        <v>-0.21049399999999999</v>
      </c>
      <c r="J209">
        <f t="shared" si="419"/>
        <v>-1.3940000000000008E-2</v>
      </c>
      <c r="K209">
        <f t="shared" si="419"/>
        <v>-2.7880000000000016E-2</v>
      </c>
      <c r="L209">
        <f t="shared" si="419"/>
        <v>-4.1819999999999996E-2</v>
      </c>
      <c r="M209">
        <f t="shared" si="419"/>
        <v>-5.5760000000000004E-2</v>
      </c>
      <c r="N209">
        <f t="shared" si="419"/>
        <v>-6.9700000000000012E-2</v>
      </c>
      <c r="O209">
        <f t="shared" si="419"/>
        <v>-8.364000000000002E-2</v>
      </c>
      <c r="P209">
        <f t="shared" si="398"/>
        <v>-9.1204000000000007E-2</v>
      </c>
      <c r="Q209">
        <f t="shared" si="420"/>
        <v>-1.2480000000000019E-2</v>
      </c>
      <c r="R209">
        <f t="shared" si="420"/>
        <v>-2.5760000000000005E-2</v>
      </c>
      <c r="S209">
        <f t="shared" si="420"/>
        <v>-3.9840000000000014E-2</v>
      </c>
      <c r="T209">
        <f t="shared" si="420"/>
        <v>-5.4720000000000019E-2</v>
      </c>
      <c r="U209">
        <f t="shared" si="420"/>
        <v>-7.0400000000000018E-2</v>
      </c>
      <c r="V209">
        <f t="shared" si="420"/>
        <v>-8.6880000000000013E-2</v>
      </c>
      <c r="W209">
        <f t="shared" si="400"/>
        <v>-0.114005</v>
      </c>
      <c r="X209">
        <f t="shared" si="421"/>
        <v>-1.5600000000000031E-2</v>
      </c>
      <c r="Y209">
        <f t="shared" si="421"/>
        <v>-3.2200000000000034E-2</v>
      </c>
      <c r="Z209">
        <f t="shared" si="421"/>
        <v>-4.9800000000000039E-2</v>
      </c>
      <c r="AA209">
        <f t="shared" si="421"/>
        <v>-6.8400000000000044E-2</v>
      </c>
      <c r="AB209">
        <f t="shared" si="421"/>
        <v>-8.8000000000000023E-2</v>
      </c>
      <c r="AC209">
        <f t="shared" si="421"/>
        <v>-0.10860000000000003</v>
      </c>
      <c r="AD209">
        <f t="shared" si="402"/>
        <v>-0.10328853</v>
      </c>
      <c r="AE209">
        <f t="shared" si="422"/>
        <v>-1.413360000000001E-2</v>
      </c>
      <c r="AF209">
        <f t="shared" si="422"/>
        <v>-2.9173199999999996E-2</v>
      </c>
      <c r="AG209">
        <f t="shared" si="422"/>
        <v>-4.5118800000000028E-2</v>
      </c>
      <c r="AH209">
        <f t="shared" si="422"/>
        <v>-6.1970400000000023E-2</v>
      </c>
      <c r="AI209">
        <f t="shared" si="422"/>
        <v>-7.9728000000000007E-2</v>
      </c>
      <c r="AJ209">
        <f t="shared" si="422"/>
        <v>-9.839160000000001E-2</v>
      </c>
      <c r="AK209">
        <f t="shared" si="404"/>
        <v>-0.1162851</v>
      </c>
      <c r="AL209">
        <f t="shared" si="423"/>
        <v>-1.5912000000000037E-2</v>
      </c>
      <c r="AM209">
        <f t="shared" si="423"/>
        <v>-3.2844000000000012E-2</v>
      </c>
      <c r="AN209">
        <f t="shared" si="423"/>
        <v>-5.0796000000000036E-2</v>
      </c>
      <c r="AO209">
        <f t="shared" si="423"/>
        <v>-6.9768000000000052E-2</v>
      </c>
      <c r="AP209">
        <f t="shared" si="423"/>
        <v>-8.9760000000000034E-2</v>
      </c>
      <c r="AQ209">
        <f t="shared" si="423"/>
        <v>-0.11077200000000004</v>
      </c>
      <c r="AR209">
        <f t="shared" si="406"/>
        <v>-0.17351560999999999</v>
      </c>
      <c r="AS209">
        <f t="shared" si="424"/>
        <v>-2.374320000000002E-2</v>
      </c>
      <c r="AT209">
        <f t="shared" si="424"/>
        <v>-4.9008400000000008E-2</v>
      </c>
      <c r="AU209">
        <f t="shared" si="424"/>
        <v>-7.5795600000000046E-2</v>
      </c>
      <c r="AV209">
        <f t="shared" si="424"/>
        <v>-0.10410480000000005</v>
      </c>
      <c r="AW209">
        <f t="shared" si="424"/>
        <v>-0.13393600000000006</v>
      </c>
      <c r="AX209">
        <f t="shared" si="424"/>
        <v>-0.16528920000000002</v>
      </c>
      <c r="AY209">
        <f t="shared" si="370"/>
        <v>-4.7882099999999997E-2</v>
      </c>
      <c r="AZ209">
        <f t="shared" si="408"/>
        <v>-6.5520000000000161E-3</v>
      </c>
      <c r="BA209">
        <f t="shared" si="408"/>
        <v>-1.3524000000000008E-2</v>
      </c>
      <c r="BB209">
        <f t="shared" si="408"/>
        <v>-2.0916000000000018E-2</v>
      </c>
      <c r="BC209">
        <f t="shared" si="408"/>
        <v>-2.8728000000000017E-2</v>
      </c>
      <c r="BD209">
        <f t="shared" si="408"/>
        <v>-3.6960000000000021E-2</v>
      </c>
      <c r="BE209">
        <f t="shared" si="408"/>
        <v>-4.5612000000000014E-2</v>
      </c>
      <c r="BF209">
        <f t="shared" si="372"/>
        <v>-5.7002499999999998E-2</v>
      </c>
      <c r="BG209">
        <f t="shared" si="417"/>
        <v>-7.8000000000000153E-3</v>
      </c>
      <c r="BH209">
        <f t="shared" si="417"/>
        <v>-1.6100000000000017E-2</v>
      </c>
      <c r="BI209">
        <f t="shared" si="417"/>
        <v>-2.4900000000000019E-2</v>
      </c>
      <c r="BJ209">
        <f t="shared" si="417"/>
        <v>-3.4200000000000022E-2</v>
      </c>
      <c r="BK209">
        <f t="shared" si="417"/>
        <v>-4.4000000000000011E-2</v>
      </c>
      <c r="BL209">
        <f t="shared" si="417"/>
        <v>-5.4300000000000015E-2</v>
      </c>
      <c r="BM209">
        <f t="shared" si="374"/>
        <v>-0.18012790000000001</v>
      </c>
      <c r="BN209">
        <f t="shared" si="418"/>
        <v>-2.4648000000000031E-2</v>
      </c>
      <c r="BO209">
        <f t="shared" si="418"/>
        <v>-5.0876000000000005E-2</v>
      </c>
      <c r="BP209">
        <f t="shared" si="418"/>
        <v>-7.8684000000000032E-2</v>
      </c>
      <c r="BQ209">
        <f t="shared" si="418"/>
        <v>-0.10807200000000006</v>
      </c>
      <c r="BR209">
        <f t="shared" si="418"/>
        <v>-0.13904000000000005</v>
      </c>
      <c r="BS209">
        <f t="shared" si="418"/>
        <v>-0.17158800000000002</v>
      </c>
    </row>
    <row r="210" spans="2:71" x14ac:dyDescent="0.35">
      <c r="B210" t="s">
        <v>415</v>
      </c>
      <c r="C210" s="19">
        <f>regions!B188</f>
        <v>9827</v>
      </c>
      <c r="D210" s="19">
        <f>regions!C188</f>
        <v>23813390.625238709</v>
      </c>
      <c r="E210" s="8">
        <f>regions!D188</f>
        <v>2423.2614862357495</v>
      </c>
      <c r="F210" s="1">
        <f>regions!Z188</f>
        <v>28</v>
      </c>
      <c r="G210" s="8"/>
      <c r="H210" s="8"/>
      <c r="I210">
        <f t="shared" si="396"/>
        <v>-0.39032</v>
      </c>
      <c r="J210">
        <f t="shared" si="419"/>
        <v>-1.3939999999999952E-2</v>
      </c>
      <c r="K210">
        <f t="shared" si="419"/>
        <v>-2.787999999999996E-2</v>
      </c>
      <c r="L210">
        <f t="shared" si="419"/>
        <v>-4.1819999999999968E-2</v>
      </c>
      <c r="M210">
        <f t="shared" si="419"/>
        <v>-5.5759999999999976E-2</v>
      </c>
      <c r="N210">
        <f t="shared" si="419"/>
        <v>-6.9699999999999984E-2</v>
      </c>
      <c r="O210">
        <f t="shared" si="419"/>
        <v>-8.3639999999999992E-2</v>
      </c>
      <c r="P210">
        <f t="shared" si="398"/>
        <v>-0.31359999999999999</v>
      </c>
      <c r="Q210">
        <f t="shared" si="420"/>
        <v>-2.2800000000000042E-2</v>
      </c>
      <c r="R210">
        <f t="shared" si="420"/>
        <v>-4.6400000000000052E-2</v>
      </c>
      <c r="S210">
        <f t="shared" si="420"/>
        <v>-7.080000000000003E-2</v>
      </c>
      <c r="T210">
        <f t="shared" si="420"/>
        <v>-9.600000000000003E-2</v>
      </c>
      <c r="U210">
        <f t="shared" si="420"/>
        <v>-0.12200000000000005</v>
      </c>
      <c r="V210">
        <f t="shared" si="420"/>
        <v>-0.14880000000000004</v>
      </c>
      <c r="W210">
        <f t="shared" si="400"/>
        <v>-0.39200000000000002</v>
      </c>
      <c r="X210">
        <f t="shared" si="421"/>
        <v>-2.849999999999997E-2</v>
      </c>
      <c r="Y210">
        <f t="shared" si="421"/>
        <v>-5.7999999999999996E-2</v>
      </c>
      <c r="Z210">
        <f t="shared" si="421"/>
        <v>-8.8499999999999968E-2</v>
      </c>
      <c r="AA210">
        <f t="shared" si="421"/>
        <v>-0.12</v>
      </c>
      <c r="AB210">
        <f t="shared" si="421"/>
        <v>-0.15249999999999997</v>
      </c>
      <c r="AC210">
        <f t="shared" si="421"/>
        <v>-0.18599999999999994</v>
      </c>
      <c r="AD210">
        <f t="shared" si="402"/>
        <v>-0.35515200000000002</v>
      </c>
      <c r="AE210">
        <f t="shared" si="422"/>
        <v>-2.5820999999999983E-2</v>
      </c>
      <c r="AF210">
        <f t="shared" si="422"/>
        <v>-5.2547999999999984E-2</v>
      </c>
      <c r="AG210">
        <f t="shared" si="422"/>
        <v>-8.0181000000000002E-2</v>
      </c>
      <c r="AH210">
        <f t="shared" si="422"/>
        <v>-0.10871999999999998</v>
      </c>
      <c r="AI210">
        <f t="shared" si="422"/>
        <v>-0.13816499999999998</v>
      </c>
      <c r="AJ210">
        <f t="shared" si="422"/>
        <v>-0.168516</v>
      </c>
      <c r="AK210">
        <f t="shared" si="404"/>
        <v>-0.39984000000000003</v>
      </c>
      <c r="AL210">
        <f t="shared" si="423"/>
        <v>-2.9069999999999985E-2</v>
      </c>
      <c r="AM210">
        <f t="shared" si="423"/>
        <v>-5.915999999999999E-2</v>
      </c>
      <c r="AN210">
        <f t="shared" si="423"/>
        <v>-9.0270000000000017E-2</v>
      </c>
      <c r="AO210">
        <f t="shared" si="423"/>
        <v>-0.12240000000000001</v>
      </c>
      <c r="AP210">
        <f t="shared" si="423"/>
        <v>-0.15555000000000002</v>
      </c>
      <c r="AQ210">
        <f t="shared" si="423"/>
        <v>-0.18972000000000006</v>
      </c>
      <c r="AR210">
        <f t="shared" si="406"/>
        <v>-0.59662399999999993</v>
      </c>
      <c r="AS210">
        <f t="shared" si="424"/>
        <v>-4.3376999999999999E-2</v>
      </c>
      <c r="AT210">
        <f t="shared" si="424"/>
        <v>-8.8276000000000021E-2</v>
      </c>
      <c r="AU210">
        <f t="shared" si="424"/>
        <v>-0.13469700000000007</v>
      </c>
      <c r="AV210">
        <f t="shared" si="424"/>
        <v>-0.18264000000000002</v>
      </c>
      <c r="AW210">
        <f t="shared" si="424"/>
        <v>-0.23210500000000001</v>
      </c>
      <c r="AX210">
        <f t="shared" si="424"/>
        <v>-0.28309200000000001</v>
      </c>
      <c r="AY210">
        <f t="shared" si="370"/>
        <v>-0.16464000000000001</v>
      </c>
      <c r="AZ210">
        <f t="shared" si="408"/>
        <v>-1.1970000000000008E-2</v>
      </c>
      <c r="BA210">
        <f t="shared" si="408"/>
        <v>-2.4359999999999993E-2</v>
      </c>
      <c r="BB210">
        <f t="shared" si="408"/>
        <v>-3.7170000000000009E-2</v>
      </c>
      <c r="BC210">
        <f t="shared" si="408"/>
        <v>-5.04E-2</v>
      </c>
      <c r="BD210">
        <f t="shared" si="408"/>
        <v>-6.4049999999999996E-2</v>
      </c>
      <c r="BE210">
        <f t="shared" si="408"/>
        <v>-7.8119999999999995E-2</v>
      </c>
      <c r="BF210">
        <f t="shared" si="372"/>
        <v>-0.19600000000000001</v>
      </c>
      <c r="BG210">
        <f t="shared" si="417"/>
        <v>-1.4249999999999985E-2</v>
      </c>
      <c r="BH210">
        <f t="shared" si="417"/>
        <v>-2.8999999999999998E-2</v>
      </c>
      <c r="BI210">
        <f t="shared" si="417"/>
        <v>-4.4249999999999984E-2</v>
      </c>
      <c r="BJ210">
        <f t="shared" si="417"/>
        <v>-0.06</v>
      </c>
      <c r="BK210">
        <f t="shared" si="417"/>
        <v>-7.6249999999999984E-2</v>
      </c>
      <c r="BL210">
        <f t="shared" si="417"/>
        <v>-9.2999999999999972E-2</v>
      </c>
      <c r="BM210">
        <f t="shared" si="374"/>
        <v>-0.61936000000000002</v>
      </c>
      <c r="BN210">
        <f t="shared" si="418"/>
        <v>-4.5030000000000014E-2</v>
      </c>
      <c r="BO210">
        <f t="shared" si="418"/>
        <v>-9.1639999999999944E-2</v>
      </c>
      <c r="BP210">
        <f t="shared" si="418"/>
        <v>-0.13983000000000001</v>
      </c>
      <c r="BQ210">
        <f t="shared" si="418"/>
        <v>-0.18959999999999999</v>
      </c>
      <c r="BR210">
        <f t="shared" si="418"/>
        <v>-0.24095</v>
      </c>
      <c r="BS210">
        <f t="shared" si="418"/>
        <v>-0.29388000000000003</v>
      </c>
    </row>
    <row r="211" spans="2:71" x14ac:dyDescent="0.35">
      <c r="B211" t="s">
        <v>254</v>
      </c>
      <c r="C211" s="19">
        <f>regions!B189</f>
        <v>33987213</v>
      </c>
      <c r="D211" s="19">
        <f>regions!C189</f>
        <v>13362034649.013441</v>
      </c>
      <c r="E211" s="8">
        <f>regions!D189</f>
        <v>393.14887775627386</v>
      </c>
      <c r="F211" s="1">
        <f>regions!Z189</f>
        <v>22.8</v>
      </c>
      <c r="G211" s="8"/>
      <c r="H211" s="8"/>
      <c r="I211">
        <f t="shared" si="396"/>
        <v>-0.317832</v>
      </c>
      <c r="J211">
        <f t="shared" si="419"/>
        <v>-1.3940000000000008E-2</v>
      </c>
      <c r="K211">
        <f t="shared" si="419"/>
        <v>-2.7880000000000016E-2</v>
      </c>
      <c r="L211">
        <f t="shared" si="419"/>
        <v>-4.1819999999999968E-2</v>
      </c>
      <c r="M211">
        <f t="shared" si="419"/>
        <v>-5.5759999999999976E-2</v>
      </c>
      <c r="N211">
        <f t="shared" si="419"/>
        <v>-6.9699999999999984E-2</v>
      </c>
      <c r="O211">
        <f t="shared" si="419"/>
        <v>-8.3639999999999992E-2</v>
      </c>
      <c r="P211">
        <f t="shared" si="398"/>
        <v>-0.20793600000000001</v>
      </c>
      <c r="Q211">
        <f t="shared" si="420"/>
        <v>-1.8640000000000018E-2</v>
      </c>
      <c r="R211">
        <f t="shared" si="420"/>
        <v>-3.808000000000003E-2</v>
      </c>
      <c r="S211">
        <f t="shared" si="420"/>
        <v>-5.8319999999999983E-2</v>
      </c>
      <c r="T211">
        <f t="shared" si="420"/>
        <v>-7.9359999999999986E-2</v>
      </c>
      <c r="U211">
        <f t="shared" si="420"/>
        <v>-0.10120000000000001</v>
      </c>
      <c r="V211">
        <f t="shared" si="420"/>
        <v>-0.12384000000000001</v>
      </c>
      <c r="W211">
        <f t="shared" si="400"/>
        <v>-0.25992000000000004</v>
      </c>
      <c r="X211">
        <f t="shared" si="421"/>
        <v>-2.3299999999999987E-2</v>
      </c>
      <c r="Y211">
        <f t="shared" si="421"/>
        <v>-4.7600000000000031E-2</v>
      </c>
      <c r="Z211">
        <f t="shared" si="421"/>
        <v>-7.2899999999999965E-2</v>
      </c>
      <c r="AA211">
        <f t="shared" si="421"/>
        <v>-9.9199999999999955E-2</v>
      </c>
      <c r="AB211">
        <f t="shared" si="421"/>
        <v>-0.1265</v>
      </c>
      <c r="AC211">
        <f t="shared" si="421"/>
        <v>-0.15479999999999999</v>
      </c>
      <c r="AD211">
        <f t="shared" si="402"/>
        <v>-0.23548752000000001</v>
      </c>
      <c r="AE211">
        <f t="shared" si="422"/>
        <v>-2.1109800000000012E-2</v>
      </c>
      <c r="AF211">
        <f t="shared" si="422"/>
        <v>-4.3125600000000042E-2</v>
      </c>
      <c r="AG211">
        <f t="shared" si="422"/>
        <v>-6.6047399999999978E-2</v>
      </c>
      <c r="AH211">
        <f t="shared" si="422"/>
        <v>-8.9875199999999988E-2</v>
      </c>
      <c r="AI211">
        <f t="shared" si="422"/>
        <v>-0.11460900000000002</v>
      </c>
      <c r="AJ211">
        <f t="shared" si="422"/>
        <v>-0.14024880000000001</v>
      </c>
      <c r="AK211">
        <f t="shared" si="404"/>
        <v>-0.26511840000000003</v>
      </c>
      <c r="AL211">
        <f t="shared" si="423"/>
        <v>-2.3766000000000009E-2</v>
      </c>
      <c r="AM211">
        <f t="shared" si="423"/>
        <v>-4.855200000000004E-2</v>
      </c>
      <c r="AN211">
        <f t="shared" si="423"/>
        <v>-7.435799999999998E-2</v>
      </c>
      <c r="AO211">
        <f t="shared" si="423"/>
        <v>-0.101184</v>
      </c>
      <c r="AP211">
        <f t="shared" si="423"/>
        <v>-0.12903000000000003</v>
      </c>
      <c r="AQ211">
        <f t="shared" si="423"/>
        <v>-0.15789600000000004</v>
      </c>
      <c r="AR211">
        <f t="shared" si="406"/>
        <v>-0.39559823999999999</v>
      </c>
      <c r="AS211">
        <f t="shared" si="424"/>
        <v>-3.5462600000000011E-2</v>
      </c>
      <c r="AT211">
        <f t="shared" si="424"/>
        <v>-7.2447200000000045E-2</v>
      </c>
      <c r="AU211">
        <f t="shared" si="424"/>
        <v>-0.11095379999999999</v>
      </c>
      <c r="AV211">
        <f t="shared" si="424"/>
        <v>-0.15098239999999996</v>
      </c>
      <c r="AW211">
        <f t="shared" si="424"/>
        <v>-0.19253299999999995</v>
      </c>
      <c r="AX211">
        <f t="shared" si="424"/>
        <v>-0.23560559999999997</v>
      </c>
      <c r="AY211">
        <f t="shared" si="370"/>
        <v>-0.10916640000000001</v>
      </c>
      <c r="AZ211">
        <f t="shared" si="408"/>
        <v>-9.786000000000003E-3</v>
      </c>
      <c r="BA211">
        <f t="shared" si="408"/>
        <v>-1.9992000000000024E-2</v>
      </c>
      <c r="BB211">
        <f t="shared" si="408"/>
        <v>-3.0617999999999992E-2</v>
      </c>
      <c r="BC211">
        <f t="shared" si="408"/>
        <v>-4.1663999999999993E-2</v>
      </c>
      <c r="BD211">
        <f t="shared" si="408"/>
        <v>-5.3129999999999997E-2</v>
      </c>
      <c r="BE211">
        <f t="shared" si="408"/>
        <v>-6.5016000000000004E-2</v>
      </c>
      <c r="BF211">
        <f t="shared" si="372"/>
        <v>-0.12996000000000002</v>
      </c>
      <c r="BG211">
        <f t="shared" si="417"/>
        <v>-1.1649999999999994E-2</v>
      </c>
      <c r="BH211">
        <f t="shared" si="417"/>
        <v>-2.3800000000000016E-2</v>
      </c>
      <c r="BI211">
        <f t="shared" si="417"/>
        <v>-3.6449999999999982E-2</v>
      </c>
      <c r="BJ211">
        <f t="shared" si="417"/>
        <v>-4.9599999999999977E-2</v>
      </c>
      <c r="BK211">
        <f t="shared" si="417"/>
        <v>-6.3250000000000001E-2</v>
      </c>
      <c r="BL211">
        <f t="shared" si="417"/>
        <v>-7.7399999999999997E-2</v>
      </c>
      <c r="BM211">
        <f t="shared" si="374"/>
        <v>-0.41067360000000003</v>
      </c>
      <c r="BN211">
        <f t="shared" si="418"/>
        <v>-3.6814000000000013E-2</v>
      </c>
      <c r="BO211">
        <f t="shared" si="418"/>
        <v>-7.5208000000000053E-2</v>
      </c>
      <c r="BP211">
        <f t="shared" si="418"/>
        <v>-0.11518199999999995</v>
      </c>
      <c r="BQ211">
        <f t="shared" si="418"/>
        <v>-0.15673600000000004</v>
      </c>
      <c r="BR211">
        <f t="shared" si="418"/>
        <v>-0.19987000000000005</v>
      </c>
      <c r="BS211">
        <f t="shared" si="418"/>
        <v>-0.24458400000000008</v>
      </c>
    </row>
    <row r="212" spans="2:71" x14ac:dyDescent="0.35">
      <c r="B212" t="s">
        <v>238</v>
      </c>
      <c r="C212" s="19">
        <f>regions!B190</f>
        <v>45870700</v>
      </c>
      <c r="D212" s="19">
        <f>regions!C190</f>
        <v>90577255847.674149</v>
      </c>
      <c r="E212" s="8">
        <f>regions!D190</f>
        <v>1974.6211818802449</v>
      </c>
      <c r="F212" s="1">
        <f>regions!Z190</f>
        <v>8.3000000000000007</v>
      </c>
      <c r="G212" s="8"/>
      <c r="H212" s="8"/>
      <c r="I212">
        <f t="shared" si="396"/>
        <v>-0.115702</v>
      </c>
      <c r="J212">
        <f t="shared" si="419"/>
        <v>-1.3940000000000008E-2</v>
      </c>
      <c r="K212">
        <f t="shared" si="419"/>
        <v>-2.7880000000000016E-2</v>
      </c>
      <c r="L212">
        <f t="shared" si="419"/>
        <v>-4.1819999999999996E-2</v>
      </c>
      <c r="M212">
        <f t="shared" si="419"/>
        <v>-5.5760000000000004E-2</v>
      </c>
      <c r="N212">
        <f t="shared" si="419"/>
        <v>-6.9700000000000012E-2</v>
      </c>
      <c r="O212">
        <f t="shared" si="419"/>
        <v>-8.3639999999999992E-2</v>
      </c>
      <c r="P212">
        <f t="shared" si="398"/>
        <v>-2.7556000000000008E-2</v>
      </c>
      <c r="Q212">
        <f t="shared" si="420"/>
        <v>-7.0400000000000011E-3</v>
      </c>
      <c r="R212">
        <f t="shared" si="420"/>
        <v>-1.4880000000000001E-2</v>
      </c>
      <c r="S212">
        <f t="shared" si="420"/>
        <v>-2.3520000000000003E-2</v>
      </c>
      <c r="T212">
        <f t="shared" si="420"/>
        <v>-3.2960000000000003E-2</v>
      </c>
      <c r="U212">
        <f t="shared" si="420"/>
        <v>-4.3200000000000002E-2</v>
      </c>
      <c r="V212">
        <f t="shared" si="420"/>
        <v>-5.4239999999999997E-2</v>
      </c>
      <c r="W212">
        <f t="shared" si="400"/>
        <v>-3.444500000000001E-2</v>
      </c>
      <c r="X212">
        <f t="shared" si="421"/>
        <v>-8.7999999999999953E-3</v>
      </c>
      <c r="Y212">
        <f t="shared" si="421"/>
        <v>-1.8599999999999998E-2</v>
      </c>
      <c r="Z212">
        <f t="shared" si="421"/>
        <v>-2.9400000000000003E-2</v>
      </c>
      <c r="AA212">
        <f t="shared" si="421"/>
        <v>-4.1200000000000007E-2</v>
      </c>
      <c r="AB212">
        <f t="shared" si="421"/>
        <v>-5.3999999999999999E-2</v>
      </c>
      <c r="AC212">
        <f t="shared" si="421"/>
        <v>-6.7799999999999999E-2</v>
      </c>
      <c r="AD212">
        <f t="shared" si="402"/>
        <v>-3.1207170000000006E-2</v>
      </c>
      <c r="AE212">
        <f t="shared" si="422"/>
        <v>-7.9727999999999952E-3</v>
      </c>
      <c r="AF212">
        <f t="shared" si="422"/>
        <v>-1.6851600000000001E-2</v>
      </c>
      <c r="AG212">
        <f t="shared" si="422"/>
        <v>-2.6636399999999998E-2</v>
      </c>
      <c r="AH212">
        <f t="shared" si="422"/>
        <v>-3.7327200000000005E-2</v>
      </c>
      <c r="AI212">
        <f t="shared" si="422"/>
        <v>-4.8923999999999995E-2</v>
      </c>
      <c r="AJ212">
        <f t="shared" si="422"/>
        <v>-6.1426800000000004E-2</v>
      </c>
      <c r="AK212">
        <f t="shared" si="404"/>
        <v>-3.513390000000001E-2</v>
      </c>
      <c r="AL212">
        <f t="shared" si="423"/>
        <v>-8.9759999999999979E-3</v>
      </c>
      <c r="AM212">
        <f t="shared" si="423"/>
        <v>-1.8972000000000003E-2</v>
      </c>
      <c r="AN212">
        <f t="shared" si="423"/>
        <v>-2.9988000000000001E-2</v>
      </c>
      <c r="AO212">
        <f t="shared" si="423"/>
        <v>-4.2024000000000006E-2</v>
      </c>
      <c r="AP212">
        <f t="shared" si="423"/>
        <v>-5.5080000000000004E-2</v>
      </c>
      <c r="AQ212">
        <f t="shared" si="423"/>
        <v>-6.9156000000000009E-2</v>
      </c>
      <c r="AR212">
        <f t="shared" si="406"/>
        <v>-5.2425290000000006E-2</v>
      </c>
      <c r="AS212">
        <f t="shared" si="424"/>
        <v>-1.3393599999999999E-2</v>
      </c>
      <c r="AT212">
        <f t="shared" si="424"/>
        <v>-2.83092E-2</v>
      </c>
      <c r="AU212">
        <f t="shared" si="424"/>
        <v>-4.4746799999999996E-2</v>
      </c>
      <c r="AV212">
        <f t="shared" si="424"/>
        <v>-6.2706399999999995E-2</v>
      </c>
      <c r="AW212">
        <f t="shared" si="424"/>
        <v>-8.2187999999999983E-2</v>
      </c>
      <c r="AX212">
        <f t="shared" si="424"/>
        <v>-0.10319159999999999</v>
      </c>
      <c r="AY212">
        <f t="shared" si="370"/>
        <v>-1.4466900000000003E-2</v>
      </c>
      <c r="AZ212">
        <f t="shared" si="408"/>
        <v>-3.6959999999999996E-3</v>
      </c>
      <c r="BA212">
        <f t="shared" si="408"/>
        <v>-7.8120000000000012E-3</v>
      </c>
      <c r="BB212">
        <f t="shared" si="408"/>
        <v>-1.2348E-2</v>
      </c>
      <c r="BC212">
        <f t="shared" si="408"/>
        <v>-1.7304E-2</v>
      </c>
      <c r="BD212">
        <f t="shared" si="408"/>
        <v>-2.2679999999999999E-2</v>
      </c>
      <c r="BE212">
        <f t="shared" si="408"/>
        <v>-2.8476000000000001E-2</v>
      </c>
      <c r="BF212">
        <f t="shared" si="372"/>
        <v>-1.7222500000000005E-2</v>
      </c>
      <c r="BG212">
        <f t="shared" si="417"/>
        <v>-4.3999999999999977E-3</v>
      </c>
      <c r="BH212">
        <f t="shared" si="417"/>
        <v>-9.2999999999999992E-3</v>
      </c>
      <c r="BI212">
        <f t="shared" si="417"/>
        <v>-1.4700000000000001E-2</v>
      </c>
      <c r="BJ212">
        <f t="shared" si="417"/>
        <v>-2.0600000000000004E-2</v>
      </c>
      <c r="BK212">
        <f t="shared" si="417"/>
        <v>-2.7E-2</v>
      </c>
      <c r="BL212">
        <f t="shared" si="417"/>
        <v>-3.39E-2</v>
      </c>
      <c r="BM212">
        <f t="shared" si="374"/>
        <v>-5.4423100000000016E-2</v>
      </c>
      <c r="BN212">
        <f t="shared" si="418"/>
        <v>-1.3903999999999986E-2</v>
      </c>
      <c r="BO212">
        <f t="shared" si="418"/>
        <v>-2.9387999999999997E-2</v>
      </c>
      <c r="BP212">
        <f t="shared" si="418"/>
        <v>-4.6451999999999993E-2</v>
      </c>
      <c r="BQ212">
        <f t="shared" si="418"/>
        <v>-6.5096000000000001E-2</v>
      </c>
      <c r="BR212">
        <f t="shared" si="418"/>
        <v>-8.5319999999999993E-2</v>
      </c>
      <c r="BS212">
        <f t="shared" si="418"/>
        <v>-0.10712399999999998</v>
      </c>
    </row>
    <row r="213" spans="2:71" x14ac:dyDescent="0.35">
      <c r="B213" t="s">
        <v>416</v>
      </c>
      <c r="C213" s="19">
        <f>regions!B191</f>
        <v>8441537</v>
      </c>
      <c r="D213" s="19">
        <f>regions!C191</f>
        <v>204448097188.77359</v>
      </c>
      <c r="E213" s="8">
        <f>regions!D191</f>
        <v>24219.297645532275</v>
      </c>
      <c r="F213" s="1">
        <f>regions!Z191</f>
        <v>27</v>
      </c>
      <c r="G213" s="8"/>
      <c r="H213" s="8"/>
      <c r="I213">
        <f t="shared" si="396"/>
        <v>0</v>
      </c>
      <c r="J213">
        <f t="shared" si="419"/>
        <v>0</v>
      </c>
      <c r="K213">
        <f t="shared" si="419"/>
        <v>0</v>
      </c>
      <c r="L213">
        <f t="shared" si="419"/>
        <v>0</v>
      </c>
      <c r="M213">
        <f t="shared" si="419"/>
        <v>0</v>
      </c>
      <c r="N213">
        <f t="shared" si="419"/>
        <v>0</v>
      </c>
      <c r="O213">
        <f t="shared" si="419"/>
        <v>0</v>
      </c>
      <c r="P213">
        <f t="shared" si="398"/>
        <v>-0.29160000000000003</v>
      </c>
      <c r="Q213">
        <f t="shared" si="420"/>
        <v>-2.1999999999999964E-2</v>
      </c>
      <c r="R213">
        <f t="shared" si="420"/>
        <v>-4.4800000000000006E-2</v>
      </c>
      <c r="S213">
        <f t="shared" si="420"/>
        <v>-6.8400000000000016E-2</v>
      </c>
      <c r="T213">
        <f t="shared" si="420"/>
        <v>-9.2799999999999994E-2</v>
      </c>
      <c r="U213">
        <f t="shared" si="420"/>
        <v>-0.11799999999999999</v>
      </c>
      <c r="V213">
        <f t="shared" si="420"/>
        <v>-0.14400000000000002</v>
      </c>
      <c r="W213">
        <f t="shared" si="400"/>
        <v>-0.36449999999999999</v>
      </c>
      <c r="X213">
        <f t="shared" si="421"/>
        <v>-2.7500000000000024E-2</v>
      </c>
      <c r="Y213">
        <f t="shared" si="421"/>
        <v>-5.5999999999999994E-2</v>
      </c>
      <c r="Z213">
        <f t="shared" si="421"/>
        <v>-8.550000000000002E-2</v>
      </c>
      <c r="AA213">
        <f t="shared" si="421"/>
        <v>-0.11599999999999999</v>
      </c>
      <c r="AB213">
        <f t="shared" si="421"/>
        <v>-0.14750000000000002</v>
      </c>
      <c r="AC213">
        <f t="shared" si="421"/>
        <v>-0.18</v>
      </c>
      <c r="AD213">
        <f t="shared" si="402"/>
        <v>-0.330237</v>
      </c>
      <c r="AE213">
        <f t="shared" si="422"/>
        <v>-2.491500000000002E-2</v>
      </c>
      <c r="AF213">
        <f t="shared" si="422"/>
        <v>-5.0736000000000003E-2</v>
      </c>
      <c r="AG213">
        <f t="shared" si="422"/>
        <v>-7.7463000000000004E-2</v>
      </c>
      <c r="AH213">
        <f t="shared" si="422"/>
        <v>-0.10509600000000002</v>
      </c>
      <c r="AI213">
        <f t="shared" si="422"/>
        <v>-0.133635</v>
      </c>
      <c r="AJ213">
        <f t="shared" si="422"/>
        <v>-0.16308</v>
      </c>
      <c r="AK213">
        <f t="shared" si="404"/>
        <v>-0.37179000000000001</v>
      </c>
      <c r="AL213">
        <f t="shared" si="423"/>
        <v>-2.8050000000000019E-2</v>
      </c>
      <c r="AM213">
        <f t="shared" si="423"/>
        <v>-5.7120000000000004E-2</v>
      </c>
      <c r="AN213">
        <f t="shared" si="423"/>
        <v>-8.721000000000001E-2</v>
      </c>
      <c r="AO213">
        <f t="shared" si="423"/>
        <v>-0.11832000000000004</v>
      </c>
      <c r="AP213">
        <f t="shared" si="423"/>
        <v>-0.15045000000000003</v>
      </c>
      <c r="AQ213">
        <f t="shared" si="423"/>
        <v>-0.18360000000000004</v>
      </c>
      <c r="AR213">
        <f t="shared" si="406"/>
        <v>-0.55476899999999996</v>
      </c>
      <c r="AS213">
        <f t="shared" si="424"/>
        <v>-4.1854999999999976E-2</v>
      </c>
      <c r="AT213">
        <f t="shared" si="424"/>
        <v>-8.5231999999999974E-2</v>
      </c>
      <c r="AU213">
        <f t="shared" si="424"/>
        <v>-0.130131</v>
      </c>
      <c r="AV213">
        <f t="shared" si="424"/>
        <v>-0.17655200000000004</v>
      </c>
      <c r="AW213">
        <f t="shared" si="424"/>
        <v>-0.224495</v>
      </c>
      <c r="AX213">
        <f t="shared" si="424"/>
        <v>-0.27395999999999998</v>
      </c>
      <c r="AY213">
        <f t="shared" si="370"/>
        <v>-0.15309</v>
      </c>
      <c r="AZ213">
        <f t="shared" si="408"/>
        <v>-1.1550000000000005E-2</v>
      </c>
      <c r="BA213">
        <f t="shared" si="408"/>
        <v>-2.3520000000000013E-2</v>
      </c>
      <c r="BB213">
        <f t="shared" si="408"/>
        <v>-3.5909999999999997E-2</v>
      </c>
      <c r="BC213">
        <f t="shared" si="408"/>
        <v>-4.8720000000000013E-2</v>
      </c>
      <c r="BD213">
        <f t="shared" si="408"/>
        <v>-6.1950000000000005E-2</v>
      </c>
      <c r="BE213">
        <f t="shared" si="408"/>
        <v>-7.5600000000000001E-2</v>
      </c>
      <c r="BF213">
        <f t="shared" si="372"/>
        <v>-0.18225</v>
      </c>
      <c r="BG213">
        <f t="shared" si="417"/>
        <v>-1.3750000000000012E-2</v>
      </c>
      <c r="BH213">
        <f t="shared" si="417"/>
        <v>-2.7999999999999997E-2</v>
      </c>
      <c r="BI213">
        <f t="shared" si="417"/>
        <v>-4.275000000000001E-2</v>
      </c>
      <c r="BJ213">
        <f t="shared" si="417"/>
        <v>-5.7999999999999996E-2</v>
      </c>
      <c r="BK213">
        <f t="shared" si="417"/>
        <v>-7.375000000000001E-2</v>
      </c>
      <c r="BL213">
        <f t="shared" si="417"/>
        <v>-0.09</v>
      </c>
      <c r="BM213">
        <f t="shared" si="374"/>
        <v>-0.57591000000000003</v>
      </c>
      <c r="BN213">
        <f t="shared" si="418"/>
        <v>-4.3449999999999989E-2</v>
      </c>
      <c r="BO213">
        <f t="shared" si="418"/>
        <v>-8.8480000000000003E-2</v>
      </c>
      <c r="BP213">
        <f t="shared" si="418"/>
        <v>-0.13508999999999993</v>
      </c>
      <c r="BQ213">
        <f t="shared" si="418"/>
        <v>-0.18328</v>
      </c>
      <c r="BR213">
        <f t="shared" si="418"/>
        <v>-0.23304999999999998</v>
      </c>
      <c r="BS213">
        <f t="shared" si="418"/>
        <v>-0.28439999999999999</v>
      </c>
    </row>
    <row r="214" spans="2:71" x14ac:dyDescent="0.35">
      <c r="B214" t="s">
        <v>199</v>
      </c>
      <c r="C214" s="19">
        <f>regions!B192</f>
        <v>62271177</v>
      </c>
      <c r="D214" s="19">
        <f>regions!C192</f>
        <v>2360033739558.0132</v>
      </c>
      <c r="E214" s="8">
        <f>regions!D192</f>
        <v>37899.295520911917</v>
      </c>
      <c r="F214" s="1">
        <f>regions!Z192</f>
        <v>8.4</v>
      </c>
      <c r="G214" s="8"/>
      <c r="H214" s="8"/>
      <c r="I214">
        <f t="shared" si="396"/>
        <v>0</v>
      </c>
      <c r="J214">
        <f t="shared" si="419"/>
        <v>0</v>
      </c>
      <c r="K214">
        <f t="shared" si="419"/>
        <v>0</v>
      </c>
      <c r="L214">
        <f t="shared" si="419"/>
        <v>0</v>
      </c>
      <c r="M214">
        <f t="shared" si="419"/>
        <v>0</v>
      </c>
      <c r="N214">
        <f t="shared" si="419"/>
        <v>0</v>
      </c>
      <c r="O214">
        <f t="shared" si="419"/>
        <v>0</v>
      </c>
      <c r="P214">
        <f t="shared" si="398"/>
        <v>-2.8224000000000003E-2</v>
      </c>
      <c r="Q214">
        <f t="shared" si="420"/>
        <v>-7.1200000000000048E-3</v>
      </c>
      <c r="R214">
        <f t="shared" si="420"/>
        <v>-1.5040000000000001E-2</v>
      </c>
      <c r="S214">
        <f t="shared" si="420"/>
        <v>-2.376E-2</v>
      </c>
      <c r="T214">
        <f t="shared" si="420"/>
        <v>-3.3280000000000004E-2</v>
      </c>
      <c r="U214">
        <f t="shared" si="420"/>
        <v>-4.36E-2</v>
      </c>
      <c r="V214">
        <f t="shared" si="420"/>
        <v>-5.4720000000000005E-2</v>
      </c>
      <c r="W214">
        <f t="shared" si="400"/>
        <v>-3.5279999999999999E-2</v>
      </c>
      <c r="X214">
        <f t="shared" si="421"/>
        <v>-8.9000000000000121E-3</v>
      </c>
      <c r="Y214">
        <f t="shared" si="421"/>
        <v>-1.8800000000000004E-2</v>
      </c>
      <c r="Z214">
        <f t="shared" si="421"/>
        <v>-2.9700000000000011E-2</v>
      </c>
      <c r="AA214">
        <f t="shared" si="421"/>
        <v>-4.1600000000000019E-2</v>
      </c>
      <c r="AB214">
        <f t="shared" si="421"/>
        <v>-5.45E-2</v>
      </c>
      <c r="AC214">
        <f t="shared" si="421"/>
        <v>-6.8400000000000016E-2</v>
      </c>
      <c r="AD214">
        <f t="shared" si="402"/>
        <v>-3.1963680000000001E-2</v>
      </c>
      <c r="AE214">
        <f t="shared" si="422"/>
        <v>-8.0634000000000053E-3</v>
      </c>
      <c r="AF214">
        <f t="shared" si="422"/>
        <v>-1.7032800000000008E-2</v>
      </c>
      <c r="AG214">
        <f t="shared" si="422"/>
        <v>-2.69082E-2</v>
      </c>
      <c r="AH214">
        <f t="shared" si="422"/>
        <v>-3.7689600000000011E-2</v>
      </c>
      <c r="AI214">
        <f t="shared" si="422"/>
        <v>-4.9376999999999997E-2</v>
      </c>
      <c r="AJ214">
        <f t="shared" si="422"/>
        <v>-6.1970400000000002E-2</v>
      </c>
      <c r="AK214">
        <f t="shared" si="404"/>
        <v>-3.5985600000000006E-2</v>
      </c>
      <c r="AL214">
        <f t="shared" si="423"/>
        <v>-9.0780000000000027E-3</v>
      </c>
      <c r="AM214">
        <f t="shared" si="423"/>
        <v>-1.9176000000000006E-2</v>
      </c>
      <c r="AN214">
        <f t="shared" si="423"/>
        <v>-3.0294000000000001E-2</v>
      </c>
      <c r="AO214">
        <f t="shared" si="423"/>
        <v>-4.2432000000000011E-2</v>
      </c>
      <c r="AP214">
        <f t="shared" si="423"/>
        <v>-5.5590000000000001E-2</v>
      </c>
      <c r="AQ214">
        <f t="shared" si="423"/>
        <v>-6.9768000000000011E-2</v>
      </c>
      <c r="AR214">
        <f t="shared" si="406"/>
        <v>-5.369616E-2</v>
      </c>
      <c r="AS214">
        <f t="shared" si="424"/>
        <v>-1.3545800000000004E-2</v>
      </c>
      <c r="AT214">
        <f t="shared" si="424"/>
        <v>-2.861360000000001E-2</v>
      </c>
      <c r="AU214">
        <f t="shared" si="424"/>
        <v>-4.5203399999999998E-2</v>
      </c>
      <c r="AV214">
        <f t="shared" si="424"/>
        <v>-6.3315200000000016E-2</v>
      </c>
      <c r="AW214">
        <f t="shared" si="424"/>
        <v>-8.2948999999999995E-2</v>
      </c>
      <c r="AX214">
        <f t="shared" si="424"/>
        <v>-0.1041048</v>
      </c>
      <c r="AY214">
        <f t="shared" si="370"/>
        <v>-1.4817600000000002E-2</v>
      </c>
      <c r="AZ214">
        <f t="shared" si="408"/>
        <v>-3.738E-3</v>
      </c>
      <c r="BA214">
        <f t="shared" si="408"/>
        <v>-7.896000000000002E-3</v>
      </c>
      <c r="BB214">
        <f t="shared" si="408"/>
        <v>-1.2474000000000001E-2</v>
      </c>
      <c r="BC214">
        <f t="shared" si="408"/>
        <v>-1.7472000000000008E-2</v>
      </c>
      <c r="BD214">
        <f t="shared" si="408"/>
        <v>-2.2890000000000001E-2</v>
      </c>
      <c r="BE214">
        <f t="shared" si="408"/>
        <v>-2.8728000000000004E-2</v>
      </c>
      <c r="BF214">
        <f t="shared" si="372"/>
        <v>-1.7639999999999999E-2</v>
      </c>
      <c r="BG214">
        <f t="shared" si="417"/>
        <v>-4.450000000000006E-3</v>
      </c>
      <c r="BH214">
        <f t="shared" si="417"/>
        <v>-9.4000000000000021E-3</v>
      </c>
      <c r="BI214">
        <f t="shared" si="417"/>
        <v>-1.4850000000000006E-2</v>
      </c>
      <c r="BJ214">
        <f t="shared" si="417"/>
        <v>-2.0800000000000009E-2</v>
      </c>
      <c r="BK214">
        <f t="shared" si="417"/>
        <v>-2.725E-2</v>
      </c>
      <c r="BL214">
        <f t="shared" si="417"/>
        <v>-3.4200000000000008E-2</v>
      </c>
      <c r="BM214">
        <f t="shared" si="374"/>
        <v>-5.5742400000000004E-2</v>
      </c>
      <c r="BN214">
        <f t="shared" si="418"/>
        <v>-1.4062000000000012E-2</v>
      </c>
      <c r="BO214">
        <f t="shared" si="418"/>
        <v>-2.9704000000000001E-2</v>
      </c>
      <c r="BP214">
        <f t="shared" si="418"/>
        <v>-4.6926000000000002E-2</v>
      </c>
      <c r="BQ214">
        <f t="shared" si="418"/>
        <v>-6.5728000000000009E-2</v>
      </c>
      <c r="BR214">
        <f t="shared" si="418"/>
        <v>-8.611000000000002E-2</v>
      </c>
      <c r="BS214">
        <f t="shared" si="418"/>
        <v>-0.10807200000000003</v>
      </c>
    </row>
    <row r="215" spans="2:71" x14ac:dyDescent="0.35">
      <c r="B215" t="s">
        <v>200</v>
      </c>
      <c r="C215" s="19">
        <f>regions!B193</f>
        <v>309326225</v>
      </c>
      <c r="D215" s="19">
        <f>regions!C193</f>
        <v>13595644353592.4</v>
      </c>
      <c r="E215" s="8">
        <f>regions!D193</f>
        <v>43952.446494287382</v>
      </c>
      <c r="F215" s="1">
        <f>regions!Z193</f>
        <v>8.5</v>
      </c>
      <c r="G215" s="8"/>
      <c r="H215" s="8"/>
      <c r="I215">
        <f t="shared" si="396"/>
        <v>0</v>
      </c>
      <c r="J215">
        <f t="shared" si="419"/>
        <v>0</v>
      </c>
      <c r="K215">
        <f t="shared" si="419"/>
        <v>0</v>
      </c>
      <c r="L215">
        <f t="shared" si="419"/>
        <v>0</v>
      </c>
      <c r="M215">
        <f t="shared" si="419"/>
        <v>0</v>
      </c>
      <c r="N215">
        <f t="shared" si="419"/>
        <v>0</v>
      </c>
      <c r="O215">
        <f t="shared" si="419"/>
        <v>0</v>
      </c>
      <c r="P215">
        <f t="shared" si="398"/>
        <v>-2.8900000000000002E-2</v>
      </c>
      <c r="Q215">
        <f t="shared" si="420"/>
        <v>-7.1999999999999981E-3</v>
      </c>
      <c r="R215">
        <f t="shared" si="420"/>
        <v>-1.5199999999999998E-2</v>
      </c>
      <c r="S215">
        <f t="shared" si="420"/>
        <v>-2.4E-2</v>
      </c>
      <c r="T215">
        <f t="shared" si="420"/>
        <v>-3.3599999999999998E-2</v>
      </c>
      <c r="U215">
        <f t="shared" si="420"/>
        <v>-4.4000000000000004E-2</v>
      </c>
      <c r="V215">
        <f t="shared" si="420"/>
        <v>-5.5200000000000006E-2</v>
      </c>
      <c r="W215">
        <f t="shared" si="400"/>
        <v>-3.6124999999999997E-2</v>
      </c>
      <c r="X215">
        <f t="shared" si="421"/>
        <v>-9.0000000000000011E-3</v>
      </c>
      <c r="Y215">
        <f t="shared" si="421"/>
        <v>-1.9000000000000003E-2</v>
      </c>
      <c r="Z215">
        <f t="shared" si="421"/>
        <v>-3.0000000000000006E-2</v>
      </c>
      <c r="AA215">
        <f t="shared" si="421"/>
        <v>-4.2000000000000003E-2</v>
      </c>
      <c r="AB215">
        <f t="shared" si="421"/>
        <v>-5.5E-2</v>
      </c>
      <c r="AC215">
        <f t="shared" si="421"/>
        <v>-6.9000000000000006E-2</v>
      </c>
      <c r="AD215">
        <f t="shared" si="402"/>
        <v>-3.2729250000000001E-2</v>
      </c>
      <c r="AE215">
        <f t="shared" si="422"/>
        <v>-8.1540000000000015E-3</v>
      </c>
      <c r="AF215">
        <f t="shared" si="422"/>
        <v>-1.7214E-2</v>
      </c>
      <c r="AG215">
        <f t="shared" si="422"/>
        <v>-2.7180000000000003E-2</v>
      </c>
      <c r="AH215">
        <f t="shared" si="422"/>
        <v>-3.8052000000000002E-2</v>
      </c>
      <c r="AI215">
        <f t="shared" si="422"/>
        <v>-4.9829999999999999E-2</v>
      </c>
      <c r="AJ215">
        <f t="shared" si="422"/>
        <v>-6.2514E-2</v>
      </c>
      <c r="AK215">
        <f t="shared" si="404"/>
        <v>-3.6847500000000005E-2</v>
      </c>
      <c r="AL215">
        <f t="shared" si="423"/>
        <v>-9.1800000000000007E-3</v>
      </c>
      <c r="AM215">
        <f t="shared" si="423"/>
        <v>-1.9380000000000001E-2</v>
      </c>
      <c r="AN215">
        <f t="shared" si="423"/>
        <v>-3.0600000000000002E-2</v>
      </c>
      <c r="AO215">
        <f t="shared" si="423"/>
        <v>-4.2840000000000003E-2</v>
      </c>
      <c r="AP215">
        <f t="shared" si="423"/>
        <v>-5.6099999999999997E-2</v>
      </c>
      <c r="AQ215">
        <f t="shared" si="423"/>
        <v>-7.0379999999999998E-2</v>
      </c>
      <c r="AR215">
        <f t="shared" si="406"/>
        <v>-5.4982249999999996E-2</v>
      </c>
      <c r="AS215">
        <f t="shared" si="424"/>
        <v>-1.3698000000000002E-2</v>
      </c>
      <c r="AT215">
        <f t="shared" si="424"/>
        <v>-2.8917999999999999E-2</v>
      </c>
      <c r="AU215">
        <f t="shared" si="424"/>
        <v>-4.5659999999999992E-2</v>
      </c>
      <c r="AV215">
        <f t="shared" si="424"/>
        <v>-6.3923999999999995E-2</v>
      </c>
      <c r="AW215">
        <f t="shared" si="424"/>
        <v>-8.3709999999999993E-2</v>
      </c>
      <c r="AX215">
        <f t="shared" si="424"/>
        <v>-0.10501799999999999</v>
      </c>
      <c r="AY215">
        <f t="shared" si="370"/>
        <v>-1.51725E-2</v>
      </c>
      <c r="AZ215">
        <f t="shared" si="408"/>
        <v>-3.7800000000000004E-3</v>
      </c>
      <c r="BA215">
        <f t="shared" si="408"/>
        <v>-7.9799999999999992E-3</v>
      </c>
      <c r="BB215">
        <f t="shared" si="408"/>
        <v>-1.2600000000000002E-2</v>
      </c>
      <c r="BC215">
        <f t="shared" si="408"/>
        <v>-1.7640000000000003E-2</v>
      </c>
      <c r="BD215">
        <f t="shared" si="408"/>
        <v>-2.3100000000000002E-2</v>
      </c>
      <c r="BE215">
        <f t="shared" si="408"/>
        <v>-2.8980000000000006E-2</v>
      </c>
      <c r="BF215">
        <f t="shared" si="372"/>
        <v>-1.8062499999999999E-2</v>
      </c>
      <c r="BG215">
        <f t="shared" si="417"/>
        <v>-4.5000000000000005E-3</v>
      </c>
      <c r="BH215">
        <f t="shared" si="417"/>
        <v>-9.5000000000000015E-3</v>
      </c>
      <c r="BI215">
        <f t="shared" si="417"/>
        <v>-1.5000000000000003E-2</v>
      </c>
      <c r="BJ215">
        <f t="shared" si="417"/>
        <v>-2.1000000000000001E-2</v>
      </c>
      <c r="BK215">
        <f t="shared" si="417"/>
        <v>-2.75E-2</v>
      </c>
      <c r="BL215">
        <f t="shared" si="417"/>
        <v>-3.4500000000000003E-2</v>
      </c>
      <c r="BM215">
        <f t="shared" si="374"/>
        <v>-5.7077500000000003E-2</v>
      </c>
      <c r="BN215">
        <f t="shared" si="418"/>
        <v>-1.4219999999999997E-2</v>
      </c>
      <c r="BO215">
        <f t="shared" si="418"/>
        <v>-3.0020000000000005E-2</v>
      </c>
      <c r="BP215">
        <f t="shared" si="418"/>
        <v>-4.7399999999999998E-2</v>
      </c>
      <c r="BQ215">
        <f t="shared" si="418"/>
        <v>-6.6360000000000002E-2</v>
      </c>
      <c r="BR215">
        <f t="shared" si="418"/>
        <v>-8.6900000000000005E-2</v>
      </c>
      <c r="BS215">
        <f t="shared" si="418"/>
        <v>-0.10902000000000001</v>
      </c>
    </row>
    <row r="216" spans="2:71" x14ac:dyDescent="0.35">
      <c r="B216" t="s">
        <v>201</v>
      </c>
      <c r="C216" s="19">
        <f>regions!B194</f>
        <v>3371982</v>
      </c>
      <c r="D216" s="19">
        <f>regions!C194</f>
        <v>22899299769.575714</v>
      </c>
      <c r="E216" s="8">
        <f>regions!D194</f>
        <v>6791.0504176996537</v>
      </c>
      <c r="F216" s="1">
        <f>regions!Z194</f>
        <v>17.5</v>
      </c>
      <c r="G216" s="8"/>
      <c r="H216" s="8"/>
      <c r="I216">
        <f t="shared" si="396"/>
        <v>0</v>
      </c>
      <c r="J216">
        <f t="shared" ref="J216:O223" si="425">IF($E216&lt;$E$24,$D$11*($F216+J$25)-$I216,0)</f>
        <v>0</v>
      </c>
      <c r="K216">
        <f t="shared" si="425"/>
        <v>0</v>
      </c>
      <c r="L216">
        <f t="shared" si="425"/>
        <v>0</v>
      </c>
      <c r="M216">
        <f t="shared" si="425"/>
        <v>0</v>
      </c>
      <c r="N216">
        <f t="shared" si="425"/>
        <v>0</v>
      </c>
      <c r="O216">
        <f t="shared" si="425"/>
        <v>0</v>
      </c>
      <c r="P216">
        <f t="shared" si="398"/>
        <v>-0.12250000000000001</v>
      </c>
      <c r="Q216">
        <f t="shared" ref="Q216:V223" si="426">$D$13*($F216+Q$25)^2-$P216</f>
        <v>-1.4399999999999982E-2</v>
      </c>
      <c r="R216">
        <f t="shared" si="426"/>
        <v>-2.9600000000000001E-2</v>
      </c>
      <c r="S216">
        <f t="shared" si="426"/>
        <v>-4.5599999999999988E-2</v>
      </c>
      <c r="T216">
        <f t="shared" si="426"/>
        <v>-6.2399999999999997E-2</v>
      </c>
      <c r="U216">
        <f t="shared" si="426"/>
        <v>-0.08</v>
      </c>
      <c r="V216">
        <f t="shared" si="426"/>
        <v>-9.8400000000000001E-2</v>
      </c>
      <c r="W216">
        <f t="shared" si="400"/>
        <v>-0.15312500000000001</v>
      </c>
      <c r="X216">
        <f t="shared" ref="X216:AC223" si="427">$D$15*($F216+X$25)^2-$W216</f>
        <v>-1.7999999999999988E-2</v>
      </c>
      <c r="Y216">
        <f t="shared" si="427"/>
        <v>-3.7000000000000005E-2</v>
      </c>
      <c r="Z216">
        <f t="shared" si="427"/>
        <v>-5.6999999999999995E-2</v>
      </c>
      <c r="AA216">
        <f t="shared" si="427"/>
        <v>-7.7999999999999986E-2</v>
      </c>
      <c r="AB216">
        <f t="shared" si="427"/>
        <v>-9.9999999999999978E-2</v>
      </c>
      <c r="AC216">
        <f t="shared" si="427"/>
        <v>-0.123</v>
      </c>
      <c r="AD216">
        <f t="shared" si="402"/>
        <v>-0.13873125</v>
      </c>
      <c r="AE216">
        <f t="shared" ref="AE216:AJ223" si="428">$D$10*($F216+AE$25)^2-$AD216</f>
        <v>-1.6307999999999989E-2</v>
      </c>
      <c r="AF216">
        <f t="shared" si="428"/>
        <v>-3.3521999999999996E-2</v>
      </c>
      <c r="AG216">
        <f t="shared" si="428"/>
        <v>-5.1641999999999993E-2</v>
      </c>
      <c r="AH216">
        <f t="shared" si="428"/>
        <v>-7.0668000000000009E-2</v>
      </c>
      <c r="AI216">
        <f t="shared" si="428"/>
        <v>-9.0600000000000014E-2</v>
      </c>
      <c r="AJ216">
        <f t="shared" si="428"/>
        <v>-0.11143800000000001</v>
      </c>
      <c r="AK216">
        <f t="shared" si="404"/>
        <v>-0.15618750000000001</v>
      </c>
      <c r="AL216">
        <f t="shared" ref="AL216:AQ223" si="429">$D$17*($F216+AL$25)^2-$AK216</f>
        <v>-1.8360000000000015E-2</v>
      </c>
      <c r="AM216">
        <f t="shared" si="429"/>
        <v>-3.7739999999999996E-2</v>
      </c>
      <c r="AN216">
        <f t="shared" si="429"/>
        <v>-5.8139999999999997E-2</v>
      </c>
      <c r="AO216">
        <f t="shared" si="429"/>
        <v>-7.956000000000002E-2</v>
      </c>
      <c r="AP216">
        <f t="shared" si="429"/>
        <v>-0.10200000000000001</v>
      </c>
      <c r="AQ216">
        <f t="shared" si="429"/>
        <v>-0.12545999999999999</v>
      </c>
      <c r="AR216">
        <f t="shared" si="406"/>
        <v>-0.23305624999999999</v>
      </c>
      <c r="AS216">
        <f t="shared" ref="AS216:AX223" si="430">$D$8*($F216+AS$25)^2-$AR216</f>
        <v>-2.7396000000000004E-2</v>
      </c>
      <c r="AT216">
        <f t="shared" si="430"/>
        <v>-5.6314000000000003E-2</v>
      </c>
      <c r="AU216">
        <f t="shared" si="430"/>
        <v>-8.675399999999997E-2</v>
      </c>
      <c r="AV216">
        <f t="shared" si="430"/>
        <v>-0.11871599999999996</v>
      </c>
      <c r="AW216">
        <f t="shared" si="430"/>
        <v>-0.15219999999999997</v>
      </c>
      <c r="AX216">
        <f t="shared" si="430"/>
        <v>-0.18720600000000001</v>
      </c>
      <c r="AY216">
        <f t="shared" si="370"/>
        <v>-6.4312500000000009E-2</v>
      </c>
      <c r="AZ216">
        <f t="shared" si="408"/>
        <v>-7.5599999999999973E-3</v>
      </c>
      <c r="BA216">
        <f t="shared" si="408"/>
        <v>-1.5539999999999998E-2</v>
      </c>
      <c r="BB216">
        <f t="shared" si="408"/>
        <v>-2.3939999999999989E-2</v>
      </c>
      <c r="BC216">
        <f t="shared" si="408"/>
        <v>-3.2759999999999997E-2</v>
      </c>
      <c r="BD216">
        <f t="shared" si="408"/>
        <v>-4.1999999999999996E-2</v>
      </c>
      <c r="BE216">
        <f t="shared" si="408"/>
        <v>-5.1659999999999998E-2</v>
      </c>
      <c r="BF216">
        <f t="shared" si="372"/>
        <v>-7.6562500000000006E-2</v>
      </c>
      <c r="BG216">
        <f t="shared" si="417"/>
        <v>-8.9999999999999941E-3</v>
      </c>
      <c r="BH216">
        <f t="shared" si="417"/>
        <v>-1.8500000000000003E-2</v>
      </c>
      <c r="BI216">
        <f t="shared" si="417"/>
        <v>-2.8499999999999998E-2</v>
      </c>
      <c r="BJ216">
        <f t="shared" si="417"/>
        <v>-3.8999999999999993E-2</v>
      </c>
      <c r="BK216">
        <f t="shared" si="417"/>
        <v>-4.9999999999999989E-2</v>
      </c>
      <c r="BL216">
        <f t="shared" si="417"/>
        <v>-6.1499999999999999E-2</v>
      </c>
      <c r="BM216">
        <f t="shared" si="374"/>
        <v>-0.2419375</v>
      </c>
      <c r="BN216">
        <f t="shared" si="418"/>
        <v>-2.8439999999999993E-2</v>
      </c>
      <c r="BO216">
        <f t="shared" si="418"/>
        <v>-5.8459999999999984E-2</v>
      </c>
      <c r="BP216">
        <f t="shared" si="418"/>
        <v>-9.0060000000000001E-2</v>
      </c>
      <c r="BQ216">
        <f t="shared" si="418"/>
        <v>-0.12323999999999999</v>
      </c>
      <c r="BR216">
        <f t="shared" si="418"/>
        <v>-0.158</v>
      </c>
      <c r="BS216">
        <f t="shared" si="418"/>
        <v>-0.19433999999999998</v>
      </c>
    </row>
    <row r="217" spans="2:71" x14ac:dyDescent="0.35">
      <c r="B217" t="s">
        <v>417</v>
      </c>
      <c r="C217" s="19">
        <f>regions!B195</f>
        <v>28562400</v>
      </c>
      <c r="D217" s="19">
        <f>regions!C195</f>
        <v>21491158366.324051</v>
      </c>
      <c r="E217" s="8">
        <f>regions!D195</f>
        <v>752.42831016735465</v>
      </c>
      <c r="F217" s="1">
        <f>regions!Z195</f>
        <v>12.1</v>
      </c>
      <c r="G217" s="8"/>
      <c r="H217" s="8"/>
      <c r="I217">
        <f t="shared" si="396"/>
        <v>-0.16867399999999999</v>
      </c>
      <c r="J217">
        <f t="shared" si="425"/>
        <v>-1.3940000000000008E-2</v>
      </c>
      <c r="K217">
        <f t="shared" si="425"/>
        <v>-2.7879999999999988E-2</v>
      </c>
      <c r="L217">
        <f t="shared" si="425"/>
        <v>-4.1819999999999996E-2</v>
      </c>
      <c r="M217">
        <f t="shared" si="425"/>
        <v>-5.5760000000000004E-2</v>
      </c>
      <c r="N217">
        <f t="shared" si="425"/>
        <v>-6.9700000000000012E-2</v>
      </c>
      <c r="O217">
        <f t="shared" si="425"/>
        <v>-8.3639999999999992E-2</v>
      </c>
      <c r="P217">
        <f t="shared" si="398"/>
        <v>-5.8563999999999998E-2</v>
      </c>
      <c r="Q217">
        <f t="shared" si="426"/>
        <v>-1.0079999999999999E-2</v>
      </c>
      <c r="R217">
        <f t="shared" si="426"/>
        <v>-2.0960000000000013E-2</v>
      </c>
      <c r="S217">
        <f t="shared" si="426"/>
        <v>-3.2640000000000009E-2</v>
      </c>
      <c r="T217">
        <f t="shared" si="426"/>
        <v>-4.5120000000000028E-2</v>
      </c>
      <c r="U217">
        <f t="shared" si="426"/>
        <v>-5.8400000000000014E-2</v>
      </c>
      <c r="V217">
        <f t="shared" si="426"/>
        <v>-7.2480000000000017E-2</v>
      </c>
      <c r="W217">
        <f t="shared" si="400"/>
        <v>-7.3205000000000006E-2</v>
      </c>
      <c r="X217">
        <f t="shared" si="427"/>
        <v>-1.2599999999999986E-2</v>
      </c>
      <c r="Y217">
        <f t="shared" si="427"/>
        <v>-2.6200000000000001E-2</v>
      </c>
      <c r="Z217">
        <f t="shared" si="427"/>
        <v>-4.0799999999999989E-2</v>
      </c>
      <c r="AA217">
        <f t="shared" si="427"/>
        <v>-5.640000000000002E-2</v>
      </c>
      <c r="AB217">
        <f t="shared" si="427"/>
        <v>-7.3000000000000023E-2</v>
      </c>
      <c r="AC217">
        <f t="shared" si="427"/>
        <v>-9.0600000000000028E-2</v>
      </c>
      <c r="AD217">
        <f t="shared" si="402"/>
        <v>-6.6323729999999997E-2</v>
      </c>
      <c r="AE217">
        <f t="shared" si="428"/>
        <v>-1.1415599999999998E-2</v>
      </c>
      <c r="AF217">
        <f t="shared" si="428"/>
        <v>-2.37372E-2</v>
      </c>
      <c r="AG217">
        <f t="shared" si="428"/>
        <v>-3.6964800000000006E-2</v>
      </c>
      <c r="AH217">
        <f t="shared" si="428"/>
        <v>-5.1098400000000016E-2</v>
      </c>
      <c r="AI217">
        <f t="shared" si="428"/>
        <v>-6.6138000000000002E-2</v>
      </c>
      <c r="AJ217">
        <f t="shared" si="428"/>
        <v>-8.2083600000000034E-2</v>
      </c>
      <c r="AK217">
        <f t="shared" si="404"/>
        <v>-7.4669100000000002E-2</v>
      </c>
      <c r="AL217">
        <f t="shared" si="429"/>
        <v>-1.2852000000000002E-2</v>
      </c>
      <c r="AM217">
        <f t="shared" si="429"/>
        <v>-2.6724000000000012E-2</v>
      </c>
      <c r="AN217">
        <f t="shared" si="429"/>
        <v>-4.1616E-2</v>
      </c>
      <c r="AO217">
        <f t="shared" si="429"/>
        <v>-5.7528000000000037E-2</v>
      </c>
      <c r="AP217">
        <f t="shared" si="429"/>
        <v>-7.4460000000000012E-2</v>
      </c>
      <c r="AQ217">
        <f t="shared" si="429"/>
        <v>-9.2412000000000036E-2</v>
      </c>
      <c r="AR217">
        <f t="shared" si="406"/>
        <v>-0.11141801</v>
      </c>
      <c r="AS217">
        <f t="shared" si="430"/>
        <v>-1.9177199999999991E-2</v>
      </c>
      <c r="AT217">
        <f t="shared" si="430"/>
        <v>-3.9876399999999992E-2</v>
      </c>
      <c r="AU217">
        <f t="shared" si="430"/>
        <v>-6.2097599999999989E-2</v>
      </c>
      <c r="AV217">
        <f t="shared" si="430"/>
        <v>-8.5840800000000009E-2</v>
      </c>
      <c r="AW217">
        <f t="shared" si="430"/>
        <v>-0.111106</v>
      </c>
      <c r="AX217">
        <f t="shared" si="430"/>
        <v>-0.13789320000000005</v>
      </c>
      <c r="AY217">
        <f t="shared" si="370"/>
        <v>-3.0746100000000002E-2</v>
      </c>
      <c r="AZ217">
        <f t="shared" si="408"/>
        <v>-5.2919999999999946E-3</v>
      </c>
      <c r="BA217">
        <f t="shared" si="408"/>
        <v>-1.1004000000000003E-2</v>
      </c>
      <c r="BB217">
        <f t="shared" si="408"/>
        <v>-1.7135999999999995E-2</v>
      </c>
      <c r="BC217">
        <f t="shared" si="408"/>
        <v>-2.3688000000000011E-2</v>
      </c>
      <c r="BD217">
        <f t="shared" si="408"/>
        <v>-3.0660000000000003E-2</v>
      </c>
      <c r="BE217">
        <f t="shared" si="408"/>
        <v>-3.8052000000000016E-2</v>
      </c>
      <c r="BF217">
        <f t="shared" si="372"/>
        <v>-3.6602500000000003E-2</v>
      </c>
      <c r="BG217">
        <f t="shared" si="417"/>
        <v>-6.2999999999999931E-3</v>
      </c>
      <c r="BH217">
        <f t="shared" si="417"/>
        <v>-1.3100000000000001E-2</v>
      </c>
      <c r="BI217">
        <f t="shared" si="417"/>
        <v>-2.0399999999999995E-2</v>
      </c>
      <c r="BJ217">
        <f t="shared" si="417"/>
        <v>-2.820000000000001E-2</v>
      </c>
      <c r="BK217">
        <f t="shared" si="417"/>
        <v>-3.6500000000000012E-2</v>
      </c>
      <c r="BL217">
        <f t="shared" si="417"/>
        <v>-4.5300000000000014E-2</v>
      </c>
      <c r="BM217">
        <f t="shared" si="374"/>
        <v>-0.1156639</v>
      </c>
      <c r="BN217">
        <f t="shared" si="418"/>
        <v>-1.9907999999999995E-2</v>
      </c>
      <c r="BO217">
        <f t="shared" si="418"/>
        <v>-4.1396000000000002E-2</v>
      </c>
      <c r="BP217">
        <f t="shared" si="418"/>
        <v>-6.4464000000000007E-2</v>
      </c>
      <c r="BQ217">
        <f t="shared" si="418"/>
        <v>-8.9112000000000038E-2</v>
      </c>
      <c r="BR217">
        <f t="shared" si="418"/>
        <v>-0.11534000000000001</v>
      </c>
      <c r="BS217">
        <f t="shared" si="418"/>
        <v>-0.14314800000000005</v>
      </c>
    </row>
    <row r="218" spans="2:71" x14ac:dyDescent="0.35">
      <c r="B218" t="s">
        <v>418</v>
      </c>
      <c r="C218" s="19">
        <f>regions!B196</f>
        <v>236299</v>
      </c>
      <c r="D218" s="19">
        <f>regions!C196</f>
        <v>503575271.44056231</v>
      </c>
      <c r="E218" s="8">
        <f>regions!D196</f>
        <v>2131.0935359039281</v>
      </c>
      <c r="F218" s="1">
        <f>regions!Z196</f>
        <v>24</v>
      </c>
      <c r="G218" s="8"/>
      <c r="H218" s="8"/>
      <c r="I218">
        <f t="shared" ref="I218:I223" si="431">IF(E218&lt;E$24,$D$11*$F218,0)</f>
        <v>-0.33455999999999997</v>
      </c>
      <c r="J218">
        <f t="shared" si="425"/>
        <v>-1.3940000000000008E-2</v>
      </c>
      <c r="K218">
        <f t="shared" si="425"/>
        <v>-2.7880000000000016E-2</v>
      </c>
      <c r="L218">
        <f t="shared" si="425"/>
        <v>-4.1820000000000024E-2</v>
      </c>
      <c r="M218">
        <f t="shared" si="425"/>
        <v>-5.5760000000000032E-2</v>
      </c>
      <c r="N218">
        <f t="shared" si="425"/>
        <v>-6.9699999999999984E-2</v>
      </c>
      <c r="O218">
        <f t="shared" si="425"/>
        <v>-8.3639999999999992E-2</v>
      </c>
      <c r="P218">
        <f t="shared" ref="P218:P223" si="432">$D$13*$F218^2</f>
        <v>-0.23040000000000002</v>
      </c>
      <c r="Q218">
        <f t="shared" si="426"/>
        <v>-1.9599999999999979E-2</v>
      </c>
      <c r="R218">
        <f t="shared" si="426"/>
        <v>-4.0000000000000008E-2</v>
      </c>
      <c r="S218">
        <f t="shared" si="426"/>
        <v>-6.1200000000000004E-2</v>
      </c>
      <c r="T218">
        <f t="shared" si="426"/>
        <v>-8.3199999999999968E-2</v>
      </c>
      <c r="U218">
        <f t="shared" si="426"/>
        <v>-0.10600000000000001</v>
      </c>
      <c r="V218">
        <f t="shared" si="426"/>
        <v>-0.12960000000000002</v>
      </c>
      <c r="W218">
        <f t="shared" ref="W218:W223" si="433">$D$15*$F218^2</f>
        <v>-0.28800000000000003</v>
      </c>
      <c r="X218">
        <f t="shared" si="427"/>
        <v>-2.4499999999999966E-2</v>
      </c>
      <c r="Y218">
        <f t="shared" si="427"/>
        <v>-4.9999999999999989E-2</v>
      </c>
      <c r="Z218">
        <f t="shared" si="427"/>
        <v>-7.6499999999999957E-2</v>
      </c>
      <c r="AA218">
        <f t="shared" si="427"/>
        <v>-0.10399999999999998</v>
      </c>
      <c r="AB218">
        <f t="shared" si="427"/>
        <v>-0.13249999999999995</v>
      </c>
      <c r="AC218">
        <f t="shared" si="427"/>
        <v>-0.16199999999999998</v>
      </c>
      <c r="AD218">
        <f t="shared" ref="AD218:AD223" si="434">$D$10*$F218^2</f>
        <v>-0.26092799999999999</v>
      </c>
      <c r="AE218">
        <f t="shared" si="428"/>
        <v>-2.2197000000000022E-2</v>
      </c>
      <c r="AF218">
        <f t="shared" si="428"/>
        <v>-4.5300000000000007E-2</v>
      </c>
      <c r="AG218">
        <f t="shared" si="428"/>
        <v>-6.9309000000000009E-2</v>
      </c>
      <c r="AH218">
        <f t="shared" si="428"/>
        <v>-9.422400000000003E-2</v>
      </c>
      <c r="AI218">
        <f t="shared" si="428"/>
        <v>-0.12004500000000001</v>
      </c>
      <c r="AJ218">
        <f t="shared" si="428"/>
        <v>-0.14677200000000001</v>
      </c>
      <c r="AK218">
        <f t="shared" ref="AK218:AK223" si="435">$D$17*$F218^2</f>
        <v>-0.29376000000000002</v>
      </c>
      <c r="AL218">
        <f t="shared" si="429"/>
        <v>-2.4990000000000012E-2</v>
      </c>
      <c r="AM218">
        <f t="shared" si="429"/>
        <v>-5.099999999999999E-2</v>
      </c>
      <c r="AN218">
        <f t="shared" si="429"/>
        <v>-7.8029999999999988E-2</v>
      </c>
      <c r="AO218">
        <f t="shared" si="429"/>
        <v>-0.10608000000000001</v>
      </c>
      <c r="AP218">
        <f t="shared" si="429"/>
        <v>-0.13514999999999999</v>
      </c>
      <c r="AQ218">
        <f t="shared" si="429"/>
        <v>-0.16524</v>
      </c>
      <c r="AR218">
        <f t="shared" ref="AR218:AR223" si="436">$D$8*$F218^2</f>
        <v>-0.43833599999999995</v>
      </c>
      <c r="AS218">
        <f t="shared" si="430"/>
        <v>-3.7289000000000017E-2</v>
      </c>
      <c r="AT218">
        <f t="shared" si="430"/>
        <v>-7.6100000000000056E-2</v>
      </c>
      <c r="AU218">
        <f t="shared" si="430"/>
        <v>-0.11643300000000001</v>
      </c>
      <c r="AV218">
        <f t="shared" si="430"/>
        <v>-0.15828799999999998</v>
      </c>
      <c r="AW218">
        <f t="shared" si="430"/>
        <v>-0.20166499999999998</v>
      </c>
      <c r="AX218">
        <f t="shared" si="430"/>
        <v>-0.24656400000000001</v>
      </c>
      <c r="AY218">
        <f t="shared" si="370"/>
        <v>-0.12096000000000001</v>
      </c>
      <c r="AZ218">
        <f t="shared" si="408"/>
        <v>-1.0289999999999994E-2</v>
      </c>
      <c r="BA218">
        <f t="shared" si="408"/>
        <v>-2.0999999999999991E-2</v>
      </c>
      <c r="BB218">
        <f t="shared" si="408"/>
        <v>-3.2129999999999992E-2</v>
      </c>
      <c r="BC218">
        <f t="shared" si="408"/>
        <v>-4.3679999999999997E-2</v>
      </c>
      <c r="BD218">
        <f t="shared" si="408"/>
        <v>-5.5650000000000005E-2</v>
      </c>
      <c r="BE218">
        <f t="shared" si="408"/>
        <v>-6.8039999999999989E-2</v>
      </c>
      <c r="BF218">
        <f t="shared" si="372"/>
        <v>-0.14400000000000002</v>
      </c>
      <c r="BG218">
        <f t="shared" si="417"/>
        <v>-1.2249999999999983E-2</v>
      </c>
      <c r="BH218">
        <f t="shared" si="417"/>
        <v>-2.4999999999999994E-2</v>
      </c>
      <c r="BI218">
        <f t="shared" si="417"/>
        <v>-3.8249999999999978E-2</v>
      </c>
      <c r="BJ218">
        <f t="shared" si="417"/>
        <v>-5.1999999999999991E-2</v>
      </c>
      <c r="BK218">
        <f t="shared" si="417"/>
        <v>-6.6249999999999976E-2</v>
      </c>
      <c r="BL218">
        <f t="shared" si="417"/>
        <v>-8.0999999999999989E-2</v>
      </c>
      <c r="BM218">
        <f t="shared" si="374"/>
        <v>-0.45504</v>
      </c>
      <c r="BN218">
        <f t="shared" si="418"/>
        <v>-3.8710000000000022E-2</v>
      </c>
      <c r="BO218">
        <f t="shared" si="418"/>
        <v>-7.8999999999999959E-2</v>
      </c>
      <c r="BP218">
        <f t="shared" si="418"/>
        <v>-0.12087000000000003</v>
      </c>
      <c r="BQ218">
        <f t="shared" si="418"/>
        <v>-0.16432000000000002</v>
      </c>
      <c r="BR218">
        <f t="shared" si="418"/>
        <v>-0.20935000000000004</v>
      </c>
      <c r="BS218">
        <f t="shared" si="418"/>
        <v>-0.25595999999999997</v>
      </c>
    </row>
    <row r="219" spans="2:71" x14ac:dyDescent="0.35">
      <c r="B219" t="s">
        <v>202</v>
      </c>
      <c r="C219" s="19">
        <f>regions!B197</f>
        <v>29043283</v>
      </c>
      <c r="D219" s="19">
        <f>regions!C197</f>
        <v>174552448164.40952</v>
      </c>
      <c r="E219" s="8">
        <f>regions!D197</f>
        <v>6010.0797889966334</v>
      </c>
      <c r="F219" s="1">
        <f>regions!Z197</f>
        <v>25.3</v>
      </c>
      <c r="G219" s="8"/>
      <c r="H219" s="8"/>
      <c r="I219">
        <f t="shared" si="431"/>
        <v>0</v>
      </c>
      <c r="J219">
        <f t="shared" si="425"/>
        <v>0</v>
      </c>
      <c r="K219">
        <f t="shared" si="425"/>
        <v>0</v>
      </c>
      <c r="L219">
        <f t="shared" si="425"/>
        <v>0</v>
      </c>
      <c r="M219">
        <f t="shared" si="425"/>
        <v>0</v>
      </c>
      <c r="N219">
        <f t="shared" si="425"/>
        <v>0</v>
      </c>
      <c r="O219">
        <f t="shared" si="425"/>
        <v>0</v>
      </c>
      <c r="P219">
        <f t="shared" si="432"/>
        <v>-0.25603600000000004</v>
      </c>
      <c r="Q219">
        <f t="shared" si="426"/>
        <v>-2.0639999999999992E-2</v>
      </c>
      <c r="R219">
        <f t="shared" si="426"/>
        <v>-4.2080000000000006E-2</v>
      </c>
      <c r="S219">
        <f t="shared" si="426"/>
        <v>-6.4319999999999988E-2</v>
      </c>
      <c r="T219">
        <f t="shared" si="426"/>
        <v>-8.7359999999999993E-2</v>
      </c>
      <c r="U219">
        <f t="shared" si="426"/>
        <v>-0.11119999999999997</v>
      </c>
      <c r="V219">
        <f t="shared" si="426"/>
        <v>-0.13584000000000002</v>
      </c>
      <c r="W219">
        <f t="shared" si="433"/>
        <v>-0.32004500000000002</v>
      </c>
      <c r="X219">
        <f t="shared" si="427"/>
        <v>-2.579999999999999E-2</v>
      </c>
      <c r="Y219">
        <f t="shared" si="427"/>
        <v>-5.2600000000000036E-2</v>
      </c>
      <c r="Z219">
        <f t="shared" si="427"/>
        <v>-8.0399999999999971E-2</v>
      </c>
      <c r="AA219">
        <f t="shared" si="427"/>
        <v>-0.10919999999999996</v>
      </c>
      <c r="AB219">
        <f t="shared" si="427"/>
        <v>-0.13900000000000001</v>
      </c>
      <c r="AC219">
        <f t="shared" si="427"/>
        <v>-0.16980000000000001</v>
      </c>
      <c r="AD219">
        <f t="shared" si="434"/>
        <v>-0.28996077000000003</v>
      </c>
      <c r="AE219">
        <f t="shared" si="428"/>
        <v>-2.3374799999999973E-2</v>
      </c>
      <c r="AF219">
        <f t="shared" si="428"/>
        <v>-4.765560000000002E-2</v>
      </c>
      <c r="AG219">
        <f t="shared" si="428"/>
        <v>-7.2842399999999974E-2</v>
      </c>
      <c r="AH219">
        <f t="shared" si="428"/>
        <v>-9.8935200000000001E-2</v>
      </c>
      <c r="AI219">
        <f t="shared" si="428"/>
        <v>-0.12593399999999999</v>
      </c>
      <c r="AJ219">
        <f t="shared" si="428"/>
        <v>-0.1538388</v>
      </c>
      <c r="AK219">
        <f t="shared" si="435"/>
        <v>-0.32644590000000007</v>
      </c>
      <c r="AL219">
        <f t="shared" si="429"/>
        <v>-2.6316000000000006E-2</v>
      </c>
      <c r="AM219">
        <f t="shared" si="429"/>
        <v>-5.3651999999999977E-2</v>
      </c>
      <c r="AN219">
        <f t="shared" si="429"/>
        <v>-8.200799999999997E-2</v>
      </c>
      <c r="AO219">
        <f t="shared" si="429"/>
        <v>-0.11138399999999998</v>
      </c>
      <c r="AP219">
        <f t="shared" si="429"/>
        <v>-0.14177999999999996</v>
      </c>
      <c r="AQ219">
        <f t="shared" si="429"/>
        <v>-0.17319600000000002</v>
      </c>
      <c r="AR219">
        <f t="shared" si="436"/>
        <v>-0.48710849000000001</v>
      </c>
      <c r="AS219">
        <f t="shared" si="430"/>
        <v>-3.9267599999999958E-2</v>
      </c>
      <c r="AT219">
        <f t="shared" si="430"/>
        <v>-8.0057200000000051E-2</v>
      </c>
      <c r="AU219">
        <f t="shared" si="430"/>
        <v>-0.12236879999999994</v>
      </c>
      <c r="AV219">
        <f t="shared" si="430"/>
        <v>-0.16620239999999997</v>
      </c>
      <c r="AW219">
        <f t="shared" si="430"/>
        <v>-0.21155800000000002</v>
      </c>
      <c r="AX219">
        <f t="shared" si="430"/>
        <v>-0.25843559999999999</v>
      </c>
      <c r="AY219">
        <f t="shared" ref="AY219:AY223" si="437">$D$19*$F219^2</f>
        <v>-0.13441890000000001</v>
      </c>
      <c r="AZ219">
        <f t="shared" si="408"/>
        <v>-1.0836000000000012E-2</v>
      </c>
      <c r="BA219">
        <f t="shared" si="408"/>
        <v>-2.2092000000000028E-2</v>
      </c>
      <c r="BB219">
        <f t="shared" si="408"/>
        <v>-3.3767999999999992E-2</v>
      </c>
      <c r="BC219">
        <f t="shared" si="408"/>
        <v>-4.5863999999999988E-2</v>
      </c>
      <c r="BD219">
        <f t="shared" si="408"/>
        <v>-5.8380000000000015E-2</v>
      </c>
      <c r="BE219">
        <f t="shared" si="408"/>
        <v>-7.1316000000000018E-2</v>
      </c>
      <c r="BF219">
        <f t="shared" ref="BF219:BF223" si="438">$D$21*$F219^2</f>
        <v>-0.16002250000000001</v>
      </c>
      <c r="BG219">
        <f t="shared" ref="BG219:BL223" si="439">$D$21*($F219+BG$25)^2-$BF219</f>
        <v>-1.2899999999999995E-2</v>
      </c>
      <c r="BH219">
        <f t="shared" si="439"/>
        <v>-2.6300000000000018E-2</v>
      </c>
      <c r="BI219">
        <f t="shared" si="439"/>
        <v>-4.0199999999999986E-2</v>
      </c>
      <c r="BJ219">
        <f t="shared" si="439"/>
        <v>-5.4599999999999982E-2</v>
      </c>
      <c r="BK219">
        <f t="shared" si="439"/>
        <v>-6.9500000000000006E-2</v>
      </c>
      <c r="BL219">
        <f t="shared" si="439"/>
        <v>-8.4900000000000003E-2</v>
      </c>
      <c r="BM219">
        <f t="shared" ref="BM219:BM223" si="440">$D$23*$F219^2</f>
        <v>-0.50567110000000004</v>
      </c>
      <c r="BN219">
        <f t="shared" ref="BN219:BS223" si="441">$D$23*($F219+BN$25)^2-$BM219</f>
        <v>-4.0764000000000022E-2</v>
      </c>
      <c r="BO219">
        <f t="shared" si="441"/>
        <v>-8.3108000000000071E-2</v>
      </c>
      <c r="BP219">
        <f t="shared" si="441"/>
        <v>-0.12703199999999992</v>
      </c>
      <c r="BQ219">
        <f t="shared" si="441"/>
        <v>-0.17253600000000002</v>
      </c>
      <c r="BR219">
        <f t="shared" si="441"/>
        <v>-0.21962000000000004</v>
      </c>
      <c r="BS219">
        <f t="shared" si="441"/>
        <v>-0.26828399999999997</v>
      </c>
    </row>
    <row r="220" spans="2:71" x14ac:dyDescent="0.35">
      <c r="B220" t="s">
        <v>419</v>
      </c>
      <c r="C220" s="19">
        <f>regions!B198</f>
        <v>86932500</v>
      </c>
      <c r="D220" s="19">
        <f>regions!C198</f>
        <v>78282167937.76619</v>
      </c>
      <c r="E220" s="8">
        <f>regions!D198</f>
        <v>900.49369266691042</v>
      </c>
      <c r="F220" s="1">
        <f>regions!Z198</f>
        <v>24.4</v>
      </c>
      <c r="G220" s="8"/>
      <c r="H220" s="8"/>
      <c r="I220">
        <f t="shared" si="431"/>
        <v>-0.34013599999999994</v>
      </c>
      <c r="J220">
        <f t="shared" si="425"/>
        <v>-1.3940000000000008E-2</v>
      </c>
      <c r="K220">
        <f t="shared" si="425"/>
        <v>-2.7880000000000016E-2</v>
      </c>
      <c r="L220">
        <f t="shared" si="425"/>
        <v>-4.1820000000000024E-2</v>
      </c>
      <c r="M220">
        <f t="shared" si="425"/>
        <v>-5.5760000000000032E-2</v>
      </c>
      <c r="N220">
        <f t="shared" si="425"/>
        <v>-6.970000000000004E-2</v>
      </c>
      <c r="O220">
        <f t="shared" si="425"/>
        <v>-8.3639999999999992E-2</v>
      </c>
      <c r="P220">
        <f t="shared" si="432"/>
        <v>-0.23814399999999997</v>
      </c>
      <c r="Q220">
        <f t="shared" si="426"/>
        <v>-1.9920000000000049E-2</v>
      </c>
      <c r="R220">
        <f t="shared" si="426"/>
        <v>-4.0640000000000009E-2</v>
      </c>
      <c r="S220">
        <f t="shared" si="426"/>
        <v>-6.2159999999999993E-2</v>
      </c>
      <c r="T220">
        <f t="shared" si="426"/>
        <v>-8.448E-2</v>
      </c>
      <c r="U220">
        <f t="shared" si="426"/>
        <v>-0.10760000000000003</v>
      </c>
      <c r="V220">
        <f t="shared" si="426"/>
        <v>-0.13152000000000003</v>
      </c>
      <c r="W220">
        <f t="shared" si="433"/>
        <v>-0.29767999999999994</v>
      </c>
      <c r="X220">
        <f t="shared" si="427"/>
        <v>-2.4900000000000033E-2</v>
      </c>
      <c r="Y220">
        <f t="shared" si="427"/>
        <v>-5.0800000000000012E-2</v>
      </c>
      <c r="Z220">
        <f t="shared" si="427"/>
        <v>-7.7699999999999991E-2</v>
      </c>
      <c r="AA220">
        <f t="shared" si="427"/>
        <v>-0.10560000000000003</v>
      </c>
      <c r="AB220">
        <f t="shared" si="427"/>
        <v>-0.13450000000000001</v>
      </c>
      <c r="AC220">
        <f t="shared" si="427"/>
        <v>-0.16440000000000005</v>
      </c>
      <c r="AD220">
        <f t="shared" si="434"/>
        <v>-0.26969807999999995</v>
      </c>
      <c r="AE220">
        <f t="shared" si="428"/>
        <v>-2.2559400000000063E-2</v>
      </c>
      <c r="AF220">
        <f t="shared" si="428"/>
        <v>-4.6024800000000032E-2</v>
      </c>
      <c r="AG220">
        <f t="shared" si="428"/>
        <v>-7.039620000000002E-2</v>
      </c>
      <c r="AH220">
        <f t="shared" si="428"/>
        <v>-9.5673600000000025E-2</v>
      </c>
      <c r="AI220">
        <f t="shared" si="428"/>
        <v>-0.12185699999999999</v>
      </c>
      <c r="AJ220">
        <f t="shared" si="428"/>
        <v>-0.14894640000000003</v>
      </c>
      <c r="AK220">
        <f t="shared" si="435"/>
        <v>-0.30363359999999995</v>
      </c>
      <c r="AL220">
        <f t="shared" si="429"/>
        <v>-2.5398000000000032E-2</v>
      </c>
      <c r="AM220">
        <f t="shared" si="429"/>
        <v>-5.1816000000000029E-2</v>
      </c>
      <c r="AN220">
        <f t="shared" si="429"/>
        <v>-7.9253999999999991E-2</v>
      </c>
      <c r="AO220">
        <f t="shared" si="429"/>
        <v>-0.10771200000000003</v>
      </c>
      <c r="AP220">
        <f t="shared" si="429"/>
        <v>-0.13719000000000003</v>
      </c>
      <c r="AQ220">
        <f t="shared" si="429"/>
        <v>-0.16768800000000006</v>
      </c>
      <c r="AR220">
        <f t="shared" si="436"/>
        <v>-0.45306895999999991</v>
      </c>
      <c r="AS220">
        <f t="shared" si="430"/>
        <v>-3.7897800000000037E-2</v>
      </c>
      <c r="AT220">
        <f t="shared" si="430"/>
        <v>-7.7317600000000042E-2</v>
      </c>
      <c r="AU220">
        <f t="shared" si="430"/>
        <v>-0.11825939999999996</v>
      </c>
      <c r="AV220">
        <f t="shared" si="430"/>
        <v>-0.16072320000000001</v>
      </c>
      <c r="AW220">
        <f t="shared" si="430"/>
        <v>-0.20470899999999997</v>
      </c>
      <c r="AX220">
        <f t="shared" si="430"/>
        <v>-0.25021680000000007</v>
      </c>
      <c r="AY220">
        <f t="shared" si="437"/>
        <v>-0.12502559999999999</v>
      </c>
      <c r="AZ220">
        <f t="shared" si="408"/>
        <v>-1.0458000000000023E-2</v>
      </c>
      <c r="BA220">
        <f t="shared" si="408"/>
        <v>-2.1335999999999994E-2</v>
      </c>
      <c r="BB220">
        <f t="shared" si="408"/>
        <v>-3.2633999999999996E-2</v>
      </c>
      <c r="BC220">
        <f t="shared" si="408"/>
        <v>-4.4352000000000003E-2</v>
      </c>
      <c r="BD220">
        <f t="shared" si="408"/>
        <v>-5.6490000000000012E-2</v>
      </c>
      <c r="BE220">
        <f t="shared" si="408"/>
        <v>-6.9048000000000026E-2</v>
      </c>
      <c r="BF220">
        <f t="shared" si="438"/>
        <v>-0.14883999999999997</v>
      </c>
      <c r="BG220">
        <f t="shared" si="439"/>
        <v>-1.2450000000000017E-2</v>
      </c>
      <c r="BH220">
        <f t="shared" si="439"/>
        <v>-2.5400000000000006E-2</v>
      </c>
      <c r="BI220">
        <f t="shared" si="439"/>
        <v>-3.8849999999999996E-2</v>
      </c>
      <c r="BJ220">
        <f t="shared" si="439"/>
        <v>-5.2800000000000014E-2</v>
      </c>
      <c r="BK220">
        <f t="shared" si="439"/>
        <v>-6.7250000000000004E-2</v>
      </c>
      <c r="BL220">
        <f t="shared" si="439"/>
        <v>-8.2200000000000023E-2</v>
      </c>
      <c r="BM220">
        <f t="shared" si="440"/>
        <v>-0.47033439999999993</v>
      </c>
      <c r="BN220">
        <f t="shared" si="441"/>
        <v>-3.9342000000000099E-2</v>
      </c>
      <c r="BO220">
        <f t="shared" si="441"/>
        <v>-8.0264000000000002E-2</v>
      </c>
      <c r="BP220">
        <f t="shared" si="441"/>
        <v>-0.12276599999999993</v>
      </c>
      <c r="BQ220">
        <f t="shared" si="441"/>
        <v>-0.166848</v>
      </c>
      <c r="BR220">
        <f t="shared" si="441"/>
        <v>-0.21250999999999998</v>
      </c>
      <c r="BS220">
        <f t="shared" si="441"/>
        <v>-0.25975200000000009</v>
      </c>
    </row>
    <row r="221" spans="2:71" x14ac:dyDescent="0.35">
      <c r="B221" t="s">
        <v>420</v>
      </c>
      <c r="C221" s="19">
        <f>regions!B199</f>
        <v>22763008</v>
      </c>
      <c r="D221" s="19">
        <f>regions!C199</f>
        <v>19989098341.112953</v>
      </c>
      <c r="E221" s="8">
        <f>regions!D199</f>
        <v>878.13958248017809</v>
      </c>
      <c r="F221" s="1">
        <f>regions!Z199</f>
        <v>23.8</v>
      </c>
      <c r="G221" s="8"/>
      <c r="H221" s="8"/>
      <c r="I221">
        <f t="shared" si="431"/>
        <v>-0.33177200000000001</v>
      </c>
      <c r="J221">
        <f t="shared" si="425"/>
        <v>-1.3940000000000008E-2</v>
      </c>
      <c r="K221">
        <f t="shared" si="425"/>
        <v>-2.787999999999996E-2</v>
      </c>
      <c r="L221">
        <f t="shared" si="425"/>
        <v>-4.1819999999999968E-2</v>
      </c>
      <c r="M221">
        <f t="shared" si="425"/>
        <v>-5.5759999999999976E-2</v>
      </c>
      <c r="N221">
        <f t="shared" si="425"/>
        <v>-6.9699999999999984E-2</v>
      </c>
      <c r="O221">
        <f t="shared" si="425"/>
        <v>-8.3639999999999992E-2</v>
      </c>
      <c r="P221">
        <f t="shared" si="432"/>
        <v>-0.22657600000000003</v>
      </c>
      <c r="Q221">
        <f t="shared" si="426"/>
        <v>-1.9440000000000013E-2</v>
      </c>
      <c r="R221">
        <f t="shared" si="426"/>
        <v>-3.9679999999999965E-2</v>
      </c>
      <c r="S221">
        <f t="shared" si="426"/>
        <v>-6.0719999999999968E-2</v>
      </c>
      <c r="T221">
        <f t="shared" si="426"/>
        <v>-8.2559999999999995E-2</v>
      </c>
      <c r="U221">
        <f t="shared" si="426"/>
        <v>-0.10519999999999999</v>
      </c>
      <c r="V221">
        <f t="shared" si="426"/>
        <v>-0.12864</v>
      </c>
      <c r="W221">
        <f t="shared" si="433"/>
        <v>-0.28322000000000003</v>
      </c>
      <c r="X221">
        <f t="shared" si="427"/>
        <v>-2.4300000000000044E-2</v>
      </c>
      <c r="Y221">
        <f t="shared" si="427"/>
        <v>-4.9599999999999977E-2</v>
      </c>
      <c r="Z221">
        <f t="shared" si="427"/>
        <v>-7.5899999999999967E-2</v>
      </c>
      <c r="AA221">
        <f t="shared" si="427"/>
        <v>-0.10320000000000001</v>
      </c>
      <c r="AB221">
        <f t="shared" si="427"/>
        <v>-0.13150000000000001</v>
      </c>
      <c r="AC221">
        <f t="shared" si="427"/>
        <v>-0.1608</v>
      </c>
      <c r="AD221">
        <f t="shared" si="434"/>
        <v>-0.25659732000000002</v>
      </c>
      <c r="AE221">
        <f t="shared" si="428"/>
        <v>-2.201580000000003E-2</v>
      </c>
      <c r="AF221">
        <f t="shared" si="428"/>
        <v>-4.4937599999999966E-2</v>
      </c>
      <c r="AG221">
        <f t="shared" si="428"/>
        <v>-6.8765399999999977E-2</v>
      </c>
      <c r="AH221">
        <f t="shared" si="428"/>
        <v>-9.3499200000000005E-2</v>
      </c>
      <c r="AI221">
        <f t="shared" si="428"/>
        <v>-0.11913899999999999</v>
      </c>
      <c r="AJ221">
        <f t="shared" si="428"/>
        <v>-0.1456848</v>
      </c>
      <c r="AK221">
        <f t="shared" si="435"/>
        <v>-0.28888440000000004</v>
      </c>
      <c r="AL221">
        <f t="shared" si="429"/>
        <v>-2.478600000000003E-2</v>
      </c>
      <c r="AM221">
        <f t="shared" si="429"/>
        <v>-5.059199999999997E-2</v>
      </c>
      <c r="AN221">
        <f t="shared" si="429"/>
        <v>-7.7417999999999987E-2</v>
      </c>
      <c r="AO221">
        <f t="shared" si="429"/>
        <v>-0.10526400000000002</v>
      </c>
      <c r="AP221">
        <f t="shared" si="429"/>
        <v>-0.13413000000000003</v>
      </c>
      <c r="AQ221">
        <f t="shared" si="429"/>
        <v>-0.16401600000000005</v>
      </c>
      <c r="AR221">
        <f t="shared" si="436"/>
        <v>-0.43106084</v>
      </c>
      <c r="AS221">
        <f t="shared" si="430"/>
        <v>-3.6984600000000034E-2</v>
      </c>
      <c r="AT221">
        <f t="shared" si="430"/>
        <v>-7.5491199999999981E-2</v>
      </c>
      <c r="AU221">
        <f t="shared" si="430"/>
        <v>-0.11551979999999995</v>
      </c>
      <c r="AV221">
        <f t="shared" si="430"/>
        <v>-0.15707039999999994</v>
      </c>
      <c r="AW221">
        <f t="shared" si="430"/>
        <v>-0.20014299999999996</v>
      </c>
      <c r="AX221">
        <f t="shared" si="430"/>
        <v>-0.2447376</v>
      </c>
      <c r="AY221">
        <f t="shared" si="437"/>
        <v>-0.11895240000000001</v>
      </c>
      <c r="AZ221">
        <f t="shared" si="408"/>
        <v>-1.0206000000000021E-2</v>
      </c>
      <c r="BA221">
        <f t="shared" si="408"/>
        <v>-2.0831999999999989E-2</v>
      </c>
      <c r="BB221">
        <f t="shared" si="408"/>
        <v>-3.187799999999999E-2</v>
      </c>
      <c r="BC221">
        <f t="shared" si="408"/>
        <v>-4.3343999999999994E-2</v>
      </c>
      <c r="BD221">
        <f t="shared" si="408"/>
        <v>-5.5230000000000001E-2</v>
      </c>
      <c r="BE221">
        <f t="shared" si="408"/>
        <v>-6.7536000000000013E-2</v>
      </c>
      <c r="BF221">
        <f t="shared" si="438"/>
        <v>-0.14161000000000001</v>
      </c>
      <c r="BG221">
        <f t="shared" si="439"/>
        <v>-1.2150000000000022E-2</v>
      </c>
      <c r="BH221">
        <f t="shared" si="439"/>
        <v>-2.4799999999999989E-2</v>
      </c>
      <c r="BI221">
        <f t="shared" si="439"/>
        <v>-3.7949999999999984E-2</v>
      </c>
      <c r="BJ221">
        <f t="shared" si="439"/>
        <v>-5.1600000000000007E-2</v>
      </c>
      <c r="BK221">
        <f t="shared" si="439"/>
        <v>-6.5750000000000003E-2</v>
      </c>
      <c r="BL221">
        <f t="shared" si="439"/>
        <v>-8.0399999999999999E-2</v>
      </c>
      <c r="BM221">
        <f t="shared" si="440"/>
        <v>-0.44748760000000004</v>
      </c>
      <c r="BN221">
        <f t="shared" si="441"/>
        <v>-3.8394000000000039E-2</v>
      </c>
      <c r="BO221">
        <f t="shared" si="441"/>
        <v>-7.8367999999999938E-2</v>
      </c>
      <c r="BP221">
        <f t="shared" si="441"/>
        <v>-0.11992200000000003</v>
      </c>
      <c r="BQ221">
        <f t="shared" si="441"/>
        <v>-0.16305600000000003</v>
      </c>
      <c r="BR221">
        <f t="shared" si="441"/>
        <v>-0.20777000000000007</v>
      </c>
      <c r="BS221">
        <f t="shared" si="441"/>
        <v>-0.25406400000000001</v>
      </c>
    </row>
    <row r="222" spans="2:71" x14ac:dyDescent="0.35">
      <c r="B222" t="s">
        <v>204</v>
      </c>
      <c r="C222" s="19">
        <f>regions!B200</f>
        <v>13216985</v>
      </c>
      <c r="D222" s="19">
        <f>regions!C200</f>
        <v>9799629000.3266487</v>
      </c>
      <c r="E222" s="8">
        <f>regions!D200</f>
        <v>741.44209139426641</v>
      </c>
      <c r="F222" s="1">
        <f>regions!Z200</f>
        <v>21.4</v>
      </c>
      <c r="G222" s="8"/>
      <c r="H222" s="8"/>
      <c r="I222">
        <f t="shared" si="431"/>
        <v>-0.29831599999999997</v>
      </c>
      <c r="J222">
        <f t="shared" si="425"/>
        <v>-1.3940000000000008E-2</v>
      </c>
      <c r="K222">
        <f t="shared" si="425"/>
        <v>-2.7880000000000016E-2</v>
      </c>
      <c r="L222">
        <f t="shared" si="425"/>
        <v>-4.1819999999999968E-2</v>
      </c>
      <c r="M222">
        <f t="shared" si="425"/>
        <v>-5.5759999999999976E-2</v>
      </c>
      <c r="N222">
        <f t="shared" si="425"/>
        <v>-6.9699999999999984E-2</v>
      </c>
      <c r="O222">
        <f t="shared" si="425"/>
        <v>-8.3639999999999992E-2</v>
      </c>
      <c r="P222">
        <f t="shared" si="432"/>
        <v>-0.18318399999999999</v>
      </c>
      <c r="Q222">
        <f t="shared" si="426"/>
        <v>-1.7520000000000008E-2</v>
      </c>
      <c r="R222">
        <f t="shared" si="426"/>
        <v>-3.5840000000000011E-2</v>
      </c>
      <c r="S222">
        <f t="shared" si="426"/>
        <v>-5.4959999999999981E-2</v>
      </c>
      <c r="T222">
        <f t="shared" si="426"/>
        <v>-7.488000000000003E-2</v>
      </c>
      <c r="U222">
        <f t="shared" si="426"/>
        <v>-9.5599999999999991E-2</v>
      </c>
      <c r="V222">
        <f t="shared" si="426"/>
        <v>-0.11711999999999997</v>
      </c>
      <c r="W222">
        <f t="shared" si="433"/>
        <v>-0.22897999999999996</v>
      </c>
      <c r="X222">
        <f t="shared" si="427"/>
        <v>-2.1900000000000031E-2</v>
      </c>
      <c r="Y222">
        <f t="shared" si="427"/>
        <v>-4.4800000000000006E-2</v>
      </c>
      <c r="Z222">
        <f t="shared" si="427"/>
        <v>-6.8699999999999983E-2</v>
      </c>
      <c r="AA222">
        <f t="shared" si="427"/>
        <v>-9.3600000000000017E-2</v>
      </c>
      <c r="AB222">
        <f t="shared" si="427"/>
        <v>-0.1195</v>
      </c>
      <c r="AC222">
        <f t="shared" si="427"/>
        <v>-0.14639999999999997</v>
      </c>
      <c r="AD222">
        <f t="shared" si="434"/>
        <v>-0.20745587999999998</v>
      </c>
      <c r="AE222">
        <f t="shared" si="428"/>
        <v>-1.9841399999999981E-2</v>
      </c>
      <c r="AF222">
        <f t="shared" si="428"/>
        <v>-4.0588800000000008E-2</v>
      </c>
      <c r="AG222">
        <f t="shared" si="428"/>
        <v>-6.224219999999997E-2</v>
      </c>
      <c r="AH222">
        <f t="shared" si="428"/>
        <v>-8.4801600000000033E-2</v>
      </c>
      <c r="AI222">
        <f t="shared" si="428"/>
        <v>-0.108267</v>
      </c>
      <c r="AJ222">
        <f t="shared" si="428"/>
        <v>-0.13263839999999999</v>
      </c>
      <c r="AK222">
        <f t="shared" si="435"/>
        <v>-0.23355959999999998</v>
      </c>
      <c r="AL222">
        <f t="shared" si="429"/>
        <v>-2.2338000000000025E-2</v>
      </c>
      <c r="AM222">
        <f t="shared" si="429"/>
        <v>-4.5696000000000014E-2</v>
      </c>
      <c r="AN222">
        <f t="shared" si="429"/>
        <v>-7.007399999999997E-2</v>
      </c>
      <c r="AO222">
        <f t="shared" si="429"/>
        <v>-9.5472000000000001E-2</v>
      </c>
      <c r="AP222">
        <f t="shared" si="429"/>
        <v>-0.12189</v>
      </c>
      <c r="AQ222">
        <f t="shared" si="429"/>
        <v>-0.14932799999999996</v>
      </c>
      <c r="AR222">
        <f t="shared" si="436"/>
        <v>-0.34850755999999994</v>
      </c>
      <c r="AS222">
        <f t="shared" si="430"/>
        <v>-3.3331799999999967E-2</v>
      </c>
      <c r="AT222">
        <f t="shared" si="430"/>
        <v>-6.8185600000000013E-2</v>
      </c>
      <c r="AU222">
        <f t="shared" si="430"/>
        <v>-0.10456139999999997</v>
      </c>
      <c r="AV222">
        <f t="shared" si="430"/>
        <v>-0.14245920000000001</v>
      </c>
      <c r="AW222">
        <f t="shared" si="430"/>
        <v>-0.18187900000000001</v>
      </c>
      <c r="AX222">
        <f t="shared" si="430"/>
        <v>-0.22282079999999993</v>
      </c>
      <c r="AY222">
        <f t="shared" si="437"/>
        <v>-9.6171599999999982E-2</v>
      </c>
      <c r="AZ222">
        <f t="shared" si="408"/>
        <v>-9.1980000000000117E-3</v>
      </c>
      <c r="BA222">
        <f t="shared" si="408"/>
        <v>-1.8816000000000013E-2</v>
      </c>
      <c r="BB222">
        <f t="shared" si="408"/>
        <v>-2.8854000000000005E-2</v>
      </c>
      <c r="BC222">
        <f t="shared" si="408"/>
        <v>-3.9312000000000027E-2</v>
      </c>
      <c r="BD222">
        <f t="shared" si="408"/>
        <v>-5.0189999999999999E-2</v>
      </c>
      <c r="BE222">
        <f t="shared" si="408"/>
        <v>-6.1488000000000001E-2</v>
      </c>
      <c r="BF222">
        <f t="shared" si="438"/>
        <v>-0.11448999999999998</v>
      </c>
      <c r="BG222">
        <f t="shared" si="439"/>
        <v>-1.0950000000000015E-2</v>
      </c>
      <c r="BH222">
        <f t="shared" si="439"/>
        <v>-2.2400000000000003E-2</v>
      </c>
      <c r="BI222">
        <f t="shared" si="439"/>
        <v>-3.4349999999999992E-2</v>
      </c>
      <c r="BJ222">
        <f t="shared" si="439"/>
        <v>-4.6800000000000008E-2</v>
      </c>
      <c r="BK222">
        <f t="shared" si="439"/>
        <v>-5.9749999999999998E-2</v>
      </c>
      <c r="BL222">
        <f t="shared" si="439"/>
        <v>-7.3199999999999987E-2</v>
      </c>
      <c r="BM222">
        <f t="shared" si="440"/>
        <v>-0.36178839999999995</v>
      </c>
      <c r="BN222">
        <f t="shared" si="441"/>
        <v>-3.4602000000000022E-2</v>
      </c>
      <c r="BO222">
        <f t="shared" si="441"/>
        <v>-7.0784000000000014E-2</v>
      </c>
      <c r="BP222">
        <f t="shared" si="441"/>
        <v>-0.10854599999999998</v>
      </c>
      <c r="BQ222">
        <f t="shared" si="441"/>
        <v>-0.14788800000000007</v>
      </c>
      <c r="BR222">
        <f t="shared" si="441"/>
        <v>-0.18880999999999998</v>
      </c>
      <c r="BS222">
        <f t="shared" si="441"/>
        <v>-0.23131199999999991</v>
      </c>
    </row>
    <row r="223" spans="2:71" x14ac:dyDescent="0.35">
      <c r="B223" t="s">
        <v>205</v>
      </c>
      <c r="C223" s="19">
        <f>regions!B201</f>
        <v>13076978</v>
      </c>
      <c r="D223" s="19">
        <f>regions!C201</f>
        <v>5202304268.4389067</v>
      </c>
      <c r="E223" s="8">
        <f>regions!D201</f>
        <v>397.82159673579832</v>
      </c>
      <c r="F223" s="1">
        <f>regions!Z201</f>
        <v>21</v>
      </c>
      <c r="G223" s="8"/>
      <c r="H223" s="8"/>
      <c r="I223">
        <f t="shared" si="431"/>
        <v>-0.29274</v>
      </c>
      <c r="J223">
        <f t="shared" si="425"/>
        <v>-1.3940000000000008E-2</v>
      </c>
      <c r="K223">
        <f t="shared" si="425"/>
        <v>-2.787999999999996E-2</v>
      </c>
      <c r="L223">
        <f t="shared" si="425"/>
        <v>-4.1819999999999968E-2</v>
      </c>
      <c r="M223">
        <f t="shared" si="425"/>
        <v>-5.5759999999999976E-2</v>
      </c>
      <c r="N223">
        <f t="shared" si="425"/>
        <v>-6.9699999999999984E-2</v>
      </c>
      <c r="O223">
        <f t="shared" si="425"/>
        <v>-8.3639999999999992E-2</v>
      </c>
      <c r="P223">
        <f t="shared" si="432"/>
        <v>-0.1764</v>
      </c>
      <c r="Q223">
        <f t="shared" si="426"/>
        <v>-1.7200000000000021E-2</v>
      </c>
      <c r="R223">
        <f t="shared" si="426"/>
        <v>-3.5200000000000009E-2</v>
      </c>
      <c r="S223">
        <f t="shared" si="426"/>
        <v>-5.400000000000002E-2</v>
      </c>
      <c r="T223">
        <f t="shared" si="426"/>
        <v>-7.3599999999999999E-2</v>
      </c>
      <c r="U223">
        <f t="shared" si="426"/>
        <v>-9.4000000000000028E-2</v>
      </c>
      <c r="V223">
        <f t="shared" si="426"/>
        <v>-0.11520000000000002</v>
      </c>
      <c r="W223">
        <f t="shared" si="433"/>
        <v>-0.2205</v>
      </c>
      <c r="X223">
        <f t="shared" si="427"/>
        <v>-2.1499999999999991E-2</v>
      </c>
      <c r="Y223">
        <f t="shared" si="427"/>
        <v>-4.4000000000000011E-2</v>
      </c>
      <c r="Z223">
        <f t="shared" si="427"/>
        <v>-6.7500000000000032E-2</v>
      </c>
      <c r="AA223">
        <f t="shared" si="427"/>
        <v>-9.1999999999999998E-2</v>
      </c>
      <c r="AB223">
        <f t="shared" si="427"/>
        <v>-0.11750000000000002</v>
      </c>
      <c r="AC223">
        <f t="shared" si="427"/>
        <v>-0.14399999999999999</v>
      </c>
      <c r="AD223">
        <f t="shared" si="434"/>
        <v>-0.19977300000000001</v>
      </c>
      <c r="AE223">
        <f t="shared" si="428"/>
        <v>-1.9478999999999996E-2</v>
      </c>
      <c r="AF223">
        <f t="shared" si="428"/>
        <v>-3.9864000000000011E-2</v>
      </c>
      <c r="AG223">
        <f t="shared" si="428"/>
        <v>-6.1154999999999987E-2</v>
      </c>
      <c r="AH223">
        <f t="shared" si="428"/>
        <v>-8.3352000000000009E-2</v>
      </c>
      <c r="AI223">
        <f t="shared" si="428"/>
        <v>-0.10645499999999999</v>
      </c>
      <c r="AJ223">
        <f t="shared" si="428"/>
        <v>-0.130464</v>
      </c>
      <c r="AK223">
        <f t="shared" si="435"/>
        <v>-0.22491000000000003</v>
      </c>
      <c r="AL223">
        <f t="shared" si="429"/>
        <v>-2.1929999999999977E-2</v>
      </c>
      <c r="AM223">
        <f t="shared" si="429"/>
        <v>-4.4880000000000003E-2</v>
      </c>
      <c r="AN223">
        <f t="shared" si="429"/>
        <v>-6.8849999999999995E-2</v>
      </c>
      <c r="AO223">
        <f t="shared" si="429"/>
        <v>-9.3840000000000007E-2</v>
      </c>
      <c r="AP223">
        <f t="shared" si="429"/>
        <v>-0.11984999999999998</v>
      </c>
      <c r="AQ223">
        <f t="shared" si="429"/>
        <v>-0.14687999999999998</v>
      </c>
      <c r="AR223">
        <f t="shared" si="436"/>
        <v>-0.33560099999999998</v>
      </c>
      <c r="AS223">
        <f t="shared" si="430"/>
        <v>-3.2723000000000002E-2</v>
      </c>
      <c r="AT223">
        <f t="shared" si="430"/>
        <v>-6.6967999999999972E-2</v>
      </c>
      <c r="AU223">
        <f t="shared" si="430"/>
        <v>-0.10273499999999997</v>
      </c>
      <c r="AV223">
        <f t="shared" si="430"/>
        <v>-0.14002399999999998</v>
      </c>
      <c r="AW223">
        <f t="shared" si="430"/>
        <v>-0.17883500000000002</v>
      </c>
      <c r="AX223">
        <f t="shared" si="430"/>
        <v>-0.21916799999999997</v>
      </c>
      <c r="AY223">
        <f t="shared" si="437"/>
        <v>-9.2609999999999998E-2</v>
      </c>
      <c r="AZ223">
        <f t="shared" si="408"/>
        <v>-9.0300000000000102E-3</v>
      </c>
      <c r="BA223">
        <f t="shared" si="408"/>
        <v>-1.848000000000001E-2</v>
      </c>
      <c r="BB223">
        <f t="shared" si="408"/>
        <v>-2.8350000000000014E-2</v>
      </c>
      <c r="BC223">
        <f t="shared" si="408"/>
        <v>-3.8640000000000008E-2</v>
      </c>
      <c r="BD223">
        <f t="shared" si="408"/>
        <v>-4.9350000000000005E-2</v>
      </c>
      <c r="BE223">
        <f t="shared" si="408"/>
        <v>-6.0480000000000006E-2</v>
      </c>
      <c r="BF223">
        <f t="shared" si="438"/>
        <v>-0.11025</v>
      </c>
      <c r="BG223">
        <f t="shared" si="439"/>
        <v>-1.0749999999999996E-2</v>
      </c>
      <c r="BH223">
        <f t="shared" si="439"/>
        <v>-2.2000000000000006E-2</v>
      </c>
      <c r="BI223">
        <f t="shared" si="439"/>
        <v>-3.3750000000000016E-2</v>
      </c>
      <c r="BJ223">
        <f t="shared" si="439"/>
        <v>-4.5999999999999999E-2</v>
      </c>
      <c r="BK223">
        <f t="shared" si="439"/>
        <v>-5.8750000000000011E-2</v>
      </c>
      <c r="BL223">
        <f t="shared" si="439"/>
        <v>-7.1999999999999995E-2</v>
      </c>
      <c r="BM223">
        <f t="shared" si="440"/>
        <v>-0.34839000000000003</v>
      </c>
      <c r="BN223">
        <f t="shared" si="441"/>
        <v>-3.397E-2</v>
      </c>
      <c r="BO223">
        <f t="shared" si="441"/>
        <v>-6.9519999999999971E-2</v>
      </c>
      <c r="BP223">
        <f t="shared" si="441"/>
        <v>-0.10664999999999997</v>
      </c>
      <c r="BQ223">
        <f t="shared" si="441"/>
        <v>-0.14535999999999999</v>
      </c>
      <c r="BR223">
        <f t="shared" si="441"/>
        <v>-0.18564999999999993</v>
      </c>
      <c r="BS223">
        <f t="shared" si="441"/>
        <v>-0.22752</v>
      </c>
    </row>
    <row r="1048550" spans="16384:16384" x14ac:dyDescent="0.35">
      <c r="XFD1048550" t="e" cm="1" vm="1">
        <f t="array" aca="1" ref="XFD1048550" ca="1">ROW(INDEX(solver_adj,0,0,1))</f>
        <v>#VALUE!</v>
      </c>
    </row>
    <row r="1048551" spans="16384:16384" x14ac:dyDescent="0.35">
      <c r="XFD1048551" cm="1">
        <f t="array" ref="XFD1048551">COLUMN(INDEX(solver_adj,0,0,1))</f>
        <v>17</v>
      </c>
    </row>
    <row r="1048552" spans="16384:16384" x14ac:dyDescent="0.35">
      <c r="XFD1048552">
        <f>ROWS(INDEX(solver_adj,0,0,1))</f>
        <v>2</v>
      </c>
    </row>
    <row r="1048553" spans="16384:16384" x14ac:dyDescent="0.35">
      <c r="XFD1048553">
        <f>COLUMNS(INDEX(solver_adj,0,0,1))</f>
        <v>1</v>
      </c>
    </row>
    <row r="1048554" spans="16384:16384" x14ac:dyDescent="0.35">
      <c r="XFD1048554">
        <f>solver_eng</f>
        <v>1</v>
      </c>
    </row>
    <row r="1048555" spans="16384:16384" x14ac:dyDescent="0.35">
      <c r="XFD1048555">
        <f>solver_val</f>
        <v>0</v>
      </c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259E5281-CD42-4C42-A1CC-1360996DE696}">
          <xm:f>growth!1:1048576</xm:f>
        </x15:webExtension>
        <x15:webExtension appRef="{687C0D57-6008-49E2-AB08-56829A559A77}">
          <xm:f>growth!XFD1048550:XFD1048575</xm:f>
        </x15:webExtension>
        <x15:webExtension appRef="{F19502E6-48C6-4DAA-92B5-DA1AFC74E980}">
          <xm:f>growth!$AA$4</xm:f>
        </x15:webExtension>
      </x15:webExtens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27"/>
  <sheetViews>
    <sheetView workbookViewId="0">
      <selection activeCell="B1" sqref="B1"/>
    </sheetView>
  </sheetViews>
  <sheetFormatPr defaultRowHeight="14.5" x14ac:dyDescent="0.35"/>
  <sheetData>
    <row r="1" spans="1:20" x14ac:dyDescent="0.35">
      <c r="B1" t="s">
        <v>21</v>
      </c>
      <c r="D1" t="s">
        <v>613</v>
      </c>
      <c r="E1" t="s">
        <v>613</v>
      </c>
      <c r="F1" t="s">
        <v>22</v>
      </c>
      <c r="G1" t="s">
        <v>623</v>
      </c>
      <c r="I1" t="s">
        <v>610</v>
      </c>
      <c r="J1" t="s">
        <v>22</v>
      </c>
      <c r="K1" t="s">
        <v>611</v>
      </c>
      <c r="L1" t="s">
        <v>612</v>
      </c>
      <c r="M1" t="s">
        <v>611</v>
      </c>
      <c r="N1" t="s">
        <v>610</v>
      </c>
      <c r="O1" t="s">
        <v>610</v>
      </c>
      <c r="P1" t="s">
        <v>612</v>
      </c>
      <c r="Q1" t="s">
        <v>613</v>
      </c>
      <c r="R1" t="s">
        <v>614</v>
      </c>
      <c r="S1" t="s">
        <v>615</v>
      </c>
      <c r="T1" t="s">
        <v>624</v>
      </c>
    </row>
    <row r="2" spans="1:20" x14ac:dyDescent="0.35">
      <c r="A2" t="s">
        <v>568</v>
      </c>
      <c r="B2" s="5">
        <f>sectors!Y83</f>
        <v>-0.23452631297226512</v>
      </c>
      <c r="D2">
        <v>0.25</v>
      </c>
      <c r="E2">
        <v>0.5</v>
      </c>
      <c r="F2">
        <v>0.25</v>
      </c>
      <c r="G2">
        <v>0</v>
      </c>
      <c r="I2">
        <f>$E$19*$G2/3+$F$19*$E2/3</f>
        <v>1.8085634620526335E-2</v>
      </c>
      <c r="J2">
        <f>$E$19*$G2/3+$F$19*$E2/3</f>
        <v>1.8085634620526335E-2</v>
      </c>
      <c r="K2">
        <f>$E$19*$D2/3+$F$19*$F2/3</f>
        <v>8.3333333333333343E-2</v>
      </c>
      <c r="L2">
        <f>$E$19*$D2/3+$F$19*$F2/3</f>
        <v>8.3333333333333343E-2</v>
      </c>
      <c r="M2">
        <f>$E$19*$D2/3+$F$19*$F2/3</f>
        <v>8.3333333333333343E-2</v>
      </c>
      <c r="N2">
        <f>$E$19*$E2/3+$F$19*$G2/3</f>
        <v>0.14858103204614034</v>
      </c>
      <c r="O2">
        <f>$E$19*$E2/3+$F$19*$G2/3</f>
        <v>0.14858103204614034</v>
      </c>
      <c r="P2">
        <f>$E$19*$E2/3+$F$19*$G2/3</f>
        <v>0.14858103204614034</v>
      </c>
      <c r="Q2">
        <f>$E$19*$F2/3+$F$19*$D2/3</f>
        <v>8.3333333333333343E-2</v>
      </c>
      <c r="R2">
        <f>$E$19*$F2/3+$F$19*$D2/3</f>
        <v>8.3333333333333343E-2</v>
      </c>
      <c r="S2">
        <f>$E$19*$F2/3+$F$19*$D2/3</f>
        <v>8.3333333333333343E-2</v>
      </c>
      <c r="T2">
        <f>$E$19*$G2/3+$F$19*$E2/3</f>
        <v>1.8085634620526335E-2</v>
      </c>
    </row>
    <row r="3" spans="1:20" x14ac:dyDescent="0.35">
      <c r="A3" t="s">
        <v>577</v>
      </c>
      <c r="B3" s="5">
        <f>sectors!Y84</f>
        <v>-1.154574364657361E-2</v>
      </c>
      <c r="D3">
        <v>0.25</v>
      </c>
      <c r="E3">
        <v>0.5</v>
      </c>
      <c r="F3">
        <v>0.25</v>
      </c>
      <c r="G3">
        <v>0</v>
      </c>
      <c r="I3">
        <f t="shared" ref="I3:J16" si="0">$E$19*$G3/3+$F$19*$E3/3</f>
        <v>1.8085634620526335E-2</v>
      </c>
      <c r="J3">
        <f t="shared" si="0"/>
        <v>1.8085634620526335E-2</v>
      </c>
      <c r="K3">
        <f t="shared" ref="K3:M16" si="1">$E$19*$D3/3+$F$19*$F3/3</f>
        <v>8.3333333333333343E-2</v>
      </c>
      <c r="L3">
        <f t="shared" si="1"/>
        <v>8.3333333333333343E-2</v>
      </c>
      <c r="M3">
        <f t="shared" si="1"/>
        <v>8.3333333333333343E-2</v>
      </c>
      <c r="N3">
        <f t="shared" ref="N3:P16" si="2">$E$19*$E3/3+$F$19*$G3/3</f>
        <v>0.14858103204614034</v>
      </c>
      <c r="O3">
        <f t="shared" si="2"/>
        <v>0.14858103204614034</v>
      </c>
      <c r="P3">
        <f t="shared" si="2"/>
        <v>0.14858103204614034</v>
      </c>
      <c r="Q3">
        <f t="shared" ref="Q3:S16" si="3">$E$19*$F3/3+$F$19*$D3/3</f>
        <v>8.3333333333333343E-2</v>
      </c>
      <c r="R3">
        <f t="shared" si="3"/>
        <v>8.3333333333333343E-2</v>
      </c>
      <c r="S3">
        <f t="shared" si="3"/>
        <v>8.3333333333333343E-2</v>
      </c>
      <c r="T3">
        <f t="shared" ref="T3:T16" si="4">$E$19*$G3/3+$F$19*$E3/3</f>
        <v>1.8085634620526335E-2</v>
      </c>
    </row>
    <row r="4" spans="1:20" x14ac:dyDescent="0.35">
      <c r="A4" t="s">
        <v>578</v>
      </c>
      <c r="B4" s="5">
        <f>sectors!Y85</f>
        <v>-0.11870603847997975</v>
      </c>
      <c r="D4">
        <v>0</v>
      </c>
      <c r="E4">
        <v>0.5</v>
      </c>
      <c r="F4">
        <v>0</v>
      </c>
      <c r="G4">
        <v>0.5</v>
      </c>
      <c r="I4">
        <f t="shared" si="0"/>
        <v>0.16666666666666669</v>
      </c>
      <c r="J4">
        <f t="shared" si="0"/>
        <v>0.16666666666666669</v>
      </c>
      <c r="K4">
        <f t="shared" si="1"/>
        <v>0</v>
      </c>
      <c r="L4">
        <f t="shared" si="1"/>
        <v>0</v>
      </c>
      <c r="M4">
        <f t="shared" si="1"/>
        <v>0</v>
      </c>
      <c r="N4">
        <f t="shared" si="2"/>
        <v>0.16666666666666669</v>
      </c>
      <c r="O4">
        <f t="shared" si="2"/>
        <v>0.16666666666666669</v>
      </c>
      <c r="P4">
        <f t="shared" si="2"/>
        <v>0.16666666666666669</v>
      </c>
      <c r="Q4">
        <f t="shared" si="3"/>
        <v>0</v>
      </c>
      <c r="R4">
        <f t="shared" si="3"/>
        <v>0</v>
      </c>
      <c r="S4">
        <f t="shared" si="3"/>
        <v>0</v>
      </c>
      <c r="T4">
        <f t="shared" si="4"/>
        <v>0.16666666666666669</v>
      </c>
    </row>
    <row r="5" spans="1:20" x14ac:dyDescent="0.35">
      <c r="A5" t="s">
        <v>579</v>
      </c>
      <c r="B5" s="5">
        <f>sectors!Y86</f>
        <v>-0.10494117442045234</v>
      </c>
      <c r="D5">
        <v>0</v>
      </c>
      <c r="E5">
        <v>1</v>
      </c>
      <c r="F5">
        <v>0</v>
      </c>
      <c r="G5">
        <v>0</v>
      </c>
      <c r="I5">
        <f t="shared" si="0"/>
        <v>3.617126924105267E-2</v>
      </c>
      <c r="J5">
        <f t="shared" si="0"/>
        <v>3.617126924105267E-2</v>
      </c>
      <c r="K5">
        <f t="shared" si="1"/>
        <v>0</v>
      </c>
      <c r="L5">
        <f t="shared" si="1"/>
        <v>0</v>
      </c>
      <c r="M5">
        <f t="shared" si="1"/>
        <v>0</v>
      </c>
      <c r="N5">
        <f t="shared" si="2"/>
        <v>0.29716206409228069</v>
      </c>
      <c r="O5">
        <f t="shared" si="2"/>
        <v>0.29716206409228069</v>
      </c>
      <c r="P5">
        <f t="shared" si="2"/>
        <v>0.29716206409228069</v>
      </c>
      <c r="Q5">
        <f t="shared" si="3"/>
        <v>0</v>
      </c>
      <c r="R5">
        <f t="shared" si="3"/>
        <v>0</v>
      </c>
      <c r="S5">
        <f t="shared" si="3"/>
        <v>0</v>
      </c>
      <c r="T5">
        <f t="shared" si="4"/>
        <v>3.617126924105267E-2</v>
      </c>
    </row>
    <row r="6" spans="1:20" x14ac:dyDescent="0.35">
      <c r="A6" t="s">
        <v>580</v>
      </c>
      <c r="B6" s="5">
        <f>sectors!Y89</f>
        <v>-2.7657245693447366E-2</v>
      </c>
      <c r="D6">
        <v>0.25</v>
      </c>
      <c r="E6">
        <v>0.25</v>
      </c>
      <c r="F6">
        <v>0.25</v>
      </c>
      <c r="G6">
        <v>0.25</v>
      </c>
      <c r="I6">
        <f t="shared" si="0"/>
        <v>8.3333333333333343E-2</v>
      </c>
      <c r="J6">
        <f t="shared" si="0"/>
        <v>8.3333333333333343E-2</v>
      </c>
      <c r="K6">
        <f t="shared" si="1"/>
        <v>8.3333333333333343E-2</v>
      </c>
      <c r="L6">
        <f t="shared" si="1"/>
        <v>8.3333333333333343E-2</v>
      </c>
      <c r="M6">
        <f t="shared" si="1"/>
        <v>8.3333333333333343E-2</v>
      </c>
      <c r="N6">
        <f t="shared" si="2"/>
        <v>8.3333333333333343E-2</v>
      </c>
      <c r="O6">
        <f t="shared" si="2"/>
        <v>8.3333333333333343E-2</v>
      </c>
      <c r="P6">
        <f t="shared" si="2"/>
        <v>8.3333333333333343E-2</v>
      </c>
      <c r="Q6">
        <f t="shared" si="3"/>
        <v>8.3333333333333343E-2</v>
      </c>
      <c r="R6">
        <f t="shared" si="3"/>
        <v>8.3333333333333343E-2</v>
      </c>
      <c r="S6">
        <f t="shared" si="3"/>
        <v>8.3333333333333343E-2</v>
      </c>
      <c r="T6">
        <f t="shared" si="4"/>
        <v>8.3333333333333343E-2</v>
      </c>
    </row>
    <row r="7" spans="1:20" x14ac:dyDescent="0.35">
      <c r="A7" t="s">
        <v>581</v>
      </c>
      <c r="B7" s="5">
        <f>sectors!Y90</f>
        <v>-6.5216041957387061E-2</v>
      </c>
      <c r="D7">
        <v>0.25</v>
      </c>
      <c r="E7">
        <v>0.25</v>
      </c>
      <c r="F7">
        <v>0.25</v>
      </c>
      <c r="G7">
        <v>0.25</v>
      </c>
      <c r="I7">
        <f t="shared" si="0"/>
        <v>8.3333333333333343E-2</v>
      </c>
      <c r="J7">
        <f t="shared" si="0"/>
        <v>8.3333333333333343E-2</v>
      </c>
      <c r="K7">
        <f t="shared" si="1"/>
        <v>8.3333333333333343E-2</v>
      </c>
      <c r="L7">
        <f t="shared" si="1"/>
        <v>8.3333333333333343E-2</v>
      </c>
      <c r="M7">
        <f t="shared" si="1"/>
        <v>8.3333333333333343E-2</v>
      </c>
      <c r="N7">
        <f t="shared" si="2"/>
        <v>8.3333333333333343E-2</v>
      </c>
      <c r="O7">
        <f t="shared" si="2"/>
        <v>8.3333333333333343E-2</v>
      </c>
      <c r="P7">
        <f t="shared" si="2"/>
        <v>8.3333333333333343E-2</v>
      </c>
      <c r="Q7">
        <f t="shared" si="3"/>
        <v>8.3333333333333343E-2</v>
      </c>
      <c r="R7">
        <f t="shared" si="3"/>
        <v>8.3333333333333343E-2</v>
      </c>
      <c r="S7">
        <f t="shared" si="3"/>
        <v>8.3333333333333343E-2</v>
      </c>
      <c r="T7">
        <f t="shared" si="4"/>
        <v>8.3333333333333343E-2</v>
      </c>
    </row>
    <row r="8" spans="1:20" x14ac:dyDescent="0.35">
      <c r="A8" t="s">
        <v>582</v>
      </c>
      <c r="B8" s="5">
        <f>sectors!Y91</f>
        <v>-0.16948624479166313</v>
      </c>
      <c r="D8">
        <v>0.25</v>
      </c>
      <c r="E8">
        <v>0.25</v>
      </c>
      <c r="F8">
        <v>0.25</v>
      </c>
      <c r="G8">
        <v>0.25</v>
      </c>
      <c r="I8">
        <f t="shared" si="0"/>
        <v>8.3333333333333343E-2</v>
      </c>
      <c r="J8">
        <f t="shared" si="0"/>
        <v>8.3333333333333343E-2</v>
      </c>
      <c r="K8">
        <f t="shared" si="1"/>
        <v>8.3333333333333343E-2</v>
      </c>
      <c r="L8">
        <f t="shared" si="1"/>
        <v>8.3333333333333343E-2</v>
      </c>
      <c r="M8">
        <f t="shared" si="1"/>
        <v>8.3333333333333343E-2</v>
      </c>
      <c r="N8">
        <f t="shared" si="2"/>
        <v>8.3333333333333343E-2</v>
      </c>
      <c r="O8">
        <f t="shared" si="2"/>
        <v>8.3333333333333343E-2</v>
      </c>
      <c r="P8">
        <f t="shared" si="2"/>
        <v>8.3333333333333343E-2</v>
      </c>
      <c r="Q8">
        <f t="shared" si="3"/>
        <v>8.3333333333333343E-2</v>
      </c>
      <c r="R8">
        <f t="shared" si="3"/>
        <v>8.3333333333333343E-2</v>
      </c>
      <c r="S8">
        <f t="shared" si="3"/>
        <v>8.3333333333333343E-2</v>
      </c>
      <c r="T8">
        <f t="shared" si="4"/>
        <v>8.3333333333333343E-2</v>
      </c>
    </row>
    <row r="9" spans="1:20" x14ac:dyDescent="0.35">
      <c r="A9" t="s">
        <v>586</v>
      </c>
      <c r="B9" s="5">
        <f>sectors!Y92</f>
        <v>-0.20126387359936945</v>
      </c>
      <c r="D9">
        <v>0.25</v>
      </c>
      <c r="E9">
        <v>0.25</v>
      </c>
      <c r="F9">
        <v>0.25</v>
      </c>
      <c r="G9">
        <v>0.25</v>
      </c>
      <c r="I9">
        <f t="shared" si="0"/>
        <v>8.3333333333333343E-2</v>
      </c>
      <c r="J9">
        <f t="shared" si="0"/>
        <v>8.3333333333333343E-2</v>
      </c>
      <c r="K9">
        <f t="shared" si="1"/>
        <v>8.3333333333333343E-2</v>
      </c>
      <c r="L9">
        <f t="shared" si="1"/>
        <v>8.3333333333333343E-2</v>
      </c>
      <c r="M9">
        <f t="shared" si="1"/>
        <v>8.3333333333333343E-2</v>
      </c>
      <c r="N9">
        <f t="shared" si="2"/>
        <v>8.3333333333333343E-2</v>
      </c>
      <c r="O9">
        <f t="shared" si="2"/>
        <v>8.3333333333333343E-2</v>
      </c>
      <c r="P9">
        <f t="shared" si="2"/>
        <v>8.3333333333333343E-2</v>
      </c>
      <c r="Q9">
        <f t="shared" si="3"/>
        <v>8.3333333333333343E-2</v>
      </c>
      <c r="R9">
        <f t="shared" si="3"/>
        <v>8.3333333333333343E-2</v>
      </c>
      <c r="S9">
        <f t="shared" si="3"/>
        <v>8.3333333333333343E-2</v>
      </c>
      <c r="T9">
        <f t="shared" si="4"/>
        <v>8.3333333333333343E-2</v>
      </c>
    </row>
    <row r="10" spans="1:20" x14ac:dyDescent="0.35">
      <c r="A10" t="s">
        <v>571</v>
      </c>
      <c r="B10" s="5">
        <f>sectors!Y93</f>
        <v>-0.48212921868458558</v>
      </c>
      <c r="D10">
        <v>0</v>
      </c>
      <c r="E10">
        <v>0.5</v>
      </c>
      <c r="F10">
        <v>0</v>
      </c>
      <c r="G10">
        <v>0.5</v>
      </c>
      <c r="I10">
        <f t="shared" si="0"/>
        <v>0.16666666666666669</v>
      </c>
      <c r="J10">
        <f t="shared" si="0"/>
        <v>0.16666666666666669</v>
      </c>
      <c r="K10">
        <f t="shared" si="1"/>
        <v>0</v>
      </c>
      <c r="L10">
        <f t="shared" si="1"/>
        <v>0</v>
      </c>
      <c r="M10">
        <f t="shared" si="1"/>
        <v>0</v>
      </c>
      <c r="N10">
        <f t="shared" si="2"/>
        <v>0.16666666666666669</v>
      </c>
      <c r="O10">
        <f t="shared" si="2"/>
        <v>0.16666666666666669</v>
      </c>
      <c r="P10">
        <f t="shared" si="2"/>
        <v>0.16666666666666669</v>
      </c>
      <c r="Q10">
        <f t="shared" si="3"/>
        <v>0</v>
      </c>
      <c r="R10">
        <f t="shared" si="3"/>
        <v>0</v>
      </c>
      <c r="S10">
        <f t="shared" si="3"/>
        <v>0</v>
      </c>
      <c r="T10">
        <f t="shared" si="4"/>
        <v>0.16666666666666669</v>
      </c>
    </row>
    <row r="11" spans="1:20" x14ac:dyDescent="0.35">
      <c r="A11" t="s">
        <v>584</v>
      </c>
      <c r="B11" s="5">
        <f>sectors!Y94</f>
        <v>-7.7968441814595668E-2</v>
      </c>
      <c r="D11">
        <v>0</v>
      </c>
      <c r="E11">
        <v>1</v>
      </c>
      <c r="F11">
        <v>0</v>
      </c>
      <c r="G11">
        <v>0</v>
      </c>
      <c r="I11">
        <f t="shared" si="0"/>
        <v>3.617126924105267E-2</v>
      </c>
      <c r="J11">
        <f t="shared" si="0"/>
        <v>3.617126924105267E-2</v>
      </c>
      <c r="K11">
        <f t="shared" si="1"/>
        <v>0</v>
      </c>
      <c r="L11">
        <f t="shared" si="1"/>
        <v>0</v>
      </c>
      <c r="M11">
        <f t="shared" si="1"/>
        <v>0</v>
      </c>
      <c r="N11">
        <f t="shared" si="2"/>
        <v>0.29716206409228069</v>
      </c>
      <c r="O11">
        <f t="shared" si="2"/>
        <v>0.29716206409228069</v>
      </c>
      <c r="P11">
        <f t="shared" si="2"/>
        <v>0.29716206409228069</v>
      </c>
      <c r="Q11">
        <f t="shared" si="3"/>
        <v>0</v>
      </c>
      <c r="R11">
        <f t="shared" si="3"/>
        <v>0</v>
      </c>
      <c r="S11">
        <f t="shared" si="3"/>
        <v>0</v>
      </c>
      <c r="T11">
        <f t="shared" si="4"/>
        <v>3.617126924105267E-2</v>
      </c>
    </row>
    <row r="12" spans="1:20" x14ac:dyDescent="0.35">
      <c r="A12" t="s">
        <v>572</v>
      </c>
      <c r="B12" s="5">
        <f>sectors!Y95</f>
        <v>0.28999999999999998</v>
      </c>
      <c r="D12">
        <v>0</v>
      </c>
      <c r="E12">
        <v>0.5</v>
      </c>
      <c r="F12">
        <v>0</v>
      </c>
      <c r="G12">
        <v>0.5</v>
      </c>
      <c r="I12">
        <f t="shared" si="0"/>
        <v>0.16666666666666669</v>
      </c>
      <c r="J12">
        <f t="shared" si="0"/>
        <v>0.16666666666666669</v>
      </c>
      <c r="K12">
        <f t="shared" si="1"/>
        <v>0</v>
      </c>
      <c r="L12">
        <f t="shared" si="1"/>
        <v>0</v>
      </c>
      <c r="M12">
        <f t="shared" si="1"/>
        <v>0</v>
      </c>
      <c r="N12">
        <f t="shared" si="2"/>
        <v>0.16666666666666669</v>
      </c>
      <c r="O12">
        <f t="shared" si="2"/>
        <v>0.16666666666666669</v>
      </c>
      <c r="P12">
        <f t="shared" si="2"/>
        <v>0.16666666666666669</v>
      </c>
      <c r="Q12">
        <f t="shared" si="3"/>
        <v>0</v>
      </c>
      <c r="R12">
        <f t="shared" si="3"/>
        <v>0</v>
      </c>
      <c r="S12">
        <f t="shared" si="3"/>
        <v>0</v>
      </c>
      <c r="T12">
        <f t="shared" si="4"/>
        <v>0.16666666666666669</v>
      </c>
    </row>
    <row r="13" spans="1:20" x14ac:dyDescent="0.35">
      <c r="A13" t="s">
        <v>573</v>
      </c>
      <c r="B13" s="5">
        <f>sectors!Y96</f>
        <v>-0.16999999999999998</v>
      </c>
      <c r="D13">
        <v>0.25</v>
      </c>
      <c r="E13">
        <v>0.25</v>
      </c>
      <c r="F13">
        <v>0.25</v>
      </c>
      <c r="G13">
        <v>0.25</v>
      </c>
      <c r="I13">
        <f t="shared" si="0"/>
        <v>8.3333333333333343E-2</v>
      </c>
      <c r="J13">
        <f t="shared" si="0"/>
        <v>8.3333333333333343E-2</v>
      </c>
      <c r="K13">
        <f t="shared" si="1"/>
        <v>8.3333333333333343E-2</v>
      </c>
      <c r="L13">
        <f t="shared" si="1"/>
        <v>8.3333333333333343E-2</v>
      </c>
      <c r="M13">
        <f t="shared" si="1"/>
        <v>8.3333333333333343E-2</v>
      </c>
      <c r="N13">
        <f t="shared" si="2"/>
        <v>8.3333333333333343E-2</v>
      </c>
      <c r="O13">
        <f t="shared" si="2"/>
        <v>8.3333333333333343E-2</v>
      </c>
      <c r="P13">
        <f t="shared" si="2"/>
        <v>8.3333333333333343E-2</v>
      </c>
      <c r="Q13">
        <f t="shared" si="3"/>
        <v>8.3333333333333343E-2</v>
      </c>
      <c r="R13">
        <f t="shared" si="3"/>
        <v>8.3333333333333343E-2</v>
      </c>
      <c r="S13">
        <f t="shared" si="3"/>
        <v>8.3333333333333343E-2</v>
      </c>
      <c r="T13">
        <f t="shared" si="4"/>
        <v>8.3333333333333343E-2</v>
      </c>
    </row>
    <row r="14" spans="1:20" x14ac:dyDescent="0.35">
      <c r="A14" t="s">
        <v>574</v>
      </c>
      <c r="B14" s="5">
        <f>sectors!Y97</f>
        <v>-0.21146200885373917</v>
      </c>
      <c r="D14">
        <v>0.25</v>
      </c>
      <c r="E14">
        <v>0.25</v>
      </c>
      <c r="F14">
        <v>0.25</v>
      </c>
      <c r="G14">
        <v>0.25</v>
      </c>
      <c r="I14">
        <f t="shared" si="0"/>
        <v>8.3333333333333343E-2</v>
      </c>
      <c r="J14">
        <f t="shared" si="0"/>
        <v>8.3333333333333343E-2</v>
      </c>
      <c r="K14">
        <f t="shared" si="1"/>
        <v>8.3333333333333343E-2</v>
      </c>
      <c r="L14">
        <f t="shared" si="1"/>
        <v>8.3333333333333343E-2</v>
      </c>
      <c r="M14">
        <f t="shared" si="1"/>
        <v>8.3333333333333343E-2</v>
      </c>
      <c r="N14">
        <f t="shared" si="2"/>
        <v>8.3333333333333343E-2</v>
      </c>
      <c r="O14">
        <f t="shared" si="2"/>
        <v>8.3333333333333343E-2</v>
      </c>
      <c r="P14">
        <f t="shared" si="2"/>
        <v>8.3333333333333343E-2</v>
      </c>
      <c r="Q14">
        <f t="shared" si="3"/>
        <v>8.3333333333333343E-2</v>
      </c>
      <c r="R14">
        <f t="shared" si="3"/>
        <v>8.3333333333333343E-2</v>
      </c>
      <c r="S14">
        <f t="shared" si="3"/>
        <v>8.3333333333333343E-2</v>
      </c>
      <c r="T14">
        <f t="shared" si="4"/>
        <v>8.3333333333333343E-2</v>
      </c>
    </row>
    <row r="15" spans="1:20" x14ac:dyDescent="0.35">
      <c r="A15" t="s">
        <v>585</v>
      </c>
      <c r="B15" s="5">
        <f>sectors!Y98</f>
        <v>-5.5014069444097244E-2</v>
      </c>
      <c r="D15">
        <v>0.25</v>
      </c>
      <c r="E15">
        <v>0.25</v>
      </c>
      <c r="F15">
        <v>0.25</v>
      </c>
      <c r="G15">
        <v>0.25</v>
      </c>
      <c r="I15">
        <f t="shared" si="0"/>
        <v>8.3333333333333343E-2</v>
      </c>
      <c r="J15">
        <f t="shared" si="0"/>
        <v>8.3333333333333343E-2</v>
      </c>
      <c r="K15">
        <f t="shared" si="1"/>
        <v>8.3333333333333343E-2</v>
      </c>
      <c r="L15">
        <f t="shared" si="1"/>
        <v>8.3333333333333343E-2</v>
      </c>
      <c r="M15">
        <f t="shared" si="1"/>
        <v>8.3333333333333343E-2</v>
      </c>
      <c r="N15">
        <f t="shared" si="2"/>
        <v>8.3333333333333343E-2</v>
      </c>
      <c r="O15">
        <f t="shared" si="2"/>
        <v>8.3333333333333343E-2</v>
      </c>
      <c r="P15">
        <f t="shared" si="2"/>
        <v>8.3333333333333343E-2</v>
      </c>
      <c r="Q15">
        <f t="shared" si="3"/>
        <v>8.3333333333333343E-2</v>
      </c>
      <c r="R15">
        <f t="shared" si="3"/>
        <v>8.3333333333333343E-2</v>
      </c>
      <c r="S15">
        <f t="shared" si="3"/>
        <v>8.3333333333333343E-2</v>
      </c>
      <c r="T15">
        <f t="shared" si="4"/>
        <v>8.3333333333333343E-2</v>
      </c>
    </row>
    <row r="16" spans="1:20" x14ac:dyDescent="0.35">
      <c r="A16" t="s">
        <v>587</v>
      </c>
      <c r="B16" s="5">
        <f>sectors!Y99</f>
        <v>-0.33456904541241889</v>
      </c>
      <c r="D16">
        <v>0</v>
      </c>
      <c r="E16">
        <v>0.5</v>
      </c>
      <c r="F16">
        <v>0</v>
      </c>
      <c r="G16">
        <v>0.5</v>
      </c>
      <c r="I16">
        <f t="shared" si="0"/>
        <v>0.16666666666666669</v>
      </c>
      <c r="J16">
        <f t="shared" si="0"/>
        <v>0.16666666666666669</v>
      </c>
      <c r="K16">
        <f t="shared" si="1"/>
        <v>0</v>
      </c>
      <c r="L16">
        <f t="shared" si="1"/>
        <v>0</v>
      </c>
      <c r="M16">
        <f t="shared" si="1"/>
        <v>0</v>
      </c>
      <c r="N16">
        <f t="shared" si="2"/>
        <v>0.16666666666666669</v>
      </c>
      <c r="O16">
        <f t="shared" si="2"/>
        <v>0.16666666666666669</v>
      </c>
      <c r="P16">
        <f t="shared" si="2"/>
        <v>0.16666666666666669</v>
      </c>
      <c r="Q16">
        <f t="shared" si="3"/>
        <v>0</v>
      </c>
      <c r="R16">
        <f t="shared" si="3"/>
        <v>0</v>
      </c>
      <c r="S16">
        <f t="shared" si="3"/>
        <v>0</v>
      </c>
      <c r="T16">
        <f t="shared" si="4"/>
        <v>0.16666666666666669</v>
      </c>
    </row>
    <row r="17" spans="1:20" x14ac:dyDescent="0.35">
      <c r="A17" t="s">
        <v>21</v>
      </c>
      <c r="B17" s="5">
        <f>sectors!Y100</f>
        <v>-2.711181786708611</v>
      </c>
      <c r="D17">
        <f>SUMPRODUCT(D2:D16,$B2:$B16)</f>
        <v>-0.2865428852396355</v>
      </c>
      <c r="E17">
        <f>SUMPRODUCT(E2:E16,$B2:$B16)</f>
        <v>-0.85367266691788524</v>
      </c>
      <c r="F17">
        <f>SUMPRODUCT(F2:F16,$B2:$B16)</f>
        <v>-0.2865428852396355</v>
      </c>
      <c r="G17">
        <f>SUMPRODUCT(G2:G16,$B2:$B16)</f>
        <v>-0.54772702237341797</v>
      </c>
      <c r="I17">
        <f t="shared" ref="I17:T17" si="5">SUMPRODUCT(I2:I16,$B2:$B16)</f>
        <v>-0.19364211640641799</v>
      </c>
      <c r="J17">
        <f t="shared" si="5"/>
        <v>-0.19364211640641799</v>
      </c>
      <c r="K17">
        <f t="shared" si="5"/>
        <v>-9.5514295079878506E-2</v>
      </c>
      <c r="L17">
        <f t="shared" si="5"/>
        <v>-9.5514295079878506E-2</v>
      </c>
      <c r="M17">
        <f t="shared" si="5"/>
        <v>-9.5514295079878506E-2</v>
      </c>
      <c r="N17">
        <f t="shared" si="5"/>
        <v>-0.27349111335734982</v>
      </c>
      <c r="O17">
        <f t="shared" si="5"/>
        <v>-0.27349111335734982</v>
      </c>
      <c r="P17">
        <f t="shared" si="5"/>
        <v>-0.27349111335734982</v>
      </c>
      <c r="Q17">
        <f t="shared" si="5"/>
        <v>-9.5514295079878506E-2</v>
      </c>
      <c r="R17">
        <f t="shared" si="5"/>
        <v>-9.5514295079878506E-2</v>
      </c>
      <c r="S17">
        <f t="shared" si="5"/>
        <v>-9.5514295079878506E-2</v>
      </c>
      <c r="T17">
        <f t="shared" si="5"/>
        <v>-0.19364211640641799</v>
      </c>
    </row>
    <row r="19" spans="1:20" x14ac:dyDescent="0.35">
      <c r="E19">
        <f>E21/C21</f>
        <v>0.891486192276842</v>
      </c>
      <c r="F19">
        <f>F21/C21</f>
        <v>0.10851380772315801</v>
      </c>
    </row>
    <row r="20" spans="1:20" ht="15" thickBot="1" x14ac:dyDescent="0.4">
      <c r="B20" t="s">
        <v>620</v>
      </c>
      <c r="E20" t="s">
        <v>621</v>
      </c>
      <c r="F20" t="s">
        <v>622</v>
      </c>
    </row>
    <row r="21" spans="1:20" ht="15" thickBot="1" x14ac:dyDescent="0.4">
      <c r="B21" s="28" t="s">
        <v>298</v>
      </c>
      <c r="C21" s="29">
        <v>87270</v>
      </c>
      <c r="E21">
        <f>SUMPRODUCT(E22:E27,C22:C27)</f>
        <v>77800</v>
      </c>
      <c r="F21" s="6">
        <f>C21-E21</f>
        <v>9470</v>
      </c>
    </row>
    <row r="22" spans="1:20" ht="15" thickBot="1" x14ac:dyDescent="0.4">
      <c r="A22" s="30">
        <v>1</v>
      </c>
      <c r="B22" s="31" t="s">
        <v>616</v>
      </c>
      <c r="C22" s="32">
        <v>31580</v>
      </c>
      <c r="D22" s="30">
        <v>2019</v>
      </c>
      <c r="E22">
        <v>1</v>
      </c>
      <c r="F22">
        <v>0</v>
      </c>
    </row>
    <row r="23" spans="1:20" ht="29.5" thickBot="1" x14ac:dyDescent="0.4">
      <c r="A23" s="30">
        <v>2</v>
      </c>
      <c r="B23" s="31" t="s">
        <v>617</v>
      </c>
      <c r="C23" s="32">
        <v>24430</v>
      </c>
      <c r="D23" s="30">
        <v>2019</v>
      </c>
      <c r="E23">
        <v>1</v>
      </c>
      <c r="F23">
        <v>0</v>
      </c>
    </row>
    <row r="24" spans="1:20" ht="15" thickBot="1" x14ac:dyDescent="0.4">
      <c r="A24" s="30">
        <v>3</v>
      </c>
      <c r="B24" s="31" t="s">
        <v>498</v>
      </c>
      <c r="C24" s="32">
        <v>21790</v>
      </c>
      <c r="D24" s="30">
        <v>2019</v>
      </c>
      <c r="E24">
        <v>1</v>
      </c>
      <c r="F24">
        <v>0</v>
      </c>
    </row>
    <row r="25" spans="1:20" ht="29.5" thickBot="1" x14ac:dyDescent="0.4">
      <c r="A25" s="30">
        <v>4</v>
      </c>
      <c r="B25" s="31" t="s">
        <v>618</v>
      </c>
      <c r="C25" s="32">
        <v>3640</v>
      </c>
      <c r="D25" s="30">
        <v>2019</v>
      </c>
      <c r="E25">
        <v>0</v>
      </c>
      <c r="F25">
        <v>1</v>
      </c>
    </row>
    <row r="26" spans="1:20" ht="15" thickBot="1" x14ac:dyDescent="0.4">
      <c r="A26" s="30">
        <v>5</v>
      </c>
      <c r="B26" s="31" t="s">
        <v>306</v>
      </c>
      <c r="C26" s="32">
        <v>2450</v>
      </c>
      <c r="D26" s="30">
        <v>2019</v>
      </c>
      <c r="E26">
        <v>0</v>
      </c>
      <c r="F26">
        <v>1</v>
      </c>
    </row>
    <row r="27" spans="1:20" ht="15" thickBot="1" x14ac:dyDescent="0.4">
      <c r="A27" s="30">
        <v>6</v>
      </c>
      <c r="B27" s="31" t="s">
        <v>619</v>
      </c>
      <c r="C27" s="32">
        <v>1630</v>
      </c>
      <c r="D27" s="30">
        <v>2019</v>
      </c>
      <c r="E27">
        <v>0</v>
      </c>
      <c r="F27">
        <v>1</v>
      </c>
    </row>
  </sheetData>
  <hyperlinks>
    <hyperlink ref="B21" r:id="rId1" display="https://en.wikipedia.org/wiki/Gross_world_product" xr:uid="{00000000-0004-0000-0800-000000000000}"/>
    <hyperlink ref="B22" r:id="rId2" tooltip="Asia" display="https://en.wikipedia.org/wiki/Asia" xr:uid="{00000000-0004-0000-0800-000001000000}"/>
    <hyperlink ref="B23" r:id="rId3" tooltip="North America" display="https://en.wikipedia.org/wiki/North_America" xr:uid="{00000000-0004-0000-0800-000002000000}"/>
    <hyperlink ref="B24" r:id="rId4" tooltip="Europe" display="https://en.wikipedia.org/wiki/Europe" xr:uid="{00000000-0004-0000-0800-000003000000}"/>
    <hyperlink ref="B25" r:id="rId5" tooltip="South America" display="https://en.wikipedia.org/wiki/South_America" xr:uid="{00000000-0004-0000-0800-000004000000}"/>
    <hyperlink ref="B26" r:id="rId6" tooltip="Africa" display="https://en.wikipedia.org/wiki/Africa" xr:uid="{00000000-0004-0000-0800-000005000000}"/>
    <hyperlink ref="B27" r:id="rId7" tooltip="Oceania" display="https://en.wikipedia.org/wiki/Oceania" xr:uid="{00000000-0004-0000-0800-000006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O551"/>
  <sheetViews>
    <sheetView topLeftCell="A181" workbookViewId="0">
      <pane activePane="bottomRight" state="frozen"/>
      <selection activeCell="L193" sqref="L193"/>
    </sheetView>
  </sheetViews>
  <sheetFormatPr defaultRowHeight="14.5" x14ac:dyDescent="0.35"/>
  <cols>
    <col min="1" max="1" width="23.453125" customWidth="1"/>
    <col min="2" max="2" width="15.54296875" customWidth="1"/>
    <col min="3" max="4" width="9.54296875" bestFit="1" customWidth="1"/>
    <col min="5" max="6" width="9.54296875" customWidth="1"/>
    <col min="15" max="18" width="9.1796875" customWidth="1"/>
    <col min="22" max="22" width="12" bestFit="1" customWidth="1"/>
    <col min="25" max="26" width="9.81640625" customWidth="1"/>
    <col min="33" max="33" width="7.54296875" customWidth="1"/>
    <col min="61" max="61" width="11.1796875" bestFit="1" customWidth="1"/>
    <col min="62" max="65" width="10" bestFit="1" customWidth="1"/>
    <col min="66" max="66" width="11.81640625" bestFit="1" customWidth="1"/>
    <col min="67" max="70" width="10" bestFit="1" customWidth="1"/>
    <col min="71" max="71" width="11.54296875" customWidth="1"/>
    <col min="72" max="72" width="11" bestFit="1" customWidth="1"/>
    <col min="76" max="76" width="12.54296875" bestFit="1" customWidth="1"/>
    <col min="86" max="86" width="15.54296875" bestFit="1" customWidth="1"/>
  </cols>
  <sheetData>
    <row r="1" spans="1:93" x14ac:dyDescent="0.35">
      <c r="D1" s="8"/>
      <c r="K1">
        <f>graph!B43</f>
        <v>-1.0976974904347006</v>
      </c>
      <c r="N1">
        <f>graph!B8-graph!B43</f>
        <v>1.494027719221402</v>
      </c>
      <c r="O1">
        <v>0</v>
      </c>
      <c r="P1">
        <f>graph!$B48-graph!$B43</f>
        <v>-0.38649985635692108</v>
      </c>
      <c r="Q1">
        <f>P$1</f>
        <v>-0.38649985635692108</v>
      </c>
      <c r="R1">
        <f>Q$1</f>
        <v>-0.38649985635692108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f>graph!B28-graph!B43</f>
        <v>0.88727366500892835</v>
      </c>
      <c r="AA1">
        <v>0</v>
      </c>
      <c r="AB1">
        <f>Z1</f>
        <v>0.88727366500892835</v>
      </c>
      <c r="AC1">
        <v>0</v>
      </c>
      <c r="AD1">
        <f>P1</f>
        <v>-0.38649985635692108</v>
      </c>
      <c r="AE1">
        <f>P1</f>
        <v>-0.38649985635692108</v>
      </c>
      <c r="AF1">
        <f>graph!B50-graph!B43</f>
        <v>-0.5545268207730778</v>
      </c>
      <c r="AG1">
        <f>graph!B37-graph!B43</f>
        <v>0.40257072874544475</v>
      </c>
      <c r="AH1">
        <f>graph!B72-graph!B43</f>
        <v>-2.9484477519012438</v>
      </c>
      <c r="AI1">
        <f>graph!B47-graph!B43</f>
        <v>-0.30539335347989094</v>
      </c>
      <c r="AJ1">
        <f>P1</f>
        <v>-0.38649985635692108</v>
      </c>
      <c r="AK1">
        <f>P1</f>
        <v>-0.38649985635692108</v>
      </c>
      <c r="AL1">
        <v>0</v>
      </c>
      <c r="AM1">
        <f>graph!$B38-graph!$B43</f>
        <v>0.33999783261595085</v>
      </c>
      <c r="AN1">
        <f>AK1</f>
        <v>-0.38649985635692108</v>
      </c>
      <c r="AO1">
        <f>AN1</f>
        <v>-0.38649985635692108</v>
      </c>
      <c r="AP1">
        <f>graph!$B60-graph!$B43</f>
        <v>-1.5149417142257771</v>
      </c>
      <c r="AQ1">
        <f>graph!$B69-graph!$B43</f>
        <v>-2.5600384919912491</v>
      </c>
      <c r="AR1">
        <f>graph!$B95-graph!$B43</f>
        <v>-6.6308871569052972</v>
      </c>
      <c r="AS1">
        <f>graph!$B28-graph!$B43</f>
        <v>0.88727366500892835</v>
      </c>
      <c r="AT1">
        <f>graph!$B66-graph!$B43</f>
        <v>-2.1919112892013817</v>
      </c>
      <c r="AU1">
        <v>0</v>
      </c>
      <c r="AV1">
        <f>AS1</f>
        <v>0.88727366500892835</v>
      </c>
      <c r="AW1">
        <f>AO1</f>
        <v>-0.38649985635692108</v>
      </c>
      <c r="AX1">
        <f>AV1</f>
        <v>0.88727366500892835</v>
      </c>
      <c r="AY1">
        <f>AW1</f>
        <v>-0.38649985635692108</v>
      </c>
      <c r="AZ1">
        <f>AM1</f>
        <v>0.33999783261595085</v>
      </c>
    </row>
    <row r="2" spans="1:93" x14ac:dyDescent="0.35">
      <c r="I2">
        <v>1.8232980000000001</v>
      </c>
      <c r="N2">
        <f>Table1!$C3</f>
        <v>-1</v>
      </c>
      <c r="O2">
        <f>Table1!$C4</f>
        <v>2.5</v>
      </c>
      <c r="P2">
        <f>Table1!$C5</f>
        <v>3</v>
      </c>
      <c r="Q2">
        <f>Table1!$C6</f>
        <v>3</v>
      </c>
      <c r="R2">
        <f>Table1!$C7</f>
        <v>3</v>
      </c>
      <c r="S2">
        <f>Table1!$C9</f>
        <v>2.5</v>
      </c>
      <c r="T2">
        <f>Table1!$C10</f>
        <v>2.5</v>
      </c>
      <c r="U2">
        <f>Table1!$C11</f>
        <v>2.5</v>
      </c>
      <c r="V2">
        <f>Table1!$C12</f>
        <v>2.5</v>
      </c>
      <c r="W2">
        <f>Table1!$C13</f>
        <v>2.5</v>
      </c>
      <c r="X2">
        <f>Table1!$C14</f>
        <v>2.4900000000000002</v>
      </c>
      <c r="Y2">
        <f>Table1!$C20</f>
        <v>2.5</v>
      </c>
      <c r="Z2" s="26">
        <f>Table1!$C21</f>
        <v>1</v>
      </c>
      <c r="AA2">
        <f>Table1!$C22</f>
        <v>2.5</v>
      </c>
      <c r="AB2">
        <f>Table1!$C24</f>
        <v>1</v>
      </c>
      <c r="AC2">
        <f>Table1!$C25</f>
        <v>2.5</v>
      </c>
      <c r="AD2">
        <f>Table1!$C26</f>
        <v>3</v>
      </c>
      <c r="AE2">
        <f>Table1!$C28</f>
        <v>3</v>
      </c>
      <c r="AF2">
        <f>Table1!$C29</f>
        <v>3.2</v>
      </c>
      <c r="AG2">
        <f>Table1!$C30</f>
        <v>1.92</v>
      </c>
      <c r="AH2">
        <f>Table1!$C32</f>
        <v>5.4</v>
      </c>
      <c r="AI2">
        <f>Table1!$C33</f>
        <v>2.9</v>
      </c>
      <c r="AJ2">
        <f>Table1!$C34</f>
        <v>3</v>
      </c>
      <c r="AK2">
        <f>Table1!$C37</f>
        <v>3</v>
      </c>
      <c r="AL2">
        <f>Table1!$C39</f>
        <v>2.5</v>
      </c>
      <c r="AM2">
        <f>Table1!$C40</f>
        <v>2</v>
      </c>
      <c r="AN2">
        <f>Table1!$C43</f>
        <v>3</v>
      </c>
      <c r="AO2">
        <f>Table1!$C45</f>
        <v>3</v>
      </c>
      <c r="AP2">
        <f>Table1!$C48</f>
        <v>3.7</v>
      </c>
      <c r="AQ2">
        <f>Table1!$C49</f>
        <v>4.6487373814138984</v>
      </c>
      <c r="AR2">
        <f>Table1!$C53</f>
        <v>7.2</v>
      </c>
      <c r="AS2">
        <f>Table1!$C54</f>
        <v>1</v>
      </c>
      <c r="AT2">
        <f>Table1!$C55</f>
        <v>4.3</v>
      </c>
      <c r="AU2">
        <f>Table1!$C64</f>
        <v>2.5</v>
      </c>
      <c r="AV2">
        <f>Table1!$C65</f>
        <v>1</v>
      </c>
      <c r="AW2">
        <f>Table1!$C66</f>
        <v>3.03</v>
      </c>
      <c r="AX2">
        <f>Table1!$C67</f>
        <v>1</v>
      </c>
      <c r="AY2">
        <f>Table1!$C69</f>
        <v>3</v>
      </c>
      <c r="AZ2">
        <f>Table1!$C70</f>
        <v>2</v>
      </c>
      <c r="BB2" t="s">
        <v>290</v>
      </c>
      <c r="BE2" t="s">
        <v>598</v>
      </c>
      <c r="BJ2" t="s">
        <v>599</v>
      </c>
    </row>
    <row r="3" spans="1:93" x14ac:dyDescent="0.35">
      <c r="B3" s="19">
        <f>SUM(B5:B202)</f>
        <v>6764719725</v>
      </c>
      <c r="C3" s="19">
        <f>SUM(C5:C202)</f>
        <v>51484038465614.75</v>
      </c>
      <c r="D3" s="8">
        <f>C3/B3</f>
        <v>7610.6683733470936</v>
      </c>
      <c r="E3" s="8"/>
      <c r="F3" s="8"/>
      <c r="I3">
        <v>-0.37192720000000001</v>
      </c>
      <c r="J3" s="5">
        <f t="shared" ref="J3:K3" si="0">SUMPRODUCT(J5:J202,$C5:$C202)/SUM($C5:$C202)</f>
        <v>13.855048797590056</v>
      </c>
      <c r="K3" s="5">
        <f t="shared" si="0"/>
        <v>-1.0976974904347105</v>
      </c>
      <c r="L3" s="9"/>
      <c r="M3" s="9"/>
      <c r="N3">
        <f>Table1!$E3</f>
        <v>-0.59642907312262095</v>
      </c>
      <c r="O3">
        <f>Table1!$E4</f>
        <v>-3</v>
      </c>
      <c r="P3">
        <f>Table1!$E5</f>
        <v>-1</v>
      </c>
      <c r="Q3">
        <f>Table1!$E6</f>
        <v>-1.33</v>
      </c>
      <c r="R3">
        <f>Table1!$E7</f>
        <v>-3.6</v>
      </c>
      <c r="S3">
        <f>Table1!$E9</f>
        <v>-1.4</v>
      </c>
      <c r="T3">
        <f>Table1!$E10</f>
        <v>-1.5</v>
      </c>
      <c r="U3">
        <f>Table1!$E11</f>
        <v>-1.9</v>
      </c>
      <c r="V3">
        <f>Table1!$E12</f>
        <v>-1.435622202473182</v>
      </c>
      <c r="W3">
        <f>Table1!$E13</f>
        <v>-2.8909238132996098</v>
      </c>
      <c r="X3" s="5">
        <f>AVERAGE(Table1!$E14,Table1!$E15)</f>
        <v>6.5000000000000002E-2</v>
      </c>
      <c r="Y3">
        <f>Table1!$E20</f>
        <v>-1.5</v>
      </c>
      <c r="Z3">
        <f>Table1!$E21</f>
        <v>2.2999999999999998</v>
      </c>
      <c r="AA3">
        <f>Table1!$E22</f>
        <v>3.3000365094043249E-2</v>
      </c>
      <c r="AB3">
        <f>Table1!$E24</f>
        <v>-0.30947656699459297</v>
      </c>
      <c r="AC3">
        <f>Table1!$E25</f>
        <v>-0.9804776851232514</v>
      </c>
      <c r="AD3">
        <f>AVERAGE(Table1!$E26,Table1!$E27)</f>
        <v>-0.99</v>
      </c>
      <c r="AE3">
        <f>Table1!$E28</f>
        <v>-2.5</v>
      </c>
      <c r="AF3">
        <f>Table1!$E29</f>
        <v>-5.1135252093739076</v>
      </c>
      <c r="AG3">
        <f>Table1!$E30</f>
        <v>-0.5</v>
      </c>
      <c r="AH3">
        <f>Table1!$E32</f>
        <v>-4.5999999999999996</v>
      </c>
      <c r="AI3">
        <f>Table1!$E33</f>
        <v>-2</v>
      </c>
      <c r="AJ3">
        <f>Table1!$E34</f>
        <v>-0.71756668095998166</v>
      </c>
      <c r="AK3">
        <f>Table1!$E37</f>
        <v>-1.8369485050307706</v>
      </c>
      <c r="AL3">
        <f>Table1!$E39</f>
        <v>-2</v>
      </c>
      <c r="AM3">
        <f>Table1!$E40</f>
        <v>-1.0517705037403</v>
      </c>
      <c r="AN3">
        <f>Table1!$E43</f>
        <v>-9.1999999999999993</v>
      </c>
      <c r="AO3">
        <f>Table1!$E45</f>
        <v>-8.5</v>
      </c>
      <c r="AP3">
        <f>Table1!$E48</f>
        <v>-3.7</v>
      </c>
      <c r="AQ3">
        <f>Table1!$E49</f>
        <v>5.1295273109904338</v>
      </c>
      <c r="AR3">
        <f>Table1!$E53</f>
        <v>-5</v>
      </c>
      <c r="AS3">
        <f>Table1!$E54</f>
        <v>-2.2999999999999998</v>
      </c>
      <c r="AT3">
        <f>AVERAGE(Table1!$E55:'Table1'!$E63)</f>
        <v>-0.29333333333333328</v>
      </c>
      <c r="AU3" s="5">
        <f>Table1!$E64</f>
        <v>-5.22</v>
      </c>
      <c r="AV3" s="5">
        <f>Table1!$E65</f>
        <v>-3.8</v>
      </c>
      <c r="AW3" s="5">
        <f>Table1!$E66</f>
        <v>-1.35</v>
      </c>
      <c r="AX3" s="5">
        <f>(Table1!$E67+Table1!E68)/2</f>
        <v>-1.48</v>
      </c>
      <c r="AY3" s="5">
        <f>Table1!$E69</f>
        <v>-0.7</v>
      </c>
      <c r="AZ3" s="5">
        <f>Table1!$E70</f>
        <v>-0.7</v>
      </c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</row>
    <row r="4" spans="1:93" x14ac:dyDescent="0.35">
      <c r="B4" t="s">
        <v>295</v>
      </c>
      <c r="C4" t="s">
        <v>72</v>
      </c>
      <c r="D4" t="s">
        <v>504</v>
      </c>
      <c r="E4" t="s">
        <v>595</v>
      </c>
      <c r="F4" t="s">
        <v>597</v>
      </c>
      <c r="G4" t="s">
        <v>503</v>
      </c>
      <c r="H4" s="20"/>
      <c r="J4" s="5">
        <f>$K1-J3</f>
        <v>-14.952746288024757</v>
      </c>
      <c r="K4" t="s">
        <v>512</v>
      </c>
      <c r="L4" s="9" t="s">
        <v>625</v>
      </c>
      <c r="M4" s="9"/>
      <c r="N4" s="25" t="str">
        <f>Table1!$A3</f>
        <v>d'Arge 1979</v>
      </c>
      <c r="O4" s="25" t="str">
        <f>Table1!$A4</f>
        <v>Nordhaus 1982</v>
      </c>
      <c r="P4" s="25" t="str">
        <f>Table1!$A5</f>
        <v>Nordhaus 1991</v>
      </c>
      <c r="Q4" s="25" t="str">
        <f>Table1!$A6</f>
        <v>Nordhaus 1994b</v>
      </c>
      <c r="R4" s="25" t="str">
        <f>Table1!$A7</f>
        <v>Nordhaus 1994a</v>
      </c>
      <c r="S4" s="25" t="str">
        <f>Table1!A9</f>
        <v>Fankhauser 1995</v>
      </c>
      <c r="T4" s="25" t="str">
        <f>Table1!A10</f>
        <v>Berz undated</v>
      </c>
      <c r="U4" s="25" t="str">
        <f>Table1!A11</f>
        <v>Tol 1995</v>
      </c>
      <c r="V4" s="25" t="str">
        <f>Table1!A12</f>
        <v>Nordhaus and Yang 1996</v>
      </c>
      <c r="W4" s="25" t="str">
        <f>Table1!A13</f>
        <v>Plambeck and Hope 1996</v>
      </c>
      <c r="X4" s="25" t="str">
        <f>Table1!A14</f>
        <v>Mendelsohn et al. 2000, 2006</v>
      </c>
      <c r="Y4" s="25" t="str">
        <f>Table1!$A20</f>
        <v>Nordhaus and Boyer 2000</v>
      </c>
      <c r="Z4" s="25" t="str">
        <f>Table1!$A21</f>
        <v>Tol 2002</v>
      </c>
      <c r="AA4" s="25" t="str">
        <f>Table1!$A22</f>
        <v>Maddison 2003</v>
      </c>
      <c r="AB4" s="25" t="str">
        <f>Table1!$A23</f>
        <v>Rehdanz and Maddison 2005</v>
      </c>
      <c r="AC4" s="25" t="str">
        <f>Table1!$A25</f>
        <v>Hope 2006</v>
      </c>
      <c r="AD4" s="25" t="str">
        <f>Table1!$A26</f>
        <v>Nordhaus 2006</v>
      </c>
      <c r="AE4" s="25" t="str">
        <f>Table1!$A28</f>
        <v>Nordhaus 2008</v>
      </c>
      <c r="AF4" s="25" t="str">
        <f>Table1!$A29</f>
        <v>Maddison and Rehdanz 2011</v>
      </c>
      <c r="AG4" s="25" t="str">
        <f>Table1!$A30</f>
        <v>Bosello et al.  2012</v>
      </c>
      <c r="AH4" s="25" t="str">
        <f>Table1!$A31</f>
        <v>Roson and van der Mensbrugghe 2012</v>
      </c>
      <c r="AI4" s="25" t="str">
        <f>Table1!$A33</f>
        <v>Nordhaus 2013</v>
      </c>
      <c r="AJ4" s="25" t="str">
        <f>Table1!$A34</f>
        <v>Sartori and Roson 2016</v>
      </c>
      <c r="AK4" s="25" t="str">
        <f>Table1!$A35</f>
        <v>Kompas et al. 2018</v>
      </c>
      <c r="AL4" s="25" t="str">
        <f>Table1!$A39</f>
        <v>Dellink et al. 2019</v>
      </c>
      <c r="AM4" s="25" t="str">
        <f>Table1!$A40</f>
        <v>Takakura</v>
      </c>
      <c r="AN4" s="25" t="str">
        <f>Table1!$A43</f>
        <v>Howard &amp; Sylvan 2020</v>
      </c>
      <c r="AO4" s="25" t="str">
        <f>Table1!$A44</f>
        <v>Howard &amp; Sylvan 2021</v>
      </c>
      <c r="AP4" s="25" t="str">
        <f>Table1!$A48</f>
        <v>Conte et al. 2021</v>
      </c>
      <c r="AQ4" s="25" t="str">
        <f>Table1!$A49</f>
        <v>Desmet and Rossi-Hansberg 2015</v>
      </c>
      <c r="AR4" s="25" t="str">
        <f>Table1!$A53</f>
        <v>Cruz and Rossi-Hansberg 2021</v>
      </c>
      <c r="AS4" s="25" t="str">
        <f>Table1!$A54</f>
        <v>Kalkuhl and Wenz 2020</v>
      </c>
      <c r="AT4" s="25" t="str">
        <f>Table1!$A55</f>
        <v>Newell, Prest and Sexton</v>
      </c>
      <c r="AU4" s="25" t="str">
        <f>Table1!$A64</f>
        <v>Schauer 1995</v>
      </c>
      <c r="AV4" s="25" t="str">
        <f>Table1!$A65</f>
        <v>Horowitz 2009</v>
      </c>
      <c r="AW4" s="25" t="str">
        <f>Table1!$A66</f>
        <v>Eboli 2010</v>
      </c>
      <c r="AX4" s="25" t="str">
        <f>Table1!$A67</f>
        <v>Ng and Zhao 2011</v>
      </c>
      <c r="AY4" s="25" t="str">
        <f>Table1!$A69</f>
        <v>Hope 2011</v>
      </c>
      <c r="AZ4" s="25" t="str">
        <f>Table1!$A70</f>
        <v>McCallum 2013</v>
      </c>
      <c r="BD4">
        <f>AVERAGE(BD5:BD202)</f>
        <v>-2.5046982896741983</v>
      </c>
      <c r="BH4">
        <f>AVERAGE(BH5:BH202)</f>
        <v>-1.5499939401193554</v>
      </c>
      <c r="BI4">
        <f>AVERAGE(BI5:BI202)</f>
        <v>-0.94463793798961215</v>
      </c>
      <c r="BL4">
        <f>AVERAGE(BL5:BL202)</f>
        <v>27.52324474467067</v>
      </c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</row>
    <row r="5" spans="1:93" x14ac:dyDescent="0.35">
      <c r="A5" t="s">
        <v>349</v>
      </c>
      <c r="B5" s="19">
        <f>regions!B4</f>
        <v>28397812</v>
      </c>
      <c r="C5" s="19">
        <f>regions!C4</f>
        <v>10243250245.699793</v>
      </c>
      <c r="D5" s="8">
        <f>regions!D4</f>
        <v>360.70561512625665</v>
      </c>
      <c r="E5" s="8">
        <f>regions!E4</f>
        <v>9.1236511208979501</v>
      </c>
      <c r="F5" s="8">
        <f>regions!F4</f>
        <v>26.078252781962274</v>
      </c>
      <c r="G5" s="1">
        <f>regions!Z4</f>
        <v>12.6</v>
      </c>
      <c r="J5" s="1">
        <f t="shared" ref="J5:J36" si="1">I$1+I$2*LN(D5)+I$3*G5</f>
        <v>6.0494092312540273</v>
      </c>
      <c r="K5" s="1">
        <f t="shared" ref="K5:K13" si="2">J5+J$4</f>
        <v>-8.9033370567707308</v>
      </c>
      <c r="L5" s="1">
        <f t="shared" ref="L5:L16" si="3">AVERAGE(N5:AZ5)+AVERAGE(N$1:AZ$1)</f>
        <v>-8.8196141760438014</v>
      </c>
      <c r="M5" s="1">
        <f t="shared" ref="M5:M16" si="4">SQRT(SUMPRODUCT(N5:AZ5,N5:AZ5)/32-L5^2)</f>
        <v>7.4031147126757499</v>
      </c>
      <c r="N5" s="1">
        <f t="shared" ref="N5:R5" si="5">$J5+N$3-$J$3</f>
        <v>-8.4020686394586495</v>
      </c>
      <c r="O5" s="1">
        <f t="shared" si="5"/>
        <v>-10.80563956633603</v>
      </c>
      <c r="P5" s="1">
        <f t="shared" si="5"/>
        <v>-8.8056395663360298</v>
      </c>
      <c r="Q5" s="1">
        <f t="shared" si="5"/>
        <v>-9.1356395663360281</v>
      </c>
      <c r="R5" s="1">
        <f t="shared" si="5"/>
        <v>-11.405639566336029</v>
      </c>
      <c r="S5" s="1">
        <f>$J5+SUMPRODUCT(regions!EI4:EN4,regions!EI$204:EN$204)</f>
        <v>-4.21163807103924</v>
      </c>
      <c r="T5" s="1">
        <f>$J5+SUMPRODUCT(regions!EQ4:EV4,regions!EQ$204:EV$204)</f>
        <v>-3.7106501380545103</v>
      </c>
      <c r="U5" s="1">
        <f>$J5+SUMPRODUCT(regions!CM4:CU4,regions!CM$204:CU$204)</f>
        <v>-9.7485966410839637</v>
      </c>
      <c r="V5" s="1">
        <f>$J5+SUMPRODUCT(regions!DH4:DM4,regions!DH$204:DM$204)</f>
        <v>-6.1390815055830741</v>
      </c>
      <c r="W5" s="1">
        <f>$J5+SUMPRODUCT(regions!DP4:DW4,regions!DP$204:DW$204)</f>
        <v>-9.9231468068336639</v>
      </c>
      <c r="X5" s="1">
        <f>$J5+SUMPRODUCT(regions!AB4:AE4,regions!AB$204:AE$204)</f>
        <v>2.5328918830385856</v>
      </c>
      <c r="Y5" s="1">
        <f>$J5+SUMPRODUCT(regions!BX4:CJ4,regions!BX$204:CJ$204)</f>
        <v>-1.2551319736183233</v>
      </c>
      <c r="Z5" s="1">
        <f>$J5+SUMPRODUCT(regions!CX4:DF4,regions!CX$204:DF$204)</f>
        <v>-2.848596641083966</v>
      </c>
      <c r="AA5" s="1">
        <f t="shared" ref="AA5:AA36" si="6">IF(ISNUMBER(BC5),BC5,K5-BD$4)</f>
        <v>-6.3986387670965321</v>
      </c>
      <c r="AB5" s="1">
        <f t="shared" ref="AB5:AB36" si="7">IF(ISNUMBER(BG5),BG5,K5-BI$4)</f>
        <v>-7.9586991187811185</v>
      </c>
      <c r="AC5" s="1">
        <f>$J5+SUMPRODUCT(regions!DZ4:EG4,regions!DZ$204:EG$204)</f>
        <v>-4.4181468068336658</v>
      </c>
      <c r="AD5" s="1">
        <f>$J5+AD$3-$J$3</f>
        <v>-8.7956395663360283</v>
      </c>
      <c r="AE5" s="1">
        <f>$J5+AE$3-$J$3</f>
        <v>-10.30563956633603</v>
      </c>
      <c r="AF5" s="1">
        <f t="shared" ref="AF5:AF36" si="8">IF(ISNUMBER(BK5),BK5,K5-BL$4)</f>
        <v>-36.426581801441401</v>
      </c>
      <c r="AG5" s="1">
        <f>$J5+SUMPRODUCT(regions!AX4:BK4,regions!AX$204:BK$204)</f>
        <v>-1.2006409010784127</v>
      </c>
      <c r="AH5" s="1">
        <f>$J5+SUMPRODUCT(regions!AG4:AV4,regions!AG$204:AV$204)</f>
        <v>-3.9482028322308311</v>
      </c>
      <c r="AI5" s="1">
        <f t="shared" ref="AI5:AI13" si="9">$J5+AI$3-$J$3</f>
        <v>-9.8056395663360298</v>
      </c>
      <c r="AJ5" s="1">
        <f>SartoriRoson!C2</f>
        <v>-4.8899999999999997</v>
      </c>
      <c r="AK5" s="1">
        <f>Kompas!E2</f>
        <v>-9.6059999999999999</v>
      </c>
      <c r="AL5" s="1">
        <f>$J5+SUMPRODUCT(regions!EY4:FW4,regions!EY$204:FW$204)</f>
        <v>-4.2036788212265401</v>
      </c>
      <c r="AM5" s="1">
        <f>$J5+SUMPRODUCT(regions!FZ4:GF4,regions!FZ$204:GF$204)</f>
        <v>-2.9173255614530911</v>
      </c>
      <c r="AN5" s="1">
        <f t="shared" ref="AN5:AZ20" si="10">$J5+AN$3-$J$3</f>
        <v>-17.005639566336029</v>
      </c>
      <c r="AO5" s="1">
        <f t="shared" si="10"/>
        <v>-16.30563956633603</v>
      </c>
      <c r="AP5" s="1">
        <f t="shared" si="10"/>
        <v>-11.505639566336029</v>
      </c>
      <c r="AQ5" s="1">
        <f t="shared" si="10"/>
        <v>-2.6761122553455952</v>
      </c>
      <c r="AR5" s="1">
        <f t="shared" si="10"/>
        <v>-12.80563956633603</v>
      </c>
      <c r="AS5" s="1">
        <f t="shared" si="10"/>
        <v>-10.105639566336029</v>
      </c>
      <c r="AT5" s="1">
        <f t="shared" si="10"/>
        <v>-8.0989728996693628</v>
      </c>
      <c r="AU5" s="1">
        <f t="shared" si="10"/>
        <v>-13.025639566336029</v>
      </c>
      <c r="AV5" s="1">
        <f t="shared" si="10"/>
        <v>-11.605639566336029</v>
      </c>
      <c r="AW5" s="1">
        <f>$J5+SUMPRODUCT(regions!BN4:BU4,regions!BN$204:BU$204)</f>
        <v>-5.8553793789618718</v>
      </c>
      <c r="AX5" s="1">
        <f t="shared" si="10"/>
        <v>-9.2856395663360285</v>
      </c>
      <c r="AY5" s="1">
        <f t="shared" si="10"/>
        <v>-8.5056395663360291</v>
      </c>
      <c r="AZ5" s="1">
        <f t="shared" si="10"/>
        <v>-8.5056395663360291</v>
      </c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</row>
    <row r="6" spans="1:93" x14ac:dyDescent="0.35">
      <c r="A6" t="s">
        <v>244</v>
      </c>
      <c r="B6" s="19">
        <f>regions!B5</f>
        <v>3150143</v>
      </c>
      <c r="C6" s="19">
        <f>regions!C5</f>
        <v>10725150216.110325</v>
      </c>
      <c r="D6" s="8">
        <f>regions!D5</f>
        <v>3404.6550318859572</v>
      </c>
      <c r="E6" s="8">
        <f>regions!E5</f>
        <v>18.022012167107807</v>
      </c>
      <c r="F6" s="8">
        <f>regions!F5</f>
        <v>17.955855665990551</v>
      </c>
      <c r="G6" s="1">
        <f>regions!Z5</f>
        <v>11.4</v>
      </c>
      <c r="J6" s="1">
        <f t="shared" si="1"/>
        <v>10.588728220814367</v>
      </c>
      <c r="K6" s="1">
        <f t="shared" si="2"/>
        <v>-4.3640180672103899</v>
      </c>
      <c r="L6" s="1">
        <f t="shared" si="3"/>
        <v>-4.522852092373963</v>
      </c>
      <c r="M6" s="1">
        <f t="shared" si="4"/>
        <v>3.7478320307498234</v>
      </c>
      <c r="N6" s="1">
        <f t="shared" ref="N6:R8" si="11">$J6+N$3-$J$3</f>
        <v>-3.8627496498983103</v>
      </c>
      <c r="O6" s="1">
        <f t="shared" si="11"/>
        <v>-6.2663205767756889</v>
      </c>
      <c r="P6" s="1">
        <f t="shared" si="11"/>
        <v>-4.2663205767756889</v>
      </c>
      <c r="Q6" s="1">
        <f t="shared" si="11"/>
        <v>-4.5963205767756889</v>
      </c>
      <c r="R6" s="1">
        <f t="shared" si="11"/>
        <v>-6.8663205767756885</v>
      </c>
      <c r="S6" s="1">
        <f>$J6+SUMPRODUCT(regions!EI5:EN5,regions!EI$204:EN$204)</f>
        <v>0.32768091852110004</v>
      </c>
      <c r="T6" s="1">
        <f>$J6+SUMPRODUCT(regions!EQ5:EV5,regions!EQ$204:EV$204)</f>
        <v>0.82866885150582981</v>
      </c>
      <c r="U6" s="1">
        <f>$J6+SUMPRODUCT(regions!CM5:CU5,regions!CM$204:CU$204)</f>
        <v>-4.0672786084217218</v>
      </c>
      <c r="V6" s="1">
        <f>$J6+SUMPRODUCT(regions!DH5:DM5,regions!DH$204:DM$204)</f>
        <v>-1.599762516022734</v>
      </c>
      <c r="W6" s="1">
        <f>$J6+SUMPRODUCT(regions!DP5:DW5,regions!DP$204:DW$204)</f>
        <v>-4.3672786084217226</v>
      </c>
      <c r="X6" s="1">
        <f>$J6+SUMPRODUCT(regions!AB5:AE5,regions!AB$204:AE$204)</f>
        <v>1.450323063474368</v>
      </c>
      <c r="Y6" s="1">
        <f>$J6+SUMPRODUCT(regions!BX5:CJ5,regions!BX$204:CJ$204)</f>
        <v>3.2841870159420168</v>
      </c>
      <c r="Z6" s="1">
        <f>$J6+SUMPRODUCT(regions!CX5:DF5,regions!CX$204:DF$204)</f>
        <v>-2.3672786084217226</v>
      </c>
      <c r="AA6" s="1">
        <f t="shared" si="6"/>
        <v>-1.8593197775361916</v>
      </c>
      <c r="AB6" s="1">
        <f t="shared" si="7"/>
        <v>-3.4193801292207775</v>
      </c>
      <c r="AC6" s="1">
        <f>$J6+SUMPRODUCT(regions!DZ5:EG5,regions!DZ$204:EG$204)</f>
        <v>-3.9367786084217222</v>
      </c>
      <c r="AD6" s="1">
        <f t="shared" ref="AD6:AE8" si="12">$J6+AD$3-$J$3</f>
        <v>-4.2563205767756891</v>
      </c>
      <c r="AE6" s="1">
        <f t="shared" si="12"/>
        <v>-5.7663205767756889</v>
      </c>
      <c r="AF6" s="1">
        <f t="shared" si="8"/>
        <v>-9.6</v>
      </c>
      <c r="AG6" s="1">
        <f>$J6+SUMPRODUCT(regions!AX5:BK5,regions!AX$204:BK$204)</f>
        <v>-3.1764485827097317</v>
      </c>
      <c r="AH6" s="1">
        <f>$J6+SUMPRODUCT(regions!AG5:AV5,regions!AG$204:AV$204)</f>
        <v>-3.816080543508285</v>
      </c>
      <c r="AI6" s="1">
        <f t="shared" si="9"/>
        <v>-5.2663205767756889</v>
      </c>
      <c r="AJ6" s="1">
        <f>SartoriRoson!C3</f>
        <v>-2.5299999999999998</v>
      </c>
      <c r="AK6" s="1">
        <f>Kompas!E3</f>
        <v>-1.4610000000000001</v>
      </c>
      <c r="AL6" s="1">
        <f>$J6+SUMPRODUCT(regions!EY5:FW5,regions!EY$204:FW$204)</f>
        <v>-1.8775510016680066</v>
      </c>
      <c r="AM6" s="1">
        <f>$J6+SUMPRODUCT(regions!FZ5:GF5,regions!FZ$204:GF$204)</f>
        <v>-3.6795021540336208</v>
      </c>
      <c r="AN6" s="1">
        <f t="shared" ref="AN6:AP69" si="13">$J6+AN$3-$J$3</f>
        <v>-12.466320576775688</v>
      </c>
      <c r="AO6" s="1">
        <f t="shared" si="13"/>
        <v>-11.766320576775689</v>
      </c>
      <c r="AP6" s="1">
        <f t="shared" si="13"/>
        <v>-6.9663205767756891</v>
      </c>
      <c r="AQ6" s="1">
        <f t="shared" ref="AQ6:AU68" si="14">$J6+AQ$3-$J$3</f>
        <v>1.863206734214744</v>
      </c>
      <c r="AR6" s="1">
        <f t="shared" si="14"/>
        <v>-8.2663205767756889</v>
      </c>
      <c r="AS6" s="1">
        <f t="shared" si="14"/>
        <v>-5.5663205767756896</v>
      </c>
      <c r="AT6" s="1">
        <f t="shared" si="14"/>
        <v>-3.5596539101090219</v>
      </c>
      <c r="AU6" s="1">
        <f t="shared" si="14"/>
        <v>-8.4863205767756895</v>
      </c>
      <c r="AV6" s="1">
        <f t="shared" si="10"/>
        <v>-7.0663205767756887</v>
      </c>
      <c r="AW6" s="1">
        <f>$J6+SUMPRODUCT(regions!BN5:BU5,regions!BN$204:BU$204)</f>
        <v>-4.4731031225016267</v>
      </c>
      <c r="AX6" s="1">
        <f t="shared" si="10"/>
        <v>-4.7463205767756893</v>
      </c>
      <c r="AY6" s="1">
        <f t="shared" si="10"/>
        <v>-3.9663205767756882</v>
      </c>
      <c r="AZ6" s="1">
        <f t="shared" si="10"/>
        <v>-3.9663205767756882</v>
      </c>
      <c r="BJ6" t="str">
        <f>MaddisonRehdanz!A3</f>
        <v>Albania</v>
      </c>
      <c r="BK6">
        <f>MaddisonRehdanz!D3</f>
        <v>-9.6</v>
      </c>
      <c r="BL6" s="1">
        <f>$K6-BK6</f>
        <v>5.2359819327896098</v>
      </c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</row>
    <row r="7" spans="1:93" x14ac:dyDescent="0.35">
      <c r="A7" t="s">
        <v>245</v>
      </c>
      <c r="B7" s="19">
        <f>regions!B6</f>
        <v>37062820</v>
      </c>
      <c r="C7" s="19">
        <f>regions!C6</f>
        <v>116511760871.08984</v>
      </c>
      <c r="D7" s="8">
        <f>regions!D6</f>
        <v>3143.6291375316246</v>
      </c>
      <c r="E7" s="8">
        <f>regions!E6</f>
        <v>34.402768806056919</v>
      </c>
      <c r="F7" s="8">
        <f>regions!F6</f>
        <v>8.4664418555812304</v>
      </c>
      <c r="G7" s="1">
        <f>regions!Z6</f>
        <v>22.5</v>
      </c>
      <c r="H7" s="8"/>
      <c r="J7" s="1">
        <f t="shared" si="1"/>
        <v>6.3148996350330222</v>
      </c>
      <c r="K7" s="1">
        <f t="shared" si="2"/>
        <v>-8.637846652991735</v>
      </c>
      <c r="L7" s="1">
        <f t="shared" si="3"/>
        <v>-8.2785040249427322</v>
      </c>
      <c r="M7" s="1">
        <f t="shared" si="4"/>
        <v>5.8650978350571661</v>
      </c>
      <c r="N7" s="1">
        <f t="shared" si="11"/>
        <v>-8.1365782356796554</v>
      </c>
      <c r="O7" s="1">
        <f t="shared" si="11"/>
        <v>-10.540149162557034</v>
      </c>
      <c r="P7" s="1">
        <f t="shared" si="11"/>
        <v>-8.540149162557034</v>
      </c>
      <c r="Q7" s="1">
        <f t="shared" si="11"/>
        <v>-8.8701491625570341</v>
      </c>
      <c r="R7" s="1">
        <f t="shared" si="11"/>
        <v>-11.140149162557034</v>
      </c>
      <c r="S7" s="1">
        <f>$J7+SUMPRODUCT(regions!EI6:EN6,regions!EI$204:EN$204)</f>
        <v>-3.9461476672602451</v>
      </c>
      <c r="T7" s="1">
        <f>$J7+SUMPRODUCT(regions!EQ6:EV6,regions!EQ$204:EV$204)</f>
        <v>-3.4451597342755154</v>
      </c>
      <c r="U7" s="1">
        <f>$J7+SUMPRODUCT(regions!CM6:CU6,regions!CM$204:CU$204)</f>
        <v>-8.1407308575857211</v>
      </c>
      <c r="V7" s="1">
        <f>$J7+SUMPRODUCT(regions!DH6:DM6,regions!DH$204:DM$204)</f>
        <v>-5.8735911018040792</v>
      </c>
      <c r="W7" s="1">
        <f>$J7+SUMPRODUCT(regions!DP6:DW6,regions!DP$204:DW$204)</f>
        <v>-7.7131483511945795</v>
      </c>
      <c r="X7" s="1">
        <f>$J7+SUMPRODUCT(regions!AB6:AE6,regions!AB$204:AE$204)</f>
        <v>-2.8235055223069772</v>
      </c>
      <c r="Y7" s="1">
        <f>$J7+SUMPRODUCT(regions!BX6:CJ6,regions!BX$204:CJ$204)</f>
        <v>-4.2323724789267878</v>
      </c>
      <c r="Z7" s="1">
        <f>$J7+SUMPRODUCT(regions!CX6:DF6,regions!CX$204:DF$204)</f>
        <v>-3.5407308575857215</v>
      </c>
      <c r="AA7" s="1">
        <f t="shared" si="6"/>
        <v>-6.1331483633175363</v>
      </c>
      <c r="AB7" s="1">
        <f t="shared" si="7"/>
        <v>-7.6932087150021227</v>
      </c>
      <c r="AC7" s="1">
        <f>$J7+SUMPRODUCT(regions!DZ6:EG6,regions!DZ$204:EG$204)</f>
        <v>-4.1140483511945796</v>
      </c>
      <c r="AD7" s="1">
        <f t="shared" si="12"/>
        <v>-8.5301491625570343</v>
      </c>
      <c r="AE7" s="1">
        <f t="shared" si="12"/>
        <v>-10.040149162557034</v>
      </c>
      <c r="AF7" s="1">
        <f t="shared" si="8"/>
        <v>-22.3</v>
      </c>
      <c r="AG7" s="1">
        <f>$J7+SUMPRODUCT(regions!AX6:BK6,regions!AX$204:BK$204)</f>
        <v>-3.4691177610623374</v>
      </c>
      <c r="AH7" s="1">
        <f>$J7+SUMPRODUCT(regions!AG6:AV6,regions!AG$204:AV$204)</f>
        <v>-13.251067884094802</v>
      </c>
      <c r="AI7" s="1">
        <f t="shared" si="9"/>
        <v>-9.540149162557034</v>
      </c>
      <c r="AJ7" s="1">
        <f>SartoriRoson!C4</f>
        <v>-0.93</v>
      </c>
      <c r="AK7" s="1">
        <f>Kompas!E4</f>
        <v>-2.3940000000000001</v>
      </c>
      <c r="AL7" s="1">
        <f>$J7+SUMPRODUCT(regions!EY6:FW6,regions!EY$204:FW$204)</f>
        <v>-3.9071104015183487</v>
      </c>
      <c r="AM7" s="1">
        <f>$J7+SUMPRODUCT(regions!FZ6:GF6,regions!FZ$204:GF$204)</f>
        <v>2.1632209563125642</v>
      </c>
      <c r="AN7" s="1">
        <f t="shared" si="13"/>
        <v>-16.740149162557032</v>
      </c>
      <c r="AO7" s="1">
        <f t="shared" si="13"/>
        <v>-16.040149162557036</v>
      </c>
      <c r="AP7" s="1">
        <f t="shared" si="13"/>
        <v>-11.240149162557035</v>
      </c>
      <c r="AQ7" s="1">
        <f t="shared" si="14"/>
        <v>-2.4106218515666011</v>
      </c>
      <c r="AR7" s="1">
        <f t="shared" si="14"/>
        <v>-12.540149162557034</v>
      </c>
      <c r="AS7" s="1">
        <f t="shared" si="14"/>
        <v>-9.840149162557033</v>
      </c>
      <c r="AT7" s="1">
        <f t="shared" si="14"/>
        <v>-7.833482495890367</v>
      </c>
      <c r="AU7" s="1">
        <f t="shared" si="14"/>
        <v>-12.760149162557035</v>
      </c>
      <c r="AV7" s="1">
        <f t="shared" si="10"/>
        <v>-11.340149162557033</v>
      </c>
      <c r="AW7" s="1">
        <f>$J7+SUMPRODUCT(regions!BN6:BU6,regions!BN$204:BU$204)</f>
        <v>-5.5898889751828769</v>
      </c>
      <c r="AX7" s="1">
        <f t="shared" si="10"/>
        <v>-9.0201491625570345</v>
      </c>
      <c r="AY7" s="1">
        <f t="shared" si="10"/>
        <v>-8.2401491625570351</v>
      </c>
      <c r="AZ7" s="1">
        <f t="shared" si="10"/>
        <v>-8.2401491625570351</v>
      </c>
      <c r="BJ7" t="str">
        <f>MaddisonRehdanz!A4</f>
        <v>Algeria</v>
      </c>
      <c r="BK7">
        <f>MaddisonRehdanz!D4</f>
        <v>-22.3</v>
      </c>
      <c r="BL7" s="1">
        <f>$K7-BK7</f>
        <v>13.662153347008266</v>
      </c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</row>
    <row r="8" spans="1:93" x14ac:dyDescent="0.35">
      <c r="A8" t="s">
        <v>600</v>
      </c>
      <c r="B8" s="19">
        <f>regions!B7</f>
        <v>77907</v>
      </c>
      <c r="C8" s="19">
        <f>regions!C7</f>
        <v>2831797756.6024532</v>
      </c>
      <c r="D8" s="8">
        <f>regions!D7</f>
        <v>36348.437965811201</v>
      </c>
      <c r="E8" s="8">
        <f>regions!E7</f>
        <v>0</v>
      </c>
      <c r="F8" s="8">
        <f>regions!F7</f>
        <v>0</v>
      </c>
      <c r="G8" s="1">
        <f>regions!Z7</f>
        <v>7.6</v>
      </c>
      <c r="H8" s="8"/>
      <c r="J8" s="1">
        <f t="shared" si="1"/>
        <v>16.319635117840129</v>
      </c>
      <c r="K8" s="1">
        <f t="shared" si="2"/>
        <v>1.3668888298153714</v>
      </c>
      <c r="L8" s="1">
        <f t="shared" si="3"/>
        <v>-0.6285096764788487</v>
      </c>
      <c r="M8" s="1">
        <f t="shared" si="4"/>
        <v>5.3811019374800422</v>
      </c>
      <c r="N8" s="1">
        <f t="shared" si="11"/>
        <v>1.868157247127451</v>
      </c>
      <c r="O8" s="1">
        <f t="shared" si="11"/>
        <v>-0.5354136797499276</v>
      </c>
      <c r="P8" s="1">
        <f t="shared" si="11"/>
        <v>1.4645863202500724</v>
      </c>
      <c r="Q8" s="1">
        <f t="shared" si="11"/>
        <v>1.1345863202500723</v>
      </c>
      <c r="R8" s="1">
        <f t="shared" si="11"/>
        <v>-1.1354136797499272</v>
      </c>
      <c r="S8" s="1">
        <f>$J8+SUMPRODUCT(regions!EI7:EN7,regions!EI$204:EN$204)</f>
        <v>-0.46238129235301884</v>
      </c>
      <c r="T8" s="1">
        <f>$J8+SUMPRODUCT(regions!EQ7:EV7,regions!EQ$204:EV$204)</f>
        <v>-0.66238129235301813</v>
      </c>
      <c r="U8" s="1">
        <f>$J8+SUMPRODUCT(regions!CM7:CU7,regions!CM$204:CU$204)</f>
        <v>-0.47702996539474896</v>
      </c>
      <c r="V8" s="1">
        <f>$J8+SUMPRODUCT(regions!DH7:DM7,regions!DH$204:DM$204)</f>
        <v>-0.23879426598737652</v>
      </c>
      <c r="W8" s="1">
        <f>$J8+SUMPRODUCT(regions!DP7:DW7,regions!DP$204:DW$204)</f>
        <v>-0.36238129235301741</v>
      </c>
      <c r="X8" s="1">
        <f>$J8+SUMPRODUCT(regions!AB7:AE7,regions!AB$204:AE$204)</f>
        <v>0.97593237623800633</v>
      </c>
      <c r="Y8" s="1">
        <f>$J8+SUMPRODUCT(regions!BX7:CJ7,regions!BX$204:CJ$204)</f>
        <v>-2.0678010792279444</v>
      </c>
      <c r="Z8" s="1">
        <f>$J8+SUMPRODUCT(regions!CX7:DF7,regions!CX$204:DF$204)</f>
        <v>4.522970034605251</v>
      </c>
      <c r="AA8" s="1">
        <f t="shared" si="6"/>
        <v>3.8715871194895697</v>
      </c>
      <c r="AB8" s="1">
        <f t="shared" si="7"/>
        <v>2.3115267678049838</v>
      </c>
      <c r="AC8" s="1">
        <f>$J8+SUMPRODUCT(regions!DZ7:EG7,regions!DZ$204:EG$204)</f>
        <v>-0.29238129235301713</v>
      </c>
      <c r="AD8" s="1">
        <f t="shared" si="12"/>
        <v>1.4745863202500722</v>
      </c>
      <c r="AE8" s="1">
        <f t="shared" si="12"/>
        <v>-3.5413679749927596E-2</v>
      </c>
      <c r="AF8" s="1">
        <f t="shared" si="8"/>
        <v>-26.156355914855297</v>
      </c>
      <c r="AG8" s="1">
        <f>$J8+SUMPRODUCT(regions!AX7:BK7,regions!AX$204:BK$204)</f>
        <v>2.1168487290393543</v>
      </c>
      <c r="AH8" s="1">
        <f>$J8+SUMPRODUCT(regions!AG7:AV7,regions!AG$204:AV$204)</f>
        <v>2.1707693136993189</v>
      </c>
      <c r="AI8" s="1">
        <f t="shared" si="9"/>
        <v>0.4645863202500724</v>
      </c>
      <c r="AJ8" s="1">
        <f>SartoriRoson!C5</f>
        <v>0.01</v>
      </c>
      <c r="AK8" s="1">
        <f>Kompas!E5</f>
        <v>-0.20499999999999999</v>
      </c>
      <c r="AL8" s="1">
        <f>$J8+SUMPRODUCT(regions!EY7:FW7,regions!EY$204:FW$204)</f>
        <v>3.8533558953577547</v>
      </c>
      <c r="AM8" s="1">
        <f>$J8+SUMPRODUCT(regions!FZ7:GF7,regions!FZ$204:GF$204)</f>
        <v>2.0514047429921405</v>
      </c>
      <c r="AN8" s="1">
        <f t="shared" si="13"/>
        <v>-6.7354136797499269</v>
      </c>
      <c r="AO8" s="1">
        <f t="shared" si="13"/>
        <v>-6.0354136797499276</v>
      </c>
      <c r="AP8" s="1">
        <f t="shared" si="13"/>
        <v>-1.2354136797499269</v>
      </c>
      <c r="AQ8" s="1">
        <f t="shared" si="14"/>
        <v>7.5941136312405053</v>
      </c>
      <c r="AR8" s="1">
        <f t="shared" si="14"/>
        <v>-2.5354136797499276</v>
      </c>
      <c r="AS8" s="1">
        <f t="shared" si="14"/>
        <v>0.16458632025007169</v>
      </c>
      <c r="AT8" s="1">
        <f t="shared" si="14"/>
        <v>2.1712529869167394</v>
      </c>
      <c r="AU8" s="1">
        <f t="shared" si="14"/>
        <v>-2.7554136797499265</v>
      </c>
      <c r="AV8" s="1">
        <f t="shared" si="10"/>
        <v>-1.3354136797499283</v>
      </c>
      <c r="AW8" s="1">
        <f>$J8+SUMPRODUCT(regions!BN7:BU7,regions!BN$204:BU$204)</f>
        <v>-3.8574716399313758E-2</v>
      </c>
      <c r="AX8" s="1">
        <f t="shared" si="10"/>
        <v>0.98458632025007198</v>
      </c>
      <c r="AY8" s="1">
        <f t="shared" si="10"/>
        <v>1.7645863202500731</v>
      </c>
      <c r="AZ8" s="1">
        <f t="shared" si="10"/>
        <v>1.7645863202500731</v>
      </c>
      <c r="BL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</row>
    <row r="9" spans="1:93" x14ac:dyDescent="0.35">
      <c r="A9" t="s">
        <v>350</v>
      </c>
      <c r="B9" s="19">
        <f>regions!B8</f>
        <v>19549124</v>
      </c>
      <c r="C9" s="19">
        <f>regions!C8</f>
        <v>50371160616.47271</v>
      </c>
      <c r="D9" s="8">
        <f>regions!D8</f>
        <v>2576.6454096087737</v>
      </c>
      <c r="E9" s="8">
        <f>regions!E8</f>
        <v>16.856078410225532</v>
      </c>
      <c r="F9" s="8">
        <f>regions!F8</f>
        <v>0</v>
      </c>
      <c r="G9" s="1">
        <f>regions!Z8</f>
        <v>21.5</v>
      </c>
      <c r="J9" s="1">
        <f t="shared" si="1"/>
        <v>6.3241918529555177</v>
      </c>
      <c r="K9" s="1">
        <f t="shared" si="2"/>
        <v>-8.6285544350692405</v>
      </c>
      <c r="L9" s="1">
        <f t="shared" si="3"/>
        <v>-8.2760787004658223</v>
      </c>
      <c r="M9" s="1">
        <f t="shared" si="4"/>
        <v>7.3941893671217782</v>
      </c>
      <c r="N9" s="1">
        <f t="shared" ref="N9:R12" si="15">$J9+N$3-$J$3</f>
        <v>-8.1272860177571591</v>
      </c>
      <c r="O9" s="1">
        <f t="shared" si="15"/>
        <v>-10.530856944634539</v>
      </c>
      <c r="P9" s="1">
        <f t="shared" si="15"/>
        <v>-8.5308569446345395</v>
      </c>
      <c r="Q9" s="1">
        <f t="shared" si="15"/>
        <v>-8.8608569446345378</v>
      </c>
      <c r="R9" s="1">
        <f t="shared" si="15"/>
        <v>-11.130856944634539</v>
      </c>
      <c r="S9" s="1">
        <f>$J9+SUMPRODUCT(regions!EI8:EN8,regions!EI$204:EN$204)</f>
        <v>-3.9368554493377497</v>
      </c>
      <c r="T9" s="1">
        <f>$J9+SUMPRODUCT(regions!EQ8:EV8,regions!EQ$204:EV$204)</f>
        <v>-3.4358675163530199</v>
      </c>
      <c r="U9" s="1">
        <f>$J9+SUMPRODUCT(regions!CM8:CU8,regions!CM$204:CU$204)</f>
        <v>-8.1314386396632266</v>
      </c>
      <c r="V9" s="1">
        <f>$J9+SUMPRODUCT(regions!DH8:DM8,regions!DH$204:DM$204)</f>
        <v>-5.8642988838815837</v>
      </c>
      <c r="W9" s="1">
        <f>$J9+SUMPRODUCT(regions!DP8:DW8,regions!DP$204:DW$204)</f>
        <v>-7.7038561332720841</v>
      </c>
      <c r="X9" s="1">
        <f>$J9+SUMPRODUCT(regions!AB8:AE8,regions!AB$204:AE$204)</f>
        <v>-2.8142133043844817</v>
      </c>
      <c r="Y9" s="1">
        <f>$J9+SUMPRODUCT(regions!BX8:CJ8,regions!BX$204:CJ$204)</f>
        <v>-0.627814934986346</v>
      </c>
      <c r="Z9" s="1">
        <f>$J9+SUMPRODUCT(regions!CX8:DF8,regions!CX$204:DF$204)</f>
        <v>-3.531438639663226</v>
      </c>
      <c r="AA9" s="1">
        <f t="shared" si="6"/>
        <v>-6.1238561453950418</v>
      </c>
      <c r="AB9" s="1">
        <f t="shared" si="7"/>
        <v>-7.6839164970796281</v>
      </c>
      <c r="AC9" s="1">
        <f>$J9+SUMPRODUCT(regions!DZ8:EG8,regions!DZ$204:EG$204)</f>
        <v>-4.1047561332720841</v>
      </c>
      <c r="AD9" s="1">
        <f t="shared" ref="AD9:AE12" si="16">$J9+AD$3-$J$3</f>
        <v>-8.5208569446345379</v>
      </c>
      <c r="AE9" s="1">
        <f t="shared" si="16"/>
        <v>-10.030856944634539</v>
      </c>
      <c r="AF9" s="1">
        <f t="shared" si="8"/>
        <v>-36.151799179739911</v>
      </c>
      <c r="AG9" s="1">
        <f>$J9+SUMPRODUCT(regions!AX8:BK8,regions!AX$204:BK$204)</f>
        <v>-0.46589748802700992</v>
      </c>
      <c r="AH9" s="1">
        <f>$J9+SUMPRODUCT(regions!AG8:AV8,regions!AG$204:AV$204)</f>
        <v>-7.3658974880270103</v>
      </c>
      <c r="AI9" s="1">
        <f t="shared" si="9"/>
        <v>-9.5308569446345395</v>
      </c>
      <c r="AJ9" s="1">
        <f>SartoriRoson!C6</f>
        <v>-1.8</v>
      </c>
      <c r="AK9" s="1">
        <f>Kompas!E6</f>
        <v>-3.32</v>
      </c>
      <c r="AL9" s="1">
        <f>$J9+SUMPRODUCT(regions!EY8:FW8,regions!EY$204:FW$204)</f>
        <v>-0.95502275374244139</v>
      </c>
      <c r="AM9" s="1">
        <f>$J9+SUMPRODUCT(regions!FZ8:GF8,regions!FZ$204:GF$204)</f>
        <v>2.1725131742350596</v>
      </c>
      <c r="AN9" s="1">
        <f t="shared" si="13"/>
        <v>-16.730856944634539</v>
      </c>
      <c r="AO9" s="1">
        <f t="shared" si="13"/>
        <v>-16.030856944634539</v>
      </c>
      <c r="AP9" s="1">
        <f t="shared" si="13"/>
        <v>-11.230856944634539</v>
      </c>
      <c r="AQ9" s="1">
        <f t="shared" si="14"/>
        <v>-2.4013296336441048</v>
      </c>
      <c r="AR9" s="1">
        <f t="shared" si="14"/>
        <v>-12.530856944634539</v>
      </c>
      <c r="AS9" s="1">
        <f t="shared" si="14"/>
        <v>-9.8308569446345384</v>
      </c>
      <c r="AT9" s="1">
        <f t="shared" si="14"/>
        <v>-7.8241902779678716</v>
      </c>
      <c r="AU9" s="1">
        <f t="shared" ref="AU9:AY72" si="17">$J9+AU$3-$J$3</f>
        <v>-12.750856944634538</v>
      </c>
      <c r="AV9" s="1">
        <f t="shared" si="17"/>
        <v>-11.330856944634538</v>
      </c>
      <c r="AW9" s="1">
        <f>$J9+SUMPRODUCT(regions!BN8:BU8,regions!BN$204:BU$204)</f>
        <v>-5.5805967572603814</v>
      </c>
      <c r="AX9" s="1">
        <f t="shared" si="17"/>
        <v>-9.0108569446345381</v>
      </c>
      <c r="AY9" s="1">
        <f t="shared" si="17"/>
        <v>-8.2308569446345388</v>
      </c>
      <c r="AZ9" s="1">
        <f t="shared" si="10"/>
        <v>-8.2308569446345388</v>
      </c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</row>
    <row r="10" spans="1:93" x14ac:dyDescent="0.35">
      <c r="A10" t="s">
        <v>351</v>
      </c>
      <c r="B10" s="19">
        <f>regions!B9</f>
        <v>87233</v>
      </c>
      <c r="C10" s="19">
        <f>regions!C9</f>
        <v>1012173532.2035601</v>
      </c>
      <c r="D10" s="8">
        <f>regions!D9</f>
        <v>11603.103552595465</v>
      </c>
      <c r="E10" s="8">
        <f>regions!E9</f>
        <v>18.525586626973041</v>
      </c>
      <c r="F10" s="8">
        <f>regions!F9</f>
        <v>1.6276262253683036</v>
      </c>
      <c r="G10" s="1">
        <f>regions!Z9</f>
        <v>0</v>
      </c>
      <c r="J10" s="1">
        <f t="shared" si="1"/>
        <v>17.064296831862215</v>
      </c>
      <c r="K10" s="1">
        <f t="shared" si="2"/>
        <v>2.111550543837458</v>
      </c>
      <c r="L10" s="1">
        <f t="shared" si="3"/>
        <v>1.3834371065377964</v>
      </c>
      <c r="M10" s="1">
        <f t="shared" si="4"/>
        <v>7.0316626005548795</v>
      </c>
      <c r="N10" s="1">
        <f t="shared" si="15"/>
        <v>2.6128189611495376</v>
      </c>
      <c r="O10" s="1">
        <f t="shared" si="15"/>
        <v>0.20924803427215899</v>
      </c>
      <c r="P10" s="1">
        <f t="shared" si="15"/>
        <v>2.209248034272159</v>
      </c>
      <c r="Q10" s="1">
        <f t="shared" si="15"/>
        <v>1.8792480342721589</v>
      </c>
      <c r="R10" s="1">
        <f t="shared" si="15"/>
        <v>-0.39075196572784066</v>
      </c>
      <c r="S10" s="1">
        <f>$J10+SUMPRODUCT(regions!EI9:EN9,regions!EI$204:EN$204)</f>
        <v>6.8032495295689479</v>
      </c>
      <c r="T10" s="1">
        <f>$J10+SUMPRODUCT(regions!EQ9:EV9,regions!EQ$204:EV$204)</f>
        <v>7.3042374625536777</v>
      </c>
      <c r="U10" s="1">
        <f>$J10+SUMPRODUCT(regions!CM9:CU9,regions!CM$204:CU$204)</f>
        <v>4.9693593540123366</v>
      </c>
      <c r="V10" s="1">
        <f>$J10+SUMPRODUCT(regions!DH9:DM9,regions!DH$204:DM$204)</f>
        <v>4.8758060950251139</v>
      </c>
      <c r="W10" s="1">
        <f>$J10+SUMPRODUCT(regions!DP9:DW9,regions!DP$204:DW$204)</f>
        <v>4.9793593540123382</v>
      </c>
      <c r="X10" s="1">
        <f>$J10+SUMPRODUCT(regions!AB9:AE9,regions!AB$204:AE$204)</f>
        <v>7.1106580458829178</v>
      </c>
      <c r="Y10" s="1">
        <f>$J10+SUMPRODUCT(regions!BX9:CJ9,regions!BX$204:CJ$204)</f>
        <v>4.6789740826319779</v>
      </c>
      <c r="Z10" s="1">
        <f>$J10+SUMPRODUCT(regions!CX9:DF9,regions!CX$204:DF$204)</f>
        <v>9.1693593540123377</v>
      </c>
      <c r="AA10" s="1">
        <f t="shared" si="6"/>
        <v>4.6162488335116567</v>
      </c>
      <c r="AB10" s="1">
        <f t="shared" si="7"/>
        <v>3.0561884818270704</v>
      </c>
      <c r="AC10" s="1">
        <f>$J10+SUMPRODUCT(regions!DZ9:EG9,regions!DZ$204:EG$204)</f>
        <v>7.0184593540123377</v>
      </c>
      <c r="AD10" s="1">
        <f t="shared" si="16"/>
        <v>2.2192480342721606</v>
      </c>
      <c r="AE10" s="1">
        <f t="shared" si="16"/>
        <v>0.70924803427215899</v>
      </c>
      <c r="AF10" s="1">
        <f t="shared" si="8"/>
        <v>-25.41169420083321</v>
      </c>
      <c r="AG10" s="1">
        <f>$J10+SUMPRODUCT(regions!AX9:BK9,regions!AX$204:BK$204)</f>
        <v>8.5801456885402896</v>
      </c>
      <c r="AH10" s="1">
        <f>$J10+SUMPRODUCT(regions!AG9:AV9,regions!AG$204:AV$204)</f>
        <v>0.41353213027389302</v>
      </c>
      <c r="AI10" s="1">
        <f t="shared" si="9"/>
        <v>1.209248034272159</v>
      </c>
      <c r="AJ10" s="1">
        <f>SartoriRoson!C7</f>
        <v>-7.84</v>
      </c>
      <c r="AK10" s="1">
        <f>Kompas!E7</f>
        <v>-8.2070000000000007</v>
      </c>
      <c r="AL10" s="1">
        <f>$J10+SUMPRODUCT(regions!EY9:FW9,regions!EY$204:FW$204)</f>
        <v>7.7463969105274124</v>
      </c>
      <c r="AM10" s="1">
        <f>$J10+SUMPRODUCT(regions!FZ9:GF9,regions!FZ$204:GF$204)</f>
        <v>11.203080827645033</v>
      </c>
      <c r="AN10" s="1">
        <f t="shared" si="13"/>
        <v>-5.9907519657278403</v>
      </c>
      <c r="AO10" s="1">
        <f t="shared" si="13"/>
        <v>-5.290751965727841</v>
      </c>
      <c r="AP10" s="1">
        <f t="shared" si="13"/>
        <v>-0.4907519657278403</v>
      </c>
      <c r="AQ10" s="1">
        <f t="shared" si="14"/>
        <v>8.3387753452625919</v>
      </c>
      <c r="AR10" s="1">
        <f t="shared" si="14"/>
        <v>-1.790751965727841</v>
      </c>
      <c r="AS10" s="1">
        <f t="shared" si="14"/>
        <v>0.90924803427215828</v>
      </c>
      <c r="AT10" s="1">
        <f t="shared" si="14"/>
        <v>2.915914700938826</v>
      </c>
      <c r="AU10" s="1">
        <f t="shared" si="17"/>
        <v>-2.0107519657278399</v>
      </c>
      <c r="AV10" s="1">
        <f t="shared" si="17"/>
        <v>-0.59075196572784172</v>
      </c>
      <c r="AW10" s="1">
        <f>$J10+SUMPRODUCT(regions!BN9:BU9,regions!BN$204:BU$204)</f>
        <v>3.4276428219529347</v>
      </c>
      <c r="AX10" s="1">
        <f t="shared" si="17"/>
        <v>1.7292480342721586</v>
      </c>
      <c r="AY10" s="1">
        <f t="shared" si="17"/>
        <v>2.5092480342721597</v>
      </c>
      <c r="AZ10" s="1">
        <f t="shared" si="10"/>
        <v>2.5092480342721597</v>
      </c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</row>
    <row r="11" spans="1:93" x14ac:dyDescent="0.35">
      <c r="A11" t="s">
        <v>118</v>
      </c>
      <c r="B11" s="19">
        <f>regions!B10</f>
        <v>40374224</v>
      </c>
      <c r="C11" s="19">
        <f>regions!C10</f>
        <v>293697869622.22595</v>
      </c>
      <c r="D11" s="8">
        <f>regions!D10</f>
        <v>7274.3904532313973</v>
      </c>
      <c r="E11" s="8">
        <f>regions!E10</f>
        <v>12.853042690325553</v>
      </c>
      <c r="F11" s="8">
        <f>regions!F10</f>
        <v>7.1321674507896393</v>
      </c>
      <c r="G11" s="1">
        <f>regions!Z10</f>
        <v>14.8</v>
      </c>
      <c r="H11" s="20"/>
      <c r="J11" s="1">
        <f t="shared" si="1"/>
        <v>10.708453485964352</v>
      </c>
      <c r="K11" s="1">
        <f t="shared" si="2"/>
        <v>-4.2442928020604054</v>
      </c>
      <c r="L11" s="1">
        <f t="shared" si="3"/>
        <v>-3.4057488886847502</v>
      </c>
      <c r="M11" s="1">
        <f t="shared" si="4"/>
        <v>4.17882925824886</v>
      </c>
      <c r="N11" s="1">
        <f t="shared" si="15"/>
        <v>-3.7430243847483258</v>
      </c>
      <c r="O11" s="1">
        <f t="shared" si="15"/>
        <v>-6.1465953116257044</v>
      </c>
      <c r="P11" s="1">
        <f t="shared" si="15"/>
        <v>-4.1465953116257044</v>
      </c>
      <c r="Q11" s="1">
        <f t="shared" si="15"/>
        <v>-4.4765953116257045</v>
      </c>
      <c r="R11" s="1">
        <f t="shared" si="15"/>
        <v>-6.746595311625704</v>
      </c>
      <c r="S11" s="1">
        <f>$J11+SUMPRODUCT(regions!EI10:EN10,regions!EI$204:EN$204)</f>
        <v>0.44740618367108453</v>
      </c>
      <c r="T11" s="1">
        <f>$J11+SUMPRODUCT(regions!EQ10:EV10,regions!EQ$204:EV$204)</f>
        <v>0.9483941166558143</v>
      </c>
      <c r="U11" s="1">
        <f>$J11+SUMPRODUCT(regions!CM10:CU10,regions!CM$204:CU$204)</f>
        <v>-1.3864839918855267</v>
      </c>
      <c r="V11" s="1">
        <f>$J11+SUMPRODUCT(regions!DH10:DM10,regions!DH$204:DM$204)</f>
        <v>-1.4800372508727495</v>
      </c>
      <c r="W11" s="1">
        <f>$J11+SUMPRODUCT(regions!DP10:DW10,regions!DP$204:DW$204)</f>
        <v>-1.3764839918855252</v>
      </c>
      <c r="X11" s="1">
        <f>$J11+SUMPRODUCT(regions!AB10:AE10,regions!AB$204:AE$204)</f>
        <v>0.75481469998505446</v>
      </c>
      <c r="Y11" s="1">
        <f>$J11+SUMPRODUCT(regions!BX10:CJ10,regions!BX$204:CJ$204)</f>
        <v>-1.6768692632658855</v>
      </c>
      <c r="Z11" s="1">
        <f>$J11+SUMPRODUCT(regions!CX10:DF10,regions!CX$204:DF$204)</f>
        <v>2.8135160081144743</v>
      </c>
      <c r="AA11" s="1">
        <f t="shared" si="6"/>
        <v>1.2</v>
      </c>
      <c r="AB11" s="1">
        <f t="shared" si="7"/>
        <v>-3.2147023383398428</v>
      </c>
      <c r="AC11" s="1">
        <f>$J11+SUMPRODUCT(regions!DZ10:EG10,regions!DZ$204:EG$204)</f>
        <v>0.6626160081144743</v>
      </c>
      <c r="AD11" s="1">
        <f t="shared" si="16"/>
        <v>-4.1365953116257046</v>
      </c>
      <c r="AE11" s="1">
        <f t="shared" si="16"/>
        <v>-5.6465953116257044</v>
      </c>
      <c r="AF11" s="1">
        <f t="shared" si="8"/>
        <v>-1.7</v>
      </c>
      <c r="AG11" s="1">
        <f>$J11+SUMPRODUCT(regions!AX10:BK10,regions!AX$204:BK$204)</f>
        <v>2.2243023426424262</v>
      </c>
      <c r="AH11" s="1">
        <f>$J11+SUMPRODUCT(regions!AG10:AV10,regions!AG$204:AV$204)</f>
        <v>-5.9423112156239704</v>
      </c>
      <c r="AI11" s="1">
        <f t="shared" si="9"/>
        <v>-5.1465953116257044</v>
      </c>
      <c r="AJ11" s="1">
        <f>SartoriRoson!C8</f>
        <v>-0.9</v>
      </c>
      <c r="AK11" s="1">
        <f>Kompas!E8</f>
        <v>-1.583</v>
      </c>
      <c r="AL11" s="1">
        <f>$J11+SUMPRODUCT(regions!EY10:FW10,regions!EY$204:FW$204)</f>
        <v>1.390553564629549</v>
      </c>
      <c r="AM11" s="1">
        <f>$J11+SUMPRODUCT(regions!FZ10:GF10,regions!FZ$204:GF$204)</f>
        <v>4.84723748174717</v>
      </c>
      <c r="AN11" s="1">
        <f t="shared" si="13"/>
        <v>-12.346595311625704</v>
      </c>
      <c r="AO11" s="1">
        <f t="shared" si="13"/>
        <v>-11.646595311625704</v>
      </c>
      <c r="AP11" s="1">
        <f t="shared" si="13"/>
        <v>-6.8465953116257046</v>
      </c>
      <c r="AQ11" s="1">
        <f t="shared" si="14"/>
        <v>1.9829319993647285</v>
      </c>
      <c r="AR11" s="1">
        <f t="shared" si="14"/>
        <v>-8.1465953116257044</v>
      </c>
      <c r="AS11" s="1">
        <f t="shared" si="14"/>
        <v>-5.4465953116257051</v>
      </c>
      <c r="AT11" s="1">
        <f t="shared" si="14"/>
        <v>-3.4399286449590374</v>
      </c>
      <c r="AU11" s="1">
        <f t="shared" si="17"/>
        <v>-8.366595311625705</v>
      </c>
      <c r="AV11" s="1">
        <f t="shared" si="17"/>
        <v>-6.9465953116257042</v>
      </c>
      <c r="AW11" s="1">
        <f>$J11+SUMPRODUCT(regions!BN10:BU10,regions!BN$204:BU$204)</f>
        <v>-1.1963351242515472</v>
      </c>
      <c r="AX11" s="1">
        <f t="shared" si="17"/>
        <v>-4.6265953116257048</v>
      </c>
      <c r="AY11" s="1">
        <f t="shared" si="17"/>
        <v>-3.8465953116257037</v>
      </c>
      <c r="AZ11" s="1">
        <f t="shared" si="10"/>
        <v>-3.8465953116257037</v>
      </c>
      <c r="BB11" t="str">
        <f>Maddison!A3</f>
        <v>Argentina</v>
      </c>
      <c r="BC11">
        <f>-Maddison!B3</f>
        <v>1.2</v>
      </c>
      <c r="BD11" s="1">
        <f>K11-BC11</f>
        <v>-5.4442928020604056</v>
      </c>
      <c r="BE11" t="str">
        <f>RehdanzMaddison!P5</f>
        <v>Argentina</v>
      </c>
      <c r="BF11" s="1">
        <f>-100*RehdanzMaddison!U5</f>
        <v>-1.9050393416597624</v>
      </c>
      <c r="BG11" s="1">
        <f>-100*RehdanzMaddison!V5</f>
        <v>-3.2147023383398428</v>
      </c>
      <c r="BH11" s="1">
        <f>$K11-BF11</f>
        <v>-2.3392534604006432</v>
      </c>
      <c r="BI11" s="1">
        <f>$K11-BG11</f>
        <v>-1.0295904637205626</v>
      </c>
      <c r="BJ11" t="str">
        <f>MaddisonRehdanz!A5</f>
        <v>Argentina</v>
      </c>
      <c r="BK11">
        <f>MaddisonRehdanz!D5</f>
        <v>-1.7</v>
      </c>
      <c r="BL11" s="1">
        <f>$K11-BK11</f>
        <v>-2.5442928020604052</v>
      </c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</row>
    <row r="12" spans="1:93" x14ac:dyDescent="0.35">
      <c r="A12" t="s">
        <v>212</v>
      </c>
      <c r="B12" s="19">
        <f>regions!B11</f>
        <v>2963496</v>
      </c>
      <c r="C12" s="19">
        <f>regions!C11</f>
        <v>5918216827.4621973</v>
      </c>
      <c r="D12" s="8">
        <f>regions!D11</f>
        <v>1997.0389119682286</v>
      </c>
      <c r="E12" s="8">
        <f>regions!E11</f>
        <v>17.070051399010236</v>
      </c>
      <c r="F12" s="8">
        <f>regions!F11</f>
        <v>16.999148633691316</v>
      </c>
      <c r="G12" s="1">
        <f>regions!Z11</f>
        <v>7.1</v>
      </c>
      <c r="H12" s="20"/>
      <c r="J12" s="1">
        <f t="shared" si="1"/>
        <v>11.215325659416211</v>
      </c>
      <c r="K12" s="1">
        <f t="shared" si="2"/>
        <v>-3.7374206286085467</v>
      </c>
      <c r="L12" s="1">
        <f t="shared" si="3"/>
        <v>-3.9647274836200292</v>
      </c>
      <c r="M12" s="1">
        <f t="shared" si="4"/>
        <v>3.9285047073943034</v>
      </c>
      <c r="N12" s="1">
        <f t="shared" si="15"/>
        <v>-3.2361522112964671</v>
      </c>
      <c r="O12" s="1">
        <f t="shared" si="15"/>
        <v>-5.6397231381738457</v>
      </c>
      <c r="P12" s="1">
        <f t="shared" si="15"/>
        <v>-3.6397231381738457</v>
      </c>
      <c r="Q12" s="1">
        <f t="shared" si="15"/>
        <v>-3.9697231381738458</v>
      </c>
      <c r="R12" s="1">
        <f t="shared" si="15"/>
        <v>-6.2397231381738454</v>
      </c>
      <c r="S12" s="1">
        <f>$J12+SUMPRODUCT(regions!EI11:EN11,regions!EI$204:EN$204)</f>
        <v>-5.6533258255861885</v>
      </c>
      <c r="T12" s="1">
        <f>$J12+SUMPRODUCT(regions!EQ11:EV11,regions!EQ$204:EV$204)</f>
        <v>-5.7533258255861899</v>
      </c>
      <c r="U12" s="1">
        <f>$J12+SUMPRODUCT(regions!CM11:CU11,regions!CM$204:CU$204)</f>
        <v>-3.4406811698198787</v>
      </c>
      <c r="V12" s="1">
        <f>$J12+SUMPRODUCT(regions!DH11:DM11,regions!DH$204:DM$204)</f>
        <v>-5.8103258255861885</v>
      </c>
      <c r="W12" s="1">
        <f>$J12+SUMPRODUCT(regions!DP11:DW11,regions!DP$204:DW$204)</f>
        <v>-3.7406811698198794</v>
      </c>
      <c r="X12" s="1">
        <f>$J12+SUMPRODUCT(regions!AB11:AE11,regions!AB$204:AE$204)</f>
        <v>2.0769205020762112</v>
      </c>
      <c r="Y12" s="1">
        <f>$J12+SUMPRODUCT(regions!BX11:CJ11,regions!BX$204:CJ$204)</f>
        <v>3.9107844545438599</v>
      </c>
      <c r="Z12" s="1">
        <f>$J12+SUMPRODUCT(regions!CX11:DF11,regions!CX$204:DF$204)</f>
        <v>-1.7406811698198794</v>
      </c>
      <c r="AA12" s="1">
        <f t="shared" si="6"/>
        <v>-1.2327223389343485</v>
      </c>
      <c r="AB12" s="1">
        <f t="shared" si="7"/>
        <v>6.7735285070976143</v>
      </c>
      <c r="AC12" s="1">
        <f>$J12+SUMPRODUCT(regions!DZ11:EG11,regions!DZ$204:EG$204)</f>
        <v>-3.3101811698198791</v>
      </c>
      <c r="AD12" s="1">
        <f t="shared" si="16"/>
        <v>-3.629723138173846</v>
      </c>
      <c r="AE12" s="1">
        <f t="shared" si="16"/>
        <v>-5.1397231381738457</v>
      </c>
      <c r="AF12" s="1">
        <f t="shared" si="8"/>
        <v>-4.0999999999999996</v>
      </c>
      <c r="AG12" s="1">
        <f>$J12+SUMPRODUCT(regions!AX11:BK11,regions!AX$204:BK$204)</f>
        <v>-4.1533258255861885</v>
      </c>
      <c r="AH12" s="1">
        <f>$J12+SUMPRODUCT(regions!AG11:AV11,regions!AG$204:AV$204)</f>
        <v>-3.1894831049064418</v>
      </c>
      <c r="AI12" s="1">
        <f t="shared" si="9"/>
        <v>-4.6397231381738457</v>
      </c>
      <c r="AJ12" s="1">
        <f>SartoriRoson!C9</f>
        <v>0.17</v>
      </c>
      <c r="AK12" s="1">
        <f>Kompas!E9</f>
        <v>-1.35</v>
      </c>
      <c r="AL12" s="1">
        <f>$J12+SUMPRODUCT(regions!EY11:FW11,regions!EY$204:FW$204)</f>
        <v>0.96223760693564309</v>
      </c>
      <c r="AM12" s="1">
        <f>$J12+SUMPRODUCT(regions!FZ11:GF11,regions!FZ$204:GF$204)</f>
        <v>-3.6772234033665381</v>
      </c>
      <c r="AN12" s="1">
        <f t="shared" si="13"/>
        <v>-11.839723138173845</v>
      </c>
      <c r="AO12" s="1">
        <f t="shared" si="13"/>
        <v>-11.139723138173846</v>
      </c>
      <c r="AP12" s="1">
        <f t="shared" si="13"/>
        <v>-6.3397231381738459</v>
      </c>
      <c r="AQ12" s="1">
        <f t="shared" si="14"/>
        <v>2.4898041728165889</v>
      </c>
      <c r="AR12" s="1">
        <f t="shared" si="14"/>
        <v>-7.6397231381738457</v>
      </c>
      <c r="AS12" s="1">
        <f t="shared" si="14"/>
        <v>-4.9397231381738447</v>
      </c>
      <c r="AT12" s="1">
        <f t="shared" si="14"/>
        <v>-2.9330564715071787</v>
      </c>
      <c r="AU12" s="1">
        <f t="shared" si="17"/>
        <v>-7.8597231381738455</v>
      </c>
      <c r="AV12" s="1">
        <f t="shared" si="17"/>
        <v>-6.4397231381738456</v>
      </c>
      <c r="AW12" s="1">
        <f>$J12+SUMPRODUCT(regions!BN11:BU11,regions!BN$204:BU$204)</f>
        <v>-3.8465056838997835</v>
      </c>
      <c r="AX12" s="1">
        <f t="shared" si="17"/>
        <v>-4.1197231381738462</v>
      </c>
      <c r="AY12" s="1">
        <f t="shared" si="17"/>
        <v>-3.339723138173845</v>
      </c>
      <c r="AZ12" s="1">
        <f t="shared" si="10"/>
        <v>-3.339723138173845</v>
      </c>
      <c r="BE12" t="str">
        <f>RehdanzMaddison!P6</f>
        <v>Armenia</v>
      </c>
      <c r="BF12" s="1">
        <f>-100*RehdanzMaddison!U6</f>
        <v>3.8001262541852441</v>
      </c>
      <c r="BG12" s="1">
        <f>-100*RehdanzMaddison!V6</f>
        <v>6.7735285070976143</v>
      </c>
      <c r="BH12" s="1">
        <f>$K12-BF12</f>
        <v>-7.5375468827937908</v>
      </c>
      <c r="BI12" s="1">
        <f>$K12-BG12</f>
        <v>-10.510949135706161</v>
      </c>
      <c r="BJ12" t="str">
        <f>MaddisonRehdanz!A6</f>
        <v>Armenia</v>
      </c>
      <c r="BK12">
        <f>MaddisonRehdanz!D6</f>
        <v>-4.0999999999999996</v>
      </c>
      <c r="BL12" s="1">
        <f>$K12-BK12</f>
        <v>0.36257937139145291</v>
      </c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</row>
    <row r="13" spans="1:93" x14ac:dyDescent="0.35">
      <c r="A13" t="s">
        <v>601</v>
      </c>
      <c r="B13" s="19">
        <f>regions!B12</f>
        <v>101597</v>
      </c>
      <c r="C13" s="19">
        <f>regions!C12</f>
        <v>2037483991.0949256</v>
      </c>
      <c r="D13" s="8">
        <f>regions!D12</f>
        <v>20054.5684527587</v>
      </c>
      <c r="E13" s="8">
        <f>regions!E12</f>
        <v>0</v>
      </c>
      <c r="F13" s="8">
        <f>regions!F12</f>
        <v>0</v>
      </c>
      <c r="G13" s="1">
        <f>regions!Z12</f>
        <v>27.8</v>
      </c>
      <c r="H13" s="20"/>
      <c r="J13" s="1">
        <f t="shared" si="1"/>
        <v>7.7224008408425355</v>
      </c>
      <c r="K13" s="1">
        <f t="shared" si="2"/>
        <v>-7.2303454471822217</v>
      </c>
      <c r="L13" s="1">
        <f t="shared" si="3"/>
        <v>-7.5704645598232432</v>
      </c>
      <c r="M13" s="1">
        <f t="shared" si="4"/>
        <v>6.8680098177133493</v>
      </c>
      <c r="N13" s="1">
        <f t="shared" ref="N13:R13" si="18">$J13+N$3-$J$3</f>
        <v>-6.7290770298701421</v>
      </c>
      <c r="O13" s="1">
        <f t="shared" si="18"/>
        <v>-9.1326479567475207</v>
      </c>
      <c r="P13" s="1">
        <f t="shared" si="18"/>
        <v>-7.1326479567475207</v>
      </c>
      <c r="Q13" s="1">
        <f t="shared" si="18"/>
        <v>-7.4626479567475208</v>
      </c>
      <c r="R13" s="1">
        <f t="shared" si="18"/>
        <v>-9.7326479567475204</v>
      </c>
      <c r="S13" s="1">
        <f>$J13+SUMPRODUCT(regions!EI12:EN12,regions!EI$204:EN$204)</f>
        <v>-2.5386464614507318</v>
      </c>
      <c r="T13" s="1">
        <f>$J13+SUMPRODUCT(regions!EQ12:EV12,regions!EQ$204:EV$204)</f>
        <v>-2.037658528466002</v>
      </c>
      <c r="U13" s="1">
        <f>$J13+SUMPRODUCT(regions!CM12:CU12,regions!CM$204:CU$204)</f>
        <v>-4.3725366370073431</v>
      </c>
      <c r="V13" s="1">
        <f>$J13+SUMPRODUCT(regions!DH12:DM12,regions!DH$204:DM$204)</f>
        <v>-4.4660898959945659</v>
      </c>
      <c r="W13" s="1">
        <f>$J13+SUMPRODUCT(regions!DP12:DW12,regions!DP$204:DW$204)</f>
        <v>-4.3625366370073415</v>
      </c>
      <c r="X13" s="1">
        <f>$J13+SUMPRODUCT(regions!AB12:AE12,regions!AB$204:AE$204)</f>
        <v>-7.6213019007595868</v>
      </c>
      <c r="Y13" s="1">
        <f>$J13+SUMPRODUCT(regions!BX12:CJ12,regions!BX$204:CJ$204)</f>
        <v>-2.8248712731172745</v>
      </c>
      <c r="Z13" s="1">
        <f>$J13+SUMPRODUCT(regions!CX12:DF12,regions!CX$204:DF$204)</f>
        <v>-0.17253663700734201</v>
      </c>
      <c r="AA13" s="1">
        <f t="shared" si="6"/>
        <v>-4.725647157508023</v>
      </c>
      <c r="AB13" s="1">
        <f t="shared" si="7"/>
        <v>-6.2857075091926093</v>
      </c>
      <c r="AC13" s="1">
        <f>$J13+SUMPRODUCT(regions!DZ12:EG12,regions!DZ$204:EG$204)</f>
        <v>-2.323436637007342</v>
      </c>
      <c r="AD13" s="1">
        <f>$J13+AD$3-$J$3</f>
        <v>-7.1226479567475209</v>
      </c>
      <c r="AE13" s="1">
        <f>$J13+AE$3-$J$3</f>
        <v>-8.6326479567475207</v>
      </c>
      <c r="AF13" s="1">
        <f t="shared" si="8"/>
        <v>-34.753590191852894</v>
      </c>
      <c r="AG13" s="1">
        <f>$J13+SUMPRODUCT(regions!AX12:BK12,regions!AX$204:BK$204)</f>
        <v>-0.76175030247939013</v>
      </c>
      <c r="AH13" s="1">
        <f>$J13+SUMPRODUCT(regions!AG12:AV12,regions!AG$204:AV$204)</f>
        <v>-8.9283638607457867</v>
      </c>
      <c r="AI13" s="1">
        <f t="shared" si="9"/>
        <v>-8.1326479567475207</v>
      </c>
      <c r="AJ13" s="1">
        <f>SartoriRoson!C10</f>
        <v>-7.84</v>
      </c>
      <c r="AK13" s="1">
        <f>Kompas!E10</f>
        <v>-8.2070000000000007</v>
      </c>
      <c r="AL13" s="1">
        <f>$J13+SUMPRODUCT(regions!EY12:FW12,regions!EY$204:FW$204)</f>
        <v>-1.5954990804922673</v>
      </c>
      <c r="AM13" s="1">
        <f>$J13+SUMPRODUCT(regions!FZ12:GF12,regions!FZ$204:GF$204)</f>
        <v>1.8611848366253536</v>
      </c>
      <c r="AN13" s="1">
        <f t="shared" si="13"/>
        <v>-15.33264795674752</v>
      </c>
      <c r="AO13" s="1">
        <f t="shared" si="13"/>
        <v>-14.632647956747521</v>
      </c>
      <c r="AP13" s="1">
        <f t="shared" si="13"/>
        <v>-9.8326479567475218</v>
      </c>
      <c r="AQ13" s="1">
        <f t="shared" si="14"/>
        <v>-1.0031206457570878</v>
      </c>
      <c r="AR13" s="1">
        <f t="shared" si="14"/>
        <v>-11.132647956747521</v>
      </c>
      <c r="AS13" s="1">
        <f t="shared" si="14"/>
        <v>-8.4326479567475197</v>
      </c>
      <c r="AT13" s="1">
        <f t="shared" si="14"/>
        <v>-6.4259812900808537</v>
      </c>
      <c r="AU13" s="1">
        <f t="shared" si="17"/>
        <v>-11.352647956747521</v>
      </c>
      <c r="AV13" s="1">
        <f t="shared" si="17"/>
        <v>-9.9326479567475197</v>
      </c>
      <c r="AW13" s="1">
        <f>$J13+SUMPRODUCT(regions!BN12:BU12,regions!BN$204:BU$204)</f>
        <v>-5.914253169066745</v>
      </c>
      <c r="AX13" s="1">
        <f t="shared" si="17"/>
        <v>-7.6126479567475211</v>
      </c>
      <c r="AY13" s="1">
        <f t="shared" si="17"/>
        <v>-6.8326479567475209</v>
      </c>
      <c r="AZ13" s="1">
        <f t="shared" si="10"/>
        <v>-6.8326479567475209</v>
      </c>
      <c r="BF13" s="1"/>
      <c r="BG13" s="1"/>
      <c r="BH13" s="1"/>
      <c r="BI13" s="1"/>
      <c r="BL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</row>
    <row r="14" spans="1:93" x14ac:dyDescent="0.35">
      <c r="A14" t="s">
        <v>119</v>
      </c>
      <c r="B14" s="19">
        <f>regions!B13</f>
        <v>22065300</v>
      </c>
      <c r="C14" s="19">
        <f>regions!C13</f>
        <v>797442264201.02002</v>
      </c>
      <c r="D14" s="8">
        <f>regions!D13</f>
        <v>36140.105242213795</v>
      </c>
      <c r="E14" s="8">
        <f>regions!E13</f>
        <v>20.565415960076329</v>
      </c>
      <c r="F14" s="8">
        <f>regions!F13</f>
        <v>2.2011748323235154</v>
      </c>
      <c r="G14" s="1">
        <f>regions!Z13</f>
        <v>21.6</v>
      </c>
      <c r="J14" s="1">
        <f t="shared" si="1"/>
        <v>11.102173939360553</v>
      </c>
      <c r="K14" s="1">
        <f t="shared" ref="K14:K45" si="19">J14+J$4</f>
        <v>-3.8505723486642047</v>
      </c>
      <c r="L14" s="1">
        <f t="shared" si="3"/>
        <v>-4.6025524982941057</v>
      </c>
      <c r="M14" s="1">
        <f t="shared" si="4"/>
        <v>3.4324537415895455</v>
      </c>
      <c r="N14" s="1">
        <f t="shared" ref="N14:R23" si="20">$J14+N$3-$J$3</f>
        <v>-3.3493039313521251</v>
      </c>
      <c r="O14" s="1">
        <f t="shared" si="20"/>
        <v>-5.7528748582295037</v>
      </c>
      <c r="P14" s="1">
        <f t="shared" si="20"/>
        <v>-3.7528748582295037</v>
      </c>
      <c r="Q14" s="1">
        <f t="shared" si="20"/>
        <v>-4.0828748582295038</v>
      </c>
      <c r="R14" s="1">
        <f t="shared" si="20"/>
        <v>-6.3528748582295034</v>
      </c>
      <c r="S14" s="1">
        <f>$J14+SUMPRODUCT(regions!EI13:EN13,regions!EI$204:EN$204)</f>
        <v>-6.2567897387263063</v>
      </c>
      <c r="T14" s="1">
        <f>$J14+SUMPRODUCT(regions!EQ13:EV13,regions!EQ$204:EV$204)</f>
        <v>-5.913221276622183</v>
      </c>
      <c r="U14" s="1">
        <f>$J14+SUMPRODUCT(regions!CM13:CU13,regions!CM$204:CU$204)</f>
        <v>-6.153723905015001</v>
      </c>
      <c r="V14" s="1">
        <f>$J14+SUMPRODUCT(regions!DH13:DM13,regions!DH$204:DM$204)</f>
        <v>-1.0863167974765489</v>
      </c>
      <c r="W14" s="1">
        <f>$J14+SUMPRODUCT(regions!DP13:DW13,regions!DP$204:DW$204)</f>
        <v>-7.7167897387263071</v>
      </c>
      <c r="X14" s="1">
        <f>$J14+SUMPRODUCT(regions!AB13:AE13,regions!AB$204:AE$204)</f>
        <v>-4.2415288022415698</v>
      </c>
      <c r="Y14" s="1">
        <f>$J14+SUMPRODUCT(regions!BX13:CJ13,regions!BX$204:CJ$204)</f>
        <v>-4.1489630911859745</v>
      </c>
      <c r="Z14" s="1">
        <f>$J14+SUMPRODUCT(regions!CX13:DF13,regions!CX$204:DF$204)</f>
        <v>-2.3537239050150003</v>
      </c>
      <c r="AA14" s="1">
        <f t="shared" si="6"/>
        <v>1.6</v>
      </c>
      <c r="AB14" s="1">
        <f t="shared" si="7"/>
        <v>-0.35417716451608</v>
      </c>
      <c r="AC14" s="1">
        <f>$J14+SUMPRODUCT(regions!DZ13:EG13,regions!DZ$204:EG$204)</f>
        <v>-5.1642897387263087</v>
      </c>
      <c r="AD14" s="1">
        <f t="shared" ref="AD14:AE33" si="21">$J14+AD$3-$J$3</f>
        <v>-3.7428748582295039</v>
      </c>
      <c r="AE14" s="1">
        <f t="shared" si="21"/>
        <v>-5.2528748582295037</v>
      </c>
      <c r="AF14" s="1">
        <f t="shared" si="8"/>
        <v>-3.1</v>
      </c>
      <c r="AG14" s="1">
        <f>$J14+SUMPRODUCT(regions!AX13:BK13,regions!AX$204:BK$204)</f>
        <v>-1.0879734525464393</v>
      </c>
      <c r="AH14" s="1">
        <f>$J14+SUMPRODUCT(regions!AG13:AV13,regions!AG$204:AV$204)</f>
        <v>-5.4793390694265565</v>
      </c>
      <c r="AI14" s="1">
        <f t="shared" ref="AI14:AI45" si="22">$J14+AI$3-$J$3</f>
        <v>-4.7528748582295037</v>
      </c>
      <c r="AJ14" s="1">
        <f>SartoriRoson!C11</f>
        <v>-0.92</v>
      </c>
      <c r="AK14" s="1">
        <f>Kompas!E11</f>
        <v>-1.083</v>
      </c>
      <c r="AL14" s="1">
        <f>$J14+SUMPRODUCT(regions!EY13:FW13,regions!EY$204:FW$204)</f>
        <v>-1.3729979512688519</v>
      </c>
      <c r="AM14" s="1">
        <f>$J14+SUMPRODUCT(regions!FZ13:GF13,regions!FZ$204:GF$204)</f>
        <v>0.3717379131181211</v>
      </c>
      <c r="AN14" s="1">
        <f t="shared" si="13"/>
        <v>-11.952874858229503</v>
      </c>
      <c r="AO14" s="1">
        <f t="shared" si="13"/>
        <v>-11.252874858229504</v>
      </c>
      <c r="AP14" s="1">
        <f t="shared" si="13"/>
        <v>-6.4528748582295039</v>
      </c>
      <c r="AQ14" s="1">
        <f t="shared" si="14"/>
        <v>2.376652452760931</v>
      </c>
      <c r="AR14" s="1">
        <f t="shared" si="14"/>
        <v>-7.7528748582295037</v>
      </c>
      <c r="AS14" s="1">
        <f t="shared" si="14"/>
        <v>-5.0528748582295027</v>
      </c>
      <c r="AT14" s="1">
        <f t="shared" si="14"/>
        <v>-3.0462081915628367</v>
      </c>
      <c r="AU14" s="1">
        <f t="shared" si="17"/>
        <v>-7.9728748582295035</v>
      </c>
      <c r="AV14" s="1">
        <f t="shared" si="17"/>
        <v>-6.5528748582295036</v>
      </c>
      <c r="AW14" s="1">
        <f>$J14+SUMPRODUCT(regions!BN13:BU13,regions!BN$204:BU$204)</f>
        <v>-5.2560358948788899</v>
      </c>
      <c r="AX14" s="1">
        <f t="shared" si="17"/>
        <v>-4.2328748582295042</v>
      </c>
      <c r="AY14" s="1">
        <f t="shared" si="17"/>
        <v>-3.452874858229503</v>
      </c>
      <c r="AZ14" s="1">
        <f t="shared" si="10"/>
        <v>-3.452874858229503</v>
      </c>
      <c r="BB14" t="str">
        <f>Maddison!A4</f>
        <v>Australia</v>
      </c>
      <c r="BC14">
        <f>-Maddison!B4</f>
        <v>1.6</v>
      </c>
      <c r="BD14" s="1">
        <f>K14-BC14</f>
        <v>-5.4505723486642044</v>
      </c>
      <c r="BE14" t="str">
        <f>RehdanzMaddison!P7</f>
        <v>Australia</v>
      </c>
      <c r="BF14" s="1">
        <f>-100*RehdanzMaddison!U7</f>
        <v>-0.21615875071872007</v>
      </c>
      <c r="BG14" s="1">
        <f>-100*RehdanzMaddison!V7</f>
        <v>-0.35417716451608</v>
      </c>
      <c r="BH14" s="1">
        <f t="shared" ref="BH14:BI16" si="23">$K14-BF14</f>
        <v>-3.6344135979454846</v>
      </c>
      <c r="BI14" s="1">
        <f t="shared" si="23"/>
        <v>-3.4963951841481249</v>
      </c>
      <c r="BJ14" t="str">
        <f>MaddisonRehdanz!A7</f>
        <v>Australia</v>
      </c>
      <c r="BK14">
        <f>MaddisonRehdanz!D7</f>
        <v>-3.1</v>
      </c>
      <c r="BL14" s="1">
        <f>$K14-BK14</f>
        <v>-0.75057234866420464</v>
      </c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</row>
    <row r="15" spans="1:93" x14ac:dyDescent="0.35">
      <c r="A15" t="s">
        <v>120</v>
      </c>
      <c r="B15" s="19">
        <f>regions!B14</f>
        <v>8389771</v>
      </c>
      <c r="C15" s="19">
        <f>regions!C14</f>
        <v>325550262356.948</v>
      </c>
      <c r="D15" s="8">
        <f>regions!D14</f>
        <v>38803.235792365253</v>
      </c>
      <c r="E15" s="8">
        <f>regions!E14</f>
        <v>25.281635506236235</v>
      </c>
      <c r="F15" s="8">
        <f>regions!F14</f>
        <v>1.2673276722574476</v>
      </c>
      <c r="G15" s="1">
        <f>regions!Z14</f>
        <v>6.3</v>
      </c>
      <c r="J15" s="1">
        <f t="shared" si="1"/>
        <v>16.922297394211334</v>
      </c>
      <c r="K15" s="1">
        <f t="shared" si="19"/>
        <v>1.9695511061865769</v>
      </c>
      <c r="L15" s="1">
        <f t="shared" si="3"/>
        <v>-0.25102850762031448</v>
      </c>
      <c r="M15" s="1">
        <f t="shared" si="4"/>
        <v>5.3021303300511065</v>
      </c>
      <c r="N15" s="1">
        <f t="shared" si="20"/>
        <v>2.4708195234986565</v>
      </c>
      <c r="O15" s="1">
        <f t="shared" si="20"/>
        <v>6.7248596621277912E-2</v>
      </c>
      <c r="P15" s="1">
        <f t="shared" si="20"/>
        <v>2.0672485966212779</v>
      </c>
      <c r="Q15" s="1">
        <f t="shared" si="20"/>
        <v>1.7372485966212778</v>
      </c>
      <c r="R15" s="1">
        <f t="shared" si="20"/>
        <v>-0.53275140337872173</v>
      </c>
      <c r="S15" s="1">
        <f>$J15+SUMPRODUCT(regions!EI14:EN14,regions!EI$204:EN$204)</f>
        <v>0.14028098401818667</v>
      </c>
      <c r="T15" s="1">
        <f>$J15+SUMPRODUCT(regions!EQ14:EV14,regions!EQ$204:EV$204)</f>
        <v>-5.9719015981812618E-2</v>
      </c>
      <c r="U15" s="1">
        <f>$J15+SUMPRODUCT(regions!CM14:CU14,regions!CM$204:CU$204)</f>
        <v>0.12563231097645655</v>
      </c>
      <c r="V15" s="1">
        <f>$J15+SUMPRODUCT(regions!DH14:DM14,regions!DH$204:DM$204)</f>
        <v>0.36386801038382899</v>
      </c>
      <c r="W15" s="1">
        <f>$J15+SUMPRODUCT(regions!DP14:DW14,regions!DP$204:DW$204)</f>
        <v>0.24028098401818809</v>
      </c>
      <c r="X15" s="1">
        <f>$J15+SUMPRODUCT(regions!AB14:AE14,regions!AB$204:AE$204)</f>
        <v>1.5785946526092118</v>
      </c>
      <c r="Y15" s="1">
        <f>$J15+SUMPRODUCT(regions!BX14:CJ14,regions!BX$204:CJ$204)</f>
        <v>-1.4651388028567389</v>
      </c>
      <c r="Z15" s="1">
        <f>$J15+SUMPRODUCT(regions!CX14:DF14,regions!CX$204:DF$204)</f>
        <v>5.1256323109764566</v>
      </c>
      <c r="AA15" s="1">
        <f t="shared" si="6"/>
        <v>1.8</v>
      </c>
      <c r="AB15" s="1">
        <f t="shared" si="7"/>
        <v>-0.63762723635713181</v>
      </c>
      <c r="AC15" s="1">
        <f>$J15+SUMPRODUCT(regions!DZ14:EG14,regions!DZ$204:EG$204)</f>
        <v>0.31028098401818838</v>
      </c>
      <c r="AD15" s="1">
        <f t="shared" si="21"/>
        <v>2.0772485966212777</v>
      </c>
      <c r="AE15" s="1">
        <f t="shared" si="21"/>
        <v>0.56724859662127791</v>
      </c>
      <c r="AF15" s="1">
        <f t="shared" si="8"/>
        <v>-25.553693638484091</v>
      </c>
      <c r="AG15" s="1">
        <f>$J15+SUMPRODUCT(regions!AX14:BK14,regions!AX$204:BK$204)</f>
        <v>0.62824943597749083</v>
      </c>
      <c r="AH15" s="1">
        <f>$J15+SUMPRODUCT(regions!AG14:AV14,regions!AG$204:AV$204)</f>
        <v>2.7734315900705244</v>
      </c>
      <c r="AI15" s="1">
        <f t="shared" si="22"/>
        <v>1.0672485966212779</v>
      </c>
      <c r="AJ15" s="1">
        <f>SartoriRoson!C12</f>
        <v>1.95</v>
      </c>
      <c r="AK15" s="1">
        <f>Kompas!E12</f>
        <v>-0.48599999999999999</v>
      </c>
      <c r="AL15" s="1">
        <f>$J15+SUMPRODUCT(regions!EY14:FW14,regions!EY$204:FW$204)</f>
        <v>1.3182999248034708</v>
      </c>
      <c r="AM15" s="1">
        <f>$J15+SUMPRODUCT(regions!FZ14:GF14,regions!FZ$204:GF$204)</f>
        <v>2.654067019363346</v>
      </c>
      <c r="AN15" s="1">
        <f t="shared" si="13"/>
        <v>-6.1327514033787214</v>
      </c>
      <c r="AO15" s="1">
        <f t="shared" si="13"/>
        <v>-5.4327514033787221</v>
      </c>
      <c r="AP15" s="1">
        <f t="shared" si="13"/>
        <v>-0.63275140337872138</v>
      </c>
      <c r="AQ15" s="1">
        <f t="shared" si="14"/>
        <v>8.1967759076117108</v>
      </c>
      <c r="AR15" s="1">
        <f t="shared" si="14"/>
        <v>-1.9327514033787221</v>
      </c>
      <c r="AS15" s="1">
        <f t="shared" si="14"/>
        <v>0.7672485966212772</v>
      </c>
      <c r="AT15" s="1">
        <f t="shared" si="14"/>
        <v>2.7739152632879449</v>
      </c>
      <c r="AU15" s="1">
        <f t="shared" si="17"/>
        <v>-2.152751403378721</v>
      </c>
      <c r="AV15" s="1">
        <f t="shared" si="17"/>
        <v>-0.7327514033787228</v>
      </c>
      <c r="AW15" s="1">
        <f>$J15+SUMPRODUCT(regions!BN14:BU14,regions!BN$204:BU$204)</f>
        <v>2.783394412472779</v>
      </c>
      <c r="AX15" s="1">
        <f t="shared" si="17"/>
        <v>1.5872485966212775</v>
      </c>
      <c r="AY15" s="1">
        <f t="shared" si="17"/>
        <v>2.3672485966212786</v>
      </c>
      <c r="AZ15" s="1">
        <f t="shared" si="10"/>
        <v>2.3672485966212786</v>
      </c>
      <c r="BB15" t="str">
        <f>Maddison!A5</f>
        <v>Austria</v>
      </c>
      <c r="BC15">
        <f>-Maddison!B5</f>
        <v>1.8</v>
      </c>
      <c r="BD15" s="1">
        <f>K15-BC15</f>
        <v>0.16955110618657687</v>
      </c>
      <c r="BE15" t="str">
        <f>RehdanzMaddison!P8</f>
        <v>Austria</v>
      </c>
      <c r="BF15" s="1">
        <f>-100*RehdanzMaddison!U8</f>
        <v>-0.31788586049895812</v>
      </c>
      <c r="BG15" s="1">
        <f>-100*RehdanzMaddison!V8</f>
        <v>-0.63762723635713181</v>
      </c>
      <c r="BH15" s="1">
        <f t="shared" si="23"/>
        <v>2.2874369666855352</v>
      </c>
      <c r="BI15" s="1">
        <f t="shared" si="23"/>
        <v>2.6071783425437087</v>
      </c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</row>
    <row r="16" spans="1:93" x14ac:dyDescent="0.35">
      <c r="A16" t="s">
        <v>213</v>
      </c>
      <c r="B16" s="19">
        <f>regions!B15</f>
        <v>9054332</v>
      </c>
      <c r="C16" s="19">
        <f>regions!C15</f>
        <v>28310397706.794827</v>
      </c>
      <c r="D16" s="8">
        <f>regions!D15</f>
        <v>3126.7240594662121</v>
      </c>
      <c r="E16" s="8">
        <f>regions!E15</f>
        <v>12.157776992817615</v>
      </c>
      <c r="F16" s="8">
        <f>regions!F15</f>
        <v>5.5</v>
      </c>
      <c r="G16" s="1">
        <f>regions!Z15</f>
        <v>11.9</v>
      </c>
      <c r="J16" s="1">
        <f t="shared" si="1"/>
        <v>10.247496588684623</v>
      </c>
      <c r="K16" s="1">
        <f t="shared" si="19"/>
        <v>-4.7052496993401345</v>
      </c>
      <c r="L16" s="1">
        <f t="shared" si="3"/>
        <v>-5.2046114908603371</v>
      </c>
      <c r="M16" s="1">
        <f t="shared" si="4"/>
        <v>4.0787269101908334</v>
      </c>
      <c r="N16" s="1">
        <f t="shared" si="20"/>
        <v>-4.2039812820280549</v>
      </c>
      <c r="O16" s="1">
        <f t="shared" si="20"/>
        <v>-6.6075522089054335</v>
      </c>
      <c r="P16" s="1">
        <f t="shared" si="20"/>
        <v>-4.6075522089054335</v>
      </c>
      <c r="Q16" s="1">
        <f t="shared" si="20"/>
        <v>-4.9375522089054336</v>
      </c>
      <c r="R16" s="1">
        <f t="shared" si="20"/>
        <v>-7.2075522089054331</v>
      </c>
      <c r="S16" s="1">
        <f>$J16+SUMPRODUCT(regions!EI15:EN15,regions!EI$204:EN$204)</f>
        <v>-6.6211548963177762</v>
      </c>
      <c r="T16" s="1">
        <f>$J16+SUMPRODUCT(regions!EQ15:EV15,regions!EQ$204:EV$204)</f>
        <v>-6.7211548963177776</v>
      </c>
      <c r="U16" s="1">
        <f>$J16+SUMPRODUCT(regions!CM15:CU15,regions!CM$204:CU$204)</f>
        <v>-4.4085102405514665</v>
      </c>
      <c r="V16" s="1">
        <f>$J16+SUMPRODUCT(regions!DH15:DM15,regions!DH$204:DM$204)</f>
        <v>-6.7781548963177762</v>
      </c>
      <c r="W16" s="1">
        <f>$J16+SUMPRODUCT(regions!DP15:DW15,regions!DP$204:DW$204)</f>
        <v>-4.7085102405514672</v>
      </c>
      <c r="X16" s="1">
        <f>$J16+SUMPRODUCT(regions!AB15:AE15,regions!AB$204:AE$204)</f>
        <v>1.1090914313446234</v>
      </c>
      <c r="Y16" s="1">
        <f>$J16+SUMPRODUCT(regions!BX15:CJ15,regions!BX$204:CJ$204)</f>
        <v>2.9429553838122722</v>
      </c>
      <c r="Z16" s="1">
        <f>$J16+SUMPRODUCT(regions!CX15:DF15,regions!CX$204:DF$204)</f>
        <v>-2.7085102405514672</v>
      </c>
      <c r="AA16" s="1">
        <f t="shared" si="6"/>
        <v>-2.2005514096659362</v>
      </c>
      <c r="AB16" s="1">
        <f t="shared" si="7"/>
        <v>3.7339399889330598</v>
      </c>
      <c r="AC16" s="1">
        <f>$J16+SUMPRODUCT(regions!DZ15:EG15,regions!DZ$204:EG$204)</f>
        <v>-4.2780102405514668</v>
      </c>
      <c r="AD16" s="1">
        <f t="shared" si="21"/>
        <v>-4.5975522089054337</v>
      </c>
      <c r="AE16" s="1">
        <f t="shared" si="21"/>
        <v>-6.1075522089054335</v>
      </c>
      <c r="AF16" s="1">
        <f t="shared" si="8"/>
        <v>-11.6</v>
      </c>
      <c r="AG16" s="1">
        <f>$J16+SUMPRODUCT(regions!AX15:BK15,regions!AX$204:BK$204)</f>
        <v>-5.1211548963177762</v>
      </c>
      <c r="AH16" s="1">
        <f>$J16+SUMPRODUCT(regions!AG15:AV15,regions!AG$204:AV$204)</f>
        <v>-4.1573121756380296</v>
      </c>
      <c r="AI16" s="1">
        <f t="shared" si="22"/>
        <v>-5.6075522089054335</v>
      </c>
      <c r="AJ16" s="1">
        <f>SartoriRoson!C13</f>
        <v>-0.86</v>
      </c>
      <c r="AK16" s="1">
        <f>Kompas!E13</f>
        <v>-2.6379999999999999</v>
      </c>
      <c r="AL16" s="1">
        <f>$J16+SUMPRODUCT(regions!EY15:FW15,regions!EY$204:FW$204)</f>
        <v>-1.6294617523977752</v>
      </c>
      <c r="AM16" s="1">
        <f>$J16+SUMPRODUCT(regions!FZ15:GF15,regions!FZ$204:GF$204)</f>
        <v>-4.6450524740981258</v>
      </c>
      <c r="AN16" s="1">
        <f t="shared" si="13"/>
        <v>-12.807552208905433</v>
      </c>
      <c r="AO16" s="1">
        <f t="shared" si="13"/>
        <v>-12.107552208905433</v>
      </c>
      <c r="AP16" s="1">
        <f t="shared" si="13"/>
        <v>-7.3075522089054337</v>
      </c>
      <c r="AQ16" s="1">
        <f t="shared" si="14"/>
        <v>1.5219751020849994</v>
      </c>
      <c r="AR16" s="1">
        <f t="shared" si="14"/>
        <v>-8.6075522089054335</v>
      </c>
      <c r="AS16" s="1">
        <f t="shared" si="14"/>
        <v>-5.9075522089054333</v>
      </c>
      <c r="AT16" s="1">
        <f t="shared" si="14"/>
        <v>-3.9008855422387665</v>
      </c>
      <c r="AU16" s="1">
        <f t="shared" si="17"/>
        <v>-8.8275522089054341</v>
      </c>
      <c r="AV16" s="1">
        <f t="shared" si="17"/>
        <v>-7.4075522089054333</v>
      </c>
      <c r="AW16" s="1">
        <f>$J16+SUMPRODUCT(regions!BN15:BU15,regions!BN$204:BU$204)</f>
        <v>-4.8143347546313713</v>
      </c>
      <c r="AX16" s="1">
        <f t="shared" si="17"/>
        <v>-5.0875522089054339</v>
      </c>
      <c r="AY16" s="1">
        <f t="shared" si="17"/>
        <v>-4.3075522089054328</v>
      </c>
      <c r="AZ16" s="1">
        <f t="shared" si="10"/>
        <v>-4.3075522089054328</v>
      </c>
      <c r="BE16" t="str">
        <f>RehdanzMaddison!P9</f>
        <v>Azerbaijan</v>
      </c>
      <c r="BF16" s="1">
        <f>-100*RehdanzMaddison!U9</f>
        <v>2.3868431809342545</v>
      </c>
      <c r="BG16" s="1">
        <f>-100*RehdanzMaddison!V9</f>
        <v>3.7339399889330598</v>
      </c>
      <c r="BH16" s="1">
        <f t="shared" si="23"/>
        <v>-7.0920928802743894</v>
      </c>
      <c r="BI16" s="1">
        <f t="shared" si="23"/>
        <v>-8.4391896882731938</v>
      </c>
      <c r="BJ16" t="str">
        <f>MaddisonRehdanz!A8</f>
        <v>Azerbaijan</v>
      </c>
      <c r="BK16">
        <f>MaddisonRehdanz!D8</f>
        <v>-11.6</v>
      </c>
      <c r="BL16" s="1">
        <f>$K16-BK16</f>
        <v>6.8947503006598652</v>
      </c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</row>
    <row r="17" spans="1:90" x14ac:dyDescent="0.35">
      <c r="A17" t="s">
        <v>121</v>
      </c>
      <c r="B17" s="19">
        <f>regions!B16</f>
        <v>360498</v>
      </c>
      <c r="C17" s="19">
        <f>regions!C16</f>
        <v>7575468595.4633093</v>
      </c>
      <c r="D17" s="8">
        <f>regions!D16</f>
        <v>21013.899093651864</v>
      </c>
      <c r="E17" s="8">
        <f>regions!E16</f>
        <v>10.876902778988406</v>
      </c>
      <c r="F17" s="8">
        <f>regions!F16</f>
        <v>1.097490431626742</v>
      </c>
      <c r="G17" s="1">
        <f>regions!Z16</f>
        <v>24.8</v>
      </c>
      <c r="J17" s="1">
        <f t="shared" si="1"/>
        <v>8.9233798680683254</v>
      </c>
      <c r="K17" s="1">
        <f t="shared" si="19"/>
        <v>-6.0293664199564319</v>
      </c>
      <c r="L17" s="1">
        <f t="shared" ref="L17:L80" si="24">AVERAGE(N17:AZ17)+AVERAGE(N$1:AZ$1)</f>
        <v>-6.5433612977450455</v>
      </c>
      <c r="M17" s="1">
        <f t="shared" ref="M17:M80" si="25">SQRT(SUMPRODUCT(N17:AZ17,N17:AZ17)/32-L17^2)</f>
        <v>6.6726157611089345</v>
      </c>
      <c r="N17" s="1">
        <f t="shared" si="20"/>
        <v>-5.5280980026443522</v>
      </c>
      <c r="O17" s="1">
        <f t="shared" si="20"/>
        <v>-7.9316689295217309</v>
      </c>
      <c r="P17" s="1">
        <f t="shared" si="20"/>
        <v>-5.9316689295217309</v>
      </c>
      <c r="Q17" s="1">
        <f t="shared" si="20"/>
        <v>-6.2616689295217309</v>
      </c>
      <c r="R17" s="1">
        <f t="shared" si="20"/>
        <v>-8.5316689295217305</v>
      </c>
      <c r="S17" s="1">
        <f>$J17+SUMPRODUCT(regions!EI16:EN16,regions!EI$204:EN$204)</f>
        <v>-1.3376674342249419</v>
      </c>
      <c r="T17" s="1">
        <f>$J17+SUMPRODUCT(regions!EQ16:EV16,regions!EQ$204:EV$204)</f>
        <v>-0.83667950124021218</v>
      </c>
      <c r="U17" s="1">
        <f>$J17+SUMPRODUCT(regions!CM16:CU16,regions!CM$204:CU$204)</f>
        <v>-3.1715576097815532</v>
      </c>
      <c r="V17" s="1">
        <f>$J17+SUMPRODUCT(regions!DH16:DM16,regions!DH$204:DM$204)</f>
        <v>-3.265110868768776</v>
      </c>
      <c r="W17" s="1">
        <f>$J17+SUMPRODUCT(regions!DP16:DW16,regions!DP$204:DW$204)</f>
        <v>-3.1615576097815516</v>
      </c>
      <c r="X17" s="1">
        <f>$J17+SUMPRODUCT(regions!AB16:AE16,regions!AB$204:AE$204)</f>
        <v>-6.4203228735337969</v>
      </c>
      <c r="Y17" s="1">
        <f>$J17+SUMPRODUCT(regions!BX16:CJ16,regions!BX$204:CJ$204)</f>
        <v>-6.3277571624782016</v>
      </c>
      <c r="Z17" s="1">
        <f>$J17+SUMPRODUCT(regions!CX16:DF16,regions!CX$204:DF$204)</f>
        <v>1.0284423902184479</v>
      </c>
      <c r="AA17" s="1">
        <f t="shared" si="6"/>
        <v>-3.2</v>
      </c>
      <c r="AB17" s="1">
        <f t="shared" si="7"/>
        <v>-5.0847284819668195</v>
      </c>
      <c r="AC17" s="1">
        <f>$J17+SUMPRODUCT(regions!DZ16:EG16,regions!DZ$204:EG$204)</f>
        <v>-1.1224576097815522</v>
      </c>
      <c r="AD17" s="1">
        <f t="shared" si="21"/>
        <v>-5.9216689295217311</v>
      </c>
      <c r="AE17" s="1">
        <f t="shared" si="21"/>
        <v>-7.4316689295217309</v>
      </c>
      <c r="AF17" s="1">
        <f t="shared" si="8"/>
        <v>-33.552611164627102</v>
      </c>
      <c r="AG17" s="1">
        <f>$J17+SUMPRODUCT(regions!AX16:BK16,regions!AX$204:BK$204)</f>
        <v>0.43922872474639973</v>
      </c>
      <c r="AH17" s="1">
        <f>$J17+SUMPRODUCT(regions!AG16:AV16,regions!AG$204:AV$204)</f>
        <v>-7.7273848335199968</v>
      </c>
      <c r="AI17" s="1">
        <f t="shared" si="22"/>
        <v>-6.9316689295217309</v>
      </c>
      <c r="AJ17" s="1">
        <f>SartoriRoson!C14</f>
        <v>-7.84</v>
      </c>
      <c r="AK17" s="1">
        <f>Kompas!E14</f>
        <v>-8.2070000000000007</v>
      </c>
      <c r="AL17" s="1">
        <f>$J17+SUMPRODUCT(regions!EY16:FW16,regions!EY$204:FW$204)</f>
        <v>-0.39452005326647743</v>
      </c>
      <c r="AM17" s="1">
        <f>$J17+SUMPRODUCT(regions!FZ16:GF16,regions!FZ$204:GF$204)</f>
        <v>3.0621638638511435</v>
      </c>
      <c r="AN17" s="1">
        <f t="shared" si="13"/>
        <v>-14.13166892952173</v>
      </c>
      <c r="AO17" s="1">
        <f t="shared" si="13"/>
        <v>-13.431668929521731</v>
      </c>
      <c r="AP17" s="1">
        <f t="shared" si="13"/>
        <v>-8.6316689295217301</v>
      </c>
      <c r="AQ17" s="1">
        <f t="shared" si="14"/>
        <v>0.19785838146870383</v>
      </c>
      <c r="AR17" s="1">
        <f t="shared" si="14"/>
        <v>-9.9316689295217309</v>
      </c>
      <c r="AS17" s="1">
        <f t="shared" si="14"/>
        <v>-7.2316689295217307</v>
      </c>
      <c r="AT17" s="1">
        <f t="shared" si="14"/>
        <v>-5.2250022628550639</v>
      </c>
      <c r="AU17" s="1">
        <f t="shared" si="17"/>
        <v>-10.15166892952173</v>
      </c>
      <c r="AV17" s="1">
        <f t="shared" si="17"/>
        <v>-8.7316689295217316</v>
      </c>
      <c r="AW17" s="1">
        <f>$J17+SUMPRODUCT(regions!BN16:BU16,regions!BN$204:BU$204)</f>
        <v>-4.7132741418409552</v>
      </c>
      <c r="AX17" s="1">
        <f t="shared" si="17"/>
        <v>-6.4116689295217313</v>
      </c>
      <c r="AY17" s="1">
        <f t="shared" si="17"/>
        <v>-5.6316689295217301</v>
      </c>
      <c r="AZ17" s="1">
        <f t="shared" si="10"/>
        <v>-5.6316689295217301</v>
      </c>
      <c r="BB17" t="str">
        <f>Maddison!A6</f>
        <v>Bahamas</v>
      </c>
      <c r="BC17">
        <f>-Maddison!B6</f>
        <v>-3.2</v>
      </c>
      <c r="BD17" s="1">
        <f>K17-BC17</f>
        <v>-2.8293664199564317</v>
      </c>
      <c r="BF17" s="1"/>
      <c r="BG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</row>
    <row r="18" spans="1:90" x14ac:dyDescent="0.35">
      <c r="A18" t="s">
        <v>352</v>
      </c>
      <c r="B18" s="19">
        <f>regions!B17</f>
        <v>1251513</v>
      </c>
      <c r="C18" s="19">
        <f>regions!C17</f>
        <v>20928102319.771168</v>
      </c>
      <c r="D18" s="8">
        <f>regions!D17</f>
        <v>16722.241255001882</v>
      </c>
      <c r="E18" s="8">
        <f>regions!E17</f>
        <v>1.1762284357258181</v>
      </c>
      <c r="F18" s="8">
        <f>regions!F17</f>
        <v>0.29767722810577779</v>
      </c>
      <c r="G18" s="1">
        <f>regions!Z17</f>
        <v>27.1</v>
      </c>
      <c r="J18" s="1">
        <f t="shared" si="1"/>
        <v>7.6514250259522445</v>
      </c>
      <c r="K18" s="1">
        <f t="shared" si="19"/>
        <v>-7.3013212620725128</v>
      </c>
      <c r="L18" s="1">
        <f t="shared" si="24"/>
        <v>-7.8081715444173891</v>
      </c>
      <c r="M18" s="1">
        <f t="shared" si="25"/>
        <v>6.7349268464492509</v>
      </c>
      <c r="N18" s="1">
        <f t="shared" si="20"/>
        <v>-6.8000528447604331</v>
      </c>
      <c r="O18" s="1">
        <f t="shared" si="20"/>
        <v>-9.2036237716378118</v>
      </c>
      <c r="P18" s="1">
        <f t="shared" si="20"/>
        <v>-7.2036237716378118</v>
      </c>
      <c r="Q18" s="1">
        <f t="shared" si="20"/>
        <v>-7.5336237716378118</v>
      </c>
      <c r="R18" s="1">
        <f t="shared" si="20"/>
        <v>-9.8036237716378114</v>
      </c>
      <c r="S18" s="1">
        <f>$J18+SUMPRODUCT(regions!EI17:EN17,regions!EI$204:EN$204)</f>
        <v>-2.6096222763410228</v>
      </c>
      <c r="T18" s="1">
        <f>$J18+SUMPRODUCT(regions!EQ17:EV17,regions!EQ$204:EV$204)</f>
        <v>-2.1086343433562931</v>
      </c>
      <c r="U18" s="1">
        <f>$J18+SUMPRODUCT(regions!CM17:CU17,regions!CM$204:CU$204)</f>
        <v>-5.9753215477548611</v>
      </c>
      <c r="V18" s="1">
        <f>$J18+SUMPRODUCT(regions!DH17:DM17,regions!DH$204:DM$204)</f>
        <v>-4.5370657108848569</v>
      </c>
      <c r="W18" s="1">
        <f>$J18+SUMPRODUCT(regions!DP17:DW17,regions!DP$204:DW$204)</f>
        <v>-6.3766229602753572</v>
      </c>
      <c r="X18" s="1">
        <f>$J18+SUMPRODUCT(regions!AB17:AE17,regions!AB$204:AE$204)</f>
        <v>-7.6922777156498778</v>
      </c>
      <c r="Y18" s="1">
        <f>$J18+SUMPRODUCT(regions!BX17:CJ17,regions!BX$204:CJ$204)</f>
        <v>-2.9492778775172468</v>
      </c>
      <c r="Z18" s="1">
        <f>$J18+SUMPRODUCT(regions!CX17:DF17,regions!CX$204:DF$204)</f>
        <v>-0.77532154775486184</v>
      </c>
      <c r="AA18" s="1">
        <f t="shared" si="6"/>
        <v>-4.796622972398314</v>
      </c>
      <c r="AB18" s="1">
        <f t="shared" si="7"/>
        <v>-6.3566833240829004</v>
      </c>
      <c r="AC18" s="1">
        <f>$J18+SUMPRODUCT(regions!DZ17:EG17,regions!DZ$204:EG$204)</f>
        <v>-2.7775229602753573</v>
      </c>
      <c r="AD18" s="1">
        <f t="shared" si="21"/>
        <v>-7.193623771637812</v>
      </c>
      <c r="AE18" s="1">
        <f t="shared" si="21"/>
        <v>-8.7036237716378118</v>
      </c>
      <c r="AF18" s="1">
        <f t="shared" si="8"/>
        <v>-34.824566006743183</v>
      </c>
      <c r="AG18" s="1">
        <f>$J18+SUMPRODUCT(regions!AX17:BK17,regions!AX$204:BK$204)</f>
        <v>-2.5329391191631263</v>
      </c>
      <c r="AH18" s="1">
        <f>$J18+SUMPRODUCT(regions!AG17:AV17,regions!AG$204:AV$204)</f>
        <v>-11.914542493175579</v>
      </c>
      <c r="AI18" s="1">
        <f t="shared" si="22"/>
        <v>-8.2036237716378118</v>
      </c>
      <c r="AJ18" s="1">
        <f>SartoriRoson!C15</f>
        <v>-4.9000000000000004</v>
      </c>
      <c r="AK18" s="1">
        <f>Kompas!E15</f>
        <v>-5.1379999999999999</v>
      </c>
      <c r="AL18" s="1">
        <f>$J18+SUMPRODUCT(regions!EY17:FW17,regions!EY$204:FW$204)</f>
        <v>-3.8876029375045054</v>
      </c>
      <c r="AM18" s="1">
        <f>$J18+SUMPRODUCT(regions!FZ17:GF17,regions!FZ$204:GF$204)</f>
        <v>-1.3153097667548739</v>
      </c>
      <c r="AN18" s="1">
        <f t="shared" si="13"/>
        <v>-15.403623771637811</v>
      </c>
      <c r="AO18" s="1">
        <f t="shared" si="13"/>
        <v>-14.703623771637812</v>
      </c>
      <c r="AP18" s="1">
        <f t="shared" si="13"/>
        <v>-9.903623771637811</v>
      </c>
      <c r="AQ18" s="1">
        <f t="shared" si="14"/>
        <v>-1.0740964606473771</v>
      </c>
      <c r="AR18" s="1">
        <f t="shared" si="14"/>
        <v>-11.203623771637812</v>
      </c>
      <c r="AS18" s="1">
        <f t="shared" si="14"/>
        <v>-8.5036237716378125</v>
      </c>
      <c r="AT18" s="1">
        <f t="shared" si="14"/>
        <v>-6.4969571049711448</v>
      </c>
      <c r="AU18" s="1">
        <f t="shared" si="17"/>
        <v>-11.423623771637811</v>
      </c>
      <c r="AV18" s="1">
        <f t="shared" si="17"/>
        <v>-10.003623771637812</v>
      </c>
      <c r="AW18" s="1">
        <f>$J18+SUMPRODUCT(regions!BN17:BU17,regions!BN$204:BU$204)</f>
        <v>-4.2533635842636546</v>
      </c>
      <c r="AX18" s="1">
        <f t="shared" si="17"/>
        <v>-7.6836237716378122</v>
      </c>
      <c r="AY18" s="1">
        <f t="shared" si="17"/>
        <v>-6.9036237716378119</v>
      </c>
      <c r="AZ18" s="1">
        <f t="shared" si="10"/>
        <v>-6.9036237716378119</v>
      </c>
      <c r="BF18" s="1"/>
      <c r="BG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</row>
    <row r="19" spans="1:90" x14ac:dyDescent="0.35">
      <c r="A19" t="s">
        <v>122</v>
      </c>
      <c r="B19" s="19">
        <f>regions!B18</f>
        <v>151125475</v>
      </c>
      <c r="C19" s="19">
        <f>regions!C18</f>
        <v>81471733197.377762</v>
      </c>
      <c r="D19" s="8">
        <f>regions!D18</f>
        <v>539.09993134762863</v>
      </c>
      <c r="E19" s="8">
        <f>regions!E18</f>
        <v>7.8346847494673302</v>
      </c>
      <c r="F19" s="8">
        <f>regions!F18</f>
        <v>17.001181259291869</v>
      </c>
      <c r="G19" s="1">
        <f>regions!Z18</f>
        <v>25</v>
      </c>
      <c r="J19" s="1">
        <f t="shared" si="1"/>
        <v>2.170183831652615</v>
      </c>
      <c r="K19" s="1">
        <f t="shared" si="19"/>
        <v>-12.782562456372142</v>
      </c>
      <c r="L19" s="1">
        <f t="shared" si="24"/>
        <v>-14.046397849600996</v>
      </c>
      <c r="M19" s="1">
        <f t="shared" si="25"/>
        <v>23.414783212770288</v>
      </c>
      <c r="N19" s="1">
        <f t="shared" si="20"/>
        <v>-12.281294039060063</v>
      </c>
      <c r="O19" s="1">
        <f t="shared" si="20"/>
        <v>-14.684864965937441</v>
      </c>
      <c r="P19" s="1">
        <f t="shared" si="20"/>
        <v>-12.684864965937441</v>
      </c>
      <c r="Q19" s="1">
        <f t="shared" si="20"/>
        <v>-13.014864965937441</v>
      </c>
      <c r="R19" s="1">
        <f t="shared" si="20"/>
        <v>-15.284864965937441</v>
      </c>
      <c r="S19" s="1">
        <f>$J19+SUMPRODUCT(regions!EI18:EN18,regions!EI$204:EN$204)</f>
        <v>-8.0908634706406524</v>
      </c>
      <c r="T19" s="1">
        <f>$J19+SUMPRODUCT(regions!EQ18:EV18,regions!EQ$204:EV$204)</f>
        <v>-7.5898755376559226</v>
      </c>
      <c r="U19" s="1">
        <f>$J19+SUMPRODUCT(regions!CM18:CU18,regions!CM$204:CU$204)</f>
        <v>-13.627822040685377</v>
      </c>
      <c r="V19" s="1">
        <f>$J19+SUMPRODUCT(regions!DH18:DM18,regions!DH$204:DM$204)</f>
        <v>-10.018306905184486</v>
      </c>
      <c r="W19" s="1">
        <f>$J19+SUMPRODUCT(regions!DP18:DW18,regions!DP$204:DW$204)</f>
        <v>-13.802372206435077</v>
      </c>
      <c r="X19" s="1">
        <f>$J19+SUMPRODUCT(regions!AB18:AE18,regions!AB$204:AE$204)</f>
        <v>-1.3463335165628267</v>
      </c>
      <c r="Y19" s="1">
        <f>$J19+SUMPRODUCT(regions!BX18:CJ18,regions!BX$204:CJ$204)</f>
        <v>-5.1343573732197356</v>
      </c>
      <c r="Z19" s="1">
        <f>$J19+SUMPRODUCT(regions!CX18:DF18,regions!CX$204:DF$204)</f>
        <v>-6.7278220406853784</v>
      </c>
      <c r="AA19" s="1">
        <f t="shared" si="6"/>
        <v>-2.6</v>
      </c>
      <c r="AB19" s="1">
        <f t="shared" si="7"/>
        <v>14.782046030091845</v>
      </c>
      <c r="AC19" s="1">
        <f>$J19+SUMPRODUCT(regions!DZ18:EG18,regions!DZ$204:EG$204)</f>
        <v>-8.2973722064350781</v>
      </c>
      <c r="AD19" s="1">
        <f t="shared" si="21"/>
        <v>-12.674864965937441</v>
      </c>
      <c r="AE19" s="1">
        <f t="shared" si="21"/>
        <v>-14.184864965937441</v>
      </c>
      <c r="AF19" s="1">
        <f t="shared" si="8"/>
        <v>-135.1</v>
      </c>
      <c r="AG19" s="1">
        <f>$J19+SUMPRODUCT(regions!AX18:BK18,regions!AX$204:BK$204)</f>
        <v>-5.079866300679825</v>
      </c>
      <c r="AH19" s="1">
        <f>$J19+SUMPRODUCT(regions!AG18:AV18,regions!AG$204:AV$204)</f>
        <v>-7.8274282318322435</v>
      </c>
      <c r="AI19" s="1">
        <f t="shared" si="22"/>
        <v>-13.684864965937441</v>
      </c>
      <c r="AJ19" s="1">
        <f>SartoriRoson!C16</f>
        <v>-4.99</v>
      </c>
      <c r="AK19" s="1">
        <f>Kompas!E16</f>
        <v>-7.5910000000000002</v>
      </c>
      <c r="AL19" s="1">
        <f>$J19+SUMPRODUCT(regions!EY18:FW18,regions!EY$204:FW$204)</f>
        <v>-8.0829042208279525</v>
      </c>
      <c r="AM19" s="1">
        <f>$J19+SUMPRODUCT(regions!FZ18:GF18,regions!FZ$204:GF$204)</f>
        <v>-6.7965509610545034</v>
      </c>
      <c r="AN19" s="1">
        <f t="shared" si="13"/>
        <v>-20.884864965937439</v>
      </c>
      <c r="AO19" s="1">
        <f t="shared" si="13"/>
        <v>-20.184864965937443</v>
      </c>
      <c r="AP19" s="1">
        <f t="shared" si="13"/>
        <v>-15.384864965937442</v>
      </c>
      <c r="AQ19" s="1">
        <f t="shared" si="14"/>
        <v>-6.5553376549470075</v>
      </c>
      <c r="AR19" s="1">
        <f t="shared" si="14"/>
        <v>-16.684864965937443</v>
      </c>
      <c r="AS19" s="1">
        <f t="shared" si="14"/>
        <v>-13.98486496593744</v>
      </c>
      <c r="AT19" s="1">
        <f t="shared" si="14"/>
        <v>-11.978198299270774</v>
      </c>
      <c r="AU19" s="1">
        <f t="shared" si="17"/>
        <v>-16.904864965937442</v>
      </c>
      <c r="AV19" s="1">
        <f t="shared" si="17"/>
        <v>-15.48486496593744</v>
      </c>
      <c r="AW19" s="1">
        <f>$J19+SUMPRODUCT(regions!BN18:BU18,regions!BN$204:BU$204)</f>
        <v>-11.466470178256666</v>
      </c>
      <c r="AX19" s="1">
        <f t="shared" si="17"/>
        <v>-13.164864965937442</v>
      </c>
      <c r="AY19" s="1">
        <f t="shared" si="17"/>
        <v>-12.384864965937441</v>
      </c>
      <c r="AZ19" s="1">
        <f t="shared" si="10"/>
        <v>-12.384864965937441</v>
      </c>
      <c r="BB19" t="str">
        <f>Maddison!A7</f>
        <v>Bangladesh</v>
      </c>
      <c r="BC19">
        <f>-Maddison!B7</f>
        <v>-2.6</v>
      </c>
      <c r="BD19" s="1">
        <f>K19-BC19</f>
        <v>-10.182562456372143</v>
      </c>
      <c r="BE19" t="str">
        <f>RehdanzMaddison!P10</f>
        <v>Bangladesh</v>
      </c>
      <c r="BF19" s="1">
        <f>-100*RehdanzMaddison!U10</f>
        <v>3.1997778142688458</v>
      </c>
      <c r="BG19" s="1">
        <f>-100*RehdanzMaddison!V10</f>
        <v>14.782046030091845</v>
      </c>
      <c r="BH19" s="1">
        <f>$K19-BF19</f>
        <v>-15.982340270640988</v>
      </c>
      <c r="BI19" s="1">
        <f>$K19-BG19</f>
        <v>-27.564608486463989</v>
      </c>
      <c r="BJ19" t="str">
        <f>MaddisonRehdanz!A9</f>
        <v>Bangladesh</v>
      </c>
      <c r="BK19">
        <f>MaddisonRehdanz!D9</f>
        <v>-135.1</v>
      </c>
      <c r="BL19" s="1">
        <f>$K19-BK19</f>
        <v>122.31743754362785</v>
      </c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</row>
    <row r="20" spans="1:90" x14ac:dyDescent="0.35">
      <c r="A20" t="s">
        <v>123</v>
      </c>
      <c r="B20" s="19">
        <f>regions!B19</f>
        <v>280396</v>
      </c>
      <c r="C20" s="19">
        <f>regions!C19</f>
        <v>4033125824.922358</v>
      </c>
      <c r="D20" s="8">
        <f>regions!D19</f>
        <v>14383.678172735552</v>
      </c>
      <c r="E20" s="8">
        <f>regions!E19</f>
        <v>25.091518866338685</v>
      </c>
      <c r="F20" s="8">
        <f>regions!F19</f>
        <v>1.3178980870305828</v>
      </c>
      <c r="G20" s="1">
        <f>regions!Z19</f>
        <v>26</v>
      </c>
      <c r="J20" s="1">
        <f t="shared" si="1"/>
        <v>7.7858732313871215</v>
      </c>
      <c r="K20" s="1">
        <f t="shared" si="19"/>
        <v>-7.1668730566376357</v>
      </c>
      <c r="L20" s="1">
        <f t="shared" si="24"/>
        <v>-7.5198850064426619</v>
      </c>
      <c r="M20" s="1">
        <f t="shared" si="25"/>
        <v>6.8519162143656356</v>
      </c>
      <c r="N20" s="1">
        <f t="shared" si="20"/>
        <v>-6.6656046393255561</v>
      </c>
      <c r="O20" s="1">
        <f t="shared" si="20"/>
        <v>-9.0691755662029347</v>
      </c>
      <c r="P20" s="1">
        <f t="shared" si="20"/>
        <v>-7.0691755662029347</v>
      </c>
      <c r="Q20" s="1">
        <f t="shared" si="20"/>
        <v>-7.3991755662029348</v>
      </c>
      <c r="R20" s="1">
        <f t="shared" si="20"/>
        <v>-9.6691755662029344</v>
      </c>
      <c r="S20" s="1">
        <f>$J20+SUMPRODUCT(regions!EI19:EN19,regions!EI$204:EN$204)</f>
        <v>-2.4751740709061458</v>
      </c>
      <c r="T20" s="1">
        <f>$J20+SUMPRODUCT(regions!EQ19:EV19,regions!EQ$204:EV$204)</f>
        <v>-1.9741861379214161</v>
      </c>
      <c r="U20" s="1">
        <f>$J20+SUMPRODUCT(regions!CM19:CU19,regions!CM$204:CU$204)</f>
        <v>-4.3090642464627571</v>
      </c>
      <c r="V20" s="1">
        <f>$J20+SUMPRODUCT(regions!DH19:DM19,regions!DH$204:DM$204)</f>
        <v>-4.4026175054499799</v>
      </c>
      <c r="W20" s="1">
        <f>$J20+SUMPRODUCT(regions!DP19:DW19,regions!DP$204:DW$204)</f>
        <v>-4.2990642464627555</v>
      </c>
      <c r="X20" s="1">
        <f>$J20+SUMPRODUCT(regions!AB19:AE19,regions!AB$204:AE$204)</f>
        <v>-7.5578295102150008</v>
      </c>
      <c r="Y20" s="1">
        <f>$J20+SUMPRODUCT(regions!BX19:CJ19,regions!BX$204:CJ$204)</f>
        <v>-4.5994495178431158</v>
      </c>
      <c r="Z20" s="1">
        <f>$J20+SUMPRODUCT(regions!CX19:DF19,regions!CX$204:DF$204)</f>
        <v>-0.10906424646275603</v>
      </c>
      <c r="AA20" s="1">
        <f t="shared" si="6"/>
        <v>-3.2</v>
      </c>
      <c r="AB20" s="1">
        <f t="shared" si="7"/>
        <v>-6.2222351186480234</v>
      </c>
      <c r="AC20" s="1">
        <f>$J20+SUMPRODUCT(regions!DZ19:EG19,regions!DZ$204:EG$204)</f>
        <v>-2.2599642464627561</v>
      </c>
      <c r="AD20" s="1">
        <f t="shared" si="21"/>
        <v>-7.059175566202935</v>
      </c>
      <c r="AE20" s="1">
        <f t="shared" si="21"/>
        <v>-8.5691755662029347</v>
      </c>
      <c r="AF20" s="1">
        <f t="shared" si="8"/>
        <v>-34.690117801308304</v>
      </c>
      <c r="AG20" s="1">
        <f>$J20+SUMPRODUCT(regions!AX19:BK19,regions!AX$204:BK$204)</f>
        <v>-0.69827791193480415</v>
      </c>
      <c r="AH20" s="1">
        <f>$J20+SUMPRODUCT(regions!AG19:AV19,regions!AG$204:AV$204)</f>
        <v>-8.8648914702012007</v>
      </c>
      <c r="AI20" s="1">
        <f t="shared" si="22"/>
        <v>-8.0691755662029347</v>
      </c>
      <c r="AJ20" s="1">
        <f>SartoriRoson!C17</f>
        <v>-7.84</v>
      </c>
      <c r="AK20" s="1">
        <f>Kompas!E17</f>
        <v>-8.2070000000000007</v>
      </c>
      <c r="AL20" s="1">
        <f>$J20+SUMPRODUCT(regions!EY19:FW19,regions!EY$204:FW$204)</f>
        <v>-1.5320266899476813</v>
      </c>
      <c r="AM20" s="1">
        <f>$J20+SUMPRODUCT(regions!FZ19:GF19,regions!FZ$204:GF$204)</f>
        <v>1.9246572271699396</v>
      </c>
      <c r="AN20" s="1">
        <f t="shared" si="13"/>
        <v>-15.269175566202934</v>
      </c>
      <c r="AO20" s="1">
        <f t="shared" si="13"/>
        <v>-14.569175566202935</v>
      </c>
      <c r="AP20" s="1">
        <f t="shared" si="13"/>
        <v>-9.7691755662029358</v>
      </c>
      <c r="AQ20" s="1">
        <f t="shared" si="14"/>
        <v>-0.93964825521250184</v>
      </c>
      <c r="AR20" s="1">
        <f t="shared" si="14"/>
        <v>-11.069175566202935</v>
      </c>
      <c r="AS20" s="1">
        <f t="shared" si="14"/>
        <v>-8.3691755662029337</v>
      </c>
      <c r="AT20" s="1">
        <f t="shared" si="14"/>
        <v>-6.3625088995362677</v>
      </c>
      <c r="AU20" s="1">
        <f t="shared" si="17"/>
        <v>-11.289175566202935</v>
      </c>
      <c r="AV20" s="1">
        <f t="shared" si="17"/>
        <v>-9.8691755662029337</v>
      </c>
      <c r="AW20" s="1">
        <f>$J20+SUMPRODUCT(regions!BN19:BU19,regions!BN$204:BU$204)</f>
        <v>-5.8507807785221591</v>
      </c>
      <c r="AX20" s="1">
        <f t="shared" si="17"/>
        <v>-7.5491755662029352</v>
      </c>
      <c r="AY20" s="1">
        <f t="shared" si="17"/>
        <v>-6.7691755662029349</v>
      </c>
      <c r="AZ20" s="1">
        <f t="shared" si="10"/>
        <v>-6.7691755662029349</v>
      </c>
      <c r="BB20" t="str">
        <f>Maddison!A8</f>
        <v>Barbados</v>
      </c>
      <c r="BC20">
        <f>-Maddison!B8</f>
        <v>-3.2</v>
      </c>
      <c r="BD20" s="1">
        <f>K20-BC20</f>
        <v>-3.9668730566376356</v>
      </c>
      <c r="BF20" s="1"/>
      <c r="BG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</row>
    <row r="21" spans="1:90" x14ac:dyDescent="0.35">
      <c r="A21" t="s">
        <v>214</v>
      </c>
      <c r="B21" s="19">
        <f>regions!B20</f>
        <v>9490000</v>
      </c>
      <c r="C21" s="19">
        <f>regions!C20</f>
        <v>42955347353.866852</v>
      </c>
      <c r="D21" s="8">
        <f>regions!D20</f>
        <v>4526.3801215876556</v>
      </c>
      <c r="E21" s="8">
        <f>regions!E20</f>
        <v>16.321438373620982</v>
      </c>
      <c r="F21" s="8">
        <f>regions!F20</f>
        <v>8.8919302288200921</v>
      </c>
      <c r="G21" s="1">
        <f>regions!Z20</f>
        <v>6.2</v>
      </c>
      <c r="J21" s="1">
        <f t="shared" si="1"/>
        <v>13.041986473570006</v>
      </c>
      <c r="K21" s="1">
        <f t="shared" si="19"/>
        <v>-1.9107598144547513</v>
      </c>
      <c r="L21" s="1">
        <f t="shared" si="24"/>
        <v>-1.8000120327851821</v>
      </c>
      <c r="M21" s="1">
        <f t="shared" si="25"/>
        <v>6.2406330135269297</v>
      </c>
      <c r="N21" s="1">
        <f t="shared" si="20"/>
        <v>-1.4094913971426717</v>
      </c>
      <c r="O21" s="1">
        <f t="shared" si="20"/>
        <v>-3.8130623240200503</v>
      </c>
      <c r="P21" s="1">
        <f t="shared" si="20"/>
        <v>-1.8130623240200503</v>
      </c>
      <c r="Q21" s="1">
        <f t="shared" si="20"/>
        <v>-2.1430623240200504</v>
      </c>
      <c r="R21" s="1">
        <f t="shared" si="20"/>
        <v>-4.4130623240200499</v>
      </c>
      <c r="S21" s="1">
        <f>$J21+SUMPRODUCT(regions!EI20:EN20,regions!EI$204:EN$204)</f>
        <v>-3.826665011432393</v>
      </c>
      <c r="T21" s="1">
        <f>$J21+SUMPRODUCT(regions!EQ20:EV20,regions!EQ$204:EV$204)</f>
        <v>-3.9266650114323944</v>
      </c>
      <c r="U21" s="1">
        <f>$J21+SUMPRODUCT(regions!CM20:CU20,regions!CM$204:CU$204)</f>
        <v>-1.6140203556660833</v>
      </c>
      <c r="V21" s="1">
        <f>$J21+SUMPRODUCT(regions!DH20:DM20,regions!DH$204:DM$204)</f>
        <v>-3.983665011432393</v>
      </c>
      <c r="W21" s="1">
        <f>$J21+SUMPRODUCT(regions!DP20:DW20,regions!DP$204:DW$204)</f>
        <v>-1.914020355666084</v>
      </c>
      <c r="X21" s="1">
        <f>$J21+SUMPRODUCT(regions!AB20:AE20,regions!AB$204:AE$204)</f>
        <v>3.0883476875907085</v>
      </c>
      <c r="Y21" s="1">
        <f>$J21+SUMPRODUCT(regions!BX20:CJ20,regions!BX$204:CJ$204)</f>
        <v>-1.050872205922694</v>
      </c>
      <c r="Z21" s="1">
        <f>$J21+SUMPRODUCT(regions!CX20:DF20,regions!CX$204:DF$204)</f>
        <v>8.5979644333916028E-2</v>
      </c>
      <c r="AA21" s="1">
        <f t="shared" si="6"/>
        <v>0.59393847521944698</v>
      </c>
      <c r="AB21" s="1">
        <f t="shared" si="7"/>
        <v>2.5700448675352643</v>
      </c>
      <c r="AC21" s="1">
        <f>$J21+SUMPRODUCT(regions!DZ20:EG20,regions!DZ$204:EG$204)</f>
        <v>-1.4835203556660836</v>
      </c>
      <c r="AD21" s="1">
        <f t="shared" si="21"/>
        <v>-1.8030623240200505</v>
      </c>
      <c r="AE21" s="1">
        <f t="shared" si="21"/>
        <v>-3.3130623240200503</v>
      </c>
      <c r="AF21" s="1">
        <f t="shared" si="8"/>
        <v>29.3</v>
      </c>
      <c r="AG21" s="1">
        <f>$J21+SUMPRODUCT(regions!AX20:BK20,regions!AX$204:BK$204)</f>
        <v>-2.326665011432393</v>
      </c>
      <c r="AH21" s="1">
        <f>$J21+SUMPRODUCT(regions!AG20:AV20,regions!AG$204:AV$204)</f>
        <v>-1.3628222907526464</v>
      </c>
      <c r="AI21" s="1">
        <f t="shared" si="22"/>
        <v>-2.8130623240200503</v>
      </c>
      <c r="AJ21" s="1">
        <f>SartoriRoson!C18</f>
        <v>0.18</v>
      </c>
      <c r="AK21" s="1">
        <f>Kompas!E18</f>
        <v>-0.249</v>
      </c>
      <c r="AL21" s="1">
        <f>$J21+SUMPRODUCT(regions!EY20:FW20,regions!EY$204:FW$204)</f>
        <v>0.57570725108763199</v>
      </c>
      <c r="AM21" s="1">
        <f>$J21+SUMPRODUCT(regions!FZ20:GF20,regions!FZ$204:GF$204)</f>
        <v>-1.8505625892127426</v>
      </c>
      <c r="AN21" s="1">
        <f t="shared" si="13"/>
        <v>-10.01306232402005</v>
      </c>
      <c r="AO21" s="1">
        <f t="shared" si="13"/>
        <v>-9.3130623240200503</v>
      </c>
      <c r="AP21" s="1">
        <f t="shared" si="13"/>
        <v>-4.5130623240200496</v>
      </c>
      <c r="AQ21" s="1">
        <f t="shared" si="14"/>
        <v>4.3164649869703826</v>
      </c>
      <c r="AR21" s="1">
        <f t="shared" si="14"/>
        <v>-5.8130623240200503</v>
      </c>
      <c r="AS21" s="1">
        <f t="shared" si="14"/>
        <v>-3.113062324020051</v>
      </c>
      <c r="AT21" s="1">
        <f t="shared" si="14"/>
        <v>-1.1063956573533833</v>
      </c>
      <c r="AU21" s="1">
        <f t="shared" si="17"/>
        <v>-6.03306232402005</v>
      </c>
      <c r="AV21" s="1">
        <f t="shared" si="17"/>
        <v>-4.613062324020051</v>
      </c>
      <c r="AW21" s="1">
        <f>$J21+SUMPRODUCT(regions!BN20:BU20,regions!BN$204:BU$204)</f>
        <v>-2.0198448697459881</v>
      </c>
      <c r="AX21" s="1">
        <f t="shared" si="17"/>
        <v>-2.2930623240200507</v>
      </c>
      <c r="AY21" s="1">
        <f t="shared" si="17"/>
        <v>-1.5130623240200496</v>
      </c>
      <c r="AZ21" s="1">
        <f t="shared" ref="AZ21:AZ71" si="26">$J21+AZ$3-$J$3</f>
        <v>-1.5130623240200496</v>
      </c>
      <c r="BE21" t="str">
        <f>RehdanzMaddison!P11</f>
        <v>Belarus</v>
      </c>
      <c r="BF21" s="1">
        <f>-100*RehdanzMaddison!U11</f>
        <v>1.434700538964498</v>
      </c>
      <c r="BG21" s="1">
        <f>-100*RehdanzMaddison!V11</f>
        <v>2.5700448675352643</v>
      </c>
      <c r="BH21" s="1">
        <f>$K21-BF21</f>
        <v>-3.3454603534192495</v>
      </c>
      <c r="BI21" s="1">
        <f>$K21-BG21</f>
        <v>-4.4808046819900156</v>
      </c>
      <c r="BJ21" t="str">
        <f>MaddisonRehdanz!A10</f>
        <v>Belarus</v>
      </c>
      <c r="BK21">
        <f>MaddisonRehdanz!D10</f>
        <v>29.3</v>
      </c>
      <c r="BL21" s="1">
        <f>$K21-BK21</f>
        <v>-31.210759814454754</v>
      </c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</row>
    <row r="22" spans="1:90" x14ac:dyDescent="0.35">
      <c r="A22" t="s">
        <v>124</v>
      </c>
      <c r="B22" s="19">
        <f>regions!B21</f>
        <v>10895586</v>
      </c>
      <c r="C22" s="19">
        <f>regions!C21</f>
        <v>400383139123.5824</v>
      </c>
      <c r="D22" s="8">
        <f>regions!D21</f>
        <v>36747.279047091397</v>
      </c>
      <c r="E22" s="8">
        <f>regions!E21</f>
        <v>24.333929972706144</v>
      </c>
      <c r="F22" s="8">
        <f>regions!F21</f>
        <v>0.76242021032565011</v>
      </c>
      <c r="G22" s="1">
        <f>regions!Z21</f>
        <v>9.6</v>
      </c>
      <c r="J22" s="1">
        <f t="shared" si="1"/>
        <v>15.595678282091168</v>
      </c>
      <c r="K22" s="1">
        <f t="shared" si="19"/>
        <v>0.64293199406641044</v>
      </c>
      <c r="L22" s="1">
        <f t="shared" si="24"/>
        <v>-1.4068622948091902</v>
      </c>
      <c r="M22" s="1">
        <f t="shared" si="25"/>
        <v>5.3076118162459203</v>
      </c>
      <c r="N22" s="1">
        <f t="shared" si="20"/>
        <v>1.14420041137849</v>
      </c>
      <c r="O22" s="1">
        <f t="shared" si="20"/>
        <v>-1.2593705154988886</v>
      </c>
      <c r="P22" s="1">
        <f t="shared" si="20"/>
        <v>0.74062948450111143</v>
      </c>
      <c r="Q22" s="1">
        <f t="shared" si="20"/>
        <v>0.41062948450111136</v>
      </c>
      <c r="R22" s="1">
        <f t="shared" si="20"/>
        <v>-1.8593705154988882</v>
      </c>
      <c r="S22" s="1">
        <f>$J22+SUMPRODUCT(regions!EI21:EN21,regions!EI$204:EN$204)</f>
        <v>-1.1863381281019798</v>
      </c>
      <c r="T22" s="1">
        <f>$J22+SUMPRODUCT(regions!EQ21:EV21,regions!EQ$204:EV$204)</f>
        <v>-1.3863381281019791</v>
      </c>
      <c r="U22" s="1">
        <f>$J22+SUMPRODUCT(regions!CM21:CU21,regions!CM$204:CU$204)</f>
        <v>-1.2009868011437099</v>
      </c>
      <c r="V22" s="1">
        <f>$J22+SUMPRODUCT(regions!DH21:DM21,regions!DH$204:DM$204)</f>
        <v>-0.96275110173633749</v>
      </c>
      <c r="W22" s="1">
        <f>$J22+SUMPRODUCT(regions!DP21:DW21,regions!DP$204:DW$204)</f>
        <v>-1.0863381281019784</v>
      </c>
      <c r="X22" s="1">
        <f>$J22+SUMPRODUCT(regions!AB21:AE21,regions!AB$204:AE$204)</f>
        <v>0.25197554048904536</v>
      </c>
      <c r="Y22" s="1">
        <f>$J22+SUMPRODUCT(regions!BX21:CJ21,regions!BX$204:CJ$204)</f>
        <v>-2.7917579149769054</v>
      </c>
      <c r="Z22" s="1">
        <f>$J22+SUMPRODUCT(regions!CX21:DF21,regions!CX$204:DF$204)</f>
        <v>3.7990131988562901</v>
      </c>
      <c r="AA22" s="1">
        <f t="shared" si="6"/>
        <v>3.4</v>
      </c>
      <c r="AB22" s="1">
        <f t="shared" si="7"/>
        <v>-8.9476012517456044E-2</v>
      </c>
      <c r="AC22" s="1">
        <f>$J22+SUMPRODUCT(regions!DZ21:EG21,regions!DZ$204:EG$204)</f>
        <v>-1.0163381281019781</v>
      </c>
      <c r="AD22" s="1">
        <f t="shared" si="21"/>
        <v>0.75062948450111122</v>
      </c>
      <c r="AE22" s="1">
        <f t="shared" si="21"/>
        <v>-0.75937051549888857</v>
      </c>
      <c r="AF22" s="1">
        <f t="shared" si="8"/>
        <v>-26.880312750604261</v>
      </c>
      <c r="AG22" s="1">
        <f>$J22+SUMPRODUCT(regions!AX21:BK21,regions!AX$204:BK$204)</f>
        <v>-0.69836967614267564</v>
      </c>
      <c r="AH22" s="1">
        <f>$J22+SUMPRODUCT(regions!AG21:AV21,regions!AG$204:AV$204)</f>
        <v>1.4468124779503579</v>
      </c>
      <c r="AI22" s="1">
        <f t="shared" si="22"/>
        <v>-0.25937051549888857</v>
      </c>
      <c r="AJ22" s="1">
        <f>SartoriRoson!C19</f>
        <v>1.21</v>
      </c>
      <c r="AK22" s="1">
        <f>Kompas!E19</f>
        <v>-0.54</v>
      </c>
      <c r="AL22" s="1">
        <f>$J22+SUMPRODUCT(regions!EY21:FW21,regions!EY$204:FW$204)</f>
        <v>-8.3191873166956753E-3</v>
      </c>
      <c r="AM22" s="1">
        <f>$J22+SUMPRODUCT(regions!FZ21:GF21,regions!FZ$204:GF$204)</f>
        <v>1.3274479072431795</v>
      </c>
      <c r="AN22" s="1">
        <f t="shared" si="13"/>
        <v>-7.4593705154988879</v>
      </c>
      <c r="AO22" s="1">
        <f t="shared" si="13"/>
        <v>-6.7593705154988886</v>
      </c>
      <c r="AP22" s="1">
        <f t="shared" si="13"/>
        <v>-1.9593705154988879</v>
      </c>
      <c r="AQ22" s="1">
        <f t="shared" si="14"/>
        <v>6.8701567954915443</v>
      </c>
      <c r="AR22" s="1">
        <f t="shared" si="14"/>
        <v>-3.2593705154988886</v>
      </c>
      <c r="AS22" s="1">
        <f t="shared" si="14"/>
        <v>-0.55937051549888928</v>
      </c>
      <c r="AT22" s="1">
        <f t="shared" si="14"/>
        <v>1.4472961511677784</v>
      </c>
      <c r="AU22" s="1">
        <f t="shared" si="17"/>
        <v>-3.4793705154988874</v>
      </c>
      <c r="AV22" s="1">
        <f t="shared" si="17"/>
        <v>-2.0593705154988893</v>
      </c>
      <c r="AW22" s="1">
        <f>$J22+SUMPRODUCT(regions!BN21:BU21,regions!BN$204:BU$204)</f>
        <v>1.4567753003526125</v>
      </c>
      <c r="AX22" s="1">
        <f t="shared" si="17"/>
        <v>0.26062948450111101</v>
      </c>
      <c r="AY22" s="1">
        <f t="shared" si="17"/>
        <v>1.0406294845011121</v>
      </c>
      <c r="AZ22" s="1">
        <f t="shared" si="26"/>
        <v>1.0406294845011121</v>
      </c>
      <c r="BB22" t="str">
        <f>Maddison!A9</f>
        <v>Belgium</v>
      </c>
      <c r="BC22">
        <f>-Maddison!B9</f>
        <v>3.4</v>
      </c>
      <c r="BD22" s="1">
        <f>K22-BC22</f>
        <v>-2.7570680059335895</v>
      </c>
      <c r="BE22" t="str">
        <f>RehdanzMaddison!P12</f>
        <v>Belgium</v>
      </c>
      <c r="BF22" s="1">
        <f>-100*RehdanzMaddison!U12</f>
        <v>-4.2615400122365012E-2</v>
      </c>
      <c r="BG22" s="1">
        <f>-100*RehdanzMaddison!V12</f>
        <v>-8.9476012517456044E-2</v>
      </c>
      <c r="BH22" s="1">
        <f>$K22-BF22</f>
        <v>0.68554739418877542</v>
      </c>
      <c r="BI22" s="1">
        <f>$K22-BG22</f>
        <v>0.73240800658386651</v>
      </c>
      <c r="BL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</row>
    <row r="23" spans="1:90" x14ac:dyDescent="0.35">
      <c r="A23" t="s">
        <v>353</v>
      </c>
      <c r="B23" s="19">
        <f>regions!B22</f>
        <v>308595</v>
      </c>
      <c r="C23" s="19">
        <f>regions!C22</f>
        <v>1277265951.2394526</v>
      </c>
      <c r="D23" s="8">
        <f>regions!D22</f>
        <v>4138.971633498445</v>
      </c>
      <c r="E23" s="8">
        <f>regions!E22</f>
        <v>23.596652082907081</v>
      </c>
      <c r="F23" s="8">
        <f>regions!F22</f>
        <v>11.49666478409466</v>
      </c>
      <c r="G23" s="1">
        <f>regions!Z22</f>
        <v>25.3</v>
      </c>
      <c r="J23" s="1">
        <f t="shared" si="1"/>
        <v>5.775037053930264</v>
      </c>
      <c r="K23" s="1">
        <f t="shared" si="19"/>
        <v>-9.1777092340944932</v>
      </c>
      <c r="L23" s="1">
        <f t="shared" si="24"/>
        <v>-9.28511574341635</v>
      </c>
      <c r="M23" s="1">
        <f t="shared" si="25"/>
        <v>7.314275427681296</v>
      </c>
      <c r="N23" s="1">
        <f t="shared" si="20"/>
        <v>-8.6764408167824136</v>
      </c>
      <c r="O23" s="1">
        <f t="shared" si="20"/>
        <v>-11.080011743659792</v>
      </c>
      <c r="P23" s="1">
        <f t="shared" si="20"/>
        <v>-9.0800117436597922</v>
      </c>
      <c r="Q23" s="1">
        <f t="shared" si="20"/>
        <v>-9.4100117436597923</v>
      </c>
      <c r="R23" s="1">
        <f t="shared" si="20"/>
        <v>-11.680011743659792</v>
      </c>
      <c r="S23" s="1">
        <f>$J23+SUMPRODUCT(regions!EI22:EN22,regions!EI$204:EN$204)</f>
        <v>-4.4860102483630033</v>
      </c>
      <c r="T23" s="1">
        <f>$J23+SUMPRODUCT(regions!EQ22:EV22,regions!EQ$204:EV$204)</f>
        <v>-3.9850223153782736</v>
      </c>
      <c r="U23" s="1">
        <f>$J23+SUMPRODUCT(regions!CM22:CU22,regions!CM$204:CU$204)</f>
        <v>-6.3199004239196146</v>
      </c>
      <c r="V23" s="1">
        <f>$J23+SUMPRODUCT(regions!DH22:DM22,regions!DH$204:DM$204)</f>
        <v>-6.4134536829068374</v>
      </c>
      <c r="W23" s="1">
        <f>$J23+SUMPRODUCT(regions!DP22:DW22,regions!DP$204:DW$204)</f>
        <v>-6.309900423919613</v>
      </c>
      <c r="X23" s="1">
        <f>$J23+SUMPRODUCT(regions!AB22:AE22,regions!AB$204:AE$204)</f>
        <v>-4.1786017320490334</v>
      </c>
      <c r="Y23" s="1">
        <f>$J23+SUMPRODUCT(regions!BX22:CJ22,regions!BX$204:CJ$204)</f>
        <v>-4.772235060029546</v>
      </c>
      <c r="Z23" s="1">
        <f>$J23+SUMPRODUCT(regions!CX22:DF22,regions!CX$204:DF$204)</f>
        <v>-2.1199004239196135</v>
      </c>
      <c r="AA23" s="1">
        <f t="shared" si="6"/>
        <v>-6.6730109444202945</v>
      </c>
      <c r="AB23" s="1">
        <f t="shared" si="7"/>
        <v>-8.2330712961048818</v>
      </c>
      <c r="AC23" s="1">
        <f>$J23+SUMPRODUCT(regions!DZ22:EG22,regions!DZ$204:EG$204)</f>
        <v>-4.2708004239196136</v>
      </c>
      <c r="AD23" s="1">
        <f t="shared" si="21"/>
        <v>-9.0700117436597925</v>
      </c>
      <c r="AE23" s="1">
        <f t="shared" si="21"/>
        <v>-10.580011743659792</v>
      </c>
      <c r="AF23" s="1">
        <f t="shared" si="8"/>
        <v>-36.700953978765163</v>
      </c>
      <c r="AG23" s="1">
        <f>$J23+SUMPRODUCT(regions!AX22:BK22,regions!AX$204:BK$204)</f>
        <v>-2.7091140893916617</v>
      </c>
      <c r="AH23" s="1">
        <f>$J23+SUMPRODUCT(regions!AG22:AV22,regions!AG$204:AV$204)</f>
        <v>-10.875727647658058</v>
      </c>
      <c r="AI23" s="1">
        <f t="shared" si="22"/>
        <v>-10.080011743659792</v>
      </c>
      <c r="AJ23" s="1">
        <f>SartoriRoson!C20</f>
        <v>-4.6100000000000003</v>
      </c>
      <c r="AK23" s="1">
        <f>Kompas!E20</f>
        <v>-11.646000000000001</v>
      </c>
      <c r="AL23" s="1">
        <f>$J23+SUMPRODUCT(regions!EY22:FW22,regions!EY$204:FW$204)</f>
        <v>-3.5428628674045388</v>
      </c>
      <c r="AM23" s="1">
        <f>$J23+SUMPRODUCT(regions!FZ22:GF22,regions!FZ$204:GF$204)</f>
        <v>-8.617895028691791E-2</v>
      </c>
      <c r="AN23" s="1">
        <f t="shared" si="13"/>
        <v>-17.280011743659792</v>
      </c>
      <c r="AO23" s="1">
        <f t="shared" si="13"/>
        <v>-16.580011743659792</v>
      </c>
      <c r="AP23" s="1">
        <f t="shared" si="13"/>
        <v>-11.780011743659792</v>
      </c>
      <c r="AQ23" s="1">
        <f t="shared" si="14"/>
        <v>-2.9504844326693576</v>
      </c>
      <c r="AR23" s="1">
        <f t="shared" si="14"/>
        <v>-13.080011743659792</v>
      </c>
      <c r="AS23" s="1">
        <f t="shared" si="14"/>
        <v>-10.380011743659793</v>
      </c>
      <c r="AT23" s="1">
        <f t="shared" si="14"/>
        <v>-8.3733450769931252</v>
      </c>
      <c r="AU23" s="1">
        <f t="shared" si="17"/>
        <v>-13.300011743659791</v>
      </c>
      <c r="AV23" s="1">
        <f t="shared" si="17"/>
        <v>-11.880011743659793</v>
      </c>
      <c r="AW23" s="1">
        <f>$J23+SUMPRODUCT(regions!BN22:BU22,regions!BN$204:BU$204)</f>
        <v>-7.8616169559790166</v>
      </c>
      <c r="AX23" s="1">
        <f t="shared" si="17"/>
        <v>-9.5600117436597927</v>
      </c>
      <c r="AY23" s="1">
        <f t="shared" si="17"/>
        <v>-8.7800117436597915</v>
      </c>
      <c r="AZ23" s="1">
        <f t="shared" si="26"/>
        <v>-8.7800117436597915</v>
      </c>
      <c r="BF23" s="1"/>
      <c r="BG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</row>
    <row r="24" spans="1:90" x14ac:dyDescent="0.35">
      <c r="A24" t="s">
        <v>125</v>
      </c>
      <c r="B24" s="19">
        <f>regions!B23</f>
        <v>9509798</v>
      </c>
      <c r="C24" s="19">
        <f>regions!C23</f>
        <v>5230812507.6709518</v>
      </c>
      <c r="D24" s="8">
        <f>regions!D23</f>
        <v>550.04454433952765</v>
      </c>
      <c r="E24" s="8">
        <f>regions!E23</f>
        <v>15.533592341724118</v>
      </c>
      <c r="F24" s="8">
        <f>regions!F23</f>
        <v>22.736226174613289</v>
      </c>
      <c r="G24" s="1">
        <f>regions!Z23</f>
        <v>27.5</v>
      </c>
      <c r="J24" s="1">
        <f t="shared" si="1"/>
        <v>1.2770110392474052</v>
      </c>
      <c r="K24" s="1">
        <f t="shared" si="19"/>
        <v>-13.675735248777352</v>
      </c>
      <c r="L24" s="1">
        <f t="shared" si="24"/>
        <v>-13.435790632234344</v>
      </c>
      <c r="M24" s="1">
        <f t="shared" si="25"/>
        <v>8.762496590513507</v>
      </c>
      <c r="N24" s="1">
        <f t="shared" ref="N24:R33" si="27">$J24+N$3-$J$3</f>
        <v>-13.174466831465272</v>
      </c>
      <c r="O24" s="1">
        <f t="shared" si="27"/>
        <v>-15.578037758342651</v>
      </c>
      <c r="P24" s="1">
        <f t="shared" si="27"/>
        <v>-13.578037758342651</v>
      </c>
      <c r="Q24" s="1">
        <f t="shared" si="27"/>
        <v>-13.908037758342651</v>
      </c>
      <c r="R24" s="1">
        <f t="shared" si="27"/>
        <v>-16.178037758342651</v>
      </c>
      <c r="S24" s="1">
        <f>$J24+SUMPRODUCT(regions!EI23:EN23,regions!EI$204:EN$204)</f>
        <v>-8.9840362630458621</v>
      </c>
      <c r="T24" s="1">
        <f>$J24+SUMPRODUCT(regions!EQ23:EV23,regions!EQ$204:EV$204)</f>
        <v>-8.4830483300611323</v>
      </c>
      <c r="U24" s="1">
        <f>$J24+SUMPRODUCT(regions!CM23:CU23,regions!CM$204:CU$204)</f>
        <v>-13.178619453371338</v>
      </c>
      <c r="V24" s="1">
        <f>$J24+SUMPRODUCT(regions!DH23:DM23,regions!DH$204:DM$204)</f>
        <v>-10.911479697589696</v>
      </c>
      <c r="W24" s="1">
        <f>$J24+SUMPRODUCT(regions!DP23:DW23,regions!DP$204:DW$204)</f>
        <v>-12.751036946980197</v>
      </c>
      <c r="X24" s="1">
        <f>$J24+SUMPRODUCT(regions!AB23:AE23,regions!AB$204:AE$204)</f>
        <v>-2.2395063089680365</v>
      </c>
      <c r="Y24" s="1">
        <f>$J24+SUMPRODUCT(regions!BX23:CJ23,regions!BX$204:CJ$204)</f>
        <v>-5.6749957486944584</v>
      </c>
      <c r="Z24" s="1">
        <f>$J24+SUMPRODUCT(regions!CX23:DF23,regions!CX$204:DF$204)</f>
        <v>-8.5786194533713385</v>
      </c>
      <c r="AA24" s="1">
        <f t="shared" si="6"/>
        <v>-7.2</v>
      </c>
      <c r="AB24" s="1">
        <f t="shared" si="7"/>
        <v>-12.731097310787741</v>
      </c>
      <c r="AC24" s="1">
        <f>$J24+SUMPRODUCT(regions!DZ23:EG23,regions!DZ$204:EG$204)</f>
        <v>-9.1519369469801966</v>
      </c>
      <c r="AD24" s="1">
        <f t="shared" si="21"/>
        <v>-13.568037758342651</v>
      </c>
      <c r="AE24" s="1">
        <f t="shared" si="21"/>
        <v>-15.078037758342651</v>
      </c>
      <c r="AF24" s="1">
        <f t="shared" si="8"/>
        <v>-41.19897999344802</v>
      </c>
      <c r="AG24" s="1">
        <f>$J24+SUMPRODUCT(regions!AX23:BK23,regions!AX$204:BK$204)</f>
        <v>-5.5130783017351224</v>
      </c>
      <c r="AH24" s="1">
        <f>$J24+SUMPRODUCT(regions!AG23:AV23,regions!AG$204:AV$204)</f>
        <v>-12.413078301735123</v>
      </c>
      <c r="AI24" s="1">
        <f t="shared" si="22"/>
        <v>-14.578037758342651</v>
      </c>
      <c r="AJ24" s="1">
        <f>SartoriRoson!C21</f>
        <v>-13.63</v>
      </c>
      <c r="AK24" s="1">
        <f>Kompas!E21</f>
        <v>-15.566000000000001</v>
      </c>
      <c r="AL24" s="1">
        <f>$J24+SUMPRODUCT(regions!EY23:FW23,regions!EY$204:FW$204)</f>
        <v>-6.0022035674505538</v>
      </c>
      <c r="AM24" s="1">
        <f>$J24+SUMPRODUCT(regions!FZ23:GF23,regions!FZ$204:GF$204)</f>
        <v>-2.8746676394730528</v>
      </c>
      <c r="AN24" s="1">
        <f t="shared" si="13"/>
        <v>-21.778037758342649</v>
      </c>
      <c r="AO24" s="1">
        <f t="shared" si="13"/>
        <v>-21.078037758342653</v>
      </c>
      <c r="AP24" s="1">
        <f t="shared" si="13"/>
        <v>-16.278037758342652</v>
      </c>
      <c r="AQ24" s="1">
        <f t="shared" si="14"/>
        <v>-7.4485104473522172</v>
      </c>
      <c r="AR24" s="1">
        <f t="shared" si="14"/>
        <v>-17.578037758342653</v>
      </c>
      <c r="AS24" s="1">
        <f t="shared" si="14"/>
        <v>-14.87803775834265</v>
      </c>
      <c r="AT24" s="1">
        <f t="shared" si="14"/>
        <v>-12.871371091675984</v>
      </c>
      <c r="AU24" s="1">
        <f t="shared" si="17"/>
        <v>-17.798037758342652</v>
      </c>
      <c r="AV24" s="1">
        <f t="shared" si="17"/>
        <v>-16.37803775834265</v>
      </c>
      <c r="AW24" s="1">
        <f>$J24+SUMPRODUCT(regions!BN23:BU23,regions!BN$204:BU$204)</f>
        <v>-10.627777570968494</v>
      </c>
      <c r="AX24" s="1">
        <f t="shared" si="17"/>
        <v>-14.058037758342651</v>
      </c>
      <c r="AY24" s="1">
        <f t="shared" si="17"/>
        <v>-13.27803775834265</v>
      </c>
      <c r="AZ24" s="1">
        <f t="shared" si="26"/>
        <v>-13.27803775834265</v>
      </c>
      <c r="BB24" t="str">
        <f>Maddison!A10</f>
        <v>Benin</v>
      </c>
      <c r="BC24">
        <f>-Maddison!B10</f>
        <v>-7.2</v>
      </c>
      <c r="BD24" s="1">
        <f>K24-BC24</f>
        <v>-6.4757352487773518</v>
      </c>
      <c r="BF24" s="1"/>
      <c r="BG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</row>
    <row r="25" spans="1:90" x14ac:dyDescent="0.35">
      <c r="A25" t="s">
        <v>354</v>
      </c>
      <c r="B25" s="19">
        <f>regions!B24</f>
        <v>65124</v>
      </c>
      <c r="C25" s="19">
        <f>regions!C24</f>
        <v>4975071875.076025</v>
      </c>
      <c r="D25" s="8">
        <f>regions!D24</f>
        <v>76393.831384374804</v>
      </c>
      <c r="E25" s="8">
        <f>regions!E24</f>
        <v>0</v>
      </c>
      <c r="F25" s="8">
        <f>regions!F24</f>
        <v>0.74804845193957126</v>
      </c>
      <c r="G25" s="1">
        <f>regions!Z24</f>
        <v>21.3</v>
      </c>
      <c r="J25" s="1">
        <f t="shared" si="1"/>
        <v>12.5784883816992</v>
      </c>
      <c r="K25" s="1">
        <f t="shared" si="19"/>
        <v>-2.3742579063255569</v>
      </c>
      <c r="L25" s="1">
        <f t="shared" si="24"/>
        <v>-2.7038908650768358</v>
      </c>
      <c r="M25" s="1">
        <f t="shared" si="25"/>
        <v>6.3267029556204601</v>
      </c>
      <c r="N25" s="1">
        <f t="shared" si="27"/>
        <v>-1.8729894890134773</v>
      </c>
      <c r="O25" s="1">
        <f t="shared" si="27"/>
        <v>-4.2765604158908559</v>
      </c>
      <c r="P25" s="1">
        <f t="shared" si="27"/>
        <v>-2.2765604158908559</v>
      </c>
      <c r="Q25" s="1">
        <f t="shared" si="27"/>
        <v>-2.606560415890856</v>
      </c>
      <c r="R25" s="1">
        <f t="shared" si="27"/>
        <v>-4.8765604158908555</v>
      </c>
      <c r="S25" s="1">
        <f>$J25+SUMPRODUCT(regions!EI24:EN24,regions!EI$204:EN$204)</f>
        <v>2.317441079405933</v>
      </c>
      <c r="T25" s="1">
        <f>$J25+SUMPRODUCT(regions!EQ24:EV24,regions!EQ$204:EV$204)</f>
        <v>2.8184290123906628</v>
      </c>
      <c r="U25" s="1">
        <f>$J25+SUMPRODUCT(regions!CM24:CU24,regions!CM$204:CU$204)</f>
        <v>0.48355090384932176</v>
      </c>
      <c r="V25" s="1">
        <f>$J25+SUMPRODUCT(regions!DH24:DM24,regions!DH$204:DM$204)</f>
        <v>0.38999764486209898</v>
      </c>
      <c r="W25" s="1">
        <f>$J25+SUMPRODUCT(regions!DP24:DW24,regions!DP$204:DW$204)</f>
        <v>0.49355090384932332</v>
      </c>
      <c r="X25" s="1">
        <f>$J25+SUMPRODUCT(regions!AB24:AE24,regions!AB$204:AE$204)</f>
        <v>-2.765214359902922</v>
      </c>
      <c r="Y25" s="1">
        <f>$J25+SUMPRODUCT(regions!BX24:CJ24,regions!BX$204:CJ$204)</f>
        <v>-2.6726486488473267</v>
      </c>
      <c r="Z25" s="1">
        <f>$J25+SUMPRODUCT(regions!CX24:DF24,regions!CX$204:DF$204)</f>
        <v>4.6835509038493228</v>
      </c>
      <c r="AA25" s="1">
        <f t="shared" si="6"/>
        <v>0.13044038334864139</v>
      </c>
      <c r="AB25" s="1">
        <f t="shared" si="7"/>
        <v>-1.4296199683359447</v>
      </c>
      <c r="AC25" s="1">
        <f>$J25+SUMPRODUCT(regions!DZ24:EG24,regions!DZ$204:EG$204)</f>
        <v>2.5326509038493228</v>
      </c>
      <c r="AD25" s="1">
        <f t="shared" si="21"/>
        <v>-2.2665604158908561</v>
      </c>
      <c r="AE25" s="1">
        <f t="shared" si="21"/>
        <v>-3.7765604158908559</v>
      </c>
      <c r="AF25" s="1">
        <f t="shared" si="8"/>
        <v>-29.897502650996227</v>
      </c>
      <c r="AG25" s="1">
        <f>$J25+SUMPRODUCT(regions!AX24:BK24,regions!AX$204:BK$204)</f>
        <v>4.0943372383772747</v>
      </c>
      <c r="AH25" s="1">
        <f>$J25+SUMPRODUCT(regions!AG24:AV24,regions!AG$204:AV$204)</f>
        <v>-4.0722763198891219</v>
      </c>
      <c r="AI25" s="1">
        <f t="shared" si="22"/>
        <v>-3.2765604158908559</v>
      </c>
      <c r="AJ25" s="1">
        <f>SartoriRoson!C22</f>
        <v>-0.32</v>
      </c>
      <c r="AK25" s="1">
        <f>Kompas!E22</f>
        <v>-0.90200000000000002</v>
      </c>
      <c r="AL25" s="1">
        <f>$J25+SUMPRODUCT(regions!EY24:FW24,regions!EY$204:FW$204)</f>
        <v>3.2605884603643975</v>
      </c>
      <c r="AM25" s="1">
        <f>$J25+SUMPRODUCT(regions!FZ24:GF24,regions!FZ$204:GF$204)</f>
        <v>6.7172723774820184</v>
      </c>
      <c r="AN25" s="1">
        <f t="shared" si="13"/>
        <v>-10.476560415890855</v>
      </c>
      <c r="AO25" s="1">
        <f t="shared" si="13"/>
        <v>-9.7765604158908559</v>
      </c>
      <c r="AP25" s="1">
        <f t="shared" si="13"/>
        <v>-4.976560415890857</v>
      </c>
      <c r="AQ25" s="1">
        <f t="shared" si="14"/>
        <v>3.8529668950995788</v>
      </c>
      <c r="AR25" s="1">
        <f t="shared" si="14"/>
        <v>-6.2765604158908559</v>
      </c>
      <c r="AS25" s="1">
        <f t="shared" si="14"/>
        <v>-3.5765604158908548</v>
      </c>
      <c r="AT25" s="1">
        <f t="shared" si="14"/>
        <v>-1.5698937492241889</v>
      </c>
      <c r="AU25" s="1">
        <f t="shared" si="17"/>
        <v>-6.4965604158908556</v>
      </c>
      <c r="AV25" s="1">
        <f t="shared" si="17"/>
        <v>-5.0765604158908548</v>
      </c>
      <c r="AW25" s="1">
        <f>$J25+SUMPRODUCT(regions!BN24:BU24,regions!BN$204:BU$204)</f>
        <v>-1.0581656282100802</v>
      </c>
      <c r="AX25" s="1">
        <f t="shared" si="17"/>
        <v>-2.7565604158908563</v>
      </c>
      <c r="AY25" s="1">
        <f t="shared" si="17"/>
        <v>-1.9765604158908552</v>
      </c>
      <c r="AZ25" s="1">
        <f t="shared" si="26"/>
        <v>-1.9765604158908552</v>
      </c>
      <c r="BF25" s="1"/>
      <c r="BG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</row>
    <row r="26" spans="1:90" x14ac:dyDescent="0.35">
      <c r="A26" t="s">
        <v>355</v>
      </c>
      <c r="B26" s="19">
        <f>regions!B25</f>
        <v>716939</v>
      </c>
      <c r="C26" s="19">
        <f>regions!C25</f>
        <v>1288216614.4579239</v>
      </c>
      <c r="D26" s="8">
        <f>regions!D25</f>
        <v>1796.8287601287193</v>
      </c>
      <c r="E26" s="8">
        <f>regions!E25</f>
        <v>13.143296522614728</v>
      </c>
      <c r="F26" s="8">
        <f>regions!F25</f>
        <v>16.797701973874783</v>
      </c>
      <c r="G26" s="1">
        <f>regions!Z25</f>
        <v>7.4</v>
      </c>
      <c r="J26" s="1">
        <f t="shared" si="1"/>
        <v>10.911130235883409</v>
      </c>
      <c r="K26" s="1">
        <f t="shared" si="19"/>
        <v>-4.0416160521413484</v>
      </c>
      <c r="L26" s="1">
        <f t="shared" si="24"/>
        <v>-4.3957699718779271</v>
      </c>
      <c r="M26" s="1">
        <f t="shared" si="25"/>
        <v>6.5813912395863277</v>
      </c>
      <c r="N26" s="1">
        <f t="shared" si="27"/>
        <v>-3.5403476348292688</v>
      </c>
      <c r="O26" s="1">
        <f t="shared" si="27"/>
        <v>-5.9439185617066475</v>
      </c>
      <c r="P26" s="1">
        <f t="shared" si="27"/>
        <v>-3.9439185617066475</v>
      </c>
      <c r="Q26" s="1">
        <f t="shared" si="27"/>
        <v>-4.2739185617066475</v>
      </c>
      <c r="R26" s="1">
        <f t="shared" si="27"/>
        <v>-6.5439185617066471</v>
      </c>
      <c r="S26" s="1">
        <f>$J26+SUMPRODUCT(regions!EI25:EN25,regions!EI$204:EN$204)</f>
        <v>0.65008293359014147</v>
      </c>
      <c r="T26" s="1">
        <f>$J26+SUMPRODUCT(regions!EQ25:EV25,regions!EQ$204:EV$204)</f>
        <v>1.1510708665748712</v>
      </c>
      <c r="U26" s="1">
        <f>$J26+SUMPRODUCT(regions!CM25:CU25,regions!CM$204:CU$204)</f>
        <v>-4.8868756364545831</v>
      </c>
      <c r="V26" s="1">
        <f>$J26+SUMPRODUCT(regions!DH25:DM25,regions!DH$204:DM$204)</f>
        <v>-1.2773605009536926</v>
      </c>
      <c r="W26" s="1">
        <f>$J26+SUMPRODUCT(regions!DP25:DW25,regions!DP$204:DW$204)</f>
        <v>-5.0614258022042833</v>
      </c>
      <c r="X26" s="1">
        <f>$J26+SUMPRODUCT(regions!AB25:AE25,regions!AB$204:AE$204)</f>
        <v>1.7727250785434094</v>
      </c>
      <c r="Y26" s="1">
        <f>$J26+SUMPRODUCT(regions!BX25:CJ25,regions!BX$204:CJ$204)</f>
        <v>3.6065890310110582</v>
      </c>
      <c r="Z26" s="1">
        <f>$J26+SUMPRODUCT(regions!CX25:DF25,regions!CX$204:DF$204)</f>
        <v>2.0131243635454155</v>
      </c>
      <c r="AA26" s="1">
        <f t="shared" si="6"/>
        <v>-1.5369177624671502</v>
      </c>
      <c r="AB26" s="1">
        <f t="shared" si="7"/>
        <v>-3.0969781141517361</v>
      </c>
      <c r="AC26" s="1">
        <f>$J26+SUMPRODUCT(regions!DZ25:EG25,regions!DZ$204:EG$204)</f>
        <v>0.44357419779571572</v>
      </c>
      <c r="AD26" s="1">
        <f t="shared" si="21"/>
        <v>-3.9339185617066477</v>
      </c>
      <c r="AE26" s="1">
        <f t="shared" si="21"/>
        <v>-5.4439185617066475</v>
      </c>
      <c r="AF26" s="1">
        <f t="shared" si="8"/>
        <v>-31.56486079681202</v>
      </c>
      <c r="AG26" s="1">
        <f>$J26+SUMPRODUCT(regions!AX25:BK25,regions!AX$204:BK$204)</f>
        <v>3.6610801035509688</v>
      </c>
      <c r="AH26" s="1">
        <f>$J26+SUMPRODUCT(regions!AG25:AV25,regions!AG$204:AV$204)</f>
        <v>0.91351817239855038</v>
      </c>
      <c r="AI26" s="1">
        <f t="shared" si="22"/>
        <v>-4.9439185617066475</v>
      </c>
      <c r="AJ26" s="1">
        <f>SartoriRoson!C23</f>
        <v>-4.8899999999999997</v>
      </c>
      <c r="AK26" s="1">
        <f>Kompas!E23</f>
        <v>-9.6059999999999999</v>
      </c>
      <c r="AL26" s="1">
        <f>$J26+SUMPRODUCT(regions!EY25:FW25,regions!EY$204:FW$204)</f>
        <v>0.65804218340284137</v>
      </c>
      <c r="AM26" s="1">
        <f>$J26+SUMPRODUCT(regions!FZ25:GF25,regions!FZ$204:GF$204)</f>
        <v>1.9443954431762904</v>
      </c>
      <c r="AN26" s="1">
        <f t="shared" si="13"/>
        <v>-12.143918561706647</v>
      </c>
      <c r="AO26" s="1">
        <f t="shared" si="13"/>
        <v>-11.443918561706647</v>
      </c>
      <c r="AP26" s="1">
        <f t="shared" si="13"/>
        <v>-6.6439185617066476</v>
      </c>
      <c r="AQ26" s="1">
        <f t="shared" si="14"/>
        <v>2.1856087492837855</v>
      </c>
      <c r="AR26" s="1">
        <f t="shared" si="14"/>
        <v>-7.9439185617066475</v>
      </c>
      <c r="AS26" s="1">
        <f t="shared" si="14"/>
        <v>-5.2439185617066482</v>
      </c>
      <c r="AT26" s="1">
        <f t="shared" si="14"/>
        <v>-3.2372518950399805</v>
      </c>
      <c r="AU26" s="1">
        <f t="shared" si="17"/>
        <v>-8.1639185617066481</v>
      </c>
      <c r="AV26" s="1">
        <f t="shared" si="17"/>
        <v>-6.7439185617066473</v>
      </c>
      <c r="AW26" s="1">
        <f>$J26+SUMPRODUCT(regions!BN25:BU25,regions!BN$204:BU$204)</f>
        <v>-2.7255237740258718</v>
      </c>
      <c r="AX26" s="1">
        <f t="shared" si="17"/>
        <v>-4.4239185617066479</v>
      </c>
      <c r="AY26" s="1">
        <f t="shared" si="17"/>
        <v>-3.6439185617066467</v>
      </c>
      <c r="AZ26" s="1">
        <f t="shared" si="26"/>
        <v>-3.6439185617066467</v>
      </c>
      <c r="BF26" s="1"/>
      <c r="BG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</row>
    <row r="27" spans="1:90" x14ac:dyDescent="0.35">
      <c r="A27" t="s">
        <v>126</v>
      </c>
      <c r="B27" s="19">
        <f>regions!B26</f>
        <v>10156601</v>
      </c>
      <c r="C27" s="19">
        <f>regions!C26</f>
        <v>11954060130.08857</v>
      </c>
      <c r="D27" s="8">
        <f>regions!D26</f>
        <v>1176.9744750324021</v>
      </c>
      <c r="E27" s="8">
        <f>regions!E26</f>
        <v>0</v>
      </c>
      <c r="F27" s="8">
        <f>regions!F26</f>
        <v>10.389905338413545</v>
      </c>
      <c r="G27" s="1">
        <f>regions!Z26</f>
        <v>21.5</v>
      </c>
      <c r="J27" s="1">
        <f t="shared" si="1"/>
        <v>4.8955627820050731</v>
      </c>
      <c r="K27" s="1">
        <f t="shared" si="19"/>
        <v>-10.057183506019683</v>
      </c>
      <c r="L27" s="1">
        <f t="shared" si="24"/>
        <v>-9.6868264645397328</v>
      </c>
      <c r="M27" s="1">
        <f t="shared" si="25"/>
        <v>7.6569967889129815</v>
      </c>
      <c r="N27" s="1">
        <f t="shared" si="27"/>
        <v>-9.5559150887076036</v>
      </c>
      <c r="O27" s="1">
        <f t="shared" si="27"/>
        <v>-11.959486015584982</v>
      </c>
      <c r="P27" s="1">
        <f t="shared" si="27"/>
        <v>-9.9594860155849823</v>
      </c>
      <c r="Q27" s="1">
        <f t="shared" si="27"/>
        <v>-10.289486015584984</v>
      </c>
      <c r="R27" s="1">
        <f t="shared" si="27"/>
        <v>-12.559486015584984</v>
      </c>
      <c r="S27" s="1">
        <f>$J27+SUMPRODUCT(regions!EI26:EN26,regions!EI$204:EN$204)</f>
        <v>-5.3654845202881942</v>
      </c>
      <c r="T27" s="1">
        <f>$J27+SUMPRODUCT(regions!EQ26:EV26,regions!EQ$204:EV$204)</f>
        <v>-4.8644965873034645</v>
      </c>
      <c r="U27" s="1">
        <f>$J27+SUMPRODUCT(regions!CM26:CU26,regions!CM$204:CU$204)</f>
        <v>-7.1993746958448055</v>
      </c>
      <c r="V27" s="1">
        <f>$J27+SUMPRODUCT(regions!DH26:DM26,regions!DH$204:DM$204)</f>
        <v>-7.2929279548320283</v>
      </c>
      <c r="W27" s="1">
        <f>$J27+SUMPRODUCT(regions!DP26:DW26,regions!DP$204:DW$204)</f>
        <v>-7.1893746958448039</v>
      </c>
      <c r="X27" s="1">
        <f>$J27+SUMPRODUCT(regions!AB26:AE26,regions!AB$204:AE$204)</f>
        <v>-4.2428423753349263</v>
      </c>
      <c r="Y27" s="1">
        <f>$J27+SUMPRODUCT(regions!BX26:CJ26,regions!BX$204:CJ$204)</f>
        <v>-2.4089784228672775</v>
      </c>
      <c r="Z27" s="1">
        <f>$J27+SUMPRODUCT(regions!CX26:DF26,regions!CX$204:DF$204)</f>
        <v>-2.9993746958448044</v>
      </c>
      <c r="AA27" s="1">
        <f t="shared" si="6"/>
        <v>-7.5524852163454845</v>
      </c>
      <c r="AB27" s="1">
        <f t="shared" si="7"/>
        <v>-9.1125455680300718</v>
      </c>
      <c r="AC27" s="1">
        <f>$J27+SUMPRODUCT(regions!DZ26:EG26,regions!DZ$204:EG$204)</f>
        <v>-5.1502746958448045</v>
      </c>
      <c r="AD27" s="1">
        <f t="shared" si="21"/>
        <v>-9.9494860155849842</v>
      </c>
      <c r="AE27" s="1">
        <f t="shared" si="21"/>
        <v>-11.459486015584982</v>
      </c>
      <c r="AF27" s="1">
        <f t="shared" si="8"/>
        <v>-37.580428250690353</v>
      </c>
      <c r="AG27" s="1">
        <f>$J27+SUMPRODUCT(regions!AX26:BK26,regions!AX$204:BK$204)</f>
        <v>-3.5885883613168525</v>
      </c>
      <c r="AH27" s="1">
        <f>$J27+SUMPRODUCT(regions!AG26:AV26,regions!AG$204:AV$204)</f>
        <v>-11.75520191958325</v>
      </c>
      <c r="AI27" s="1">
        <f t="shared" si="22"/>
        <v>-10.959486015584982</v>
      </c>
      <c r="AJ27" s="1">
        <f>SartoriRoson!C24</f>
        <v>-2.84</v>
      </c>
      <c r="AK27" s="1">
        <f>Kompas!E24</f>
        <v>-2.3319999999999999</v>
      </c>
      <c r="AL27" s="1">
        <f>$J27+SUMPRODUCT(regions!EY26:FW26,regions!EY$204:FW$204)</f>
        <v>-4.4223371393297297</v>
      </c>
      <c r="AM27" s="1">
        <f>$J27+SUMPRODUCT(regions!FZ26:GF26,regions!FZ$204:GF$204)</f>
        <v>-0.96565322221210881</v>
      </c>
      <c r="AN27" s="1">
        <f t="shared" si="13"/>
        <v>-18.159486015584982</v>
      </c>
      <c r="AO27" s="1">
        <f t="shared" si="13"/>
        <v>-17.459486015584982</v>
      </c>
      <c r="AP27" s="1">
        <f t="shared" si="13"/>
        <v>-12.659486015584983</v>
      </c>
      <c r="AQ27" s="1">
        <f t="shared" si="14"/>
        <v>-3.8299587045945493</v>
      </c>
      <c r="AR27" s="1">
        <f t="shared" si="14"/>
        <v>-13.959486015584982</v>
      </c>
      <c r="AS27" s="1">
        <f t="shared" si="14"/>
        <v>-11.259486015584983</v>
      </c>
      <c r="AT27" s="1">
        <f t="shared" si="14"/>
        <v>-9.2528193489183153</v>
      </c>
      <c r="AU27" s="1">
        <f t="shared" si="17"/>
        <v>-14.179486015584983</v>
      </c>
      <c r="AV27" s="1">
        <f t="shared" si="17"/>
        <v>-12.759486015584983</v>
      </c>
      <c r="AW27" s="1">
        <f>$J27+SUMPRODUCT(regions!BN26:BU26,regions!BN$204:BU$204)</f>
        <v>-7.009225828210826</v>
      </c>
      <c r="AX27" s="1">
        <f t="shared" si="17"/>
        <v>-10.439486015584983</v>
      </c>
      <c r="AY27" s="1">
        <f t="shared" si="17"/>
        <v>-9.6594860155849833</v>
      </c>
      <c r="AZ27" s="1">
        <f t="shared" si="26"/>
        <v>-9.6594860155849833</v>
      </c>
      <c r="BF27" s="1"/>
      <c r="BG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</row>
    <row r="28" spans="1:90" x14ac:dyDescent="0.35">
      <c r="A28" t="s">
        <v>246</v>
      </c>
      <c r="B28" s="19">
        <f>regions!B27</f>
        <v>3845929</v>
      </c>
      <c r="C28" s="19">
        <f>regions!C27</f>
        <v>12803068421.085346</v>
      </c>
      <c r="D28" s="8">
        <f>regions!D27</f>
        <v>3328.9924023780331</v>
      </c>
      <c r="E28" s="8">
        <f>regions!E27</f>
        <v>19.685676092677955</v>
      </c>
      <c r="F28" s="8">
        <f>regions!F27</f>
        <v>6.7967600807302881</v>
      </c>
      <c r="G28" s="1">
        <f>regions!Z27</f>
        <v>9.8000000000000007</v>
      </c>
      <c r="J28" s="1">
        <f t="shared" si="1"/>
        <v>11.142835040183042</v>
      </c>
      <c r="K28" s="1">
        <f t="shared" si="19"/>
        <v>-3.8099112478417148</v>
      </c>
      <c r="L28" s="1">
        <f t="shared" si="24"/>
        <v>-3.6815808667778289</v>
      </c>
      <c r="M28" s="1">
        <f t="shared" si="25"/>
        <v>4.3571483027330533</v>
      </c>
      <c r="N28" s="1">
        <f t="shared" si="27"/>
        <v>-3.3086428305296351</v>
      </c>
      <c r="O28" s="1">
        <f t="shared" si="27"/>
        <v>-5.7122137574070138</v>
      </c>
      <c r="P28" s="1">
        <f t="shared" si="27"/>
        <v>-3.7122137574070138</v>
      </c>
      <c r="Q28" s="1">
        <f t="shared" si="27"/>
        <v>-4.0422137574070138</v>
      </c>
      <c r="R28" s="1">
        <f t="shared" si="27"/>
        <v>-6.3122137574070134</v>
      </c>
      <c r="S28" s="1">
        <f>$J28+SUMPRODUCT(regions!EI27:EN27,regions!EI$204:EN$204)</f>
        <v>0.88178773788977516</v>
      </c>
      <c r="T28" s="1">
        <f>$J28+SUMPRODUCT(regions!EQ27:EV27,regions!EQ$204:EV$204)</f>
        <v>1.3827756708745049</v>
      </c>
      <c r="U28" s="1">
        <f>$J28+SUMPRODUCT(regions!CM27:CU27,regions!CM$204:CU$204)</f>
        <v>-3.5131717890530467</v>
      </c>
      <c r="V28" s="1">
        <f>$J28+SUMPRODUCT(regions!DH27:DM27,regions!DH$204:DM$204)</f>
        <v>-1.0456556966540589</v>
      </c>
      <c r="W28" s="1">
        <f>$J28+SUMPRODUCT(regions!DP27:DW27,regions!DP$204:DW$204)</f>
        <v>-3.8131717890530474</v>
      </c>
      <c r="X28" s="1">
        <f>$J28+SUMPRODUCT(regions!AB27:AE27,regions!AB$204:AE$204)</f>
        <v>2.0044298828430431</v>
      </c>
      <c r="Y28" s="1">
        <f>$J28+SUMPRODUCT(regions!BX27:CJ27,regions!BX$204:CJ$204)</f>
        <v>-2.9500236393096575</v>
      </c>
      <c r="Z28" s="1">
        <f>$J28+SUMPRODUCT(regions!CX27:DF27,regions!CX$204:DF$204)</f>
        <v>-1.8131717890530474</v>
      </c>
      <c r="AA28" s="1">
        <f t="shared" si="6"/>
        <v>-1.3052129581675165</v>
      </c>
      <c r="AB28" s="1">
        <f t="shared" si="7"/>
        <v>-8.3112235342548804</v>
      </c>
      <c r="AC28" s="1">
        <f>$J28+SUMPRODUCT(regions!DZ27:EG27,regions!DZ$204:EG$204)</f>
        <v>-3.3826717890530471</v>
      </c>
      <c r="AD28" s="1">
        <f t="shared" si="21"/>
        <v>-3.702213757407014</v>
      </c>
      <c r="AE28" s="1">
        <f t="shared" si="21"/>
        <v>-5.2122137574070138</v>
      </c>
      <c r="AF28" s="1">
        <f t="shared" si="8"/>
        <v>11.7</v>
      </c>
      <c r="AG28" s="1">
        <f>$J28+SUMPRODUCT(regions!AX27:BK27,regions!AX$204:BK$204)</f>
        <v>-2.6223417633410566</v>
      </c>
      <c r="AH28" s="1">
        <f>$J28+SUMPRODUCT(regions!AG27:AV27,regions!AG$204:AV$204)</f>
        <v>-3.2619737241396098</v>
      </c>
      <c r="AI28" s="1">
        <f t="shared" si="22"/>
        <v>-4.7122137574070138</v>
      </c>
      <c r="AJ28" s="1">
        <f>SartoriRoson!C25</f>
        <v>0.01</v>
      </c>
      <c r="AK28" s="1">
        <f>Kompas!E25</f>
        <v>-0.20499999999999999</v>
      </c>
      <c r="AL28" s="1">
        <f>$J28+SUMPRODUCT(regions!EY27:FW27,regions!EY$204:FW$204)</f>
        <v>-1.3234441822993315</v>
      </c>
      <c r="AM28" s="1">
        <f>$J28+SUMPRODUCT(regions!FZ27:GF27,regions!FZ$204:GF$204)</f>
        <v>-3.1253953346649457</v>
      </c>
      <c r="AN28" s="1">
        <f t="shared" si="13"/>
        <v>-11.912213757407013</v>
      </c>
      <c r="AO28" s="1">
        <f t="shared" si="13"/>
        <v>-11.212213757407014</v>
      </c>
      <c r="AP28" s="1">
        <f t="shared" si="13"/>
        <v>-6.4122137574070139</v>
      </c>
      <c r="AQ28" s="1">
        <f t="shared" si="14"/>
        <v>2.4173135535834209</v>
      </c>
      <c r="AR28" s="1">
        <f t="shared" si="14"/>
        <v>-7.7122137574070138</v>
      </c>
      <c r="AS28" s="1">
        <f t="shared" si="14"/>
        <v>-5.0122137574070127</v>
      </c>
      <c r="AT28" s="1">
        <f t="shared" si="14"/>
        <v>-3.0055470907403468</v>
      </c>
      <c r="AU28" s="1">
        <f t="shared" si="17"/>
        <v>-7.9322137574070135</v>
      </c>
      <c r="AV28" s="1">
        <f t="shared" si="17"/>
        <v>-6.5122137574070136</v>
      </c>
      <c r="AW28" s="1">
        <f>$J28+SUMPRODUCT(regions!BN27:BU27,regions!BN$204:BU$204)</f>
        <v>-3.9189963031329516</v>
      </c>
      <c r="AX28" s="1">
        <f t="shared" si="17"/>
        <v>-4.1922137574070142</v>
      </c>
      <c r="AY28" s="1">
        <f t="shared" si="17"/>
        <v>-3.412213757407013</v>
      </c>
      <c r="AZ28" s="1">
        <f t="shared" si="26"/>
        <v>-3.412213757407013</v>
      </c>
      <c r="BE28" t="str">
        <f>RehdanzMaddison!P13</f>
        <v>Bosnia and Herzegovina</v>
      </c>
      <c r="BF28" s="1">
        <f>-100*RehdanzMaddison!U13</f>
        <v>-4.7729156692126562</v>
      </c>
      <c r="BG28" s="1">
        <f>-100*RehdanzMaddison!V13</f>
        <v>-8.3112235342548804</v>
      </c>
      <c r="BH28" s="1">
        <f>$K28-BF28</f>
        <v>0.96300442137094144</v>
      </c>
      <c r="BI28" s="1">
        <f>$K28-BG28</f>
        <v>4.5013122864131656</v>
      </c>
      <c r="BJ28" t="str">
        <f>MaddisonRehdanz!A11</f>
        <v>Bosnia and Herzegovina</v>
      </c>
      <c r="BK28">
        <f>MaddisonRehdanz!D11</f>
        <v>11.7</v>
      </c>
      <c r="BL28" s="1">
        <f>$K28-BK28</f>
        <v>-15.509911247841714</v>
      </c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</row>
    <row r="29" spans="1:90" x14ac:dyDescent="0.35">
      <c r="A29" t="s">
        <v>128</v>
      </c>
      <c r="B29" s="19">
        <f>regions!B28</f>
        <v>1969341</v>
      </c>
      <c r="C29" s="19">
        <f>regions!C28</f>
        <v>12116816308.861942</v>
      </c>
      <c r="D29" s="8">
        <f>regions!D28</f>
        <v>6152.7263733715708</v>
      </c>
      <c r="E29" s="8">
        <f>regions!E28</f>
        <v>23.604432083532782</v>
      </c>
      <c r="F29" s="8">
        <f>regions!F28</f>
        <v>2.4880377728656509</v>
      </c>
      <c r="G29" s="1">
        <f>regions!Z28</f>
        <v>21.5</v>
      </c>
      <c r="J29" s="1">
        <f t="shared" si="1"/>
        <v>7.9112031446612905</v>
      </c>
      <c r="K29" s="1">
        <f t="shared" si="19"/>
        <v>-7.0415431433634668</v>
      </c>
      <c r="L29" s="1">
        <f t="shared" si="24"/>
        <v>-8.3179517387605824</v>
      </c>
      <c r="M29" s="1">
        <f t="shared" si="25"/>
        <v>16.12738414332663</v>
      </c>
      <c r="N29" s="1">
        <f t="shared" si="27"/>
        <v>-6.5402747260513863</v>
      </c>
      <c r="O29" s="1">
        <f t="shared" si="27"/>
        <v>-8.9438456529287649</v>
      </c>
      <c r="P29" s="1">
        <f t="shared" si="27"/>
        <v>-6.9438456529287658</v>
      </c>
      <c r="Q29" s="1">
        <f t="shared" si="27"/>
        <v>-7.2738456529287658</v>
      </c>
      <c r="R29" s="1">
        <f t="shared" si="27"/>
        <v>-9.5438456529287663</v>
      </c>
      <c r="S29" s="1">
        <f>$J29+SUMPRODUCT(regions!EI28:EN28,regions!EI$204:EN$204)</f>
        <v>-2.3498441576319768</v>
      </c>
      <c r="T29" s="1">
        <f>$J29+SUMPRODUCT(regions!EQ28:EV28,regions!EQ$204:EV$204)</f>
        <v>-1.8488562246472471</v>
      </c>
      <c r="U29" s="1">
        <f>$J29+SUMPRODUCT(regions!CM28:CU28,regions!CM$204:CU$204)</f>
        <v>-6.5444273479574528</v>
      </c>
      <c r="V29" s="1">
        <f>$J29+SUMPRODUCT(regions!DH28:DM28,regions!DH$204:DM$204)</f>
        <v>-4.2772875921758109</v>
      </c>
      <c r="W29" s="1">
        <f>$J29+SUMPRODUCT(regions!DP28:DW28,regions!DP$204:DW$204)</f>
        <v>-6.1168448415663113</v>
      </c>
      <c r="X29" s="1">
        <f>$J29+SUMPRODUCT(regions!AB28:AE28,regions!AB$204:AE$204)</f>
        <v>-2.0424356413180069</v>
      </c>
      <c r="Y29" s="1">
        <f>$J29+SUMPRODUCT(regions!BX28:CJ28,regions!BX$204:CJ$204)</f>
        <v>0.95919635671942682</v>
      </c>
      <c r="Z29" s="1">
        <f>$J29+SUMPRODUCT(regions!CX28:DF28,regions!CX$204:DF$204)</f>
        <v>-1.9444273479574532</v>
      </c>
      <c r="AA29" s="1">
        <f t="shared" si="6"/>
        <v>-2.6</v>
      </c>
      <c r="AB29" s="1">
        <f t="shared" si="7"/>
        <v>-6.0969052053738544</v>
      </c>
      <c r="AC29" s="1">
        <f>$J29+SUMPRODUCT(regions!DZ28:EG28,regions!DZ$204:EG$204)</f>
        <v>-2.5177448415663113</v>
      </c>
      <c r="AD29" s="1">
        <f t="shared" si="21"/>
        <v>-6.933845652928766</v>
      </c>
      <c r="AE29" s="1">
        <f t="shared" si="21"/>
        <v>-8.4438456529287649</v>
      </c>
      <c r="AF29" s="1">
        <f t="shared" si="8"/>
        <v>-93</v>
      </c>
      <c r="AG29" s="1">
        <f>$J29+SUMPRODUCT(regions!AX28:BK28,regions!AX$204:BK$204)</f>
        <v>1.1211138036787629</v>
      </c>
      <c r="AH29" s="1">
        <f>$J29+SUMPRODUCT(regions!AG28:AV28,regions!AG$204:AV$204)</f>
        <v>-5.7788861963212375</v>
      </c>
      <c r="AI29" s="1">
        <f t="shared" si="22"/>
        <v>-7.9438456529287658</v>
      </c>
      <c r="AJ29" s="1">
        <f>SartoriRoson!C26</f>
        <v>-3.38</v>
      </c>
      <c r="AK29" s="1">
        <f>Kompas!E26</f>
        <v>-3.0470000000000002</v>
      </c>
      <c r="AL29" s="1">
        <f>$J29+SUMPRODUCT(regions!EY28:FW28,regions!EY$204:FW$204)</f>
        <v>0.63198853796333143</v>
      </c>
      <c r="AM29" s="1">
        <f>$J29+SUMPRODUCT(regions!FZ28:GF28,regions!FZ$204:GF$204)</f>
        <v>3.7595244659408324</v>
      </c>
      <c r="AN29" s="1">
        <f t="shared" si="13"/>
        <v>-15.143845652928764</v>
      </c>
      <c r="AO29" s="1">
        <f t="shared" si="13"/>
        <v>-14.443845652928765</v>
      </c>
      <c r="AP29" s="1">
        <f t="shared" si="13"/>
        <v>-9.6438456529287659</v>
      </c>
      <c r="AQ29" s="1">
        <f t="shared" si="14"/>
        <v>-0.81431834193833197</v>
      </c>
      <c r="AR29" s="1">
        <f t="shared" si="14"/>
        <v>-10.943845652928765</v>
      </c>
      <c r="AS29" s="1">
        <f t="shared" si="14"/>
        <v>-8.2438456529287656</v>
      </c>
      <c r="AT29" s="1">
        <f t="shared" si="14"/>
        <v>-6.2371789862620988</v>
      </c>
      <c r="AU29" s="1">
        <f t="shared" si="17"/>
        <v>-11.163845652928766</v>
      </c>
      <c r="AV29" s="1">
        <f t="shared" si="17"/>
        <v>-9.7438456529287656</v>
      </c>
      <c r="AW29" s="1">
        <f>$J29+SUMPRODUCT(regions!BN28:BU28,regions!BN$204:BU$204)</f>
        <v>-5.7254508652479901</v>
      </c>
      <c r="AX29" s="1">
        <f t="shared" si="17"/>
        <v>-7.4238456529287653</v>
      </c>
      <c r="AY29" s="1">
        <f t="shared" si="17"/>
        <v>-6.6438456529287659</v>
      </c>
      <c r="AZ29" s="1">
        <f t="shared" si="26"/>
        <v>-6.6438456529287659</v>
      </c>
      <c r="BB29" t="str">
        <f>Maddison!A12</f>
        <v>Botswana</v>
      </c>
      <c r="BC29">
        <f>-Maddison!B12</f>
        <v>-2.6</v>
      </c>
      <c r="BD29" s="1">
        <f>K29-BC29</f>
        <v>-4.4415431433634662</v>
      </c>
      <c r="BF29" s="1"/>
      <c r="BG29" s="1"/>
      <c r="BJ29" t="str">
        <f>MaddisonRehdanz!A12</f>
        <v>Brazil</v>
      </c>
      <c r="BK29">
        <f>MaddisonRehdanz!D12</f>
        <v>-93</v>
      </c>
      <c r="BL29" s="1">
        <f>$K29-BK29</f>
        <v>85.958456856636531</v>
      </c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</row>
    <row r="30" spans="1:90" x14ac:dyDescent="0.35">
      <c r="A30" t="s">
        <v>129</v>
      </c>
      <c r="B30" s="19">
        <f>regions!B29</f>
        <v>195210154</v>
      </c>
      <c r="C30" s="19">
        <f>regions!C29</f>
        <v>1096754010432.5254</v>
      </c>
      <c r="D30" s="8">
        <f>regions!D29</f>
        <v>5618.3246002281494</v>
      </c>
      <c r="E30" s="8">
        <f>regions!E29</f>
        <v>13.623447382747958</v>
      </c>
      <c r="F30" s="8">
        <f>regions!F29</f>
        <v>4.1157564875817298</v>
      </c>
      <c r="G30" s="1">
        <f>regions!Z29</f>
        <v>24.9</v>
      </c>
      <c r="J30" s="1">
        <f t="shared" si="1"/>
        <v>6.480982543391935</v>
      </c>
      <c r="K30" s="1">
        <f t="shared" si="19"/>
        <v>-8.4717637446328222</v>
      </c>
      <c r="L30" s="1">
        <f t="shared" si="24"/>
        <v>-8.040438284088566</v>
      </c>
      <c r="M30" s="1">
        <f t="shared" si="25"/>
        <v>7.2462985692962691</v>
      </c>
      <c r="N30" s="1">
        <f t="shared" si="27"/>
        <v>-7.9704953273207426</v>
      </c>
      <c r="O30" s="1">
        <f t="shared" si="27"/>
        <v>-10.374066254198121</v>
      </c>
      <c r="P30" s="1">
        <f t="shared" si="27"/>
        <v>-8.3740662541981212</v>
      </c>
      <c r="Q30" s="1">
        <f t="shared" si="27"/>
        <v>-8.7040662541981213</v>
      </c>
      <c r="R30" s="1">
        <f t="shared" si="27"/>
        <v>-10.974066254198121</v>
      </c>
      <c r="S30" s="1">
        <f>$J30+SUMPRODUCT(regions!EI29:EN29,regions!EI$204:EN$204)</f>
        <v>-3.7800647589013323</v>
      </c>
      <c r="T30" s="1">
        <f>$J30+SUMPRODUCT(regions!EQ29:EV29,regions!EQ$204:EV$204)</f>
        <v>-3.2790768259166025</v>
      </c>
      <c r="U30" s="1">
        <f>$J30+SUMPRODUCT(regions!CM29:CU29,regions!CM$204:CU$204)</f>
        <v>-5.6139549344579436</v>
      </c>
      <c r="V30" s="1">
        <f>$J30+SUMPRODUCT(regions!DH29:DM29,regions!DH$204:DM$204)</f>
        <v>-5.7075081934451664</v>
      </c>
      <c r="W30" s="1">
        <f>$J30+SUMPRODUCT(regions!DP29:DW29,regions!DP$204:DW$204)</f>
        <v>-5.603954934457942</v>
      </c>
      <c r="X30" s="1">
        <f>$J30+SUMPRODUCT(regions!AB29:AE29,regions!AB$204:AE$204)</f>
        <v>-3.4726562425873624</v>
      </c>
      <c r="Y30" s="1">
        <f>$J30+SUMPRODUCT(regions!BX29:CJ29,regions!BX$204:CJ$204)</f>
        <v>-5.9043402058383023</v>
      </c>
      <c r="Z30" s="1">
        <f>$J30+SUMPRODUCT(regions!CX29:DF29,regions!CX$204:DF$204)</f>
        <v>-1.4139549344579425</v>
      </c>
      <c r="AA30" s="1">
        <f t="shared" si="6"/>
        <v>-3.5</v>
      </c>
      <c r="AB30" s="1">
        <f t="shared" si="7"/>
        <v>-2.0299645911410789</v>
      </c>
      <c r="AC30" s="1">
        <f>$J30+SUMPRODUCT(regions!DZ29:EG29,regions!DZ$204:EG$204)</f>
        <v>-3.5648549344579425</v>
      </c>
      <c r="AD30" s="1">
        <f t="shared" si="21"/>
        <v>-8.3640662541981214</v>
      </c>
      <c r="AE30" s="1">
        <f t="shared" si="21"/>
        <v>-9.8740662541981212</v>
      </c>
      <c r="AF30" s="1">
        <f t="shared" si="8"/>
        <v>-35.995008489303494</v>
      </c>
      <c r="AG30" s="1">
        <f>$J30+SUMPRODUCT(regions!AX29:BK29,regions!AX$204:BK$204)</f>
        <v>-2.0031685999299906</v>
      </c>
      <c r="AH30" s="1">
        <f>$J30+SUMPRODUCT(regions!AG29:AV29,regions!AG$204:AV$204)</f>
        <v>-5.8000000000000007</v>
      </c>
      <c r="AI30" s="1">
        <f t="shared" si="22"/>
        <v>-9.3740662541981212</v>
      </c>
      <c r="AJ30" s="1">
        <f>SartoriRoson!C27</f>
        <v>-2.13</v>
      </c>
      <c r="AK30" s="1">
        <f>Kompas!E27</f>
        <v>-3.843</v>
      </c>
      <c r="AL30" s="1">
        <f>$J30+SUMPRODUCT(regions!EY29:FW29,regions!EY$204:FW$204)</f>
        <v>-1.1934377676277501</v>
      </c>
      <c r="AM30" s="1">
        <f>$J30+SUMPRODUCT(regions!FZ29:GF29,regions!FZ$204:GF$204)</f>
        <v>0.61976653917475311</v>
      </c>
      <c r="AN30" s="1">
        <f t="shared" si="13"/>
        <v>-16.574066254198122</v>
      </c>
      <c r="AO30" s="1">
        <f t="shared" si="13"/>
        <v>-15.874066254198121</v>
      </c>
      <c r="AP30" s="1">
        <f t="shared" si="13"/>
        <v>-11.074066254198122</v>
      </c>
      <c r="AQ30" s="1">
        <f t="shared" si="14"/>
        <v>-2.2445389432076883</v>
      </c>
      <c r="AR30" s="1">
        <f t="shared" si="14"/>
        <v>-12.374066254198121</v>
      </c>
      <c r="AS30" s="1">
        <f t="shared" si="14"/>
        <v>-9.6740662541981202</v>
      </c>
      <c r="AT30" s="1">
        <f t="shared" si="14"/>
        <v>-7.6673995875314542</v>
      </c>
      <c r="AU30" s="1">
        <f t="shared" si="17"/>
        <v>-12.594066254198122</v>
      </c>
      <c r="AV30" s="1">
        <f t="shared" si="17"/>
        <v>-11.17406625419812</v>
      </c>
      <c r="AW30" s="1">
        <f>$J30+SUMPRODUCT(regions!BN29:BU29,regions!BN$204:BU$204)</f>
        <v>-7.1556714665173455</v>
      </c>
      <c r="AX30" s="1">
        <f t="shared" si="17"/>
        <v>-8.8540662541981217</v>
      </c>
      <c r="AY30" s="1">
        <f t="shared" si="17"/>
        <v>-8.0740662541981223</v>
      </c>
      <c r="AZ30" s="1">
        <f t="shared" si="26"/>
        <v>-8.0740662541981223</v>
      </c>
      <c r="BB30" t="str">
        <f>Maddison!A13</f>
        <v>Brazil</v>
      </c>
      <c r="BC30">
        <f>-Maddison!B13</f>
        <v>-3.5</v>
      </c>
      <c r="BD30" s="1">
        <f>K30-BC30</f>
        <v>-4.9717637446328222</v>
      </c>
      <c r="BE30" t="str">
        <f>RehdanzMaddison!P14</f>
        <v>Brazil</v>
      </c>
      <c r="BF30" s="1">
        <f>-100*RehdanzMaddison!U14</f>
        <v>-1.0369639375701818</v>
      </c>
      <c r="BG30" s="1">
        <f>-100*RehdanzMaddison!V14</f>
        <v>-2.0299645911410789</v>
      </c>
      <c r="BH30" s="1">
        <f>$K30-BF30</f>
        <v>-7.4347998070626407</v>
      </c>
      <c r="BI30" s="1">
        <f>$K30-BG30</f>
        <v>-6.4417991534917434</v>
      </c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</row>
    <row r="31" spans="1:90" x14ac:dyDescent="0.35">
      <c r="A31" t="s">
        <v>356</v>
      </c>
      <c r="B31" s="19">
        <f>regions!B30</f>
        <v>400569</v>
      </c>
      <c r="C31" s="19">
        <f>regions!C30</f>
        <v>9849702194.2507877</v>
      </c>
      <c r="D31" s="8">
        <f>regions!D30</f>
        <v>24589.277238754839</v>
      </c>
      <c r="E31" s="8">
        <f>regions!E30</f>
        <v>0</v>
      </c>
      <c r="F31" s="8">
        <f>regions!F30</f>
        <v>0.73301230604601397</v>
      </c>
      <c r="G31" s="1">
        <f>regions!Z30</f>
        <v>26.9</v>
      </c>
      <c r="J31" s="1">
        <f t="shared" si="1"/>
        <v>8.4288209677889459</v>
      </c>
      <c r="K31" s="1">
        <f t="shared" si="19"/>
        <v>-6.5239253202358114</v>
      </c>
      <c r="L31" s="1">
        <f t="shared" si="24"/>
        <v>-7.0472433114067279</v>
      </c>
      <c r="M31" s="1">
        <f t="shared" si="25"/>
        <v>6.6390755954001044</v>
      </c>
      <c r="N31" s="1">
        <f t="shared" si="27"/>
        <v>-6.0226569029237318</v>
      </c>
      <c r="O31" s="1">
        <f t="shared" si="27"/>
        <v>-8.4262278298011104</v>
      </c>
      <c r="P31" s="1">
        <f t="shared" si="27"/>
        <v>-6.4262278298011104</v>
      </c>
      <c r="Q31" s="1">
        <f t="shared" si="27"/>
        <v>-6.7562278298011105</v>
      </c>
      <c r="R31" s="1">
        <f t="shared" si="27"/>
        <v>-9.02622782980111</v>
      </c>
      <c r="S31" s="1">
        <f>$J31+SUMPRODUCT(regions!EI30:EN30,regions!EI$204:EN$204)</f>
        <v>-1.8322263345043215</v>
      </c>
      <c r="T31" s="1">
        <f>$J31+SUMPRODUCT(regions!EQ30:EV30,regions!EQ$204:EV$204)</f>
        <v>-1.3312384015195917</v>
      </c>
      <c r="U31" s="1">
        <f>$J31+SUMPRODUCT(regions!CM30:CU30,regions!CM$204:CU$204)</f>
        <v>-7.3691849045490461</v>
      </c>
      <c r="V31" s="1">
        <f>$J31+SUMPRODUCT(regions!DH30:DM30,regions!DH$204:DM$204)</f>
        <v>-3.7596697690481555</v>
      </c>
      <c r="W31" s="1">
        <f>$J31+SUMPRODUCT(regions!DP30:DW30,regions!DP$204:DW$204)</f>
        <v>-7.5437350702987462</v>
      </c>
      <c r="X31" s="1">
        <f>$J31+SUMPRODUCT(regions!AB30:AE30,regions!AB$204:AE$204)</f>
        <v>-6.9148817738131765</v>
      </c>
      <c r="Y31" s="1">
        <f>$J31+SUMPRODUCT(regions!BX30:CJ30,regions!BX$204:CJ$204)</f>
        <v>-2.1718819356805454</v>
      </c>
      <c r="Z31" s="1">
        <f>$J31+SUMPRODUCT(regions!CX30:DF30,regions!CX$204:DF$204)</f>
        <v>-0.46918490454904749</v>
      </c>
      <c r="AA31" s="1">
        <f t="shared" si="6"/>
        <v>-4.0192270305616127</v>
      </c>
      <c r="AB31" s="1">
        <f t="shared" si="7"/>
        <v>-5.579287382246199</v>
      </c>
      <c r="AC31" s="1">
        <f>$J31+SUMPRODUCT(regions!DZ30:EG30,regions!DZ$204:EG$204)</f>
        <v>-2.0387350702987472</v>
      </c>
      <c r="AD31" s="1">
        <f t="shared" si="21"/>
        <v>-6.4162278298011106</v>
      </c>
      <c r="AE31" s="1">
        <f t="shared" si="21"/>
        <v>-7.9262278298011104</v>
      </c>
      <c r="AF31" s="1">
        <f t="shared" si="8"/>
        <v>-34.047170064906481</v>
      </c>
      <c r="AG31" s="1">
        <f>$J31+SUMPRODUCT(regions!AX30:BK30,regions!AX$204:BK$204)</f>
        <v>-0.46768540891844701</v>
      </c>
      <c r="AH31" s="1">
        <f>$J31+SUMPRODUCT(regions!AG30:AV30,regions!AG$204:AV$204)</f>
        <v>-9.5251717149239052</v>
      </c>
      <c r="AI31" s="1">
        <f t="shared" si="22"/>
        <v>-7.4262278298011104</v>
      </c>
      <c r="AJ31" s="1">
        <f>SartoriRoson!C28</f>
        <v>-4.8099999999999996</v>
      </c>
      <c r="AK31" s="1">
        <f>Kompas!E28</f>
        <v>-5.5629999999999997</v>
      </c>
      <c r="AL31" s="1">
        <f>$J31+SUMPRODUCT(regions!EY30:FW30,regions!EY$204:FW$204)</f>
        <v>-0.13685366005080546</v>
      </c>
      <c r="AM31" s="1">
        <f>$J31+SUMPRODUCT(regions!FZ30:GF30,regions!FZ$204:GF$204)</f>
        <v>-0.53791382491817252</v>
      </c>
      <c r="AN31" s="1">
        <f t="shared" si="13"/>
        <v>-14.62622782980111</v>
      </c>
      <c r="AO31" s="1">
        <f t="shared" si="13"/>
        <v>-13.92622782980111</v>
      </c>
      <c r="AP31" s="1">
        <f t="shared" si="13"/>
        <v>-9.1262278298011097</v>
      </c>
      <c r="AQ31" s="1">
        <f t="shared" si="14"/>
        <v>-0.29670051881067572</v>
      </c>
      <c r="AR31" s="1">
        <f t="shared" si="14"/>
        <v>-10.42622782980111</v>
      </c>
      <c r="AS31" s="1">
        <f t="shared" si="14"/>
        <v>-7.7262278298011102</v>
      </c>
      <c r="AT31" s="1">
        <f t="shared" si="14"/>
        <v>-5.7195611631344434</v>
      </c>
      <c r="AU31" s="1">
        <f t="shared" si="17"/>
        <v>-10.646227829801109</v>
      </c>
      <c r="AV31" s="1">
        <f t="shared" si="17"/>
        <v>-9.2262278298011111</v>
      </c>
      <c r="AW31" s="1">
        <f>$J31+SUMPRODUCT(regions!BN30:BU30,regions!BN$204:BU$204)</f>
        <v>-3.4759676424269532</v>
      </c>
      <c r="AX31" s="1">
        <f t="shared" si="17"/>
        <v>-6.9062278298011108</v>
      </c>
      <c r="AY31" s="1">
        <f t="shared" si="17"/>
        <v>-6.1262278298011106</v>
      </c>
      <c r="AZ31" s="1">
        <f t="shared" si="26"/>
        <v>-6.1262278298011106</v>
      </c>
      <c r="BF31" s="1"/>
      <c r="BG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</row>
    <row r="32" spans="1:90" x14ac:dyDescent="0.35">
      <c r="A32" t="s">
        <v>216</v>
      </c>
      <c r="B32" s="19">
        <f>regions!B31</f>
        <v>7534289</v>
      </c>
      <c r="C32" s="19">
        <f>regions!C31</f>
        <v>32991740544.129009</v>
      </c>
      <c r="D32" s="8">
        <f>regions!D31</f>
        <v>4378.8790878779682</v>
      </c>
      <c r="E32" s="8">
        <f>regions!E31</f>
        <v>18.450904290817466</v>
      </c>
      <c r="F32" s="8">
        <f>regions!F31</f>
        <v>4.1587427261529486</v>
      </c>
      <c r="G32" s="1">
        <f>regions!Z31</f>
        <v>10.5</v>
      </c>
      <c r="J32" s="1">
        <f t="shared" si="1"/>
        <v>11.382294098872126</v>
      </c>
      <c r="K32" s="1">
        <f t="shared" si="19"/>
        <v>-3.5704521891526309</v>
      </c>
      <c r="L32" s="1">
        <f t="shared" si="24"/>
        <v>-3.6652387168722735</v>
      </c>
      <c r="M32" s="1">
        <f t="shared" si="25"/>
        <v>3.8678328864791376</v>
      </c>
      <c r="N32" s="1">
        <f t="shared" si="27"/>
        <v>-3.0691837718405512</v>
      </c>
      <c r="O32" s="1">
        <f t="shared" si="27"/>
        <v>-5.4727546987179299</v>
      </c>
      <c r="P32" s="1">
        <f t="shared" si="27"/>
        <v>-3.4727546987179299</v>
      </c>
      <c r="Q32" s="1">
        <f t="shared" si="27"/>
        <v>-3.8027546987179299</v>
      </c>
      <c r="R32" s="1">
        <f t="shared" si="27"/>
        <v>-6.0727546987179295</v>
      </c>
      <c r="S32" s="1">
        <f>$J32+SUMPRODUCT(regions!EI31:EN31,regions!EI$204:EN$204)</f>
        <v>1.1212467965788591</v>
      </c>
      <c r="T32" s="1">
        <f>$J32+SUMPRODUCT(regions!EQ31:EV31,regions!EQ$204:EV$204)</f>
        <v>1.6222347295635888</v>
      </c>
      <c r="U32" s="1">
        <f>$J32+SUMPRODUCT(regions!CM31:CU31,regions!CM$204:CU$204)</f>
        <v>-3.2737127303639628</v>
      </c>
      <c r="V32" s="1">
        <f>$J32+SUMPRODUCT(regions!DH31:DM31,regions!DH$204:DM$204)</f>
        <v>-0.80619663796497498</v>
      </c>
      <c r="W32" s="1">
        <f>$J32+SUMPRODUCT(regions!DP31:DW31,regions!DP$204:DW$204)</f>
        <v>-3.5737127303639635</v>
      </c>
      <c r="X32" s="1">
        <f>$J32+SUMPRODUCT(regions!AB31:AE31,regions!AB$204:AE$204)</f>
        <v>1.428655312892829</v>
      </c>
      <c r="Y32" s="1">
        <f>$J32+SUMPRODUCT(regions!BX31:CJ31,regions!BX$204:CJ$204)</f>
        <v>-2.7105645806205736</v>
      </c>
      <c r="Z32" s="1">
        <f>$J32+SUMPRODUCT(regions!CX31:DF31,regions!CX$204:DF$204)</f>
        <v>-1.5737127303639635</v>
      </c>
      <c r="AA32" s="1">
        <f t="shared" si="6"/>
        <v>-1.0657538994784326</v>
      </c>
      <c r="AB32" s="1">
        <f t="shared" si="7"/>
        <v>-9.616387928264599</v>
      </c>
      <c r="AC32" s="1">
        <f>$J32+SUMPRODUCT(regions!DZ31:EG31,regions!DZ$204:EG$204)</f>
        <v>-3.1432127303639632</v>
      </c>
      <c r="AD32" s="1">
        <f t="shared" si="21"/>
        <v>-3.4627546987179301</v>
      </c>
      <c r="AE32" s="1">
        <f t="shared" si="21"/>
        <v>-4.9727546987179299</v>
      </c>
      <c r="AF32" s="1">
        <f t="shared" si="8"/>
        <v>6.5</v>
      </c>
      <c r="AG32" s="1">
        <f>$J32+SUMPRODUCT(regions!AX31:BK31,regions!AX$204:BK$204)</f>
        <v>-2.3828827046519727</v>
      </c>
      <c r="AH32" s="1">
        <f>$J32+SUMPRODUCT(regions!AG31:AV31,regions!AG$204:AV$204)</f>
        <v>-3.0225146654505259</v>
      </c>
      <c r="AI32" s="1">
        <f t="shared" si="22"/>
        <v>-4.4727546987179299</v>
      </c>
      <c r="AJ32" s="1">
        <f>SartoriRoson!C29</f>
        <v>0.76</v>
      </c>
      <c r="AK32" s="1">
        <f>Kompas!E29</f>
        <v>-0.59</v>
      </c>
      <c r="AL32" s="1">
        <f>$J32+SUMPRODUCT(regions!EY31:FW31,regions!EY$204:FW$204)</f>
        <v>-1.8723103087625237</v>
      </c>
      <c r="AM32" s="1">
        <f>$J32+SUMPRODUCT(regions!FZ31:GF31,regions!FZ$204:GF$204)</f>
        <v>-2.8859362759758618</v>
      </c>
      <c r="AN32" s="1">
        <f t="shared" si="13"/>
        <v>-11.672754698717929</v>
      </c>
      <c r="AO32" s="1">
        <f t="shared" si="13"/>
        <v>-10.97275469871793</v>
      </c>
      <c r="AP32" s="1">
        <f t="shared" si="13"/>
        <v>-6.17275469871793</v>
      </c>
      <c r="AQ32" s="1">
        <f t="shared" si="14"/>
        <v>2.6567726122725031</v>
      </c>
      <c r="AR32" s="1">
        <f t="shared" si="14"/>
        <v>-7.4727546987179299</v>
      </c>
      <c r="AS32" s="1">
        <f t="shared" si="14"/>
        <v>-4.7727546987179306</v>
      </c>
      <c r="AT32" s="1">
        <f t="shared" si="14"/>
        <v>-2.7660880320512629</v>
      </c>
      <c r="AU32" s="1">
        <f t="shared" si="17"/>
        <v>-7.6927546987179296</v>
      </c>
      <c r="AV32" s="1">
        <f t="shared" si="17"/>
        <v>-6.2727546987179297</v>
      </c>
      <c r="AW32" s="1">
        <f>$J32+SUMPRODUCT(regions!BN31:BU31,regions!BN$204:BU$204)</f>
        <v>-3.6795372444438676</v>
      </c>
      <c r="AX32" s="1">
        <f t="shared" si="17"/>
        <v>-3.9527546987179303</v>
      </c>
      <c r="AY32" s="1">
        <f t="shared" si="17"/>
        <v>-3.1727546987179291</v>
      </c>
      <c r="AZ32" s="1">
        <f t="shared" si="26"/>
        <v>-3.1727546987179291</v>
      </c>
      <c r="BE32" t="str">
        <f>RehdanzMaddison!P15</f>
        <v>Bulgaria</v>
      </c>
      <c r="BF32" s="1">
        <f>-100*RehdanzMaddison!U15</f>
        <v>-5.5728873783144</v>
      </c>
      <c r="BG32" s="1">
        <f>-100*RehdanzMaddison!V15</f>
        <v>-9.616387928264599</v>
      </c>
      <c r="BH32" s="1">
        <f>$K32-BF32</f>
        <v>2.0024351891617691</v>
      </c>
      <c r="BI32" s="1">
        <f>$K32-BG32</f>
        <v>6.0459357391119681</v>
      </c>
      <c r="BJ32" t="str">
        <f>MaddisonRehdanz!A13</f>
        <v>Bulgaria</v>
      </c>
      <c r="BK32">
        <f>MaddisonRehdanz!D13</f>
        <v>6.5</v>
      </c>
      <c r="BL32" s="1">
        <f>$K32-BK32</f>
        <v>-10.070452189152631</v>
      </c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</row>
    <row r="33" spans="1:90" x14ac:dyDescent="0.35">
      <c r="A33" t="s">
        <v>247</v>
      </c>
      <c r="B33" s="19">
        <f>regions!B32</f>
        <v>15540284</v>
      </c>
      <c r="C33" s="19">
        <f>regions!C32</f>
        <v>7105465610.4591045</v>
      </c>
      <c r="D33" s="8">
        <f>regions!D32</f>
        <v>457.22881322240346</v>
      </c>
      <c r="E33" s="8">
        <f>regions!E32</f>
        <v>12.720426497969342</v>
      </c>
      <c r="F33" s="8">
        <f>regions!F32</f>
        <v>32.540256243239284</v>
      </c>
      <c r="G33" s="1">
        <f>regions!Z32</f>
        <v>28.2</v>
      </c>
      <c r="J33" s="1">
        <f t="shared" si="1"/>
        <v>0.67968860745628312</v>
      </c>
      <c r="K33" s="1">
        <f t="shared" si="19"/>
        <v>-14.273057680568474</v>
      </c>
      <c r="L33" s="1">
        <f t="shared" si="24"/>
        <v>-16.359064081212182</v>
      </c>
      <c r="M33" s="1">
        <f t="shared" si="25"/>
        <v>22.002885831753105</v>
      </c>
      <c r="N33" s="1">
        <f t="shared" si="27"/>
        <v>-13.771789263256395</v>
      </c>
      <c r="O33" s="1">
        <f t="shared" si="27"/>
        <v>-16.175360190133773</v>
      </c>
      <c r="P33" s="1">
        <f t="shared" si="27"/>
        <v>-14.175360190133773</v>
      </c>
      <c r="Q33" s="1">
        <f t="shared" si="27"/>
        <v>-14.505360190133773</v>
      </c>
      <c r="R33" s="1">
        <f t="shared" si="27"/>
        <v>-16.775360190133775</v>
      </c>
      <c r="S33" s="1">
        <f>$J33+SUMPRODUCT(regions!EI32:EN32,regions!EI$204:EN$204)</f>
        <v>-9.5813586948369842</v>
      </c>
      <c r="T33" s="1">
        <f>$J33+SUMPRODUCT(regions!EQ32:EV32,regions!EQ$204:EV$204)</f>
        <v>-9.0803707618522544</v>
      </c>
      <c r="U33" s="1">
        <f>$J33+SUMPRODUCT(regions!CM32:CU32,regions!CM$204:CU$204)</f>
        <v>-13.77594188516246</v>
      </c>
      <c r="V33" s="1">
        <f>$J33+SUMPRODUCT(regions!DH32:DM32,regions!DH$204:DM$204)</f>
        <v>-11.508802129380818</v>
      </c>
      <c r="W33" s="1">
        <f>$J33+SUMPRODUCT(regions!DP32:DW32,regions!DP$204:DW$204)</f>
        <v>-13.348359378771319</v>
      </c>
      <c r="X33" s="1">
        <f>$J33+SUMPRODUCT(regions!AB32:AE32,regions!AB$204:AE$204)</f>
        <v>-2.8368287407591586</v>
      </c>
      <c r="Y33" s="1">
        <f>$J33+SUMPRODUCT(regions!BX32:CJ32,regions!BX$204:CJ$204)</f>
        <v>-6.2723181804855805</v>
      </c>
      <c r="Z33" s="1">
        <f>$J33+SUMPRODUCT(regions!CX32:DF32,regions!CX$204:DF$204)</f>
        <v>-9.1759418851624606</v>
      </c>
      <c r="AA33" s="1">
        <f t="shared" si="6"/>
        <v>-11.768359390894275</v>
      </c>
      <c r="AB33" s="1">
        <f t="shared" si="7"/>
        <v>-13.328419742578863</v>
      </c>
      <c r="AC33" s="1">
        <f>$J33+SUMPRODUCT(regions!DZ32:EG32,regions!DZ$204:EG$204)</f>
        <v>-9.7492593787713187</v>
      </c>
      <c r="AD33" s="1">
        <f t="shared" si="21"/>
        <v>-14.165360190133773</v>
      </c>
      <c r="AE33" s="1">
        <f t="shared" si="21"/>
        <v>-15.675360190133773</v>
      </c>
      <c r="AF33" s="1">
        <f t="shared" si="8"/>
        <v>-130</v>
      </c>
      <c r="AG33" s="1">
        <f>$J33+SUMPRODUCT(regions!AX32:BK32,regions!AX$204:BK$204)</f>
        <v>-6.1104007335262445</v>
      </c>
      <c r="AH33" s="1">
        <f>$J33+SUMPRODUCT(regions!AG32:AV32,regions!AG$204:AV$204)</f>
        <v>-13.010400733526245</v>
      </c>
      <c r="AI33" s="1">
        <f t="shared" si="22"/>
        <v>-15.175360190133773</v>
      </c>
      <c r="AJ33" s="1">
        <f>SartoriRoson!C30</f>
        <v>-11.87</v>
      </c>
      <c r="AK33" s="1">
        <f>Kompas!E30</f>
        <v>-17.058</v>
      </c>
      <c r="AL33" s="1">
        <f>$J33+SUMPRODUCT(regions!EY32:FW32,regions!EY$204:FW$204)</f>
        <v>-6.5995259992416759</v>
      </c>
      <c r="AM33" s="1">
        <f>$J33+SUMPRODUCT(regions!FZ32:GF32,regions!FZ$204:GF$204)</f>
        <v>-3.4719900712641749</v>
      </c>
      <c r="AN33" s="1">
        <f t="shared" si="13"/>
        <v>-22.375360190133772</v>
      </c>
      <c r="AO33" s="1">
        <f t="shared" si="13"/>
        <v>-21.675360190133773</v>
      </c>
      <c r="AP33" s="1">
        <f t="shared" si="13"/>
        <v>-16.875360190133772</v>
      </c>
      <c r="AQ33" s="1">
        <f t="shared" si="14"/>
        <v>-8.0458328791433402</v>
      </c>
      <c r="AR33" s="1">
        <f t="shared" si="14"/>
        <v>-18.175360190133773</v>
      </c>
      <c r="AS33" s="1">
        <f t="shared" si="14"/>
        <v>-15.475360190133774</v>
      </c>
      <c r="AT33" s="1">
        <f t="shared" si="14"/>
        <v>-13.468693523467106</v>
      </c>
      <c r="AU33" s="1">
        <f t="shared" si="17"/>
        <v>-18.395360190133772</v>
      </c>
      <c r="AV33" s="1">
        <f t="shared" si="17"/>
        <v>-16.975360190133774</v>
      </c>
      <c r="AW33" s="1">
        <f>$J33+SUMPRODUCT(regions!BN32:BU32,regions!BN$204:BU$204)</f>
        <v>-11.225100002759616</v>
      </c>
      <c r="AX33" s="1">
        <f t="shared" si="17"/>
        <v>-14.655360190133774</v>
      </c>
      <c r="AY33" s="1">
        <f t="shared" si="17"/>
        <v>-13.875360190133772</v>
      </c>
      <c r="AZ33" s="1">
        <f t="shared" si="26"/>
        <v>-13.875360190133772</v>
      </c>
      <c r="BF33" s="1"/>
      <c r="BG33" s="1"/>
      <c r="BJ33" t="str">
        <f>MaddisonRehdanz!A14</f>
        <v>Burkina Faso</v>
      </c>
      <c r="BK33">
        <f>MaddisonRehdanz!D14</f>
        <v>-130</v>
      </c>
      <c r="BL33" s="1">
        <f>$K33-BK33</f>
        <v>115.72694231943153</v>
      </c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</row>
    <row r="34" spans="1:90" x14ac:dyDescent="0.35">
      <c r="A34" t="s">
        <v>357</v>
      </c>
      <c r="B34" s="19">
        <f>regions!B33</f>
        <v>9232753</v>
      </c>
      <c r="C34" s="19">
        <f>regions!C33</f>
        <v>1391766915.34813</v>
      </c>
      <c r="D34" s="8">
        <f>regions!D33</f>
        <v>150.74235337478757</v>
      </c>
      <c r="E34" s="8">
        <f>regions!E33</f>
        <v>13.891988967994356</v>
      </c>
      <c r="F34" s="8">
        <f>regions!F33</f>
        <v>36.968873845487785</v>
      </c>
      <c r="G34" s="1">
        <f>regions!Z33</f>
        <v>19.7</v>
      </c>
      <c r="J34" s="1">
        <f t="shared" si="1"/>
        <v>1.8179167578188249</v>
      </c>
      <c r="K34" s="1">
        <f t="shared" si="19"/>
        <v>-13.134829530205932</v>
      </c>
      <c r="L34" s="1">
        <f t="shared" si="24"/>
        <v>-12.601957949464106</v>
      </c>
      <c r="M34" s="1">
        <f t="shared" si="25"/>
        <v>8.6057884413677517</v>
      </c>
      <c r="N34" s="1">
        <f t="shared" ref="N34:R43" si="28">$J34+N$3-$J$3</f>
        <v>-12.633561112893853</v>
      </c>
      <c r="O34" s="1">
        <f t="shared" si="28"/>
        <v>-15.037132039771231</v>
      </c>
      <c r="P34" s="1">
        <f t="shared" si="28"/>
        <v>-13.037132039771231</v>
      </c>
      <c r="Q34" s="1">
        <f t="shared" si="28"/>
        <v>-13.367132039771231</v>
      </c>
      <c r="R34" s="1">
        <f t="shared" si="28"/>
        <v>-15.637132039771231</v>
      </c>
      <c r="S34" s="1">
        <f>$J34+SUMPRODUCT(regions!EI33:EN33,regions!EI$204:EN$204)</f>
        <v>-8.4431305444744424</v>
      </c>
      <c r="T34" s="1">
        <f>$J34+SUMPRODUCT(regions!EQ33:EV33,regions!EQ$204:EV$204)</f>
        <v>-7.9421426114897127</v>
      </c>
      <c r="U34" s="1">
        <f>$J34+SUMPRODUCT(regions!CM33:CU33,regions!CM$204:CU$204)</f>
        <v>-12.637713734799918</v>
      </c>
      <c r="V34" s="1">
        <f>$J34+SUMPRODUCT(regions!DH33:DM33,regions!DH$204:DM$204)</f>
        <v>-10.370573979018276</v>
      </c>
      <c r="W34" s="1">
        <f>$J34+SUMPRODUCT(regions!DP33:DW33,regions!DP$204:DW$204)</f>
        <v>-12.210131228408777</v>
      </c>
      <c r="X34" s="1">
        <f>$J34+SUMPRODUCT(regions!AB33:AE33,regions!AB$204:AE$204)</f>
        <v>-1.6986005903966168</v>
      </c>
      <c r="Y34" s="1">
        <f>$J34+SUMPRODUCT(regions!BX33:CJ33,regions!BX$204:CJ$204)</f>
        <v>-5.1340900301230388</v>
      </c>
      <c r="Z34" s="1">
        <f>$J34+SUMPRODUCT(regions!CX33:DF33,regions!CX$204:DF$204)</f>
        <v>-8.0377137347999188</v>
      </c>
      <c r="AA34" s="1">
        <f t="shared" si="6"/>
        <v>-10.630131240531734</v>
      </c>
      <c r="AB34" s="1">
        <f t="shared" si="7"/>
        <v>-12.190191592216321</v>
      </c>
      <c r="AC34" s="1">
        <f>$J34+SUMPRODUCT(regions!DZ33:EG33,regions!DZ$204:EG$204)</f>
        <v>-8.6110312284087769</v>
      </c>
      <c r="AD34" s="1">
        <f t="shared" ref="AD34:AE53" si="29">$J34+AD$3-$J$3</f>
        <v>-13.027132039771232</v>
      </c>
      <c r="AE34" s="1">
        <f t="shared" si="29"/>
        <v>-14.537132039771231</v>
      </c>
      <c r="AF34" s="1">
        <f t="shared" si="8"/>
        <v>-40.658074274876604</v>
      </c>
      <c r="AG34" s="1">
        <f>$J34+SUMPRODUCT(regions!AX33:BK33,regions!AX$204:BK$204)</f>
        <v>-4.9721725831637027</v>
      </c>
      <c r="AH34" s="1">
        <f>$J34+SUMPRODUCT(regions!AG33:AV33,regions!AG$204:AV$204)</f>
        <v>-11.872172583163703</v>
      </c>
      <c r="AI34" s="1">
        <f t="shared" si="22"/>
        <v>-14.037132039771231</v>
      </c>
      <c r="AJ34" s="1">
        <f>SartoriRoson!C31</f>
        <v>-4.62</v>
      </c>
      <c r="AK34" s="1">
        <f>Kompas!E31</f>
        <v>-8.0990000000000002</v>
      </c>
      <c r="AL34" s="1">
        <f>$J34+SUMPRODUCT(regions!EY33:FW33,regions!EY$204:FW$204)</f>
        <v>-5.4612978488791342</v>
      </c>
      <c r="AM34" s="1">
        <f>$J34+SUMPRODUCT(regions!FZ33:GF33,regions!FZ$204:GF$204)</f>
        <v>-2.3337619209016331</v>
      </c>
      <c r="AN34" s="1">
        <f t="shared" si="13"/>
        <v>-21.237132039771232</v>
      </c>
      <c r="AO34" s="1">
        <f t="shared" si="13"/>
        <v>-20.53713203977123</v>
      </c>
      <c r="AP34" s="1">
        <f t="shared" si="13"/>
        <v>-15.737132039771232</v>
      </c>
      <c r="AQ34" s="1">
        <f t="shared" si="14"/>
        <v>-6.9076047287807976</v>
      </c>
      <c r="AR34" s="1">
        <f t="shared" si="14"/>
        <v>-17.03713203977123</v>
      </c>
      <c r="AS34" s="1">
        <f t="shared" si="14"/>
        <v>-14.33713203977123</v>
      </c>
      <c r="AT34" s="1">
        <f t="shared" si="14"/>
        <v>-12.330465373104564</v>
      </c>
      <c r="AU34" s="1">
        <f t="shared" si="17"/>
        <v>-17.257132039771232</v>
      </c>
      <c r="AV34" s="1">
        <f t="shared" si="17"/>
        <v>-15.83713203977123</v>
      </c>
      <c r="AW34" s="1">
        <f>$J34+SUMPRODUCT(regions!BN33:BU33,regions!BN$204:BU$204)</f>
        <v>-10.086871852397074</v>
      </c>
      <c r="AX34" s="1">
        <f t="shared" si="17"/>
        <v>-13.517132039771232</v>
      </c>
      <c r="AY34" s="1">
        <f t="shared" si="17"/>
        <v>-12.737132039771231</v>
      </c>
      <c r="AZ34" s="1">
        <f t="shared" si="26"/>
        <v>-12.737132039771231</v>
      </c>
      <c r="BF34" s="1"/>
      <c r="BG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</row>
    <row r="35" spans="1:90" x14ac:dyDescent="0.35">
      <c r="A35" t="s">
        <v>358</v>
      </c>
      <c r="B35" s="19">
        <f>regions!B34</f>
        <v>18976588</v>
      </c>
      <c r="C35" s="19">
        <f>regions!C34</f>
        <v>18173099407.3027</v>
      </c>
      <c r="D35" s="8">
        <f>regions!D34</f>
        <v>957.65895361709386</v>
      </c>
      <c r="E35" s="8">
        <f>regions!E34</f>
        <v>14.325514658625593</v>
      </c>
      <c r="F35" s="8">
        <f>regions!F34</f>
        <v>24.529427557925644</v>
      </c>
      <c r="G35" s="1">
        <f>regions!Z34</f>
        <v>26.3</v>
      </c>
      <c r="J35" s="1">
        <f t="shared" si="1"/>
        <v>2.7343286573033421</v>
      </c>
      <c r="K35" s="1">
        <f t="shared" si="19"/>
        <v>-12.218417630721415</v>
      </c>
      <c r="L35" s="1">
        <f t="shared" si="24"/>
        <v>-12.022933343772458</v>
      </c>
      <c r="M35" s="1">
        <f t="shared" si="25"/>
        <v>8.4986888807019252</v>
      </c>
      <c r="N35" s="1">
        <f t="shared" si="28"/>
        <v>-11.717149213409336</v>
      </c>
      <c r="O35" s="1">
        <f t="shared" si="28"/>
        <v>-14.120720140286714</v>
      </c>
      <c r="P35" s="1">
        <f t="shared" si="28"/>
        <v>-12.120720140286714</v>
      </c>
      <c r="Q35" s="1">
        <f t="shared" si="28"/>
        <v>-12.450720140286714</v>
      </c>
      <c r="R35" s="1">
        <f t="shared" si="28"/>
        <v>-14.720720140286714</v>
      </c>
      <c r="S35" s="1">
        <f>$J35+SUMPRODUCT(regions!EI34:EN34,regions!EI$204:EN$204)</f>
        <v>-7.5267186449899253</v>
      </c>
      <c r="T35" s="1">
        <f>$J35+SUMPRODUCT(regions!EQ34:EV34,regions!EQ$204:EV$204)</f>
        <v>-7.0257307120051955</v>
      </c>
      <c r="U35" s="1">
        <f>$J35+SUMPRODUCT(regions!CM34:CU34,regions!CM$204:CU$204)</f>
        <v>-11.721301835315401</v>
      </c>
      <c r="V35" s="1">
        <f>$J35+SUMPRODUCT(regions!DH34:DM34,regions!DH$204:DM$204)</f>
        <v>-9.4541620795337593</v>
      </c>
      <c r="W35" s="1">
        <f>$J35+SUMPRODUCT(regions!DP34:DW34,regions!DP$204:DW$204)</f>
        <v>-11.29371932892426</v>
      </c>
      <c r="X35" s="1">
        <f>$J35+SUMPRODUCT(regions!AB34:AE34,regions!AB$204:AE$204)</f>
        <v>-0.78218869091209964</v>
      </c>
      <c r="Y35" s="1">
        <f>$J35+SUMPRODUCT(regions!BX34:CJ34,regions!BX$204:CJ$204)</f>
        <v>-4.2176781306385216</v>
      </c>
      <c r="Z35" s="1">
        <f>$J35+SUMPRODUCT(regions!CX34:DF34,regions!CX$204:DF$204)</f>
        <v>-7.1213018353154016</v>
      </c>
      <c r="AA35" s="1">
        <f t="shared" si="6"/>
        <v>-3.2</v>
      </c>
      <c r="AB35" s="1">
        <f t="shared" si="7"/>
        <v>-11.273779692731804</v>
      </c>
      <c r="AC35" s="1">
        <f>$J35+SUMPRODUCT(regions!DZ34:EG34,regions!DZ$204:EG$204)</f>
        <v>-7.6946193289242597</v>
      </c>
      <c r="AD35" s="1">
        <f t="shared" si="29"/>
        <v>-12.110720140286714</v>
      </c>
      <c r="AE35" s="1">
        <f t="shared" si="29"/>
        <v>-13.620720140286714</v>
      </c>
      <c r="AF35" s="1">
        <f t="shared" si="8"/>
        <v>-39.741662375392082</v>
      </c>
      <c r="AG35" s="1">
        <f>$J35+SUMPRODUCT(regions!AX34:BK34,regions!AX$204:BK$204)</f>
        <v>-4.0557606836791855</v>
      </c>
      <c r="AH35" s="1">
        <f>$J35+SUMPRODUCT(regions!AG34:AV34,regions!AG$204:AV$204)</f>
        <v>-10.955760683679186</v>
      </c>
      <c r="AI35" s="1">
        <f t="shared" si="22"/>
        <v>-13.120720140286714</v>
      </c>
      <c r="AJ35" s="1">
        <f>SartoriRoson!C32</f>
        <v>-13.03</v>
      </c>
      <c r="AK35" s="1">
        <f>Kompas!E32</f>
        <v>-17.527999999999999</v>
      </c>
      <c r="AL35" s="1">
        <f>$J35+SUMPRODUCT(regions!EY34:FW34,regions!EY$204:FW$204)</f>
        <v>-4.544885949394617</v>
      </c>
      <c r="AM35" s="1">
        <f>$J35+SUMPRODUCT(regions!FZ34:GF34,regions!FZ$204:GF$204)</f>
        <v>-1.417350021417116</v>
      </c>
      <c r="AN35" s="1">
        <f t="shared" si="13"/>
        <v>-20.320720140286713</v>
      </c>
      <c r="AO35" s="1">
        <f t="shared" si="13"/>
        <v>-19.620720140286714</v>
      </c>
      <c r="AP35" s="1">
        <f t="shared" si="13"/>
        <v>-14.820720140286713</v>
      </c>
      <c r="AQ35" s="1">
        <f t="shared" si="14"/>
        <v>-5.9911928292962804</v>
      </c>
      <c r="AR35" s="1">
        <f t="shared" si="14"/>
        <v>-16.120720140286714</v>
      </c>
      <c r="AS35" s="1">
        <f t="shared" si="14"/>
        <v>-13.420720140286715</v>
      </c>
      <c r="AT35" s="1">
        <f t="shared" si="14"/>
        <v>-11.414053473620047</v>
      </c>
      <c r="AU35" s="1">
        <f t="shared" si="17"/>
        <v>-16.340720140286713</v>
      </c>
      <c r="AV35" s="1">
        <f t="shared" si="17"/>
        <v>-14.920720140286715</v>
      </c>
      <c r="AW35" s="1">
        <f>$J35+SUMPRODUCT(regions!BN34:BU34,regions!BN$204:BU$204)</f>
        <v>-9.170459952912557</v>
      </c>
      <c r="AX35" s="1">
        <f t="shared" si="17"/>
        <v>-12.600720140286715</v>
      </c>
      <c r="AY35" s="1">
        <f t="shared" si="17"/>
        <v>-11.820720140286713</v>
      </c>
      <c r="AZ35" s="1">
        <f t="shared" si="26"/>
        <v>-11.820720140286713</v>
      </c>
      <c r="BB35" t="str">
        <f>Maddison!A42</f>
        <v>Ivory Coast</v>
      </c>
      <c r="BC35">
        <f>-Maddison!B42</f>
        <v>-3.2</v>
      </c>
      <c r="BD35" s="1">
        <f>K35-BC35</f>
        <v>-9.0184176307214159</v>
      </c>
      <c r="BF35" s="1"/>
      <c r="BG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</row>
    <row r="36" spans="1:90" x14ac:dyDescent="0.35">
      <c r="A36" t="s">
        <v>359</v>
      </c>
      <c r="B36" s="19">
        <f>regions!B35</f>
        <v>14364931</v>
      </c>
      <c r="C36" s="19">
        <f>regions!C35</f>
        <v>8693197235.5684757</v>
      </c>
      <c r="D36" s="8">
        <f>regions!D35</f>
        <v>605.16804679176505</v>
      </c>
      <c r="E36" s="8">
        <f>regions!E35</f>
        <v>10.003040138112446</v>
      </c>
      <c r="F36" s="8">
        <f>regions!F35</f>
        <v>33.876678756743679</v>
      </c>
      <c r="G36" s="1">
        <f>regions!Z35</f>
        <v>26.8</v>
      </c>
      <c r="J36" s="1">
        <f t="shared" si="1"/>
        <v>1.7114976520028815</v>
      </c>
      <c r="K36" s="1">
        <f t="shared" si="19"/>
        <v>-13.241248636021876</v>
      </c>
      <c r="L36" s="1">
        <f t="shared" si="24"/>
        <v>-13.588973593247598</v>
      </c>
      <c r="M36" s="1">
        <f t="shared" si="25"/>
        <v>8.5863838725773967</v>
      </c>
      <c r="N36" s="1">
        <f t="shared" si="28"/>
        <v>-12.739980218709796</v>
      </c>
      <c r="O36" s="1">
        <f t="shared" si="28"/>
        <v>-15.143551145587175</v>
      </c>
      <c r="P36" s="1">
        <f t="shared" si="28"/>
        <v>-13.143551145587175</v>
      </c>
      <c r="Q36" s="1">
        <f t="shared" si="28"/>
        <v>-13.473551145587175</v>
      </c>
      <c r="R36" s="1">
        <f t="shared" si="28"/>
        <v>-15.743551145587174</v>
      </c>
      <c r="S36" s="1">
        <f>$J36+SUMPRODUCT(regions!EI35:EN35,regions!EI$204:EN$204)</f>
        <v>-8.5495496502903858</v>
      </c>
      <c r="T36" s="1">
        <f>$J36+SUMPRODUCT(regions!EQ35:EV35,regions!EQ$204:EV$204)</f>
        <v>-8.0485617173056561</v>
      </c>
      <c r="U36" s="1">
        <f>$J36+SUMPRODUCT(regions!CM35:CU35,regions!CM$204:CU$204)</f>
        <v>-14.08650822033511</v>
      </c>
      <c r="V36" s="1">
        <f>$J36+SUMPRODUCT(regions!DH35:DM35,regions!DH$204:DM$204)</f>
        <v>-10.47699308483422</v>
      </c>
      <c r="W36" s="1">
        <f>$J36+SUMPRODUCT(regions!DP35:DW35,regions!DP$204:DW$204)</f>
        <v>-14.261058386084811</v>
      </c>
      <c r="X36" s="1">
        <f>$J36+SUMPRODUCT(regions!AB35:AE35,regions!AB$204:AE$204)</f>
        <v>-1.8050196962125602</v>
      </c>
      <c r="Y36" s="1">
        <f>$J36+SUMPRODUCT(regions!BX35:CJ35,regions!BX$204:CJ$204)</f>
        <v>-5.5930435528694691</v>
      </c>
      <c r="Z36" s="1">
        <f>$J36+SUMPRODUCT(regions!CX35:DF35,regions!CX$204:DF$204)</f>
        <v>-7.1865082203351118</v>
      </c>
      <c r="AA36" s="1">
        <f t="shared" si="6"/>
        <v>-10.736550346347677</v>
      </c>
      <c r="AB36" s="1">
        <f t="shared" si="7"/>
        <v>-12.296610698032264</v>
      </c>
      <c r="AC36" s="1">
        <f>$J36+SUMPRODUCT(regions!DZ35:EG35,regions!DZ$204:EG$204)</f>
        <v>-8.7560583860848116</v>
      </c>
      <c r="AD36" s="1">
        <f t="shared" si="29"/>
        <v>-13.133551145587175</v>
      </c>
      <c r="AE36" s="1">
        <f t="shared" si="29"/>
        <v>-14.643551145587175</v>
      </c>
      <c r="AF36" s="1">
        <f t="shared" si="8"/>
        <v>-40.764493380692542</v>
      </c>
      <c r="AG36" s="1">
        <f>$J36+SUMPRODUCT(regions!AX35:BK35,regions!AX$204:BK$204)</f>
        <v>-7.1850087247045114</v>
      </c>
      <c r="AH36" s="1">
        <f>$J36+SUMPRODUCT(regions!AG35:AV35,regions!AG$204:AV$204)</f>
        <v>-16.242495030709968</v>
      </c>
      <c r="AI36" s="1">
        <f t="shared" si="22"/>
        <v>-14.143551145587175</v>
      </c>
      <c r="AJ36" s="1">
        <f>SartoriRoson!C33</f>
        <v>-18.25</v>
      </c>
      <c r="AK36" s="1">
        <f>Kompas!E33</f>
        <v>-12.101000000000001</v>
      </c>
      <c r="AL36" s="1">
        <f>$J36+SUMPRODUCT(regions!EY35:FW35,regions!EY$204:FW$204)</f>
        <v>-6.8541769758368698</v>
      </c>
      <c r="AM36" s="1">
        <f>$J36+SUMPRODUCT(regions!FZ35:GF35,regions!FZ$204:GF$204)</f>
        <v>-7.2552371407042369</v>
      </c>
      <c r="AN36" s="1">
        <f t="shared" si="13"/>
        <v>-21.343551145587174</v>
      </c>
      <c r="AO36" s="1">
        <f t="shared" si="13"/>
        <v>-20.643551145587175</v>
      </c>
      <c r="AP36" s="1">
        <f t="shared" si="13"/>
        <v>-15.843551145587174</v>
      </c>
      <c r="AQ36" s="1">
        <f t="shared" si="14"/>
        <v>-7.0140238345967409</v>
      </c>
      <c r="AR36" s="1">
        <f t="shared" si="14"/>
        <v>-17.143551145587175</v>
      </c>
      <c r="AS36" s="1">
        <f t="shared" si="14"/>
        <v>-14.443551145587175</v>
      </c>
      <c r="AT36" s="1">
        <f t="shared" si="14"/>
        <v>-12.436884478920508</v>
      </c>
      <c r="AU36" s="1">
        <f t="shared" si="17"/>
        <v>-17.363551145587174</v>
      </c>
      <c r="AV36" s="1">
        <f t="shared" si="17"/>
        <v>-15.943551145587175</v>
      </c>
      <c r="AW36" s="1">
        <f>$J36+SUMPRODUCT(regions!BN35:BU35,regions!BN$204:BU$204)</f>
        <v>-11.925156357906399</v>
      </c>
      <c r="AX36" s="1">
        <f t="shared" si="17"/>
        <v>-13.623551145587175</v>
      </c>
      <c r="AY36" s="1">
        <f t="shared" si="17"/>
        <v>-12.843551145587174</v>
      </c>
      <c r="AZ36" s="1">
        <f t="shared" si="26"/>
        <v>-12.843551145587174</v>
      </c>
      <c r="BF36" s="1"/>
      <c r="BG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</row>
    <row r="37" spans="1:90" x14ac:dyDescent="0.35">
      <c r="A37" t="s">
        <v>130</v>
      </c>
      <c r="B37" s="19">
        <f>regions!B36</f>
        <v>20624343</v>
      </c>
      <c r="C37" s="19">
        <f>regions!C36</f>
        <v>19209829592.645119</v>
      </c>
      <c r="D37" s="8">
        <f>regions!D36</f>
        <v>931.41534703166633</v>
      </c>
      <c r="E37" s="8">
        <f>regions!E36</f>
        <v>0</v>
      </c>
      <c r="F37" s="8">
        <f>regions!F36</f>
        <v>14.067656995070909</v>
      </c>
      <c r="G37" s="1">
        <f>regions!Z36</f>
        <v>24.6</v>
      </c>
      <c r="J37" s="1">
        <f t="shared" ref="J37:J68" si="30">I$1+I$2*LN(D37)+I$3*G37</f>
        <v>3.3159419942873676</v>
      </c>
      <c r="K37" s="1">
        <f t="shared" si="19"/>
        <v>-11.63680429373739</v>
      </c>
      <c r="L37" s="1">
        <f t="shared" si="24"/>
        <v>-11.080110776300023</v>
      </c>
      <c r="M37" s="1">
        <f t="shared" si="25"/>
        <v>8.2874897203388223</v>
      </c>
      <c r="N37" s="1">
        <f t="shared" si="28"/>
        <v>-11.13553587642531</v>
      </c>
      <c r="O37" s="1">
        <f t="shared" si="28"/>
        <v>-13.539106803302689</v>
      </c>
      <c r="P37" s="1">
        <f t="shared" si="28"/>
        <v>-11.539106803302689</v>
      </c>
      <c r="Q37" s="1">
        <f t="shared" si="28"/>
        <v>-11.869106803302689</v>
      </c>
      <c r="R37" s="1">
        <f t="shared" si="28"/>
        <v>-14.139106803302688</v>
      </c>
      <c r="S37" s="1">
        <f>$J37+SUMPRODUCT(regions!EI36:EN36,regions!EI$204:EN$204)</f>
        <v>-6.9451053080058998</v>
      </c>
      <c r="T37" s="1">
        <f>$J37+SUMPRODUCT(regions!EQ36:EV36,regions!EQ$204:EV$204)</f>
        <v>-6.44411737502117</v>
      </c>
      <c r="U37" s="1">
        <f>$J37+SUMPRODUCT(regions!CM36:CU36,regions!CM$204:CU$204)</f>
        <v>-11.139688498331376</v>
      </c>
      <c r="V37" s="1">
        <f>$J37+SUMPRODUCT(regions!DH36:DM36,regions!DH$204:DM$204)</f>
        <v>-8.8725487425497338</v>
      </c>
      <c r="W37" s="1">
        <f>$J37+SUMPRODUCT(regions!DP36:DW36,regions!DP$204:DW$204)</f>
        <v>-10.712105991940234</v>
      </c>
      <c r="X37" s="1">
        <f>$J37+SUMPRODUCT(regions!AB36:AE36,regions!AB$204:AE$204)</f>
        <v>-0.20057535392807413</v>
      </c>
      <c r="Y37" s="1">
        <f>$J37+SUMPRODUCT(regions!BX36:CJ36,regions!BX$204:CJ$204)</f>
        <v>-3.6360647936544961</v>
      </c>
      <c r="Z37" s="1">
        <f>$J37+SUMPRODUCT(regions!CX36:DF36,regions!CX$204:DF$204)</f>
        <v>-6.5396884983313761</v>
      </c>
      <c r="AA37" s="1">
        <f t="shared" ref="AA37:AA68" si="31">IF(ISNUMBER(BC37),BC37,K37-BD$4)</f>
        <v>-0.4</v>
      </c>
      <c r="AB37" s="1">
        <f t="shared" ref="AB37:AB68" si="32">IF(ISNUMBER(BG37),BG37,K37-BI$4)</f>
        <v>-10.692166355747778</v>
      </c>
      <c r="AC37" s="1">
        <f>$J37+SUMPRODUCT(regions!DZ36:EG36,regions!DZ$204:EG$204)</f>
        <v>-7.1130059919402342</v>
      </c>
      <c r="AD37" s="1">
        <f t="shared" si="29"/>
        <v>-11.529106803302689</v>
      </c>
      <c r="AE37" s="1">
        <f t="shared" si="29"/>
        <v>-13.039106803302689</v>
      </c>
      <c r="AF37" s="1">
        <f t="shared" ref="AF37:AF68" si="33">IF(ISNUMBER(BK37),BK37,K37-BL$4)</f>
        <v>-39.160049038408062</v>
      </c>
      <c r="AG37" s="1">
        <f>$J37+SUMPRODUCT(regions!AX36:BK36,regions!AX$204:BK$204)</f>
        <v>-3.47414734669516</v>
      </c>
      <c r="AH37" s="1">
        <f>$J37+SUMPRODUCT(regions!AG36:AV36,regions!AG$204:AV$204)</f>
        <v>-10.37414734669516</v>
      </c>
      <c r="AI37" s="1">
        <f t="shared" si="22"/>
        <v>-12.539106803302689</v>
      </c>
      <c r="AJ37" s="1">
        <f>SartoriRoson!C34</f>
        <v>-8.1300000000000008</v>
      </c>
      <c r="AK37" s="1">
        <f>Kompas!E34</f>
        <v>-9.3960000000000008</v>
      </c>
      <c r="AL37" s="1">
        <f>$J37+SUMPRODUCT(regions!EY36:FW36,regions!EY$204:FW$204)</f>
        <v>-3.9632726124105915</v>
      </c>
      <c r="AM37" s="1">
        <f>$J37+SUMPRODUCT(regions!FZ36:GF36,regions!FZ$204:GF$204)</f>
        <v>-0.83573668443309046</v>
      </c>
      <c r="AN37" s="1">
        <f t="shared" si="13"/>
        <v>-19.73910680330269</v>
      </c>
      <c r="AO37" s="1">
        <f t="shared" si="13"/>
        <v>-19.039106803302687</v>
      </c>
      <c r="AP37" s="1">
        <f t="shared" si="13"/>
        <v>-14.23910680330269</v>
      </c>
      <c r="AQ37" s="1">
        <f t="shared" si="14"/>
        <v>-5.4095794923122558</v>
      </c>
      <c r="AR37" s="1">
        <f t="shared" si="14"/>
        <v>-15.539106803302689</v>
      </c>
      <c r="AS37" s="1">
        <f t="shared" si="14"/>
        <v>-12.839106803302688</v>
      </c>
      <c r="AT37" s="1">
        <f t="shared" si="14"/>
        <v>-10.832440136636022</v>
      </c>
      <c r="AU37" s="1">
        <f t="shared" si="17"/>
        <v>-15.759106803302689</v>
      </c>
      <c r="AV37" s="1">
        <f t="shared" si="17"/>
        <v>-14.339106803302688</v>
      </c>
      <c r="AW37" s="1">
        <f>$J37+SUMPRODUCT(regions!BN36:BU36,regions!BN$204:BU$204)</f>
        <v>-8.5888466159285315</v>
      </c>
      <c r="AX37" s="1">
        <f t="shared" si="17"/>
        <v>-12.019106803302689</v>
      </c>
      <c r="AY37" s="1">
        <f t="shared" si="17"/>
        <v>-11.23910680330269</v>
      </c>
      <c r="AZ37" s="1">
        <f t="shared" si="26"/>
        <v>-11.23910680330269</v>
      </c>
      <c r="BB37" t="str">
        <f>Maddison!A14</f>
        <v>Cameroon</v>
      </c>
      <c r="BC37">
        <f>-Maddison!B14</f>
        <v>-0.4</v>
      </c>
      <c r="BD37" s="1">
        <f>K37-BC37</f>
        <v>-11.236804293737389</v>
      </c>
      <c r="BF37" s="1"/>
      <c r="BG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</row>
    <row r="38" spans="1:90" x14ac:dyDescent="0.35">
      <c r="A38" t="s">
        <v>131</v>
      </c>
      <c r="B38" s="19">
        <f>regions!B37</f>
        <v>34126547</v>
      </c>
      <c r="C38" s="19">
        <f>regions!C37</f>
        <v>1240064039807.2598</v>
      </c>
      <c r="D38" s="8">
        <f>regions!D37</f>
        <v>36337.22567382102</v>
      </c>
      <c r="E38" s="8">
        <f>regions!E37</f>
        <v>11.760444874681959</v>
      </c>
      <c r="F38" s="8">
        <f>regions!F37</f>
        <v>1.3316639903834295</v>
      </c>
      <c r="G38" s="1">
        <f>regions!Z37</f>
        <v>-5.4</v>
      </c>
      <c r="J38" s="1">
        <f t="shared" si="30"/>
        <v>21.154126203894474</v>
      </c>
      <c r="K38" s="1">
        <f t="shared" si="19"/>
        <v>6.2013799158697172</v>
      </c>
      <c r="L38" s="1">
        <f t="shared" si="24"/>
        <v>4.1394553238431104</v>
      </c>
      <c r="M38" s="1">
        <f t="shared" si="25"/>
        <v>4.0805525523942983</v>
      </c>
      <c r="N38" s="1">
        <f t="shared" si="28"/>
        <v>6.7026483331817968</v>
      </c>
      <c r="O38" s="1">
        <f t="shared" si="28"/>
        <v>4.2990774063044181</v>
      </c>
      <c r="P38" s="1">
        <f t="shared" si="28"/>
        <v>6.2990774063044181</v>
      </c>
      <c r="Q38" s="1">
        <f t="shared" si="28"/>
        <v>5.9690774063044163</v>
      </c>
      <c r="R38" s="1">
        <f t="shared" si="28"/>
        <v>3.6990774063044167</v>
      </c>
      <c r="S38" s="1">
        <f>$J38+SUMPRODUCT(regions!EI37:EN37,regions!EI$204:EN$204)</f>
        <v>3.7951625258076156</v>
      </c>
      <c r="T38" s="1">
        <f>$J38+SUMPRODUCT(regions!EQ37:EV37,regions!EQ$204:EV$204)</f>
        <v>4.1387309879117389</v>
      </c>
      <c r="U38" s="1">
        <f>$J38+SUMPRODUCT(regions!CM37:CU37,regions!CM$204:CU$204)</f>
        <v>2.9197501077419368</v>
      </c>
      <c r="V38" s="1">
        <f>$J38+SUMPRODUCT(regions!DH37:DM37,regions!DH$204:DM$204)</f>
        <v>8.965635467057373</v>
      </c>
      <c r="W38" s="1">
        <f>$J38+SUMPRODUCT(regions!DP37:DW37,regions!DP$204:DW$204)</f>
        <v>2.3351625258076147</v>
      </c>
      <c r="X38" s="1">
        <f>$J38+SUMPRODUCT(regions!AB37:AE37,regions!AB$204:AE$204)</f>
        <v>5.8104234622923521</v>
      </c>
      <c r="Y38" s="1">
        <f>$J38+SUMPRODUCT(regions!BX37:CJ37,regions!BX$204:CJ$204)</f>
        <v>5.9029891733479474</v>
      </c>
      <c r="Z38" s="1">
        <f>$J38+SUMPRODUCT(regions!CX37:DF37,regions!CX$204:DF$204)</f>
        <v>7.8197501077419371</v>
      </c>
      <c r="AA38" s="1">
        <f t="shared" si="31"/>
        <v>2.5</v>
      </c>
      <c r="AB38" s="1">
        <f t="shared" si="32"/>
        <v>1.6281099864655397</v>
      </c>
      <c r="AC38" s="1">
        <f>$J38+SUMPRODUCT(regions!DZ37:EG37,regions!DZ$204:EG$204)</f>
        <v>4.8876625258076132</v>
      </c>
      <c r="AD38" s="1">
        <f t="shared" si="29"/>
        <v>6.3090774063044197</v>
      </c>
      <c r="AE38" s="1">
        <f t="shared" si="29"/>
        <v>4.7990774063044181</v>
      </c>
      <c r="AF38" s="1">
        <f t="shared" si="33"/>
        <v>7.5</v>
      </c>
      <c r="AG38" s="1">
        <f>$J38+SUMPRODUCT(regions!AX37:BK37,regions!AX$204:BK$204)</f>
        <v>4.7707346447895205</v>
      </c>
      <c r="AH38" s="1">
        <f>$J38+SUMPRODUCT(regions!AG37:AV37,regions!AG$204:AV$204)</f>
        <v>4.5726131951073654</v>
      </c>
      <c r="AI38" s="1">
        <f t="shared" si="22"/>
        <v>5.2990774063044181</v>
      </c>
      <c r="AJ38" s="1">
        <f>SartoriRoson!C35</f>
        <v>1.27</v>
      </c>
      <c r="AK38" s="1">
        <f>Kompas!E35</f>
        <v>-0.218</v>
      </c>
      <c r="AL38" s="1">
        <f>$J38+SUMPRODUCT(regions!EY37:FW37,regions!EY$204:FW$204)</f>
        <v>0.9012667713388538</v>
      </c>
      <c r="AM38" s="1">
        <f>$J38+SUMPRODUCT(regions!FZ37:GF37,regions!FZ$204:GF$204)</f>
        <v>5.8862193085466785</v>
      </c>
      <c r="AN38" s="1">
        <f t="shared" si="13"/>
        <v>-1.9009225936955811</v>
      </c>
      <c r="AO38" s="1">
        <f t="shared" si="13"/>
        <v>-1.2009225936955819</v>
      </c>
      <c r="AP38" s="1">
        <f t="shared" si="13"/>
        <v>3.5990774063044189</v>
      </c>
      <c r="AQ38" s="1">
        <f t="shared" si="14"/>
        <v>12.428604717294851</v>
      </c>
      <c r="AR38" s="1">
        <f t="shared" si="14"/>
        <v>2.2990774063044181</v>
      </c>
      <c r="AS38" s="1">
        <f t="shared" si="14"/>
        <v>4.9990774063044174</v>
      </c>
      <c r="AT38" s="1">
        <f t="shared" si="14"/>
        <v>7.0057440729710851</v>
      </c>
      <c r="AU38" s="1">
        <f t="shared" si="17"/>
        <v>2.0790774063044193</v>
      </c>
      <c r="AV38" s="1">
        <f t="shared" si="17"/>
        <v>3.4990774063044174</v>
      </c>
      <c r="AW38" s="1">
        <f>$J38+SUMPRODUCT(regions!BN37:BU37,regions!BN$204:BU$204)</f>
        <v>4.795916369655032</v>
      </c>
      <c r="AX38" s="1">
        <f t="shared" si="17"/>
        <v>5.8190774063044177</v>
      </c>
      <c r="AY38" s="1">
        <f t="shared" si="17"/>
        <v>6.5990774063044189</v>
      </c>
      <c r="AZ38" s="1">
        <f t="shared" si="26"/>
        <v>6.5990774063044189</v>
      </c>
      <c r="BB38" t="str">
        <f>Maddison!A15</f>
        <v>Canada</v>
      </c>
      <c r="BC38">
        <f>-Maddison!B15</f>
        <v>2.5</v>
      </c>
      <c r="BD38" s="1">
        <f>K38-BC38</f>
        <v>3.7013799158697172</v>
      </c>
      <c r="BE38" t="str">
        <f>RehdanzMaddison!P16</f>
        <v>Canada</v>
      </c>
      <c r="BF38" s="1">
        <f>-100*RehdanzMaddison!U16</f>
        <v>0.97442772097787089</v>
      </c>
      <c r="BG38" s="1">
        <f>-100*RehdanzMaddison!V16</f>
        <v>1.6281099864655397</v>
      </c>
      <c r="BH38" s="1">
        <f>$K38-BF38</f>
        <v>5.2269521948918465</v>
      </c>
      <c r="BI38" s="1">
        <f>$K38-BG38</f>
        <v>4.5732699294041774</v>
      </c>
      <c r="BJ38" t="str">
        <f>MaddisonRehdanz!A15</f>
        <v>Canada</v>
      </c>
      <c r="BK38">
        <f>MaddisonRehdanz!D15</f>
        <v>7.5</v>
      </c>
      <c r="BL38" s="1">
        <f>$K38-BK38</f>
        <v>-1.2986200841302828</v>
      </c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</row>
    <row r="39" spans="1:90" x14ac:dyDescent="0.35">
      <c r="A39" t="s">
        <v>360</v>
      </c>
      <c r="B39" s="19">
        <f>regions!B38</f>
        <v>487601</v>
      </c>
      <c r="C39" s="19">
        <f>regions!C38</f>
        <v>1291490221.8474941</v>
      </c>
      <c r="D39" s="8">
        <f>regions!D38</f>
        <v>2648.6619630548216</v>
      </c>
      <c r="E39" s="8">
        <f>regions!E38</f>
        <v>0</v>
      </c>
      <c r="F39" s="8">
        <f>regions!F38</f>
        <v>7.9897773139757362</v>
      </c>
      <c r="G39" s="1">
        <f>regions!Z38</f>
        <v>23.3</v>
      </c>
      <c r="J39" s="1">
        <f t="shared" si="30"/>
        <v>5.7049844157489513</v>
      </c>
      <c r="K39" s="1">
        <f t="shared" si="19"/>
        <v>-9.2477618722758059</v>
      </c>
      <c r="L39" s="1">
        <f t="shared" si="24"/>
        <v>-9.2870190896105136</v>
      </c>
      <c r="M39" s="1">
        <f t="shared" si="25"/>
        <v>7.5758254439956705</v>
      </c>
      <c r="N39" s="1">
        <f t="shared" si="28"/>
        <v>-8.7464934549637263</v>
      </c>
      <c r="O39" s="1">
        <f t="shared" si="28"/>
        <v>-11.150064381841105</v>
      </c>
      <c r="P39" s="1">
        <f t="shared" si="28"/>
        <v>-9.1500643818411049</v>
      </c>
      <c r="Q39" s="1">
        <f t="shared" si="28"/>
        <v>-9.480064381841105</v>
      </c>
      <c r="R39" s="1">
        <f t="shared" si="28"/>
        <v>-11.750064381841105</v>
      </c>
      <c r="S39" s="1">
        <f>$J39+SUMPRODUCT(regions!EI38:EN38,regions!EI$204:EN$204)</f>
        <v>-4.556062886544316</v>
      </c>
      <c r="T39" s="1">
        <f>$J39+SUMPRODUCT(regions!EQ38:EV38,regions!EQ$204:EV$204)</f>
        <v>-4.0550749535595862</v>
      </c>
      <c r="U39" s="1">
        <f>$J39+SUMPRODUCT(regions!CM38:CU38,regions!CM$204:CU$204)</f>
        <v>-8.750646076869792</v>
      </c>
      <c r="V39" s="1">
        <f>$J39+SUMPRODUCT(regions!DH38:DM38,regions!DH$204:DM$204)</f>
        <v>-6.4835063210881501</v>
      </c>
      <c r="W39" s="1">
        <f>$J39+SUMPRODUCT(regions!DP38:DW38,regions!DP$204:DW$204)</f>
        <v>-8.3230635704786504</v>
      </c>
      <c r="X39" s="1">
        <f>$J39+SUMPRODUCT(regions!AB38:AE38,regions!AB$204:AE$204)</f>
        <v>-3.433420741591048</v>
      </c>
      <c r="Y39" s="1">
        <f>$J39+SUMPRODUCT(regions!BX38:CJ38,regions!BX$204:CJ$204)</f>
        <v>-1.2470223721929123</v>
      </c>
      <c r="Z39" s="1">
        <f>$J39+SUMPRODUCT(regions!CX38:DF38,regions!CX$204:DF$204)</f>
        <v>-4.1506460768697924</v>
      </c>
      <c r="AA39" s="1">
        <f t="shared" si="31"/>
        <v>-6.7430635826016072</v>
      </c>
      <c r="AB39" s="1">
        <f t="shared" si="32"/>
        <v>-8.3031239342861944</v>
      </c>
      <c r="AC39" s="1">
        <f>$J39+SUMPRODUCT(regions!DZ38:EG38,regions!DZ$204:EG$204)</f>
        <v>-4.7239635704786505</v>
      </c>
      <c r="AD39" s="1">
        <f t="shared" si="29"/>
        <v>-9.1400643818411051</v>
      </c>
      <c r="AE39" s="1">
        <f t="shared" si="29"/>
        <v>-10.650064381841105</v>
      </c>
      <c r="AF39" s="1">
        <f t="shared" si="33"/>
        <v>-36.77100661694648</v>
      </c>
      <c r="AG39" s="1">
        <f>$J39+SUMPRODUCT(regions!AX38:BK38,regions!AX$204:BK$204)</f>
        <v>-1.0851049252335763</v>
      </c>
      <c r="AH39" s="1">
        <f>$J39+SUMPRODUCT(regions!AG38:AV38,regions!AG$204:AV$204)</f>
        <v>-7.9851049252335766</v>
      </c>
      <c r="AI39" s="1">
        <f t="shared" si="22"/>
        <v>-10.150064381841105</v>
      </c>
      <c r="AJ39" s="1">
        <f>SartoriRoson!C36</f>
        <v>-6.07</v>
      </c>
      <c r="AK39" s="1">
        <f>Kompas!E36</f>
        <v>-15.566000000000001</v>
      </c>
      <c r="AL39" s="1">
        <f>$J39+SUMPRODUCT(regions!EY38:FW38,regions!EY$204:FW$204)</f>
        <v>-1.5742301909490077</v>
      </c>
      <c r="AM39" s="1">
        <f>$J39+SUMPRODUCT(regions!FZ38:GF38,regions!FZ$204:GF$204)</f>
        <v>1.5533057370284933</v>
      </c>
      <c r="AN39" s="1">
        <f t="shared" si="13"/>
        <v>-17.350064381841104</v>
      </c>
      <c r="AO39" s="1">
        <f t="shared" si="13"/>
        <v>-16.650064381841105</v>
      </c>
      <c r="AP39" s="1">
        <f t="shared" si="13"/>
        <v>-11.850064381841104</v>
      </c>
      <c r="AQ39" s="1">
        <f t="shared" si="14"/>
        <v>-3.0205370708506702</v>
      </c>
      <c r="AR39" s="1">
        <f t="shared" si="14"/>
        <v>-13.150064381841105</v>
      </c>
      <c r="AS39" s="1">
        <f t="shared" si="14"/>
        <v>-10.450064381841106</v>
      </c>
      <c r="AT39" s="1">
        <f t="shared" si="14"/>
        <v>-8.4433977151744379</v>
      </c>
      <c r="AU39" s="1">
        <f t="shared" si="17"/>
        <v>-13.370064381841104</v>
      </c>
      <c r="AV39" s="1">
        <f t="shared" si="17"/>
        <v>-11.950064381841106</v>
      </c>
      <c r="AW39" s="1">
        <f>$J39+SUMPRODUCT(regions!BN38:BU38,regions!BN$204:BU$204)</f>
        <v>-6.1998041944669477</v>
      </c>
      <c r="AX39" s="1">
        <f t="shared" si="17"/>
        <v>-9.6300643818411054</v>
      </c>
      <c r="AY39" s="1">
        <f t="shared" si="17"/>
        <v>-8.8500643818411042</v>
      </c>
      <c r="AZ39" s="1">
        <f t="shared" si="26"/>
        <v>-8.8500643818411042</v>
      </c>
      <c r="BF39" s="1"/>
      <c r="BG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</row>
    <row r="40" spans="1:90" x14ac:dyDescent="0.35">
      <c r="A40" t="s">
        <v>361</v>
      </c>
      <c r="B40" s="19">
        <f>regions!B39</f>
        <v>4349921</v>
      </c>
      <c r="C40" s="19">
        <f>regions!C39</f>
        <v>1895403784.9660907</v>
      </c>
      <c r="D40" s="8">
        <f>regions!D39</f>
        <v>435.73292134870741</v>
      </c>
      <c r="E40" s="8">
        <f>regions!E39</f>
        <v>10.072053007234443</v>
      </c>
      <c r="F40" s="8">
        <f>regions!F39</f>
        <v>50.288828703534264</v>
      </c>
      <c r="G40" s="1">
        <f>regions!Z39</f>
        <v>24.9</v>
      </c>
      <c r="J40" s="1">
        <f t="shared" si="30"/>
        <v>1.8192484349486762</v>
      </c>
      <c r="K40" s="1">
        <f t="shared" si="19"/>
        <v>-13.133497853076081</v>
      </c>
      <c r="L40" s="1">
        <f t="shared" si="24"/>
        <v>-12.463207383981938</v>
      </c>
      <c r="M40" s="1">
        <f t="shared" si="25"/>
        <v>8.7024702864293051</v>
      </c>
      <c r="N40" s="1">
        <f t="shared" si="28"/>
        <v>-12.632229435764001</v>
      </c>
      <c r="O40" s="1">
        <f t="shared" si="28"/>
        <v>-15.03580036264138</v>
      </c>
      <c r="P40" s="1">
        <f t="shared" si="28"/>
        <v>-13.03580036264138</v>
      </c>
      <c r="Q40" s="1">
        <f t="shared" si="28"/>
        <v>-13.36580036264138</v>
      </c>
      <c r="R40" s="1">
        <f t="shared" si="28"/>
        <v>-15.63580036264138</v>
      </c>
      <c r="S40" s="1">
        <f>$J40+SUMPRODUCT(regions!EI39:EN39,regions!EI$204:EN$204)</f>
        <v>-8.4417988673445912</v>
      </c>
      <c r="T40" s="1">
        <f>$J40+SUMPRODUCT(regions!EQ39:EV39,regions!EQ$204:EV$204)</f>
        <v>-7.9408109343598614</v>
      </c>
      <c r="U40" s="1">
        <f>$J40+SUMPRODUCT(regions!CM39:CU39,regions!CM$204:CU$204)</f>
        <v>-12.636382057670067</v>
      </c>
      <c r="V40" s="1">
        <f>$J40+SUMPRODUCT(regions!DH39:DM39,regions!DH$204:DM$204)</f>
        <v>-10.369242301888425</v>
      </c>
      <c r="W40" s="1">
        <f>$J40+SUMPRODUCT(regions!DP39:DW39,regions!DP$204:DW$204)</f>
        <v>-12.208799551278926</v>
      </c>
      <c r="X40" s="1">
        <f>$J40+SUMPRODUCT(regions!AB39:AE39,regions!AB$204:AE$204)</f>
        <v>-1.6972689132667655</v>
      </c>
      <c r="Y40" s="1">
        <f>$J40+SUMPRODUCT(regions!BX39:CJ39,regions!BX$204:CJ$204)</f>
        <v>-5.1327583529931875</v>
      </c>
      <c r="Z40" s="1">
        <f>$J40+SUMPRODUCT(regions!CX39:DF39,regions!CX$204:DF$204)</f>
        <v>-8.0363820576700675</v>
      </c>
      <c r="AA40" s="1">
        <f t="shared" si="31"/>
        <v>-10.628799563401882</v>
      </c>
      <c r="AB40" s="1">
        <f t="shared" si="32"/>
        <v>-12.18885991508647</v>
      </c>
      <c r="AC40" s="1">
        <f>$J40+SUMPRODUCT(regions!DZ39:EG39,regions!DZ$204:EG$204)</f>
        <v>-8.6096995512789256</v>
      </c>
      <c r="AD40" s="1">
        <f t="shared" si="29"/>
        <v>-13.02580036264138</v>
      </c>
      <c r="AE40" s="1">
        <f t="shared" si="29"/>
        <v>-14.53580036264138</v>
      </c>
      <c r="AF40" s="1">
        <f t="shared" si="33"/>
        <v>-40.656742597746749</v>
      </c>
      <c r="AG40" s="1">
        <f>$J40+SUMPRODUCT(regions!AX39:BK39,regions!AX$204:BK$204)</f>
        <v>-4.9708409060338514</v>
      </c>
      <c r="AH40" s="1">
        <f>$J40+SUMPRODUCT(regions!AG39:AV39,regions!AG$204:AV$204)</f>
        <v>-11.870840906033852</v>
      </c>
      <c r="AI40" s="1">
        <f t="shared" si="22"/>
        <v>-14.03580036264138</v>
      </c>
      <c r="AJ40" s="1">
        <f>SartoriRoson!C37</f>
        <v>-2.38</v>
      </c>
      <c r="AK40" s="1">
        <f>Kompas!E37</f>
        <v>-4.9770000000000003</v>
      </c>
      <c r="AL40" s="1">
        <f>$J40+SUMPRODUCT(regions!EY39:FW39,regions!EY$204:FW$204)</f>
        <v>-5.4599661717492829</v>
      </c>
      <c r="AM40" s="1">
        <f>$J40+SUMPRODUCT(regions!FZ39:GF39,regions!FZ$204:GF$204)</f>
        <v>-2.3324302437717819</v>
      </c>
      <c r="AN40" s="1">
        <f t="shared" si="13"/>
        <v>-21.235800362641378</v>
      </c>
      <c r="AO40" s="1">
        <f t="shared" si="13"/>
        <v>-20.535800362641382</v>
      </c>
      <c r="AP40" s="1">
        <f t="shared" si="13"/>
        <v>-15.735800362641381</v>
      </c>
      <c r="AQ40" s="1">
        <f t="shared" si="14"/>
        <v>-6.9062730516509463</v>
      </c>
      <c r="AR40" s="1">
        <f t="shared" si="14"/>
        <v>-17.035800362641382</v>
      </c>
      <c r="AS40" s="1">
        <f t="shared" si="14"/>
        <v>-14.335800362641379</v>
      </c>
      <c r="AT40" s="1">
        <f t="shared" si="14"/>
        <v>-12.329133695974713</v>
      </c>
      <c r="AU40" s="1">
        <f t="shared" si="17"/>
        <v>-17.255800362641381</v>
      </c>
      <c r="AV40" s="1">
        <f t="shared" si="17"/>
        <v>-15.835800362641379</v>
      </c>
      <c r="AW40" s="1">
        <f>$J40+SUMPRODUCT(regions!BN39:BU39,regions!BN$204:BU$204)</f>
        <v>-10.085540175267223</v>
      </c>
      <c r="AX40" s="1">
        <f t="shared" si="17"/>
        <v>-13.515800362641381</v>
      </c>
      <c r="AY40" s="1">
        <f t="shared" si="17"/>
        <v>-12.735800362641379</v>
      </c>
      <c r="AZ40" s="1">
        <f t="shared" si="26"/>
        <v>-12.735800362641379</v>
      </c>
      <c r="BF40" s="1"/>
      <c r="BG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</row>
    <row r="41" spans="1:90" x14ac:dyDescent="0.35">
      <c r="A41" t="s">
        <v>362</v>
      </c>
      <c r="B41" s="19">
        <f>regions!B40</f>
        <v>11720781</v>
      </c>
      <c r="C41" s="19">
        <f>regions!C40</f>
        <v>8425171572.2620554</v>
      </c>
      <c r="D41" s="8">
        <f>regions!D40</f>
        <v>718.82339344639706</v>
      </c>
      <c r="E41" s="8">
        <f>regions!E40</f>
        <v>0</v>
      </c>
      <c r="F41" s="8">
        <f>regions!F40</f>
        <v>51.945623024181465</v>
      </c>
      <c r="G41" s="1">
        <f>regions!Z40</f>
        <v>26.5</v>
      </c>
      <c r="J41" s="1">
        <f t="shared" si="30"/>
        <v>2.1368827497024956</v>
      </c>
      <c r="K41" s="1">
        <f t="shared" si="19"/>
        <v>-12.815863538322262</v>
      </c>
      <c r="L41" s="1">
        <f t="shared" si="24"/>
        <v>-12.161862008446263</v>
      </c>
      <c r="M41" s="1">
        <f t="shared" si="25"/>
        <v>8.6048675394258751</v>
      </c>
      <c r="N41" s="1">
        <f t="shared" si="28"/>
        <v>-12.314595121010182</v>
      </c>
      <c r="O41" s="1">
        <f t="shared" si="28"/>
        <v>-14.718166047887561</v>
      </c>
      <c r="P41" s="1">
        <f t="shared" si="28"/>
        <v>-12.718166047887561</v>
      </c>
      <c r="Q41" s="1">
        <f t="shared" si="28"/>
        <v>-13.048166047887561</v>
      </c>
      <c r="R41" s="1">
        <f t="shared" si="28"/>
        <v>-15.31816604788756</v>
      </c>
      <c r="S41" s="1">
        <f>$J41+SUMPRODUCT(regions!EI40:EN40,regions!EI$204:EN$204)</f>
        <v>-8.1241645525907717</v>
      </c>
      <c r="T41" s="1">
        <f>$J41+SUMPRODUCT(regions!EQ40:EV40,regions!EQ$204:EV$204)</f>
        <v>-7.623176619606042</v>
      </c>
      <c r="U41" s="1">
        <f>$J41+SUMPRODUCT(regions!CM40:CU40,regions!CM$204:CU$204)</f>
        <v>-12.318747742916248</v>
      </c>
      <c r="V41" s="1">
        <f>$J41+SUMPRODUCT(regions!DH40:DM40,regions!DH$204:DM$204)</f>
        <v>-10.051607987134606</v>
      </c>
      <c r="W41" s="1">
        <f>$J41+SUMPRODUCT(regions!DP40:DW40,regions!DP$204:DW$204)</f>
        <v>-11.891165236525106</v>
      </c>
      <c r="X41" s="1">
        <f>$J41+SUMPRODUCT(regions!AB40:AE40,regions!AB$204:AE$204)</f>
        <v>-1.3796345985129461</v>
      </c>
      <c r="Y41" s="1">
        <f>$J41+SUMPRODUCT(regions!BX40:CJ40,regions!BX$204:CJ$204)</f>
        <v>-4.8151240382393681</v>
      </c>
      <c r="Z41" s="1">
        <f>$J41+SUMPRODUCT(regions!CX40:DF40,regions!CX$204:DF$204)</f>
        <v>-7.7187477429162481</v>
      </c>
      <c r="AA41" s="1">
        <f t="shared" si="31"/>
        <v>-10.311165248648063</v>
      </c>
      <c r="AB41" s="1">
        <f t="shared" si="32"/>
        <v>-11.87122560033265</v>
      </c>
      <c r="AC41" s="1">
        <f>$J41+SUMPRODUCT(regions!DZ40:EG40,regions!DZ$204:EG$204)</f>
        <v>-8.2920652365251062</v>
      </c>
      <c r="AD41" s="1">
        <f t="shared" si="29"/>
        <v>-12.708166047887561</v>
      </c>
      <c r="AE41" s="1">
        <f t="shared" si="29"/>
        <v>-14.218166047887561</v>
      </c>
      <c r="AF41" s="1">
        <f t="shared" si="33"/>
        <v>-40.339108282992932</v>
      </c>
      <c r="AG41" s="1">
        <f>$J41+SUMPRODUCT(regions!AX40:BK40,regions!AX$204:BK$204)</f>
        <v>-4.653206591280032</v>
      </c>
      <c r="AH41" s="1">
        <f>$J41+SUMPRODUCT(regions!AG40:AV40,regions!AG$204:AV$204)</f>
        <v>-11.553206591280032</v>
      </c>
      <c r="AI41" s="1">
        <f t="shared" si="22"/>
        <v>-13.718166047887561</v>
      </c>
      <c r="AJ41" s="1">
        <f>SartoriRoson!C38</f>
        <v>-2.38</v>
      </c>
      <c r="AK41" s="1">
        <f>Kompas!E38</f>
        <v>-4.9770000000000003</v>
      </c>
      <c r="AL41" s="1">
        <f>$J41+SUMPRODUCT(regions!EY40:FW40,regions!EY$204:FW$204)</f>
        <v>-5.1423318569954635</v>
      </c>
      <c r="AM41" s="1">
        <f>$J41+SUMPRODUCT(regions!FZ40:GF40,regions!FZ$204:GF$204)</f>
        <v>-2.0147959290179625</v>
      </c>
      <c r="AN41" s="1">
        <f t="shared" si="13"/>
        <v>-20.91816604788756</v>
      </c>
      <c r="AO41" s="1">
        <f t="shared" si="13"/>
        <v>-20.218166047887561</v>
      </c>
      <c r="AP41" s="1">
        <f t="shared" si="13"/>
        <v>-15.41816604788756</v>
      </c>
      <c r="AQ41" s="1">
        <f t="shared" si="14"/>
        <v>-6.5886387368971269</v>
      </c>
      <c r="AR41" s="1">
        <f t="shared" si="14"/>
        <v>-16.718166047887561</v>
      </c>
      <c r="AS41" s="1">
        <f t="shared" si="14"/>
        <v>-14.018166047887561</v>
      </c>
      <c r="AT41" s="1">
        <f t="shared" si="14"/>
        <v>-12.011499381220894</v>
      </c>
      <c r="AU41" s="1">
        <f t="shared" si="17"/>
        <v>-16.93816604788756</v>
      </c>
      <c r="AV41" s="1">
        <f t="shared" si="17"/>
        <v>-15.518166047887561</v>
      </c>
      <c r="AW41" s="1">
        <f>$J41+SUMPRODUCT(regions!BN40:BU40,regions!BN$204:BU$204)</f>
        <v>-9.7679058605134035</v>
      </c>
      <c r="AX41" s="1">
        <f t="shared" si="17"/>
        <v>-13.198166047887561</v>
      </c>
      <c r="AY41" s="1">
        <f t="shared" si="17"/>
        <v>-12.41816604788756</v>
      </c>
      <c r="AZ41" s="1">
        <f t="shared" si="26"/>
        <v>-12.41816604788756</v>
      </c>
      <c r="BF41" s="1"/>
      <c r="BG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</row>
    <row r="42" spans="1:90" x14ac:dyDescent="0.35">
      <c r="A42" t="s">
        <v>132</v>
      </c>
      <c r="B42" s="19">
        <f>regions!B41</f>
        <v>17150760</v>
      </c>
      <c r="C42" s="19">
        <f>regions!C41</f>
        <v>147668421646.38379</v>
      </c>
      <c r="D42" s="8">
        <f>regions!D41</f>
        <v>8610.0220425441075</v>
      </c>
      <c r="E42" s="8">
        <f>regions!E41</f>
        <v>17.356514395849796</v>
      </c>
      <c r="F42" s="8">
        <f>regions!F41</f>
        <v>3.615889644675824</v>
      </c>
      <c r="G42" s="1">
        <f>regions!Z41</f>
        <v>8.5</v>
      </c>
      <c r="J42" s="1">
        <f t="shared" si="30"/>
        <v>13.358942456456763</v>
      </c>
      <c r="K42" s="1">
        <f t="shared" si="19"/>
        <v>-1.5938038315679943</v>
      </c>
      <c r="L42" s="1">
        <f t="shared" si="24"/>
        <v>-0.63194878343001637</v>
      </c>
      <c r="M42" s="1">
        <f t="shared" si="25"/>
        <v>4.9299557964192999</v>
      </c>
      <c r="N42" s="1">
        <f t="shared" si="28"/>
        <v>-1.0925354142559147</v>
      </c>
      <c r="O42" s="1">
        <f t="shared" si="28"/>
        <v>-3.4961063411332933</v>
      </c>
      <c r="P42" s="1">
        <f t="shared" si="28"/>
        <v>-1.4961063411332933</v>
      </c>
      <c r="Q42" s="1">
        <f t="shared" si="28"/>
        <v>-1.8261063411332934</v>
      </c>
      <c r="R42" s="1">
        <f t="shared" si="28"/>
        <v>-4.096106341133293</v>
      </c>
      <c r="S42" s="1">
        <f>$J42+SUMPRODUCT(regions!EI41:EN41,regions!EI$204:EN$204)</f>
        <v>3.0978951541634956</v>
      </c>
      <c r="T42" s="1">
        <f>$J42+SUMPRODUCT(regions!EQ41:EV41,regions!EQ$204:EV$204)</f>
        <v>3.5988830871482254</v>
      </c>
      <c r="U42" s="1">
        <f>$J42+SUMPRODUCT(regions!CM41:CU41,regions!CM$204:CU$204)</f>
        <v>1.2640049786068843</v>
      </c>
      <c r="V42" s="1">
        <f>$J42+SUMPRODUCT(regions!DH41:DM41,regions!DH$204:DM$204)</f>
        <v>1.1704517196196615</v>
      </c>
      <c r="W42" s="1">
        <f>$J42+SUMPRODUCT(regions!DP41:DW41,regions!DP$204:DW$204)</f>
        <v>1.2740049786068859</v>
      </c>
      <c r="X42" s="1">
        <f>$J42+SUMPRODUCT(regions!AB41:AE41,regions!AB$204:AE$204)</f>
        <v>3.4053036704774655</v>
      </c>
      <c r="Y42" s="1">
        <f>$J42+SUMPRODUCT(regions!BX41:CJ41,regions!BX$204:CJ$204)</f>
        <v>2.8116703424969529</v>
      </c>
      <c r="Z42" s="1">
        <f>$J42+SUMPRODUCT(regions!CX41:DF41,regions!CX$204:DF$204)</f>
        <v>5.4640049786068854</v>
      </c>
      <c r="AA42" s="1">
        <f t="shared" si="31"/>
        <v>14.8</v>
      </c>
      <c r="AB42" s="1">
        <f t="shared" si="32"/>
        <v>-1.8995305609191437</v>
      </c>
      <c r="AC42" s="1">
        <f>$J42+SUMPRODUCT(regions!DZ41:EG41,regions!DZ$204:EG$204)</f>
        <v>3.3131049786068854</v>
      </c>
      <c r="AD42" s="1">
        <f t="shared" si="29"/>
        <v>-1.4861063411332935</v>
      </c>
      <c r="AE42" s="1">
        <f t="shared" si="29"/>
        <v>-2.9961063411332933</v>
      </c>
      <c r="AF42" s="1">
        <f t="shared" si="33"/>
        <v>4.9000000000000004</v>
      </c>
      <c r="AG42" s="1">
        <f>$J42+SUMPRODUCT(regions!AX41:BK41,regions!AX$204:BK$204)</f>
        <v>4.8747913131348373</v>
      </c>
      <c r="AH42" s="1">
        <f>$J42+SUMPRODUCT(regions!AG41:AV41,regions!AG$204:AV$204)</f>
        <v>-3.2918222451315593</v>
      </c>
      <c r="AI42" s="1">
        <f t="shared" si="22"/>
        <v>-2.4961063411332933</v>
      </c>
      <c r="AJ42" s="1">
        <f>SartoriRoson!C39</f>
        <v>-0.26</v>
      </c>
      <c r="AK42" s="1">
        <f>Kompas!E39</f>
        <v>-1.1579999999999999</v>
      </c>
      <c r="AL42" s="1">
        <f>$J42+SUMPRODUCT(regions!EY41:FW41,regions!EY$204:FW$204)</f>
        <v>-0.58373536968312756</v>
      </c>
      <c r="AM42" s="1">
        <f>$J42+SUMPRODUCT(regions!FZ41:GF41,regions!FZ$204:GF$204)</f>
        <v>7.497726452239581</v>
      </c>
      <c r="AN42" s="1">
        <f t="shared" si="13"/>
        <v>-9.6961063411332926</v>
      </c>
      <c r="AO42" s="1">
        <f t="shared" si="13"/>
        <v>-8.9961063411332933</v>
      </c>
      <c r="AP42" s="1">
        <f t="shared" si="13"/>
        <v>-4.1961063411332926</v>
      </c>
      <c r="AQ42" s="1">
        <f t="shared" si="14"/>
        <v>4.6334209698571396</v>
      </c>
      <c r="AR42" s="1">
        <f t="shared" si="14"/>
        <v>-5.4961063411332933</v>
      </c>
      <c r="AS42" s="1">
        <f t="shared" si="14"/>
        <v>-2.796106341133294</v>
      </c>
      <c r="AT42" s="1">
        <f t="shared" si="14"/>
        <v>-0.78943967446662633</v>
      </c>
      <c r="AU42" s="1">
        <f t="shared" si="17"/>
        <v>-5.7161063411332922</v>
      </c>
      <c r="AV42" s="1">
        <f t="shared" si="17"/>
        <v>-4.296106341133294</v>
      </c>
      <c r="AW42" s="1">
        <f>$J42+SUMPRODUCT(regions!BN41:BU41,regions!BN$204:BU$204)</f>
        <v>-0.27771155345251763</v>
      </c>
      <c r="AX42" s="1">
        <f t="shared" si="17"/>
        <v>-1.9761063411332938</v>
      </c>
      <c r="AY42" s="1">
        <f t="shared" si="17"/>
        <v>-1.1961063411332926</v>
      </c>
      <c r="AZ42" s="1">
        <f t="shared" si="26"/>
        <v>-1.1961063411332926</v>
      </c>
      <c r="BB42" t="str">
        <f>Maddison!A16</f>
        <v>Chile</v>
      </c>
      <c r="BC42">
        <f>-Maddison!B16</f>
        <v>14.8</v>
      </c>
      <c r="BD42" s="1">
        <f>K42-BC42</f>
        <v>-16.393803831567993</v>
      </c>
      <c r="BE42" t="str">
        <f>RehdanzMaddison!P17</f>
        <v>Chile</v>
      </c>
      <c r="BF42" s="1">
        <f>-100*RehdanzMaddison!U17</f>
        <v>-1.1871049748183777</v>
      </c>
      <c r="BG42" s="1">
        <f>-100*RehdanzMaddison!V17</f>
        <v>-1.8995305609191437</v>
      </c>
      <c r="BH42" s="1">
        <f t="shared" ref="BH42:BI44" si="34">$K42-BF42</f>
        <v>-0.40669885674961659</v>
      </c>
      <c r="BI42" s="1">
        <f t="shared" si="34"/>
        <v>0.30572672935114942</v>
      </c>
      <c r="BJ42" t="str">
        <f>MaddisonRehdanz!A16</f>
        <v>Chile</v>
      </c>
      <c r="BK42">
        <f>MaddisonRehdanz!D16</f>
        <v>4.9000000000000004</v>
      </c>
      <c r="BL42" s="1">
        <f>$K42-BK42</f>
        <v>-6.4938038315679947</v>
      </c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</row>
    <row r="43" spans="1:90" x14ac:dyDescent="0.35">
      <c r="A43" t="s">
        <v>65</v>
      </c>
      <c r="B43" s="19">
        <f>regions!B42</f>
        <v>1337705000</v>
      </c>
      <c r="C43" s="19">
        <f>regions!C42</f>
        <v>3839284159376.0742</v>
      </c>
      <c r="D43" s="8">
        <f>regions!D42</f>
        <v>2870.0529334764196</v>
      </c>
      <c r="E43" s="8">
        <f>regions!E42</f>
        <v>10.189523096860571</v>
      </c>
      <c r="F43" s="8">
        <f>regions!F42</f>
        <v>9.5301929409305757</v>
      </c>
      <c r="G43" s="1">
        <f>regions!Z42</f>
        <v>6.9</v>
      </c>
      <c r="J43" s="1">
        <f t="shared" si="30"/>
        <v>11.950957348003632</v>
      </c>
      <c r="K43" s="1">
        <f t="shared" si="19"/>
        <v>-3.0017889400211253</v>
      </c>
      <c r="L43" s="1">
        <f t="shared" si="24"/>
        <v>-3.1839445821641514</v>
      </c>
      <c r="M43" s="1">
        <f t="shared" si="25"/>
        <v>3.7466148829186388</v>
      </c>
      <c r="N43" s="1">
        <f t="shared" si="28"/>
        <v>-2.5005205227090457</v>
      </c>
      <c r="O43" s="1">
        <f t="shared" si="28"/>
        <v>-4.9040914495864243</v>
      </c>
      <c r="P43" s="1">
        <f t="shared" si="28"/>
        <v>-2.9040914495864243</v>
      </c>
      <c r="Q43" s="1">
        <f t="shared" si="28"/>
        <v>-3.2340914495864244</v>
      </c>
      <c r="R43" s="1">
        <f t="shared" si="28"/>
        <v>-5.5040914495864239</v>
      </c>
      <c r="S43" s="1">
        <f>$J43+SUMPRODUCT(regions!EI42:EN42,regions!EI$204:EN$204)</f>
        <v>-4.7000000000000011</v>
      </c>
      <c r="T43" s="1">
        <f>$J43+SUMPRODUCT(regions!EQ42:EV42,regions!EQ$204:EV$204)</f>
        <v>-6.1000000000000032</v>
      </c>
      <c r="U43" s="1">
        <f>$J43+SUMPRODUCT(regions!CM42:CU42,regions!CM$204:CU$204)</f>
        <v>-5.1133800967767531</v>
      </c>
      <c r="V43" s="1">
        <f>$J43+SUMPRODUCT(regions!DH42:DM42,regions!DH$204:DM$204)</f>
        <v>-1.5230000000000015</v>
      </c>
      <c r="W43" s="1">
        <f>$J43+SUMPRODUCT(regions!DP42:DW42,regions!DP$204:DW$204)</f>
        <v>-5.201208493405284</v>
      </c>
      <c r="X43" s="1">
        <f>$J43+SUMPRODUCT(regions!AB42:AE42,regions!AB$204:AE$204)</f>
        <v>2.8125521906636326</v>
      </c>
      <c r="Y43" s="1">
        <f>$J43+SUMPRODUCT(regions!BX42:CJ42,regions!BX$204:CJ$204)</f>
        <v>-0.22000000000000242</v>
      </c>
      <c r="Z43" s="1">
        <f>$J43+SUMPRODUCT(regions!CX42:DF42,regions!CX$204:DF$204)</f>
        <v>2.1866199032232458</v>
      </c>
      <c r="AA43" s="1">
        <f t="shared" si="31"/>
        <v>-0.49709065034692701</v>
      </c>
      <c r="AB43" s="1">
        <f t="shared" si="32"/>
        <v>4.8779588127812572E-3</v>
      </c>
      <c r="AC43" s="1">
        <f>$J43+SUMPRODUCT(regions!DZ42:EG42,regions!DZ$204:EG$204)</f>
        <v>-0.24720849340528339</v>
      </c>
      <c r="AD43" s="1">
        <f t="shared" si="29"/>
        <v>-2.8940914495864245</v>
      </c>
      <c r="AE43" s="1">
        <f t="shared" si="29"/>
        <v>-4.4040914495864243</v>
      </c>
      <c r="AF43" s="1">
        <f t="shared" si="33"/>
        <v>4.5</v>
      </c>
      <c r="AG43" s="1">
        <f>$J43+SUMPRODUCT(regions!AX42:BK42,regions!AX$204:BK$204)</f>
        <v>9.9999999999997868E-2</v>
      </c>
      <c r="AH43" s="1">
        <f>$J43+SUMPRODUCT(regions!AG42:AV42,regions!AG$204:AV$204)</f>
        <v>-5.0000000000000018</v>
      </c>
      <c r="AI43" s="1">
        <f t="shared" si="22"/>
        <v>-3.9040914495864243</v>
      </c>
      <c r="AJ43" s="1">
        <f>SartoriRoson!C40</f>
        <v>-1.07</v>
      </c>
      <c r="AK43" s="1">
        <f>Kompas!E40</f>
        <v>-2.9180000000000001</v>
      </c>
      <c r="AL43" s="1">
        <f>$J43+SUMPRODUCT(regions!EY42:FW42,regions!EY$204:FW$204)</f>
        <v>-2.5034648872395113</v>
      </c>
      <c r="AM43" s="1">
        <f>$J43+SUMPRODUCT(regions!FZ42:GF42,regions!FZ$204:GF$204)</f>
        <v>2.9842225552965136</v>
      </c>
      <c r="AN43" s="1">
        <f t="shared" si="13"/>
        <v>-11.104091449586424</v>
      </c>
      <c r="AO43" s="1">
        <f t="shared" si="13"/>
        <v>-10.404091449586424</v>
      </c>
      <c r="AP43" s="1">
        <f t="shared" si="13"/>
        <v>-5.6040914495864254</v>
      </c>
      <c r="AQ43" s="1">
        <f t="shared" si="14"/>
        <v>3.2254358614040104</v>
      </c>
      <c r="AR43" s="1">
        <f t="shared" si="14"/>
        <v>-6.9040914495864243</v>
      </c>
      <c r="AS43" s="1">
        <f t="shared" si="14"/>
        <v>-4.2040914495864232</v>
      </c>
      <c r="AT43" s="1">
        <f t="shared" si="14"/>
        <v>-2.1974247829197573</v>
      </c>
      <c r="AU43" s="1">
        <f t="shared" si="17"/>
        <v>-7.124091449586424</v>
      </c>
      <c r="AV43" s="1">
        <f t="shared" si="17"/>
        <v>-5.7040914495864232</v>
      </c>
      <c r="AW43" s="1">
        <f>$J43+SUMPRODUCT(regions!BN42:BU42,regions!BN$204:BU$204)</f>
        <v>1.1379879561303401</v>
      </c>
      <c r="AX43" s="1">
        <f t="shared" si="17"/>
        <v>-3.3840914495864247</v>
      </c>
      <c r="AY43" s="1">
        <f t="shared" si="17"/>
        <v>-2.6040914495864236</v>
      </c>
      <c r="AZ43" s="1">
        <f t="shared" si="26"/>
        <v>-2.6040914495864236</v>
      </c>
      <c r="BE43" t="str">
        <f>RehdanzMaddison!P18</f>
        <v>China</v>
      </c>
      <c r="BF43" s="1">
        <f>-100*RehdanzMaddison!U18</f>
        <v>-3.9720521761218805E-2</v>
      </c>
      <c r="BG43" s="1">
        <f>-100*RehdanzMaddison!V18</f>
        <v>4.8779588127812572E-3</v>
      </c>
      <c r="BH43" s="1">
        <f t="shared" si="34"/>
        <v>-2.9620684182599066</v>
      </c>
      <c r="BI43" s="1">
        <f t="shared" si="34"/>
        <v>-3.0066668988339065</v>
      </c>
      <c r="BJ43" t="str">
        <f>MaddisonRehdanz!A17</f>
        <v>China</v>
      </c>
      <c r="BK43">
        <f>MaddisonRehdanz!D17</f>
        <v>4.5</v>
      </c>
      <c r="BL43" s="1">
        <f>$K43-BK43</f>
        <v>-7.5017889400211253</v>
      </c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</row>
    <row r="44" spans="1:90" x14ac:dyDescent="0.35">
      <c r="A44" t="s">
        <v>133</v>
      </c>
      <c r="B44" s="19">
        <f>regions!B43</f>
        <v>46444798</v>
      </c>
      <c r="C44" s="19">
        <f>regions!C43</f>
        <v>182893446717.7428</v>
      </c>
      <c r="D44" s="8">
        <f>regions!D43</f>
        <v>3937.8672013546661</v>
      </c>
      <c r="E44" s="8">
        <f>regions!E43</f>
        <v>12.12291328699048</v>
      </c>
      <c r="F44" s="8">
        <f>regions!F43</f>
        <v>6.5020076194111471</v>
      </c>
      <c r="G44" s="1">
        <f>regions!Z43</f>
        <v>24.5</v>
      </c>
      <c r="J44" s="1">
        <f t="shared" si="30"/>
        <v>5.9817638011967205</v>
      </c>
      <c r="K44" s="1">
        <f t="shared" si="19"/>
        <v>-8.9709824868280368</v>
      </c>
      <c r="L44" s="1">
        <f t="shared" si="24"/>
        <v>-9.3552224040318599</v>
      </c>
      <c r="M44" s="1">
        <f t="shared" si="25"/>
        <v>11.324957436421178</v>
      </c>
      <c r="N44" s="1">
        <f t="shared" ref="N44:R53" si="35">$J44+N$3-$J$3</f>
        <v>-8.4697140695159572</v>
      </c>
      <c r="O44" s="1">
        <f t="shared" si="35"/>
        <v>-10.873284996393336</v>
      </c>
      <c r="P44" s="1">
        <f t="shared" si="35"/>
        <v>-8.8732849963933358</v>
      </c>
      <c r="Q44" s="1">
        <f t="shared" si="35"/>
        <v>-9.2032849963933359</v>
      </c>
      <c r="R44" s="1">
        <f t="shared" si="35"/>
        <v>-11.473284996393335</v>
      </c>
      <c r="S44" s="1">
        <f>$J44+SUMPRODUCT(regions!EI43:EN43,regions!EI$204:EN$204)</f>
        <v>-4.2792835010965469</v>
      </c>
      <c r="T44" s="1">
        <f>$J44+SUMPRODUCT(regions!EQ43:EV43,regions!EQ$204:EV$204)</f>
        <v>-3.7782955681118171</v>
      </c>
      <c r="U44" s="1">
        <f>$J44+SUMPRODUCT(regions!CM43:CU43,regions!CM$204:CU$204)</f>
        <v>-6.1131736766531581</v>
      </c>
      <c r="V44" s="1">
        <f>$J44+SUMPRODUCT(regions!DH43:DM43,regions!DH$204:DM$204)</f>
        <v>-6.2067269356403809</v>
      </c>
      <c r="W44" s="1">
        <f>$J44+SUMPRODUCT(regions!DP43:DW43,regions!DP$204:DW$204)</f>
        <v>-6.1031736766531566</v>
      </c>
      <c r="X44" s="1">
        <f>$J44+SUMPRODUCT(regions!AB43:AE43,regions!AB$204:AE$204)</f>
        <v>-3.9718749847825769</v>
      </c>
      <c r="Y44" s="1">
        <f>$J44+SUMPRODUCT(regions!BX43:CJ43,regions!BX$204:CJ$204)</f>
        <v>-4.5655083127630895</v>
      </c>
      <c r="Z44" s="1">
        <f>$J44+SUMPRODUCT(regions!CX43:DF43,regions!CX$204:DF$204)</f>
        <v>-1.9131736766531571</v>
      </c>
      <c r="AA44" s="1">
        <f t="shared" si="31"/>
        <v>-6.4662841971538381</v>
      </c>
      <c r="AB44" s="1">
        <f t="shared" si="32"/>
        <v>-0.73948659289430652</v>
      </c>
      <c r="AC44" s="1">
        <f>$J44+SUMPRODUCT(regions!DZ43:EG43,regions!DZ$204:EG$204)</f>
        <v>-4.0640736766531571</v>
      </c>
      <c r="AD44" s="1">
        <f t="shared" si="29"/>
        <v>-8.863284996393336</v>
      </c>
      <c r="AE44" s="1">
        <f t="shared" si="29"/>
        <v>-10.373284996393336</v>
      </c>
      <c r="AF44" s="1">
        <f t="shared" si="33"/>
        <v>-64.099999999999994</v>
      </c>
      <c r="AG44" s="1">
        <f>$J44+SUMPRODUCT(regions!AX43:BK43,regions!AX$204:BK$204)</f>
        <v>-2.5023873421252052</v>
      </c>
      <c r="AH44" s="1">
        <f>$J44+SUMPRODUCT(regions!AG43:AV43,regions!AG$204:AV$204)</f>
        <v>-10.669000900391602</v>
      </c>
      <c r="AI44" s="1">
        <f t="shared" si="22"/>
        <v>-9.8732849963933358</v>
      </c>
      <c r="AJ44" s="1">
        <f>SartoriRoson!C41</f>
        <v>-2.52</v>
      </c>
      <c r="AK44" s="1">
        <f>Kompas!E41</f>
        <v>-5.532</v>
      </c>
      <c r="AL44" s="1">
        <f>$J44+SUMPRODUCT(regions!EY43:FW43,regions!EY$204:FW$204)</f>
        <v>-3.3361361201380824</v>
      </c>
      <c r="AM44" s="1">
        <f>$J44+SUMPRODUCT(regions!FZ43:GF43,regions!FZ$204:GF$204)</f>
        <v>0.12054779697953855</v>
      </c>
      <c r="AN44" s="1">
        <f t="shared" si="13"/>
        <v>-17.073284996393333</v>
      </c>
      <c r="AO44" s="1">
        <f t="shared" si="13"/>
        <v>-16.373284996393338</v>
      </c>
      <c r="AP44" s="1">
        <f t="shared" si="13"/>
        <v>-11.573284996393337</v>
      </c>
      <c r="AQ44" s="1">
        <f t="shared" si="14"/>
        <v>-2.7437576854029029</v>
      </c>
      <c r="AR44" s="1">
        <f t="shared" si="14"/>
        <v>-12.873284996393336</v>
      </c>
      <c r="AS44" s="1">
        <f t="shared" si="14"/>
        <v>-10.173284996393335</v>
      </c>
      <c r="AT44" s="1">
        <f t="shared" si="14"/>
        <v>-8.1666183297266688</v>
      </c>
      <c r="AU44" s="1">
        <f t="shared" si="17"/>
        <v>-13.093284996393336</v>
      </c>
      <c r="AV44" s="1">
        <f t="shared" si="17"/>
        <v>-11.673284996393335</v>
      </c>
      <c r="AW44" s="1">
        <f>$J44+SUMPRODUCT(regions!BN43:BU43,regions!BN$204:BU$204)</f>
        <v>-5.9230248090191786</v>
      </c>
      <c r="AX44" s="1">
        <f t="shared" si="17"/>
        <v>-9.3532849963933362</v>
      </c>
      <c r="AY44" s="1">
        <f t="shared" si="17"/>
        <v>-8.5732849963933369</v>
      </c>
      <c r="AZ44" s="1">
        <f t="shared" si="26"/>
        <v>-8.5732849963933369</v>
      </c>
      <c r="BE44" t="str">
        <f>RehdanzMaddison!P19</f>
        <v>Colombia</v>
      </c>
      <c r="BF44" s="1">
        <f>-100*RehdanzMaddison!U19</f>
        <v>-0.31387549066530313</v>
      </c>
      <c r="BG44" s="1">
        <f>-100*RehdanzMaddison!V19</f>
        <v>-0.73948659289430652</v>
      </c>
      <c r="BH44" s="1">
        <f t="shared" si="34"/>
        <v>-8.6571069961627334</v>
      </c>
      <c r="BI44" s="1">
        <f t="shared" si="34"/>
        <v>-8.2314958939337295</v>
      </c>
      <c r="BJ44" t="str">
        <f>MaddisonRehdanz!A18</f>
        <v>Colombia</v>
      </c>
      <c r="BK44">
        <f>MaddisonRehdanz!D18</f>
        <v>-64.099999999999994</v>
      </c>
      <c r="BL44" s="1">
        <f>$K44-BK44</f>
        <v>55.129017513171959</v>
      </c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</row>
    <row r="45" spans="1:90" x14ac:dyDescent="0.35">
      <c r="A45" t="s">
        <v>363</v>
      </c>
      <c r="B45" s="19">
        <f>regions!B44</f>
        <v>683081</v>
      </c>
      <c r="C45" s="19">
        <f>regions!C44</f>
        <v>413107576.03941357</v>
      </c>
      <c r="D45" s="8">
        <f>regions!D44</f>
        <v>604.77099500559018</v>
      </c>
      <c r="E45" s="8">
        <f>regions!E44</f>
        <v>0</v>
      </c>
      <c r="F45" s="8">
        <f>regions!F44</f>
        <v>39.57402971744073</v>
      </c>
      <c r="G45" s="1">
        <f>regions!Z44</f>
        <v>25.6</v>
      </c>
      <c r="J45" s="1">
        <f t="shared" si="30"/>
        <v>2.1566136304710071</v>
      </c>
      <c r="K45" s="1">
        <f t="shared" si="19"/>
        <v>-12.79613265755375</v>
      </c>
      <c r="L45" s="1">
        <f t="shared" si="24"/>
        <v>-12.280630147204343</v>
      </c>
      <c r="M45" s="1">
        <f t="shared" si="25"/>
        <v>8.5057797649936706</v>
      </c>
      <c r="N45" s="1">
        <f t="shared" si="35"/>
        <v>-12.294864240241671</v>
      </c>
      <c r="O45" s="1">
        <f t="shared" si="35"/>
        <v>-14.698435167119049</v>
      </c>
      <c r="P45" s="1">
        <f t="shared" si="35"/>
        <v>-12.698435167119049</v>
      </c>
      <c r="Q45" s="1">
        <f t="shared" si="35"/>
        <v>-13.028435167119049</v>
      </c>
      <c r="R45" s="1">
        <f t="shared" si="35"/>
        <v>-15.298435167119049</v>
      </c>
      <c r="S45" s="1">
        <f>$J45+SUMPRODUCT(regions!EI44:EN44,regions!EI$204:EN$204)</f>
        <v>-8.1044336718222603</v>
      </c>
      <c r="T45" s="1">
        <f>$J45+SUMPRODUCT(regions!EQ44:EV44,regions!EQ$204:EV$204)</f>
        <v>-7.6034457388375305</v>
      </c>
      <c r="U45" s="1">
        <f>$J45+SUMPRODUCT(regions!CM44:CU44,regions!CM$204:CU$204)</f>
        <v>-12.299016862147736</v>
      </c>
      <c r="V45" s="1">
        <f>$J45+SUMPRODUCT(regions!DH44:DM44,regions!DH$204:DM$204)</f>
        <v>-10.031877106366094</v>
      </c>
      <c r="W45" s="1">
        <f>$J45+SUMPRODUCT(regions!DP44:DW44,regions!DP$204:DW$204)</f>
        <v>-11.871434355756595</v>
      </c>
      <c r="X45" s="1">
        <f>$J45+SUMPRODUCT(regions!AB44:AE44,regions!AB$204:AE$204)</f>
        <v>-1.3599037177444346</v>
      </c>
      <c r="Y45" s="1">
        <f>$J45+SUMPRODUCT(regions!BX44:CJ44,regions!BX$204:CJ$204)</f>
        <v>-4.7953931574708566</v>
      </c>
      <c r="Z45" s="1">
        <f>$J45+SUMPRODUCT(regions!CX44:DF44,regions!CX$204:DF$204)</f>
        <v>-7.6990168621477366</v>
      </c>
      <c r="AA45" s="1">
        <f t="shared" si="31"/>
        <v>-10.291434367879551</v>
      </c>
      <c r="AB45" s="1">
        <f t="shared" si="32"/>
        <v>-11.851494719564139</v>
      </c>
      <c r="AC45" s="1">
        <f>$J45+SUMPRODUCT(regions!DZ44:EG44,regions!DZ$204:EG$204)</f>
        <v>-8.2723343557565947</v>
      </c>
      <c r="AD45" s="1">
        <f t="shared" si="29"/>
        <v>-12.688435167119049</v>
      </c>
      <c r="AE45" s="1">
        <f t="shared" si="29"/>
        <v>-14.198435167119049</v>
      </c>
      <c r="AF45" s="1">
        <f t="shared" si="33"/>
        <v>-40.319377402224418</v>
      </c>
      <c r="AG45" s="1">
        <f>$J45+SUMPRODUCT(regions!AX44:BK44,regions!AX$204:BK$204)</f>
        <v>-4.6334757105115205</v>
      </c>
      <c r="AH45" s="1">
        <f>$J45+SUMPRODUCT(regions!AG44:AV44,regions!AG$204:AV$204)</f>
        <v>-11.533475710511521</v>
      </c>
      <c r="AI45" s="1">
        <f t="shared" si="22"/>
        <v>-13.698435167119049</v>
      </c>
      <c r="AJ45" s="1">
        <f>SartoriRoson!C42</f>
        <v>-4.62</v>
      </c>
      <c r="AK45" s="1">
        <f>Kompas!E42</f>
        <v>-8.0990000000000002</v>
      </c>
      <c r="AL45" s="1">
        <f>$J45+SUMPRODUCT(regions!EY44:FW44,regions!EY$204:FW$204)</f>
        <v>-5.122600976226952</v>
      </c>
      <c r="AM45" s="1">
        <f>$J45+SUMPRODUCT(regions!FZ44:GF44,regions!FZ$204:GF$204)</f>
        <v>-1.995065048249451</v>
      </c>
      <c r="AN45" s="1">
        <f t="shared" si="13"/>
        <v>-20.898435167119047</v>
      </c>
      <c r="AO45" s="1">
        <f t="shared" si="13"/>
        <v>-20.198435167119051</v>
      </c>
      <c r="AP45" s="1">
        <f t="shared" si="13"/>
        <v>-15.39843516711905</v>
      </c>
      <c r="AQ45" s="1">
        <f t="shared" si="14"/>
        <v>-6.5689078561286154</v>
      </c>
      <c r="AR45" s="1">
        <f t="shared" si="14"/>
        <v>-16.698435167119051</v>
      </c>
      <c r="AS45" s="1">
        <f t="shared" si="14"/>
        <v>-13.998435167119048</v>
      </c>
      <c r="AT45" s="1">
        <f t="shared" si="14"/>
        <v>-11.991768500452382</v>
      </c>
      <c r="AU45" s="1">
        <f t="shared" si="17"/>
        <v>-16.91843516711905</v>
      </c>
      <c r="AV45" s="1">
        <f t="shared" si="17"/>
        <v>-15.498435167119048</v>
      </c>
      <c r="AW45" s="1">
        <f>$J45+SUMPRODUCT(regions!BN44:BU44,regions!BN$204:BU$204)</f>
        <v>-9.748174979744892</v>
      </c>
      <c r="AX45" s="1">
        <f t="shared" si="17"/>
        <v>-13.17843516711905</v>
      </c>
      <c r="AY45" s="1">
        <f t="shared" si="17"/>
        <v>-12.398435167119048</v>
      </c>
      <c r="AZ45" s="1">
        <f t="shared" si="26"/>
        <v>-12.398435167119048</v>
      </c>
      <c r="BF45" s="1"/>
      <c r="BG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</row>
    <row r="46" spans="1:90" x14ac:dyDescent="0.35">
      <c r="A46" t="s">
        <v>364</v>
      </c>
      <c r="B46" s="19">
        <f>regions!B45</f>
        <v>62191161</v>
      </c>
      <c r="C46" s="19">
        <f>regions!C45</f>
        <v>15665220568.04055</v>
      </c>
      <c r="D46" s="8">
        <f>regions!D45</f>
        <v>251.88821556234575</v>
      </c>
      <c r="E46" s="8">
        <f>regions!E45</f>
        <v>8.3504477564013406</v>
      </c>
      <c r="F46" s="8">
        <f>regions!F45</f>
        <v>21.428491122613849</v>
      </c>
      <c r="G46" s="1">
        <f>regions!Z45</f>
        <v>24</v>
      </c>
      <c r="J46" s="1">
        <f t="shared" si="30"/>
        <v>1.1547352219556632</v>
      </c>
      <c r="K46" s="1">
        <f t="shared" ref="K46:K63" si="36">J46+J$4</f>
        <v>-13.798011066069094</v>
      </c>
      <c r="L46" s="1">
        <f t="shared" si="24"/>
        <v>-13.036284021949669</v>
      </c>
      <c r="M46" s="1">
        <f t="shared" si="25"/>
        <v>8.9681435136600776</v>
      </c>
      <c r="N46" s="1">
        <f t="shared" si="35"/>
        <v>-13.296742648757014</v>
      </c>
      <c r="O46" s="1">
        <f t="shared" si="35"/>
        <v>-15.700313575634393</v>
      </c>
      <c r="P46" s="1">
        <f t="shared" si="35"/>
        <v>-13.700313575634393</v>
      </c>
      <c r="Q46" s="1">
        <f t="shared" si="35"/>
        <v>-14.030313575634393</v>
      </c>
      <c r="R46" s="1">
        <f t="shared" si="35"/>
        <v>-16.300313575634394</v>
      </c>
      <c r="S46" s="1">
        <f>$J46+SUMPRODUCT(regions!EI45:EN45,regions!EI$204:EN$204)</f>
        <v>-9.1063120803376041</v>
      </c>
      <c r="T46" s="1">
        <f>$J46+SUMPRODUCT(regions!EQ45:EV45,regions!EQ$204:EV$204)</f>
        <v>-8.6053241473528743</v>
      </c>
      <c r="U46" s="1">
        <f>$J46+SUMPRODUCT(regions!CM45:CU45,regions!CM$204:CU$204)</f>
        <v>-13.30089527066308</v>
      </c>
      <c r="V46" s="1">
        <f>$J46+SUMPRODUCT(regions!DH45:DM45,regions!DH$204:DM$204)</f>
        <v>-11.033755514881438</v>
      </c>
      <c r="W46" s="1">
        <f>$J46+SUMPRODUCT(regions!DP45:DW45,regions!DP$204:DW$204)</f>
        <v>-12.873312764271938</v>
      </c>
      <c r="X46" s="1">
        <f>$J46+SUMPRODUCT(regions!AB45:AE45,regions!AB$204:AE$204)</f>
        <v>-2.3617821262597785</v>
      </c>
      <c r="Y46" s="1">
        <f>$J46+SUMPRODUCT(regions!BX45:CJ45,regions!BX$204:CJ$204)</f>
        <v>-5.7972715659862004</v>
      </c>
      <c r="Z46" s="1">
        <f>$J46+SUMPRODUCT(regions!CX45:DF45,regions!CX$204:DF$204)</f>
        <v>-8.7008952706630804</v>
      </c>
      <c r="AA46" s="1">
        <f t="shared" si="31"/>
        <v>-11.293312776394895</v>
      </c>
      <c r="AB46" s="1">
        <f t="shared" si="32"/>
        <v>-12.853373128079483</v>
      </c>
      <c r="AC46" s="1">
        <f>$J46+SUMPRODUCT(regions!DZ45:EG45,regions!DZ$204:EG$204)</f>
        <v>-9.2742127642719385</v>
      </c>
      <c r="AD46" s="1">
        <f t="shared" si="29"/>
        <v>-13.690313575634393</v>
      </c>
      <c r="AE46" s="1">
        <f t="shared" si="29"/>
        <v>-15.200313575634393</v>
      </c>
      <c r="AF46" s="1">
        <f t="shared" si="33"/>
        <v>-41.321255810739764</v>
      </c>
      <c r="AG46" s="1">
        <f>$J46+SUMPRODUCT(regions!AX45:BK45,regions!AX$204:BK$204)</f>
        <v>-5.6353541190268643</v>
      </c>
      <c r="AH46" s="1">
        <f>$J46+SUMPRODUCT(regions!AG45:AV45,regions!AG$204:AV$204)</f>
        <v>-12.535354119026865</v>
      </c>
      <c r="AI46" s="1">
        <f t="shared" ref="AI46:AI63" si="37">$J46+AI$3-$J$3</f>
        <v>-14.700313575634393</v>
      </c>
      <c r="AJ46" s="1">
        <f>SartoriRoson!C43</f>
        <v>-1.8</v>
      </c>
      <c r="AK46" s="1">
        <f>Kompas!E43</f>
        <v>-3.32</v>
      </c>
      <c r="AL46" s="1">
        <f>$J46+SUMPRODUCT(regions!EY45:FW45,regions!EY$204:FW$204)</f>
        <v>-6.1244793847422958</v>
      </c>
      <c r="AM46" s="1">
        <f>$J46+SUMPRODUCT(regions!FZ45:GF45,regions!FZ$204:GF$204)</f>
        <v>-2.9969434567647948</v>
      </c>
      <c r="AN46" s="1">
        <f t="shared" si="13"/>
        <v>-21.900313575634392</v>
      </c>
      <c r="AO46" s="1">
        <f t="shared" si="13"/>
        <v>-21.200313575634393</v>
      </c>
      <c r="AP46" s="1">
        <f t="shared" si="13"/>
        <v>-16.400313575634392</v>
      </c>
      <c r="AQ46" s="1">
        <f t="shared" si="14"/>
        <v>-7.5707862646439592</v>
      </c>
      <c r="AR46" s="1">
        <f t="shared" si="14"/>
        <v>-17.700313575634393</v>
      </c>
      <c r="AS46" s="1">
        <f t="shared" si="14"/>
        <v>-15.000313575634394</v>
      </c>
      <c r="AT46" s="1">
        <f t="shared" si="14"/>
        <v>-12.993646908967726</v>
      </c>
      <c r="AU46" s="1">
        <f t="shared" si="17"/>
        <v>-17.920313575634392</v>
      </c>
      <c r="AV46" s="1">
        <f t="shared" si="17"/>
        <v>-16.500313575634394</v>
      </c>
      <c r="AW46" s="1">
        <f>$J46+SUMPRODUCT(regions!BN45:BU45,regions!BN$204:BU$204)</f>
        <v>-10.750053388260236</v>
      </c>
      <c r="AX46" s="1">
        <f t="shared" si="17"/>
        <v>-14.180313575634393</v>
      </c>
      <c r="AY46" s="1">
        <f t="shared" si="17"/>
        <v>-13.400313575634392</v>
      </c>
      <c r="AZ46" s="1">
        <f t="shared" si="26"/>
        <v>-13.400313575634392</v>
      </c>
      <c r="BF46" s="1"/>
      <c r="BG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</row>
    <row r="47" spans="1:90" x14ac:dyDescent="0.35">
      <c r="A47" t="s">
        <v>365</v>
      </c>
      <c r="B47" s="19">
        <f>regions!B46</f>
        <v>4111715</v>
      </c>
      <c r="C47" s="19">
        <f>regions!C46</f>
        <v>7852666838.4847937</v>
      </c>
      <c r="D47" s="8">
        <f>regions!D46</f>
        <v>1909.827611710635</v>
      </c>
      <c r="E47" s="8">
        <f>regions!E46</f>
        <v>7.5959770831010829</v>
      </c>
      <c r="F47" s="8">
        <f>regions!F46</f>
        <v>3.8304070115366371</v>
      </c>
      <c r="G47" s="1">
        <f>regions!Z46</f>
        <v>24.5</v>
      </c>
      <c r="J47" s="1">
        <f t="shared" si="30"/>
        <v>4.6623774613255122</v>
      </c>
      <c r="K47" s="1">
        <f t="shared" si="36"/>
        <v>-10.290368826699245</v>
      </c>
      <c r="L47" s="1">
        <f t="shared" si="24"/>
        <v>-9.7950136223449267</v>
      </c>
      <c r="M47" s="1">
        <f t="shared" si="25"/>
        <v>7.8047005092577333</v>
      </c>
      <c r="N47" s="1">
        <f t="shared" si="35"/>
        <v>-9.7891004093871654</v>
      </c>
      <c r="O47" s="1">
        <f t="shared" si="35"/>
        <v>-12.192671336264544</v>
      </c>
      <c r="P47" s="1">
        <f t="shared" si="35"/>
        <v>-10.192671336264544</v>
      </c>
      <c r="Q47" s="1">
        <f t="shared" si="35"/>
        <v>-10.522671336264544</v>
      </c>
      <c r="R47" s="1">
        <f t="shared" si="35"/>
        <v>-12.792671336264544</v>
      </c>
      <c r="S47" s="1">
        <f>$J47+SUMPRODUCT(regions!EI46:EN46,regions!EI$204:EN$204)</f>
        <v>-5.5986698409677551</v>
      </c>
      <c r="T47" s="1">
        <f>$J47+SUMPRODUCT(regions!EQ46:EV46,regions!EQ$204:EV$204)</f>
        <v>-5.0976819079830253</v>
      </c>
      <c r="U47" s="1">
        <f>$J47+SUMPRODUCT(regions!CM46:CU46,regions!CM$204:CU$204)</f>
        <v>-9.7932530312932311</v>
      </c>
      <c r="V47" s="1">
        <f>$J47+SUMPRODUCT(regions!DH46:DM46,regions!DH$204:DM$204)</f>
        <v>-7.5261132755115892</v>
      </c>
      <c r="W47" s="1">
        <f>$J47+SUMPRODUCT(regions!DP46:DW46,regions!DP$204:DW$204)</f>
        <v>-9.3656705249020895</v>
      </c>
      <c r="X47" s="1">
        <f>$J47+SUMPRODUCT(regions!AB46:AE46,regions!AB$204:AE$204)</f>
        <v>-4.4760276960144871</v>
      </c>
      <c r="Y47" s="1">
        <f>$J47+SUMPRODUCT(regions!BX46:CJ46,regions!BX$204:CJ$204)</f>
        <v>-2.2896293266163514</v>
      </c>
      <c r="Z47" s="1">
        <f>$J47+SUMPRODUCT(regions!CX46:DF46,regions!CX$204:DF$204)</f>
        <v>-5.1932530312932315</v>
      </c>
      <c r="AA47" s="1">
        <f t="shared" si="31"/>
        <v>-3.3</v>
      </c>
      <c r="AB47" s="1">
        <f t="shared" si="32"/>
        <v>-9.3457308887096335</v>
      </c>
      <c r="AC47" s="1">
        <f>$J47+SUMPRODUCT(regions!DZ46:EG46,regions!DZ$204:EG$204)</f>
        <v>-5.7665705249020895</v>
      </c>
      <c r="AD47" s="1">
        <f t="shared" si="29"/>
        <v>-10.182671336264544</v>
      </c>
      <c r="AE47" s="1">
        <f t="shared" si="29"/>
        <v>-11.692671336264544</v>
      </c>
      <c r="AF47" s="1">
        <f t="shared" si="33"/>
        <v>-37.813613571369913</v>
      </c>
      <c r="AG47" s="1">
        <f>$J47+SUMPRODUCT(regions!AX46:BK46,regions!AX$204:BK$204)</f>
        <v>-2.1277118796570154</v>
      </c>
      <c r="AH47" s="1">
        <f>$J47+SUMPRODUCT(regions!AG46:AV46,regions!AG$204:AV$204)</f>
        <v>-9.0277118796570157</v>
      </c>
      <c r="AI47" s="1">
        <f t="shared" si="37"/>
        <v>-11.192671336264544</v>
      </c>
      <c r="AJ47" s="1">
        <f>SartoriRoson!C44</f>
        <v>-2.38</v>
      </c>
      <c r="AK47" s="1">
        <f>Kompas!E44</f>
        <v>-4.9770000000000003</v>
      </c>
      <c r="AL47" s="1">
        <f>$J47+SUMPRODUCT(regions!EY46:FW46,regions!EY$204:FW$204)</f>
        <v>-2.6168371453724468</v>
      </c>
      <c r="AM47" s="1">
        <f>$J47+SUMPRODUCT(regions!FZ46:GF46,regions!FZ$204:GF$204)</f>
        <v>0.51069878260505419</v>
      </c>
      <c r="AN47" s="1">
        <f t="shared" si="13"/>
        <v>-18.392671336264542</v>
      </c>
      <c r="AO47" s="1">
        <f t="shared" si="13"/>
        <v>-17.692671336264546</v>
      </c>
      <c r="AP47" s="1">
        <f t="shared" si="13"/>
        <v>-12.892671336264545</v>
      </c>
      <c r="AQ47" s="1">
        <f t="shared" si="14"/>
        <v>-4.0631440252741111</v>
      </c>
      <c r="AR47" s="1">
        <f t="shared" si="14"/>
        <v>-14.192671336264544</v>
      </c>
      <c r="AS47" s="1">
        <f t="shared" si="14"/>
        <v>-11.492671336264543</v>
      </c>
      <c r="AT47" s="1">
        <f t="shared" si="14"/>
        <v>-9.486004669597877</v>
      </c>
      <c r="AU47" s="1">
        <f t="shared" si="17"/>
        <v>-14.412671336264545</v>
      </c>
      <c r="AV47" s="1">
        <f t="shared" si="17"/>
        <v>-12.992671336264543</v>
      </c>
      <c r="AW47" s="1">
        <f>$J47+SUMPRODUCT(regions!BN46:BU46,regions!BN$204:BU$204)</f>
        <v>-7.2424111488903868</v>
      </c>
      <c r="AX47" s="1">
        <f t="shared" si="17"/>
        <v>-10.672671336264544</v>
      </c>
      <c r="AY47" s="1">
        <f t="shared" si="17"/>
        <v>-9.8926713362645451</v>
      </c>
      <c r="AZ47" s="1">
        <f t="shared" si="26"/>
        <v>-9.8926713362645451</v>
      </c>
      <c r="BB47" t="str">
        <f>Maddison!A18</f>
        <v>Congo</v>
      </c>
      <c r="BC47">
        <f>-Maddison!B18</f>
        <v>-3.3</v>
      </c>
      <c r="BD47" s="1">
        <f>K47-BC47</f>
        <v>-6.9903688266992452</v>
      </c>
      <c r="BF47" s="1"/>
      <c r="BG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</row>
    <row r="48" spans="1:90" x14ac:dyDescent="0.35">
      <c r="A48" t="s">
        <v>135</v>
      </c>
      <c r="B48" s="19">
        <f>regions!B47</f>
        <v>4669685</v>
      </c>
      <c r="C48" s="19">
        <f>regions!C47</f>
        <v>25017792422.605213</v>
      </c>
      <c r="D48" s="8">
        <f>regions!D47</f>
        <v>5357.4903708933716</v>
      </c>
      <c r="E48" s="8">
        <f>regions!E47</f>
        <v>13.08808510540038</v>
      </c>
      <c r="F48" s="8">
        <f>regions!F47</f>
        <v>6.5871780998434932</v>
      </c>
      <c r="G48" s="1">
        <f>regions!Z47</f>
        <v>24.8</v>
      </c>
      <c r="J48" s="1">
        <f t="shared" si="30"/>
        <v>6.4314995882267656</v>
      </c>
      <c r="K48" s="1">
        <f t="shared" si="36"/>
        <v>-8.5212466997979917</v>
      </c>
      <c r="L48" s="1">
        <f t="shared" si="24"/>
        <v>-8.5492013285677793</v>
      </c>
      <c r="M48" s="1">
        <f t="shared" si="25"/>
        <v>7.1452121257397376</v>
      </c>
      <c r="N48" s="1">
        <f t="shared" si="35"/>
        <v>-8.019978282485912</v>
      </c>
      <c r="O48" s="1">
        <f t="shared" si="35"/>
        <v>-10.423549209363291</v>
      </c>
      <c r="P48" s="1">
        <f t="shared" si="35"/>
        <v>-8.4235492093632907</v>
      </c>
      <c r="Q48" s="1">
        <f t="shared" si="35"/>
        <v>-8.7535492093632907</v>
      </c>
      <c r="R48" s="1">
        <f t="shared" si="35"/>
        <v>-11.02354920936329</v>
      </c>
      <c r="S48" s="1">
        <f>$J48+SUMPRODUCT(regions!EI47:EN47,regions!EI$204:EN$204)</f>
        <v>-3.8295477140665017</v>
      </c>
      <c r="T48" s="1">
        <f>$J48+SUMPRODUCT(regions!EQ47:EV47,regions!EQ$204:EV$204)</f>
        <v>-3.328559781081772</v>
      </c>
      <c r="U48" s="1">
        <f>$J48+SUMPRODUCT(regions!CM47:CU47,regions!CM$204:CU$204)</f>
        <v>-5.663437889623113</v>
      </c>
      <c r="V48" s="1">
        <f>$J48+SUMPRODUCT(regions!DH47:DM47,regions!DH$204:DM$204)</f>
        <v>-5.7569911486103358</v>
      </c>
      <c r="W48" s="1">
        <f>$J48+SUMPRODUCT(regions!DP47:DW47,regions!DP$204:DW$204)</f>
        <v>-5.6534378896231114</v>
      </c>
      <c r="X48" s="1">
        <f>$J48+SUMPRODUCT(regions!AB47:AE47,regions!AB$204:AE$204)</f>
        <v>-3.5221391977525318</v>
      </c>
      <c r="Y48" s="1">
        <f>$J48+SUMPRODUCT(regions!BX47:CJ47,regions!BX$204:CJ$204)</f>
        <v>-4.1157725257330444</v>
      </c>
      <c r="Z48" s="1">
        <f>$J48+SUMPRODUCT(regions!CX47:DF47,regions!CX$204:DF$204)</f>
        <v>-1.4634378896231119</v>
      </c>
      <c r="AA48" s="1">
        <f t="shared" si="31"/>
        <v>-3.8</v>
      </c>
      <c r="AB48" s="1">
        <f t="shared" si="32"/>
        <v>-7.5766087618083793</v>
      </c>
      <c r="AC48" s="1">
        <f>$J48+SUMPRODUCT(regions!DZ47:EG47,regions!DZ$204:EG$204)</f>
        <v>-3.614337889623112</v>
      </c>
      <c r="AD48" s="1">
        <f t="shared" si="29"/>
        <v>-8.4135492093632909</v>
      </c>
      <c r="AE48" s="1">
        <f t="shared" si="29"/>
        <v>-9.9235492093632907</v>
      </c>
      <c r="AF48" s="1">
        <f t="shared" si="33"/>
        <v>-36.044491444468662</v>
      </c>
      <c r="AG48" s="1">
        <f>$J48+SUMPRODUCT(regions!AX47:BK47,regions!AX$204:BK$204)</f>
        <v>-2.0526515550951601</v>
      </c>
      <c r="AH48" s="1">
        <f>$J48+SUMPRODUCT(regions!AG47:AV47,regions!AG$204:AV$204)</f>
        <v>-10.219265113361557</v>
      </c>
      <c r="AI48" s="1">
        <f t="shared" si="37"/>
        <v>-9.4235492093632907</v>
      </c>
      <c r="AJ48" s="1">
        <f>SartoriRoson!C45</f>
        <v>-6.19</v>
      </c>
      <c r="AK48" s="1">
        <f>Kompas!E45</f>
        <v>-7.8710000000000004</v>
      </c>
      <c r="AL48" s="1">
        <f>$J48+SUMPRODUCT(regions!EY47:FW47,regions!EY$204:FW$204)</f>
        <v>-2.8864003331080372</v>
      </c>
      <c r="AM48" s="1">
        <f>$J48+SUMPRODUCT(regions!FZ47:GF47,regions!FZ$204:GF$204)</f>
        <v>0.57028358400958368</v>
      </c>
      <c r="AN48" s="1">
        <f t="shared" si="13"/>
        <v>-16.62354920936329</v>
      </c>
      <c r="AO48" s="1">
        <f t="shared" si="13"/>
        <v>-15.923549209363291</v>
      </c>
      <c r="AP48" s="1">
        <f t="shared" si="13"/>
        <v>-11.12354920936329</v>
      </c>
      <c r="AQ48" s="1">
        <f t="shared" si="14"/>
        <v>-2.294021898372856</v>
      </c>
      <c r="AR48" s="1">
        <f t="shared" si="14"/>
        <v>-12.423549209363291</v>
      </c>
      <c r="AS48" s="1">
        <f t="shared" si="14"/>
        <v>-9.7235492093632914</v>
      </c>
      <c r="AT48" s="1">
        <f t="shared" si="14"/>
        <v>-7.7168825426966237</v>
      </c>
      <c r="AU48" s="1">
        <f t="shared" si="17"/>
        <v>-12.64354920936329</v>
      </c>
      <c r="AV48" s="1">
        <f t="shared" si="17"/>
        <v>-11.223549209363291</v>
      </c>
      <c r="AW48" s="1">
        <f>$J48+SUMPRODUCT(regions!BN47:BU47,regions!BN$204:BU$204)</f>
        <v>-7.205154421682515</v>
      </c>
      <c r="AX48" s="1">
        <f t="shared" si="17"/>
        <v>-8.9035492093632911</v>
      </c>
      <c r="AY48" s="1">
        <f t="shared" si="17"/>
        <v>-8.1235492093632899</v>
      </c>
      <c r="AZ48" s="1">
        <f t="shared" si="26"/>
        <v>-8.1235492093632899</v>
      </c>
      <c r="BB48" t="str">
        <f>Maddison!A19</f>
        <v>Costa Rica</v>
      </c>
      <c r="BC48">
        <f>-Maddison!B19</f>
        <v>-3.8</v>
      </c>
      <c r="BD48" s="1">
        <f>K48-BC48</f>
        <v>-4.7212466997979918</v>
      </c>
      <c r="BF48" s="1"/>
      <c r="BG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</row>
    <row r="49" spans="1:90" x14ac:dyDescent="0.35">
      <c r="A49" t="s">
        <v>217</v>
      </c>
      <c r="B49" s="19">
        <f>regions!B48</f>
        <v>4417800</v>
      </c>
      <c r="C49" s="19">
        <f>regions!C48</f>
        <v>45872253522.123985</v>
      </c>
      <c r="D49" s="8">
        <f>regions!D48</f>
        <v>10383.506161918598</v>
      </c>
      <c r="E49" s="8">
        <f>regions!E48</f>
        <v>19.108654630133486</v>
      </c>
      <c r="F49" s="8">
        <f>regions!F48</f>
        <v>4.1601294449190283</v>
      </c>
      <c r="G49" s="1">
        <f>regions!Z48</f>
        <v>10.9</v>
      </c>
      <c r="J49" s="1">
        <f t="shared" si="30"/>
        <v>12.807805799851051</v>
      </c>
      <c r="K49" s="1">
        <f t="shared" si="36"/>
        <v>-2.144940488173706</v>
      </c>
      <c r="L49" s="1">
        <f t="shared" si="24"/>
        <v>-2.3531117754125583</v>
      </c>
      <c r="M49" s="1">
        <f t="shared" si="25"/>
        <v>3.2169766842895733</v>
      </c>
      <c r="N49" s="1">
        <f t="shared" si="35"/>
        <v>-1.6436720708616264</v>
      </c>
      <c r="O49" s="1">
        <f t="shared" si="35"/>
        <v>-4.047242997739005</v>
      </c>
      <c r="P49" s="1">
        <f t="shared" si="35"/>
        <v>-2.047242997739005</v>
      </c>
      <c r="Q49" s="1">
        <f t="shared" si="35"/>
        <v>-2.377242997739005</v>
      </c>
      <c r="R49" s="1">
        <f t="shared" si="35"/>
        <v>-4.6472429977390046</v>
      </c>
      <c r="S49" s="1">
        <f>$J49+SUMPRODUCT(regions!EI48:EN48,regions!EI$204:EN$204)</f>
        <v>2.5467584975577839</v>
      </c>
      <c r="T49" s="1">
        <f>$J49+SUMPRODUCT(regions!EQ48:EV48,regions!EQ$204:EV$204)</f>
        <v>3.0477464305425137</v>
      </c>
      <c r="U49" s="1">
        <f>$J49+SUMPRODUCT(regions!CM48:CU48,regions!CM$204:CU$204)</f>
        <v>-1.8482010293850379</v>
      </c>
      <c r="V49" s="1">
        <f>$J49+SUMPRODUCT(regions!DH48:DM48,regions!DH$204:DM$204)</f>
        <v>0.6193150630139499</v>
      </c>
      <c r="W49" s="1">
        <f>$J49+SUMPRODUCT(regions!DP48:DW48,regions!DP$204:DW$204)</f>
        <v>-2.1482010293850387</v>
      </c>
      <c r="X49" s="1">
        <f>$J49+SUMPRODUCT(regions!AB48:AE48,regions!AB$204:AE$204)</f>
        <v>2.8541670138717539</v>
      </c>
      <c r="Y49" s="1">
        <f>$J49+SUMPRODUCT(regions!BX48:CJ48,regions!BX$204:CJ$204)</f>
        <v>-1.2850528796416487</v>
      </c>
      <c r="Z49" s="1">
        <f>$J49+SUMPRODUCT(regions!CX48:DF48,regions!CX$204:DF$204)</f>
        <v>-0.14820102938503865</v>
      </c>
      <c r="AA49" s="1">
        <f t="shared" si="31"/>
        <v>0.3597578015004923</v>
      </c>
      <c r="AB49" s="1">
        <f t="shared" si="32"/>
        <v>-3.6623467455980614</v>
      </c>
      <c r="AC49" s="1">
        <f>$J49+SUMPRODUCT(regions!DZ48:EG48,regions!DZ$204:EG$204)</f>
        <v>-1.7177010293850383</v>
      </c>
      <c r="AD49" s="1">
        <f t="shared" si="29"/>
        <v>-2.0372429977390052</v>
      </c>
      <c r="AE49" s="1">
        <f t="shared" si="29"/>
        <v>-3.547242997739005</v>
      </c>
      <c r="AF49" s="1">
        <f t="shared" si="33"/>
        <v>3.1</v>
      </c>
      <c r="AG49" s="1">
        <f>$J49+SUMPRODUCT(regions!AX48:BK48,regions!AX$204:BK$204)</f>
        <v>-0.95737100367304784</v>
      </c>
      <c r="AH49" s="1">
        <f>$J49+SUMPRODUCT(regions!AG48:AV48,regions!AG$204:AV$204)</f>
        <v>-1.5970029644716011</v>
      </c>
      <c r="AI49" s="1">
        <f t="shared" si="37"/>
        <v>-3.047242997739005</v>
      </c>
      <c r="AJ49" s="1">
        <f>SartoriRoson!C46</f>
        <v>-0.65</v>
      </c>
      <c r="AK49" s="1">
        <f>Kompas!E46</f>
        <v>-0.45400000000000001</v>
      </c>
      <c r="AL49" s="1">
        <f>$J49+SUMPRODUCT(regions!EY48:FW48,regions!EY$204:FW$204)</f>
        <v>-0.44679860778359881</v>
      </c>
      <c r="AM49" s="1">
        <f>$J49+SUMPRODUCT(regions!FZ48:GF48,regions!FZ$204:GF$204)</f>
        <v>-1.4604245749969369</v>
      </c>
      <c r="AN49" s="1">
        <f t="shared" si="13"/>
        <v>-10.247242997739004</v>
      </c>
      <c r="AO49" s="1">
        <f t="shared" si="13"/>
        <v>-9.547242997739005</v>
      </c>
      <c r="AP49" s="1">
        <f t="shared" si="13"/>
        <v>-4.747242997739006</v>
      </c>
      <c r="AQ49" s="1">
        <f t="shared" si="14"/>
        <v>4.0822843132514297</v>
      </c>
      <c r="AR49" s="1">
        <f t="shared" si="14"/>
        <v>-6.047242997739005</v>
      </c>
      <c r="AS49" s="1">
        <f t="shared" si="14"/>
        <v>-3.3472429977390039</v>
      </c>
      <c r="AT49" s="1">
        <f t="shared" si="14"/>
        <v>-1.340576331072338</v>
      </c>
      <c r="AU49" s="1">
        <f t="shared" si="17"/>
        <v>-6.2672429977390047</v>
      </c>
      <c r="AV49" s="1">
        <f t="shared" si="17"/>
        <v>-4.8472429977390039</v>
      </c>
      <c r="AW49" s="1">
        <f>$J49+SUMPRODUCT(regions!BN48:BU48,regions!BN$204:BU$204)</f>
        <v>-2.2540255434649428</v>
      </c>
      <c r="AX49" s="1">
        <f t="shared" si="17"/>
        <v>-2.5272429977390054</v>
      </c>
      <c r="AY49" s="1">
        <f t="shared" si="17"/>
        <v>-1.7472429977390043</v>
      </c>
      <c r="AZ49" s="1">
        <f t="shared" si="26"/>
        <v>-1.7472429977390043</v>
      </c>
      <c r="BE49" t="str">
        <f>RehdanzMaddison!P20</f>
        <v>Croatia</v>
      </c>
      <c r="BF49" s="1">
        <f>-100*RehdanzMaddison!U20</f>
        <v>-2.1133516615494865</v>
      </c>
      <c r="BG49" s="1">
        <f>-100*RehdanzMaddison!V20</f>
        <v>-3.6623467455980614</v>
      </c>
      <c r="BH49" s="1">
        <f>$K49-BF49</f>
        <v>-3.1588826624219468E-2</v>
      </c>
      <c r="BI49" s="1">
        <f>$K49-BG49</f>
        <v>1.5174062574243554</v>
      </c>
      <c r="BJ49" t="str">
        <f>MaddisonRehdanz!A19</f>
        <v>Croatia</v>
      </c>
      <c r="BK49">
        <f>MaddisonRehdanz!D19</f>
        <v>3.1</v>
      </c>
      <c r="BL49" s="1">
        <f>$K49-BK49</f>
        <v>-5.2449404881737056</v>
      </c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</row>
    <row r="50" spans="1:90" x14ac:dyDescent="0.35">
      <c r="A50" t="s">
        <v>366</v>
      </c>
      <c r="B50" s="19">
        <f>regions!B49</f>
        <v>11281768</v>
      </c>
      <c r="C50" s="19">
        <f>regions!C49</f>
        <v>55436887630.693001</v>
      </c>
      <c r="D50" s="8">
        <f>regions!D49</f>
        <v>4913.8475131462556</v>
      </c>
      <c r="E50" s="8">
        <f>regions!E49</f>
        <v>0</v>
      </c>
      <c r="F50" s="8">
        <f>regions!F49</f>
        <v>3.6142892675040414</v>
      </c>
      <c r="G50" s="1">
        <f>regions!Z49</f>
        <v>25.2</v>
      </c>
      <c r="J50" s="1">
        <f t="shared" si="30"/>
        <v>6.1251257308147515</v>
      </c>
      <c r="K50" s="1">
        <f t="shared" si="36"/>
        <v>-8.8276205572100057</v>
      </c>
      <c r="L50" s="1">
        <f t="shared" si="24"/>
        <v>-8.9476213576541461</v>
      </c>
      <c r="M50" s="1">
        <f t="shared" si="25"/>
        <v>7.1870936125652918</v>
      </c>
      <c r="N50" s="1">
        <f t="shared" si="35"/>
        <v>-8.3263521398979261</v>
      </c>
      <c r="O50" s="1">
        <f t="shared" si="35"/>
        <v>-10.729923066775305</v>
      </c>
      <c r="P50" s="1">
        <f t="shared" si="35"/>
        <v>-8.7299230667753047</v>
      </c>
      <c r="Q50" s="1">
        <f t="shared" si="35"/>
        <v>-9.0599230667753048</v>
      </c>
      <c r="R50" s="1">
        <f t="shared" si="35"/>
        <v>-11.329923066775304</v>
      </c>
      <c r="S50" s="1">
        <f>$J50+SUMPRODUCT(regions!EI49:EN49,regions!EI$204:EN$204)</f>
        <v>-4.1359215714785158</v>
      </c>
      <c r="T50" s="1">
        <f>$J50+SUMPRODUCT(regions!EQ49:EV49,regions!EQ$204:EV$204)</f>
        <v>-3.634933638493786</v>
      </c>
      <c r="U50" s="1">
        <f>$J50+SUMPRODUCT(regions!CM49:CU49,regions!CM$204:CU$204)</f>
        <v>-5.9698117470351271</v>
      </c>
      <c r="V50" s="1">
        <f>$J50+SUMPRODUCT(regions!DH49:DM49,regions!DH$204:DM$204)</f>
        <v>-6.0633650060223498</v>
      </c>
      <c r="W50" s="1">
        <f>$J50+SUMPRODUCT(regions!DP49:DW49,regions!DP$204:DW$204)</f>
        <v>-5.9598117470351255</v>
      </c>
      <c r="X50" s="1">
        <f>$J50+SUMPRODUCT(regions!AB49:AE49,regions!AB$204:AE$204)</f>
        <v>-3.8285130551645459</v>
      </c>
      <c r="Y50" s="1">
        <f>$J50+SUMPRODUCT(regions!BX49:CJ49,regions!BX$204:CJ$204)</f>
        <v>-4.4221463831450585</v>
      </c>
      <c r="Z50" s="1">
        <f>$J50+SUMPRODUCT(regions!CX49:DF49,regions!CX$204:DF$204)</f>
        <v>-1.769811747035126</v>
      </c>
      <c r="AA50" s="1">
        <f t="shared" si="31"/>
        <v>-6.322922267535807</v>
      </c>
      <c r="AB50" s="1">
        <f t="shared" si="32"/>
        <v>-7.8829826192203933</v>
      </c>
      <c r="AC50" s="1">
        <f>$J50+SUMPRODUCT(regions!DZ49:EG49,regions!DZ$204:EG$204)</f>
        <v>-3.920711747035126</v>
      </c>
      <c r="AD50" s="1">
        <f t="shared" si="29"/>
        <v>-8.7199230667753049</v>
      </c>
      <c r="AE50" s="1">
        <f t="shared" si="29"/>
        <v>-10.229923066775305</v>
      </c>
      <c r="AF50" s="1">
        <f t="shared" si="33"/>
        <v>-36.350865301880674</v>
      </c>
      <c r="AG50" s="1">
        <f>$J50+SUMPRODUCT(regions!AX49:BK49,regions!AX$204:BK$204)</f>
        <v>-2.3590254125071741</v>
      </c>
      <c r="AH50" s="1">
        <f>$J50+SUMPRODUCT(regions!AG49:AV49,regions!AG$204:AV$204)</f>
        <v>-10.525638970773571</v>
      </c>
      <c r="AI50" s="1">
        <f t="shared" si="37"/>
        <v>-9.7299230667753047</v>
      </c>
      <c r="AJ50" s="1">
        <f>SartoriRoson!C47</f>
        <v>-7.84</v>
      </c>
      <c r="AK50" s="1">
        <f>Kompas!E47</f>
        <v>-8.2070000000000007</v>
      </c>
      <c r="AL50" s="1">
        <f>$J50+SUMPRODUCT(regions!EY49:FW49,regions!EY$204:FW$204)</f>
        <v>-3.1927741905200513</v>
      </c>
      <c r="AM50" s="1">
        <f>$J50+SUMPRODUCT(regions!FZ49:GF49,regions!FZ$204:GF$204)</f>
        <v>0.26390972659756962</v>
      </c>
      <c r="AN50" s="1">
        <f t="shared" si="13"/>
        <v>-16.929923066775302</v>
      </c>
      <c r="AO50" s="1">
        <f t="shared" si="13"/>
        <v>-16.229923066775306</v>
      </c>
      <c r="AP50" s="1">
        <f t="shared" si="13"/>
        <v>-11.429923066775306</v>
      </c>
      <c r="AQ50" s="1">
        <f t="shared" si="14"/>
        <v>-2.6003957557848718</v>
      </c>
      <c r="AR50" s="1">
        <f t="shared" si="14"/>
        <v>-12.729923066775305</v>
      </c>
      <c r="AS50" s="1">
        <f t="shared" si="14"/>
        <v>-10.029923066775304</v>
      </c>
      <c r="AT50" s="1">
        <f t="shared" si="14"/>
        <v>-8.0232564001086377</v>
      </c>
      <c r="AU50" s="1">
        <f t="shared" si="17"/>
        <v>-12.949923066775305</v>
      </c>
      <c r="AV50" s="1">
        <f t="shared" si="17"/>
        <v>-11.529923066775304</v>
      </c>
      <c r="AW50" s="1">
        <f>$J50+SUMPRODUCT(regions!BN49:BU49,regions!BN$204:BU$204)</f>
        <v>-7.511528279094529</v>
      </c>
      <c r="AX50" s="1">
        <f t="shared" si="17"/>
        <v>-9.2099230667753051</v>
      </c>
      <c r="AY50" s="1">
        <f t="shared" si="17"/>
        <v>-8.4299230667753058</v>
      </c>
      <c r="AZ50" s="1">
        <f t="shared" si="26"/>
        <v>-8.4299230667753058</v>
      </c>
      <c r="BF50" s="1"/>
      <c r="BG50" s="1"/>
      <c r="BL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</row>
    <row r="51" spans="1:90" x14ac:dyDescent="0.35">
      <c r="A51" t="s">
        <v>248</v>
      </c>
      <c r="B51" s="19">
        <f>regions!B50</f>
        <v>1103685</v>
      </c>
      <c r="C51" s="19">
        <f>regions!C50</f>
        <v>19207097486.442326</v>
      </c>
      <c r="D51" s="8">
        <f>regions!D50</f>
        <v>17402.698674388368</v>
      </c>
      <c r="E51" s="8">
        <f>regions!E50</f>
        <v>23.247234384310474</v>
      </c>
      <c r="F51" s="8">
        <f>regions!F50</f>
        <v>2.1041995906629709</v>
      </c>
      <c r="G51" s="1">
        <f>regions!Z50</f>
        <v>18.399999999999999</v>
      </c>
      <c r="J51" s="1">
        <f t="shared" si="30"/>
        <v>10.959915083436201</v>
      </c>
      <c r="K51" s="1">
        <f t="shared" si="36"/>
        <v>-3.9928312045885566</v>
      </c>
      <c r="L51" s="1">
        <f t="shared" si="24"/>
        <v>-4.8290482200468166</v>
      </c>
      <c r="M51" s="1">
        <f t="shared" si="25"/>
        <v>3.2080005384242876</v>
      </c>
      <c r="N51" s="1">
        <f t="shared" si="35"/>
        <v>-3.491562787276477</v>
      </c>
      <c r="O51" s="1">
        <f t="shared" si="35"/>
        <v>-5.8951337141538556</v>
      </c>
      <c r="P51" s="1">
        <f t="shared" si="35"/>
        <v>-3.8951337141538556</v>
      </c>
      <c r="Q51" s="1">
        <f t="shared" si="35"/>
        <v>-4.2251337141538556</v>
      </c>
      <c r="R51" s="1">
        <f t="shared" si="35"/>
        <v>-6.4951337141538552</v>
      </c>
      <c r="S51" s="1">
        <f>$J51+SUMPRODUCT(regions!EI50:EN50,regions!EI$204:EN$204)</f>
        <v>-6.3990485946506581</v>
      </c>
      <c r="T51" s="1">
        <f>$J51+SUMPRODUCT(regions!EQ50:EV50,regions!EQ$204:EV$204)</f>
        <v>-6.0554801325465348</v>
      </c>
      <c r="U51" s="1">
        <f>$J51+SUMPRODUCT(regions!CM50:CU50,regions!CM$204:CU$204)</f>
        <v>-5.8367499997986769</v>
      </c>
      <c r="V51" s="1">
        <f>$J51+SUMPRODUCT(regions!DH50:DM50,regions!DH$204:DM$204)</f>
        <v>-1.2285756534009007</v>
      </c>
      <c r="W51" s="1">
        <f>$J51+SUMPRODUCT(regions!DP50:DW50,regions!DP$204:DW$204)</f>
        <v>-7.859048594650659</v>
      </c>
      <c r="X51" s="1">
        <f>$J51+SUMPRODUCT(regions!AB50:AE50,regions!AB$204:AE$204)</f>
        <v>-4.3837876581659216</v>
      </c>
      <c r="Y51" s="1">
        <f>$J51+SUMPRODUCT(regions!BX50:CJ50,regions!BX$204:CJ$204)</f>
        <v>-1.4254076657940367</v>
      </c>
      <c r="Z51" s="1">
        <f>$J51+SUMPRODUCT(regions!CX50:DF50,regions!CX$204:DF$204)</f>
        <v>-0.83674999979867692</v>
      </c>
      <c r="AA51" s="1">
        <f t="shared" si="31"/>
        <v>-1.4881329149143583</v>
      </c>
      <c r="AB51" s="1">
        <f t="shared" si="32"/>
        <v>-3.0481932665989442</v>
      </c>
      <c r="AC51" s="1">
        <f>$J51+SUMPRODUCT(regions!DZ50:EG50,regions!DZ$204:EG$204)</f>
        <v>-5.3065485946506605</v>
      </c>
      <c r="AD51" s="1">
        <f t="shared" si="29"/>
        <v>-3.8851337141538558</v>
      </c>
      <c r="AE51" s="1">
        <f t="shared" si="29"/>
        <v>-5.3951337141538556</v>
      </c>
      <c r="AF51" s="1">
        <f t="shared" si="33"/>
        <v>-1.7</v>
      </c>
      <c r="AG51" s="1">
        <f>$J51+SUMPRODUCT(regions!AX50:BK50,regions!AX$204:BK$204)</f>
        <v>-3.2428713053645737</v>
      </c>
      <c r="AH51" s="1">
        <f>$J51+SUMPRODUCT(regions!AG50:AV50,regions!AG$204:AV$204)</f>
        <v>-3.1889507207046091</v>
      </c>
      <c r="AI51" s="1">
        <f t="shared" si="37"/>
        <v>-4.8951337141538556</v>
      </c>
      <c r="AJ51" s="1">
        <f>SartoriRoson!C48</f>
        <v>-4.6100000000000003</v>
      </c>
      <c r="AK51" s="1">
        <f>Kompas!E48</f>
        <v>-0.81599999999999995</v>
      </c>
      <c r="AL51" s="1">
        <f>$J51+SUMPRODUCT(regions!EY50:FW50,regions!EY$204:FW$204)</f>
        <v>-2.2946893241984494</v>
      </c>
      <c r="AM51" s="1">
        <f>$J51+SUMPRODUCT(regions!FZ50:GF50,regions!FZ$204:GF$204)</f>
        <v>-3.3083152914117875</v>
      </c>
      <c r="AN51" s="1">
        <f t="shared" si="13"/>
        <v>-12.095133714153855</v>
      </c>
      <c r="AO51" s="1">
        <f t="shared" si="13"/>
        <v>-11.395133714153856</v>
      </c>
      <c r="AP51" s="1">
        <f t="shared" si="13"/>
        <v>-6.5951337141538557</v>
      </c>
      <c r="AQ51" s="1">
        <f t="shared" si="14"/>
        <v>2.2343935968365773</v>
      </c>
      <c r="AR51" s="1">
        <f t="shared" si="14"/>
        <v>-7.8951337141538556</v>
      </c>
      <c r="AS51" s="1">
        <f t="shared" si="14"/>
        <v>-5.1951337141538563</v>
      </c>
      <c r="AT51" s="1">
        <f t="shared" si="14"/>
        <v>-3.1884670474871886</v>
      </c>
      <c r="AU51" s="1">
        <f t="shared" si="17"/>
        <v>-8.1151337141538562</v>
      </c>
      <c r="AV51" s="1">
        <f t="shared" si="17"/>
        <v>-6.6951337141538554</v>
      </c>
      <c r="AW51" s="1">
        <f>$J51+SUMPRODUCT(regions!BN50:BU50,regions!BN$204:BU$204)</f>
        <v>-2.6767389264730799</v>
      </c>
      <c r="AX51" s="1">
        <f t="shared" si="17"/>
        <v>-4.375133714153856</v>
      </c>
      <c r="AY51" s="1">
        <f t="shared" si="17"/>
        <v>-3.5951337141538549</v>
      </c>
      <c r="AZ51" s="1">
        <f t="shared" si="26"/>
        <v>-3.5951337141538549</v>
      </c>
      <c r="BF51" s="1"/>
      <c r="BG51" s="1"/>
      <c r="BJ51" t="str">
        <f>MaddisonRehdanz!A20</f>
        <v>Cyprus</v>
      </c>
      <c r="BK51">
        <f>MaddisonRehdanz!D20</f>
        <v>-1.7</v>
      </c>
      <c r="BL51" s="1">
        <f>$K51-BK51</f>
        <v>-2.2928312045885564</v>
      </c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</row>
    <row r="52" spans="1:90" x14ac:dyDescent="0.35">
      <c r="A52" t="s">
        <v>249</v>
      </c>
      <c r="B52" s="19">
        <f>regions!B51</f>
        <v>10519792</v>
      </c>
      <c r="C52" s="19">
        <f>regions!C51</f>
        <v>148480783612.59024</v>
      </c>
      <c r="D52" s="8">
        <f>regions!D51</f>
        <v>14114.421997373165</v>
      </c>
      <c r="E52" s="8">
        <f>regions!E51</f>
        <v>13.449560677396692</v>
      </c>
      <c r="F52" s="8">
        <f>regions!F51</f>
        <v>1.5195090731423679</v>
      </c>
      <c r="G52" s="1">
        <f>regions!Z51</f>
        <v>7.5</v>
      </c>
      <c r="J52" s="1">
        <f t="shared" si="30"/>
        <v>14.632071583362695</v>
      </c>
      <c r="K52" s="1">
        <f t="shared" si="36"/>
        <v>-0.32067470466206238</v>
      </c>
      <c r="L52" s="1">
        <f t="shared" si="24"/>
        <v>-0.38222795711286511</v>
      </c>
      <c r="M52" s="1">
        <f t="shared" si="25"/>
        <v>4.0095200633816006</v>
      </c>
      <c r="N52" s="1">
        <f t="shared" si="35"/>
        <v>0.18059371265001722</v>
      </c>
      <c r="O52" s="1">
        <f t="shared" si="35"/>
        <v>-2.2229772142273614</v>
      </c>
      <c r="P52" s="1">
        <f t="shared" si="35"/>
        <v>-0.22297721422736139</v>
      </c>
      <c r="Q52" s="1">
        <f t="shared" si="35"/>
        <v>-0.55297721422736146</v>
      </c>
      <c r="R52" s="1">
        <f t="shared" si="35"/>
        <v>-2.822977214227361</v>
      </c>
      <c r="S52" s="1">
        <f>$J52+SUMPRODUCT(regions!EI51:EN51,regions!EI$204:EN$204)</f>
        <v>4.3710242810694275</v>
      </c>
      <c r="T52" s="1">
        <f>$J52+SUMPRODUCT(regions!EQ51:EV51,regions!EQ$204:EV$204)</f>
        <v>4.8720122140541573</v>
      </c>
      <c r="U52" s="1">
        <f>$J52+SUMPRODUCT(regions!CM51:CU51,regions!CM$204:CU$204)</f>
        <v>-2.3935245873394351E-2</v>
      </c>
      <c r="V52" s="1">
        <f>$J52+SUMPRODUCT(regions!DH51:DM51,regions!DH$204:DM$204)</f>
        <v>2.4435808465255935</v>
      </c>
      <c r="W52" s="1">
        <f>$J52+SUMPRODUCT(regions!DP51:DW51,regions!DP$204:DW$204)</f>
        <v>-0.32393524587339506</v>
      </c>
      <c r="X52" s="1">
        <f>$J52+SUMPRODUCT(regions!AB51:AE51,regions!AB$204:AE$204)</f>
        <v>4.6784327973833975</v>
      </c>
      <c r="Y52" s="1">
        <f>$J52+SUMPRODUCT(regions!BX51:CJ51,regions!BX$204:CJ$204)</f>
        <v>0.53921290386999488</v>
      </c>
      <c r="Z52" s="1">
        <f>$J52+SUMPRODUCT(regions!CX51:DF51,regions!CX$204:DF$204)</f>
        <v>1.6760647541266049</v>
      </c>
      <c r="AA52" s="1">
        <f t="shared" si="31"/>
        <v>2.1840235850121359</v>
      </c>
      <c r="AB52" s="1">
        <f t="shared" si="32"/>
        <v>-1.0747871930443404</v>
      </c>
      <c r="AC52" s="1">
        <f>$J52+SUMPRODUCT(regions!DZ51:EG51,regions!DZ$204:EG$204)</f>
        <v>0.10656475412660527</v>
      </c>
      <c r="AD52" s="1">
        <f t="shared" si="29"/>
        <v>-0.2129772142273616</v>
      </c>
      <c r="AE52" s="1">
        <f t="shared" si="29"/>
        <v>-1.7229772142273614</v>
      </c>
      <c r="AF52" s="1">
        <f t="shared" si="33"/>
        <v>13.9</v>
      </c>
      <c r="AG52" s="1">
        <f>$J52+SUMPRODUCT(regions!AX51:BK51,regions!AX$204:BK$204)</f>
        <v>0.86689477983859575</v>
      </c>
      <c r="AH52" s="1">
        <f>$J52+SUMPRODUCT(regions!AG51:AV51,regions!AG$204:AV$204)</f>
        <v>0.22726281904004253</v>
      </c>
      <c r="AI52" s="1">
        <f t="shared" si="37"/>
        <v>-1.2229772142273614</v>
      </c>
      <c r="AJ52" s="1">
        <f>SartoriRoson!C49</f>
        <v>1.44</v>
      </c>
      <c r="AK52" s="1">
        <f>Kompas!E49</f>
        <v>-0.56699999999999995</v>
      </c>
      <c r="AL52" s="1">
        <f>$J52+SUMPRODUCT(regions!EY51:FW51,regions!EY$204:FW$204)</f>
        <v>-0.9719258860451685</v>
      </c>
      <c r="AM52" s="1">
        <f>$J52+SUMPRODUCT(regions!FZ51:GF51,regions!FZ$204:GF$204)</f>
        <v>0.36384120851470669</v>
      </c>
      <c r="AN52" s="1">
        <f t="shared" si="13"/>
        <v>-8.4229772142273607</v>
      </c>
      <c r="AO52" s="1">
        <f t="shared" si="13"/>
        <v>-7.7229772142273614</v>
      </c>
      <c r="AP52" s="1">
        <f t="shared" si="13"/>
        <v>-2.9229772142273607</v>
      </c>
      <c r="AQ52" s="1">
        <f t="shared" si="14"/>
        <v>5.9065500967630715</v>
      </c>
      <c r="AR52" s="1">
        <f t="shared" si="14"/>
        <v>-4.2229772142273614</v>
      </c>
      <c r="AS52" s="1">
        <f t="shared" si="14"/>
        <v>-1.5229772142273621</v>
      </c>
      <c r="AT52" s="1">
        <f t="shared" si="14"/>
        <v>0.48368945243930561</v>
      </c>
      <c r="AU52" s="1">
        <f t="shared" si="17"/>
        <v>-4.4429772142273602</v>
      </c>
      <c r="AV52" s="1">
        <f t="shared" si="17"/>
        <v>-3.0229772142273621</v>
      </c>
      <c r="AW52" s="1">
        <f>$J52+SUMPRODUCT(regions!BN51:BU51,regions!BN$204:BU$204)</f>
        <v>-0.42975975995329918</v>
      </c>
      <c r="AX52" s="1">
        <f t="shared" si="17"/>
        <v>-0.70297721422736181</v>
      </c>
      <c r="AY52" s="1">
        <f t="shared" si="17"/>
        <v>7.7022785772639324E-2</v>
      </c>
      <c r="AZ52" s="1">
        <f t="shared" si="26"/>
        <v>7.7022785772639324E-2</v>
      </c>
      <c r="BE52" t="str">
        <f>RehdanzMaddison!P21</f>
        <v>Czech Republic</v>
      </c>
      <c r="BF52" s="1">
        <f>-100*RehdanzMaddison!U21</f>
        <v>-0.63729141736544792</v>
      </c>
      <c r="BG52" s="1">
        <f>-100*RehdanzMaddison!V21</f>
        <v>-1.0747871930443404</v>
      </c>
      <c r="BH52" s="1">
        <f>$K52-BF52</f>
        <v>0.31661671270338554</v>
      </c>
      <c r="BI52" s="1">
        <f>$K52-BG52</f>
        <v>0.75411248838227807</v>
      </c>
      <c r="BJ52" t="str">
        <f>MaddisonRehdanz!A21</f>
        <v>Czech Republic</v>
      </c>
      <c r="BK52">
        <f>MaddisonRehdanz!D21</f>
        <v>13.9</v>
      </c>
      <c r="BL52" s="1">
        <f>$K52-BK52</f>
        <v>-14.220674704662063</v>
      </c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</row>
    <row r="53" spans="1:90" x14ac:dyDescent="0.35">
      <c r="A53" t="s">
        <v>136</v>
      </c>
      <c r="B53" s="19">
        <f>regions!B52</f>
        <v>5547683</v>
      </c>
      <c r="C53" s="19">
        <f>regions!C52</f>
        <v>256817427641.90231</v>
      </c>
      <c r="D53" s="8">
        <f>regions!D52</f>
        <v>46292.736560813282</v>
      </c>
      <c r="E53" s="8">
        <f>regions!E52</f>
        <v>32.737229461612458</v>
      </c>
      <c r="F53" s="8">
        <f>regions!F52</f>
        <v>1.201926528196072</v>
      </c>
      <c r="G53" s="1">
        <f>regions!Z52</f>
        <v>7.5</v>
      </c>
      <c r="J53" s="1">
        <f t="shared" si="30"/>
        <v>16.797762994731759</v>
      </c>
      <c r="K53" s="1">
        <f t="shared" si="36"/>
        <v>1.8450167067070016</v>
      </c>
      <c r="L53" s="1">
        <f t="shared" si="24"/>
        <v>-0.30842875842856188</v>
      </c>
      <c r="M53" s="1">
        <f t="shared" si="25"/>
        <v>5.3139585155919349</v>
      </c>
      <c r="N53" s="1">
        <f t="shared" si="35"/>
        <v>2.3462851240190812</v>
      </c>
      <c r="O53" s="1">
        <f t="shared" si="35"/>
        <v>-5.728580285829743E-2</v>
      </c>
      <c r="P53" s="1">
        <f t="shared" si="35"/>
        <v>1.9427141971417026</v>
      </c>
      <c r="Q53" s="1">
        <f t="shared" si="35"/>
        <v>1.6127141971417025</v>
      </c>
      <c r="R53" s="1">
        <f t="shared" si="35"/>
        <v>-0.65728580285829707</v>
      </c>
      <c r="S53" s="1">
        <f>$J53+SUMPRODUCT(regions!EI52:EN52,regions!EI$204:EN$204)</f>
        <v>1.574658453861133E-2</v>
      </c>
      <c r="T53" s="1">
        <f>$J53+SUMPRODUCT(regions!EQ52:EV52,regions!EQ$204:EV$204)</f>
        <v>-0.18425341546138796</v>
      </c>
      <c r="U53" s="1">
        <f>$J53+SUMPRODUCT(regions!CM52:CU52,regions!CM$204:CU$204)</f>
        <v>1.0979114968812098E-3</v>
      </c>
      <c r="V53" s="1">
        <f>$J53+SUMPRODUCT(regions!DH52:DM52,regions!DH$204:DM$204)</f>
        <v>0.23933361090425365</v>
      </c>
      <c r="W53" s="1">
        <f>$J53+SUMPRODUCT(regions!DP52:DW52,regions!DP$204:DW$204)</f>
        <v>0.11574658453861275</v>
      </c>
      <c r="X53" s="1">
        <f>$J53+SUMPRODUCT(regions!AB52:AE52,regions!AB$204:AE$204)</f>
        <v>1.4540602531296365</v>
      </c>
      <c r="Y53" s="1">
        <f>$J53+SUMPRODUCT(regions!BX52:CJ52,regions!BX$204:CJ$204)</f>
        <v>-1.5896732023363143</v>
      </c>
      <c r="Z53" s="1">
        <f>$J53+SUMPRODUCT(regions!CX52:DF52,regions!CX$204:DF$204)</f>
        <v>5.0010979114968812</v>
      </c>
      <c r="AA53" s="1">
        <f t="shared" si="31"/>
        <v>3</v>
      </c>
      <c r="AB53" s="1">
        <f t="shared" si="32"/>
        <v>0.31946696390636065</v>
      </c>
      <c r="AC53" s="1">
        <f>$J53+SUMPRODUCT(regions!DZ52:EG52,regions!DZ$204:EG$204)</f>
        <v>0.18574658453861304</v>
      </c>
      <c r="AD53" s="1">
        <f t="shared" si="29"/>
        <v>1.9527141971417024</v>
      </c>
      <c r="AE53" s="1">
        <f t="shared" si="29"/>
        <v>0.44271419714170257</v>
      </c>
      <c r="AF53" s="1">
        <f t="shared" si="33"/>
        <v>-25.67822803796367</v>
      </c>
      <c r="AG53" s="1">
        <f>$J53+SUMPRODUCT(regions!AX52:BK52,regions!AX$204:BK$204)</f>
        <v>0.50371503649791549</v>
      </c>
      <c r="AH53" s="1">
        <f>$J53+SUMPRODUCT(regions!AG52:AV52,regions!AG$204:AV$204)</f>
        <v>2.6488971905909491</v>
      </c>
      <c r="AI53" s="1">
        <f t="shared" si="37"/>
        <v>0.94271419714170257</v>
      </c>
      <c r="AJ53" s="1">
        <f>SartoriRoson!C50</f>
        <v>1.82</v>
      </c>
      <c r="AK53" s="1">
        <f>Kompas!E50</f>
        <v>-0.39300000000000002</v>
      </c>
      <c r="AL53" s="1">
        <f>$J53+SUMPRODUCT(regions!EY52:FW52,regions!EY$204:FW$204)</f>
        <v>1.1937655253238955</v>
      </c>
      <c r="AM53" s="1">
        <f>$J53+SUMPRODUCT(regions!FZ52:GF52,regions!FZ$204:GF$204)</f>
        <v>2.5295326198837706</v>
      </c>
      <c r="AN53" s="1">
        <f t="shared" si="13"/>
        <v>-6.2572858028582967</v>
      </c>
      <c r="AO53" s="1">
        <f t="shared" si="13"/>
        <v>-5.5572858028582974</v>
      </c>
      <c r="AP53" s="1">
        <f t="shared" si="13"/>
        <v>-0.75728580285829672</v>
      </c>
      <c r="AQ53" s="1">
        <f t="shared" si="14"/>
        <v>8.0722415081321355</v>
      </c>
      <c r="AR53" s="1">
        <f t="shared" si="14"/>
        <v>-2.0572858028582974</v>
      </c>
      <c r="AS53" s="1">
        <f t="shared" si="14"/>
        <v>0.64271419714170186</v>
      </c>
      <c r="AT53" s="1">
        <f t="shared" si="14"/>
        <v>2.6493808638083696</v>
      </c>
      <c r="AU53" s="1">
        <f t="shared" si="17"/>
        <v>-2.2772858028582963</v>
      </c>
      <c r="AV53" s="1">
        <f t="shared" si="17"/>
        <v>-0.85728580285829814</v>
      </c>
      <c r="AW53" s="1">
        <f>$J53+SUMPRODUCT(regions!BN52:BU52,regions!BN$204:BU$204)</f>
        <v>2.6588600129932036</v>
      </c>
      <c r="AX53" s="1">
        <f t="shared" si="17"/>
        <v>1.4627141971417021</v>
      </c>
      <c r="AY53" s="1">
        <f t="shared" si="17"/>
        <v>2.2427141971417033</v>
      </c>
      <c r="AZ53" s="1">
        <f t="shared" si="26"/>
        <v>2.2427141971417033</v>
      </c>
      <c r="BB53" t="str">
        <f>Maddison!A20</f>
        <v>Denmark</v>
      </c>
      <c r="BC53">
        <f>-Maddison!B20</f>
        <v>3</v>
      </c>
      <c r="BD53" s="1">
        <f>K53-BC53</f>
        <v>-1.1549832932929984</v>
      </c>
      <c r="BE53" t="str">
        <f>RehdanzMaddison!P23</f>
        <v>Denmark</v>
      </c>
      <c r="BF53" s="1">
        <f>-100*RehdanzMaddison!U23</f>
        <v>0.1766799849746517</v>
      </c>
      <c r="BG53" s="1">
        <f>-100*RehdanzMaddison!V23</f>
        <v>0.31946696390636065</v>
      </c>
      <c r="BH53" s="1">
        <f>$K53-BF53</f>
        <v>1.6683367217323499</v>
      </c>
      <c r="BI53" s="1">
        <f>$K53-BG53</f>
        <v>1.5255497428006408</v>
      </c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</row>
    <row r="54" spans="1:90" x14ac:dyDescent="0.35">
      <c r="A54" t="s">
        <v>367</v>
      </c>
      <c r="B54" s="19">
        <f>regions!B53</f>
        <v>834036</v>
      </c>
      <c r="C54" s="19">
        <f>regions!C53</f>
        <v>905664174.69392717</v>
      </c>
      <c r="D54" s="8">
        <f>regions!D53</f>
        <v>1085.8813944409201</v>
      </c>
      <c r="E54" s="8">
        <f>regions!E53</f>
        <v>0</v>
      </c>
      <c r="F54" s="8">
        <f>regions!F53</f>
        <v>0</v>
      </c>
      <c r="G54" s="1">
        <f>regions!Z53</f>
        <v>28</v>
      </c>
      <c r="J54" s="1">
        <f t="shared" si="30"/>
        <v>2.3311599577137567</v>
      </c>
      <c r="K54" s="1">
        <f t="shared" si="36"/>
        <v>-12.621586330311001</v>
      </c>
      <c r="L54" s="1">
        <f t="shared" si="24"/>
        <v>-12.259185883131082</v>
      </c>
      <c r="M54" s="1">
        <f t="shared" si="25"/>
        <v>8.3294614952570125</v>
      </c>
      <c r="N54" s="1">
        <f t="shared" ref="N54:R63" si="38">$J54+N$3-$J$3</f>
        <v>-12.120317912998921</v>
      </c>
      <c r="O54" s="1">
        <f t="shared" si="38"/>
        <v>-14.5238888398763</v>
      </c>
      <c r="P54" s="1">
        <f t="shared" si="38"/>
        <v>-12.5238888398763</v>
      </c>
      <c r="Q54" s="1">
        <f t="shared" si="38"/>
        <v>-12.8538888398763</v>
      </c>
      <c r="R54" s="1">
        <f t="shared" si="38"/>
        <v>-15.123888839876299</v>
      </c>
      <c r="S54" s="1">
        <f>$J54+SUMPRODUCT(regions!EI53:EN53,regions!EI$204:EN$204)</f>
        <v>-7.9298873445795106</v>
      </c>
      <c r="T54" s="1">
        <f>$J54+SUMPRODUCT(regions!EQ53:EV53,regions!EQ$204:EV$204)</f>
        <v>-7.4288994115947808</v>
      </c>
      <c r="U54" s="1">
        <f>$J54+SUMPRODUCT(regions!CM53:CU53,regions!CM$204:CU$204)</f>
        <v>-12.124470534904987</v>
      </c>
      <c r="V54" s="1">
        <f>$J54+SUMPRODUCT(regions!DH53:DM53,regions!DH$204:DM$204)</f>
        <v>-9.8573307791233447</v>
      </c>
      <c r="W54" s="1">
        <f>$J54+SUMPRODUCT(regions!DP53:DW53,regions!DP$204:DW$204)</f>
        <v>-11.696888028513845</v>
      </c>
      <c r="X54" s="1">
        <f>$J54+SUMPRODUCT(regions!AB53:AE53,regions!AB$204:AE$204)</f>
        <v>-6.8072451996262426</v>
      </c>
      <c r="Y54" s="1">
        <f>$J54+SUMPRODUCT(regions!BX53:CJ53,regions!BX$204:CJ$204)</f>
        <v>-4.6208468302281069</v>
      </c>
      <c r="Z54" s="1">
        <f>$J54+SUMPRODUCT(regions!CX53:DF53,regions!CX$204:DF$204)</f>
        <v>-7.524470534904987</v>
      </c>
      <c r="AA54" s="1">
        <f t="shared" si="31"/>
        <v>-10.116888040636802</v>
      </c>
      <c r="AB54" s="1">
        <f t="shared" si="32"/>
        <v>-11.676948392321389</v>
      </c>
      <c r="AC54" s="1">
        <f>$J54+SUMPRODUCT(regions!DZ53:EG53,regions!DZ$204:EG$204)</f>
        <v>-8.097788028513845</v>
      </c>
      <c r="AD54" s="1">
        <f t="shared" ref="AD54:AE63" si="39">$J54+AD$3-$J$3</f>
        <v>-12.5138888398763</v>
      </c>
      <c r="AE54" s="1">
        <f t="shared" si="39"/>
        <v>-14.0238888398763</v>
      </c>
      <c r="AF54" s="1">
        <f t="shared" si="33"/>
        <v>-40.144831074981667</v>
      </c>
      <c r="AG54" s="1">
        <f>$J54+SUMPRODUCT(regions!AX53:BK53,regions!AX$204:BK$204)</f>
        <v>-4.4589293832687709</v>
      </c>
      <c r="AH54" s="1">
        <f>$J54+SUMPRODUCT(regions!AG53:AV53,regions!AG$204:AV$204)</f>
        <v>-11.358929383268771</v>
      </c>
      <c r="AI54" s="1">
        <f t="shared" si="37"/>
        <v>-13.5238888398763</v>
      </c>
      <c r="AJ54" s="1">
        <f>SartoriRoson!C51</f>
        <v>-4.62</v>
      </c>
      <c r="AK54" s="1">
        <f>Kompas!E51</f>
        <v>-8.0990000000000002</v>
      </c>
      <c r="AL54" s="1">
        <f>$J54+SUMPRODUCT(regions!EY53:FW53,regions!EY$204:FW$204)</f>
        <v>-4.9480546489842023</v>
      </c>
      <c r="AM54" s="1">
        <f>$J54+SUMPRODUCT(regions!FZ53:GF53,regions!FZ$204:GF$204)</f>
        <v>-1.8205187210067013</v>
      </c>
      <c r="AN54" s="1">
        <f t="shared" si="13"/>
        <v>-20.723888839876299</v>
      </c>
      <c r="AO54" s="1">
        <f t="shared" si="13"/>
        <v>-20.0238888398763</v>
      </c>
      <c r="AP54" s="1">
        <f t="shared" si="13"/>
        <v>-15.223888839876299</v>
      </c>
      <c r="AQ54" s="1">
        <f t="shared" si="14"/>
        <v>-6.3943615288858657</v>
      </c>
      <c r="AR54" s="1">
        <f t="shared" si="14"/>
        <v>-16.5238888398763</v>
      </c>
      <c r="AS54" s="1">
        <f t="shared" si="14"/>
        <v>-13.8238888398763</v>
      </c>
      <c r="AT54" s="1">
        <f t="shared" si="14"/>
        <v>-11.817222173209633</v>
      </c>
      <c r="AU54" s="1">
        <f t="shared" si="17"/>
        <v>-16.743888839876298</v>
      </c>
      <c r="AV54" s="1">
        <f t="shared" si="17"/>
        <v>-15.3238888398763</v>
      </c>
      <c r="AW54" s="1">
        <f>$J54+SUMPRODUCT(regions!BN53:BU53,regions!BN$204:BU$204)</f>
        <v>-9.5736286525021423</v>
      </c>
      <c r="AX54" s="1">
        <f t="shared" si="17"/>
        <v>-13.0038888398763</v>
      </c>
      <c r="AY54" s="1">
        <f t="shared" si="17"/>
        <v>-12.223888839876299</v>
      </c>
      <c r="AZ54" s="1">
        <f t="shared" si="26"/>
        <v>-12.223888839876299</v>
      </c>
      <c r="BF54" s="1"/>
      <c r="BG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</row>
    <row r="55" spans="1:90" x14ac:dyDescent="0.35">
      <c r="A55" t="s">
        <v>137</v>
      </c>
      <c r="B55" s="19">
        <f>regions!B54</f>
        <v>71167</v>
      </c>
      <c r="C55" s="19">
        <f>regions!C54</f>
        <v>452332573.93279916</v>
      </c>
      <c r="D55" s="8">
        <f>regions!D54</f>
        <v>6355.9314560512476</v>
      </c>
      <c r="E55" s="8">
        <f>regions!E54</f>
        <v>24.595726371174514</v>
      </c>
      <c r="F55" s="8">
        <f>regions!F54</f>
        <v>11.46634937489776</v>
      </c>
      <c r="G55" s="1">
        <f>regions!Z54</f>
        <v>22.3</v>
      </c>
      <c r="J55" s="1">
        <f t="shared" si="30"/>
        <v>7.6729061131732532</v>
      </c>
      <c r="K55" s="1">
        <f t="shared" si="36"/>
        <v>-7.279840174851504</v>
      </c>
      <c r="L55" s="1">
        <f t="shared" si="24"/>
        <v>-7.3798517157966614</v>
      </c>
      <c r="M55" s="1">
        <f t="shared" si="25"/>
        <v>6.9626994309788577</v>
      </c>
      <c r="N55" s="1">
        <f t="shared" si="38"/>
        <v>-6.7785717575394244</v>
      </c>
      <c r="O55" s="1">
        <f t="shared" si="38"/>
        <v>-9.182142684416803</v>
      </c>
      <c r="P55" s="1">
        <f t="shared" si="38"/>
        <v>-7.182142684416803</v>
      </c>
      <c r="Q55" s="1">
        <f t="shared" si="38"/>
        <v>-7.5121426844168031</v>
      </c>
      <c r="R55" s="1">
        <f t="shared" si="38"/>
        <v>-9.7821426844168027</v>
      </c>
      <c r="S55" s="1">
        <f>$J55+SUMPRODUCT(regions!EI54:EN54,regions!EI$204:EN$204)</f>
        <v>-2.5881411891200141</v>
      </c>
      <c r="T55" s="1">
        <f>$J55+SUMPRODUCT(regions!EQ54:EV54,regions!EQ$204:EV$204)</f>
        <v>-2.0871532561352844</v>
      </c>
      <c r="U55" s="1">
        <f>$J55+SUMPRODUCT(regions!CM54:CU54,regions!CM$204:CU$204)</f>
        <v>-4.4220313646766254</v>
      </c>
      <c r="V55" s="1">
        <f>$J55+SUMPRODUCT(regions!DH54:DM54,regions!DH$204:DM$204)</f>
        <v>-4.5155846236638482</v>
      </c>
      <c r="W55" s="1">
        <f>$J55+SUMPRODUCT(regions!DP54:DW54,regions!DP$204:DW$204)</f>
        <v>-4.4120313646766238</v>
      </c>
      <c r="X55" s="1">
        <f>$J55+SUMPRODUCT(regions!AB54:AE54,regions!AB$204:AE$204)</f>
        <v>-2.2807326728060442</v>
      </c>
      <c r="Y55" s="1">
        <f>$J55+SUMPRODUCT(regions!BX54:CJ54,regions!BX$204:CJ$204)</f>
        <v>-2.8743660007865568</v>
      </c>
      <c r="Z55" s="1">
        <f>$J55+SUMPRODUCT(regions!CX54:DF54,regions!CX$204:DF$204)</f>
        <v>-0.22203136467662432</v>
      </c>
      <c r="AA55" s="1">
        <f t="shared" si="31"/>
        <v>-0.9</v>
      </c>
      <c r="AB55" s="1">
        <f t="shared" si="32"/>
        <v>-6.3352022368618917</v>
      </c>
      <c r="AC55" s="1">
        <f>$J55+SUMPRODUCT(regions!DZ54:EG54,regions!DZ$204:EG$204)</f>
        <v>-2.3729313646766244</v>
      </c>
      <c r="AD55" s="1">
        <f t="shared" si="39"/>
        <v>-7.1721426844168032</v>
      </c>
      <c r="AE55" s="1">
        <f t="shared" si="39"/>
        <v>-8.682142684416803</v>
      </c>
      <c r="AF55" s="1">
        <f t="shared" si="33"/>
        <v>-34.803084919522178</v>
      </c>
      <c r="AG55" s="1">
        <f>$J55+SUMPRODUCT(regions!AX54:BK54,regions!AX$204:BK$204)</f>
        <v>-0.81124503014867244</v>
      </c>
      <c r="AH55" s="1">
        <f>$J55+SUMPRODUCT(regions!AG54:AV54,regions!AG$204:AV$204)</f>
        <v>-8.977858588415069</v>
      </c>
      <c r="AI55" s="1">
        <f t="shared" si="37"/>
        <v>-8.182142684416803</v>
      </c>
      <c r="AJ55" s="1">
        <f>SartoriRoson!C52</f>
        <v>-7.84</v>
      </c>
      <c r="AK55" s="1">
        <f>Kompas!E52</f>
        <v>-8.2070000000000007</v>
      </c>
      <c r="AL55" s="1">
        <f>$J55+SUMPRODUCT(regions!EY54:FW54,regions!EY$204:FW$204)</f>
        <v>-1.6449938081615496</v>
      </c>
      <c r="AM55" s="1">
        <f>$J55+SUMPRODUCT(regions!FZ54:GF54,regions!FZ$204:GF$204)</f>
        <v>1.8116901089560713</v>
      </c>
      <c r="AN55" s="1">
        <f t="shared" si="13"/>
        <v>-15.382142684416802</v>
      </c>
      <c r="AO55" s="1">
        <f t="shared" si="13"/>
        <v>-14.682142684416803</v>
      </c>
      <c r="AP55" s="1">
        <f t="shared" si="13"/>
        <v>-9.8821426844168023</v>
      </c>
      <c r="AQ55" s="1">
        <f t="shared" si="14"/>
        <v>-1.0526153734263684</v>
      </c>
      <c r="AR55" s="1">
        <f t="shared" si="14"/>
        <v>-11.182142684416803</v>
      </c>
      <c r="AS55" s="1">
        <f t="shared" si="14"/>
        <v>-8.4821426844168037</v>
      </c>
      <c r="AT55" s="1">
        <f t="shared" si="14"/>
        <v>-6.475476017750136</v>
      </c>
      <c r="AU55" s="1">
        <f t="shared" si="17"/>
        <v>-11.402142684416802</v>
      </c>
      <c r="AV55" s="1">
        <f t="shared" si="17"/>
        <v>-9.9821426844168037</v>
      </c>
      <c r="AW55" s="1">
        <f>$J55+SUMPRODUCT(regions!BN54:BU54,regions!BN$204:BU$204)</f>
        <v>-5.9637478967360273</v>
      </c>
      <c r="AX55" s="1">
        <f t="shared" si="17"/>
        <v>-7.6621426844168035</v>
      </c>
      <c r="AY55" s="1">
        <f t="shared" si="17"/>
        <v>-6.8821426844168032</v>
      </c>
      <c r="AZ55" s="1">
        <f t="shared" si="26"/>
        <v>-6.8821426844168032</v>
      </c>
      <c r="BB55" t="str">
        <f>Maddison!A21</f>
        <v>Dominica</v>
      </c>
      <c r="BC55">
        <f>-Maddison!B21</f>
        <v>-0.9</v>
      </c>
      <c r="BD55" s="1">
        <f>K55-BC55</f>
        <v>-6.3798401748515037</v>
      </c>
      <c r="BF55" s="1"/>
      <c r="BG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</row>
    <row r="56" spans="1:90" x14ac:dyDescent="0.35">
      <c r="A56" t="s">
        <v>220</v>
      </c>
      <c r="B56" s="19">
        <f>regions!B55</f>
        <v>10016797</v>
      </c>
      <c r="C56" s="19">
        <f>regions!C55</f>
        <v>47848657632.10955</v>
      </c>
      <c r="D56" s="8">
        <f>regions!D55</f>
        <v>4776.8421015330105</v>
      </c>
      <c r="E56" s="8">
        <f>regions!E55</f>
        <v>12.207401125726012</v>
      </c>
      <c r="F56" s="8">
        <f>regions!F55</f>
        <v>6.0574578258090188</v>
      </c>
      <c r="G56" s="1">
        <f>regions!Z55</f>
        <v>24.5</v>
      </c>
      <c r="J56" s="1">
        <f t="shared" si="30"/>
        <v>6.3339163475771567</v>
      </c>
      <c r="K56" s="1">
        <f t="shared" si="36"/>
        <v>-8.6188299404476005</v>
      </c>
      <c r="L56" s="1">
        <f t="shared" si="24"/>
        <v>-8.7340768756240337</v>
      </c>
      <c r="M56" s="1">
        <f t="shared" si="25"/>
        <v>8.0082204665086802</v>
      </c>
      <c r="N56" s="1">
        <f t="shared" si="38"/>
        <v>-8.1175615231355209</v>
      </c>
      <c r="O56" s="1">
        <f t="shared" si="38"/>
        <v>-10.5211324500129</v>
      </c>
      <c r="P56" s="1">
        <f t="shared" si="38"/>
        <v>-8.5211324500128995</v>
      </c>
      <c r="Q56" s="1">
        <f t="shared" si="38"/>
        <v>-8.8511324500128996</v>
      </c>
      <c r="R56" s="1">
        <f t="shared" si="38"/>
        <v>-11.121132450012899</v>
      </c>
      <c r="S56" s="1">
        <f>$J56+SUMPRODUCT(regions!EI55:EN55,regions!EI$204:EN$204)</f>
        <v>-3.9271309547161106</v>
      </c>
      <c r="T56" s="1">
        <f>$J56+SUMPRODUCT(regions!EQ55:EV55,regions!EQ$204:EV$204)</f>
        <v>-3.4261430217313809</v>
      </c>
      <c r="U56" s="1">
        <f>$J56+SUMPRODUCT(regions!CM55:CU55,regions!CM$204:CU$204)</f>
        <v>-5.7610211302727219</v>
      </c>
      <c r="V56" s="1">
        <f>$J56+SUMPRODUCT(regions!DH55:DM55,regions!DH$204:DM$204)</f>
        <v>-5.8545743892599447</v>
      </c>
      <c r="W56" s="1">
        <f>$J56+SUMPRODUCT(regions!DP55:DW55,regions!DP$204:DW$204)</f>
        <v>-5.7510211302727203</v>
      </c>
      <c r="X56" s="1">
        <f>$J56+SUMPRODUCT(regions!AB55:AE55,regions!AB$204:AE$204)</f>
        <v>-3.6197224384021407</v>
      </c>
      <c r="Y56" s="1">
        <f>$J56+SUMPRODUCT(regions!BX55:CJ55,regions!BX$204:CJ$204)</f>
        <v>-4.2133557663826533</v>
      </c>
      <c r="Z56" s="1">
        <f>$J56+SUMPRODUCT(regions!CX55:DF55,regions!CX$204:DF$204)</f>
        <v>-1.5610211302727208</v>
      </c>
      <c r="AA56" s="1">
        <f t="shared" si="31"/>
        <v>-6.1141316507734018</v>
      </c>
      <c r="AB56" s="1">
        <f t="shared" si="32"/>
        <v>-2.1662847086109593</v>
      </c>
      <c r="AC56" s="1">
        <f>$J56+SUMPRODUCT(regions!DZ55:EG55,regions!DZ$204:EG$204)</f>
        <v>-3.7119211302727209</v>
      </c>
      <c r="AD56" s="1">
        <f t="shared" si="39"/>
        <v>-8.5111324500128998</v>
      </c>
      <c r="AE56" s="1">
        <f t="shared" si="39"/>
        <v>-10.0211324500129</v>
      </c>
      <c r="AF56" s="1">
        <f t="shared" si="33"/>
        <v>-42.3</v>
      </c>
      <c r="AG56" s="1">
        <f>$J56+SUMPRODUCT(regions!AX55:BK55,regions!AX$204:BK$204)</f>
        <v>-2.1502347957447689</v>
      </c>
      <c r="AH56" s="1">
        <f>$J56+SUMPRODUCT(regions!AG55:AV55,regions!AG$204:AV$204)</f>
        <v>-10.316848354011166</v>
      </c>
      <c r="AI56" s="1">
        <f t="shared" si="37"/>
        <v>-9.5211324500128995</v>
      </c>
      <c r="AJ56" s="1">
        <f>SartoriRoson!C53</f>
        <v>-6.86</v>
      </c>
      <c r="AK56" s="1">
        <f>Kompas!E53</f>
        <v>-7.9340000000000002</v>
      </c>
      <c r="AL56" s="1">
        <f>$J56+SUMPRODUCT(regions!EY55:FW55,regions!EY$204:FW$204)</f>
        <v>-2.9839835737576461</v>
      </c>
      <c r="AM56" s="1">
        <f>$J56+SUMPRODUCT(regions!FZ55:GF55,regions!FZ$204:GF$204)</f>
        <v>0.4727003433599748</v>
      </c>
      <c r="AN56" s="1">
        <f t="shared" si="13"/>
        <v>-16.721132450012899</v>
      </c>
      <c r="AO56" s="1">
        <f t="shared" si="13"/>
        <v>-16.0211324500129</v>
      </c>
      <c r="AP56" s="1">
        <f t="shared" si="13"/>
        <v>-11.221132450012899</v>
      </c>
      <c r="AQ56" s="1">
        <f t="shared" si="14"/>
        <v>-2.3916051390224649</v>
      </c>
      <c r="AR56" s="1">
        <f t="shared" si="14"/>
        <v>-12.5211324500129</v>
      </c>
      <c r="AS56" s="1">
        <f t="shared" si="14"/>
        <v>-9.8211324500129003</v>
      </c>
      <c r="AT56" s="1">
        <f t="shared" si="14"/>
        <v>-7.8144657833462325</v>
      </c>
      <c r="AU56" s="1">
        <f t="shared" si="17"/>
        <v>-12.741132450012898</v>
      </c>
      <c r="AV56" s="1">
        <f t="shared" si="17"/>
        <v>-11.3211324500129</v>
      </c>
      <c r="AW56" s="1">
        <f>$J56+SUMPRODUCT(regions!BN55:BU55,regions!BN$204:BU$204)</f>
        <v>-7.3027376623321238</v>
      </c>
      <c r="AX56" s="1">
        <f t="shared" si="17"/>
        <v>-9.0011324500129</v>
      </c>
      <c r="AY56" s="1">
        <f t="shared" si="17"/>
        <v>-8.2211324500128988</v>
      </c>
      <c r="AZ56" s="1">
        <f t="shared" si="26"/>
        <v>-8.2211324500128988</v>
      </c>
      <c r="BE56" t="str">
        <f>RehdanzMaddison!P24</f>
        <v>Dominican Republic</v>
      </c>
      <c r="BF56" s="1">
        <f>-100*RehdanzMaddison!U24</f>
        <v>-1.3611502875327075</v>
      </c>
      <c r="BG56" s="1">
        <f>-100*RehdanzMaddison!V24</f>
        <v>-2.1662847086109593</v>
      </c>
      <c r="BH56" s="1">
        <f>$K56-BF56</f>
        <v>-7.2576796529148933</v>
      </c>
      <c r="BI56" s="1">
        <f>$K56-BG56</f>
        <v>-6.4525452318366412</v>
      </c>
      <c r="BJ56" t="str">
        <f>MaddisonRehdanz!A22</f>
        <v>Dominican Republic</v>
      </c>
      <c r="BK56">
        <f>MaddisonRehdanz!D22</f>
        <v>-42.3</v>
      </c>
      <c r="BL56" s="1">
        <f>$K56-BK56</f>
        <v>33.6811700595524</v>
      </c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</row>
    <row r="57" spans="1:90" x14ac:dyDescent="0.35">
      <c r="A57" t="s">
        <v>138</v>
      </c>
      <c r="B57" s="19">
        <f>regions!B56</f>
        <v>15001072</v>
      </c>
      <c r="C57" s="19">
        <f>regions!C56</f>
        <v>48764673104.869774</v>
      </c>
      <c r="D57" s="8">
        <f>regions!D56</f>
        <v>3250.7458870185928</v>
      </c>
      <c r="E57" s="8">
        <f>regions!E56</f>
        <v>0</v>
      </c>
      <c r="F57" s="8">
        <f>regions!F56</f>
        <v>9.7331180784367053</v>
      </c>
      <c r="G57" s="1">
        <f>regions!Z56</f>
        <v>21.8</v>
      </c>
      <c r="J57" s="1">
        <f t="shared" si="30"/>
        <v>6.6363411277999305</v>
      </c>
      <c r="K57" s="1">
        <f t="shared" si="36"/>
        <v>-8.3164051602248268</v>
      </c>
      <c r="L57" s="1">
        <f t="shared" si="24"/>
        <v>-9.7657809579788903</v>
      </c>
      <c r="M57" s="1">
        <f t="shared" si="25"/>
        <v>13.307576826646152</v>
      </c>
      <c r="N57" s="1">
        <f t="shared" si="38"/>
        <v>-7.8151367429127472</v>
      </c>
      <c r="O57" s="1">
        <f t="shared" si="38"/>
        <v>-10.218707669790126</v>
      </c>
      <c r="P57" s="1">
        <f t="shared" si="38"/>
        <v>-8.2187076697901258</v>
      </c>
      <c r="Q57" s="1">
        <f t="shared" si="38"/>
        <v>-8.5487076697901259</v>
      </c>
      <c r="R57" s="1">
        <f t="shared" si="38"/>
        <v>-10.818707669790125</v>
      </c>
      <c r="S57" s="1">
        <f>$J57+SUMPRODUCT(regions!EI56:EN56,regions!EI$204:EN$204)</f>
        <v>-3.6247061744933369</v>
      </c>
      <c r="T57" s="1">
        <f>$J57+SUMPRODUCT(regions!EQ56:EV56,regions!EQ$204:EV$204)</f>
        <v>-3.1237182415086071</v>
      </c>
      <c r="U57" s="1">
        <f>$J57+SUMPRODUCT(regions!CM56:CU56,regions!CM$204:CU$204)</f>
        <v>-5.4585963500499481</v>
      </c>
      <c r="V57" s="1">
        <f>$J57+SUMPRODUCT(regions!DH56:DM56,regions!DH$204:DM$204)</f>
        <v>-5.5521496090371709</v>
      </c>
      <c r="W57" s="1">
        <f>$J57+SUMPRODUCT(regions!DP56:DW56,regions!DP$204:DW$204)</f>
        <v>-5.4485963500499466</v>
      </c>
      <c r="X57" s="1">
        <f>$J57+SUMPRODUCT(regions!AB56:AE56,regions!AB$204:AE$204)</f>
        <v>-2.5020640295400689</v>
      </c>
      <c r="Y57" s="1">
        <f>$J57+SUMPRODUCT(regions!BX56:CJ56,regions!BX$204:CJ$204)</f>
        <v>-3.9109309861598796</v>
      </c>
      <c r="Z57" s="1">
        <f>$J57+SUMPRODUCT(regions!CX56:DF56,regions!CX$204:DF$204)</f>
        <v>-1.2585963500499471</v>
      </c>
      <c r="AA57" s="1">
        <f t="shared" si="31"/>
        <v>-70.7</v>
      </c>
      <c r="AB57" s="1">
        <f t="shared" si="32"/>
        <v>-7.3717672222352144</v>
      </c>
      <c r="AC57" s="1">
        <f>$J57+SUMPRODUCT(regions!DZ56:EG56,regions!DZ$204:EG$204)</f>
        <v>-3.4094963500499471</v>
      </c>
      <c r="AD57" s="1">
        <f t="shared" si="39"/>
        <v>-8.208707669790126</v>
      </c>
      <c r="AE57" s="1">
        <f t="shared" si="39"/>
        <v>-9.7187076697901258</v>
      </c>
      <c r="AF57" s="1">
        <f t="shared" si="33"/>
        <v>-35.839649904895495</v>
      </c>
      <c r="AG57" s="1">
        <f>$J57+SUMPRODUCT(regions!AX56:BK56,regions!AX$204:BK$204)</f>
        <v>-1.8478100155219952</v>
      </c>
      <c r="AH57" s="1">
        <f>$J57+SUMPRODUCT(regions!AG56:AV56,regions!AG$204:AV$204)</f>
        <v>-10.014423573788392</v>
      </c>
      <c r="AI57" s="1">
        <f t="shared" si="37"/>
        <v>-9.2187076697901258</v>
      </c>
      <c r="AJ57" s="1">
        <f>SartoriRoson!C54</f>
        <v>-1.93</v>
      </c>
      <c r="AK57" s="1">
        <f>Kompas!E54</f>
        <v>-2.5990000000000002</v>
      </c>
      <c r="AL57" s="1">
        <f>$J57+SUMPRODUCT(regions!EY56:FW56,regions!EY$204:FW$204)</f>
        <v>-2.6815587935348724</v>
      </c>
      <c r="AM57" s="1">
        <f>$J57+SUMPRODUCT(regions!FZ56:GF56,regions!FZ$204:GF$204)</f>
        <v>0.77512512358274854</v>
      </c>
      <c r="AN57" s="1">
        <f t="shared" si="13"/>
        <v>-16.418707669790123</v>
      </c>
      <c r="AO57" s="1">
        <f t="shared" si="13"/>
        <v>-15.718707669790126</v>
      </c>
      <c r="AP57" s="1">
        <f t="shared" si="13"/>
        <v>-10.918707669790127</v>
      </c>
      <c r="AQ57" s="1">
        <f t="shared" si="14"/>
        <v>-2.0891803587996929</v>
      </c>
      <c r="AR57" s="1">
        <f t="shared" si="14"/>
        <v>-12.218707669790126</v>
      </c>
      <c r="AS57" s="1">
        <f t="shared" si="14"/>
        <v>-9.5187076697901247</v>
      </c>
      <c r="AT57" s="1">
        <f t="shared" si="14"/>
        <v>-7.5120410031234588</v>
      </c>
      <c r="AU57" s="1">
        <f t="shared" si="17"/>
        <v>-12.438707669790126</v>
      </c>
      <c r="AV57" s="1">
        <f t="shared" si="17"/>
        <v>-11.018707669790125</v>
      </c>
      <c r="AW57" s="1">
        <f>$J57+SUMPRODUCT(regions!BN56:BU56,regions!BN$204:BU$204)</f>
        <v>-5.2684474824159686</v>
      </c>
      <c r="AX57" s="1">
        <f t="shared" si="17"/>
        <v>-8.6987076697901262</v>
      </c>
      <c r="AY57" s="1">
        <f t="shared" si="17"/>
        <v>-7.918707669790126</v>
      </c>
      <c r="AZ57" s="1">
        <f t="shared" si="26"/>
        <v>-7.918707669790126</v>
      </c>
      <c r="BB57" t="str">
        <f>Maddison!A22</f>
        <v>Ecuador</v>
      </c>
      <c r="BC57">
        <f>-Maddison!B22</f>
        <v>-70.7</v>
      </c>
      <c r="BD57" s="1">
        <f>K57-BC57</f>
        <v>62.383594839775178</v>
      </c>
      <c r="BF57" s="1"/>
      <c r="BG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</row>
    <row r="58" spans="1:90" x14ac:dyDescent="0.35">
      <c r="A58" t="s">
        <v>139</v>
      </c>
      <c r="B58" s="19">
        <f>regions!B57</f>
        <v>78075705</v>
      </c>
      <c r="C58" s="19">
        <f>regions!C57</f>
        <v>121036124473.08067</v>
      </c>
      <c r="D58" s="8">
        <f>regions!D57</f>
        <v>1550.2405578416574</v>
      </c>
      <c r="E58" s="8">
        <f>regions!E57</f>
        <v>14.13007624730648</v>
      </c>
      <c r="F58" s="8">
        <f>regions!F57</f>
        <v>13.340759157964529</v>
      </c>
      <c r="G58" s="1">
        <f>regions!Z57</f>
        <v>22.1</v>
      </c>
      <c r="J58" s="1">
        <f t="shared" si="30"/>
        <v>5.1746575550689222</v>
      </c>
      <c r="K58" s="1">
        <f t="shared" si="36"/>
        <v>-9.778088732955835</v>
      </c>
      <c r="L58" s="1">
        <f t="shared" si="24"/>
        <v>-9.9464255704647435</v>
      </c>
      <c r="M58" s="1">
        <f t="shared" si="25"/>
        <v>9.1265958937685578</v>
      </c>
      <c r="N58" s="1">
        <f t="shared" si="38"/>
        <v>-9.2768203156437554</v>
      </c>
      <c r="O58" s="1">
        <f t="shared" si="38"/>
        <v>-11.680391242521134</v>
      </c>
      <c r="P58" s="1">
        <f t="shared" si="38"/>
        <v>-9.680391242521134</v>
      </c>
      <c r="Q58" s="1">
        <f t="shared" si="38"/>
        <v>-10.010391242521134</v>
      </c>
      <c r="R58" s="1">
        <f t="shared" si="38"/>
        <v>-12.280391242521134</v>
      </c>
      <c r="S58" s="1">
        <f>$J58+SUMPRODUCT(regions!EI57:EN57,regions!EI$204:EN$204)</f>
        <v>-5.0863897472243451</v>
      </c>
      <c r="T58" s="1">
        <f>$J58+SUMPRODUCT(regions!EQ57:EV57,regions!EQ$204:EV$204)</f>
        <v>-4.5854018142396153</v>
      </c>
      <c r="U58" s="1">
        <f>$J58+SUMPRODUCT(regions!CM57:CU57,regions!CM$204:CU$204)</f>
        <v>-9.2809729375498211</v>
      </c>
      <c r="V58" s="1">
        <f>$J58+SUMPRODUCT(regions!DH57:DM57,regions!DH$204:DM$204)</f>
        <v>-7.0138331817681792</v>
      </c>
      <c r="W58" s="1">
        <f>$J58+SUMPRODUCT(regions!DP57:DW57,regions!DP$204:DW$204)</f>
        <v>-8.8533904311586795</v>
      </c>
      <c r="X58" s="1">
        <f>$J58+SUMPRODUCT(regions!AB57:AE57,regions!AB$204:AE$204)</f>
        <v>-3.9637476022710771</v>
      </c>
      <c r="Y58" s="1">
        <f>$J58+SUMPRODUCT(regions!BX57:CJ57,regions!BX$204:CJ$204)</f>
        <v>-2.1298836498034284</v>
      </c>
      <c r="Z58" s="1">
        <f>$J58+SUMPRODUCT(regions!CX57:DF57,regions!CX$204:DF$204)</f>
        <v>-4.6809729375498215</v>
      </c>
      <c r="AA58" s="1">
        <f t="shared" si="31"/>
        <v>-3.1</v>
      </c>
      <c r="AB58" s="1">
        <f t="shared" si="32"/>
        <v>-8.8334507949662235</v>
      </c>
      <c r="AC58" s="1">
        <f>$J58+SUMPRODUCT(regions!DZ57:EG57,regions!DZ$204:EG$204)</f>
        <v>-5.2542904311586796</v>
      </c>
      <c r="AD58" s="1">
        <f t="shared" si="39"/>
        <v>-9.6703912425211342</v>
      </c>
      <c r="AE58" s="1">
        <f t="shared" si="39"/>
        <v>-11.180391242521134</v>
      </c>
      <c r="AF58" s="1">
        <f t="shared" si="33"/>
        <v>-48.8</v>
      </c>
      <c r="AG58" s="1">
        <f>$J58+SUMPRODUCT(regions!AX57:BK57,regions!AX$204:BK$204)</f>
        <v>-5.0097065900464486</v>
      </c>
      <c r="AH58" s="1">
        <f>$J58+SUMPRODUCT(regions!AG57:AV57,regions!AG$204:AV$204)</f>
        <v>-14.391309964058902</v>
      </c>
      <c r="AI58" s="1">
        <f t="shared" si="37"/>
        <v>-10.680391242521134</v>
      </c>
      <c r="AJ58" s="1">
        <f>SartoriRoson!C55</f>
        <v>-3.84</v>
      </c>
      <c r="AK58" s="1">
        <f>Kompas!E55</f>
        <v>-4</v>
      </c>
      <c r="AL58" s="1">
        <f>$J58+SUMPRODUCT(regions!EY57:FW57,regions!EY$204:FW$204)</f>
        <v>-5.0473524814824486</v>
      </c>
      <c r="AM58" s="1">
        <f>$J58+SUMPRODUCT(regions!FZ57:GF57,regions!FZ$204:GF$204)</f>
        <v>1.0229788763484642</v>
      </c>
      <c r="AN58" s="1">
        <f t="shared" si="13"/>
        <v>-17.880391242521135</v>
      </c>
      <c r="AO58" s="1">
        <f t="shared" si="13"/>
        <v>-17.180391242521132</v>
      </c>
      <c r="AP58" s="1">
        <f t="shared" si="13"/>
        <v>-12.380391242521135</v>
      </c>
      <c r="AQ58" s="1">
        <f t="shared" si="14"/>
        <v>-3.5508639315307011</v>
      </c>
      <c r="AR58" s="1">
        <f t="shared" si="14"/>
        <v>-13.680391242521134</v>
      </c>
      <c r="AS58" s="1">
        <f t="shared" si="14"/>
        <v>-10.980391242521133</v>
      </c>
      <c r="AT58" s="1">
        <f t="shared" si="14"/>
        <v>-8.973724575854467</v>
      </c>
      <c r="AU58" s="1">
        <f t="shared" si="17"/>
        <v>-13.900391242521135</v>
      </c>
      <c r="AV58" s="1">
        <f t="shared" si="17"/>
        <v>-12.480391242521133</v>
      </c>
      <c r="AW58" s="1">
        <f>$J58+SUMPRODUCT(regions!BN57:BU57,regions!BN$204:BU$204)</f>
        <v>-6.7301310551469768</v>
      </c>
      <c r="AX58" s="1">
        <f t="shared" si="17"/>
        <v>-10.160391242521134</v>
      </c>
      <c r="AY58" s="1">
        <f t="shared" si="17"/>
        <v>-9.3803912425211351</v>
      </c>
      <c r="AZ58" s="1">
        <f t="shared" si="26"/>
        <v>-9.3803912425211351</v>
      </c>
      <c r="BB58" t="str">
        <f>Maddison!A23</f>
        <v>Egypt</v>
      </c>
      <c r="BC58">
        <f>-Maddison!B23</f>
        <v>-3.1</v>
      </c>
      <c r="BD58" s="1">
        <f>K58-BC58</f>
        <v>-6.6780887329558354</v>
      </c>
      <c r="BF58" s="1"/>
      <c r="BG58" s="1"/>
      <c r="BJ58" t="str">
        <f>MaddisonRehdanz!A23</f>
        <v>Egypt</v>
      </c>
      <c r="BK58">
        <f>MaddisonRehdanz!D23</f>
        <v>-48.8</v>
      </c>
      <c r="BL58" s="1">
        <f>$K58-BK58</f>
        <v>39.02191126704416</v>
      </c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</row>
    <row r="59" spans="1:90" x14ac:dyDescent="0.35">
      <c r="A59" t="s">
        <v>140</v>
      </c>
      <c r="B59" s="19">
        <f>regions!B58</f>
        <v>6218195</v>
      </c>
      <c r="C59" s="19">
        <f>regions!C58</f>
        <v>18341273339.874924</v>
      </c>
      <c r="D59" s="8">
        <f>regions!D58</f>
        <v>2949.613728722712</v>
      </c>
      <c r="E59" s="8">
        <f>regions!E58</f>
        <v>15.812078654450543</v>
      </c>
      <c r="F59" s="8">
        <f>regions!F58</f>
        <v>6.9817341599398741</v>
      </c>
      <c r="G59" s="1">
        <f>regions!Z58</f>
        <v>24.4</v>
      </c>
      <c r="J59" s="1">
        <f t="shared" si="30"/>
        <v>5.4920871509424654</v>
      </c>
      <c r="K59" s="1">
        <f t="shared" si="36"/>
        <v>-9.4606591370822919</v>
      </c>
      <c r="L59" s="1">
        <f t="shared" si="24"/>
        <v>-10.386783642204765</v>
      </c>
      <c r="M59" s="1">
        <f t="shared" si="25"/>
        <v>14.180663366773267</v>
      </c>
      <c r="N59" s="1">
        <f t="shared" si="38"/>
        <v>-8.9593907197702123</v>
      </c>
      <c r="O59" s="1">
        <f t="shared" si="38"/>
        <v>-11.362961646647591</v>
      </c>
      <c r="P59" s="1">
        <f t="shared" si="38"/>
        <v>-9.3629616466475909</v>
      </c>
      <c r="Q59" s="1">
        <f t="shared" si="38"/>
        <v>-9.692961646647591</v>
      </c>
      <c r="R59" s="1">
        <f t="shared" si="38"/>
        <v>-11.962961646647591</v>
      </c>
      <c r="S59" s="1">
        <f>$J59+SUMPRODUCT(regions!EI58:EN58,regions!EI$204:EN$204)</f>
        <v>-4.768960151350802</v>
      </c>
      <c r="T59" s="1">
        <f>$J59+SUMPRODUCT(regions!EQ58:EV58,regions!EQ$204:EV$204)</f>
        <v>-4.2679722183660722</v>
      </c>
      <c r="U59" s="1">
        <f>$J59+SUMPRODUCT(regions!CM58:CU58,regions!CM$204:CU$204)</f>
        <v>-6.6028503269074132</v>
      </c>
      <c r="V59" s="1">
        <f>$J59+SUMPRODUCT(regions!DH58:DM58,regions!DH$204:DM$204)</f>
        <v>-6.696403585894636</v>
      </c>
      <c r="W59" s="1">
        <f>$J59+SUMPRODUCT(regions!DP58:DW58,regions!DP$204:DW$204)</f>
        <v>-6.5928503269074117</v>
      </c>
      <c r="X59" s="1">
        <f>$J59+SUMPRODUCT(regions!AB58:AE58,regions!AB$204:AE$204)</f>
        <v>-3.646318006397534</v>
      </c>
      <c r="Y59" s="1">
        <f>$J59+SUMPRODUCT(regions!BX58:CJ58,regions!BX$204:CJ$204)</f>
        <v>-5.0551849630173447</v>
      </c>
      <c r="Z59" s="1">
        <f>$J59+SUMPRODUCT(regions!CX58:DF58,regions!CX$204:DF$204)</f>
        <v>-2.4028503269074122</v>
      </c>
      <c r="AA59" s="1">
        <f t="shared" si="31"/>
        <v>-1.8</v>
      </c>
      <c r="AB59" s="1">
        <f t="shared" si="32"/>
        <v>-8.5160211990926804</v>
      </c>
      <c r="AC59" s="1">
        <f>$J59+SUMPRODUCT(regions!DZ58:EG58,regions!DZ$204:EG$204)</f>
        <v>-4.5537503269074122</v>
      </c>
      <c r="AD59" s="1">
        <f t="shared" si="39"/>
        <v>-9.3529616466475911</v>
      </c>
      <c r="AE59" s="1">
        <f t="shared" si="39"/>
        <v>-10.862961646647591</v>
      </c>
      <c r="AF59" s="1">
        <f t="shared" si="33"/>
        <v>-82.2</v>
      </c>
      <c r="AG59" s="1">
        <f>$J59+SUMPRODUCT(regions!AX58:BK58,regions!AX$204:BK$204)</f>
        <v>-2.9920639923794603</v>
      </c>
      <c r="AH59" s="1">
        <f>$J59+SUMPRODUCT(regions!AG58:AV58,regions!AG$204:AV$204)</f>
        <v>-11.158677550645857</v>
      </c>
      <c r="AI59" s="1">
        <f t="shared" si="37"/>
        <v>-10.362961646647591</v>
      </c>
      <c r="AJ59" s="1">
        <f>SartoriRoson!C56</f>
        <v>-4.55</v>
      </c>
      <c r="AK59" s="1">
        <f>Kompas!E56</f>
        <v>-4.9569999999999999</v>
      </c>
      <c r="AL59" s="1">
        <f>$J59+SUMPRODUCT(regions!EY58:FW58,regions!EY$204:FW$204)</f>
        <v>-3.8258127703923375</v>
      </c>
      <c r="AM59" s="1">
        <f>$J59+SUMPRODUCT(regions!FZ58:GF58,regions!FZ$204:GF$204)</f>
        <v>-0.36912885327471656</v>
      </c>
      <c r="AN59" s="1">
        <f t="shared" si="13"/>
        <v>-17.56296164664759</v>
      </c>
      <c r="AO59" s="1">
        <f t="shared" si="13"/>
        <v>-16.862961646647591</v>
      </c>
      <c r="AP59" s="1">
        <f t="shared" si="13"/>
        <v>-12.06296164664759</v>
      </c>
      <c r="AQ59" s="1">
        <f t="shared" si="14"/>
        <v>-3.2334343356571562</v>
      </c>
      <c r="AR59" s="1">
        <f t="shared" si="14"/>
        <v>-13.362961646647591</v>
      </c>
      <c r="AS59" s="1">
        <f t="shared" si="14"/>
        <v>-10.662961646647592</v>
      </c>
      <c r="AT59" s="1">
        <f t="shared" si="14"/>
        <v>-8.6562949799809239</v>
      </c>
      <c r="AU59" s="1">
        <f t="shared" si="17"/>
        <v>-13.58296164664759</v>
      </c>
      <c r="AV59" s="1">
        <f t="shared" si="17"/>
        <v>-12.162961646647592</v>
      </c>
      <c r="AW59" s="1">
        <f>$J59+SUMPRODUCT(regions!BN58:BU58,regions!BN$204:BU$204)</f>
        <v>-8.1445668589668152</v>
      </c>
      <c r="AX59" s="1">
        <f t="shared" si="17"/>
        <v>-9.8429616466475913</v>
      </c>
      <c r="AY59" s="1">
        <f t="shared" si="17"/>
        <v>-9.0629616466475902</v>
      </c>
      <c r="AZ59" s="1">
        <f t="shared" si="26"/>
        <v>-9.0629616466475902</v>
      </c>
      <c r="BB59" t="str">
        <f>Maddison!A24</f>
        <v>El Salvador</v>
      </c>
      <c r="BC59">
        <f>-Maddison!B24</f>
        <v>-1.8</v>
      </c>
      <c r="BD59" s="1">
        <f>K59-BC59</f>
        <v>-7.6606591370822921</v>
      </c>
      <c r="BF59" s="1"/>
      <c r="BG59" s="1"/>
      <c r="BJ59" t="str">
        <f>MaddisonRehdanz!A24</f>
        <v>El Salvador</v>
      </c>
      <c r="BK59">
        <f>MaddisonRehdanz!D24</f>
        <v>-82.2</v>
      </c>
      <c r="BL59" s="1">
        <f>$K59-BK59</f>
        <v>72.739340862917715</v>
      </c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</row>
    <row r="60" spans="1:90" x14ac:dyDescent="0.35">
      <c r="A60" t="s">
        <v>368</v>
      </c>
      <c r="B60" s="19">
        <f>regions!B59</f>
        <v>696167</v>
      </c>
      <c r="C60" s="19">
        <f>regions!C59</f>
        <v>8071655046.0093536</v>
      </c>
      <c r="D60" s="8">
        <f>regions!D59</f>
        <v>11594.42353057435</v>
      </c>
      <c r="E60" s="8">
        <f>regions!E59</f>
        <v>7.5861592239032953</v>
      </c>
      <c r="F60" s="8">
        <f>regions!F59</f>
        <v>1.0613712857053132</v>
      </c>
      <c r="G60" s="1">
        <f>regions!Z59</f>
        <v>24.5</v>
      </c>
      <c r="J60" s="1">
        <f t="shared" si="30"/>
        <v>7.9507159530129918</v>
      </c>
      <c r="K60" s="1">
        <f t="shared" si="36"/>
        <v>-7.0020303350117654</v>
      </c>
      <c r="L60" s="1">
        <f t="shared" si="24"/>
        <v>-6.8112284934533296</v>
      </c>
      <c r="M60" s="1">
        <f t="shared" si="25"/>
        <v>7.0389350477666195</v>
      </c>
      <c r="N60" s="1">
        <f t="shared" si="38"/>
        <v>-6.5007619176996858</v>
      </c>
      <c r="O60" s="1">
        <f t="shared" si="38"/>
        <v>-8.9043328445770644</v>
      </c>
      <c r="P60" s="1">
        <f t="shared" si="38"/>
        <v>-6.9043328445770644</v>
      </c>
      <c r="Q60" s="1">
        <f t="shared" si="38"/>
        <v>-7.2343328445770645</v>
      </c>
      <c r="R60" s="1">
        <f t="shared" si="38"/>
        <v>-9.5043328445770641</v>
      </c>
      <c r="S60" s="1">
        <f>$J60+SUMPRODUCT(regions!EI59:EN59,regions!EI$204:EN$204)</f>
        <v>-2.3103313492802755</v>
      </c>
      <c r="T60" s="1">
        <f>$J60+SUMPRODUCT(regions!EQ59:EV59,regions!EQ$204:EV$204)</f>
        <v>-1.8093434162955457</v>
      </c>
      <c r="U60" s="1">
        <f>$J60+SUMPRODUCT(regions!CM59:CU59,regions!CM$204:CU$204)</f>
        <v>-6.5049145396057515</v>
      </c>
      <c r="V60" s="1">
        <f>$J60+SUMPRODUCT(regions!DH59:DM59,regions!DH$204:DM$204)</f>
        <v>-4.2377747838241095</v>
      </c>
      <c r="W60" s="1">
        <f>$J60+SUMPRODUCT(regions!DP59:DW59,regions!DP$204:DW$204)</f>
        <v>-6.0773320332146099</v>
      </c>
      <c r="X60" s="1">
        <f>$J60+SUMPRODUCT(regions!AB59:AE59,regions!AB$204:AE$204)</f>
        <v>-2.0029228329663056</v>
      </c>
      <c r="Y60" s="1">
        <f>$J60+SUMPRODUCT(regions!BX59:CJ59,regions!BX$204:CJ$204)</f>
        <v>0.99870916507112817</v>
      </c>
      <c r="Z60" s="1">
        <f>$J60+SUMPRODUCT(regions!CX59:DF59,regions!CX$204:DF$204)</f>
        <v>-1.9049145396057519</v>
      </c>
      <c r="AA60" s="1">
        <f t="shared" si="31"/>
        <v>-4.4973320453375667</v>
      </c>
      <c r="AB60" s="1">
        <f t="shared" si="32"/>
        <v>-6.057392397022153</v>
      </c>
      <c r="AC60" s="1">
        <f>$J60+SUMPRODUCT(regions!DZ59:EG59,regions!DZ$204:EG$204)</f>
        <v>-2.4782320332146099</v>
      </c>
      <c r="AD60" s="1">
        <f t="shared" si="39"/>
        <v>-6.8943328445770646</v>
      </c>
      <c r="AE60" s="1">
        <f t="shared" si="39"/>
        <v>-8.4043328445770644</v>
      </c>
      <c r="AF60" s="1">
        <f t="shared" si="33"/>
        <v>-34.525275079682437</v>
      </c>
      <c r="AG60" s="1">
        <f>$J60+SUMPRODUCT(regions!AX59:BK59,regions!AX$204:BK$204)</f>
        <v>1.1606266120304642</v>
      </c>
      <c r="AH60" s="1">
        <f>$J60+SUMPRODUCT(regions!AG59:AV59,regions!AG$204:AV$204)</f>
        <v>-5.7393733879695361</v>
      </c>
      <c r="AI60" s="1">
        <f t="shared" si="37"/>
        <v>-7.9043328445770644</v>
      </c>
      <c r="AJ60" s="1">
        <f>SartoriRoson!C57</f>
        <v>-2.38</v>
      </c>
      <c r="AK60" s="1">
        <f>Kompas!E57</f>
        <v>-4.9770000000000003</v>
      </c>
      <c r="AL60" s="1">
        <f>$J60+SUMPRODUCT(regions!EY59:FW59,regions!EY$204:FW$204)</f>
        <v>0.67150134631503278</v>
      </c>
      <c r="AM60" s="1">
        <f>$J60+SUMPRODUCT(regions!FZ59:GF59,regions!FZ$204:GF$204)</f>
        <v>3.7990372742925338</v>
      </c>
      <c r="AN60" s="1">
        <f t="shared" si="13"/>
        <v>-15.104332844577064</v>
      </c>
      <c r="AO60" s="1">
        <f t="shared" si="13"/>
        <v>-14.404332844577064</v>
      </c>
      <c r="AP60" s="1">
        <f t="shared" si="13"/>
        <v>-9.6043328445770655</v>
      </c>
      <c r="AQ60" s="1">
        <f t="shared" si="14"/>
        <v>-0.77480553358663151</v>
      </c>
      <c r="AR60" s="1">
        <f t="shared" si="14"/>
        <v>-10.904332844577064</v>
      </c>
      <c r="AS60" s="1">
        <f t="shared" si="14"/>
        <v>-8.2043328445770634</v>
      </c>
      <c r="AT60" s="1">
        <f t="shared" si="14"/>
        <v>-6.1976661779103974</v>
      </c>
      <c r="AU60" s="1">
        <f t="shared" si="17"/>
        <v>-11.124332844577065</v>
      </c>
      <c r="AV60" s="1">
        <f t="shared" si="17"/>
        <v>-9.7043328445770634</v>
      </c>
      <c r="AW60" s="1">
        <f>$J60+SUMPRODUCT(regions!BN59:BU59,regions!BN$204:BU$204)</f>
        <v>-3.9540726572029072</v>
      </c>
      <c r="AX60" s="1">
        <f t="shared" si="17"/>
        <v>-7.3843328445770648</v>
      </c>
      <c r="AY60" s="1">
        <f t="shared" si="17"/>
        <v>-6.6043328445770646</v>
      </c>
      <c r="AZ60" s="1">
        <f t="shared" si="26"/>
        <v>-6.6043328445770646</v>
      </c>
      <c r="BF60" s="1"/>
      <c r="BG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</row>
    <row r="61" spans="1:90" x14ac:dyDescent="0.35">
      <c r="A61" t="s">
        <v>369</v>
      </c>
      <c r="B61" s="19">
        <f>regions!B60</f>
        <v>5741159</v>
      </c>
      <c r="C61" s="19">
        <f>regions!C60</f>
        <v>1056636372.397827</v>
      </c>
      <c r="D61" s="8">
        <f>regions!D60</f>
        <v>184.04582983990289</v>
      </c>
      <c r="E61" s="8">
        <f>regions!E60</f>
        <v>0</v>
      </c>
      <c r="F61" s="8">
        <f>regions!F60</f>
        <v>0</v>
      </c>
      <c r="G61" s="1">
        <f>regions!Z60</f>
        <v>25.5</v>
      </c>
      <c r="J61" s="1">
        <f t="shared" si="30"/>
        <v>2.4692418773792468E-2</v>
      </c>
      <c r="K61" s="1">
        <f t="shared" si="36"/>
        <v>-14.928053869250965</v>
      </c>
      <c r="L61" s="1">
        <f t="shared" si="24"/>
        <v>-14.303222065994007</v>
      </c>
      <c r="M61" s="1">
        <f t="shared" si="25"/>
        <v>9.1705760276334534</v>
      </c>
      <c r="N61" s="1">
        <f t="shared" si="38"/>
        <v>-14.426785451938885</v>
      </c>
      <c r="O61" s="1">
        <f t="shared" si="38"/>
        <v>-16.830356378816262</v>
      </c>
      <c r="P61" s="1">
        <f t="shared" si="38"/>
        <v>-14.830356378816264</v>
      </c>
      <c r="Q61" s="1">
        <f t="shared" si="38"/>
        <v>-15.160356378816264</v>
      </c>
      <c r="R61" s="1">
        <f t="shared" si="38"/>
        <v>-17.430356378816263</v>
      </c>
      <c r="S61" s="1">
        <f>$J61+SUMPRODUCT(regions!EI60:EN60,regions!EI$204:EN$204)</f>
        <v>-10.236354883519475</v>
      </c>
      <c r="T61" s="1">
        <f>$J61+SUMPRODUCT(regions!EQ60:EV60,regions!EQ$204:EV$204)</f>
        <v>-9.7353669505347451</v>
      </c>
      <c r="U61" s="1">
        <f>$J61+SUMPRODUCT(regions!CM60:CU60,regions!CM$204:CU$204)</f>
        <v>-14.430938073844951</v>
      </c>
      <c r="V61" s="1">
        <f>$J61+SUMPRODUCT(regions!DH60:DM60,regions!DH$204:DM$204)</f>
        <v>-12.163798318063309</v>
      </c>
      <c r="W61" s="1">
        <f>$J61+SUMPRODUCT(regions!DP60:DW60,regions!DP$204:DW$204)</f>
        <v>-14.003355567453809</v>
      </c>
      <c r="X61" s="1">
        <f>$J61+SUMPRODUCT(regions!AB60:AE60,regions!AB$204:AE$204)</f>
        <v>-3.4918249294416492</v>
      </c>
      <c r="Y61" s="1">
        <f>$J61+SUMPRODUCT(regions!BX60:CJ60,regions!BX$204:CJ$204)</f>
        <v>-6.9273143691680712</v>
      </c>
      <c r="Z61" s="1">
        <f>$J61+SUMPRODUCT(regions!CX60:DF60,regions!CX$204:DF$204)</f>
        <v>-9.8309380738449512</v>
      </c>
      <c r="AA61" s="1">
        <f t="shared" si="31"/>
        <v>-12.423355579576766</v>
      </c>
      <c r="AB61" s="1">
        <f t="shared" si="32"/>
        <v>-13.983415931261353</v>
      </c>
      <c r="AC61" s="1">
        <f>$J61+SUMPRODUCT(regions!DZ60:EG60,regions!DZ$204:EG$204)</f>
        <v>-10.404255567453809</v>
      </c>
      <c r="AD61" s="1">
        <f t="shared" si="39"/>
        <v>-14.820356378816264</v>
      </c>
      <c r="AE61" s="1">
        <f t="shared" si="39"/>
        <v>-16.330356378816262</v>
      </c>
      <c r="AF61" s="1">
        <f t="shared" si="33"/>
        <v>-42.451298613921637</v>
      </c>
      <c r="AG61" s="1">
        <f>$J61+SUMPRODUCT(regions!AX60:BK60,regions!AX$204:BK$204)</f>
        <v>-6.7653969222087351</v>
      </c>
      <c r="AH61" s="1">
        <f>$J61+SUMPRODUCT(regions!AG60:AV60,regions!AG$204:AV$204)</f>
        <v>-13.665396922208735</v>
      </c>
      <c r="AI61" s="1">
        <f t="shared" si="37"/>
        <v>-15.830356378816264</v>
      </c>
      <c r="AJ61" s="1">
        <f>SartoriRoson!C58</f>
        <v>-4.62</v>
      </c>
      <c r="AK61" s="1">
        <f>Kompas!E58</f>
        <v>-8.0990000000000002</v>
      </c>
      <c r="AL61" s="1">
        <f>$J61+SUMPRODUCT(regions!EY60:FW60,regions!EY$204:FW$204)</f>
        <v>-7.2545221879241666</v>
      </c>
      <c r="AM61" s="1">
        <f>$J61+SUMPRODUCT(regions!FZ60:GF60,regions!FZ$204:GF$204)</f>
        <v>-4.1269862599466656</v>
      </c>
      <c r="AN61" s="1">
        <f t="shared" si="13"/>
        <v>-23.030356378816265</v>
      </c>
      <c r="AO61" s="1">
        <f t="shared" si="13"/>
        <v>-22.330356378816262</v>
      </c>
      <c r="AP61" s="1">
        <f t="shared" si="13"/>
        <v>-17.530356378816265</v>
      </c>
      <c r="AQ61" s="1">
        <f t="shared" si="14"/>
        <v>-8.7008290678258291</v>
      </c>
      <c r="AR61" s="1">
        <f t="shared" si="14"/>
        <v>-18.830356378816262</v>
      </c>
      <c r="AS61" s="1">
        <f t="shared" si="14"/>
        <v>-16.130356378816263</v>
      </c>
      <c r="AT61" s="1">
        <f t="shared" si="14"/>
        <v>-14.123689712149597</v>
      </c>
      <c r="AU61" s="1">
        <f t="shared" si="17"/>
        <v>-19.050356378816264</v>
      </c>
      <c r="AV61" s="1">
        <f t="shared" si="17"/>
        <v>-17.630356378816263</v>
      </c>
      <c r="AW61" s="1">
        <f>$J61+SUMPRODUCT(regions!BN60:BU60,regions!BN$204:BU$204)</f>
        <v>-11.880096191442107</v>
      </c>
      <c r="AX61" s="1">
        <f t="shared" si="17"/>
        <v>-15.310356378816264</v>
      </c>
      <c r="AY61" s="1">
        <f t="shared" si="17"/>
        <v>-14.530356378816263</v>
      </c>
      <c r="AZ61" s="1">
        <f t="shared" si="26"/>
        <v>-14.530356378816263</v>
      </c>
      <c r="BF61" s="1"/>
      <c r="BG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</row>
    <row r="62" spans="1:90" x14ac:dyDescent="0.35">
      <c r="A62" t="s">
        <v>221</v>
      </c>
      <c r="B62" s="19">
        <f>regions!B61</f>
        <v>1340161</v>
      </c>
      <c r="C62" s="19">
        <f>regions!C61</f>
        <v>13897254466.99498</v>
      </c>
      <c r="D62" s="8">
        <f>regions!D61</f>
        <v>10369.839494653985</v>
      </c>
      <c r="E62" s="8">
        <f>regions!E61</f>
        <v>1.2690970889767594</v>
      </c>
      <c r="F62" s="8">
        <f>regions!F61</f>
        <v>2.7931517376195076</v>
      </c>
      <c r="G62" s="1">
        <f>regions!Z61</f>
        <v>5.0999999999999996</v>
      </c>
      <c r="J62" s="1">
        <f t="shared" si="30"/>
        <v>14.96258217251769</v>
      </c>
      <c r="K62" s="1">
        <f t="shared" si="36"/>
        <v>9.8358844929329337E-3</v>
      </c>
      <c r="L62" s="1">
        <f t="shared" si="24"/>
        <v>-0.25691601605821601</v>
      </c>
      <c r="M62" s="1">
        <f t="shared" si="25"/>
        <v>5.3296186039874041</v>
      </c>
      <c r="N62" s="1">
        <f t="shared" si="38"/>
        <v>0.51110430180501254</v>
      </c>
      <c r="O62" s="1">
        <f t="shared" si="38"/>
        <v>-1.8924666250723661</v>
      </c>
      <c r="P62" s="1">
        <f t="shared" si="38"/>
        <v>0.10753337492763393</v>
      </c>
      <c r="Q62" s="1">
        <f t="shared" si="38"/>
        <v>-0.22246662507236614</v>
      </c>
      <c r="R62" s="1">
        <f t="shared" si="38"/>
        <v>-2.4924666250723657</v>
      </c>
      <c r="S62" s="1">
        <f>$J62+SUMPRODUCT(regions!EI61:EN61,regions!EI$204:EN$204)</f>
        <v>-1.9060693124847088</v>
      </c>
      <c r="T62" s="1">
        <f>$J62+SUMPRODUCT(regions!EQ61:EV61,regions!EQ$204:EV$204)</f>
        <v>-2.0060693124847102</v>
      </c>
      <c r="U62" s="1">
        <f>$J62+SUMPRODUCT(regions!CM61:CU61,regions!CM$204:CU$204)</f>
        <v>0.30657534328160096</v>
      </c>
      <c r="V62" s="1">
        <f>$J62+SUMPRODUCT(regions!DH61:DM61,regions!DH$204:DM$204)</f>
        <v>-2.0630693124847088</v>
      </c>
      <c r="W62" s="1">
        <f>$J62+SUMPRODUCT(regions!DP61:DW61,regions!DP$204:DW$204)</f>
        <v>6.5753432816002544E-3</v>
      </c>
      <c r="X62" s="1">
        <f>$J62+SUMPRODUCT(regions!AB61:AE61,regions!AB$204:AE$204)</f>
        <v>5.0089433865383928</v>
      </c>
      <c r="Y62" s="1">
        <f>$J62+SUMPRODUCT(regions!BX61:CJ61,regions!BX$204:CJ$204)</f>
        <v>0.86972349302499019</v>
      </c>
      <c r="Z62" s="1">
        <f>$J62+SUMPRODUCT(regions!CX61:DF61,regions!CX$204:DF$204)</f>
        <v>2.0065753432816003</v>
      </c>
      <c r="AA62" s="1">
        <f t="shared" si="31"/>
        <v>2.5145341741671312</v>
      </c>
      <c r="AB62" s="1">
        <f t="shared" si="32"/>
        <v>0.6343396157087281</v>
      </c>
      <c r="AC62" s="1">
        <f>$J62+SUMPRODUCT(regions!DZ61:EG61,regions!DZ$204:EG$204)</f>
        <v>0.43707534328160058</v>
      </c>
      <c r="AD62" s="1">
        <f t="shared" si="39"/>
        <v>0.11753337492763372</v>
      </c>
      <c r="AE62" s="1">
        <f t="shared" si="39"/>
        <v>-1.3924666250723661</v>
      </c>
      <c r="AF62" s="1">
        <f t="shared" si="33"/>
        <v>25.2</v>
      </c>
      <c r="AG62" s="1">
        <f>$J62+SUMPRODUCT(regions!AX61:BK61,regions!AX$204:BK$204)</f>
        <v>-0.40606931248470879</v>
      </c>
      <c r="AH62" s="1">
        <f>$J62+SUMPRODUCT(regions!AG61:AV61,regions!AG$204:AV$204)</f>
        <v>0.55777340819503785</v>
      </c>
      <c r="AI62" s="1">
        <f t="shared" si="37"/>
        <v>-0.89246662507236607</v>
      </c>
      <c r="AJ62" s="1">
        <f>SartoriRoson!C59</f>
        <v>2.19</v>
      </c>
      <c r="AK62" s="1">
        <f>Kompas!E59</f>
        <v>-0.75</v>
      </c>
      <c r="AL62" s="1">
        <f>$J62+SUMPRODUCT(regions!EY61:FW61,regions!EY$204:FW$204)</f>
        <v>-0.64141529689017318</v>
      </c>
      <c r="AM62" s="1">
        <f>$J62+SUMPRODUCT(regions!FZ61:GF61,regions!FZ$204:GF$204)</f>
        <v>0.69435179766970201</v>
      </c>
      <c r="AN62" s="1">
        <f t="shared" si="13"/>
        <v>-8.0924666250723654</v>
      </c>
      <c r="AO62" s="1">
        <f t="shared" si="13"/>
        <v>-7.3924666250723661</v>
      </c>
      <c r="AP62" s="1">
        <f t="shared" si="13"/>
        <v>-2.5924666250723671</v>
      </c>
      <c r="AQ62" s="1">
        <f t="shared" si="14"/>
        <v>6.2370606859180686</v>
      </c>
      <c r="AR62" s="1">
        <f t="shared" si="14"/>
        <v>-3.8924666250723661</v>
      </c>
      <c r="AS62" s="1">
        <f t="shared" si="14"/>
        <v>-1.192466625072365</v>
      </c>
      <c r="AT62" s="1">
        <f t="shared" si="14"/>
        <v>0.81420004159430093</v>
      </c>
      <c r="AU62" s="1">
        <f t="shared" si="17"/>
        <v>-4.1124666250723667</v>
      </c>
      <c r="AV62" s="1">
        <f t="shared" si="17"/>
        <v>-2.692466625072365</v>
      </c>
      <c r="AW62" s="1">
        <f>$J62+SUMPRODUCT(regions!BN61:BU61,regions!BN$204:BU$204)</f>
        <v>-9.9249170798303865E-2</v>
      </c>
      <c r="AX62" s="1">
        <f t="shared" si="17"/>
        <v>-0.3724666250723665</v>
      </c>
      <c r="AY62" s="1">
        <f t="shared" si="17"/>
        <v>0.40753337492763464</v>
      </c>
      <c r="AZ62" s="1">
        <f t="shared" si="26"/>
        <v>0.40753337492763464</v>
      </c>
      <c r="BE62" t="str">
        <f>RehdanzMaddison!P25</f>
        <v>Estonia</v>
      </c>
      <c r="BF62" s="1">
        <f>-100*RehdanzMaddison!U25</f>
        <v>0.30791219108512752</v>
      </c>
      <c r="BG62" s="1">
        <f>-100*RehdanzMaddison!V25</f>
        <v>0.6343396157087281</v>
      </c>
      <c r="BH62" s="1">
        <f>$K62-BF62</f>
        <v>-0.29807630659219458</v>
      </c>
      <c r="BI62" s="1">
        <f>$K62-BG62</f>
        <v>-0.62450373121579517</v>
      </c>
      <c r="BJ62" t="str">
        <f>MaddisonRehdanz!A25</f>
        <v>Estonia</v>
      </c>
      <c r="BK62">
        <f>MaddisonRehdanz!D25</f>
        <v>25.2</v>
      </c>
      <c r="BL62" s="1">
        <f>$K62-BK62</f>
        <v>-25.190164115507066</v>
      </c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</row>
    <row r="63" spans="1:90" x14ac:dyDescent="0.35">
      <c r="A63" t="s">
        <v>141</v>
      </c>
      <c r="B63" s="19">
        <f>regions!B62</f>
        <v>87095281</v>
      </c>
      <c r="C63" s="19">
        <f>regions!C62</f>
        <v>20402844449.621059</v>
      </c>
      <c r="D63" s="8">
        <f>regions!D62</f>
        <v>234.25889686975188</v>
      </c>
      <c r="E63" s="8">
        <f>regions!E62</f>
        <v>8.1634410798229009</v>
      </c>
      <c r="F63" s="8">
        <f>regions!F62</f>
        <v>41.446820069975807</v>
      </c>
      <c r="G63" s="1">
        <f>regions!Z62</f>
        <v>22.2</v>
      </c>
      <c r="J63" s="1">
        <f t="shared" si="30"/>
        <v>1.6919084150667612</v>
      </c>
      <c r="K63" s="1">
        <f t="shared" si="36"/>
        <v>-13.260837872957996</v>
      </c>
      <c r="L63" s="1">
        <f t="shared" si="24"/>
        <v>-12.527168874187124</v>
      </c>
      <c r="M63" s="1">
        <f t="shared" si="25"/>
        <v>7.8896129965933302</v>
      </c>
      <c r="N63" s="1">
        <f t="shared" si="38"/>
        <v>-12.759569455645916</v>
      </c>
      <c r="O63" s="1">
        <f t="shared" si="38"/>
        <v>-15.163140382523295</v>
      </c>
      <c r="P63" s="1">
        <f t="shared" si="38"/>
        <v>-13.163140382523295</v>
      </c>
      <c r="Q63" s="1">
        <f t="shared" si="38"/>
        <v>-13.493140382523295</v>
      </c>
      <c r="R63" s="1">
        <f t="shared" si="38"/>
        <v>-15.763140382523295</v>
      </c>
      <c r="S63" s="1">
        <f>$J63+SUMPRODUCT(regions!EI62:EN62,regions!EI$204:EN$204)</f>
        <v>-8.5691388872265062</v>
      </c>
      <c r="T63" s="1">
        <f>$J63+SUMPRODUCT(regions!EQ62:EV62,regions!EQ$204:EV$204)</f>
        <v>-8.0681509542417764</v>
      </c>
      <c r="U63" s="1">
        <f>$J63+SUMPRODUCT(regions!CM62:CU62,regions!CM$204:CU$204)</f>
        <v>-12.763722077551982</v>
      </c>
      <c r="V63" s="1">
        <f>$J63+SUMPRODUCT(regions!DH62:DM62,regions!DH$204:DM$204)</f>
        <v>-10.49658232177034</v>
      </c>
      <c r="W63" s="1">
        <f>$J63+SUMPRODUCT(regions!DP62:DW62,regions!DP$204:DW$204)</f>
        <v>-12.336139571160841</v>
      </c>
      <c r="X63" s="1">
        <f>$J63+SUMPRODUCT(regions!AB62:AE62,regions!AB$204:AE$204)</f>
        <v>-1.8246089331486806</v>
      </c>
      <c r="Y63" s="1">
        <f>$J63+SUMPRODUCT(regions!BX62:CJ62,regions!BX$204:CJ$204)</f>
        <v>-5.2600983728751025</v>
      </c>
      <c r="Z63" s="1">
        <f>$J63+SUMPRODUCT(regions!CX62:DF62,regions!CX$204:DF$204)</f>
        <v>-8.1637220775519825</v>
      </c>
      <c r="AA63" s="1">
        <f t="shared" si="31"/>
        <v>-10.756139583283797</v>
      </c>
      <c r="AB63" s="1">
        <f t="shared" si="32"/>
        <v>-12.316199934968385</v>
      </c>
      <c r="AC63" s="1">
        <f>$J63+SUMPRODUCT(regions!DZ62:EG62,regions!DZ$204:EG$204)</f>
        <v>-8.7370395711608406</v>
      </c>
      <c r="AD63" s="1">
        <f t="shared" si="39"/>
        <v>-13.153140382523295</v>
      </c>
      <c r="AE63" s="1">
        <f t="shared" si="39"/>
        <v>-14.663140382523295</v>
      </c>
      <c r="AF63" s="1">
        <f t="shared" si="33"/>
        <v>-33.4</v>
      </c>
      <c r="AG63" s="1">
        <f>$J63+SUMPRODUCT(regions!AX62:BK62,regions!AX$204:BK$204)</f>
        <v>-5.0981809259157664</v>
      </c>
      <c r="AH63" s="1">
        <f>$J63+SUMPRODUCT(regions!AG62:AV62,regions!AG$204:AV$204)</f>
        <v>-11.998180925915767</v>
      </c>
      <c r="AI63" s="1">
        <f t="shared" si="37"/>
        <v>-14.163140382523295</v>
      </c>
      <c r="AJ63" s="1">
        <f>SartoriRoson!C60</f>
        <v>-5.82</v>
      </c>
      <c r="AK63" s="1">
        <f>Kompas!E60</f>
        <v>-6.7039999999999997</v>
      </c>
      <c r="AL63" s="1">
        <f>$J63+SUMPRODUCT(regions!EY62:FW62,regions!EY$204:FW$204)</f>
        <v>-5.5873061916311979</v>
      </c>
      <c r="AM63" s="1">
        <f>$J63+SUMPRODUCT(regions!FZ62:GF62,regions!FZ$204:GF$204)</f>
        <v>-2.4597702636536969</v>
      </c>
      <c r="AN63" s="1">
        <f t="shared" si="13"/>
        <v>-21.363140382523294</v>
      </c>
      <c r="AO63" s="1">
        <f t="shared" si="13"/>
        <v>-20.663140382523295</v>
      </c>
      <c r="AP63" s="1">
        <f t="shared" si="13"/>
        <v>-15.863140382523294</v>
      </c>
      <c r="AQ63" s="1">
        <f t="shared" si="14"/>
        <v>-7.0336130715328613</v>
      </c>
      <c r="AR63" s="1">
        <f t="shared" si="14"/>
        <v>-17.163140382523295</v>
      </c>
      <c r="AS63" s="1">
        <f t="shared" si="14"/>
        <v>-14.463140382523296</v>
      </c>
      <c r="AT63" s="1">
        <f t="shared" si="14"/>
        <v>-12.456473715856628</v>
      </c>
      <c r="AU63" s="1">
        <f t="shared" si="17"/>
        <v>-17.383140382523294</v>
      </c>
      <c r="AV63" s="1">
        <f t="shared" si="17"/>
        <v>-15.963140382523296</v>
      </c>
      <c r="AW63" s="1">
        <f>$J63+SUMPRODUCT(regions!BN62:BU62,regions!BN$204:BU$204)</f>
        <v>-10.212880195149138</v>
      </c>
      <c r="AX63" s="1">
        <f t="shared" si="17"/>
        <v>-13.643140382523296</v>
      </c>
      <c r="AY63" s="1">
        <f t="shared" si="17"/>
        <v>-12.863140382523294</v>
      </c>
      <c r="AZ63" s="1">
        <f t="shared" si="26"/>
        <v>-12.863140382523294</v>
      </c>
      <c r="BF63" s="1"/>
      <c r="BG63" s="1"/>
      <c r="BJ63" t="str">
        <f>MaddisonRehdanz!A26</f>
        <v>Ethiopia</v>
      </c>
      <c r="BK63">
        <f>MaddisonRehdanz!D26</f>
        <v>-33.4</v>
      </c>
      <c r="BL63" s="1">
        <f>$K63-BK63</f>
        <v>20.139162127042002</v>
      </c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</row>
    <row r="64" spans="1:90" x14ac:dyDescent="0.35">
      <c r="A64" t="s">
        <v>602</v>
      </c>
      <c r="B64" s="19">
        <f>regions!B63</f>
        <v>49581</v>
      </c>
      <c r="C64" s="19">
        <f>regions!C63</f>
        <v>1812304428.6209128</v>
      </c>
      <c r="D64" s="8">
        <f>regions!D63</f>
        <v>36552.397664849697</v>
      </c>
      <c r="E64" s="8">
        <f>regions!E63</f>
        <v>0</v>
      </c>
      <c r="F64" s="8">
        <f>regions!F63</f>
        <v>0</v>
      </c>
      <c r="G64" s="1">
        <f>regions!Z63</f>
        <v>6.7</v>
      </c>
      <c r="J64" s="1">
        <f t="shared" si="30"/>
        <v>16.66457195775607</v>
      </c>
      <c r="K64" s="1">
        <f>J64+J$4</f>
        <v>1.7118256697313132</v>
      </c>
      <c r="L64" s="1">
        <f t="shared" si="24"/>
        <v>-0.28510051412533755</v>
      </c>
      <c r="M64" s="1">
        <f t="shared" si="25"/>
        <v>5.4113253435323294</v>
      </c>
      <c r="N64" s="1">
        <f t="shared" ref="N64:R64" si="40">$J64+N$3-$J$3</f>
        <v>2.2130940870433928</v>
      </c>
      <c r="O64" s="1">
        <f t="shared" si="40"/>
        <v>-0.19047683983398578</v>
      </c>
      <c r="P64" s="1">
        <f t="shared" si="40"/>
        <v>1.8095231601660142</v>
      </c>
      <c r="Q64" s="1">
        <f t="shared" si="40"/>
        <v>1.4795231601660142</v>
      </c>
      <c r="R64" s="1">
        <f t="shared" si="40"/>
        <v>-0.79047683983398542</v>
      </c>
      <c r="S64" s="1">
        <f>$J64+SUMPRODUCT(regions!EI63:EN63,regions!EI$204:EN$204)</f>
        <v>-0.11744445243707702</v>
      </c>
      <c r="T64" s="1">
        <f>$J64+SUMPRODUCT(regions!EQ63:EV63,regions!EQ$204:EV$204)</f>
        <v>-0.31744445243707631</v>
      </c>
      <c r="U64" s="1">
        <f>$J64+SUMPRODUCT(regions!CM63:CU63,regions!CM$204:CU$204)</f>
        <v>-0.13209312547880714</v>
      </c>
      <c r="V64" s="1">
        <f>$J64+SUMPRODUCT(regions!DH63:DM63,regions!DH$204:DM$204)</f>
        <v>0.1061425739285653</v>
      </c>
      <c r="W64" s="1">
        <f>$J64+SUMPRODUCT(regions!DP63:DW63,regions!DP$204:DW$204)</f>
        <v>-1.7444452437075597E-2</v>
      </c>
      <c r="X64" s="1">
        <f>$J64+SUMPRODUCT(regions!AB63:AE63,regions!AB$204:AE$204)</f>
        <v>1.3208692161539481</v>
      </c>
      <c r="Y64" s="1">
        <f>$J64+SUMPRODUCT(regions!BX63:CJ63,regions!BX$204:CJ$204)</f>
        <v>-1.7228642393120026</v>
      </c>
      <c r="Z64" s="1">
        <f>$J64+SUMPRODUCT(regions!CX63:DF63,regions!CX$204:DF$204)</f>
        <v>4.8679068745211929</v>
      </c>
      <c r="AA64" s="1">
        <f t="shared" si="31"/>
        <v>4.2165239594055119</v>
      </c>
      <c r="AB64" s="1">
        <f t="shared" si="32"/>
        <v>2.6564636077209256</v>
      </c>
      <c r="AC64" s="1">
        <f>$J64+SUMPRODUCT(regions!DZ63:EG63,regions!DZ$204:EG$204)</f>
        <v>5.2555547562924687E-2</v>
      </c>
      <c r="AD64" s="1">
        <f>$J64+AD$3-$J$3</f>
        <v>1.819523160166014</v>
      </c>
      <c r="AE64" s="1">
        <f>$J64+AE$3-$J$3</f>
        <v>0.30952316016601422</v>
      </c>
      <c r="AF64" s="1">
        <f t="shared" si="33"/>
        <v>-25.811419074939359</v>
      </c>
      <c r="AG64" s="1">
        <f>$J64+SUMPRODUCT(regions!AX63:BK63,regions!AX$204:BK$204)</f>
        <v>0.37052399952222714</v>
      </c>
      <c r="AH64" s="1">
        <f>$J64+SUMPRODUCT(regions!AG63:AV63,regions!AG$204:AV$204)</f>
        <v>2.5157061536152607</v>
      </c>
      <c r="AI64" s="1">
        <f>$J64+AI$3-$J$3</f>
        <v>0.80952316016601422</v>
      </c>
      <c r="AJ64" s="1">
        <f>SartoriRoson!C61</f>
        <v>0.01</v>
      </c>
      <c r="AK64" s="1">
        <f>Kompas!E61</f>
        <v>-0.20499999999999999</v>
      </c>
      <c r="AL64" s="1">
        <f>$J64+SUMPRODUCT(regions!EY63:FW63,regions!EY$204:FW$204)</f>
        <v>4.1982927352736965</v>
      </c>
      <c r="AM64" s="1">
        <f>$J64+SUMPRODUCT(regions!FZ63:GF63,regions!FZ$204:GF$204)</f>
        <v>2.3963415829080823</v>
      </c>
      <c r="AN64" s="1">
        <f t="shared" si="13"/>
        <v>-6.3904768398339851</v>
      </c>
      <c r="AO64" s="1">
        <f t="shared" si="13"/>
        <v>-5.6904768398339858</v>
      </c>
      <c r="AP64" s="1">
        <f t="shared" si="13"/>
        <v>-0.89047683983398507</v>
      </c>
      <c r="AQ64" s="1">
        <f t="shared" si="14"/>
        <v>7.9390504711564471</v>
      </c>
      <c r="AR64" s="1">
        <f t="shared" si="14"/>
        <v>-2.1904768398339858</v>
      </c>
      <c r="AS64" s="1">
        <f t="shared" si="14"/>
        <v>0.50952316016601351</v>
      </c>
      <c r="AT64" s="1">
        <f t="shared" si="14"/>
        <v>2.5161898268326812</v>
      </c>
      <c r="AU64" s="1">
        <f t="shared" si="17"/>
        <v>-2.4104768398339846</v>
      </c>
      <c r="AV64" s="1">
        <f t="shared" si="17"/>
        <v>-0.99047683983398649</v>
      </c>
      <c r="AW64" s="1">
        <f>$J64+SUMPRODUCT(regions!BN63:BU63,regions!BN$204:BU$204)</f>
        <v>3.0279179478467899</v>
      </c>
      <c r="AX64" s="1">
        <f t="shared" si="17"/>
        <v>1.3295231601660138</v>
      </c>
      <c r="AY64" s="1">
        <f t="shared" si="17"/>
        <v>2.1095231601660149</v>
      </c>
      <c r="AZ64" s="1">
        <f t="shared" si="26"/>
        <v>2.1095231601660149</v>
      </c>
      <c r="BF64" s="1"/>
      <c r="BG64" s="1"/>
      <c r="BL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</row>
    <row r="65" spans="1:90" x14ac:dyDescent="0.35">
      <c r="A65" t="s">
        <v>370</v>
      </c>
      <c r="B65" s="19">
        <f>regions!B64</f>
        <v>860559</v>
      </c>
      <c r="C65" s="19">
        <f>regions!C64</f>
        <v>3032066121.2225323</v>
      </c>
      <c r="D65" s="8">
        <f>regions!D64</f>
        <v>3523.3680912320156</v>
      </c>
      <c r="E65" s="8">
        <f>regions!E64</f>
        <v>21.779046862478342</v>
      </c>
      <c r="F65" s="8">
        <f>regions!F64</f>
        <v>9.3818973756241242</v>
      </c>
      <c r="G65" s="1">
        <f>regions!Z64</f>
        <v>24.4</v>
      </c>
      <c r="J65" s="1">
        <f t="shared" si="30"/>
        <v>5.8161658878965952</v>
      </c>
      <c r="K65" s="1">
        <f t="shared" ref="K65:K73" si="41">J65+J$4</f>
        <v>-9.1365804001281621</v>
      </c>
      <c r="L65" s="1">
        <f t="shared" si="24"/>
        <v>-9.3833269436885249</v>
      </c>
      <c r="M65" s="1">
        <f t="shared" si="25"/>
        <v>7.2042420623156334</v>
      </c>
      <c r="N65" s="1">
        <f t="shared" ref="N65:R73" si="42">$J65+N$3-$J$3</f>
        <v>-8.6353119828160825</v>
      </c>
      <c r="O65" s="1">
        <f t="shared" si="42"/>
        <v>-11.038882909693461</v>
      </c>
      <c r="P65" s="1">
        <f t="shared" si="42"/>
        <v>-9.0388829096934611</v>
      </c>
      <c r="Q65" s="1">
        <f t="shared" si="42"/>
        <v>-9.3688829096934612</v>
      </c>
      <c r="R65" s="1">
        <f t="shared" si="42"/>
        <v>-11.638882909693461</v>
      </c>
      <c r="S65" s="1">
        <f>$J65+SUMPRODUCT(regions!EI64:EN64,regions!EI$204:EN$204)</f>
        <v>-4.4448814143966722</v>
      </c>
      <c r="T65" s="1">
        <f>$J65+SUMPRODUCT(regions!EQ64:EV64,regions!EQ$204:EV$204)</f>
        <v>-3.9438934814119424</v>
      </c>
      <c r="U65" s="1">
        <f>$J65+SUMPRODUCT(regions!CM64:CU64,regions!CM$204:CU$204)</f>
        <v>-9.9818399844413968</v>
      </c>
      <c r="V65" s="1">
        <f>$J65+SUMPRODUCT(regions!DH64:DM64,regions!DH$204:DM$204)</f>
        <v>-6.3723248489405062</v>
      </c>
      <c r="W65" s="1">
        <f>$J65+SUMPRODUCT(regions!DP64:DW64,regions!DP$204:DW$204)</f>
        <v>-10.156390150191097</v>
      </c>
      <c r="X65" s="1">
        <f>$J65+SUMPRODUCT(regions!AB64:AE64,regions!AB$204:AE$204)</f>
        <v>-3.3222392694434042</v>
      </c>
      <c r="Y65" s="1">
        <f>$J65+SUMPRODUCT(regions!BX64:CJ64,regions!BX$204:CJ$204)</f>
        <v>-4.7311062260632148</v>
      </c>
      <c r="Z65" s="1">
        <f>$J65+SUMPRODUCT(regions!CX64:DF64,regions!CX$204:DF$204)</f>
        <v>-3.0818399844413982</v>
      </c>
      <c r="AA65" s="1">
        <f t="shared" si="31"/>
        <v>-6.6318821104539634</v>
      </c>
      <c r="AB65" s="1">
        <f t="shared" si="32"/>
        <v>-8.1919424621385506</v>
      </c>
      <c r="AC65" s="1">
        <f>$J65+SUMPRODUCT(regions!DZ64:EG64,regions!DZ$204:EG$204)</f>
        <v>-4.6513901501910979</v>
      </c>
      <c r="AD65" s="1">
        <f t="shared" ref="AD65:AE73" si="43">$J65+AD$3-$J$3</f>
        <v>-9.0288829096934613</v>
      </c>
      <c r="AE65" s="1">
        <f t="shared" si="43"/>
        <v>-10.538882909693461</v>
      </c>
      <c r="AF65" s="1">
        <f t="shared" si="33"/>
        <v>-36.65982514479883</v>
      </c>
      <c r="AG65" s="1">
        <f>$J65+SUMPRODUCT(regions!AX64:BK64,regions!AX$204:BK$204)</f>
        <v>-3.0803404888107977</v>
      </c>
      <c r="AH65" s="1">
        <f>$J65+SUMPRODUCT(regions!AG64:AV64,regions!AG$204:AV$204)</f>
        <v>-10.834598813691727</v>
      </c>
      <c r="AI65" s="1">
        <f t="shared" ref="AI65:AI73" si="44">$J65+AI$3-$J$3</f>
        <v>-10.038882909693461</v>
      </c>
      <c r="AJ65" s="1">
        <f>SartoriRoson!C62</f>
        <v>-2.02</v>
      </c>
      <c r="AK65" s="1">
        <f>Kompas!E62</f>
        <v>-5.1710000000000003</v>
      </c>
      <c r="AL65" s="1">
        <f>$J65+SUMPRODUCT(regions!EY64:FW64,regions!EY$204:FW$204)</f>
        <v>-4.4369221645839723</v>
      </c>
      <c r="AM65" s="1">
        <f>$J65+SUMPRODUCT(regions!FZ64:GF64,regions!FZ$204:GF$204)</f>
        <v>-4.9142701383458363</v>
      </c>
      <c r="AN65" s="1">
        <f t="shared" si="13"/>
        <v>-17.238882909693459</v>
      </c>
      <c r="AO65" s="1">
        <f t="shared" si="13"/>
        <v>-16.538882909693463</v>
      </c>
      <c r="AP65" s="1">
        <f t="shared" si="13"/>
        <v>-11.738882909693462</v>
      </c>
      <c r="AQ65" s="1">
        <f t="shared" si="14"/>
        <v>-2.9093555987030282</v>
      </c>
      <c r="AR65" s="1">
        <f t="shared" si="14"/>
        <v>-13.038882909693461</v>
      </c>
      <c r="AS65" s="1">
        <f t="shared" si="14"/>
        <v>-10.33888290969346</v>
      </c>
      <c r="AT65" s="1">
        <f t="shared" si="14"/>
        <v>-8.3322162430267941</v>
      </c>
      <c r="AU65" s="1">
        <f t="shared" si="17"/>
        <v>-13.258882909693462</v>
      </c>
      <c r="AV65" s="1">
        <f t="shared" si="17"/>
        <v>-11.83888290969346</v>
      </c>
      <c r="AW65" s="1">
        <f>$J65+SUMPRODUCT(regions!BN64:BU64,regions!BN$204:BU$204)</f>
        <v>-7.8204881220126854</v>
      </c>
      <c r="AX65" s="1">
        <f t="shared" si="17"/>
        <v>-9.5188829096934615</v>
      </c>
      <c r="AY65" s="1">
        <f t="shared" si="17"/>
        <v>-8.7388829096934622</v>
      </c>
      <c r="AZ65" s="1">
        <f t="shared" si="26"/>
        <v>-8.7388829096934622</v>
      </c>
      <c r="BF65" s="1"/>
      <c r="BG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</row>
    <row r="66" spans="1:90" x14ac:dyDescent="0.35">
      <c r="A66" t="s">
        <v>142</v>
      </c>
      <c r="B66" s="19">
        <f>regions!B65</f>
        <v>5363352</v>
      </c>
      <c r="C66" s="19">
        <f>regions!C65</f>
        <v>204154134528.24445</v>
      </c>
      <c r="D66" s="8">
        <f>regions!D65</f>
        <v>38064.653322818347</v>
      </c>
      <c r="E66" s="8">
        <f>regions!E65</f>
        <v>18.704970603955104</v>
      </c>
      <c r="F66" s="8">
        <f>regions!F65</f>
        <v>2.388027792624265</v>
      </c>
      <c r="G66" s="1">
        <f>regions!Z65</f>
        <v>1.7</v>
      </c>
      <c r="J66" s="1">
        <f t="shared" si="30"/>
        <v>18.598123243597254</v>
      </c>
      <c r="K66" s="1">
        <f t="shared" si="41"/>
        <v>3.6453769555724964</v>
      </c>
      <c r="L66" s="1">
        <f t="shared" si="24"/>
        <v>2.283341372138012</v>
      </c>
      <c r="M66" s="1">
        <f t="shared" si="25"/>
        <v>3.8145046966488159</v>
      </c>
      <c r="N66" s="1">
        <f t="shared" si="42"/>
        <v>4.146645372884576</v>
      </c>
      <c r="O66" s="1">
        <f t="shared" si="42"/>
        <v>1.7430744460071974</v>
      </c>
      <c r="P66" s="1">
        <f t="shared" si="42"/>
        <v>3.7430744460071974</v>
      </c>
      <c r="Q66" s="1">
        <f t="shared" si="42"/>
        <v>3.4130744460071956</v>
      </c>
      <c r="R66" s="1">
        <f t="shared" si="42"/>
        <v>1.1430744460071978</v>
      </c>
      <c r="S66" s="1">
        <f>$J66+SUMPRODUCT(regions!EI65:EN65,regions!EI$204:EN$204)</f>
        <v>1.8161068334041062</v>
      </c>
      <c r="T66" s="1">
        <f>$J66+SUMPRODUCT(regions!EQ65:EV65,regions!EQ$204:EV$204)</f>
        <v>1.6161068334041069</v>
      </c>
      <c r="U66" s="1">
        <f>$J66+SUMPRODUCT(regions!CM65:CU65,regions!CM$204:CU$204)</f>
        <v>1.801458160362376</v>
      </c>
      <c r="V66" s="1">
        <f>$J66+SUMPRODUCT(regions!DH65:DM65,regions!DH$204:DM$204)</f>
        <v>2.0396938597697485</v>
      </c>
      <c r="W66" s="1">
        <f>$J66+SUMPRODUCT(regions!DP65:DW65,regions!DP$204:DW$204)</f>
        <v>1.9161068334041076</v>
      </c>
      <c r="X66" s="1">
        <f>$J66+SUMPRODUCT(regions!AB65:AE65,regions!AB$204:AE$204)</f>
        <v>3.2544205019951313</v>
      </c>
      <c r="Y66" s="1">
        <f>$J66+SUMPRODUCT(regions!BX65:CJ65,regions!BX$204:CJ$204)</f>
        <v>0.21068704652918058</v>
      </c>
      <c r="Z66" s="1">
        <f>$J66+SUMPRODUCT(regions!CX65:DF65,regions!CX$204:DF$204)</f>
        <v>6.801458160362376</v>
      </c>
      <c r="AA66" s="1">
        <f t="shared" si="31"/>
        <v>2.1</v>
      </c>
      <c r="AB66" s="1">
        <f t="shared" si="32"/>
        <v>1.6090255566122469</v>
      </c>
      <c r="AC66" s="1">
        <f>$J66+SUMPRODUCT(regions!DZ65:EG65,regions!DZ$204:EG$204)</f>
        <v>1.9861068334041079</v>
      </c>
      <c r="AD66" s="1">
        <f t="shared" si="43"/>
        <v>3.753074446007199</v>
      </c>
      <c r="AE66" s="1">
        <f t="shared" si="43"/>
        <v>2.2430744460071974</v>
      </c>
      <c r="AF66" s="1">
        <f t="shared" si="33"/>
        <v>14</v>
      </c>
      <c r="AG66" s="1">
        <f>$J66+SUMPRODUCT(regions!AX65:BK65,regions!AX$204:BK$204)</f>
        <v>2.3040752853634103</v>
      </c>
      <c r="AH66" s="1">
        <f>$J66+SUMPRODUCT(regions!AG65:AV65,regions!AG$204:AV$204)</f>
        <v>4.4492574394564439</v>
      </c>
      <c r="AI66" s="1">
        <f t="shared" si="44"/>
        <v>2.7430744460071974</v>
      </c>
      <c r="AJ66" s="1">
        <f>SartoriRoson!C63</f>
        <v>1.48</v>
      </c>
      <c r="AK66" s="1">
        <f>Kompas!E63</f>
        <v>-0.254</v>
      </c>
      <c r="AL66" s="1">
        <f>$J66+SUMPRODUCT(regions!EY65:FW65,regions!EY$204:FW$204)</f>
        <v>2.9941257741893903</v>
      </c>
      <c r="AM66" s="1">
        <f>$J66+SUMPRODUCT(regions!FZ65:GF65,regions!FZ$204:GF$204)</f>
        <v>4.3298928687492655</v>
      </c>
      <c r="AN66" s="1">
        <f t="shared" si="13"/>
        <v>-4.4569255539928019</v>
      </c>
      <c r="AO66" s="1">
        <f t="shared" si="13"/>
        <v>-3.7569255539928026</v>
      </c>
      <c r="AP66" s="1">
        <f t="shared" si="13"/>
        <v>1.0430744460071981</v>
      </c>
      <c r="AQ66" s="1">
        <f t="shared" si="14"/>
        <v>9.8726017569976303</v>
      </c>
      <c r="AR66" s="1">
        <f t="shared" si="14"/>
        <v>-0.25692555399280259</v>
      </c>
      <c r="AS66" s="1">
        <f t="shared" si="14"/>
        <v>2.4430744460071967</v>
      </c>
      <c r="AT66" s="1">
        <f t="shared" si="14"/>
        <v>4.4497411126738644</v>
      </c>
      <c r="AU66" s="1">
        <f t="shared" si="17"/>
        <v>-0.47692555399280145</v>
      </c>
      <c r="AV66" s="1">
        <f t="shared" si="17"/>
        <v>0.9430744460071967</v>
      </c>
      <c r="AW66" s="1">
        <f>$J66+SUMPRODUCT(regions!BN65:BU65,regions!BN$204:BU$204)</f>
        <v>4.4592202618586985</v>
      </c>
      <c r="AX66" s="1">
        <f t="shared" si="17"/>
        <v>3.263074446007197</v>
      </c>
      <c r="AY66" s="1">
        <f t="shared" si="17"/>
        <v>4.0430744460071981</v>
      </c>
      <c r="AZ66" s="1">
        <f t="shared" si="26"/>
        <v>4.0430744460071981</v>
      </c>
      <c r="BB66" t="str">
        <f>Maddison!A26</f>
        <v>Finland</v>
      </c>
      <c r="BC66">
        <f>-Maddison!B26</f>
        <v>2.1</v>
      </c>
      <c r="BD66" s="1">
        <f>K66-BC66</f>
        <v>1.5453769555724963</v>
      </c>
      <c r="BE66" t="str">
        <f>RehdanzMaddison!P26</f>
        <v>Finland</v>
      </c>
      <c r="BF66" s="1">
        <f>-100*RehdanzMaddison!U26</f>
        <v>0.93682713192144473</v>
      </c>
      <c r="BG66" s="1">
        <f>-100*RehdanzMaddison!V26</f>
        <v>1.6090255566122469</v>
      </c>
      <c r="BH66" s="1">
        <f>$K66-BF66</f>
        <v>2.7085498236510519</v>
      </c>
      <c r="BI66" s="1">
        <f>$K66-BG66</f>
        <v>2.0363513989602495</v>
      </c>
      <c r="BJ66" t="str">
        <f>MaddisonRehdanz!A27</f>
        <v>Finland</v>
      </c>
      <c r="BK66">
        <f>MaddisonRehdanz!D27</f>
        <v>14</v>
      </c>
      <c r="BL66" s="1">
        <f>$K66-BK66</f>
        <v>-10.354623044427504</v>
      </c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</row>
    <row r="67" spans="1:90" x14ac:dyDescent="0.35">
      <c r="A67" t="s">
        <v>143</v>
      </c>
      <c r="B67" s="19">
        <f>regions!B66</f>
        <v>65031235</v>
      </c>
      <c r="C67" s="19">
        <f>regions!C66</f>
        <v>2204446339914.4404</v>
      </c>
      <c r="D67" s="8">
        <f>regions!D66</f>
        <v>33898.26965325878</v>
      </c>
      <c r="E67" s="8">
        <f>regions!E66</f>
        <v>21.951957836684311</v>
      </c>
      <c r="F67" s="8">
        <f>regions!F66</f>
        <v>1.6040282886338773</v>
      </c>
      <c r="G67" s="1">
        <f>regions!Z66</f>
        <v>10.7</v>
      </c>
      <c r="J67" s="1">
        <f t="shared" si="30"/>
        <v>15.039417825172626</v>
      </c>
      <c r="K67" s="1">
        <f t="shared" si="41"/>
        <v>8.6671537147868349E-2</v>
      </c>
      <c r="L67" s="1">
        <f t="shared" si="24"/>
        <v>-1.1225553826912369</v>
      </c>
      <c r="M67" s="1">
        <f t="shared" si="25"/>
        <v>2.7190380228612998</v>
      </c>
      <c r="N67" s="1">
        <f t="shared" si="42"/>
        <v>0.58793995445994796</v>
      </c>
      <c r="O67" s="1">
        <f t="shared" si="42"/>
        <v>-1.8156309724174307</v>
      </c>
      <c r="P67" s="1">
        <f t="shared" si="42"/>
        <v>0.18436902758256934</v>
      </c>
      <c r="Q67" s="1">
        <f t="shared" si="42"/>
        <v>-0.14563097241743073</v>
      </c>
      <c r="R67" s="1">
        <f t="shared" si="42"/>
        <v>-2.4156309724174303</v>
      </c>
      <c r="S67" s="1">
        <f>$J67+SUMPRODUCT(regions!EI66:EN66,regions!EI$204:EN$204)</f>
        <v>-1.7425985850205219</v>
      </c>
      <c r="T67" s="1">
        <f>$J67+SUMPRODUCT(regions!EQ66:EV66,regions!EQ$204:EV$204)</f>
        <v>-1.9425985850205212</v>
      </c>
      <c r="U67" s="1">
        <f>$J67+SUMPRODUCT(regions!CM66:CU66,regions!CM$204:CU$204)</f>
        <v>-1.757247258062252</v>
      </c>
      <c r="V67" s="1">
        <f>$J67+SUMPRODUCT(regions!DH66:DM66,regions!DH$204:DM$204)</f>
        <v>-1.5190115586548796</v>
      </c>
      <c r="W67" s="1">
        <f>$J67+SUMPRODUCT(regions!DP66:DW66,regions!DP$204:DW$204)</f>
        <v>-1.6425985850205205</v>
      </c>
      <c r="X67" s="1">
        <f>$J67+SUMPRODUCT(regions!AB66:AE66,regions!AB$204:AE$204)</f>
        <v>-0.30428491642949673</v>
      </c>
      <c r="Y67" s="1">
        <f>$J67+SUMPRODUCT(regions!BX66:CJ66,regions!BX$204:CJ$204)</f>
        <v>-3.3480183718954475</v>
      </c>
      <c r="Z67" s="1">
        <f>$J67+SUMPRODUCT(regions!CX66:DF66,regions!CX$204:DF$204)</f>
        <v>3.242752741937748</v>
      </c>
      <c r="AA67" s="1">
        <f t="shared" si="31"/>
        <v>2</v>
      </c>
      <c r="AB67" s="1">
        <f t="shared" si="32"/>
        <v>-0.61985464788997069</v>
      </c>
      <c r="AC67" s="1">
        <f>$J67+SUMPRODUCT(regions!DZ66:EG66,regions!DZ$204:EG$204)</f>
        <v>-1.5725985850205202</v>
      </c>
      <c r="AD67" s="1">
        <f t="shared" si="43"/>
        <v>0.19436902758256913</v>
      </c>
      <c r="AE67" s="1">
        <f t="shared" si="43"/>
        <v>-1.3156309724174307</v>
      </c>
      <c r="AF67" s="1">
        <f t="shared" si="33"/>
        <v>3.7</v>
      </c>
      <c r="AG67" s="1">
        <f>$J67+SUMPRODUCT(regions!AX66:BK66,regions!AX$204:BK$204)</f>
        <v>0.83663143637185122</v>
      </c>
      <c r="AH67" s="1">
        <f>$J67+SUMPRODUCT(regions!AG66:AV66,regions!AG$204:AV$204)</f>
        <v>0.89055202103181585</v>
      </c>
      <c r="AI67" s="1">
        <f t="shared" si="44"/>
        <v>-0.81563097241743066</v>
      </c>
      <c r="AJ67" s="1">
        <f>SartoriRoson!C64</f>
        <v>0.3</v>
      </c>
      <c r="AK67" s="1">
        <f>Kompas!E64</f>
        <v>-0.45500000000000002</v>
      </c>
      <c r="AL67" s="1">
        <f>$J67+SUMPRODUCT(regions!EY66:FW66,regions!EY$204:FW$204)</f>
        <v>-0.47995022106944063</v>
      </c>
      <c r="AM67" s="1">
        <f>$J67+SUMPRODUCT(regions!FZ66:GF66,regions!FZ$204:GF$204)</f>
        <v>0.77118745032463742</v>
      </c>
      <c r="AN67" s="1">
        <f t="shared" si="13"/>
        <v>-8.0156309724174299</v>
      </c>
      <c r="AO67" s="1">
        <f t="shared" si="13"/>
        <v>-7.3156309724174307</v>
      </c>
      <c r="AP67" s="1">
        <f t="shared" si="13"/>
        <v>-2.5156309724174317</v>
      </c>
      <c r="AQ67" s="1">
        <f t="shared" si="14"/>
        <v>6.313896338573004</v>
      </c>
      <c r="AR67" s="1">
        <f t="shared" si="14"/>
        <v>-3.8156309724174307</v>
      </c>
      <c r="AS67" s="1">
        <f t="shared" si="14"/>
        <v>-1.1156309724174296</v>
      </c>
      <c r="AT67" s="1">
        <f t="shared" si="14"/>
        <v>0.89103569424923634</v>
      </c>
      <c r="AU67" s="1">
        <f t="shared" si="17"/>
        <v>-4.0356309724174313</v>
      </c>
      <c r="AV67" s="1">
        <f t="shared" si="17"/>
        <v>-2.6156309724174296</v>
      </c>
      <c r="AW67" s="1">
        <f>$J67+SUMPRODUCT(regions!BN66:BU66,regions!BN$204:BU$204)</f>
        <v>0.9005148434340704</v>
      </c>
      <c r="AX67" s="1">
        <f t="shared" si="17"/>
        <v>-0.29563097241743108</v>
      </c>
      <c r="AY67" s="1">
        <f t="shared" si="17"/>
        <v>0.48436902758257006</v>
      </c>
      <c r="AZ67" s="1">
        <f t="shared" si="26"/>
        <v>0.48436902758257006</v>
      </c>
      <c r="BB67" t="str">
        <f>Maddison!A27</f>
        <v>France</v>
      </c>
      <c r="BC67">
        <f>-Maddison!B27</f>
        <v>2</v>
      </c>
      <c r="BD67" s="1">
        <f>K67-BC67</f>
        <v>-1.9133284628521317</v>
      </c>
      <c r="BE67" t="str">
        <f>RehdanzMaddison!P27</f>
        <v>France</v>
      </c>
      <c r="BF67" s="1">
        <f>-100*RehdanzMaddison!U27</f>
        <v>-0.36512188163593029</v>
      </c>
      <c r="BG67" s="1">
        <f>-100*RehdanzMaddison!V27</f>
        <v>-0.61985464788997069</v>
      </c>
      <c r="BH67" s="1">
        <f>$K67-BF67</f>
        <v>0.45179341878379864</v>
      </c>
      <c r="BI67" s="1">
        <f>$K67-BG67</f>
        <v>0.70652618503783904</v>
      </c>
      <c r="BJ67" t="str">
        <f>MaddisonRehdanz!A28</f>
        <v>France</v>
      </c>
      <c r="BK67">
        <f>MaddisonRehdanz!D28</f>
        <v>3.7</v>
      </c>
      <c r="BL67" s="1">
        <f>$K67-BK67</f>
        <v>-3.6133284628521318</v>
      </c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</row>
    <row r="68" spans="1:90" x14ac:dyDescent="0.35">
      <c r="A68" t="s">
        <v>371</v>
      </c>
      <c r="B68" s="19">
        <f>regions!B67</f>
        <v>1556222</v>
      </c>
      <c r="C68" s="19">
        <f>regions!C67</f>
        <v>9684595588.4366875</v>
      </c>
      <c r="D68" s="8">
        <f>regions!D67</f>
        <v>6223.1452764687092</v>
      </c>
      <c r="E68" s="8">
        <f>regions!E67</f>
        <v>0</v>
      </c>
      <c r="F68" s="8">
        <f>regions!F67</f>
        <v>3.9144484286015606</v>
      </c>
      <c r="G68" s="1">
        <f>regions!Z67</f>
        <v>25</v>
      </c>
      <c r="J68" s="1">
        <f t="shared" si="30"/>
        <v>6.6302073568216358</v>
      </c>
      <c r="K68" s="1">
        <f t="shared" si="41"/>
        <v>-8.3225389312031215</v>
      </c>
      <c r="L68" s="1">
        <f t="shared" si="24"/>
        <v>-8.2033344939755999</v>
      </c>
      <c r="M68" s="1">
        <f t="shared" si="25"/>
        <v>7.2012678056620167</v>
      </c>
      <c r="N68" s="1">
        <f t="shared" si="42"/>
        <v>-7.8212705138910419</v>
      </c>
      <c r="O68" s="1">
        <f t="shared" si="42"/>
        <v>-10.22484144076842</v>
      </c>
      <c r="P68" s="1">
        <f t="shared" si="42"/>
        <v>-8.2248414407684205</v>
      </c>
      <c r="Q68" s="1">
        <f t="shared" si="42"/>
        <v>-8.5548414407684206</v>
      </c>
      <c r="R68" s="1">
        <f t="shared" si="42"/>
        <v>-10.82484144076842</v>
      </c>
      <c r="S68" s="1">
        <f>$J68+SUMPRODUCT(regions!EI67:EN67,regions!EI$204:EN$204)</f>
        <v>-3.6308399454716316</v>
      </c>
      <c r="T68" s="1">
        <f>$J68+SUMPRODUCT(regions!EQ67:EV67,regions!EQ$204:EV$204)</f>
        <v>-3.1298520124869018</v>
      </c>
      <c r="U68" s="1">
        <f>$J68+SUMPRODUCT(regions!CM67:CU67,regions!CM$204:CU$204)</f>
        <v>-7.8254231357971076</v>
      </c>
      <c r="V68" s="1">
        <f>$J68+SUMPRODUCT(regions!DH67:DM67,regions!DH$204:DM$204)</f>
        <v>-5.5582833800154656</v>
      </c>
      <c r="W68" s="1">
        <f>$J68+SUMPRODUCT(regions!DP67:DW67,regions!DP$204:DW$204)</f>
        <v>-7.397840629405966</v>
      </c>
      <c r="X68" s="1">
        <f>$J68+SUMPRODUCT(regions!AB67:AE67,regions!AB$204:AE$204)</f>
        <v>-3.3234314291576617</v>
      </c>
      <c r="Y68" s="1">
        <f>$J68+SUMPRODUCT(regions!BX67:CJ67,regions!BX$204:CJ$204)</f>
        <v>-5.7551153924086016</v>
      </c>
      <c r="Z68" s="1">
        <f>$J68+SUMPRODUCT(regions!CX67:DF67,regions!CX$204:DF$204)</f>
        <v>-3.2254231357971079</v>
      </c>
      <c r="AA68" s="1">
        <f t="shared" si="31"/>
        <v>-5.8178406415289228</v>
      </c>
      <c r="AB68" s="1">
        <f t="shared" si="32"/>
        <v>-7.3779009932135091</v>
      </c>
      <c r="AC68" s="1">
        <f>$J68+SUMPRODUCT(regions!DZ67:EG67,regions!DZ$204:EG$204)</f>
        <v>-3.798740629405966</v>
      </c>
      <c r="AD68" s="1">
        <f t="shared" si="43"/>
        <v>-8.2148414407684207</v>
      </c>
      <c r="AE68" s="1">
        <f t="shared" si="43"/>
        <v>-9.7248414407684205</v>
      </c>
      <c r="AF68" s="1">
        <f t="shared" si="33"/>
        <v>-35.84578367587379</v>
      </c>
      <c r="AG68" s="1">
        <f>$J68+SUMPRODUCT(regions!AX67:BK67,regions!AX$204:BK$204)</f>
        <v>-0.15988198416089183</v>
      </c>
      <c r="AH68" s="1">
        <f>$J68+SUMPRODUCT(regions!AG67:AV67,regions!AG$204:AV$204)</f>
        <v>-7.0598819841608922</v>
      </c>
      <c r="AI68" s="1">
        <f t="shared" si="44"/>
        <v>-9.2248414407684205</v>
      </c>
      <c r="AJ68" s="1">
        <f>SartoriRoson!C65</f>
        <v>-2.38</v>
      </c>
      <c r="AK68" s="1">
        <f>Kompas!E65</f>
        <v>-4.9770000000000003</v>
      </c>
      <c r="AL68" s="1">
        <f>$J68+SUMPRODUCT(regions!EY67:FW67,regions!EY$204:FW$204)</f>
        <v>-0.6490072498763233</v>
      </c>
      <c r="AM68" s="1">
        <f>$J68+SUMPRODUCT(regions!FZ67:GF67,regions!FZ$204:GF$204)</f>
        <v>2.4785286781011777</v>
      </c>
      <c r="AN68" s="1">
        <f t="shared" si="13"/>
        <v>-16.424841440768418</v>
      </c>
      <c r="AO68" s="1">
        <f t="shared" si="13"/>
        <v>-15.72484144076842</v>
      </c>
      <c r="AP68" s="1">
        <f t="shared" si="13"/>
        <v>-10.924841440768422</v>
      </c>
      <c r="AQ68" s="1">
        <f t="shared" si="14"/>
        <v>-2.0953141297779876</v>
      </c>
      <c r="AR68" s="1">
        <f t="shared" si="14"/>
        <v>-12.22484144076842</v>
      </c>
      <c r="AS68" s="1">
        <f t="shared" si="14"/>
        <v>-9.5248414407684194</v>
      </c>
      <c r="AT68" s="1">
        <f t="shared" si="14"/>
        <v>-7.5181747741017535</v>
      </c>
      <c r="AU68" s="1">
        <f t="shared" si="17"/>
        <v>-12.444841440768421</v>
      </c>
      <c r="AV68" s="1">
        <f t="shared" si="17"/>
        <v>-11.024841440768419</v>
      </c>
      <c r="AW68" s="1">
        <f>$J68+SUMPRODUCT(regions!BN67:BU67,regions!BN$204:BU$204)</f>
        <v>-5.2745812533942633</v>
      </c>
      <c r="AX68" s="1">
        <f t="shared" si="17"/>
        <v>-8.7048414407684209</v>
      </c>
      <c r="AY68" s="1">
        <f t="shared" si="17"/>
        <v>-7.9248414407684207</v>
      </c>
      <c r="AZ68" s="1">
        <f t="shared" si="26"/>
        <v>-7.9248414407684207</v>
      </c>
      <c r="BF68" s="1"/>
      <c r="BG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</row>
    <row r="69" spans="1:90" x14ac:dyDescent="0.35">
      <c r="A69" t="s">
        <v>372</v>
      </c>
      <c r="B69" s="19">
        <f>regions!B68</f>
        <v>1680640</v>
      </c>
      <c r="C69" s="19">
        <f>regions!C68</f>
        <v>784275580.67721629</v>
      </c>
      <c r="D69" s="8">
        <f>regions!D68</f>
        <v>466.6529302392043</v>
      </c>
      <c r="E69" s="8">
        <f>regions!E68</f>
        <v>0</v>
      </c>
      <c r="F69" s="8">
        <f>regions!F68</f>
        <v>28.952685469957238</v>
      </c>
      <c r="G69" s="1">
        <f>regions!Z68</f>
        <v>27.5</v>
      </c>
      <c r="J69" s="1">
        <f t="shared" ref="J69:J100" si="45">I$1+I$2*LN(D69)+I$3*G69</f>
        <v>0.97723628210627567</v>
      </c>
      <c r="K69" s="1">
        <f t="shared" si="41"/>
        <v>-13.975510005918482</v>
      </c>
      <c r="L69" s="1">
        <f t="shared" si="24"/>
        <v>-13.628167631550371</v>
      </c>
      <c r="M69" s="1">
        <f t="shared" si="25"/>
        <v>8.8537033278714112</v>
      </c>
      <c r="N69" s="1">
        <f t="shared" si="42"/>
        <v>-13.474241588606402</v>
      </c>
      <c r="O69" s="1">
        <f t="shared" si="42"/>
        <v>-15.877812515483781</v>
      </c>
      <c r="P69" s="1">
        <f t="shared" si="42"/>
        <v>-13.877812515483781</v>
      </c>
      <c r="Q69" s="1">
        <f t="shared" si="42"/>
        <v>-14.207812515483781</v>
      </c>
      <c r="R69" s="1">
        <f t="shared" si="42"/>
        <v>-16.47781251548378</v>
      </c>
      <c r="S69" s="1">
        <f>$J69+SUMPRODUCT(regions!EI68:EN68,regions!EI$204:EN$204)</f>
        <v>-9.2838110201869917</v>
      </c>
      <c r="T69" s="1">
        <f>$J69+SUMPRODUCT(regions!EQ68:EV68,regions!EQ$204:EV$204)</f>
        <v>-8.7828230872022619</v>
      </c>
      <c r="U69" s="1">
        <f>$J69+SUMPRODUCT(regions!CM68:CU68,regions!CM$204:CU$204)</f>
        <v>-13.478394210512468</v>
      </c>
      <c r="V69" s="1">
        <f>$J69+SUMPRODUCT(regions!DH68:DM68,regions!DH$204:DM$204)</f>
        <v>-11.211254454730826</v>
      </c>
      <c r="W69" s="1">
        <f>$J69+SUMPRODUCT(regions!DP68:DW68,regions!DP$204:DW$204)</f>
        <v>-13.050811704121326</v>
      </c>
      <c r="X69" s="1">
        <f>$J69+SUMPRODUCT(regions!AB68:AE68,regions!AB$204:AE$204)</f>
        <v>-2.539281066109166</v>
      </c>
      <c r="Y69" s="1">
        <f>$J69+SUMPRODUCT(regions!BX68:CJ68,regions!BX$204:CJ$204)</f>
        <v>-5.974770505835588</v>
      </c>
      <c r="Z69" s="1">
        <f>$J69+SUMPRODUCT(regions!CX68:DF68,regions!CX$204:DF$204)</f>
        <v>-8.878394210512468</v>
      </c>
      <c r="AA69" s="1">
        <f t="shared" ref="AA69:AA100" si="46">IF(ISNUMBER(BC69),BC69,K69-BD$4)</f>
        <v>-11.470811716244283</v>
      </c>
      <c r="AB69" s="1">
        <f t="shared" ref="AB69:AB100" si="47">IF(ISNUMBER(BG69),BG69,K69-BI$4)</f>
        <v>-13.03087206792887</v>
      </c>
      <c r="AC69" s="1">
        <f>$J69+SUMPRODUCT(regions!DZ68:EG68,regions!DZ$204:EG$204)</f>
        <v>-9.4517117041213261</v>
      </c>
      <c r="AD69" s="1">
        <f t="shared" si="43"/>
        <v>-13.867812515483781</v>
      </c>
      <c r="AE69" s="1">
        <f t="shared" si="43"/>
        <v>-15.377812515483781</v>
      </c>
      <c r="AF69" s="1">
        <f t="shared" ref="AF69:AF100" si="48">IF(ISNUMBER(BK69),BK69,K69-BL$4)</f>
        <v>-41.49875475058915</v>
      </c>
      <c r="AG69" s="1">
        <f>$J69+SUMPRODUCT(regions!AX68:BK68,regions!AX$204:BK$204)</f>
        <v>-5.8128530588762519</v>
      </c>
      <c r="AH69" s="1">
        <f>$J69+SUMPRODUCT(regions!AG68:AV68,regions!AG$204:AV$204)</f>
        <v>-12.712853058876252</v>
      </c>
      <c r="AI69" s="1">
        <f t="shared" si="44"/>
        <v>-14.877812515483781</v>
      </c>
      <c r="AJ69" s="1">
        <f>SartoriRoson!C66</f>
        <v>-6.07</v>
      </c>
      <c r="AK69" s="1">
        <f>Kompas!E66</f>
        <v>-15.566000000000001</v>
      </c>
      <c r="AL69" s="1">
        <f>$J69+SUMPRODUCT(regions!EY68:FW68,regions!EY$204:FW$204)</f>
        <v>-6.3019783245916834</v>
      </c>
      <c r="AM69" s="1">
        <f>$J69+SUMPRODUCT(regions!FZ68:GF68,regions!FZ$204:GF$204)</f>
        <v>-3.1744423966141824</v>
      </c>
      <c r="AN69" s="1">
        <f t="shared" si="13"/>
        <v>-22.077812515483778</v>
      </c>
      <c r="AO69" s="1">
        <f t="shared" si="13"/>
        <v>-21.377812515483782</v>
      </c>
      <c r="AP69" s="1">
        <f t="shared" ref="AP69:AT132" si="49">$J69+AP$3-$J$3</f>
        <v>-16.577812515483782</v>
      </c>
      <c r="AQ69" s="1">
        <f t="shared" si="49"/>
        <v>-7.7482852044933468</v>
      </c>
      <c r="AR69" s="1">
        <f t="shared" si="49"/>
        <v>-17.877812515483782</v>
      </c>
      <c r="AS69" s="1">
        <f t="shared" si="49"/>
        <v>-15.17781251548378</v>
      </c>
      <c r="AT69" s="1">
        <f t="shared" si="49"/>
        <v>-13.171145848817114</v>
      </c>
      <c r="AU69" s="1">
        <f t="shared" si="17"/>
        <v>-18.097812515483781</v>
      </c>
      <c r="AV69" s="1">
        <f t="shared" si="17"/>
        <v>-16.67781251548378</v>
      </c>
      <c r="AW69" s="1">
        <f>$J69+SUMPRODUCT(regions!BN68:BU68,regions!BN$204:BU$204)</f>
        <v>-10.927552328109623</v>
      </c>
      <c r="AX69" s="1">
        <f t="shared" si="17"/>
        <v>-14.357812515483781</v>
      </c>
      <c r="AY69" s="1">
        <f t="shared" si="17"/>
        <v>-13.57781251548378</v>
      </c>
      <c r="AZ69" s="1">
        <f t="shared" si="26"/>
        <v>-13.57781251548378</v>
      </c>
      <c r="BF69" s="1"/>
      <c r="BG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</row>
    <row r="70" spans="1:90" x14ac:dyDescent="0.35">
      <c r="A70" t="s">
        <v>222</v>
      </c>
      <c r="B70" s="19">
        <f>regions!B69</f>
        <v>4452800</v>
      </c>
      <c r="C70" s="19">
        <f>regions!C69</f>
        <v>8241335082.6298161</v>
      </c>
      <c r="D70" s="8">
        <f>regions!D69</f>
        <v>1850.8208503929698</v>
      </c>
      <c r="E70" s="8">
        <f>regions!E69</f>
        <v>22.139128232632583</v>
      </c>
      <c r="F70" s="8">
        <f>regions!F69</f>
        <v>7.2787470028607988</v>
      </c>
      <c r="G70" s="1">
        <f>regions!Z69</f>
        <v>5.8</v>
      </c>
      <c r="J70" s="1">
        <f t="shared" si="45"/>
        <v>11.560194193251906</v>
      </c>
      <c r="K70" s="1">
        <f t="shared" si="41"/>
        <v>-3.3925520947728511</v>
      </c>
      <c r="L70" s="1">
        <f t="shared" si="24"/>
        <v>-3.7554316350790233</v>
      </c>
      <c r="M70" s="1">
        <f t="shared" si="25"/>
        <v>4.0275651541811657</v>
      </c>
      <c r="N70" s="1">
        <f t="shared" si="42"/>
        <v>-2.8912836774607715</v>
      </c>
      <c r="O70" s="1">
        <f t="shared" si="42"/>
        <v>-5.2948546043381501</v>
      </c>
      <c r="P70" s="1">
        <f t="shared" si="42"/>
        <v>-3.2948546043381501</v>
      </c>
      <c r="Q70" s="1">
        <f t="shared" si="42"/>
        <v>-3.6248546043381502</v>
      </c>
      <c r="R70" s="1">
        <f t="shared" si="42"/>
        <v>-5.8948546043381498</v>
      </c>
      <c r="S70" s="1">
        <f>$J70+SUMPRODUCT(regions!EI69:EN69,regions!EI$204:EN$204)</f>
        <v>-5.3084572917504929</v>
      </c>
      <c r="T70" s="1">
        <f>$J70+SUMPRODUCT(regions!EQ69:EV69,regions!EQ$204:EV$204)</f>
        <v>-5.4084572917504943</v>
      </c>
      <c r="U70" s="1">
        <f>$J70+SUMPRODUCT(regions!CM69:CU69,regions!CM$204:CU$204)</f>
        <v>-3.0958126359841831</v>
      </c>
      <c r="V70" s="1">
        <f>$J70+SUMPRODUCT(regions!DH69:DM69,regions!DH$204:DM$204)</f>
        <v>-5.4654572917504929</v>
      </c>
      <c r="W70" s="1">
        <f>$J70+SUMPRODUCT(regions!DP69:DW69,regions!DP$204:DW$204)</f>
        <v>-3.3958126359841838</v>
      </c>
      <c r="X70" s="1">
        <f>$J70+SUMPRODUCT(regions!AB69:AE69,regions!AB$204:AE$204)</f>
        <v>2.4217890359119068</v>
      </c>
      <c r="Y70" s="1">
        <f>$J70+SUMPRODUCT(regions!BX69:CJ69,regions!BX$204:CJ$204)</f>
        <v>4.2556529883795555</v>
      </c>
      <c r="Z70" s="1">
        <f>$J70+SUMPRODUCT(regions!CX69:DF69,regions!CX$204:DF$204)</f>
        <v>-1.3958126359841838</v>
      </c>
      <c r="AA70" s="1">
        <f t="shared" si="46"/>
        <v>-0.88785380509865286</v>
      </c>
      <c r="AB70" s="1">
        <f t="shared" si="47"/>
        <v>8.2406679159474923</v>
      </c>
      <c r="AC70" s="1">
        <f>$J70+SUMPRODUCT(regions!DZ69:EG69,regions!DZ$204:EG$204)</f>
        <v>-2.9653126359841835</v>
      </c>
      <c r="AD70" s="1">
        <f t="shared" si="43"/>
        <v>-3.2848546043381504</v>
      </c>
      <c r="AE70" s="1">
        <f t="shared" si="43"/>
        <v>-4.7948546043381501</v>
      </c>
      <c r="AF70" s="1">
        <f t="shared" si="48"/>
        <v>-7.7</v>
      </c>
      <c r="AG70" s="1">
        <f>$J70+SUMPRODUCT(regions!AX69:BK69,regions!AX$204:BK$204)</f>
        <v>-3.8084572917504929</v>
      </c>
      <c r="AH70" s="1">
        <f>$J70+SUMPRODUCT(regions!AG69:AV69,regions!AG$204:AV$204)</f>
        <v>-2.8446145710707462</v>
      </c>
      <c r="AI70" s="1">
        <f t="shared" si="44"/>
        <v>-4.2948546043381501</v>
      </c>
      <c r="AJ70" s="1">
        <f>SartoriRoson!C67</f>
        <v>-1.92</v>
      </c>
      <c r="AK70" s="1">
        <f>Kompas!E67</f>
        <v>-1.0349999999999999</v>
      </c>
      <c r="AL70" s="1">
        <f>$J70+SUMPRODUCT(regions!EY69:FW69,regions!EY$204:FW$204)</f>
        <v>1.3071061407713387</v>
      </c>
      <c r="AM70" s="1">
        <f>$J70+SUMPRODUCT(regions!FZ69:GF69,regions!FZ$204:GF$204)</f>
        <v>-3.3323548695308425</v>
      </c>
      <c r="AN70" s="1">
        <f t="shared" ref="AN70:AP133" si="50">$J70+AN$3-$J$3</f>
        <v>-11.494854604338149</v>
      </c>
      <c r="AO70" s="1">
        <f t="shared" si="50"/>
        <v>-10.79485460433815</v>
      </c>
      <c r="AP70" s="1">
        <f t="shared" si="50"/>
        <v>-5.9948546043381503</v>
      </c>
      <c r="AQ70" s="1">
        <f t="shared" si="49"/>
        <v>2.8346727066522828</v>
      </c>
      <c r="AR70" s="1">
        <f t="shared" si="49"/>
        <v>-7.2948546043381501</v>
      </c>
      <c r="AS70" s="1">
        <f t="shared" si="49"/>
        <v>-4.5948546043381508</v>
      </c>
      <c r="AT70" s="1">
        <f t="shared" si="49"/>
        <v>-2.5881879376714831</v>
      </c>
      <c r="AU70" s="1">
        <f t="shared" si="17"/>
        <v>-7.5148546043381499</v>
      </c>
      <c r="AV70" s="1">
        <f t="shared" si="17"/>
        <v>-6.09485460433815</v>
      </c>
      <c r="AW70" s="1">
        <f>$J70+SUMPRODUCT(regions!BN69:BU69,regions!BN$204:BU$204)</f>
        <v>-3.5016371500640879</v>
      </c>
      <c r="AX70" s="1">
        <f t="shared" si="17"/>
        <v>-3.7748546043381506</v>
      </c>
      <c r="AY70" s="1">
        <f t="shared" si="17"/>
        <v>-2.9948546043381494</v>
      </c>
      <c r="AZ70" s="1">
        <f t="shared" si="26"/>
        <v>-2.9948546043381494</v>
      </c>
      <c r="BE70" t="str">
        <f>RehdanzMaddison!P28</f>
        <v>Georgia</v>
      </c>
      <c r="BF70" s="1">
        <f>-100*RehdanzMaddison!U28</f>
        <v>4.6471272452835288</v>
      </c>
      <c r="BG70" s="1">
        <f>-100*RehdanzMaddison!V28</f>
        <v>8.2406679159474923</v>
      </c>
      <c r="BH70" s="1">
        <f t="shared" ref="BH70:BI72" si="51">$K70-BF70</f>
        <v>-8.0396793400563809</v>
      </c>
      <c r="BI70" s="1">
        <f t="shared" si="51"/>
        <v>-11.633220010720343</v>
      </c>
      <c r="BJ70" t="str">
        <f>MaddisonRehdanz!A29</f>
        <v>Georgia</v>
      </c>
      <c r="BK70">
        <f>MaddisonRehdanz!D29</f>
        <v>-7.7</v>
      </c>
      <c r="BL70" s="1">
        <f>$K70-BK70</f>
        <v>4.307447905227149</v>
      </c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</row>
    <row r="71" spans="1:90" x14ac:dyDescent="0.35">
      <c r="A71" t="s">
        <v>144</v>
      </c>
      <c r="B71" s="19">
        <f>regions!B70</f>
        <v>81776930</v>
      </c>
      <c r="C71" s="19">
        <f>regions!C70</f>
        <v>2954359050887.9268</v>
      </c>
      <c r="D71" s="8">
        <f>regions!D70</f>
        <v>36127.047700224583</v>
      </c>
      <c r="E71" s="8">
        <f>regions!E70</f>
        <v>11.115788004930117</v>
      </c>
      <c r="F71" s="8">
        <f>regions!F70</f>
        <v>0.64727176887359206</v>
      </c>
      <c r="G71" s="1">
        <f>regions!Z70</f>
        <v>8.4</v>
      </c>
      <c r="J71" s="1">
        <f t="shared" si="45"/>
        <v>16.010954096604454</v>
      </c>
      <c r="K71" s="1">
        <f t="shared" si="41"/>
        <v>1.0582078085796969</v>
      </c>
      <c r="L71" s="1">
        <f t="shared" si="24"/>
        <v>-0.20227308452282231</v>
      </c>
      <c r="M71" s="1">
        <f t="shared" si="25"/>
        <v>2.9637633867043114</v>
      </c>
      <c r="N71" s="1">
        <f t="shared" si="42"/>
        <v>1.5594762258917765</v>
      </c>
      <c r="O71" s="1">
        <f t="shared" si="42"/>
        <v>-0.84409470098560213</v>
      </c>
      <c r="P71" s="1">
        <f t="shared" si="42"/>
        <v>1.1559052990143979</v>
      </c>
      <c r="Q71" s="1">
        <f t="shared" si="42"/>
        <v>0.8259052990143978</v>
      </c>
      <c r="R71" s="1">
        <f t="shared" si="42"/>
        <v>-1.4440947009856018</v>
      </c>
      <c r="S71" s="1">
        <f>$J71+SUMPRODUCT(regions!EI70:EN70,regions!EI$204:EN$204)</f>
        <v>-0.77106231358869337</v>
      </c>
      <c r="T71" s="1">
        <f>$J71+SUMPRODUCT(regions!EQ70:EV70,regions!EQ$204:EV$204)</f>
        <v>-0.97106231358869266</v>
      </c>
      <c r="U71" s="1">
        <f>$J71+SUMPRODUCT(regions!CM70:CU70,regions!CM$204:CU$204)</f>
        <v>-0.78571098663042349</v>
      </c>
      <c r="V71" s="1">
        <f>$J71+SUMPRODUCT(regions!DH70:DM70,regions!DH$204:DM$204)</f>
        <v>-0.54747528722305105</v>
      </c>
      <c r="W71" s="1">
        <f>$J71+SUMPRODUCT(regions!DP70:DW70,regions!DP$204:DW$204)</f>
        <v>-0.67106231358869195</v>
      </c>
      <c r="X71" s="1">
        <f>$J71+SUMPRODUCT(regions!AB70:AE70,regions!AB$204:AE$204)</f>
        <v>0.66725135500233179</v>
      </c>
      <c r="Y71" s="1">
        <f>$J71+SUMPRODUCT(regions!BX70:CJ70,regions!BX$204:CJ$204)</f>
        <v>-2.376482100463619</v>
      </c>
      <c r="Z71" s="1">
        <f>$J71+SUMPRODUCT(regions!CX70:DF70,regions!CX$204:DF$204)</f>
        <v>4.2142890133695765</v>
      </c>
      <c r="AA71" s="1">
        <f t="shared" si="46"/>
        <v>2</v>
      </c>
      <c r="AB71" s="1">
        <f t="shared" si="47"/>
        <v>-5.9816678570902608E-2</v>
      </c>
      <c r="AC71" s="1">
        <f>$J71+SUMPRODUCT(regions!DZ70:EG70,regions!DZ$204:EG$204)</f>
        <v>-0.60106231358869167</v>
      </c>
      <c r="AD71" s="1">
        <f t="shared" si="43"/>
        <v>1.1659052990143977</v>
      </c>
      <c r="AE71" s="1">
        <f t="shared" si="43"/>
        <v>-0.34409470098560213</v>
      </c>
      <c r="AF71" s="1">
        <f t="shared" si="48"/>
        <v>7.6</v>
      </c>
      <c r="AG71" s="1">
        <f>$J71+SUMPRODUCT(regions!AX70:BK70,regions!AX$204:BK$204)</f>
        <v>-0.28309386162938921</v>
      </c>
      <c r="AH71" s="1">
        <f>$J71+SUMPRODUCT(regions!AG70:AV70,regions!AG$204:AV$204)</f>
        <v>1.8620882924636444</v>
      </c>
      <c r="AI71" s="1">
        <f t="shared" si="44"/>
        <v>0.15590529901439787</v>
      </c>
      <c r="AJ71" s="1">
        <f>SartoriRoson!C68</f>
        <v>0.75</v>
      </c>
      <c r="AK71" s="1">
        <f>Kompas!E68</f>
        <v>-0.41499999999999998</v>
      </c>
      <c r="AL71" s="1">
        <f>$J71+SUMPRODUCT(regions!EY70:FW70,regions!EY$204:FW$204)</f>
        <v>0.49158605036238789</v>
      </c>
      <c r="AM71" s="1">
        <f>$J71+SUMPRODUCT(regions!FZ70:GF70,regions!FZ$204:GF$204)</f>
        <v>1.7427237217564659</v>
      </c>
      <c r="AN71" s="1">
        <f t="shared" si="50"/>
        <v>-7.0440947009856014</v>
      </c>
      <c r="AO71" s="1">
        <f t="shared" si="50"/>
        <v>-6.3440947009856021</v>
      </c>
      <c r="AP71" s="1">
        <f t="shared" si="50"/>
        <v>-1.5440947009856014</v>
      </c>
      <c r="AQ71" s="1">
        <f t="shared" si="49"/>
        <v>7.2854326100048308</v>
      </c>
      <c r="AR71" s="1">
        <f t="shared" si="49"/>
        <v>-2.8440947009856021</v>
      </c>
      <c r="AS71" s="1">
        <f t="shared" si="49"/>
        <v>-0.14409470098560284</v>
      </c>
      <c r="AT71" s="1">
        <f t="shared" si="49"/>
        <v>1.8625719656810649</v>
      </c>
      <c r="AU71" s="1">
        <f t="shared" si="17"/>
        <v>-3.064094700985601</v>
      </c>
      <c r="AV71" s="1">
        <f t="shared" si="17"/>
        <v>-1.6440947009856028</v>
      </c>
      <c r="AW71" s="1">
        <f>$J71+SUMPRODUCT(regions!BN70:BU70,regions!BN$204:BU$204)</f>
        <v>1.8720511148658989</v>
      </c>
      <c r="AX71" s="1">
        <f t="shared" si="17"/>
        <v>0.67590529901439744</v>
      </c>
      <c r="AY71" s="1">
        <f t="shared" si="17"/>
        <v>1.4559052990143986</v>
      </c>
      <c r="AZ71" s="1">
        <f t="shared" si="26"/>
        <v>1.4559052990143986</v>
      </c>
      <c r="BB71" t="str">
        <f>Maddison!A28</f>
        <v>Germany</v>
      </c>
      <c r="BC71">
        <f>-Maddison!B28</f>
        <v>2</v>
      </c>
      <c r="BD71" s="1">
        <f>K71-BC71</f>
        <v>-0.94179219142030313</v>
      </c>
      <c r="BE71" t="str">
        <f>RehdanzMaddison!P29</f>
        <v>Germany</v>
      </c>
      <c r="BF71" s="1">
        <f>-100*RehdanzMaddison!U29</f>
        <v>-3.5153716698309259E-2</v>
      </c>
      <c r="BG71" s="1">
        <f>-100*RehdanzMaddison!V29</f>
        <v>-5.9816678570902608E-2</v>
      </c>
      <c r="BH71" s="1">
        <f t="shared" si="51"/>
        <v>1.0933615252780062</v>
      </c>
      <c r="BI71" s="1">
        <f t="shared" si="51"/>
        <v>1.1180244871505995</v>
      </c>
      <c r="BJ71" t="str">
        <f>MaddisonRehdanz!A30</f>
        <v>Germany</v>
      </c>
      <c r="BK71">
        <f>MaddisonRehdanz!D30</f>
        <v>7.6</v>
      </c>
      <c r="BL71" s="1">
        <f>$K71-BK71</f>
        <v>-6.5417921914203028</v>
      </c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</row>
    <row r="72" spans="1:90" x14ac:dyDescent="0.35">
      <c r="A72" t="s">
        <v>224</v>
      </c>
      <c r="B72" s="19">
        <f>regions!B71</f>
        <v>24262901</v>
      </c>
      <c r="C72" s="19">
        <f>regions!C71</f>
        <v>14804825656.667994</v>
      </c>
      <c r="D72" s="8">
        <f>regions!D71</f>
        <v>610.18365679635724</v>
      </c>
      <c r="E72" s="8">
        <f>regions!E71</f>
        <v>13.677687847257861</v>
      </c>
      <c r="F72" s="8">
        <f>regions!F71</f>
        <v>28.038737963649051</v>
      </c>
      <c r="G72" s="1">
        <f>regions!Z71</f>
        <v>27.2</v>
      </c>
      <c r="J72" s="1">
        <f t="shared" si="45"/>
        <v>1.5777759196364176</v>
      </c>
      <c r="K72" s="1">
        <f t="shared" si="41"/>
        <v>-13.37497036838834</v>
      </c>
      <c r="L72" s="1">
        <f t="shared" si="24"/>
        <v>-15.470919140236822</v>
      </c>
      <c r="M72" s="1">
        <f t="shared" si="25"/>
        <v>20.202175802455159</v>
      </c>
      <c r="N72" s="1">
        <f t="shared" si="42"/>
        <v>-12.87370195107626</v>
      </c>
      <c r="O72" s="1">
        <f t="shared" si="42"/>
        <v>-15.277272877953639</v>
      </c>
      <c r="P72" s="1">
        <f t="shared" si="42"/>
        <v>-13.277272877953639</v>
      </c>
      <c r="Q72" s="1">
        <f t="shared" si="42"/>
        <v>-13.607272877953639</v>
      </c>
      <c r="R72" s="1">
        <f t="shared" si="42"/>
        <v>-15.877272877953638</v>
      </c>
      <c r="S72" s="1">
        <f>$J72+SUMPRODUCT(regions!EI71:EN71,regions!EI$204:EN$204)</f>
        <v>-8.6832713826568497</v>
      </c>
      <c r="T72" s="1">
        <f>$J72+SUMPRODUCT(regions!EQ71:EV71,regions!EQ$204:EV$204)</f>
        <v>-8.18228344967212</v>
      </c>
      <c r="U72" s="1">
        <f>$J72+SUMPRODUCT(regions!CM71:CU71,regions!CM$204:CU$204)</f>
        <v>-12.877854572982326</v>
      </c>
      <c r="V72" s="1">
        <f>$J72+SUMPRODUCT(regions!DH71:DM71,regions!DH$204:DM$204)</f>
        <v>-10.610714817200684</v>
      </c>
      <c r="W72" s="1">
        <f>$J72+SUMPRODUCT(regions!DP71:DW71,regions!DP$204:DW$204)</f>
        <v>-12.450272066591184</v>
      </c>
      <c r="X72" s="1">
        <f>$J72+SUMPRODUCT(regions!AB71:AE71,regions!AB$204:AE$204)</f>
        <v>-1.9387414285790241</v>
      </c>
      <c r="Y72" s="1">
        <f>$J72+SUMPRODUCT(regions!BX71:CJ71,regions!BX$204:CJ$204)</f>
        <v>-5.3742308683054461</v>
      </c>
      <c r="Z72" s="1">
        <f>$J72+SUMPRODUCT(regions!CX71:DF71,regions!CX$204:DF$204)</f>
        <v>-8.2778545729823261</v>
      </c>
      <c r="AA72" s="1">
        <f t="shared" si="46"/>
        <v>-10.870272078714141</v>
      </c>
      <c r="AB72" s="1">
        <f t="shared" si="47"/>
        <v>-19.590822970844545</v>
      </c>
      <c r="AC72" s="1">
        <f>$J72+SUMPRODUCT(regions!DZ71:EG71,regions!DZ$204:EG$204)</f>
        <v>-8.8511720665911842</v>
      </c>
      <c r="AD72" s="1">
        <f t="shared" si="43"/>
        <v>-13.267272877953639</v>
      </c>
      <c r="AE72" s="1">
        <f t="shared" si="43"/>
        <v>-14.777272877953639</v>
      </c>
      <c r="AF72" s="1">
        <f t="shared" si="48"/>
        <v>-118.7</v>
      </c>
      <c r="AG72" s="1">
        <f>$J72+SUMPRODUCT(regions!AX71:BK71,regions!AX$204:BK$204)</f>
        <v>-5.21231342134611</v>
      </c>
      <c r="AH72" s="1">
        <f>$J72+SUMPRODUCT(regions!AG71:AV71,regions!AG$204:AV$204)</f>
        <v>-12.11231342134611</v>
      </c>
      <c r="AI72" s="1">
        <f t="shared" si="44"/>
        <v>-14.277272877953639</v>
      </c>
      <c r="AJ72" s="1">
        <f>SartoriRoson!C69</f>
        <v>-13.19</v>
      </c>
      <c r="AK72" s="1">
        <f>Kompas!E69</f>
        <v>-17.571000000000002</v>
      </c>
      <c r="AL72" s="1">
        <f>$J72+SUMPRODUCT(regions!EY71:FW71,regions!EY$204:FW$204)</f>
        <v>-5.7014386870615414</v>
      </c>
      <c r="AM72" s="1">
        <f>$J72+SUMPRODUCT(regions!FZ71:GF71,regions!FZ$204:GF$204)</f>
        <v>-2.5739027590840404</v>
      </c>
      <c r="AN72" s="1">
        <f t="shared" si="50"/>
        <v>-21.477272877953638</v>
      </c>
      <c r="AO72" s="1">
        <f t="shared" si="50"/>
        <v>-20.777272877953639</v>
      </c>
      <c r="AP72" s="1">
        <f t="shared" si="50"/>
        <v>-15.977272877953638</v>
      </c>
      <c r="AQ72" s="1">
        <f t="shared" si="49"/>
        <v>-7.1477455669632048</v>
      </c>
      <c r="AR72" s="1">
        <f t="shared" si="49"/>
        <v>-17.277272877953639</v>
      </c>
      <c r="AS72" s="1">
        <f t="shared" si="49"/>
        <v>-14.577272877953639</v>
      </c>
      <c r="AT72" s="1">
        <f t="shared" si="49"/>
        <v>-12.570606211286972</v>
      </c>
      <c r="AU72" s="1">
        <f t="shared" si="17"/>
        <v>-17.497272877953638</v>
      </c>
      <c r="AV72" s="1">
        <f t="shared" si="17"/>
        <v>-16.077272877953639</v>
      </c>
      <c r="AW72" s="1">
        <f>$J72+SUMPRODUCT(regions!BN71:BU71,regions!BN$204:BU$204)</f>
        <v>-10.327012690579481</v>
      </c>
      <c r="AX72" s="1">
        <f t="shared" si="17"/>
        <v>-13.757272877953639</v>
      </c>
      <c r="AY72" s="1">
        <f t="shared" ref="AY72:AZ72" si="52">$J72+AY$3-$J$3</f>
        <v>-12.977272877953638</v>
      </c>
      <c r="AZ72" s="1">
        <f t="shared" si="52"/>
        <v>-12.977272877953638</v>
      </c>
      <c r="BE72" t="str">
        <f>RehdanzMaddison!P30</f>
        <v>Ghana</v>
      </c>
      <c r="BF72" s="1">
        <f>-100*RehdanzMaddison!U30</f>
        <v>-11.694839611840948</v>
      </c>
      <c r="BG72" s="1">
        <f>-100*RehdanzMaddison!V30</f>
        <v>-19.590822970844545</v>
      </c>
      <c r="BH72" s="1">
        <f t="shared" si="51"/>
        <v>-1.680130756547392</v>
      </c>
      <c r="BI72" s="1">
        <f t="shared" si="51"/>
        <v>6.2158526024562057</v>
      </c>
      <c r="BJ72" t="str">
        <f>MaddisonRehdanz!A31</f>
        <v>Ghana</v>
      </c>
      <c r="BK72">
        <f>MaddisonRehdanz!D31</f>
        <v>-118.7</v>
      </c>
      <c r="BL72" s="1">
        <f>$K72-BK72</f>
        <v>105.32502963161167</v>
      </c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</row>
    <row r="73" spans="1:90" x14ac:dyDescent="0.35">
      <c r="A73" t="s">
        <v>145</v>
      </c>
      <c r="B73" s="19">
        <f>regions!B72</f>
        <v>11307502</v>
      </c>
      <c r="C73" s="19">
        <f>regions!C72</f>
        <v>240951131470.42734</v>
      </c>
      <c r="D73" s="8">
        <f>regions!D72</f>
        <v>21308.962091753539</v>
      </c>
      <c r="E73" s="8">
        <f>regions!E72</f>
        <v>20.2140014436009</v>
      </c>
      <c r="F73" s="8">
        <f>regions!F72</f>
        <v>2.8840308199380496</v>
      </c>
      <c r="G73" s="1">
        <f>regions!Z72</f>
        <v>15.4</v>
      </c>
      <c r="J73" s="1">
        <f t="shared" si="45"/>
        <v>12.4449189942044</v>
      </c>
      <c r="K73" s="1">
        <f t="shared" si="41"/>
        <v>-2.5078272938203572</v>
      </c>
      <c r="L73" s="1">
        <f t="shared" si="24"/>
        <v>-4.3672219576275779</v>
      </c>
      <c r="M73" s="1">
        <f t="shared" si="25"/>
        <v>5.4891750003700883</v>
      </c>
      <c r="N73" s="1">
        <f t="shared" si="42"/>
        <v>-2.0065588765082776</v>
      </c>
      <c r="O73" s="1">
        <f t="shared" si="42"/>
        <v>-4.4101298033856562</v>
      </c>
      <c r="P73" s="1">
        <f t="shared" si="42"/>
        <v>-2.4101298033856562</v>
      </c>
      <c r="Q73" s="1">
        <f t="shared" si="42"/>
        <v>-2.7401298033856563</v>
      </c>
      <c r="R73" s="1">
        <f t="shared" si="42"/>
        <v>-5.0101298033856558</v>
      </c>
      <c r="S73" s="1">
        <f>$J73+SUMPRODUCT(regions!EI72:EN72,regions!EI$204:EN$204)</f>
        <v>-4.3370974159887474</v>
      </c>
      <c r="T73" s="1">
        <f>$J73+SUMPRODUCT(regions!EQ72:EV72,regions!EQ$204:EV$204)</f>
        <v>-4.5370974159887467</v>
      </c>
      <c r="U73" s="1">
        <f>$J73+SUMPRODUCT(regions!CM72:CU72,regions!CM$204:CU$204)</f>
        <v>-4.3517460890304775</v>
      </c>
      <c r="V73" s="1">
        <f>$J73+SUMPRODUCT(regions!DH72:DM72,regions!DH$204:DM$204)</f>
        <v>-4.1135103896231051</v>
      </c>
      <c r="W73" s="1">
        <f>$J73+SUMPRODUCT(regions!DP72:DW72,regions!DP$204:DW$204)</f>
        <v>-4.237097415988746</v>
      </c>
      <c r="X73" s="1">
        <f>$J73+SUMPRODUCT(regions!AB72:AE72,regions!AB$204:AE$204)</f>
        <v>-2.8987837473977223</v>
      </c>
      <c r="Y73" s="1">
        <f>$J73+SUMPRODUCT(regions!BX72:CJ72,regions!BX$204:CJ$204)</f>
        <v>-5.942517202863673</v>
      </c>
      <c r="Z73" s="1">
        <f>$J73+SUMPRODUCT(regions!CX72:DF72,regions!CX$204:DF$204)</f>
        <v>0.64825391096952245</v>
      </c>
      <c r="AA73" s="1">
        <f t="shared" si="46"/>
        <v>-0.1</v>
      </c>
      <c r="AB73" s="1">
        <f t="shared" si="47"/>
        <v>-1.563189355830745</v>
      </c>
      <c r="AC73" s="1">
        <f>$J73+SUMPRODUCT(regions!DZ72:EG72,regions!DZ$204:EG$204)</f>
        <v>-4.1670974159887457</v>
      </c>
      <c r="AD73" s="1">
        <f t="shared" si="43"/>
        <v>-2.4001298033856564</v>
      </c>
      <c r="AE73" s="1">
        <f t="shared" si="43"/>
        <v>-3.9101298033856562</v>
      </c>
      <c r="AF73" s="1">
        <f t="shared" si="48"/>
        <v>-30.031072038491025</v>
      </c>
      <c r="AG73" s="1">
        <f>$J73+SUMPRODUCT(regions!AX72:BK72,regions!AX$204:BK$204)</f>
        <v>-1.7578673945963743</v>
      </c>
      <c r="AH73" s="1">
        <f>$J73+SUMPRODUCT(regions!AG72:AV72,regions!AG$204:AV$204)</f>
        <v>-1.7039468099364097</v>
      </c>
      <c r="AI73" s="1">
        <f t="shared" si="44"/>
        <v>-3.4101298033856562</v>
      </c>
      <c r="AJ73" s="1">
        <f>SartoriRoson!C70</f>
        <v>-1.35</v>
      </c>
      <c r="AK73" s="1">
        <f>Kompas!E70</f>
        <v>-0.27500000000000002</v>
      </c>
      <c r="AL73" s="1">
        <f>$J73+SUMPRODUCT(regions!EY72:FW72,regions!EY$204:FW$204)</f>
        <v>-3.1590784752034633</v>
      </c>
      <c r="AM73" s="1">
        <f>$J73+SUMPRODUCT(regions!FZ72:GF72,regions!FZ$204:GF$204)</f>
        <v>-1.8233113806435881</v>
      </c>
      <c r="AN73" s="1">
        <f t="shared" si="50"/>
        <v>-10.610129803385655</v>
      </c>
      <c r="AO73" s="1">
        <f t="shared" si="50"/>
        <v>-9.9101298033856562</v>
      </c>
      <c r="AP73" s="1">
        <f t="shared" si="50"/>
        <v>-5.1101298033856555</v>
      </c>
      <c r="AQ73" s="1">
        <f t="shared" si="49"/>
        <v>3.7193975076047767</v>
      </c>
      <c r="AR73" s="1">
        <f t="shared" si="49"/>
        <v>-6.4101298033856562</v>
      </c>
      <c r="AS73" s="1">
        <f t="shared" si="49"/>
        <v>-3.7101298033856569</v>
      </c>
      <c r="AT73" s="1">
        <f t="shared" si="49"/>
        <v>-1.7034631367189892</v>
      </c>
      <c r="AU73" s="1">
        <f t="shared" ref="AU73:AZ130" si="53">$J73+AU$3-$J$3</f>
        <v>-6.6301298033856559</v>
      </c>
      <c r="AV73" s="1">
        <f t="shared" si="53"/>
        <v>-5.2101298033856569</v>
      </c>
      <c r="AW73" s="1">
        <f>$J73+SUMPRODUCT(regions!BN72:BU72,regions!BN$204:BU$204)</f>
        <v>-1.6939839875341551</v>
      </c>
      <c r="AX73" s="1">
        <f t="shared" si="53"/>
        <v>-2.8901298033856566</v>
      </c>
      <c r="AY73" s="1">
        <f t="shared" si="53"/>
        <v>-2.1101298033856555</v>
      </c>
      <c r="AZ73" s="1">
        <f t="shared" si="53"/>
        <v>-2.1101298033856555</v>
      </c>
      <c r="BB73" t="str">
        <f>Maddison!A29</f>
        <v>Greece</v>
      </c>
      <c r="BC73">
        <f>-Maddison!B29</f>
        <v>-0.1</v>
      </c>
      <c r="BD73" s="1">
        <f>K73-BC73</f>
        <v>-2.4078272938203571</v>
      </c>
      <c r="BF73" s="1"/>
      <c r="BG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</row>
    <row r="74" spans="1:90" x14ac:dyDescent="0.35">
      <c r="A74" t="s">
        <v>603</v>
      </c>
      <c r="B74" s="19">
        <f>regions!B73</f>
        <v>56905</v>
      </c>
      <c r="C74" s="19">
        <f>regions!C73</f>
        <v>1809399165.3952253</v>
      </c>
      <c r="D74" s="8">
        <f>regions!D73</f>
        <v>31796.8397398335</v>
      </c>
      <c r="E74" s="8">
        <f>regions!E73</f>
        <v>0</v>
      </c>
      <c r="F74" s="8">
        <f>regions!F73</f>
        <v>0</v>
      </c>
      <c r="G74" s="1">
        <f>regions!Z73</f>
        <v>-1.4</v>
      </c>
      <c r="J74" s="1">
        <f t="shared" si="45"/>
        <v>19.423051224899076</v>
      </c>
      <c r="K74" s="1">
        <f>J74+J$4</f>
        <v>4.4703049368743191</v>
      </c>
      <c r="L74" s="1">
        <f t="shared" si="24"/>
        <v>2.2927067656813795</v>
      </c>
      <c r="M74" s="1">
        <f t="shared" si="25"/>
        <v>5.7688572859634979</v>
      </c>
      <c r="N74" s="1">
        <f t="shared" ref="N74:R74" si="54">$J74+N$3-$J$3</f>
        <v>4.9715733541863987</v>
      </c>
      <c r="O74" s="1">
        <f t="shared" si="54"/>
        <v>2.5680024273090201</v>
      </c>
      <c r="P74" s="1">
        <f t="shared" si="54"/>
        <v>4.5680024273090201</v>
      </c>
      <c r="Q74" s="1">
        <f t="shared" si="54"/>
        <v>4.2380024273090218</v>
      </c>
      <c r="R74" s="1">
        <f t="shared" si="54"/>
        <v>1.9680024273090204</v>
      </c>
      <c r="S74" s="1">
        <f>$J74+SUMPRODUCT(regions!EI73:EN73,regions!EI$204:EN$204)</f>
        <v>2.6410348147059288</v>
      </c>
      <c r="T74" s="1">
        <f>$J74+SUMPRODUCT(regions!EQ73:EV73,regions!EQ$204:EV$204)</f>
        <v>2.4410348147059295</v>
      </c>
      <c r="U74" s="1">
        <f>$J74+SUMPRODUCT(regions!CM73:CU73,regions!CM$204:CU$204)</f>
        <v>2.6263861416641987</v>
      </c>
      <c r="V74" s="1">
        <f>$J74+SUMPRODUCT(regions!DH73:DM73,regions!DH$204:DM$204)</f>
        <v>2.8646218410715711</v>
      </c>
      <c r="W74" s="1">
        <f>$J74+SUMPRODUCT(regions!DP73:DW73,regions!DP$204:DW$204)</f>
        <v>2.7410348147059302</v>
      </c>
      <c r="X74" s="1">
        <f>$J74+SUMPRODUCT(regions!AB73:AE73,regions!AB$204:AE$204)</f>
        <v>4.079348483296954</v>
      </c>
      <c r="Y74" s="1">
        <f>$J74+SUMPRODUCT(regions!BX73:CJ73,regions!BX$204:CJ$204)</f>
        <v>1.0356150278310032</v>
      </c>
      <c r="Z74" s="1">
        <f>$J74+SUMPRODUCT(regions!CX73:DF73,regions!CX$204:DF$204)</f>
        <v>7.6263861416641987</v>
      </c>
      <c r="AA74" s="1">
        <f t="shared" si="46"/>
        <v>6.9750032265485178</v>
      </c>
      <c r="AB74" s="1">
        <f t="shared" si="47"/>
        <v>5.4149428748639314</v>
      </c>
      <c r="AC74" s="1">
        <f>$J74+SUMPRODUCT(regions!DZ73:EG73,regions!DZ$204:EG$204)</f>
        <v>2.8110348147059305</v>
      </c>
      <c r="AD74" s="1">
        <f>$J74+AD$3-$J$3</f>
        <v>4.5780024273090216</v>
      </c>
      <c r="AE74" s="1">
        <f>$J74+AE$3-$J$3</f>
        <v>3.0680024273090201</v>
      </c>
      <c r="AF74" s="1">
        <f t="shared" si="48"/>
        <v>-23.052939807796349</v>
      </c>
      <c r="AG74" s="1">
        <f>$J74+SUMPRODUCT(regions!AX73:BK73,regions!AX$204:BK$204)</f>
        <v>3.129003266665233</v>
      </c>
      <c r="AH74" s="1">
        <f>$J74+SUMPRODUCT(regions!AG73:AV73,regions!AG$204:AV$204)</f>
        <v>5.2741854207582666</v>
      </c>
      <c r="AI74" s="1">
        <f>$J74+AI$3-$J$3</f>
        <v>3.5680024273090201</v>
      </c>
      <c r="AJ74" s="1">
        <f>SartoriRoson!C71</f>
        <v>-0.32</v>
      </c>
      <c r="AK74" s="1">
        <f>Kompas!E71</f>
        <v>-0.90200000000000002</v>
      </c>
      <c r="AL74" s="1">
        <f>$J74+SUMPRODUCT(regions!EY73:FW73,regions!EY$204:FW$204)</f>
        <v>6.9567720024167023</v>
      </c>
      <c r="AM74" s="1">
        <f>$J74+SUMPRODUCT(regions!FZ73:GF73,regions!FZ$204:GF$204)</f>
        <v>5.1548208500510881</v>
      </c>
      <c r="AN74" s="1">
        <f t="shared" si="50"/>
        <v>-3.6319975726909792</v>
      </c>
      <c r="AO74" s="1">
        <f t="shared" si="50"/>
        <v>-2.9319975726909799</v>
      </c>
      <c r="AP74" s="1">
        <f t="shared" si="50"/>
        <v>1.8680024273090208</v>
      </c>
      <c r="AQ74" s="1">
        <f t="shared" si="49"/>
        <v>10.697529738299453</v>
      </c>
      <c r="AR74" s="1">
        <f t="shared" si="49"/>
        <v>0.56800242730902006</v>
      </c>
      <c r="AS74" s="1">
        <f t="shared" si="49"/>
        <v>3.2680024273090194</v>
      </c>
      <c r="AT74" s="1">
        <f t="shared" si="49"/>
        <v>5.2746690939756871</v>
      </c>
      <c r="AU74" s="1">
        <f t="shared" si="53"/>
        <v>0.3480024273090212</v>
      </c>
      <c r="AV74" s="1">
        <f t="shared" si="53"/>
        <v>1.7680024273090194</v>
      </c>
      <c r="AW74" s="1">
        <f>$J74+SUMPRODUCT(regions!BN73:BU73,regions!BN$204:BU$204)</f>
        <v>5.2841482431605211</v>
      </c>
      <c r="AX74" s="1">
        <f t="shared" si="53"/>
        <v>4.0880024273090196</v>
      </c>
      <c r="AY74" s="1">
        <f t="shared" si="53"/>
        <v>4.8680024273090208</v>
      </c>
      <c r="AZ74" s="1">
        <f t="shared" si="53"/>
        <v>4.8680024273090208</v>
      </c>
      <c r="BD74" s="1"/>
      <c r="BF74" s="1"/>
      <c r="BG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</row>
    <row r="75" spans="1:90" x14ac:dyDescent="0.35">
      <c r="A75" t="s">
        <v>146</v>
      </c>
      <c r="B75" s="19">
        <f>regions!B74</f>
        <v>104677</v>
      </c>
      <c r="C75" s="19">
        <f>regions!C74</f>
        <v>664521216.22512019</v>
      </c>
      <c r="D75" s="8">
        <f>regions!D74</f>
        <v>6348.3020742390418</v>
      </c>
      <c r="E75" s="8">
        <f>regions!E74</f>
        <v>18.729166939875235</v>
      </c>
      <c r="F75" s="8">
        <f>regions!F74</f>
        <v>4.5131749938957393</v>
      </c>
      <c r="G75" s="1">
        <f>regions!Z74</f>
        <v>26.6</v>
      </c>
      <c r="J75" s="1">
        <f t="shared" si="45"/>
        <v>6.0714292314847782</v>
      </c>
      <c r="K75" s="1">
        <f t="shared" ref="K75:K89" si="55">J75+J$4</f>
        <v>-8.881317056539979</v>
      </c>
      <c r="L75" s="1">
        <f t="shared" si="24"/>
        <v>-8.8914714014578156</v>
      </c>
      <c r="M75" s="1">
        <f t="shared" si="25"/>
        <v>7.2532996943116208</v>
      </c>
      <c r="N75" s="1">
        <f t="shared" ref="N75:R89" si="56">$J75+N$3-$J$3</f>
        <v>-8.3800486392278994</v>
      </c>
      <c r="O75" s="1">
        <f t="shared" si="56"/>
        <v>-10.783619566105278</v>
      </c>
      <c r="P75" s="1">
        <f t="shared" si="56"/>
        <v>-8.7836195661052781</v>
      </c>
      <c r="Q75" s="1">
        <f t="shared" si="56"/>
        <v>-9.1136195661052781</v>
      </c>
      <c r="R75" s="1">
        <f t="shared" si="56"/>
        <v>-11.383619566105278</v>
      </c>
      <c r="S75" s="1">
        <f>$J75+SUMPRODUCT(regions!EI74:EN74,regions!EI$204:EN$204)</f>
        <v>-4.1896180708084891</v>
      </c>
      <c r="T75" s="1">
        <f>$J75+SUMPRODUCT(regions!EQ74:EV74,regions!EQ$204:EV$204)</f>
        <v>-3.6886301378237594</v>
      </c>
      <c r="U75" s="1">
        <f>$J75+SUMPRODUCT(regions!CM74:CU74,regions!CM$204:CU$204)</f>
        <v>-6.0235082463651004</v>
      </c>
      <c r="V75" s="1">
        <f>$J75+SUMPRODUCT(regions!DH74:DM74,regions!DH$204:DM$204)</f>
        <v>-6.1170615053523232</v>
      </c>
      <c r="W75" s="1">
        <f>$J75+SUMPRODUCT(regions!DP74:DW74,regions!DP$204:DW$204)</f>
        <v>-6.0135082463650988</v>
      </c>
      <c r="X75" s="1">
        <f>$J75+SUMPRODUCT(regions!AB74:AE74,regions!AB$204:AE$204)</f>
        <v>-3.8822095544945192</v>
      </c>
      <c r="Y75" s="1">
        <f>$J75+SUMPRODUCT(regions!BX74:CJ74,regions!BX$204:CJ$204)</f>
        <v>-4.4758428824750318</v>
      </c>
      <c r="Z75" s="1">
        <f>$J75+SUMPRODUCT(regions!CX74:DF74,regions!CX$204:DF$204)</f>
        <v>-1.8235082463650993</v>
      </c>
      <c r="AA75" s="1">
        <f t="shared" si="46"/>
        <v>-2.2000000000000002</v>
      </c>
      <c r="AB75" s="1">
        <f t="shared" si="47"/>
        <v>-7.9366791185503667</v>
      </c>
      <c r="AC75" s="1">
        <f>$J75+SUMPRODUCT(regions!DZ74:EG74,regions!DZ$204:EG$204)</f>
        <v>-3.9744082463650994</v>
      </c>
      <c r="AD75" s="1">
        <f t="shared" ref="AD75:AE89" si="57">$J75+AD$3-$J$3</f>
        <v>-8.7736195661052783</v>
      </c>
      <c r="AE75" s="1">
        <f t="shared" si="57"/>
        <v>-10.283619566105278</v>
      </c>
      <c r="AF75" s="1">
        <f t="shared" si="48"/>
        <v>-36.404561801210647</v>
      </c>
      <c r="AG75" s="1">
        <f>$J75+SUMPRODUCT(regions!AX74:BK74,regions!AX$204:BK$204)</f>
        <v>-2.4127219118371475</v>
      </c>
      <c r="AH75" s="1">
        <f>$J75+SUMPRODUCT(regions!AG74:AV74,regions!AG$204:AV$204)</f>
        <v>-10.579335470103544</v>
      </c>
      <c r="AI75" s="1">
        <f t="shared" ref="AI75:AI89" si="58">$J75+AI$3-$J$3</f>
        <v>-9.7836195661052781</v>
      </c>
      <c r="AJ75" s="1">
        <f>SartoriRoson!C72</f>
        <v>-7.84</v>
      </c>
      <c r="AK75" s="1">
        <f>Kompas!E72</f>
        <v>-8.2070000000000007</v>
      </c>
      <c r="AL75" s="1">
        <f>$J75+SUMPRODUCT(regions!EY74:FW74,regions!EY$204:FW$204)</f>
        <v>-3.2464706898500246</v>
      </c>
      <c r="AM75" s="1">
        <f>$J75+SUMPRODUCT(regions!FZ74:GF74,regions!FZ$204:GF$204)</f>
        <v>0.21021322726759628</v>
      </c>
      <c r="AN75" s="1">
        <f t="shared" si="50"/>
        <v>-16.983619566105276</v>
      </c>
      <c r="AO75" s="1">
        <f t="shared" si="50"/>
        <v>-16.28361956610528</v>
      </c>
      <c r="AP75" s="1">
        <f t="shared" si="50"/>
        <v>-11.483619566105279</v>
      </c>
      <c r="AQ75" s="1">
        <f t="shared" si="49"/>
        <v>-2.6540922551148451</v>
      </c>
      <c r="AR75" s="1">
        <f t="shared" si="49"/>
        <v>-12.783619566105278</v>
      </c>
      <c r="AS75" s="1">
        <f t="shared" si="49"/>
        <v>-10.083619566105277</v>
      </c>
      <c r="AT75" s="1">
        <f t="shared" si="49"/>
        <v>-8.0769528994386111</v>
      </c>
      <c r="AU75" s="1">
        <f t="shared" si="53"/>
        <v>-13.003619566105279</v>
      </c>
      <c r="AV75" s="1">
        <f t="shared" si="53"/>
        <v>-11.583619566105277</v>
      </c>
      <c r="AW75" s="1">
        <f>$J75+SUMPRODUCT(regions!BN74:BU74,regions!BN$204:BU$204)</f>
        <v>-7.5652247784245024</v>
      </c>
      <c r="AX75" s="1">
        <f t="shared" si="53"/>
        <v>-9.2636195661052785</v>
      </c>
      <c r="AY75" s="1">
        <f t="shared" si="53"/>
        <v>-8.4836195661052791</v>
      </c>
      <c r="AZ75" s="1">
        <f t="shared" si="53"/>
        <v>-8.4836195661052791</v>
      </c>
      <c r="BB75" t="str">
        <f>Maddison!A30</f>
        <v>Grenada</v>
      </c>
      <c r="BC75">
        <f>-Maddison!B30</f>
        <v>-2.2000000000000002</v>
      </c>
      <c r="BD75" s="1">
        <f>K75-BC75</f>
        <v>-6.6813170565399789</v>
      </c>
      <c r="BF75" s="1"/>
      <c r="BG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</row>
    <row r="76" spans="1:90" x14ac:dyDescent="0.35">
      <c r="A76" t="s">
        <v>147</v>
      </c>
      <c r="B76" s="19">
        <f>regions!B75</f>
        <v>14341576</v>
      </c>
      <c r="C76" s="19">
        <f>regions!C75</f>
        <v>32556756308.965832</v>
      </c>
      <c r="D76" s="8">
        <f>regions!D75</f>
        <v>2270.0961392922113</v>
      </c>
      <c r="E76" s="8">
        <f>regions!E75</f>
        <v>10.435279662809897</v>
      </c>
      <c r="F76" s="8">
        <f>regions!F75</f>
        <v>11.054236942124446</v>
      </c>
      <c r="G76" s="1">
        <f>regions!Z75</f>
        <v>23.4</v>
      </c>
      <c r="J76" s="1">
        <f t="shared" si="45"/>
        <v>5.3865800507439605</v>
      </c>
      <c r="K76" s="1">
        <f t="shared" si="55"/>
        <v>-9.5661662372807967</v>
      </c>
      <c r="L76" s="1">
        <f t="shared" si="24"/>
        <v>-11.979373837021695</v>
      </c>
      <c r="M76" s="1">
        <f t="shared" si="25"/>
        <v>23.576785759691031</v>
      </c>
      <c r="N76" s="1">
        <f t="shared" si="56"/>
        <v>-9.0648978199687171</v>
      </c>
      <c r="O76" s="1">
        <f t="shared" si="56"/>
        <v>-11.468468746846096</v>
      </c>
      <c r="P76" s="1">
        <f t="shared" si="56"/>
        <v>-9.4684687468460957</v>
      </c>
      <c r="Q76" s="1">
        <f t="shared" si="56"/>
        <v>-9.7984687468460958</v>
      </c>
      <c r="R76" s="1">
        <f t="shared" si="56"/>
        <v>-12.068468746846095</v>
      </c>
      <c r="S76" s="1">
        <f>$J76+SUMPRODUCT(regions!EI75:EN75,regions!EI$204:EN$204)</f>
        <v>-4.8744672515493068</v>
      </c>
      <c r="T76" s="1">
        <f>$J76+SUMPRODUCT(regions!EQ75:EV75,regions!EQ$204:EV$204)</f>
        <v>-4.3734793185645771</v>
      </c>
      <c r="U76" s="1">
        <f>$J76+SUMPRODUCT(regions!CM75:CU75,regions!CM$204:CU$204)</f>
        <v>-6.7083574271059181</v>
      </c>
      <c r="V76" s="1">
        <f>$J76+SUMPRODUCT(regions!DH75:DM75,regions!DH$204:DM$204)</f>
        <v>-6.8019106860931409</v>
      </c>
      <c r="W76" s="1">
        <f>$J76+SUMPRODUCT(regions!DP75:DW75,regions!DP$204:DW$204)</f>
        <v>-6.6983574271059165</v>
      </c>
      <c r="X76" s="1">
        <f>$J76+SUMPRODUCT(regions!AB75:AE75,regions!AB$204:AE$204)</f>
        <v>-3.7518251065960389</v>
      </c>
      <c r="Y76" s="1">
        <f>$J76+SUMPRODUCT(regions!BX75:CJ75,regions!BX$204:CJ$204)</f>
        <v>-1.9179611541283901</v>
      </c>
      <c r="Z76" s="1">
        <f>$J76+SUMPRODUCT(regions!CX75:DF75,regions!CX$204:DF$204)</f>
        <v>-2.508357427105917</v>
      </c>
      <c r="AA76" s="1">
        <f t="shared" si="46"/>
        <v>-10.5</v>
      </c>
      <c r="AB76" s="1">
        <f t="shared" si="47"/>
        <v>-8.6215282992911852</v>
      </c>
      <c r="AC76" s="1">
        <f>$J76+SUMPRODUCT(regions!DZ75:EG75,regions!DZ$204:EG$204)</f>
        <v>-4.6592574271059171</v>
      </c>
      <c r="AD76" s="1">
        <f t="shared" si="57"/>
        <v>-9.458468746846096</v>
      </c>
      <c r="AE76" s="1">
        <f t="shared" si="57"/>
        <v>-10.968468746846096</v>
      </c>
      <c r="AF76" s="1">
        <f t="shared" si="48"/>
        <v>-138.30000000000001</v>
      </c>
      <c r="AG76" s="1">
        <f>$J76+SUMPRODUCT(regions!AX75:BK75,regions!AX$204:BK$204)</f>
        <v>-3.0975710925779651</v>
      </c>
      <c r="AH76" s="1">
        <f>$J76+SUMPRODUCT(regions!AG75:AV75,regions!AG$204:AV$204)</f>
        <v>-11.264184650844362</v>
      </c>
      <c r="AI76" s="1">
        <f t="shared" si="58"/>
        <v>-10.468468746846096</v>
      </c>
      <c r="AJ76" s="1">
        <f>SartoriRoson!C73</f>
        <v>-3.57</v>
      </c>
      <c r="AK76" s="1">
        <f>Kompas!E73</f>
        <v>-2.798</v>
      </c>
      <c r="AL76" s="1">
        <f>$J76+SUMPRODUCT(regions!EY75:FW75,regions!EY$204:FW$204)</f>
        <v>-3.9313198705908423</v>
      </c>
      <c r="AM76" s="1">
        <f>$J76+SUMPRODUCT(regions!FZ75:GF75,regions!FZ$204:GF$204)</f>
        <v>-0.47463595347322141</v>
      </c>
      <c r="AN76" s="1">
        <f t="shared" si="50"/>
        <v>-17.668468746846095</v>
      </c>
      <c r="AO76" s="1">
        <f t="shared" si="50"/>
        <v>-16.968468746846096</v>
      </c>
      <c r="AP76" s="1">
        <f t="shared" si="50"/>
        <v>-12.168468746846095</v>
      </c>
      <c r="AQ76" s="1">
        <f t="shared" si="49"/>
        <v>-3.3389414358556611</v>
      </c>
      <c r="AR76" s="1">
        <f t="shared" si="49"/>
        <v>-13.468468746846096</v>
      </c>
      <c r="AS76" s="1">
        <f t="shared" si="49"/>
        <v>-10.768468746846096</v>
      </c>
      <c r="AT76" s="1">
        <f t="shared" si="49"/>
        <v>-8.7618020801794287</v>
      </c>
      <c r="AU76" s="1">
        <f t="shared" si="53"/>
        <v>-13.688468746846095</v>
      </c>
      <c r="AV76" s="1">
        <f t="shared" si="53"/>
        <v>-12.268468746846096</v>
      </c>
      <c r="AW76" s="1">
        <f>$J76+SUMPRODUCT(regions!BN75:BU75,regions!BN$204:BU$204)</f>
        <v>-8.25007395916532</v>
      </c>
      <c r="AX76" s="1">
        <f t="shared" si="53"/>
        <v>-9.9484687468460962</v>
      </c>
      <c r="AY76" s="1">
        <f t="shared" si="53"/>
        <v>-9.168468746846095</v>
      </c>
      <c r="AZ76" s="1">
        <f t="shared" si="53"/>
        <v>-9.168468746846095</v>
      </c>
      <c r="BB76" t="str">
        <f>Maddison!A31</f>
        <v>Guatemala</v>
      </c>
      <c r="BC76">
        <f>-Maddison!B31</f>
        <v>-10.5</v>
      </c>
      <c r="BD76" s="1">
        <f>K76-BC76</f>
        <v>0.93383376271920326</v>
      </c>
      <c r="BF76" s="1"/>
      <c r="BG76" s="1"/>
      <c r="BJ76" t="str">
        <f>MaddisonRehdanz!A33</f>
        <v>Guatemala</v>
      </c>
      <c r="BK76">
        <f>MaddisonRehdanz!D33</f>
        <v>-138.30000000000001</v>
      </c>
      <c r="BL76" s="1">
        <f>$K76-BK76</f>
        <v>128.7338337627192</v>
      </c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</row>
    <row r="77" spans="1:90" x14ac:dyDescent="0.35">
      <c r="A77" t="s">
        <v>373</v>
      </c>
      <c r="B77" s="19">
        <f>regions!B76</f>
        <v>10876033</v>
      </c>
      <c r="C77" s="19">
        <f>regions!C76</f>
        <v>3267609254.7415366</v>
      </c>
      <c r="D77" s="8">
        <f>regions!D76</f>
        <v>300.44127805988973</v>
      </c>
      <c r="E77" s="8">
        <f>regions!E76</f>
        <v>0</v>
      </c>
      <c r="F77" s="8">
        <f>regions!F76</f>
        <v>17.484948734047407</v>
      </c>
      <c r="G77" s="1">
        <f>regions!Z76</f>
        <v>25.7</v>
      </c>
      <c r="J77" s="1">
        <f t="shared" si="45"/>
        <v>0.84384610595393994</v>
      </c>
      <c r="K77" s="1">
        <f t="shared" si="55"/>
        <v>-14.108900182070817</v>
      </c>
      <c r="L77" s="1">
        <f t="shared" si="24"/>
        <v>-13.714204465335921</v>
      </c>
      <c r="M77" s="1">
        <f t="shared" si="25"/>
        <v>8.8177913310643454</v>
      </c>
      <c r="N77" s="1">
        <f t="shared" si="56"/>
        <v>-13.607631764758738</v>
      </c>
      <c r="O77" s="1">
        <f t="shared" si="56"/>
        <v>-16.011202691636115</v>
      </c>
      <c r="P77" s="1">
        <f t="shared" si="56"/>
        <v>-14.011202691636116</v>
      </c>
      <c r="Q77" s="1">
        <f t="shared" si="56"/>
        <v>-14.341202691636116</v>
      </c>
      <c r="R77" s="1">
        <f t="shared" si="56"/>
        <v>-16.611202691636116</v>
      </c>
      <c r="S77" s="1">
        <f>$J77+SUMPRODUCT(regions!EI76:EN76,regions!EI$204:EN$204)</f>
        <v>-9.4172011963393274</v>
      </c>
      <c r="T77" s="1">
        <f>$J77+SUMPRODUCT(regions!EQ76:EV76,regions!EQ$204:EV$204)</f>
        <v>-8.9162132633545976</v>
      </c>
      <c r="U77" s="1">
        <f>$J77+SUMPRODUCT(regions!CM76:CU76,regions!CM$204:CU$204)</f>
        <v>-13.611784386664803</v>
      </c>
      <c r="V77" s="1">
        <f>$J77+SUMPRODUCT(regions!DH76:DM76,regions!DH$204:DM$204)</f>
        <v>-11.344644630883161</v>
      </c>
      <c r="W77" s="1">
        <f>$J77+SUMPRODUCT(regions!DP76:DW76,regions!DP$204:DW$204)</f>
        <v>-13.184201880273662</v>
      </c>
      <c r="X77" s="1">
        <f>$J77+SUMPRODUCT(regions!AB76:AE76,regions!AB$204:AE$204)</f>
        <v>-2.6726712422615018</v>
      </c>
      <c r="Y77" s="1">
        <f>$J77+SUMPRODUCT(regions!BX76:CJ76,regions!BX$204:CJ$204)</f>
        <v>-6.1081606819879237</v>
      </c>
      <c r="Z77" s="1">
        <f>$J77+SUMPRODUCT(regions!CX76:DF76,regions!CX$204:DF$204)</f>
        <v>-9.0117843866648037</v>
      </c>
      <c r="AA77" s="1">
        <f t="shared" si="46"/>
        <v>-11.604201892396619</v>
      </c>
      <c r="AB77" s="1">
        <f t="shared" si="47"/>
        <v>-13.164262244081206</v>
      </c>
      <c r="AC77" s="1">
        <f>$J77+SUMPRODUCT(regions!DZ76:EG76,regions!DZ$204:EG$204)</f>
        <v>-9.5851018802736618</v>
      </c>
      <c r="AD77" s="1">
        <f t="shared" si="57"/>
        <v>-14.001202691636117</v>
      </c>
      <c r="AE77" s="1">
        <f t="shared" si="57"/>
        <v>-15.511202691636116</v>
      </c>
      <c r="AF77" s="1">
        <f t="shared" si="48"/>
        <v>-41.632144926741489</v>
      </c>
      <c r="AG77" s="1">
        <f>$J77+SUMPRODUCT(regions!AX76:BK76,regions!AX$204:BK$204)</f>
        <v>-5.9462432350285876</v>
      </c>
      <c r="AH77" s="1">
        <f>$J77+SUMPRODUCT(regions!AG76:AV76,regions!AG$204:AV$204)</f>
        <v>-12.846243235028588</v>
      </c>
      <c r="AI77" s="1">
        <f t="shared" si="58"/>
        <v>-15.011202691636116</v>
      </c>
      <c r="AJ77" s="1">
        <f>SartoriRoson!C74</f>
        <v>-10.16</v>
      </c>
      <c r="AK77" s="1">
        <f>Kompas!E74</f>
        <v>-9.8960000000000008</v>
      </c>
      <c r="AL77" s="1">
        <f>$J77+SUMPRODUCT(regions!EY76:FW76,regions!EY$204:FW$204)</f>
        <v>-6.4353685007440191</v>
      </c>
      <c r="AM77" s="1">
        <f>$J77+SUMPRODUCT(regions!FZ76:GF76,regions!FZ$204:GF$204)</f>
        <v>-3.3078325727665181</v>
      </c>
      <c r="AN77" s="1">
        <f t="shared" si="50"/>
        <v>-22.211202691636117</v>
      </c>
      <c r="AO77" s="1">
        <f t="shared" si="50"/>
        <v>-21.511202691636115</v>
      </c>
      <c r="AP77" s="1">
        <f t="shared" si="50"/>
        <v>-16.711202691636117</v>
      </c>
      <c r="AQ77" s="1">
        <f t="shared" si="49"/>
        <v>-7.8816753806456825</v>
      </c>
      <c r="AR77" s="1">
        <f t="shared" si="49"/>
        <v>-18.011202691636115</v>
      </c>
      <c r="AS77" s="1">
        <f t="shared" si="49"/>
        <v>-15.311202691636115</v>
      </c>
      <c r="AT77" s="1">
        <f t="shared" si="49"/>
        <v>-13.304536024969449</v>
      </c>
      <c r="AU77" s="1">
        <f t="shared" si="53"/>
        <v>-18.231202691636117</v>
      </c>
      <c r="AV77" s="1">
        <f t="shared" si="53"/>
        <v>-16.811202691636115</v>
      </c>
      <c r="AW77" s="1">
        <f>$J77+SUMPRODUCT(regions!BN76:BU76,regions!BN$204:BU$204)</f>
        <v>-11.060942504261959</v>
      </c>
      <c r="AX77" s="1">
        <f t="shared" si="53"/>
        <v>-14.491202691636117</v>
      </c>
      <c r="AY77" s="1">
        <f t="shared" si="53"/>
        <v>-13.711202691636116</v>
      </c>
      <c r="AZ77" s="1">
        <f t="shared" si="53"/>
        <v>-13.711202691636116</v>
      </c>
      <c r="BF77" s="1"/>
      <c r="BG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</row>
    <row r="78" spans="1:90" x14ac:dyDescent="0.35">
      <c r="A78" t="s">
        <v>374</v>
      </c>
      <c r="B78" s="19">
        <f>regions!B77</f>
        <v>1586624</v>
      </c>
      <c r="C78" s="19">
        <f>regions!C77</f>
        <v>654977405.69626474</v>
      </c>
      <c r="D78" s="8">
        <f>regions!D77</f>
        <v>412.81198676955898</v>
      </c>
      <c r="E78" s="8">
        <f>regions!E77</f>
        <v>0</v>
      </c>
      <c r="F78" s="8">
        <f>regions!F77</f>
        <v>45.088046799757443</v>
      </c>
      <c r="G78" s="1">
        <f>regions!Z77</f>
        <v>26.7</v>
      </c>
      <c r="J78" s="1">
        <f t="shared" si="45"/>
        <v>1.0512534861074769</v>
      </c>
      <c r="K78" s="1">
        <f t="shared" si="55"/>
        <v>-13.90149280191728</v>
      </c>
      <c r="L78" s="1">
        <f t="shared" si="24"/>
        <v>-13.557946181600515</v>
      </c>
      <c r="M78" s="1">
        <f t="shared" si="25"/>
        <v>8.8322869180291228</v>
      </c>
      <c r="N78" s="1">
        <f t="shared" si="56"/>
        <v>-13.400224384605201</v>
      </c>
      <c r="O78" s="1">
        <f t="shared" si="56"/>
        <v>-15.803795311482579</v>
      </c>
      <c r="P78" s="1">
        <f t="shared" si="56"/>
        <v>-13.803795311482579</v>
      </c>
      <c r="Q78" s="1">
        <f t="shared" si="56"/>
        <v>-14.133795311482579</v>
      </c>
      <c r="R78" s="1">
        <f t="shared" si="56"/>
        <v>-16.403795311482579</v>
      </c>
      <c r="S78" s="1">
        <f>$J78+SUMPRODUCT(regions!EI77:EN77,regions!EI$204:EN$204)</f>
        <v>-9.2097938161857904</v>
      </c>
      <c r="T78" s="1">
        <f>$J78+SUMPRODUCT(regions!EQ77:EV77,regions!EQ$204:EV$204)</f>
        <v>-8.7088058832010606</v>
      </c>
      <c r="U78" s="1">
        <f>$J78+SUMPRODUCT(regions!CM77:CU77,regions!CM$204:CU$204)</f>
        <v>-13.404377006511266</v>
      </c>
      <c r="V78" s="1">
        <f>$J78+SUMPRODUCT(regions!DH77:DM77,regions!DH$204:DM$204)</f>
        <v>-11.137237250729624</v>
      </c>
      <c r="W78" s="1">
        <f>$J78+SUMPRODUCT(regions!DP77:DW77,regions!DP$204:DW$204)</f>
        <v>-12.976794500120125</v>
      </c>
      <c r="X78" s="1">
        <f>$J78+SUMPRODUCT(regions!AB77:AE77,regions!AB$204:AE$204)</f>
        <v>-2.4652638621079648</v>
      </c>
      <c r="Y78" s="1">
        <f>$J78+SUMPRODUCT(regions!BX77:CJ77,regions!BX$204:CJ$204)</f>
        <v>-5.9007533018343867</v>
      </c>
      <c r="Z78" s="1">
        <f>$J78+SUMPRODUCT(regions!CX77:DF77,regions!CX$204:DF$204)</f>
        <v>-8.8043770065112668</v>
      </c>
      <c r="AA78" s="1">
        <f t="shared" si="46"/>
        <v>-11.396794512243082</v>
      </c>
      <c r="AB78" s="1">
        <f t="shared" si="47"/>
        <v>-12.956854863927669</v>
      </c>
      <c r="AC78" s="1">
        <f>$J78+SUMPRODUCT(regions!DZ77:EG77,regions!DZ$204:EG$204)</f>
        <v>-9.3776945001201248</v>
      </c>
      <c r="AD78" s="1">
        <f t="shared" si="57"/>
        <v>-13.79379531148258</v>
      </c>
      <c r="AE78" s="1">
        <f t="shared" si="57"/>
        <v>-15.303795311482579</v>
      </c>
      <c r="AF78" s="1">
        <f t="shared" si="48"/>
        <v>-41.424737546587949</v>
      </c>
      <c r="AG78" s="1">
        <f>$J78+SUMPRODUCT(regions!AX77:BK77,regions!AX$204:BK$204)</f>
        <v>-5.7388358548750507</v>
      </c>
      <c r="AH78" s="1">
        <f>$J78+SUMPRODUCT(regions!AG77:AV77,regions!AG$204:AV$204)</f>
        <v>-12.638835854875051</v>
      </c>
      <c r="AI78" s="1">
        <f t="shared" si="58"/>
        <v>-14.803795311482579</v>
      </c>
      <c r="AJ78" s="1">
        <f>SartoriRoson!C75</f>
        <v>-6.07</v>
      </c>
      <c r="AK78" s="1">
        <f>Kompas!E75</f>
        <v>-15.566000000000001</v>
      </c>
      <c r="AL78" s="1">
        <f>$J78+SUMPRODUCT(regions!EY77:FW77,regions!EY$204:FW$204)</f>
        <v>-6.2279611205904821</v>
      </c>
      <c r="AM78" s="1">
        <f>$J78+SUMPRODUCT(regions!FZ77:GF77,regions!FZ$204:GF$204)</f>
        <v>-3.1004251926129811</v>
      </c>
      <c r="AN78" s="1">
        <f t="shared" si="50"/>
        <v>-22.003795311482577</v>
      </c>
      <c r="AO78" s="1">
        <f t="shared" si="50"/>
        <v>-21.303795311482581</v>
      </c>
      <c r="AP78" s="1">
        <f t="shared" si="50"/>
        <v>-16.50379531148258</v>
      </c>
      <c r="AQ78" s="1">
        <f t="shared" si="49"/>
        <v>-7.6742680004921455</v>
      </c>
      <c r="AR78" s="1">
        <f t="shared" si="49"/>
        <v>-17.803795311482581</v>
      </c>
      <c r="AS78" s="1">
        <f t="shared" si="49"/>
        <v>-15.103795311482578</v>
      </c>
      <c r="AT78" s="1">
        <f t="shared" si="49"/>
        <v>-13.097128644815912</v>
      </c>
      <c r="AU78" s="1">
        <f t="shared" si="53"/>
        <v>-18.02379531148258</v>
      </c>
      <c r="AV78" s="1">
        <f t="shared" si="53"/>
        <v>-16.603795311482578</v>
      </c>
      <c r="AW78" s="1">
        <f>$J78+SUMPRODUCT(regions!BN77:BU77,regions!BN$204:BU$204)</f>
        <v>-10.853535124108422</v>
      </c>
      <c r="AX78" s="1">
        <f t="shared" si="53"/>
        <v>-14.28379531148258</v>
      </c>
      <c r="AY78" s="1">
        <f t="shared" si="53"/>
        <v>-13.503795311482579</v>
      </c>
      <c r="AZ78" s="1">
        <f t="shared" si="53"/>
        <v>-13.503795311482579</v>
      </c>
      <c r="BF78" s="1"/>
      <c r="BG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</row>
    <row r="79" spans="1:90" x14ac:dyDescent="0.35">
      <c r="A79" t="s">
        <v>375</v>
      </c>
      <c r="B79" s="19">
        <f>regions!B78</f>
        <v>786126</v>
      </c>
      <c r="C79" s="19">
        <f>regions!C78</f>
        <v>918902044.7624557</v>
      </c>
      <c r="D79" s="8">
        <f>regions!D78</f>
        <v>1168.8991901583915</v>
      </c>
      <c r="E79" s="8">
        <f>regions!E78</f>
        <v>0</v>
      </c>
      <c r="F79" s="8">
        <f>regions!F78</f>
        <v>16.388282819554554</v>
      </c>
      <c r="G79" s="1">
        <f>regions!Z78</f>
        <v>25.9</v>
      </c>
      <c r="J79" s="1">
        <f t="shared" si="45"/>
        <v>3.2465302445038944</v>
      </c>
      <c r="K79" s="1">
        <f t="shared" si="55"/>
        <v>-11.706216043520863</v>
      </c>
      <c r="L79" s="1">
        <f t="shared" si="24"/>
        <v>-11.17367784627162</v>
      </c>
      <c r="M79" s="1">
        <f t="shared" si="25"/>
        <v>8.2089762011496585</v>
      </c>
      <c r="N79" s="1">
        <f t="shared" si="56"/>
        <v>-11.204947626208783</v>
      </c>
      <c r="O79" s="1">
        <f t="shared" si="56"/>
        <v>-13.608518553086162</v>
      </c>
      <c r="P79" s="1">
        <f t="shared" si="56"/>
        <v>-11.608518553086162</v>
      </c>
      <c r="Q79" s="1">
        <f t="shared" si="56"/>
        <v>-11.938518553086162</v>
      </c>
      <c r="R79" s="1">
        <f t="shared" si="56"/>
        <v>-14.208518553086162</v>
      </c>
      <c r="S79" s="1">
        <f>$J79+SUMPRODUCT(regions!EI78:EN78,regions!EI$204:EN$204)</f>
        <v>-7.014517057789373</v>
      </c>
      <c r="T79" s="1">
        <f>$J79+SUMPRODUCT(regions!EQ78:EV78,regions!EQ$204:EV$204)</f>
        <v>-6.5135291248046432</v>
      </c>
      <c r="U79" s="1">
        <f>$J79+SUMPRODUCT(regions!CM78:CU78,regions!CM$204:CU$204)</f>
        <v>-8.8484072333459842</v>
      </c>
      <c r="V79" s="1">
        <f>$J79+SUMPRODUCT(regions!DH78:DM78,regions!DH$204:DM$204)</f>
        <v>-8.941960492333207</v>
      </c>
      <c r="W79" s="1">
        <f>$J79+SUMPRODUCT(regions!DP78:DW78,regions!DP$204:DW$204)</f>
        <v>-8.8384072333459827</v>
      </c>
      <c r="X79" s="1">
        <f>$J79+SUMPRODUCT(regions!AB78:AE78,regions!AB$204:AE$204)</f>
        <v>-5.891874912836105</v>
      </c>
      <c r="Y79" s="1">
        <f>$J79+SUMPRODUCT(regions!BX78:CJ78,regions!BX$204:CJ$204)</f>
        <v>-4.0580109603684562</v>
      </c>
      <c r="Z79" s="1">
        <f>$J79+SUMPRODUCT(regions!CX78:DF78,regions!CX$204:DF$204)</f>
        <v>-4.6484072333459832</v>
      </c>
      <c r="AA79" s="1">
        <f t="shared" si="46"/>
        <v>-9.2015177538466641</v>
      </c>
      <c r="AB79" s="1">
        <f t="shared" si="47"/>
        <v>-10.761578105531251</v>
      </c>
      <c r="AC79" s="1">
        <f>$J79+SUMPRODUCT(regions!DZ78:EG78,regions!DZ$204:EG$204)</f>
        <v>-6.7993072333459832</v>
      </c>
      <c r="AD79" s="1">
        <f t="shared" si="57"/>
        <v>-11.598518553086162</v>
      </c>
      <c r="AE79" s="1">
        <f t="shared" si="57"/>
        <v>-13.108518553086162</v>
      </c>
      <c r="AF79" s="1">
        <f t="shared" si="48"/>
        <v>-39.229460788191531</v>
      </c>
      <c r="AG79" s="1">
        <f>$J79+SUMPRODUCT(regions!AX78:BK78,regions!AX$204:BK$204)</f>
        <v>-5.2376208988180313</v>
      </c>
      <c r="AH79" s="1">
        <f>$J79+SUMPRODUCT(regions!AG78:AV78,regions!AG$204:AV$204)</f>
        <v>-13.404234457084428</v>
      </c>
      <c r="AI79" s="1">
        <f t="shared" si="58"/>
        <v>-12.608518553086162</v>
      </c>
      <c r="AJ79" s="1">
        <f>SartoriRoson!C76</f>
        <v>-0.6</v>
      </c>
      <c r="AK79" s="1">
        <f>Kompas!E76</f>
        <v>-1.5449999999999999</v>
      </c>
      <c r="AL79" s="1">
        <f>$J79+SUMPRODUCT(regions!EY78:FW78,regions!EY$204:FW$204)</f>
        <v>-6.0713696768309084</v>
      </c>
      <c r="AM79" s="1">
        <f>$J79+SUMPRODUCT(regions!FZ78:GF78,regions!FZ$204:GF$204)</f>
        <v>-2.6146857597132875</v>
      </c>
      <c r="AN79" s="1">
        <f t="shared" si="50"/>
        <v>-19.808518553086159</v>
      </c>
      <c r="AO79" s="1">
        <f t="shared" si="50"/>
        <v>-19.108518553086164</v>
      </c>
      <c r="AP79" s="1">
        <f t="shared" si="50"/>
        <v>-14.308518553086163</v>
      </c>
      <c r="AQ79" s="1">
        <f t="shared" si="49"/>
        <v>-5.478991242095729</v>
      </c>
      <c r="AR79" s="1">
        <f t="shared" si="49"/>
        <v>-15.608518553086162</v>
      </c>
      <c r="AS79" s="1">
        <f t="shared" si="49"/>
        <v>-12.908518553086161</v>
      </c>
      <c r="AT79" s="1">
        <f t="shared" si="49"/>
        <v>-10.901851886419495</v>
      </c>
      <c r="AU79" s="1">
        <f t="shared" si="53"/>
        <v>-15.828518553086163</v>
      </c>
      <c r="AV79" s="1">
        <f t="shared" si="53"/>
        <v>-14.408518553086161</v>
      </c>
      <c r="AW79" s="1">
        <f>$J79+SUMPRODUCT(regions!BN78:BU78,regions!BN$204:BU$204)</f>
        <v>-8.6582583657120047</v>
      </c>
      <c r="AX79" s="1">
        <f t="shared" si="53"/>
        <v>-12.088518553086162</v>
      </c>
      <c r="AY79" s="1">
        <f t="shared" si="53"/>
        <v>-11.308518553086163</v>
      </c>
      <c r="AZ79" s="1">
        <f t="shared" si="53"/>
        <v>-11.308518553086163</v>
      </c>
      <c r="BF79" s="1"/>
      <c r="BG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</row>
    <row r="80" spans="1:90" x14ac:dyDescent="0.35">
      <c r="A80" t="s">
        <v>376</v>
      </c>
      <c r="B80" s="19">
        <f>regions!B79</f>
        <v>9896400</v>
      </c>
      <c r="C80" s="19">
        <f>regions!C79</f>
        <v>4312557777.9740305</v>
      </c>
      <c r="D80" s="8">
        <f>regions!D79</f>
        <v>435.77035871367673</v>
      </c>
      <c r="E80" s="8">
        <f>regions!E79</f>
        <v>0</v>
      </c>
      <c r="F80" s="8">
        <f>regions!F79</f>
        <v>25.685602093260211</v>
      </c>
      <c r="G80" s="1">
        <f>regions!Z79</f>
        <v>24.8</v>
      </c>
      <c r="J80" s="1">
        <f t="shared" si="45"/>
        <v>1.8565978026040035</v>
      </c>
      <c r="K80" s="1">
        <f t="shared" si="55"/>
        <v>-13.096148485420754</v>
      </c>
      <c r="L80" s="1">
        <f t="shared" si="24"/>
        <v>-12.828677762408921</v>
      </c>
      <c r="M80" s="1">
        <f t="shared" si="25"/>
        <v>8.4252191830900856</v>
      </c>
      <c r="N80" s="1">
        <f t="shared" si="56"/>
        <v>-12.594880068108674</v>
      </c>
      <c r="O80" s="1">
        <f t="shared" si="56"/>
        <v>-14.998450994986053</v>
      </c>
      <c r="P80" s="1">
        <f t="shared" si="56"/>
        <v>-12.998450994986053</v>
      </c>
      <c r="Q80" s="1">
        <f t="shared" si="56"/>
        <v>-13.328450994986053</v>
      </c>
      <c r="R80" s="1">
        <f t="shared" si="56"/>
        <v>-15.598450994986052</v>
      </c>
      <c r="S80" s="1">
        <f>$J80+SUMPRODUCT(regions!EI79:EN79,regions!EI$204:EN$204)</f>
        <v>-8.4044494996892638</v>
      </c>
      <c r="T80" s="1">
        <f>$J80+SUMPRODUCT(regions!EQ79:EV79,regions!EQ$204:EV$204)</f>
        <v>-7.903461566704534</v>
      </c>
      <c r="U80" s="1">
        <f>$J80+SUMPRODUCT(regions!CM79:CU79,regions!CM$204:CU$204)</f>
        <v>-10.238339675245875</v>
      </c>
      <c r="V80" s="1">
        <f>$J80+SUMPRODUCT(regions!DH79:DM79,regions!DH$204:DM$204)</f>
        <v>-10.331892934233098</v>
      </c>
      <c r="W80" s="1">
        <f>$J80+SUMPRODUCT(regions!DP79:DW79,regions!DP$204:DW$204)</f>
        <v>-10.228339675245874</v>
      </c>
      <c r="X80" s="1">
        <f>$J80+SUMPRODUCT(regions!AB79:AE79,regions!AB$204:AE$204)</f>
        <v>-1.6599195456114382</v>
      </c>
      <c r="Y80" s="1">
        <f>$J80+SUMPRODUCT(regions!BX79:CJ79,regions!BX$204:CJ$204)</f>
        <v>-5.4479434022683471</v>
      </c>
      <c r="Z80" s="1">
        <f>$J80+SUMPRODUCT(regions!CX79:DF79,regions!CX$204:DF$204)</f>
        <v>-6.038339675245874</v>
      </c>
      <c r="AA80" s="1">
        <f t="shared" si="46"/>
        <v>-10.591450195746555</v>
      </c>
      <c r="AB80" s="1">
        <f t="shared" si="47"/>
        <v>-12.151510547431142</v>
      </c>
      <c r="AC80" s="1">
        <f>$J80+SUMPRODUCT(regions!DZ79:EG79,regions!DZ$204:EG$204)</f>
        <v>-8.189239675245874</v>
      </c>
      <c r="AD80" s="1">
        <f t="shared" si="57"/>
        <v>-12.988450994986053</v>
      </c>
      <c r="AE80" s="1">
        <f t="shared" si="57"/>
        <v>-14.498450994986053</v>
      </c>
      <c r="AF80" s="1">
        <f t="shared" si="48"/>
        <v>-40.619393230091426</v>
      </c>
      <c r="AG80" s="1">
        <f>$J80+SUMPRODUCT(regions!AX79:BK79,regions!AX$204:BK$204)</f>
        <v>-6.6275533407179221</v>
      </c>
      <c r="AH80" s="1">
        <f>$J80+SUMPRODUCT(regions!AG79:AV79,regions!AG$204:AV$204)</f>
        <v>-14.794166898984319</v>
      </c>
      <c r="AI80" s="1">
        <f t="shared" si="58"/>
        <v>-13.998450994986053</v>
      </c>
      <c r="AJ80" s="1">
        <f>SartoriRoson!C77</f>
        <v>-7.84</v>
      </c>
      <c r="AK80" s="1">
        <f>Kompas!E77</f>
        <v>-8.2070000000000007</v>
      </c>
      <c r="AL80" s="1">
        <f>$J80+SUMPRODUCT(regions!EY79:FW79,regions!EY$204:FW$204)</f>
        <v>-7.4613021187307993</v>
      </c>
      <c r="AM80" s="1">
        <f>$J80+SUMPRODUCT(regions!FZ79:GF79,regions!FZ$204:GF$204)</f>
        <v>-7.1101369901031148</v>
      </c>
      <c r="AN80" s="1">
        <f t="shared" si="50"/>
        <v>-21.198450994986054</v>
      </c>
      <c r="AO80" s="1">
        <f t="shared" si="50"/>
        <v>-20.498450994986051</v>
      </c>
      <c r="AP80" s="1">
        <f t="shared" si="50"/>
        <v>-15.698450994986054</v>
      </c>
      <c r="AQ80" s="1">
        <f t="shared" si="49"/>
        <v>-6.8689236839956189</v>
      </c>
      <c r="AR80" s="1">
        <f t="shared" si="49"/>
        <v>-16.998450994986051</v>
      </c>
      <c r="AS80" s="1">
        <f t="shared" si="49"/>
        <v>-14.298450994986052</v>
      </c>
      <c r="AT80" s="1">
        <f t="shared" si="49"/>
        <v>-12.291784328319386</v>
      </c>
      <c r="AU80" s="1">
        <f t="shared" si="53"/>
        <v>-17.218450994986053</v>
      </c>
      <c r="AV80" s="1">
        <f t="shared" si="53"/>
        <v>-15.798450994986052</v>
      </c>
      <c r="AW80" s="1">
        <f>$J80+SUMPRODUCT(regions!BN79:BU79,regions!BN$204:BU$204)</f>
        <v>-11.780056207305277</v>
      </c>
      <c r="AX80" s="1">
        <f t="shared" si="53"/>
        <v>-13.478450994986053</v>
      </c>
      <c r="AY80" s="1">
        <f t="shared" si="53"/>
        <v>-12.698450994986052</v>
      </c>
      <c r="AZ80" s="1">
        <f t="shared" si="53"/>
        <v>-12.698450994986052</v>
      </c>
      <c r="BF80" s="1"/>
      <c r="BG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</row>
    <row r="81" spans="1:90" x14ac:dyDescent="0.35">
      <c r="A81" t="s">
        <v>148</v>
      </c>
      <c r="B81" s="19">
        <f>regions!B80</f>
        <v>7621204</v>
      </c>
      <c r="C81" s="19">
        <f>regions!C80</f>
        <v>11546063422.563662</v>
      </c>
      <c r="D81" s="8">
        <f>regions!D80</f>
        <v>1514.9920435883439</v>
      </c>
      <c r="E81" s="8">
        <f>regions!E80</f>
        <v>14.425098400860714</v>
      </c>
      <c r="F81" s="8">
        <f>regions!F80</f>
        <v>11.591220437975716</v>
      </c>
      <c r="G81" s="1">
        <f>regions!Z80</f>
        <v>23.5</v>
      </c>
      <c r="J81" s="1">
        <f t="shared" si="45"/>
        <v>4.6120237481419526</v>
      </c>
      <c r="K81" s="1">
        <f t="shared" si="55"/>
        <v>-10.340722539882805</v>
      </c>
      <c r="L81" s="1">
        <f t="shared" ref="L81:L144" si="59">AVERAGE(N81:AZ81)+AVERAGE(N$1:AZ$1)</f>
        <v>-10.988715254487557</v>
      </c>
      <c r="M81" s="1">
        <f t="shared" ref="M81:M144" si="60">SQRT(SUMPRODUCT(N81:AZ81,N81:AZ81)/32-L81^2)</f>
        <v>7.6475805587649077</v>
      </c>
      <c r="N81" s="1">
        <f t="shared" si="56"/>
        <v>-9.839454122570725</v>
      </c>
      <c r="O81" s="1">
        <f t="shared" si="56"/>
        <v>-12.243025049448104</v>
      </c>
      <c r="P81" s="1">
        <f t="shared" si="56"/>
        <v>-10.243025049448104</v>
      </c>
      <c r="Q81" s="1">
        <f t="shared" si="56"/>
        <v>-10.573025049448104</v>
      </c>
      <c r="R81" s="1">
        <f t="shared" si="56"/>
        <v>-12.843025049448103</v>
      </c>
      <c r="S81" s="1">
        <f>$J81+SUMPRODUCT(regions!EI80:EN80,regions!EI$204:EN$204)</f>
        <v>-5.6490235541513147</v>
      </c>
      <c r="T81" s="1">
        <f>$J81+SUMPRODUCT(regions!EQ80:EV80,regions!EQ$204:EV$204)</f>
        <v>-5.148035621166585</v>
      </c>
      <c r="U81" s="1">
        <f>$J81+SUMPRODUCT(regions!CM80:CU80,regions!CM$204:CU$204)</f>
        <v>-10.043983081094137</v>
      </c>
      <c r="V81" s="1">
        <f>$J81+SUMPRODUCT(regions!DH80:DM80,regions!DH$204:DM$204)</f>
        <v>-7.5764669886951488</v>
      </c>
      <c r="W81" s="1">
        <f>$J81+SUMPRODUCT(regions!DP80:DW80,regions!DP$204:DW$204)</f>
        <v>-10.343983081094137</v>
      </c>
      <c r="X81" s="1">
        <f>$J81+SUMPRODUCT(regions!AB80:AE80,regions!AB$204:AE$204)</f>
        <v>-4.5263814091980468</v>
      </c>
      <c r="Y81" s="1">
        <f>$J81+SUMPRODUCT(regions!BX80:CJ80,regions!BX$204:CJ$204)</f>
        <v>-2.692517456730398</v>
      </c>
      <c r="Z81" s="1">
        <f>$J81+SUMPRODUCT(regions!CX80:DF80,regions!CX$204:DF$204)</f>
        <v>-8.3439830810941373</v>
      </c>
      <c r="AA81" s="1">
        <f t="shared" si="46"/>
        <v>-16.3</v>
      </c>
      <c r="AB81" s="1">
        <f t="shared" si="47"/>
        <v>-9.3960846018931932</v>
      </c>
      <c r="AC81" s="1">
        <f>$J81+SUMPRODUCT(regions!DZ80:EG80,regions!DZ$204:EG$204)</f>
        <v>-9.913483081094137</v>
      </c>
      <c r="AD81" s="1">
        <f t="shared" si="57"/>
        <v>-10.233025049448104</v>
      </c>
      <c r="AE81" s="1">
        <f t="shared" si="57"/>
        <v>-11.743025049448104</v>
      </c>
      <c r="AF81" s="1">
        <f t="shared" si="48"/>
        <v>-37.863967284553475</v>
      </c>
      <c r="AG81" s="1">
        <f>$J81+SUMPRODUCT(regions!AX80:BK80,regions!AX$204:BK$204)</f>
        <v>-3.8721273951799731</v>
      </c>
      <c r="AH81" s="1">
        <f>$J81+SUMPRODUCT(regions!AG80:AV80,regions!AG$204:AV$204)</f>
        <v>-12.03874095344637</v>
      </c>
      <c r="AI81" s="1">
        <f t="shared" si="58"/>
        <v>-11.243025049448104</v>
      </c>
      <c r="AJ81" s="1">
        <f>SartoriRoson!C78</f>
        <v>-9.16</v>
      </c>
      <c r="AK81" s="1">
        <f>Kompas!E78</f>
        <v>-11.125999999999999</v>
      </c>
      <c r="AL81" s="1">
        <f>$J81+SUMPRODUCT(regions!EY80:FW80,regions!EY$204:FW$204)</f>
        <v>-4.7058761731928502</v>
      </c>
      <c r="AM81" s="1">
        <f>$J81+SUMPRODUCT(regions!FZ80:GF80,regions!FZ$204:GF$204)</f>
        <v>-1.2491922560752293</v>
      </c>
      <c r="AN81" s="1">
        <f t="shared" si="50"/>
        <v>-18.443025049448103</v>
      </c>
      <c r="AO81" s="1">
        <f t="shared" si="50"/>
        <v>-17.743025049448104</v>
      </c>
      <c r="AP81" s="1">
        <f t="shared" si="50"/>
        <v>-12.943025049448103</v>
      </c>
      <c r="AQ81" s="1">
        <f t="shared" si="49"/>
        <v>-4.113497738457669</v>
      </c>
      <c r="AR81" s="1">
        <f t="shared" si="49"/>
        <v>-14.243025049448104</v>
      </c>
      <c r="AS81" s="1">
        <f t="shared" si="49"/>
        <v>-11.543025049448104</v>
      </c>
      <c r="AT81" s="1">
        <f t="shared" si="49"/>
        <v>-9.5363583827814367</v>
      </c>
      <c r="AU81" s="1">
        <f t="shared" si="53"/>
        <v>-14.463025049448103</v>
      </c>
      <c r="AV81" s="1">
        <f t="shared" si="53"/>
        <v>-13.043025049448104</v>
      </c>
      <c r="AW81" s="1">
        <f>$J81+SUMPRODUCT(regions!BN80:BU80,regions!BN$204:BU$204)</f>
        <v>-9.024630261767328</v>
      </c>
      <c r="AX81" s="1">
        <f t="shared" si="53"/>
        <v>-10.723025049448104</v>
      </c>
      <c r="AY81" s="1">
        <f t="shared" si="53"/>
        <v>-9.9430250494481029</v>
      </c>
      <c r="AZ81" s="1">
        <f t="shared" si="53"/>
        <v>-9.9430250494481029</v>
      </c>
      <c r="BB81" t="str">
        <f>Maddison!A32</f>
        <v>Honduras</v>
      </c>
      <c r="BC81">
        <f>-Maddison!B32</f>
        <v>-16.3</v>
      </c>
      <c r="BD81" s="1">
        <f t="shared" ref="BD81:BD87" si="61">K81-BC81</f>
        <v>5.9592774601171961</v>
      </c>
      <c r="BF81" s="1"/>
      <c r="BG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</row>
    <row r="82" spans="1:90" x14ac:dyDescent="0.35">
      <c r="A82" t="s">
        <v>149</v>
      </c>
      <c r="B82" s="19">
        <f>regions!B81</f>
        <v>7024200</v>
      </c>
      <c r="C82" s="19">
        <f>regions!C81</f>
        <v>220058248223.22446</v>
      </c>
      <c r="D82" s="8">
        <f>regions!D81</f>
        <v>31328.585208738998</v>
      </c>
      <c r="E82" s="8">
        <f>regions!E81</f>
        <v>0</v>
      </c>
      <c r="F82" s="8">
        <f>regions!F81</f>
        <v>5.3368401852806793E-2</v>
      </c>
      <c r="G82" s="1">
        <f>regions!Z81</f>
        <v>22.7</v>
      </c>
      <c r="J82" s="1">
        <f t="shared" si="45"/>
        <v>10.432555329852944</v>
      </c>
      <c r="K82" s="1">
        <f t="shared" si="55"/>
        <v>-4.5201909581718134</v>
      </c>
      <c r="L82" s="1">
        <f t="shared" si="59"/>
        <v>-4.6140351846897723</v>
      </c>
      <c r="M82" s="1">
        <f t="shared" si="60"/>
        <v>3.8998540154589816</v>
      </c>
      <c r="N82" s="1">
        <f t="shared" si="56"/>
        <v>-4.0189225408597338</v>
      </c>
      <c r="O82" s="1">
        <f t="shared" si="56"/>
        <v>-6.4224934677371124</v>
      </c>
      <c r="P82" s="1">
        <f t="shared" si="56"/>
        <v>-4.4224934677371124</v>
      </c>
      <c r="Q82" s="1">
        <f t="shared" si="56"/>
        <v>-4.7524934677371125</v>
      </c>
      <c r="R82" s="1">
        <f t="shared" si="56"/>
        <v>-7.022493467737112</v>
      </c>
      <c r="S82" s="1">
        <f>$J82+SUMPRODUCT(regions!EI81:EN81,regions!EI$204:EN$204)</f>
        <v>0.17150802755967653</v>
      </c>
      <c r="T82" s="1">
        <f>$J82+SUMPRODUCT(regions!EQ81:EV81,regions!EQ$204:EV$204)</f>
        <v>0.6724959605444063</v>
      </c>
      <c r="U82" s="1">
        <f>$J82+SUMPRODUCT(regions!CM81:CU81,regions!CM$204:CU$204)</f>
        <v>-6.6317821149274412</v>
      </c>
      <c r="V82" s="1">
        <f>$J82+SUMPRODUCT(regions!DH81:DM81,regions!DH$204:DM$204)</f>
        <v>-1.7559354069841575</v>
      </c>
      <c r="W82" s="1">
        <f>$J82+SUMPRODUCT(regions!DP81:DW81,regions!DP$204:DW$204)</f>
        <v>-5.5400007082347482</v>
      </c>
      <c r="X82" s="1">
        <f>$J82+SUMPRODUCT(regions!AB81:AE81,regions!AB$204:AE$204)</f>
        <v>-4.9111474117491785</v>
      </c>
      <c r="Y82" s="1">
        <f>$J82+SUMPRODUCT(regions!BX81:CJ81,regions!BX$204:CJ$204)</f>
        <v>-4.8185817006935832</v>
      </c>
      <c r="Z82" s="1">
        <f>$J82+SUMPRODUCT(regions!CX81:DF81,regions!CX$204:DF$204)</f>
        <v>0.66821788507255775</v>
      </c>
      <c r="AA82" s="1">
        <f t="shared" si="46"/>
        <v>-0.8</v>
      </c>
      <c r="AB82" s="1">
        <f t="shared" si="47"/>
        <v>-3.575553020182201</v>
      </c>
      <c r="AC82" s="1">
        <f>$J82+SUMPRODUCT(regions!DZ81:EG81,regions!DZ$204:EG$204)</f>
        <v>-3.5000708234749212E-2</v>
      </c>
      <c r="AD82" s="1">
        <f t="shared" si="57"/>
        <v>-4.4124934677371126</v>
      </c>
      <c r="AE82" s="1">
        <f t="shared" si="57"/>
        <v>-5.9224934677371124</v>
      </c>
      <c r="AF82" s="1">
        <f t="shared" si="48"/>
        <v>-5.9</v>
      </c>
      <c r="AG82" s="1">
        <f>$J82+SUMPRODUCT(regions!AX81:BK81,regions!AX$204:BK$204)</f>
        <v>1.536048953145551</v>
      </c>
      <c r="AH82" s="1">
        <f>$J82+SUMPRODUCT(regions!AG81:AV81,regions!AG$204:AV$204)</f>
        <v>-1.3360440823106874</v>
      </c>
      <c r="AI82" s="1">
        <f t="shared" si="58"/>
        <v>-5.4224934677371124</v>
      </c>
      <c r="AJ82" s="1">
        <f>SartoriRoson!C79</f>
        <v>-7.67</v>
      </c>
      <c r="AK82" s="1">
        <f>Kompas!E79</f>
        <v>-5.2880000000000003</v>
      </c>
      <c r="AL82" s="1">
        <f>$J82+SUMPRODUCT(regions!EY81:FW81,regions!EY$204:FW$204)</f>
        <v>0.17946727737237644</v>
      </c>
      <c r="AM82" s="1">
        <f>$J82+SUMPRODUCT(regions!FZ81:GF81,regions!FZ$204:GF$204)</f>
        <v>1.4658205371458255</v>
      </c>
      <c r="AN82" s="1">
        <f t="shared" si="50"/>
        <v>-12.622493467737112</v>
      </c>
      <c r="AO82" s="1">
        <f t="shared" si="50"/>
        <v>-11.922493467737112</v>
      </c>
      <c r="AP82" s="1">
        <f t="shared" si="50"/>
        <v>-7.1224934677371126</v>
      </c>
      <c r="AQ82" s="1">
        <f t="shared" si="49"/>
        <v>1.7070338432533223</v>
      </c>
      <c r="AR82" s="1">
        <f t="shared" si="49"/>
        <v>-8.4224934677371124</v>
      </c>
      <c r="AS82" s="1">
        <f t="shared" si="49"/>
        <v>-5.7224934677371113</v>
      </c>
      <c r="AT82" s="1">
        <f t="shared" si="49"/>
        <v>-3.7158268010704454</v>
      </c>
      <c r="AU82" s="1">
        <f t="shared" si="53"/>
        <v>-8.6424934677371112</v>
      </c>
      <c r="AV82" s="1">
        <f t="shared" si="53"/>
        <v>-7.2224934677371122</v>
      </c>
      <c r="AW82" s="1">
        <f>$J82+SUMPRODUCT(regions!BN81:BU81,regions!BN$204:BU$204)</f>
        <v>-3.2040986800563367</v>
      </c>
      <c r="AX82" s="1">
        <f t="shared" si="53"/>
        <v>-4.9024934677371128</v>
      </c>
      <c r="AY82" s="1">
        <f t="shared" si="53"/>
        <v>-4.1224934677371117</v>
      </c>
      <c r="AZ82" s="1">
        <f t="shared" si="53"/>
        <v>-4.1224934677371117</v>
      </c>
      <c r="BB82" t="str">
        <f>Maddison!A33</f>
        <v>Hong Kong</v>
      </c>
      <c r="BC82">
        <f>-Maddison!B33</f>
        <v>-0.8</v>
      </c>
      <c r="BD82" s="1">
        <f t="shared" si="61"/>
        <v>-3.7201909581718136</v>
      </c>
      <c r="BF82" s="1"/>
      <c r="BG82" s="1"/>
      <c r="BJ82" t="str">
        <f>MaddisonRehdanz!A34</f>
        <v>Hong Kong</v>
      </c>
      <c r="BK82">
        <f>MaddisonRehdanz!D34</f>
        <v>-5.9</v>
      </c>
      <c r="BL82" s="1">
        <f>$K82-BK82</f>
        <v>1.379809041828187</v>
      </c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</row>
    <row r="83" spans="1:90" x14ac:dyDescent="0.35">
      <c r="A83" t="s">
        <v>150</v>
      </c>
      <c r="B83" s="19">
        <f>regions!B82</f>
        <v>10000023</v>
      </c>
      <c r="C83" s="19">
        <f>regions!C82</f>
        <v>109264940823.83978</v>
      </c>
      <c r="D83" s="8">
        <f>regions!D82</f>
        <v>10926.468951505391</v>
      </c>
      <c r="E83" s="8">
        <f>regions!E82</f>
        <v>22.84823001433373</v>
      </c>
      <c r="F83" s="8">
        <f>regions!F82</f>
        <v>2.9858915460977036</v>
      </c>
      <c r="G83" s="1">
        <f>regions!Z82</f>
        <v>9.8000000000000007</v>
      </c>
      <c r="J83" s="1">
        <f t="shared" si="45"/>
        <v>13.309858468646372</v>
      </c>
      <c r="K83" s="1">
        <f t="shared" si="55"/>
        <v>-1.6428878193783856</v>
      </c>
      <c r="L83" s="1">
        <f t="shared" si="59"/>
        <v>-1.8643433459384302</v>
      </c>
      <c r="M83" s="1">
        <f t="shared" si="60"/>
        <v>3.2226374500059527</v>
      </c>
      <c r="N83" s="1">
        <f t="shared" si="56"/>
        <v>-1.141619402066306</v>
      </c>
      <c r="O83" s="1">
        <f t="shared" si="56"/>
        <v>-3.5451903289436846</v>
      </c>
      <c r="P83" s="1">
        <f t="shared" si="56"/>
        <v>-1.5451903289436846</v>
      </c>
      <c r="Q83" s="1">
        <f t="shared" si="56"/>
        <v>-1.8751903289436846</v>
      </c>
      <c r="R83" s="1">
        <f t="shared" si="56"/>
        <v>-4.1451903289436842</v>
      </c>
      <c r="S83" s="1">
        <f>$J83+SUMPRODUCT(regions!EI82:EN82,regions!EI$204:EN$204)</f>
        <v>3.0488111663531043</v>
      </c>
      <c r="T83" s="1">
        <f>$J83+SUMPRODUCT(regions!EQ82:EV82,regions!EQ$204:EV$204)</f>
        <v>3.5497990993378341</v>
      </c>
      <c r="U83" s="1">
        <f>$J83+SUMPRODUCT(regions!CM82:CU82,regions!CM$204:CU$204)</f>
        <v>-1.3461483605897175</v>
      </c>
      <c r="V83" s="1">
        <f>$J83+SUMPRODUCT(regions!DH82:DM82,regions!DH$204:DM$204)</f>
        <v>1.1213677318092703</v>
      </c>
      <c r="W83" s="1">
        <f>$J83+SUMPRODUCT(regions!DP82:DW82,regions!DP$204:DW$204)</f>
        <v>-1.6461483605897183</v>
      </c>
      <c r="X83" s="1">
        <f>$J83+SUMPRODUCT(regions!AB82:AE82,regions!AB$204:AE$204)</f>
        <v>3.3562196826670743</v>
      </c>
      <c r="Y83" s="1">
        <f>$J83+SUMPRODUCT(regions!BX82:CJ82,regions!BX$204:CJ$204)</f>
        <v>-0.78300021084632832</v>
      </c>
      <c r="Z83" s="1">
        <f>$J83+SUMPRODUCT(regions!CX82:DF82,regions!CX$204:DF$204)</f>
        <v>0.35385163941028175</v>
      </c>
      <c r="AA83" s="1">
        <f t="shared" si="46"/>
        <v>1.9</v>
      </c>
      <c r="AB83" s="1">
        <f t="shared" si="47"/>
        <v>-2.5050178718742404</v>
      </c>
      <c r="AC83" s="1">
        <f>$J83+SUMPRODUCT(regions!DZ82:EG82,regions!DZ$204:EG$204)</f>
        <v>-1.2156483605897179</v>
      </c>
      <c r="AD83" s="1">
        <f t="shared" si="57"/>
        <v>-1.5351903289436848</v>
      </c>
      <c r="AE83" s="1">
        <f t="shared" si="57"/>
        <v>-3.0451903289436846</v>
      </c>
      <c r="AF83" s="1">
        <f t="shared" si="48"/>
        <v>3.3</v>
      </c>
      <c r="AG83" s="1">
        <f>$J83+SUMPRODUCT(regions!AX82:BK82,regions!AX$204:BK$204)</f>
        <v>-0.45531833487772744</v>
      </c>
      <c r="AH83" s="1">
        <f>$J83+SUMPRODUCT(regions!AG82:AV82,regions!AG$204:AV$204)</f>
        <v>-1.0949502956762807</v>
      </c>
      <c r="AI83" s="1">
        <f t="shared" si="58"/>
        <v>-2.5451903289436846</v>
      </c>
      <c r="AJ83" s="1">
        <f>SartoriRoson!C80</f>
        <v>0.93</v>
      </c>
      <c r="AK83" s="1">
        <f>Kompas!E80</f>
        <v>-0.59</v>
      </c>
      <c r="AL83" s="1">
        <f>$J83+SUMPRODUCT(regions!EY82:FW82,regions!EY$204:FW$204)</f>
        <v>-2.2941390007614917</v>
      </c>
      <c r="AM83" s="1">
        <f>$J83+SUMPRODUCT(regions!FZ82:GF82,regions!FZ$204:GF$204)</f>
        <v>-0.9583719062016165</v>
      </c>
      <c r="AN83" s="1">
        <f t="shared" si="50"/>
        <v>-9.7451903289436839</v>
      </c>
      <c r="AO83" s="1">
        <f t="shared" si="50"/>
        <v>-9.0451903289436846</v>
      </c>
      <c r="AP83" s="1">
        <f t="shared" si="50"/>
        <v>-4.2451903289436839</v>
      </c>
      <c r="AQ83" s="1">
        <f t="shared" si="49"/>
        <v>4.5843369820467483</v>
      </c>
      <c r="AR83" s="1">
        <f t="shared" si="49"/>
        <v>-5.5451903289436846</v>
      </c>
      <c r="AS83" s="1">
        <f t="shared" si="49"/>
        <v>-2.8451903289436853</v>
      </c>
      <c r="AT83" s="1">
        <f t="shared" si="49"/>
        <v>-0.83852366227701758</v>
      </c>
      <c r="AU83" s="1">
        <f t="shared" si="53"/>
        <v>-5.7651903289436834</v>
      </c>
      <c r="AV83" s="1">
        <f t="shared" si="53"/>
        <v>-4.3451903289436853</v>
      </c>
      <c r="AW83" s="1">
        <f>$J83+SUMPRODUCT(regions!BN82:BU82,regions!BN$204:BU$204)</f>
        <v>-1.7519728746696224</v>
      </c>
      <c r="AX83" s="1">
        <f t="shared" si="53"/>
        <v>-2.025190328943685</v>
      </c>
      <c r="AY83" s="1">
        <f t="shared" si="53"/>
        <v>-1.2451903289436839</v>
      </c>
      <c r="AZ83" s="1">
        <f t="shared" si="53"/>
        <v>-1.2451903289436839</v>
      </c>
      <c r="BB83" t="str">
        <f>Maddison!A34</f>
        <v>Hungary</v>
      </c>
      <c r="BC83">
        <f>-Maddison!B34</f>
        <v>1.9</v>
      </c>
      <c r="BD83" s="1">
        <f t="shared" si="61"/>
        <v>-3.5428878193783855</v>
      </c>
      <c r="BE83" t="str">
        <f>RehdanzMaddison!P32</f>
        <v>Hungary</v>
      </c>
      <c r="BF83" s="1">
        <f>-100*RehdanzMaddison!U32</f>
        <v>-1.4541751841806954</v>
      </c>
      <c r="BG83" s="1">
        <f>-100*RehdanzMaddison!V32</f>
        <v>-2.5050178718742404</v>
      </c>
      <c r="BH83" s="1">
        <f t="shared" ref="BH83:BI85" si="62">$K83-BF83</f>
        <v>-0.18871263519769021</v>
      </c>
      <c r="BI83" s="1">
        <f t="shared" si="62"/>
        <v>0.86213005249585484</v>
      </c>
      <c r="BJ83" t="str">
        <f>MaddisonRehdanz!A35</f>
        <v>Hungary</v>
      </c>
      <c r="BK83">
        <f>MaddisonRehdanz!D35</f>
        <v>3.3</v>
      </c>
      <c r="BL83" s="1">
        <f>$K83-BK83</f>
        <v>-4.9428878193783854</v>
      </c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</row>
    <row r="84" spans="1:90" x14ac:dyDescent="0.35">
      <c r="A84" t="s">
        <v>151</v>
      </c>
      <c r="B84" s="19">
        <f>regions!B83</f>
        <v>318041</v>
      </c>
      <c r="C84" s="19">
        <f>regions!C83</f>
        <v>16388138908.052595</v>
      </c>
      <c r="D84" s="8">
        <f>regions!D83</f>
        <v>51528.384416011126</v>
      </c>
      <c r="E84" s="8">
        <f>regions!E83</f>
        <v>20.655218176458014</v>
      </c>
      <c r="F84" s="8">
        <f>regions!F83</f>
        <v>6.5166634635150613</v>
      </c>
      <c r="G84" s="1">
        <f>regions!Z83</f>
        <v>1.7</v>
      </c>
      <c r="J84" s="1">
        <f t="shared" si="45"/>
        <v>19.150303012043057</v>
      </c>
      <c r="K84" s="1">
        <f t="shared" si="55"/>
        <v>4.1975567240183</v>
      </c>
      <c r="L84" s="1">
        <f t="shared" si="59"/>
        <v>1.7462315992106201</v>
      </c>
      <c r="M84" s="1">
        <f t="shared" si="60"/>
        <v>5.5962600830211038</v>
      </c>
      <c r="N84" s="1">
        <f t="shared" si="56"/>
        <v>4.6988251413303797</v>
      </c>
      <c r="O84" s="1">
        <f t="shared" si="56"/>
        <v>2.295254214453001</v>
      </c>
      <c r="P84" s="1">
        <f t="shared" si="56"/>
        <v>4.295254214453001</v>
      </c>
      <c r="Q84" s="1">
        <f t="shared" si="56"/>
        <v>3.9652542144529992</v>
      </c>
      <c r="R84" s="1">
        <f t="shared" si="56"/>
        <v>1.6952542144530014</v>
      </c>
      <c r="S84" s="1">
        <f>$J84+SUMPRODUCT(regions!EI83:EN83,regions!EI$204:EN$204)</f>
        <v>1.7913393339561985</v>
      </c>
      <c r="T84" s="1">
        <f>$J84+SUMPRODUCT(regions!EQ83:EV83,regions!EQ$204:EV$204)</f>
        <v>2.1349077960603218</v>
      </c>
      <c r="U84" s="1">
        <f>$J84+SUMPRODUCT(regions!CM83:CU83,regions!CM$204:CU$204)</f>
        <v>2.3536379288081797</v>
      </c>
      <c r="V84" s="1">
        <f>$J84+SUMPRODUCT(regions!DH83:DM83,regions!DH$204:DM$204)</f>
        <v>6.9618122752059559</v>
      </c>
      <c r="W84" s="1">
        <f>$J84+SUMPRODUCT(regions!DP83:DW83,regions!DP$204:DW$204)</f>
        <v>0.33133933395619763</v>
      </c>
      <c r="X84" s="1">
        <f>$J84+SUMPRODUCT(regions!AB83:AE83,regions!AB$204:AE$204)</f>
        <v>3.806600270440935</v>
      </c>
      <c r="Y84" s="1">
        <f>$J84+SUMPRODUCT(regions!BX83:CJ83,regions!BX$204:CJ$204)</f>
        <v>0.76286681497498421</v>
      </c>
      <c r="Z84" s="1">
        <f>$J84+SUMPRODUCT(regions!CX83:DF83,regions!CX$204:DF$204)</f>
        <v>7.3536379288081797</v>
      </c>
      <c r="AA84" s="1">
        <f t="shared" si="46"/>
        <v>2.6</v>
      </c>
      <c r="AB84" s="1">
        <f t="shared" si="47"/>
        <v>0.62858559155477101</v>
      </c>
      <c r="AC84" s="1">
        <f>$J84+SUMPRODUCT(regions!DZ83:EG83,regions!DZ$204:EG$204)</f>
        <v>2.8838393339561961</v>
      </c>
      <c r="AD84" s="1">
        <f t="shared" si="57"/>
        <v>4.3052542144530026</v>
      </c>
      <c r="AE84" s="1">
        <f t="shared" si="57"/>
        <v>2.795254214453001</v>
      </c>
      <c r="AF84" s="1">
        <f t="shared" si="48"/>
        <v>-23.325688020652372</v>
      </c>
      <c r="AG84" s="1">
        <f>$J84+SUMPRODUCT(regions!AX83:BK83,regions!AX$204:BK$204)</f>
        <v>2.856255053809214</v>
      </c>
      <c r="AH84" s="1">
        <f>$J84+SUMPRODUCT(regions!AG83:AV83,regions!AG$204:AV$204)</f>
        <v>5.0014372079022476</v>
      </c>
      <c r="AI84" s="1">
        <f t="shared" si="58"/>
        <v>3.295254214453001</v>
      </c>
      <c r="AJ84" s="1">
        <f>SartoriRoson!C81</f>
        <v>-0.04</v>
      </c>
      <c r="AK84" s="1">
        <f>Kompas!E81</f>
        <v>-0.42099999999999999</v>
      </c>
      <c r="AL84" s="1">
        <f>$J84+SUMPRODUCT(regions!EY83:FW83,regions!EY$204:FW$204)</f>
        <v>3.5691290720006155</v>
      </c>
      <c r="AM84" s="1">
        <f>$J84+SUMPRODUCT(regions!FZ83:GF83,regions!FZ$204:GF$204)</f>
        <v>4.8820726371950691</v>
      </c>
      <c r="AN84" s="1">
        <f t="shared" si="50"/>
        <v>-3.9047457855469982</v>
      </c>
      <c r="AO84" s="1">
        <f t="shared" si="50"/>
        <v>-3.204745785546999</v>
      </c>
      <c r="AP84" s="1">
        <f t="shared" si="50"/>
        <v>1.5952542144530018</v>
      </c>
      <c r="AQ84" s="1">
        <f t="shared" si="49"/>
        <v>10.424781525443434</v>
      </c>
      <c r="AR84" s="1">
        <f t="shared" si="49"/>
        <v>0.29525421445300104</v>
      </c>
      <c r="AS84" s="1">
        <f t="shared" si="49"/>
        <v>2.9952542144530003</v>
      </c>
      <c r="AT84" s="1">
        <f t="shared" si="49"/>
        <v>5.001920881119668</v>
      </c>
      <c r="AU84" s="1">
        <f t="shared" si="53"/>
        <v>7.5254214453002177E-2</v>
      </c>
      <c r="AV84" s="1">
        <f t="shared" si="53"/>
        <v>1.4952542144530003</v>
      </c>
      <c r="AW84" s="1">
        <f>$J84+SUMPRODUCT(regions!BN83:BU83,regions!BN$204:BU$204)</f>
        <v>2.7920931778036149</v>
      </c>
      <c r="AX84" s="1">
        <f t="shared" si="53"/>
        <v>3.8152542144530006</v>
      </c>
      <c r="AY84" s="1">
        <f t="shared" si="53"/>
        <v>4.5952542144530018</v>
      </c>
      <c r="AZ84" s="1">
        <f t="shared" si="53"/>
        <v>4.5952542144530018</v>
      </c>
      <c r="BB84" t="str">
        <f>Maddison!A35</f>
        <v>Iceland</v>
      </c>
      <c r="BC84">
        <f>-Maddison!B35</f>
        <v>2.6</v>
      </c>
      <c r="BD84" s="1">
        <f t="shared" si="61"/>
        <v>1.5975567240183</v>
      </c>
      <c r="BE84" t="str">
        <f>RehdanzMaddison!P33</f>
        <v>Iceland</v>
      </c>
      <c r="BF84" s="1">
        <f>-100*RehdanzMaddison!U33</f>
        <v>0.36618652445344163</v>
      </c>
      <c r="BG84" s="1">
        <f>-100*RehdanzMaddison!V33</f>
        <v>0.62858559155477101</v>
      </c>
      <c r="BH84" s="1">
        <f t="shared" si="62"/>
        <v>3.8313701995648586</v>
      </c>
      <c r="BI84" s="1">
        <f t="shared" si="62"/>
        <v>3.5689711324635289</v>
      </c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</row>
    <row r="85" spans="1:90" x14ac:dyDescent="0.35">
      <c r="A85" t="s">
        <v>152</v>
      </c>
      <c r="B85" s="19">
        <f>regions!B84</f>
        <v>1205624648</v>
      </c>
      <c r="C85" s="19">
        <f>regions!C84</f>
        <v>1243675499465.8105</v>
      </c>
      <c r="D85" s="8">
        <f>regions!D84</f>
        <v>1031.5611094455749</v>
      </c>
      <c r="E85" s="8">
        <f>regions!E84</f>
        <v>10.507170946291103</v>
      </c>
      <c r="F85" s="8">
        <f>regions!F84</f>
        <v>17.517352389157136</v>
      </c>
      <c r="G85" s="1">
        <f>regions!Z84</f>
        <v>23.7</v>
      </c>
      <c r="J85" s="1">
        <f t="shared" si="45"/>
        <v>3.8368776213875755</v>
      </c>
      <c r="K85" s="1">
        <f t="shared" si="55"/>
        <v>-11.115868666637182</v>
      </c>
      <c r="L85" s="1">
        <f t="shared" si="59"/>
        <v>-12.055815394078756</v>
      </c>
      <c r="M85" s="1">
        <f t="shared" si="60"/>
        <v>15.502554738124582</v>
      </c>
      <c r="N85" s="1">
        <f t="shared" si="56"/>
        <v>-10.614600249325102</v>
      </c>
      <c r="O85" s="1">
        <f t="shared" si="56"/>
        <v>-13.018171176202481</v>
      </c>
      <c r="P85" s="1">
        <f t="shared" si="56"/>
        <v>-11.018171176202481</v>
      </c>
      <c r="Q85" s="1">
        <f t="shared" si="56"/>
        <v>-11.348171176202481</v>
      </c>
      <c r="R85" s="1">
        <f t="shared" si="56"/>
        <v>-13.61817117620248</v>
      </c>
      <c r="S85" s="1">
        <f>$J85+SUMPRODUCT(regions!EI84:EN84,regions!EI$204:EN$204)</f>
        <v>-6.4241696809056918</v>
      </c>
      <c r="T85" s="1">
        <f>$J85+SUMPRODUCT(regions!EQ84:EV84,regions!EQ$204:EV$204)</f>
        <v>-5.9231817479209621</v>
      </c>
      <c r="U85" s="1">
        <f>$J85+SUMPRODUCT(regions!CM84:CU84,regions!CM$204:CU$204)</f>
        <v>-11.961128250950416</v>
      </c>
      <c r="V85" s="1">
        <f>$J85+SUMPRODUCT(regions!DH84:DM84,regions!DH$204:DM$204)</f>
        <v>-8.3516131154495259</v>
      </c>
      <c r="W85" s="1">
        <f>$J85+SUMPRODUCT(regions!DP84:DW84,regions!DP$204:DW$204)</f>
        <v>-12.135678416700117</v>
      </c>
      <c r="X85" s="1">
        <f>$J85+SUMPRODUCT(regions!AB84:AE84,regions!AB$204:AE$204)</f>
        <v>-5.3015275359524239</v>
      </c>
      <c r="Y85" s="1">
        <f>$J85+SUMPRODUCT(regions!BX84:CJ84,regions!BX$204:CJ$204)</f>
        <v>-4.93</v>
      </c>
      <c r="Z85" s="1">
        <f>$J85+SUMPRODUCT(regions!CX84:DF84,regions!CX$204:DF$204)</f>
        <v>-5.0611282509504179</v>
      </c>
      <c r="AA85" s="1">
        <f t="shared" si="46"/>
        <v>-11</v>
      </c>
      <c r="AB85" s="1">
        <f t="shared" si="47"/>
        <v>4.251808215566899</v>
      </c>
      <c r="AC85" s="1">
        <f>$J85+SUMPRODUCT(regions!DZ84:EG84,regions!DZ$204:EG$204)</f>
        <v>-6.6306784167001176</v>
      </c>
      <c r="AD85" s="1">
        <f t="shared" si="57"/>
        <v>-11.008171176202481</v>
      </c>
      <c r="AE85" s="1">
        <f t="shared" si="57"/>
        <v>-12.518171176202481</v>
      </c>
      <c r="AF85" s="1">
        <f t="shared" si="48"/>
        <v>-89.6</v>
      </c>
      <c r="AG85" s="1">
        <f>$J85+SUMPRODUCT(regions!AX84:BK84,regions!AX$204:BK$204)</f>
        <v>-3.4131725109448645</v>
      </c>
      <c r="AH85" s="1">
        <f>$J85+SUMPRODUCT(regions!AG84:AV84,regions!AG$204:AV$204)</f>
        <v>-5.6</v>
      </c>
      <c r="AI85" s="1">
        <f t="shared" si="58"/>
        <v>-12.018171176202481</v>
      </c>
      <c r="AJ85" s="1">
        <f>SartoriRoson!C82</f>
        <v>-6.24</v>
      </c>
      <c r="AK85" s="1">
        <f>Kompas!E82</f>
        <v>-10.351000000000001</v>
      </c>
      <c r="AL85" s="1">
        <f>$J85+SUMPRODUCT(regions!EY84:FW84,regions!EY$204:FW$204)</f>
        <v>-4.3110405366828388</v>
      </c>
      <c r="AM85" s="1">
        <f>$J85+SUMPRODUCT(regions!FZ84:GF84,regions!FZ$204:GF$204)</f>
        <v>-5.1298571713195429</v>
      </c>
      <c r="AN85" s="1">
        <f t="shared" si="50"/>
        <v>-19.218171176202482</v>
      </c>
      <c r="AO85" s="1">
        <f t="shared" si="50"/>
        <v>-18.518171176202479</v>
      </c>
      <c r="AP85" s="1">
        <f t="shared" si="50"/>
        <v>-13.718171176202482</v>
      </c>
      <c r="AQ85" s="1">
        <f t="shared" si="49"/>
        <v>-4.8886438652120479</v>
      </c>
      <c r="AR85" s="1">
        <f t="shared" si="49"/>
        <v>-15.018171176202481</v>
      </c>
      <c r="AS85" s="1">
        <f t="shared" si="49"/>
        <v>-12.31817117620248</v>
      </c>
      <c r="AT85" s="1">
        <f t="shared" si="49"/>
        <v>-10.311504509535814</v>
      </c>
      <c r="AU85" s="1">
        <f t="shared" si="53"/>
        <v>-15.238171176202481</v>
      </c>
      <c r="AV85" s="1">
        <f t="shared" si="53"/>
        <v>-13.81817117620248</v>
      </c>
      <c r="AW85" s="1">
        <f>$J85+SUMPRODUCT(regions!BN84:BU84,regions!BN$204:BU$204)</f>
        <v>-6.9760917704857164</v>
      </c>
      <c r="AX85" s="1">
        <f t="shared" si="53"/>
        <v>-11.498171176202481</v>
      </c>
      <c r="AY85" s="1">
        <f t="shared" si="53"/>
        <v>-10.718171176202482</v>
      </c>
      <c r="AZ85" s="1">
        <f t="shared" si="53"/>
        <v>-10.718171176202482</v>
      </c>
      <c r="BB85" t="str">
        <f>Maddison!A36</f>
        <v>India</v>
      </c>
      <c r="BC85">
        <f>-Maddison!B36</f>
        <v>-11</v>
      </c>
      <c r="BD85" s="1">
        <f t="shared" si="61"/>
        <v>-0.11586866663718176</v>
      </c>
      <c r="BE85" t="str">
        <f>RehdanzMaddison!P34</f>
        <v>India</v>
      </c>
      <c r="BF85" s="1">
        <f>-100*RehdanzMaddison!U34</f>
        <v>2.7647416850881887</v>
      </c>
      <c r="BG85" s="1">
        <f>-100*RehdanzMaddison!V34</f>
        <v>4.251808215566899</v>
      </c>
      <c r="BH85" s="1">
        <f t="shared" si="62"/>
        <v>-13.88061035172537</v>
      </c>
      <c r="BI85" s="1">
        <f t="shared" si="62"/>
        <v>-15.36767688220408</v>
      </c>
      <c r="BJ85" t="str">
        <f>MaddisonRehdanz!A36</f>
        <v>India</v>
      </c>
      <c r="BK85">
        <f>MaddisonRehdanz!D36</f>
        <v>-89.6</v>
      </c>
      <c r="BL85" s="1">
        <f>$K85-BK85</f>
        <v>78.484131333362811</v>
      </c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</row>
    <row r="86" spans="1:90" x14ac:dyDescent="0.35">
      <c r="A86" t="s">
        <v>153</v>
      </c>
      <c r="B86" s="19">
        <f>regions!B85</f>
        <v>240676485</v>
      </c>
      <c r="C86" s="19">
        <f>regions!C85</f>
        <v>377898889669.60541</v>
      </c>
      <c r="D86" s="8">
        <f>regions!D85</f>
        <v>1570.1529365014842</v>
      </c>
      <c r="E86" s="8">
        <f>regions!E85</f>
        <v>10.537485061296378</v>
      </c>
      <c r="F86" s="8">
        <f>regions!F85</f>
        <v>13.929212707137046</v>
      </c>
      <c r="G86" s="1">
        <f>regions!Z85</f>
        <v>25.8</v>
      </c>
      <c r="J86" s="1">
        <f t="shared" si="45"/>
        <v>3.8217975013473371</v>
      </c>
      <c r="K86" s="1">
        <f t="shared" si="55"/>
        <v>-11.13094878667742</v>
      </c>
      <c r="L86" s="1">
        <f t="shared" si="59"/>
        <v>-11.576556494507585</v>
      </c>
      <c r="M86" s="1">
        <f t="shared" si="60"/>
        <v>10.032264160911252</v>
      </c>
      <c r="N86" s="1">
        <f t="shared" si="56"/>
        <v>-10.629680369365341</v>
      </c>
      <c r="O86" s="1">
        <f t="shared" si="56"/>
        <v>-13.033251296242719</v>
      </c>
      <c r="P86" s="1">
        <f t="shared" si="56"/>
        <v>-11.033251296242719</v>
      </c>
      <c r="Q86" s="1">
        <f t="shared" si="56"/>
        <v>-11.363251296242719</v>
      </c>
      <c r="R86" s="1">
        <f t="shared" si="56"/>
        <v>-13.633251296242719</v>
      </c>
      <c r="S86" s="1">
        <f>$J86+SUMPRODUCT(regions!EI85:EN85,regions!EI$204:EN$204)</f>
        <v>-6.4392498009459302</v>
      </c>
      <c r="T86" s="1">
        <f>$J86+SUMPRODUCT(regions!EQ85:EV85,regions!EQ$204:EV$204)</f>
        <v>-5.9382618679612005</v>
      </c>
      <c r="U86" s="1">
        <f>$J86+SUMPRODUCT(regions!CM85:CU85,regions!CM$204:CU$204)</f>
        <v>-11.976208370990655</v>
      </c>
      <c r="V86" s="1">
        <f>$J86+SUMPRODUCT(regions!DH85:DM85,regions!DH$204:DM$204)</f>
        <v>-8.3666932354897643</v>
      </c>
      <c r="W86" s="1">
        <f>$J86+SUMPRODUCT(regions!DP85:DW85,regions!DP$204:DW$204)</f>
        <v>-12.150758536740355</v>
      </c>
      <c r="X86" s="1">
        <f>$J86+SUMPRODUCT(regions!AB85:AE85,regions!AB$204:AE$204)</f>
        <v>-5.3166076559926623</v>
      </c>
      <c r="Y86" s="1">
        <f>$J86+SUMPRODUCT(regions!BX85:CJ85,regions!BX$204:CJ$204)</f>
        <v>-3.4827437035250135</v>
      </c>
      <c r="Z86" s="1">
        <f>$J86+SUMPRODUCT(regions!CX85:DF85,regions!CX$204:DF$204)</f>
        <v>-5.0762083709906562</v>
      </c>
      <c r="AA86" s="1">
        <f t="shared" si="46"/>
        <v>-1.2</v>
      </c>
      <c r="AB86" s="1">
        <f t="shared" si="47"/>
        <v>-10.186310848687809</v>
      </c>
      <c r="AC86" s="1">
        <f>$J86+SUMPRODUCT(regions!DZ85:EG85,regions!DZ$204:EG$204)</f>
        <v>-6.645758536740356</v>
      </c>
      <c r="AD86" s="1">
        <f t="shared" si="57"/>
        <v>-11.023251296242719</v>
      </c>
      <c r="AE86" s="1">
        <f t="shared" si="57"/>
        <v>-12.533251296242719</v>
      </c>
      <c r="AF86" s="1">
        <f t="shared" si="48"/>
        <v>-54.5</v>
      </c>
      <c r="AG86" s="1">
        <f>$J86+SUMPRODUCT(regions!AX85:BK85,regions!AX$204:BK$204)</f>
        <v>-5.0747088753600558</v>
      </c>
      <c r="AH86" s="1">
        <f>$J86+SUMPRODUCT(regions!AG85:AV85,regions!AG$204:AV$204)</f>
        <v>-14.132195181365514</v>
      </c>
      <c r="AI86" s="1">
        <f t="shared" si="58"/>
        <v>-12.033251296242719</v>
      </c>
      <c r="AJ86" s="1">
        <f>SartoriRoson!C83</f>
        <v>-6.8</v>
      </c>
      <c r="AK86" s="1">
        <f>Kompas!E83</f>
        <v>-13.266999999999999</v>
      </c>
      <c r="AL86" s="1">
        <f>$J86+SUMPRODUCT(regions!EY85:FW85,regions!EY$204:FW$204)</f>
        <v>-2.3151263202968906</v>
      </c>
      <c r="AM86" s="1">
        <f>$J86+SUMPRODUCT(regions!FZ85:GF85,regions!FZ$204:GF$204)</f>
        <v>-5.1449372913597813</v>
      </c>
      <c r="AN86" s="1">
        <f t="shared" si="50"/>
        <v>-19.23325129624272</v>
      </c>
      <c r="AO86" s="1">
        <f t="shared" si="50"/>
        <v>-18.533251296242717</v>
      </c>
      <c r="AP86" s="1">
        <f t="shared" si="50"/>
        <v>-13.73325129624272</v>
      </c>
      <c r="AQ86" s="1">
        <f t="shared" si="49"/>
        <v>-4.9037239852522863</v>
      </c>
      <c r="AR86" s="1">
        <f t="shared" si="49"/>
        <v>-15.033251296242719</v>
      </c>
      <c r="AS86" s="1">
        <f t="shared" si="49"/>
        <v>-12.333251296242718</v>
      </c>
      <c r="AT86" s="1">
        <f t="shared" si="49"/>
        <v>-10.326584629576052</v>
      </c>
      <c r="AU86" s="1">
        <f t="shared" si="53"/>
        <v>-15.25325129624272</v>
      </c>
      <c r="AV86" s="1">
        <f t="shared" si="53"/>
        <v>-13.833251296242718</v>
      </c>
      <c r="AW86" s="1">
        <f>$J86+SUMPRODUCT(regions!BN85:BU85,regions!BN$204:BU$204)</f>
        <v>-8.082991108868562</v>
      </c>
      <c r="AX86" s="1">
        <f t="shared" si="53"/>
        <v>-11.51325129624272</v>
      </c>
      <c r="AY86" s="1">
        <f t="shared" si="53"/>
        <v>-10.73325129624272</v>
      </c>
      <c r="AZ86" s="1">
        <f t="shared" si="53"/>
        <v>-10.73325129624272</v>
      </c>
      <c r="BB86" t="str">
        <f>Maddison!A37</f>
        <v>Indonesia</v>
      </c>
      <c r="BC86">
        <f>-Maddison!B37</f>
        <v>-1.2</v>
      </c>
      <c r="BD86" s="1">
        <f t="shared" si="61"/>
        <v>-9.9309487866774209</v>
      </c>
      <c r="BF86" s="1"/>
      <c r="BG86" s="1"/>
      <c r="BJ86" t="str">
        <f>MaddisonRehdanz!A37</f>
        <v>Indonesia</v>
      </c>
      <c r="BK86">
        <f>MaddisonRehdanz!D37</f>
        <v>-54.5</v>
      </c>
      <c r="BL86" s="1">
        <f>$K86-BK86</f>
        <v>43.369051213322578</v>
      </c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</row>
    <row r="87" spans="1:90" x14ac:dyDescent="0.35">
      <c r="A87" t="s">
        <v>154</v>
      </c>
      <c r="B87" s="19">
        <f>regions!B86</f>
        <v>74462314</v>
      </c>
      <c r="C87" s="19">
        <f>regions!C86</f>
        <v>242702371179.19858</v>
      </c>
      <c r="D87" s="8">
        <f>regions!D86</f>
        <v>3259.3987232145187</v>
      </c>
      <c r="E87" s="8">
        <f>regions!E86</f>
        <v>0</v>
      </c>
      <c r="F87" s="8">
        <f>regions!F86</f>
        <v>6.499390725572038</v>
      </c>
      <c r="G87" s="1">
        <f>regions!Z86</f>
        <v>17.2</v>
      </c>
      <c r="J87" s="1">
        <f t="shared" si="45"/>
        <v>8.3520530551030703</v>
      </c>
      <c r="K87" s="1">
        <f t="shared" si="55"/>
        <v>-6.600693232921687</v>
      </c>
      <c r="L87" s="1">
        <f t="shared" si="59"/>
        <v>-6.0244287753003007</v>
      </c>
      <c r="M87" s="1">
        <f t="shared" si="60"/>
        <v>4.4711863889625425</v>
      </c>
      <c r="N87" s="1">
        <f t="shared" si="56"/>
        <v>-6.0994248156096074</v>
      </c>
      <c r="O87" s="1">
        <f t="shared" si="56"/>
        <v>-8.502995742486986</v>
      </c>
      <c r="P87" s="1">
        <f t="shared" si="56"/>
        <v>-6.502995742486986</v>
      </c>
      <c r="Q87" s="1">
        <f t="shared" si="56"/>
        <v>-6.832995742486986</v>
      </c>
      <c r="R87" s="1">
        <f t="shared" si="56"/>
        <v>-9.1029957424869856</v>
      </c>
      <c r="S87" s="1">
        <f>$J87+SUMPRODUCT(regions!EI86:EN86,regions!EI$204:EN$204)</f>
        <v>-1.9089942471901971</v>
      </c>
      <c r="T87" s="1">
        <f>$J87+SUMPRODUCT(regions!EQ86:EV86,regions!EQ$204:EV$204)</f>
        <v>-1.4080063142054673</v>
      </c>
      <c r="U87" s="1">
        <f>$J87+SUMPRODUCT(regions!CM86:CU86,regions!CM$204:CU$204)</f>
        <v>-5.2746935186040353</v>
      </c>
      <c r="V87" s="1">
        <f>$J87+SUMPRODUCT(regions!DH86:DM86,regions!DH$204:DM$204)</f>
        <v>-3.8364376817340311</v>
      </c>
      <c r="W87" s="1">
        <f>$J87+SUMPRODUCT(regions!DP86:DW86,regions!DP$204:DW$204)</f>
        <v>-5.6759949311245315</v>
      </c>
      <c r="X87" s="1">
        <f>$J87+SUMPRODUCT(regions!AB86:AE86,regions!AB$204:AE$204)</f>
        <v>-0.78635210223692908</v>
      </c>
      <c r="Y87" s="1">
        <f>$J87+SUMPRODUCT(regions!BX86:CJ86,regions!BX$204:CJ$204)</f>
        <v>-2.1952190588567397</v>
      </c>
      <c r="Z87" s="1">
        <f>$J87+SUMPRODUCT(regions!CX86:DF86,regions!CX$204:DF$204)</f>
        <v>-7.4693518604036058E-2</v>
      </c>
      <c r="AA87" s="1">
        <f t="shared" si="46"/>
        <v>0</v>
      </c>
      <c r="AB87" s="1">
        <f t="shared" si="47"/>
        <v>-5.6560552949320746</v>
      </c>
      <c r="AC87" s="1">
        <f>$J87+SUMPRODUCT(regions!DZ86:EG86,regions!DZ$204:EG$204)</f>
        <v>-2.0768949311245315</v>
      </c>
      <c r="AD87" s="1">
        <f t="shared" si="57"/>
        <v>-6.4929957424869862</v>
      </c>
      <c r="AE87" s="1">
        <f t="shared" si="57"/>
        <v>-8.002995742486986</v>
      </c>
      <c r="AF87" s="1">
        <f t="shared" si="48"/>
        <v>-6.2</v>
      </c>
      <c r="AG87" s="1">
        <f>$J87+SUMPRODUCT(regions!AX86:BK86,regions!AX$204:BK$204)</f>
        <v>-1.8323110900123005</v>
      </c>
      <c r="AH87" s="1">
        <f>$J87+SUMPRODUCT(regions!AG86:AV86,regions!AG$204:AV$204)</f>
        <v>-11.213914464024754</v>
      </c>
      <c r="AI87" s="1">
        <f t="shared" si="58"/>
        <v>-7.502995742486986</v>
      </c>
      <c r="AJ87" s="1">
        <f>SartoriRoson!C84</f>
        <v>-0.82</v>
      </c>
      <c r="AK87" s="1">
        <f>Kompas!E84</f>
        <v>-3.516</v>
      </c>
      <c r="AL87" s="1">
        <f>$J87+SUMPRODUCT(regions!EY86:FW86,regions!EY$204:FW$204)</f>
        <v>-3.5249052859793277</v>
      </c>
      <c r="AM87" s="1">
        <f>$J87+SUMPRODUCT(regions!FZ86:GF86,regions!FZ$204:GF$204)</f>
        <v>-0.6146817376040481</v>
      </c>
      <c r="AN87" s="1">
        <f t="shared" si="50"/>
        <v>-14.702995742486985</v>
      </c>
      <c r="AO87" s="1">
        <f t="shared" si="50"/>
        <v>-14.002995742486986</v>
      </c>
      <c r="AP87" s="1">
        <f t="shared" si="50"/>
        <v>-9.202995742486987</v>
      </c>
      <c r="AQ87" s="1">
        <f t="shared" si="49"/>
        <v>-0.37346843149655307</v>
      </c>
      <c r="AR87" s="1">
        <f t="shared" si="49"/>
        <v>-10.502995742486986</v>
      </c>
      <c r="AS87" s="1">
        <f t="shared" si="49"/>
        <v>-7.8029957424869858</v>
      </c>
      <c r="AT87" s="1">
        <f t="shared" si="49"/>
        <v>-5.796329075820319</v>
      </c>
      <c r="AU87" s="1">
        <f t="shared" si="53"/>
        <v>-10.722995742486987</v>
      </c>
      <c r="AV87" s="1">
        <f t="shared" si="53"/>
        <v>-9.3029957424869849</v>
      </c>
      <c r="AW87" s="1">
        <f>$J87+SUMPRODUCT(regions!BN86:BU86,regions!BN$204:BU$204)</f>
        <v>-3.5527355551128288</v>
      </c>
      <c r="AX87" s="1">
        <f t="shared" si="53"/>
        <v>-6.9829957424869864</v>
      </c>
      <c r="AY87" s="1">
        <f t="shared" si="53"/>
        <v>-6.2029957424869862</v>
      </c>
      <c r="AZ87" s="1">
        <f t="shared" si="53"/>
        <v>-6.2029957424869862</v>
      </c>
      <c r="BB87" t="str">
        <f>Maddison!A38</f>
        <v>Iran</v>
      </c>
      <c r="BC87">
        <f>-Maddison!B38</f>
        <v>0</v>
      </c>
      <c r="BD87" s="1">
        <f t="shared" si="61"/>
        <v>-6.600693232921687</v>
      </c>
      <c r="BF87" s="1"/>
      <c r="BG87" s="1"/>
      <c r="BJ87" t="str">
        <f>MaddisonRehdanz!A38</f>
        <v>Iran</v>
      </c>
      <c r="BK87">
        <f>MaddisonRehdanz!D38</f>
        <v>-6.2</v>
      </c>
      <c r="BL87" s="1">
        <f>$K87-BK87</f>
        <v>-0.40069323292168679</v>
      </c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</row>
    <row r="88" spans="1:90" x14ac:dyDescent="0.35">
      <c r="A88" t="s">
        <v>250</v>
      </c>
      <c r="B88" s="19">
        <f>regions!B87</f>
        <v>30962380</v>
      </c>
      <c r="C88" s="19">
        <f>regions!C87</f>
        <v>67270649065.243828</v>
      </c>
      <c r="D88" s="8">
        <f>regions!D87</f>
        <v>2172.6575626694016</v>
      </c>
      <c r="E88" s="8">
        <f>regions!E87</f>
        <v>0</v>
      </c>
      <c r="F88" s="8">
        <f>regions!F87</f>
        <v>5.1622835468003645</v>
      </c>
      <c r="G88" s="1">
        <f>regions!Z87</f>
        <v>21.4</v>
      </c>
      <c r="J88" s="1">
        <f t="shared" si="45"/>
        <v>6.0504443961154584</v>
      </c>
      <c r="K88" s="1">
        <f t="shared" si="55"/>
        <v>-8.9023018919092998</v>
      </c>
      <c r="L88" s="1">
        <f t="shared" si="59"/>
        <v>-9.3183581440205163</v>
      </c>
      <c r="M88" s="1">
        <f t="shared" si="60"/>
        <v>9.2994931985579967</v>
      </c>
      <c r="N88" s="1">
        <f t="shared" si="56"/>
        <v>-8.4010334745972184</v>
      </c>
      <c r="O88" s="1">
        <f t="shared" si="56"/>
        <v>-10.804604401474599</v>
      </c>
      <c r="P88" s="1">
        <f t="shared" si="56"/>
        <v>-8.8046044014745988</v>
      </c>
      <c r="Q88" s="1">
        <f t="shared" si="56"/>
        <v>-9.1346044014745971</v>
      </c>
      <c r="R88" s="1">
        <f t="shared" si="56"/>
        <v>-11.404604401474598</v>
      </c>
      <c r="S88" s="1">
        <f>$J88+SUMPRODUCT(regions!EI87:EN87,regions!EI$204:EN$204)</f>
        <v>-4.210602906177809</v>
      </c>
      <c r="T88" s="1">
        <f>$J88+SUMPRODUCT(regions!EQ87:EV87,regions!EQ$204:EV$204)</f>
        <v>-3.7096149731930792</v>
      </c>
      <c r="U88" s="1">
        <f>$J88+SUMPRODUCT(regions!CM87:CU87,regions!CM$204:CU$204)</f>
        <v>-7.5763021775916473</v>
      </c>
      <c r="V88" s="1">
        <f>$J88+SUMPRODUCT(regions!DH87:DM87,regions!DH$204:DM$204)</f>
        <v>-6.138046340721643</v>
      </c>
      <c r="W88" s="1">
        <f>$J88+SUMPRODUCT(regions!DP87:DW87,regions!DP$204:DW$204)</f>
        <v>-7.9776035901121434</v>
      </c>
      <c r="X88" s="1">
        <f>$J88+SUMPRODUCT(regions!AB87:AE87,regions!AB$204:AE$204)</f>
        <v>-3.087960761224541</v>
      </c>
      <c r="Y88" s="1">
        <f>$J88+SUMPRODUCT(regions!BX87:CJ87,regions!BX$204:CJ$204)</f>
        <v>-1.2540968087568922</v>
      </c>
      <c r="Z88" s="1">
        <f>$J88+SUMPRODUCT(regions!CX87:DF87,regions!CX$204:DF$204)</f>
        <v>-2.376302177591648</v>
      </c>
      <c r="AA88" s="1">
        <f t="shared" si="46"/>
        <v>-6.3976036022351011</v>
      </c>
      <c r="AB88" s="1">
        <f t="shared" si="47"/>
        <v>-7.9576639539196874</v>
      </c>
      <c r="AC88" s="1">
        <f>$J88+SUMPRODUCT(regions!DZ87:EG87,regions!DZ$204:EG$204)</f>
        <v>-4.3785035901121434</v>
      </c>
      <c r="AD88" s="1">
        <f t="shared" si="57"/>
        <v>-8.7946044014745972</v>
      </c>
      <c r="AE88" s="1">
        <f t="shared" si="57"/>
        <v>-10.304604401474599</v>
      </c>
      <c r="AF88" s="1">
        <f t="shared" si="48"/>
        <v>-51.1</v>
      </c>
      <c r="AG88" s="1">
        <f>$J88+SUMPRODUCT(regions!AX87:BK87,regions!AX$204:BK$204)</f>
        <v>-4.1339197489999124</v>
      </c>
      <c r="AH88" s="1">
        <f>$J88+SUMPRODUCT(regions!AG87:AV87,regions!AG$204:AV$204)</f>
        <v>-13.515523123012365</v>
      </c>
      <c r="AI88" s="1">
        <f t="shared" si="58"/>
        <v>-9.8046044014745988</v>
      </c>
      <c r="AJ88" s="1">
        <f>SartoriRoson!C85</f>
        <v>-1.22</v>
      </c>
      <c r="AK88" s="1">
        <f>Kompas!E85</f>
        <v>-3.306</v>
      </c>
      <c r="AL88" s="1">
        <f>$J88+SUMPRODUCT(regions!EY87:FW87,regions!EY$204:FW$204)</f>
        <v>-5.4885835673412915</v>
      </c>
      <c r="AM88" s="1">
        <f>$J88+SUMPRODUCT(regions!FZ87:GF87,regions!FZ$204:GF$204)</f>
        <v>-2.91629039659166</v>
      </c>
      <c r="AN88" s="1">
        <f t="shared" si="50"/>
        <v>-17.004604401474598</v>
      </c>
      <c r="AO88" s="1">
        <f t="shared" si="50"/>
        <v>-16.304604401474599</v>
      </c>
      <c r="AP88" s="1">
        <f t="shared" si="50"/>
        <v>-11.504604401474598</v>
      </c>
      <c r="AQ88" s="1">
        <f t="shared" si="49"/>
        <v>-2.6750770904841641</v>
      </c>
      <c r="AR88" s="1">
        <f t="shared" si="49"/>
        <v>-12.804604401474599</v>
      </c>
      <c r="AS88" s="1">
        <f t="shared" si="49"/>
        <v>-10.104604401474598</v>
      </c>
      <c r="AT88" s="1">
        <f t="shared" si="49"/>
        <v>-8.0979377348079318</v>
      </c>
      <c r="AU88" s="1">
        <f t="shared" si="53"/>
        <v>-13.024604401474598</v>
      </c>
      <c r="AV88" s="1">
        <f t="shared" si="53"/>
        <v>-11.604604401474598</v>
      </c>
      <c r="AW88" s="1">
        <f>$J88+SUMPRODUCT(regions!BN87:BU87,regions!BN$204:BU$204)</f>
        <v>-5.8543442141004407</v>
      </c>
      <c r="AX88" s="1">
        <f t="shared" si="53"/>
        <v>-9.2846044014745974</v>
      </c>
      <c r="AY88" s="1">
        <f t="shared" si="53"/>
        <v>-8.5046044014745981</v>
      </c>
      <c r="AZ88" s="1">
        <f t="shared" si="53"/>
        <v>-8.5046044014745981</v>
      </c>
      <c r="BF88" s="1"/>
      <c r="BG88" s="1"/>
      <c r="BJ88" t="str">
        <f>MaddisonRehdanz!A39</f>
        <v>Iraq</v>
      </c>
      <c r="BK88">
        <f>MaddisonRehdanz!D39</f>
        <v>-51.1</v>
      </c>
      <c r="BL88" s="1">
        <f>$K88-BK88</f>
        <v>42.197698108090705</v>
      </c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</row>
    <row r="89" spans="1:90" x14ac:dyDescent="0.35">
      <c r="A89" t="s">
        <v>155</v>
      </c>
      <c r="B89" s="19">
        <f>regions!B88</f>
        <v>4474356</v>
      </c>
      <c r="C89" s="19">
        <f>regions!C88</f>
        <v>203306959563.6236</v>
      </c>
      <c r="D89" s="8">
        <f>regions!D88</f>
        <v>45438.261855700264</v>
      </c>
      <c r="E89" s="8">
        <f>regions!E88</f>
        <v>21.815426064359059</v>
      </c>
      <c r="F89" s="8">
        <f>regions!F88</f>
        <v>0.95717203240777338</v>
      </c>
      <c r="G89" s="1">
        <f>regions!Z88</f>
        <v>9.3000000000000007</v>
      </c>
      <c r="J89" s="1">
        <f t="shared" si="45"/>
        <v>16.094324992396572</v>
      </c>
      <c r="K89" s="1">
        <f t="shared" si="55"/>
        <v>1.1415787043718151</v>
      </c>
      <c r="L89" s="1">
        <f t="shared" si="59"/>
        <v>-0.92657868534147625</v>
      </c>
      <c r="M89" s="1">
        <f t="shared" si="60"/>
        <v>5.3502714619008964</v>
      </c>
      <c r="N89" s="1">
        <f t="shared" si="56"/>
        <v>1.6428471216838947</v>
      </c>
      <c r="O89" s="1">
        <f t="shared" si="56"/>
        <v>-0.76072380519348393</v>
      </c>
      <c r="P89" s="1">
        <f t="shared" si="56"/>
        <v>1.2392761948065161</v>
      </c>
      <c r="Q89" s="1">
        <f t="shared" si="56"/>
        <v>0.909276194806516</v>
      </c>
      <c r="R89" s="1">
        <f t="shared" si="56"/>
        <v>-1.3607238051934836</v>
      </c>
      <c r="S89" s="1">
        <f>$J89+SUMPRODUCT(regions!EI88:EN88,regions!EI$204:EN$204)</f>
        <v>-0.68769141779657517</v>
      </c>
      <c r="T89" s="1">
        <f>$J89+SUMPRODUCT(regions!EQ88:EV88,regions!EQ$204:EV$204)</f>
        <v>-0.88769141779657446</v>
      </c>
      <c r="U89" s="1">
        <f>$J89+SUMPRODUCT(regions!CM88:CU88,regions!CM$204:CU$204)</f>
        <v>-0.70234009083830529</v>
      </c>
      <c r="V89" s="1">
        <f>$J89+SUMPRODUCT(regions!DH88:DM88,regions!DH$204:DM$204)</f>
        <v>-0.46410439143093285</v>
      </c>
      <c r="W89" s="1">
        <f>$J89+SUMPRODUCT(regions!DP88:DW88,regions!DP$204:DW$204)</f>
        <v>-0.58769141779657375</v>
      </c>
      <c r="X89" s="1">
        <f>$J89+SUMPRODUCT(regions!AB88:AE88,regions!AB$204:AE$204)</f>
        <v>0.75062225079445</v>
      </c>
      <c r="Y89" s="1">
        <f>$J89+SUMPRODUCT(regions!BX88:CJ88,regions!BX$204:CJ$204)</f>
        <v>-2.2931112046715008</v>
      </c>
      <c r="Z89" s="1">
        <f>$J89+SUMPRODUCT(regions!CX88:DF88,regions!CX$204:DF$204)</f>
        <v>4.2976599091616947</v>
      </c>
      <c r="AA89" s="1">
        <f t="shared" si="46"/>
        <v>5.2</v>
      </c>
      <c r="AB89" s="1">
        <f t="shared" si="47"/>
        <v>0.11694989603422419</v>
      </c>
      <c r="AC89" s="1">
        <f>$J89+SUMPRODUCT(regions!DZ88:EG88,regions!DZ$204:EG$204)</f>
        <v>-0.51769141779657346</v>
      </c>
      <c r="AD89" s="1">
        <f t="shared" si="57"/>
        <v>1.2492761948065159</v>
      </c>
      <c r="AE89" s="1">
        <f t="shared" si="57"/>
        <v>-0.26072380519348393</v>
      </c>
      <c r="AF89" s="1">
        <f t="shared" si="48"/>
        <v>-26.381666040298853</v>
      </c>
      <c r="AG89" s="1">
        <f>$J89+SUMPRODUCT(regions!AX88:BK88,regions!AX$204:BK$204)</f>
        <v>-0.199722965837271</v>
      </c>
      <c r="AH89" s="1">
        <f>$J89+SUMPRODUCT(regions!AG88:AV88,regions!AG$204:AV$204)</f>
        <v>1.9454591882557626</v>
      </c>
      <c r="AI89" s="1">
        <f t="shared" si="58"/>
        <v>0.23927619480651607</v>
      </c>
      <c r="AJ89" s="1">
        <f>SartoriRoson!C86</f>
        <v>0.69</v>
      </c>
      <c r="AK89" s="1">
        <f>Kompas!E86</f>
        <v>-0.748</v>
      </c>
      <c r="AL89" s="1">
        <f>$J89+SUMPRODUCT(regions!EY88:FW88,regions!EY$204:FW$204)</f>
        <v>0.49032752298870896</v>
      </c>
      <c r="AM89" s="1">
        <f>$J89+SUMPRODUCT(regions!FZ88:GF88,regions!FZ$204:GF$204)</f>
        <v>1.8260946175485842</v>
      </c>
      <c r="AN89" s="1">
        <f t="shared" si="50"/>
        <v>-6.9607238051934832</v>
      </c>
      <c r="AO89" s="1">
        <f t="shared" si="50"/>
        <v>-6.2607238051934839</v>
      </c>
      <c r="AP89" s="1">
        <f t="shared" si="50"/>
        <v>-1.4607238051934832</v>
      </c>
      <c r="AQ89" s="1">
        <f t="shared" si="49"/>
        <v>7.368803505796949</v>
      </c>
      <c r="AR89" s="1">
        <f t="shared" si="49"/>
        <v>-2.7607238051934839</v>
      </c>
      <c r="AS89" s="1">
        <f t="shared" si="49"/>
        <v>-6.0723805193484637E-2</v>
      </c>
      <c r="AT89" s="1">
        <f t="shared" si="49"/>
        <v>1.9459428614731831</v>
      </c>
      <c r="AU89" s="1">
        <f t="shared" si="53"/>
        <v>-2.9807238051934828</v>
      </c>
      <c r="AV89" s="1">
        <f t="shared" si="53"/>
        <v>-1.5607238051934846</v>
      </c>
      <c r="AW89" s="1">
        <f>$J89+SUMPRODUCT(regions!BN88:BU88,regions!BN$204:BU$204)</f>
        <v>1.9554220106580171</v>
      </c>
      <c r="AX89" s="1">
        <f t="shared" si="53"/>
        <v>0.75927619480651565</v>
      </c>
      <c r="AY89" s="1">
        <f t="shared" si="53"/>
        <v>1.5392761948065168</v>
      </c>
      <c r="AZ89" s="1">
        <f t="shared" si="53"/>
        <v>1.5392761948065168</v>
      </c>
      <c r="BB89" t="str">
        <f>Maddison!A39</f>
        <v>Ireland</v>
      </c>
      <c r="BC89">
        <f>-Maddison!B39</f>
        <v>5.2</v>
      </c>
      <c r="BD89" s="1">
        <f>K89-BC89</f>
        <v>-4.0584212956281851</v>
      </c>
      <c r="BE89" t="str">
        <f>RehdanzMaddison!P35</f>
        <v>Ireland</v>
      </c>
      <c r="BF89" s="1">
        <f>-100*RehdanzMaddison!U35</f>
        <v>6.2392351384460962E-2</v>
      </c>
      <c r="BG89" s="1">
        <f>-100*RehdanzMaddison!V35</f>
        <v>0.11694989603422419</v>
      </c>
      <c r="BH89" s="1">
        <f>$K89-BF89</f>
        <v>1.0791863529873542</v>
      </c>
      <c r="BI89" s="1">
        <f>$K89-BG89</f>
        <v>1.024628808337591</v>
      </c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</row>
    <row r="90" spans="1:90" x14ac:dyDescent="0.35">
      <c r="A90" t="s">
        <v>604</v>
      </c>
      <c r="B90" s="19">
        <f>regions!B89</f>
        <v>83992</v>
      </c>
      <c r="C90" s="19">
        <f>regions!C89</f>
        <v>3528469191.2340369</v>
      </c>
      <c r="D90" s="8">
        <f>regions!D89</f>
        <v>42009.586522931197</v>
      </c>
      <c r="E90" s="8">
        <f>regions!E89</f>
        <v>0</v>
      </c>
      <c r="F90" s="8">
        <f>regions!F89</f>
        <v>0</v>
      </c>
      <c r="G90" s="1">
        <f>regions!Z89</f>
        <v>9.3000000000000007</v>
      </c>
      <c r="J90" s="1">
        <f t="shared" si="45"/>
        <v>15.95127508561024</v>
      </c>
      <c r="K90" s="1">
        <f>J90+J$4</f>
        <v>0.99852879758548241</v>
      </c>
      <c r="L90" s="1">
        <f t="shared" si="59"/>
        <v>-0.96181805949445898</v>
      </c>
      <c r="M90" s="1">
        <f t="shared" si="60"/>
        <v>5.3751514177475936</v>
      </c>
      <c r="N90" s="1">
        <f t="shared" ref="N90:R90" si="63">$J90+N$3-$J$3</f>
        <v>1.499797214897562</v>
      </c>
      <c r="O90" s="1">
        <f t="shared" si="63"/>
        <v>-0.9037737119798166</v>
      </c>
      <c r="P90" s="1">
        <f t="shared" si="63"/>
        <v>1.0962262880201834</v>
      </c>
      <c r="Q90" s="1">
        <f t="shared" si="63"/>
        <v>0.76622628802018333</v>
      </c>
      <c r="R90" s="1">
        <f t="shared" si="63"/>
        <v>-1.5037737119798162</v>
      </c>
      <c r="S90" s="1">
        <f>$J90+SUMPRODUCT(regions!EI89:EN89,regions!EI$204:EN$204)</f>
        <v>-0.83074132458290784</v>
      </c>
      <c r="T90" s="1">
        <f>$J90+SUMPRODUCT(regions!EQ89:EV89,regions!EQ$204:EV$204)</f>
        <v>-1.0307413245829071</v>
      </c>
      <c r="U90" s="1">
        <f>$J90+SUMPRODUCT(regions!CM89:CU89,regions!CM$204:CU$204)</f>
        <v>-0.84538999762463796</v>
      </c>
      <c r="V90" s="1">
        <f>$J90+SUMPRODUCT(regions!DH89:DM89,regions!DH$204:DM$204)</f>
        <v>-0.60715429821726552</v>
      </c>
      <c r="W90" s="1">
        <f>$J90+SUMPRODUCT(regions!DP89:DW89,regions!DP$204:DW$204)</f>
        <v>-0.73074132458290642</v>
      </c>
      <c r="X90" s="1">
        <f>$J90+SUMPRODUCT(regions!AB89:AE89,regions!AB$204:AE$204)</f>
        <v>0.60757234400811733</v>
      </c>
      <c r="Y90" s="1">
        <f>$J90+SUMPRODUCT(regions!BX89:CJ89,regions!BX$204:CJ$204)</f>
        <v>-2.4361611114578334</v>
      </c>
      <c r="Z90" s="1">
        <f>$J90+SUMPRODUCT(regions!CX89:DF89,regions!CX$204:DF$204)</f>
        <v>4.154610002375362</v>
      </c>
      <c r="AA90" s="1">
        <f t="shared" si="46"/>
        <v>3.5032270872596807</v>
      </c>
      <c r="AB90" s="1">
        <f t="shared" si="47"/>
        <v>1.9431667355750946</v>
      </c>
      <c r="AC90" s="1">
        <f>$J90+SUMPRODUCT(regions!DZ89:EG89,regions!DZ$204:EG$204)</f>
        <v>-0.66074132458290613</v>
      </c>
      <c r="AD90" s="1">
        <f>$J90+AD$3-$J$3</f>
        <v>1.1062262880201832</v>
      </c>
      <c r="AE90" s="1">
        <f>$J90+AE$3-$J$3</f>
        <v>-0.4037737119798166</v>
      </c>
      <c r="AF90" s="1">
        <f t="shared" si="48"/>
        <v>-26.524715947085188</v>
      </c>
      <c r="AG90" s="1">
        <f>$J90+SUMPRODUCT(regions!AX89:BK89,regions!AX$204:BK$204)</f>
        <v>-0.34277287262360367</v>
      </c>
      <c r="AH90" s="1">
        <f>$J90+SUMPRODUCT(regions!AG89:AV89,regions!AG$204:AV$204)</f>
        <v>1.8024092814694299</v>
      </c>
      <c r="AI90" s="1">
        <f>$J90+AI$3-$J$3</f>
        <v>9.6226288020183404E-2</v>
      </c>
      <c r="AJ90" s="1">
        <f>SartoriRoson!C87</f>
        <v>0.01</v>
      </c>
      <c r="AK90" s="1">
        <f>Kompas!E87</f>
        <v>-0.20499999999999999</v>
      </c>
      <c r="AL90" s="1">
        <f>$J90+SUMPRODUCT(regions!EY89:FW89,regions!EY$204:FW$204)</f>
        <v>3.4849958631278657</v>
      </c>
      <c r="AM90" s="1">
        <f>$J90+SUMPRODUCT(regions!FZ89:GF89,regions!FZ$204:GF$204)</f>
        <v>1.6830447107622515</v>
      </c>
      <c r="AN90" s="1">
        <f t="shared" si="50"/>
        <v>-7.1037737119798159</v>
      </c>
      <c r="AO90" s="1">
        <f t="shared" si="50"/>
        <v>-6.4037737119798166</v>
      </c>
      <c r="AP90" s="1">
        <f t="shared" si="50"/>
        <v>-1.6037737119798177</v>
      </c>
      <c r="AQ90" s="1">
        <f t="shared" si="49"/>
        <v>7.2257535990106181</v>
      </c>
      <c r="AR90" s="1">
        <f t="shared" si="49"/>
        <v>-2.9037737119798166</v>
      </c>
      <c r="AS90" s="1">
        <f t="shared" si="49"/>
        <v>-0.20377371197981553</v>
      </c>
      <c r="AT90" s="1">
        <f t="shared" si="49"/>
        <v>1.8028929546868504</v>
      </c>
      <c r="AU90" s="1">
        <f t="shared" si="53"/>
        <v>-3.1237737119798172</v>
      </c>
      <c r="AV90" s="1">
        <f t="shared" si="53"/>
        <v>-1.7037737119798155</v>
      </c>
      <c r="AW90" s="1">
        <f>$J90+SUMPRODUCT(regions!BN89:BU89,regions!BN$204:BU$204)</f>
        <v>2.3146210757009591</v>
      </c>
      <c r="AX90" s="1">
        <f t="shared" si="53"/>
        <v>0.61622628802018298</v>
      </c>
      <c r="AY90" s="1">
        <f t="shared" si="53"/>
        <v>1.3962262880201841</v>
      </c>
      <c r="AZ90" s="1">
        <f t="shared" si="53"/>
        <v>1.3962262880201841</v>
      </c>
      <c r="BD90" s="1"/>
      <c r="BF90" s="1"/>
      <c r="BG90" s="1"/>
      <c r="BH90" s="1"/>
      <c r="BI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</row>
    <row r="91" spans="1:90" x14ac:dyDescent="0.35">
      <c r="A91" t="s">
        <v>156</v>
      </c>
      <c r="B91" s="19">
        <f>regions!B90</f>
        <v>7623600</v>
      </c>
      <c r="C91" s="19">
        <f>regions!C90</f>
        <v>169010664818.13025</v>
      </c>
      <c r="D91" s="8">
        <f>regions!D90</f>
        <v>22169.403538765182</v>
      </c>
      <c r="E91" s="8">
        <f>regions!E90</f>
        <v>22.533284987467191</v>
      </c>
      <c r="F91" s="8">
        <f>regions!F90</f>
        <v>1.5046946479146832</v>
      </c>
      <c r="G91" s="1">
        <f>regions!Z90</f>
        <v>19.2</v>
      </c>
      <c r="J91" s="1">
        <f t="shared" si="45"/>
        <v>11.103771577626194</v>
      </c>
      <c r="K91" s="1">
        <f>J91+J$4</f>
        <v>-3.8489747103985632</v>
      </c>
      <c r="L91" s="1">
        <f t="shared" si="59"/>
        <v>-4.2009104513985989</v>
      </c>
      <c r="M91" s="1">
        <f t="shared" si="60"/>
        <v>3.645867769158734</v>
      </c>
      <c r="N91" s="1">
        <f t="shared" ref="N91:R92" si="64">$J91+N$3-$J$3</f>
        <v>-3.3477062930864836</v>
      </c>
      <c r="O91" s="1">
        <f t="shared" si="64"/>
        <v>-5.7512772199638622</v>
      </c>
      <c r="P91" s="1">
        <f t="shared" si="64"/>
        <v>-3.7512772199638622</v>
      </c>
      <c r="Q91" s="1">
        <f t="shared" si="64"/>
        <v>-4.0812772199638623</v>
      </c>
      <c r="R91" s="1">
        <f t="shared" si="64"/>
        <v>-6.3512772199638619</v>
      </c>
      <c r="S91" s="1">
        <f>$J91+SUMPRODUCT(regions!EI90:EN90,regions!EI$204:EN$204)</f>
        <v>0.84272427533292671</v>
      </c>
      <c r="T91" s="1">
        <f>$J91+SUMPRODUCT(regions!EQ90:EV90,regions!EQ$204:EV$204)</f>
        <v>1.3437122083176565</v>
      </c>
      <c r="U91" s="1">
        <f>$J91+SUMPRODUCT(regions!CM90:CU90,regions!CM$204:CU$204)</f>
        <v>-5.6928935056086836</v>
      </c>
      <c r="V91" s="1">
        <f>$J91+SUMPRODUCT(regions!DH90:DM90,regions!DH$204:DM$204)</f>
        <v>-1.0847191592109073</v>
      </c>
      <c r="W91" s="1">
        <f>$J91+SUMPRODUCT(regions!DP90:DW90,regions!DP$204:DW$204)</f>
        <v>-2.9242764086014077</v>
      </c>
      <c r="X91" s="1">
        <f>$J91+SUMPRODUCT(regions!AB90:AE90,regions!AB$204:AE$204)</f>
        <v>-4.2399311639759283</v>
      </c>
      <c r="Y91" s="1">
        <f>$J91+SUMPRODUCT(regions!BX90:CJ90,regions!BX$204:CJ$204)</f>
        <v>-4.147365452920333</v>
      </c>
      <c r="Z91" s="1">
        <f>$J91+SUMPRODUCT(regions!CX90:DF90,regions!CX$204:DF$204)</f>
        <v>-0.69289350560868357</v>
      </c>
      <c r="AA91" s="1">
        <f t="shared" si="46"/>
        <v>-2.6</v>
      </c>
      <c r="AB91" s="1">
        <f t="shared" si="47"/>
        <v>-1.8111899099941451</v>
      </c>
      <c r="AC91" s="1">
        <f>$J91+SUMPRODUCT(regions!DZ90:EG90,regions!DZ$204:EG$204)</f>
        <v>0.67482359139859227</v>
      </c>
      <c r="AD91" s="1">
        <f t="shared" ref="AD91:AE92" si="65">$J91+AD$3-$J$3</f>
        <v>-3.7412772199638624</v>
      </c>
      <c r="AE91" s="1">
        <f t="shared" si="65"/>
        <v>-5.2512772199638622</v>
      </c>
      <c r="AF91" s="1">
        <f t="shared" si="48"/>
        <v>-6.8</v>
      </c>
      <c r="AG91" s="1">
        <f>$J91+SUMPRODUCT(regions!AX90:BK90,regions!AX$204:BK$204)</f>
        <v>0.91940743251082324</v>
      </c>
      <c r="AH91" s="1">
        <f>$J91+SUMPRODUCT(regions!AG90:AV90,regions!AG$204:AV$204)</f>
        <v>-8.4621959415016299</v>
      </c>
      <c r="AI91" s="1">
        <f>$J91+AI$3-$J$3</f>
        <v>-4.7512772199638622</v>
      </c>
      <c r="AJ91" s="1">
        <f>SartoriRoson!C88</f>
        <v>-2.2200000000000002</v>
      </c>
      <c r="AK91" s="1">
        <f>Kompas!E88</f>
        <v>-2.3170000000000002</v>
      </c>
      <c r="AL91" s="1">
        <f>$J91+SUMPRODUCT(regions!EY90:FW90,regions!EY$204:FW$204)</f>
        <v>-4.4774023624162478</v>
      </c>
      <c r="AM91" s="1">
        <f>$J91+SUMPRODUCT(regions!FZ90:GF90,regions!FZ$204:GF$204)</f>
        <v>2.1370367849190757</v>
      </c>
      <c r="AN91" s="1">
        <f t="shared" si="50"/>
        <v>-11.951277219963861</v>
      </c>
      <c r="AO91" s="1">
        <f t="shared" si="50"/>
        <v>-11.251277219963862</v>
      </c>
      <c r="AP91" s="1">
        <f t="shared" si="50"/>
        <v>-6.4512772199638624</v>
      </c>
      <c r="AQ91" s="1">
        <f t="shared" si="49"/>
        <v>2.3782500910265707</v>
      </c>
      <c r="AR91" s="1">
        <f t="shared" si="49"/>
        <v>-7.7512772199638622</v>
      </c>
      <c r="AS91" s="1">
        <f t="shared" si="49"/>
        <v>-5.0512772199638629</v>
      </c>
      <c r="AT91" s="1">
        <f t="shared" si="49"/>
        <v>-3.0446105532971952</v>
      </c>
      <c r="AU91" s="1">
        <f t="shared" si="53"/>
        <v>-7.971277219963862</v>
      </c>
      <c r="AV91" s="1">
        <f t="shared" si="53"/>
        <v>-6.551277219963862</v>
      </c>
      <c r="AW91" s="1">
        <f>$J91+SUMPRODUCT(regions!BN90:BU90,regions!BN$204:BU$204)</f>
        <v>-2.5328824322830865</v>
      </c>
      <c r="AX91" s="1">
        <f t="shared" si="53"/>
        <v>-4.2312772199638626</v>
      </c>
      <c r="AY91" s="1">
        <f t="shared" si="53"/>
        <v>-3.4512772199638615</v>
      </c>
      <c r="AZ91" s="1">
        <f t="shared" si="53"/>
        <v>-3.4512772199638615</v>
      </c>
      <c r="BB91" t="str">
        <f>Maddison!A40</f>
        <v>Israel</v>
      </c>
      <c r="BC91">
        <f>-Maddison!B40</f>
        <v>-2.6</v>
      </c>
      <c r="BD91" s="1">
        <f>K91-BC91</f>
        <v>-1.2489747103985631</v>
      </c>
      <c r="BE91" t="str">
        <f>RehdanzMaddison!P36</f>
        <v>Israel</v>
      </c>
      <c r="BF91" s="1">
        <f>-100*RehdanzMaddison!U36</f>
        <v>-1.0892489713480593</v>
      </c>
      <c r="BG91" s="1">
        <f>-100*RehdanzMaddison!V36</f>
        <v>-1.8111899099941451</v>
      </c>
      <c r="BH91" s="1">
        <f>$K91-BF91</f>
        <v>-2.7597257390505039</v>
      </c>
      <c r="BI91" s="1">
        <f>$K91-BG91</f>
        <v>-2.0377848004044181</v>
      </c>
      <c r="BJ91" t="str">
        <f>MaddisonRehdanz!A40</f>
        <v>Israel</v>
      </c>
      <c r="BK91">
        <f>MaddisonRehdanz!D40</f>
        <v>-6.8</v>
      </c>
      <c r="BL91" s="1">
        <f>$K91-BK91</f>
        <v>2.9510252896014366</v>
      </c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</row>
    <row r="92" spans="1:90" x14ac:dyDescent="0.35">
      <c r="A92" t="s">
        <v>157</v>
      </c>
      <c r="B92" s="19">
        <f>regions!B91</f>
        <v>60483385</v>
      </c>
      <c r="C92" s="19">
        <f>regions!C91</f>
        <v>1763885790470.2776</v>
      </c>
      <c r="D92" s="8">
        <f>regions!D91</f>
        <v>29163.146051932734</v>
      </c>
      <c r="E92" s="8">
        <f>regions!E91</f>
        <v>22.263245361758962</v>
      </c>
      <c r="F92" s="8">
        <f>regions!F91</f>
        <v>1.771046631239543</v>
      </c>
      <c r="G92" s="1">
        <f>regions!Z91</f>
        <v>13.4</v>
      </c>
      <c r="J92" s="1">
        <f t="shared" si="45"/>
        <v>13.760884286881492</v>
      </c>
      <c r="K92" s="1">
        <f>J92+J$4</f>
        <v>-1.1918620011432655</v>
      </c>
      <c r="L92" s="1">
        <f t="shared" si="59"/>
        <v>-2.4307636502533168</v>
      </c>
      <c r="M92" s="1">
        <f t="shared" si="60"/>
        <v>2.6082030098286699</v>
      </c>
      <c r="N92" s="1">
        <f t="shared" si="64"/>
        <v>-0.69059358383118585</v>
      </c>
      <c r="O92" s="1">
        <f t="shared" si="64"/>
        <v>-3.0941645107085645</v>
      </c>
      <c r="P92" s="1">
        <f t="shared" si="64"/>
        <v>-1.0941645107085645</v>
      </c>
      <c r="Q92" s="1">
        <f t="shared" si="64"/>
        <v>-1.4241645107085645</v>
      </c>
      <c r="R92" s="1">
        <f t="shared" si="64"/>
        <v>-3.6941645107085641</v>
      </c>
      <c r="S92" s="1">
        <f>$J92+SUMPRODUCT(regions!EI91:EN91,regions!EI$204:EN$204)</f>
        <v>-3.0211321233116557</v>
      </c>
      <c r="T92" s="1">
        <f>$J92+SUMPRODUCT(regions!EQ91:EV91,regions!EQ$204:EV$204)</f>
        <v>-3.221132123311655</v>
      </c>
      <c r="U92" s="1">
        <f>$J92+SUMPRODUCT(regions!CM91:CU91,regions!CM$204:CU$204)</f>
        <v>-3.0357807963533858</v>
      </c>
      <c r="V92" s="1">
        <f>$J92+SUMPRODUCT(regions!DH91:DM91,regions!DH$204:DM$204)</f>
        <v>-2.7975450969460134</v>
      </c>
      <c r="W92" s="1">
        <f>$J92+SUMPRODUCT(regions!DP91:DW91,regions!DP$204:DW$204)</f>
        <v>-2.9211321233116543</v>
      </c>
      <c r="X92" s="1">
        <f>$J92+SUMPRODUCT(regions!AB91:AE91,regions!AB$204:AE$204)</f>
        <v>-1.5828184547206305</v>
      </c>
      <c r="Y92" s="1">
        <f>$J92+SUMPRODUCT(regions!BX91:CJ91,regions!BX$204:CJ$204)</f>
        <v>-4.6265519101865813</v>
      </c>
      <c r="Z92" s="1">
        <f>$J92+SUMPRODUCT(regions!CX91:DF91,regions!CX$204:DF$204)</f>
        <v>1.9642192036466142</v>
      </c>
      <c r="AA92" s="1">
        <f t="shared" si="46"/>
        <v>0.6</v>
      </c>
      <c r="AB92" s="1">
        <f t="shared" si="47"/>
        <v>-1.1568367809125362</v>
      </c>
      <c r="AC92" s="1">
        <f>$J92+SUMPRODUCT(regions!DZ91:EG91,regions!DZ$204:EG$204)</f>
        <v>-2.851132123311654</v>
      </c>
      <c r="AD92" s="1">
        <f t="shared" si="65"/>
        <v>-1.0841645107085647</v>
      </c>
      <c r="AE92" s="1">
        <f t="shared" si="65"/>
        <v>-2.5941645107085645</v>
      </c>
      <c r="AF92" s="1">
        <f t="shared" si="48"/>
        <v>-1.3</v>
      </c>
      <c r="AG92" s="1">
        <f>$J92+SUMPRODUCT(regions!AX91:BK91,regions!AX$204:BK$204)</f>
        <v>-0.44190210191928259</v>
      </c>
      <c r="AH92" s="1">
        <f>$J92+SUMPRODUCT(regions!AG91:AV91,regions!AG$204:AV$204)</f>
        <v>-0.38798151725931795</v>
      </c>
      <c r="AI92" s="1">
        <f>$J92+AI$3-$J$3</f>
        <v>-2.0941645107085645</v>
      </c>
      <c r="AJ92" s="1">
        <f>SartoriRoson!C89</f>
        <v>-0.18</v>
      </c>
      <c r="AK92" s="1">
        <f>Kompas!E89</f>
        <v>-0.58799999999999997</v>
      </c>
      <c r="AL92" s="1">
        <f>$J92+SUMPRODUCT(regions!EY91:FW91,regions!EY$204:FW$204)</f>
        <v>-1.7584837593605744</v>
      </c>
      <c r="AM92" s="1">
        <f>$J92+SUMPRODUCT(regions!FZ91:GF91,regions!FZ$204:GF$204)</f>
        <v>-0.50734608796649638</v>
      </c>
      <c r="AN92" s="1">
        <f t="shared" si="50"/>
        <v>-9.2941645107085638</v>
      </c>
      <c r="AO92" s="1">
        <f t="shared" si="50"/>
        <v>-8.5941645107085645</v>
      </c>
      <c r="AP92" s="1">
        <f t="shared" si="50"/>
        <v>-3.7941645107085638</v>
      </c>
      <c r="AQ92" s="1">
        <f t="shared" si="49"/>
        <v>5.0353628002818684</v>
      </c>
      <c r="AR92" s="1">
        <f t="shared" si="49"/>
        <v>-5.0941645107085645</v>
      </c>
      <c r="AS92" s="1">
        <f t="shared" si="49"/>
        <v>-2.3941645107085652</v>
      </c>
      <c r="AT92" s="1">
        <f t="shared" si="49"/>
        <v>-0.38749784404189747</v>
      </c>
      <c r="AU92" s="1">
        <f t="shared" si="53"/>
        <v>-5.3141645107085633</v>
      </c>
      <c r="AV92" s="1">
        <f t="shared" si="53"/>
        <v>-3.8941645107085652</v>
      </c>
      <c r="AW92" s="1">
        <f>$J92+SUMPRODUCT(regions!BN91:BU91,regions!BN$204:BU$204)</f>
        <v>-0.37801869485706341</v>
      </c>
      <c r="AX92" s="1">
        <f t="shared" si="53"/>
        <v>-1.5741645107085649</v>
      </c>
      <c r="AY92" s="1">
        <f t="shared" si="53"/>
        <v>-0.79416451070856375</v>
      </c>
      <c r="AZ92" s="1">
        <f t="shared" si="53"/>
        <v>-0.79416451070856375</v>
      </c>
      <c r="BB92" t="str">
        <f>Maddison!A41</f>
        <v>Italy</v>
      </c>
      <c r="BC92">
        <f>-Maddison!B41</f>
        <v>0.6</v>
      </c>
      <c r="BD92" s="1">
        <f>K92-BC92</f>
        <v>-1.7918620011432655</v>
      </c>
      <c r="BE92" t="str">
        <f>RehdanzMaddison!P37</f>
        <v>Italy</v>
      </c>
      <c r="BF92" s="1">
        <f>-100*RehdanzMaddison!U37</f>
        <v>-0.69872434077288292</v>
      </c>
      <c r="BG92" s="1">
        <f>-100*RehdanzMaddison!V37</f>
        <v>-1.1568367809125362</v>
      </c>
      <c r="BH92" s="1">
        <f>$K92-BF92</f>
        <v>-0.49313766037038254</v>
      </c>
      <c r="BI92" s="1">
        <f>$K92-BG92</f>
        <v>-3.5025220230729293E-2</v>
      </c>
      <c r="BJ92" t="str">
        <f>MaddisonRehdanz!A41</f>
        <v>Italy</v>
      </c>
      <c r="BK92">
        <f>MaddisonRehdanz!D41</f>
        <v>-1.3</v>
      </c>
      <c r="BL92" s="1">
        <f>$K92-BK92</f>
        <v>0.10813799885673459</v>
      </c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</row>
    <row r="93" spans="1:90" x14ac:dyDescent="0.35">
      <c r="A93" t="s">
        <v>159</v>
      </c>
      <c r="B93" s="19">
        <f>regions!B92</f>
        <v>2701200</v>
      </c>
      <c r="C93" s="19">
        <f>regions!C92</f>
        <v>11696126739.263338</v>
      </c>
      <c r="D93" s="8">
        <f>regions!D92</f>
        <v>4329.9743592711902</v>
      </c>
      <c r="E93" s="8">
        <f>regions!E92</f>
        <v>0</v>
      </c>
      <c r="F93" s="8">
        <f>regions!F92</f>
        <v>0</v>
      </c>
      <c r="G93" s="1">
        <f>regions!Z92</f>
        <v>27.2</v>
      </c>
      <c r="J93" s="1">
        <f t="shared" si="45"/>
        <v>5.1506321159193771</v>
      </c>
      <c r="K93" s="1">
        <f>J93+J$4</f>
        <v>-9.8021141721053802</v>
      </c>
      <c r="L93" s="1">
        <f t="shared" si="59"/>
        <v>-9.9304229922984746</v>
      </c>
      <c r="M93" s="1">
        <f t="shared" si="60"/>
        <v>7.4264604419027878</v>
      </c>
      <c r="N93" s="1">
        <f t="shared" ref="N93:R93" si="66">$J93+N$3-$J$3</f>
        <v>-9.3008457547933006</v>
      </c>
      <c r="O93" s="1">
        <f t="shared" si="66"/>
        <v>-11.704416681670679</v>
      </c>
      <c r="P93" s="1">
        <f t="shared" si="66"/>
        <v>-9.7044166816706792</v>
      </c>
      <c r="Q93" s="1">
        <f t="shared" si="66"/>
        <v>-10.034416681670679</v>
      </c>
      <c r="R93" s="1">
        <f t="shared" si="66"/>
        <v>-12.304416681670679</v>
      </c>
      <c r="S93" s="1">
        <f>$J93+SUMPRODUCT(regions!EI92:EN92,regions!EI$204:EN$204)</f>
        <v>-5.1104151863738903</v>
      </c>
      <c r="T93" s="1">
        <f>$J93+SUMPRODUCT(regions!EQ92:EV92,regions!EQ$204:EV$204)</f>
        <v>-4.6094272533891605</v>
      </c>
      <c r="U93" s="1">
        <f>$J93+SUMPRODUCT(regions!CM92:CU92,regions!CM$204:CU$204)</f>
        <v>-6.9443053619305015</v>
      </c>
      <c r="V93" s="1">
        <f>$J93+SUMPRODUCT(regions!DH92:DM92,regions!DH$204:DM$204)</f>
        <v>-7.0378586209177243</v>
      </c>
      <c r="W93" s="1">
        <f>$J93+SUMPRODUCT(regions!DP92:DW92,regions!DP$204:DW$204)</f>
        <v>-6.9343053619305</v>
      </c>
      <c r="X93" s="1">
        <f>$J93+SUMPRODUCT(regions!AB92:AE92,regions!AB$204:AE$204)</f>
        <v>-4.8030066700599203</v>
      </c>
      <c r="Y93" s="1">
        <f>$J93+SUMPRODUCT(regions!BX92:CJ92,regions!BX$204:CJ$204)</f>
        <v>-5.3966399980404329</v>
      </c>
      <c r="Z93" s="1">
        <f>$J93+SUMPRODUCT(regions!CX92:DF92,regions!CX$204:DF$204)</f>
        <v>-2.7443053619305005</v>
      </c>
      <c r="AA93" s="1">
        <f t="shared" si="46"/>
        <v>-7.2974158824311814</v>
      </c>
      <c r="AB93" s="1">
        <f t="shared" si="47"/>
        <v>-8.8574762341157687</v>
      </c>
      <c r="AC93" s="1">
        <f>$J93+SUMPRODUCT(regions!DZ92:EG92,regions!DZ$204:EG$204)</f>
        <v>-4.8952053619305005</v>
      </c>
      <c r="AD93" s="1">
        <f>$J93+AD$3-$J$3</f>
        <v>-9.6944166816706794</v>
      </c>
      <c r="AE93" s="1">
        <f>$J93+AE$3-$J$3</f>
        <v>-11.204416681670679</v>
      </c>
      <c r="AF93" s="1">
        <f t="shared" si="48"/>
        <v>-37.325358916776054</v>
      </c>
      <c r="AG93" s="1">
        <f>$J93+SUMPRODUCT(regions!AX92:BK92,regions!AX$204:BK$204)</f>
        <v>-3.3335190274025486</v>
      </c>
      <c r="AH93" s="1">
        <f>$J93+SUMPRODUCT(regions!AG92:AV92,regions!AG$204:AV$204)</f>
        <v>-11.500132585668945</v>
      </c>
      <c r="AI93" s="1">
        <f>$J93+AI$3-$J$3</f>
        <v>-10.704416681670679</v>
      </c>
      <c r="AJ93" s="1">
        <f>SartoriRoson!C90</f>
        <v>-11.38</v>
      </c>
      <c r="AK93" s="1">
        <f>Kompas!E90</f>
        <v>-6.94</v>
      </c>
      <c r="AL93" s="1">
        <f>$J93+SUMPRODUCT(regions!EY92:FW92,regions!EY$204:FW$204)</f>
        <v>-4.1672678054154257</v>
      </c>
      <c r="AM93" s="1">
        <f>$J93+SUMPRODUCT(regions!FZ92:GF92,regions!FZ$204:GF$204)</f>
        <v>-0.71058388829780483</v>
      </c>
      <c r="AN93" s="1">
        <f t="shared" si="50"/>
        <v>-17.904416681670678</v>
      </c>
      <c r="AO93" s="1">
        <f t="shared" si="50"/>
        <v>-17.204416681670679</v>
      </c>
      <c r="AP93" s="1">
        <f t="shared" si="50"/>
        <v>-12.404416681670678</v>
      </c>
      <c r="AQ93" s="1">
        <f t="shared" si="49"/>
        <v>-3.5748893706802445</v>
      </c>
      <c r="AR93" s="1">
        <f t="shared" si="49"/>
        <v>-13.704416681670679</v>
      </c>
      <c r="AS93" s="1">
        <f t="shared" si="49"/>
        <v>-11.00441668167068</v>
      </c>
      <c r="AT93" s="1">
        <f t="shared" si="49"/>
        <v>-8.9977500150040122</v>
      </c>
      <c r="AU93" s="1">
        <f t="shared" si="53"/>
        <v>-13.924416681670678</v>
      </c>
      <c r="AV93" s="1">
        <f t="shared" si="53"/>
        <v>-12.50441668167068</v>
      </c>
      <c r="AW93" s="1">
        <f>$J93+SUMPRODUCT(regions!BN92:BU92,regions!BN$204:BU$204)</f>
        <v>-8.4860218939899035</v>
      </c>
      <c r="AX93" s="1">
        <f t="shared" si="53"/>
        <v>-10.18441668167068</v>
      </c>
      <c r="AY93" s="1">
        <f t="shared" si="53"/>
        <v>-9.4044166816706785</v>
      </c>
      <c r="AZ93" s="1">
        <f t="shared" si="53"/>
        <v>-9.4044166816706785</v>
      </c>
      <c r="BD93" s="1"/>
      <c r="BF93" s="1"/>
      <c r="BG93" s="1"/>
      <c r="BH93" s="1"/>
      <c r="BI93" s="1"/>
      <c r="BL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</row>
    <row r="94" spans="1:90" x14ac:dyDescent="0.35">
      <c r="A94" t="s">
        <v>64</v>
      </c>
      <c r="B94" s="19">
        <f>regions!B93</f>
        <v>127450459</v>
      </c>
      <c r="C94" s="19">
        <f>regions!C93</f>
        <v>4648468621132.7568</v>
      </c>
      <c r="D94" s="8">
        <f>regions!D93</f>
        <v>36472.749157637452</v>
      </c>
      <c r="E94" s="8">
        <f>regions!E93</f>
        <v>8.8097844345772067</v>
      </c>
      <c r="F94" s="8">
        <f>regions!F93</f>
        <v>5.2694315711303865</v>
      </c>
      <c r="G94" s="1">
        <f>regions!Z93</f>
        <v>11.1</v>
      </c>
      <c r="J94" s="1">
        <f t="shared" si="45"/>
        <v>15.024114934941737</v>
      </c>
      <c r="K94" s="1">
        <f t="shared" ref="K94:K107" si="67">J94+J$4</f>
        <v>7.1368646916980083E-2</v>
      </c>
      <c r="L94" s="1">
        <f t="shared" si="59"/>
        <v>-1.163295105893297</v>
      </c>
      <c r="M94" s="1">
        <f t="shared" si="60"/>
        <v>2.8450000635989534</v>
      </c>
      <c r="N94" s="1">
        <f t="shared" ref="N94:R107" si="68">$J94+N$3-$J$3</f>
        <v>0.57263706422905969</v>
      </c>
      <c r="O94" s="1">
        <f t="shared" si="68"/>
        <v>-1.8309338626483189</v>
      </c>
      <c r="P94" s="1">
        <f t="shared" si="68"/>
        <v>0.16906613735168108</v>
      </c>
      <c r="Q94" s="1">
        <f t="shared" si="68"/>
        <v>-0.16093386264831899</v>
      </c>
      <c r="R94" s="1">
        <f t="shared" si="68"/>
        <v>-2.4309338626483186</v>
      </c>
      <c r="S94" s="1">
        <f>$J94+SUMPRODUCT(regions!EI93:EN93,regions!EI$204:EN$204)</f>
        <v>-2.3348487431451215</v>
      </c>
      <c r="T94" s="1">
        <f>$J94+SUMPRODUCT(regions!EQ93:EV93,regions!EQ$204:EV$204)</f>
        <v>-1.9912802810409982</v>
      </c>
      <c r="U94" s="1">
        <f>$J94+SUMPRODUCT(regions!CM93:CU93,regions!CM$204:CU$204)</f>
        <v>-2.2317829094338162</v>
      </c>
      <c r="V94" s="1">
        <f>$J94+SUMPRODUCT(regions!DH93:DM93,regions!DH$204:DM$204)</f>
        <v>-1.1740000000000013</v>
      </c>
      <c r="W94" s="1">
        <f>$J94+SUMPRODUCT(regions!DP93:DW93,regions!DP$204:DW$204)</f>
        <v>-3.7948487431451223</v>
      </c>
      <c r="X94" s="1">
        <f>$J94+SUMPRODUCT(regions!AB93:AE93,regions!AB$204:AE$204)</f>
        <v>-0.319587806660385</v>
      </c>
      <c r="Y94" s="1">
        <f>$J94+SUMPRODUCT(regions!BX93:CJ93,regions!BX$204:CJ$204)</f>
        <v>-0.5</v>
      </c>
      <c r="Z94" s="1">
        <f>$J94+SUMPRODUCT(regions!CX93:DF93,regions!CX$204:DF$204)</f>
        <v>1.5682170905661845</v>
      </c>
      <c r="AA94" s="1">
        <f t="shared" si="46"/>
        <v>0.4</v>
      </c>
      <c r="AB94" s="1">
        <f t="shared" si="47"/>
        <v>0.3893317703753762</v>
      </c>
      <c r="AC94" s="1">
        <f>$J94+SUMPRODUCT(regions!DZ93:EG93,regions!DZ$204:EG$204)</f>
        <v>-1.2423487431451239</v>
      </c>
      <c r="AD94" s="1">
        <f t="shared" ref="AD94:AE107" si="69">$J94+AD$3-$J$3</f>
        <v>0.17906613735168087</v>
      </c>
      <c r="AE94" s="1">
        <f t="shared" si="69"/>
        <v>-1.3309338626483189</v>
      </c>
      <c r="AF94" s="1">
        <f t="shared" si="48"/>
        <v>1</v>
      </c>
      <c r="AG94" s="1">
        <f>$J94+SUMPRODUCT(regions!AX93:BK93,regions!AX$204:BK$204)</f>
        <v>-1.3592766241632166</v>
      </c>
      <c r="AH94" s="1">
        <f>$J94+SUMPRODUCT(regions!AG93:AV93,regions!AG$204:AV$204)</f>
        <v>0.19999999999999929</v>
      </c>
      <c r="AI94" s="1">
        <f t="shared" ref="AI94:AI107" si="70">$J94+AI$3-$J$3</f>
        <v>-0.83093386264831892</v>
      </c>
      <c r="AJ94" s="1">
        <f>SartoriRoson!C91</f>
        <v>-0.39</v>
      </c>
      <c r="AK94" s="1">
        <f>Kompas!E91</f>
        <v>-1.335</v>
      </c>
      <c r="AL94" s="1">
        <f>$J94+SUMPRODUCT(regions!EY93:FW93,regions!EY$204:FW$204)</f>
        <v>4.839780188410181E-2</v>
      </c>
      <c r="AM94" s="1">
        <f>$J94+SUMPRODUCT(regions!FZ93:GF93,regions!FZ$204:GF$204)</f>
        <v>6.057380142234619</v>
      </c>
      <c r="AN94" s="1">
        <f t="shared" si="50"/>
        <v>-8.0309338626483182</v>
      </c>
      <c r="AO94" s="1">
        <f t="shared" si="50"/>
        <v>-7.3309338626483189</v>
      </c>
      <c r="AP94" s="1">
        <f t="shared" si="50"/>
        <v>-2.53093386264832</v>
      </c>
      <c r="AQ94" s="1">
        <f t="shared" si="49"/>
        <v>6.2985934483421158</v>
      </c>
      <c r="AR94" s="1">
        <f t="shared" si="49"/>
        <v>-3.8309338626483189</v>
      </c>
      <c r="AS94" s="1">
        <f t="shared" si="49"/>
        <v>-1.1309338626483179</v>
      </c>
      <c r="AT94" s="1">
        <f t="shared" si="49"/>
        <v>0.87573280401834808</v>
      </c>
      <c r="AU94" s="1">
        <f t="shared" si="53"/>
        <v>-4.0509338626483196</v>
      </c>
      <c r="AV94" s="1">
        <f t="shared" si="53"/>
        <v>-2.6309338626483179</v>
      </c>
      <c r="AW94" s="1">
        <f>$J94+SUMPRODUCT(regions!BN93:BU93,regions!BN$204:BU$204)</f>
        <v>2.9847328244274802</v>
      </c>
      <c r="AX94" s="1">
        <f t="shared" si="53"/>
        <v>-0.31093386264831935</v>
      </c>
      <c r="AY94" s="1">
        <f t="shared" si="53"/>
        <v>0.46906613735168179</v>
      </c>
      <c r="AZ94" s="1">
        <f t="shared" si="53"/>
        <v>0.46906613735168179</v>
      </c>
      <c r="BB94" t="str">
        <f>Maddison!A44</f>
        <v>Japan</v>
      </c>
      <c r="BC94">
        <f>-Maddison!B44</f>
        <v>0.4</v>
      </c>
      <c r="BD94" s="1">
        <f>K94-BC94</f>
        <v>-0.32863135308301994</v>
      </c>
      <c r="BE94" t="str">
        <f>RehdanzMaddison!P38</f>
        <v>Japan</v>
      </c>
      <c r="BF94" s="1">
        <f>-100*RehdanzMaddison!U38</f>
        <v>0.22424961619015507</v>
      </c>
      <c r="BG94" s="1">
        <f>-100*RehdanzMaddison!V38</f>
        <v>0.3893317703753762</v>
      </c>
      <c r="BH94" s="1">
        <f>$K94-BF94</f>
        <v>-0.15288096927317499</v>
      </c>
      <c r="BI94" s="1">
        <f>$K94-BG94</f>
        <v>-0.31796312345839611</v>
      </c>
      <c r="BJ94" t="str">
        <f>MaddisonRehdanz!A42</f>
        <v>Japan</v>
      </c>
      <c r="BK94">
        <f>MaddisonRehdanz!D42</f>
        <v>1</v>
      </c>
      <c r="BL94" s="1">
        <f>$K94-BK94</f>
        <v>-0.92863135308301992</v>
      </c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</row>
    <row r="95" spans="1:90" x14ac:dyDescent="0.35">
      <c r="A95" t="s">
        <v>251</v>
      </c>
      <c r="B95" s="19">
        <f>regions!B94</f>
        <v>6046000</v>
      </c>
      <c r="C95" s="19">
        <f>regions!C94</f>
        <v>17034536275.580128</v>
      </c>
      <c r="D95" s="8">
        <f>regions!D94</f>
        <v>2817.4886330764352</v>
      </c>
      <c r="E95" s="8">
        <f>regions!E94</f>
        <v>15.978557190917305</v>
      </c>
      <c r="F95" s="8">
        <f>regions!F94</f>
        <v>1.1022598204990508</v>
      </c>
      <c r="G95" s="1">
        <f>regions!Z94</f>
        <v>18.3</v>
      </c>
      <c r="J95" s="1">
        <f t="shared" si="45"/>
        <v>7.6772844417350772</v>
      </c>
      <c r="K95" s="1">
        <f t="shared" si="67"/>
        <v>-7.2754618462896801</v>
      </c>
      <c r="L95" s="1">
        <f t="shared" si="59"/>
        <v>-7.1760955378075355</v>
      </c>
      <c r="M95" s="1">
        <f t="shared" si="60"/>
        <v>5.4413656832764365</v>
      </c>
      <c r="N95" s="1">
        <f t="shared" si="68"/>
        <v>-6.7741934289776005</v>
      </c>
      <c r="O95" s="1">
        <f t="shared" si="68"/>
        <v>-9.1777643558549791</v>
      </c>
      <c r="P95" s="1">
        <f t="shared" si="68"/>
        <v>-7.1777643558549791</v>
      </c>
      <c r="Q95" s="1">
        <f t="shared" si="68"/>
        <v>-7.5077643558549791</v>
      </c>
      <c r="R95" s="1">
        <f t="shared" si="68"/>
        <v>-9.7777643558549787</v>
      </c>
      <c r="S95" s="1">
        <f>$J95+SUMPRODUCT(regions!EI94:EN94,regions!EI$204:EN$204)</f>
        <v>-2.5837628605581902</v>
      </c>
      <c r="T95" s="1">
        <f>$J95+SUMPRODUCT(regions!EQ94:EV94,regions!EQ$204:EV$204)</f>
        <v>-2.0827749275734604</v>
      </c>
      <c r="U95" s="1">
        <f>$J95+SUMPRODUCT(regions!CM94:CU94,regions!CM$204:CU$204)</f>
        <v>-5.9494621319720284</v>
      </c>
      <c r="V95" s="1">
        <f>$J95+SUMPRODUCT(regions!DH94:DM94,regions!DH$204:DM$204)</f>
        <v>-4.5112062951020242</v>
      </c>
      <c r="W95" s="1">
        <f>$J95+SUMPRODUCT(regions!DP94:DW94,regions!DP$204:DW$204)</f>
        <v>-6.3507635444925246</v>
      </c>
      <c r="X95" s="1">
        <f>$J95+SUMPRODUCT(regions!AB94:AE94,regions!AB$204:AE$204)</f>
        <v>-1.4611207156049222</v>
      </c>
      <c r="Y95" s="1">
        <f>$J95+SUMPRODUCT(regions!BX94:CJ94,regions!BX$204:CJ$204)</f>
        <v>0.37274323686272659</v>
      </c>
      <c r="Z95" s="1">
        <f>$J95+SUMPRODUCT(regions!CX94:DF94,regions!CX$204:DF$204)</f>
        <v>-0.74946213197202916</v>
      </c>
      <c r="AA95" s="1">
        <f t="shared" si="46"/>
        <v>-4.7707635566154813</v>
      </c>
      <c r="AB95" s="1">
        <f t="shared" si="47"/>
        <v>-6.3308239083000677</v>
      </c>
      <c r="AC95" s="1">
        <f>$J95+SUMPRODUCT(regions!DZ94:EG94,regions!DZ$204:EG$204)</f>
        <v>-2.7516635444925246</v>
      </c>
      <c r="AD95" s="1">
        <f t="shared" si="69"/>
        <v>-7.1677643558549793</v>
      </c>
      <c r="AE95" s="1">
        <f t="shared" si="69"/>
        <v>-8.6777643558549791</v>
      </c>
      <c r="AF95" s="1">
        <f t="shared" si="48"/>
        <v>-22.3</v>
      </c>
      <c r="AG95" s="1">
        <f>$J95+SUMPRODUCT(regions!AX94:BK94,regions!AX$204:BK$204)</f>
        <v>-2.5070797033802936</v>
      </c>
      <c r="AH95" s="1">
        <f>$J95+SUMPRODUCT(regions!AG94:AV94,regions!AG$204:AV$204)</f>
        <v>-11.888683077392747</v>
      </c>
      <c r="AI95" s="1">
        <f t="shared" si="70"/>
        <v>-8.1777643558549791</v>
      </c>
      <c r="AJ95" s="1">
        <f>SartoriRoson!C92</f>
        <v>-5.09</v>
      </c>
      <c r="AK95" s="1">
        <f>Kompas!E92</f>
        <v>-3.254</v>
      </c>
      <c r="AL95" s="1">
        <f>$J95+SUMPRODUCT(regions!EY94:FW94,regions!EY$204:FW$204)</f>
        <v>-3.8617435217216727</v>
      </c>
      <c r="AM95" s="1">
        <f>$J95+SUMPRODUCT(regions!FZ94:GF94,regions!FZ$204:GF$204)</f>
        <v>-1.2894503509720412</v>
      </c>
      <c r="AN95" s="1">
        <f t="shared" si="50"/>
        <v>-15.377764355854978</v>
      </c>
      <c r="AO95" s="1">
        <f t="shared" si="50"/>
        <v>-14.677764355854979</v>
      </c>
      <c r="AP95" s="1">
        <f t="shared" si="50"/>
        <v>-9.8777643558549784</v>
      </c>
      <c r="AQ95" s="1">
        <f t="shared" si="49"/>
        <v>-1.0482370448645444</v>
      </c>
      <c r="AR95" s="1">
        <f t="shared" si="49"/>
        <v>-11.177764355854979</v>
      </c>
      <c r="AS95" s="1">
        <f t="shared" si="49"/>
        <v>-8.4777643558549798</v>
      </c>
      <c r="AT95" s="1">
        <f t="shared" si="49"/>
        <v>-6.4710976891883121</v>
      </c>
      <c r="AU95" s="1">
        <f t="shared" si="53"/>
        <v>-11.397764355854978</v>
      </c>
      <c r="AV95" s="1">
        <f t="shared" si="53"/>
        <v>-9.9777643558549798</v>
      </c>
      <c r="AW95" s="1">
        <f>$J95+SUMPRODUCT(regions!BN94:BU94,regions!BN$204:BU$204)</f>
        <v>-4.2275041684808219</v>
      </c>
      <c r="AX95" s="1">
        <f t="shared" si="53"/>
        <v>-7.6577643558549795</v>
      </c>
      <c r="AY95" s="1">
        <f t="shared" si="53"/>
        <v>-6.8777643558549793</v>
      </c>
      <c r="AZ95" s="1">
        <f t="shared" si="53"/>
        <v>-6.8777643558549793</v>
      </c>
      <c r="BF95" s="1"/>
      <c r="BG95" s="1"/>
      <c r="BJ95" t="str">
        <f>MaddisonRehdanz!A43</f>
        <v>Jordan</v>
      </c>
      <c r="BK95">
        <f>MaddisonRehdanz!D43</f>
        <v>-22.3</v>
      </c>
      <c r="BL95" s="1">
        <f>$K95-BK95</f>
        <v>15.024538153710321</v>
      </c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</row>
    <row r="96" spans="1:90" x14ac:dyDescent="0.35">
      <c r="A96" t="s">
        <v>377</v>
      </c>
      <c r="B96" s="19">
        <f>regions!B95</f>
        <v>16323287</v>
      </c>
      <c r="C96" s="19">
        <f>regions!C95</f>
        <v>77245319067.247726</v>
      </c>
      <c r="D96" s="8">
        <f>regions!D95</f>
        <v>4732.2159481266071</v>
      </c>
      <c r="E96" s="8">
        <f>regions!E95</f>
        <v>15.712380463649797</v>
      </c>
      <c r="F96" s="8">
        <f>regions!F95</f>
        <v>4.5105275295561409</v>
      </c>
      <c r="G96" s="1">
        <f>regions!Z95</f>
        <v>6.4</v>
      </c>
      <c r="J96" s="1">
        <f t="shared" si="45"/>
        <v>13.048685011694989</v>
      </c>
      <c r="K96" s="1">
        <f t="shared" si="67"/>
        <v>-1.9040612763297684</v>
      </c>
      <c r="L96" s="1">
        <f t="shared" si="59"/>
        <v>-3.2956124929279662</v>
      </c>
      <c r="M96" s="1">
        <f t="shared" si="60"/>
        <v>5.6176941640024749</v>
      </c>
      <c r="N96" s="1">
        <f t="shared" si="68"/>
        <v>-1.4027928590176888</v>
      </c>
      <c r="O96" s="1">
        <f t="shared" si="68"/>
        <v>-3.8063637858950674</v>
      </c>
      <c r="P96" s="1">
        <f t="shared" si="68"/>
        <v>-1.8063637858950674</v>
      </c>
      <c r="Q96" s="1">
        <f t="shared" si="68"/>
        <v>-2.1363637858950675</v>
      </c>
      <c r="R96" s="1">
        <f t="shared" si="68"/>
        <v>-4.4063637858950671</v>
      </c>
      <c r="S96" s="1">
        <f>$J96+SUMPRODUCT(regions!EI95:EN95,regions!EI$204:EN$204)</f>
        <v>-3.8199664733074101</v>
      </c>
      <c r="T96" s="1">
        <f>$J96+SUMPRODUCT(regions!EQ95:EV95,regions!EQ$204:EV$204)</f>
        <v>-3.9199664733074115</v>
      </c>
      <c r="U96" s="1">
        <f>$J96+SUMPRODUCT(regions!CM95:CU95,regions!CM$204:CU$204)</f>
        <v>-1.6073218175411004</v>
      </c>
      <c r="V96" s="1">
        <f>$J96+SUMPRODUCT(regions!DH95:DM95,regions!DH$204:DM$204)</f>
        <v>-3.9769664733074102</v>
      </c>
      <c r="W96" s="1">
        <f>$J96+SUMPRODUCT(regions!DP95:DW95,regions!DP$204:DW$204)</f>
        <v>-1.9073218175411011</v>
      </c>
      <c r="X96" s="1">
        <f>$J96+SUMPRODUCT(regions!AB95:AE95,regions!AB$204:AE$204)</f>
        <v>3.0950462257156914</v>
      </c>
      <c r="Y96" s="1">
        <f>$J96+SUMPRODUCT(regions!BX95:CJ95,regions!BX$204:CJ$204)</f>
        <v>2.5014128977351788</v>
      </c>
      <c r="Z96" s="1">
        <f>$J96+SUMPRODUCT(regions!CX95:DF95,regions!CX$204:DF$204)</f>
        <v>9.2678182458898917E-2</v>
      </c>
      <c r="AA96" s="1">
        <f t="shared" si="46"/>
        <v>0.60063701334442987</v>
      </c>
      <c r="AB96" s="1">
        <f t="shared" si="47"/>
        <v>-0.95942333834015625</v>
      </c>
      <c r="AC96" s="1">
        <f>$J96+SUMPRODUCT(regions!DZ95:EG95,regions!DZ$204:EG$204)</f>
        <v>-1.4768218175411008</v>
      </c>
      <c r="AD96" s="1">
        <f t="shared" si="69"/>
        <v>-1.7963637858950676</v>
      </c>
      <c r="AE96" s="1">
        <f t="shared" si="69"/>
        <v>-3.3063637858950674</v>
      </c>
      <c r="AF96" s="1">
        <f t="shared" si="48"/>
        <v>-29.42730602100044</v>
      </c>
      <c r="AG96" s="1">
        <f>$J96+SUMPRODUCT(regions!AX95:BK95,regions!AX$204:BK$204)</f>
        <v>-2.3199664733074101</v>
      </c>
      <c r="AH96" s="1">
        <f>$J96+SUMPRODUCT(regions!AG95:AV95,regions!AG$204:AV$204)</f>
        <v>-1.3561237526276635</v>
      </c>
      <c r="AI96" s="1">
        <f t="shared" si="70"/>
        <v>-2.8063637858950674</v>
      </c>
      <c r="AJ96" s="1">
        <f>SartoriRoson!C93</f>
        <v>0.31</v>
      </c>
      <c r="AK96" s="1">
        <f>Kompas!E93</f>
        <v>-0.82</v>
      </c>
      <c r="AL96" s="1">
        <f>$J96+SUMPRODUCT(regions!EY95:FW95,regions!EY$204:FW$204)</f>
        <v>1.1717266706125908</v>
      </c>
      <c r="AM96" s="1">
        <f>$J96+SUMPRODUCT(regions!FZ95:GF95,regions!FZ$204:GF$204)</f>
        <v>-1.8438640510877597</v>
      </c>
      <c r="AN96" s="1">
        <f t="shared" si="50"/>
        <v>-10.006363785895067</v>
      </c>
      <c r="AO96" s="1">
        <f t="shared" si="50"/>
        <v>-9.3063637858950674</v>
      </c>
      <c r="AP96" s="1">
        <f t="shared" si="50"/>
        <v>-4.5063637858950667</v>
      </c>
      <c r="AQ96" s="1">
        <f t="shared" si="49"/>
        <v>4.3231635250953655</v>
      </c>
      <c r="AR96" s="1">
        <f t="shared" si="49"/>
        <v>-5.8063637858950674</v>
      </c>
      <c r="AS96" s="1">
        <f t="shared" si="49"/>
        <v>-3.1063637858950681</v>
      </c>
      <c r="AT96" s="1">
        <f t="shared" si="49"/>
        <v>-1.0996971192284004</v>
      </c>
      <c r="AU96" s="1">
        <f t="shared" si="53"/>
        <v>-6.0263637858950672</v>
      </c>
      <c r="AV96" s="1">
        <f t="shared" si="53"/>
        <v>-4.6063637858950681</v>
      </c>
      <c r="AW96" s="1">
        <f>$J96+SUMPRODUCT(regions!BN95:BU95,regions!BN$204:BU$204)</f>
        <v>-2.0131463316210052</v>
      </c>
      <c r="AX96" s="1">
        <f t="shared" si="53"/>
        <v>-2.2863637858950678</v>
      </c>
      <c r="AY96" s="1">
        <f t="shared" si="53"/>
        <v>-1.5063637858950667</v>
      </c>
      <c r="AZ96" s="1">
        <f t="shared" ref="AZ96:AZ130" si="71">$J96+AZ$3-$J$3</f>
        <v>-1.5063637858950667</v>
      </c>
      <c r="BF96" s="1"/>
      <c r="BG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</row>
    <row r="97" spans="1:90" x14ac:dyDescent="0.35">
      <c r="A97" t="s">
        <v>160</v>
      </c>
      <c r="B97" s="19">
        <f>regions!B96</f>
        <v>40909194</v>
      </c>
      <c r="C97" s="19">
        <f>regions!C96</f>
        <v>23525253225.790203</v>
      </c>
      <c r="D97" s="8">
        <f>regions!D96</f>
        <v>575.06029636736923</v>
      </c>
      <c r="E97" s="8">
        <f>regions!E96</f>
        <v>0</v>
      </c>
      <c r="F97" s="8">
        <f>regions!F96</f>
        <v>24.826217487264678</v>
      </c>
      <c r="G97" s="1">
        <f>regions!Z96</f>
        <v>24.7</v>
      </c>
      <c r="J97" s="1">
        <f t="shared" si="45"/>
        <v>2.3994995335712819</v>
      </c>
      <c r="K97" s="1">
        <f t="shared" si="67"/>
        <v>-12.553246754453475</v>
      </c>
      <c r="L97" s="1">
        <f t="shared" si="59"/>
        <v>-12.0448268938841</v>
      </c>
      <c r="M97" s="1">
        <f t="shared" si="60"/>
        <v>8.4249015839420256</v>
      </c>
      <c r="N97" s="1">
        <f t="shared" si="68"/>
        <v>-12.051978337141396</v>
      </c>
      <c r="O97" s="1">
        <f t="shared" si="68"/>
        <v>-14.455549264018774</v>
      </c>
      <c r="P97" s="1">
        <f t="shared" si="68"/>
        <v>-12.455549264018774</v>
      </c>
      <c r="Q97" s="1">
        <f t="shared" si="68"/>
        <v>-12.785549264018774</v>
      </c>
      <c r="R97" s="1">
        <f t="shared" si="68"/>
        <v>-15.055549264018774</v>
      </c>
      <c r="S97" s="1">
        <f>$J97+SUMPRODUCT(regions!EI96:EN96,regions!EI$204:EN$204)</f>
        <v>-7.8615477687219855</v>
      </c>
      <c r="T97" s="1">
        <f>$J97+SUMPRODUCT(regions!EQ96:EV96,regions!EQ$204:EV$204)</f>
        <v>-7.3605598357372557</v>
      </c>
      <c r="U97" s="1">
        <f>$J97+SUMPRODUCT(regions!CM96:CU96,regions!CM$204:CU$204)</f>
        <v>-12.056130959047461</v>
      </c>
      <c r="V97" s="1">
        <f>$J97+SUMPRODUCT(regions!DH96:DM96,regions!DH$204:DM$204)</f>
        <v>-9.7889912032658195</v>
      </c>
      <c r="W97" s="1">
        <f>$J97+SUMPRODUCT(regions!DP96:DW96,regions!DP$204:DW$204)</f>
        <v>-11.62854845265632</v>
      </c>
      <c r="X97" s="1">
        <f>$J97+SUMPRODUCT(regions!AB96:AE96,regions!AB$204:AE$204)</f>
        <v>-1.1170178146441598</v>
      </c>
      <c r="Y97" s="1">
        <f>$J97+SUMPRODUCT(regions!BX96:CJ96,regions!BX$204:CJ$204)</f>
        <v>-4.5525072543705818</v>
      </c>
      <c r="Z97" s="1">
        <f>$J97+SUMPRODUCT(regions!CX96:DF96,regions!CX$204:DF$204)</f>
        <v>-7.4561309590474618</v>
      </c>
      <c r="AA97" s="1">
        <f t="shared" si="46"/>
        <v>-9.6999999999999993</v>
      </c>
      <c r="AB97" s="1">
        <f t="shared" si="47"/>
        <v>-11.608608816463864</v>
      </c>
      <c r="AC97" s="1">
        <f>$J97+SUMPRODUCT(regions!DZ96:EG96,regions!DZ$204:EG$204)</f>
        <v>-8.0294484526563199</v>
      </c>
      <c r="AD97" s="1">
        <f t="shared" si="69"/>
        <v>-12.445549264018775</v>
      </c>
      <c r="AE97" s="1">
        <f t="shared" si="69"/>
        <v>-13.955549264018774</v>
      </c>
      <c r="AF97" s="1">
        <f t="shared" si="48"/>
        <v>-40.076491499124145</v>
      </c>
      <c r="AG97" s="1">
        <f>$J97+SUMPRODUCT(regions!AX96:BK96,regions!AX$204:BK$204)</f>
        <v>-4.3905898074112457</v>
      </c>
      <c r="AH97" s="1">
        <f>$J97+SUMPRODUCT(regions!AG96:AV96,regions!AG$204:AV$204)</f>
        <v>-11.290589807411246</v>
      </c>
      <c r="AI97" s="1">
        <f t="shared" si="70"/>
        <v>-13.455549264018774</v>
      </c>
      <c r="AJ97" s="1">
        <f>SartoriRoson!C94</f>
        <v>-5.62</v>
      </c>
      <c r="AK97" s="1">
        <f>Kompas!E94</f>
        <v>-7.2380000000000004</v>
      </c>
      <c r="AL97" s="1">
        <f>$J97+SUMPRODUCT(regions!EY96:FW96,regions!EY$204:FW$204)</f>
        <v>-4.8797150731266772</v>
      </c>
      <c r="AM97" s="1">
        <f>$J97+SUMPRODUCT(regions!FZ96:GF96,regions!FZ$204:GF$204)</f>
        <v>-1.7521791451491762</v>
      </c>
      <c r="AN97" s="1">
        <f t="shared" si="50"/>
        <v>-20.655549264018774</v>
      </c>
      <c r="AO97" s="1">
        <f t="shared" si="50"/>
        <v>-19.955549264018774</v>
      </c>
      <c r="AP97" s="1">
        <f t="shared" si="50"/>
        <v>-15.155549264018774</v>
      </c>
      <c r="AQ97" s="1">
        <f t="shared" si="49"/>
        <v>-6.3260219530283406</v>
      </c>
      <c r="AR97" s="1">
        <f t="shared" si="49"/>
        <v>-16.455549264018774</v>
      </c>
      <c r="AS97" s="1">
        <f t="shared" si="49"/>
        <v>-13.755549264018775</v>
      </c>
      <c r="AT97" s="1">
        <f t="shared" si="49"/>
        <v>-11.748882597352107</v>
      </c>
      <c r="AU97" s="1">
        <f t="shared" si="53"/>
        <v>-16.675549264018773</v>
      </c>
      <c r="AV97" s="1">
        <f t="shared" si="53"/>
        <v>-15.255549264018775</v>
      </c>
      <c r="AW97" s="1">
        <f>$J97+SUMPRODUCT(regions!BN96:BU96,regions!BN$204:BU$204)</f>
        <v>-9.5052890766446172</v>
      </c>
      <c r="AX97" s="1">
        <f t="shared" si="53"/>
        <v>-12.935549264018775</v>
      </c>
      <c r="AY97" s="1">
        <f t="shared" si="53"/>
        <v>-12.155549264018774</v>
      </c>
      <c r="AZ97" s="1">
        <f t="shared" si="71"/>
        <v>-12.155549264018774</v>
      </c>
      <c r="BB97" t="str">
        <f>Maddison!A45</f>
        <v>Kenya</v>
      </c>
      <c r="BC97">
        <f>-Maddison!B45</f>
        <v>-9.6999999999999993</v>
      </c>
      <c r="BD97" s="1">
        <f>K97-BC97</f>
        <v>-2.8532467544534761</v>
      </c>
      <c r="BF97" s="1"/>
      <c r="BG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</row>
    <row r="98" spans="1:90" x14ac:dyDescent="0.35">
      <c r="A98" t="s">
        <v>378</v>
      </c>
      <c r="B98" s="19">
        <f>regions!B97</f>
        <v>97743</v>
      </c>
      <c r="C98" s="19">
        <f>regions!C97</f>
        <v>110681568.59474988</v>
      </c>
      <c r="D98" s="8">
        <f>regions!D97</f>
        <v>1132.3733525137338</v>
      </c>
      <c r="E98" s="8">
        <f>regions!E97</f>
        <v>16.002579541523886</v>
      </c>
      <c r="F98" s="8">
        <f>regions!F97</f>
        <v>23.524698177274395</v>
      </c>
      <c r="G98" s="1">
        <f>regions!Z97</f>
        <v>28.2</v>
      </c>
      <c r="J98" s="1">
        <f t="shared" si="45"/>
        <v>2.3332139886182812</v>
      </c>
      <c r="K98" s="1">
        <f t="shared" si="67"/>
        <v>-12.619532299406476</v>
      </c>
      <c r="L98" s="1">
        <f t="shared" si="59"/>
        <v>-12.604518978668272</v>
      </c>
      <c r="M98" s="1">
        <f t="shared" si="60"/>
        <v>8.296081929139504</v>
      </c>
      <c r="N98" s="1">
        <f t="shared" si="68"/>
        <v>-12.118263882094396</v>
      </c>
      <c r="O98" s="1">
        <f t="shared" si="68"/>
        <v>-14.521834808971775</v>
      </c>
      <c r="P98" s="1">
        <f t="shared" si="68"/>
        <v>-12.521834808971775</v>
      </c>
      <c r="Q98" s="1">
        <f t="shared" si="68"/>
        <v>-12.851834808971775</v>
      </c>
      <c r="R98" s="1">
        <f t="shared" si="68"/>
        <v>-15.121834808971775</v>
      </c>
      <c r="S98" s="1">
        <f>$J98+SUMPRODUCT(regions!EI97:EN97,regions!EI$204:EN$204)</f>
        <v>-7.9278333136749861</v>
      </c>
      <c r="T98" s="1">
        <f>$J98+SUMPRODUCT(regions!EQ97:EV97,regions!EQ$204:EV$204)</f>
        <v>-7.4268453806902563</v>
      </c>
      <c r="U98" s="1">
        <f>$J98+SUMPRODUCT(regions!CM97:CU97,regions!CM$204:CU$204)</f>
        <v>-13.464791883719711</v>
      </c>
      <c r="V98" s="1">
        <f>$J98+SUMPRODUCT(regions!DH97:DM97,regions!DH$204:DM$204)</f>
        <v>-9.8552767482188202</v>
      </c>
      <c r="W98" s="1">
        <f>$J98+SUMPRODUCT(regions!DP97:DW97,regions!DP$204:DW$204)</f>
        <v>-13.639342049469411</v>
      </c>
      <c r="X98" s="1">
        <f>$J98+SUMPRODUCT(regions!AB97:AE97,regions!AB$204:AE$204)</f>
        <v>-6.8051911687217181</v>
      </c>
      <c r="Y98" s="1">
        <f>$J98+SUMPRODUCT(regions!BX97:CJ97,regions!BX$204:CJ$204)</f>
        <v>-4.9713272162540694</v>
      </c>
      <c r="Z98" s="1">
        <f>$J98+SUMPRODUCT(regions!CX97:DF97,regions!CX$204:DF$204)</f>
        <v>-6.5647918837197121</v>
      </c>
      <c r="AA98" s="1">
        <f t="shared" si="46"/>
        <v>-10.114834009732277</v>
      </c>
      <c r="AB98" s="1">
        <f t="shared" si="47"/>
        <v>-11.674894361416865</v>
      </c>
      <c r="AC98" s="1">
        <f>$J98+SUMPRODUCT(regions!DZ97:EG97,regions!DZ$204:EG$204)</f>
        <v>-8.1343420494694119</v>
      </c>
      <c r="AD98" s="1">
        <f t="shared" si="69"/>
        <v>-12.511834808971775</v>
      </c>
      <c r="AE98" s="1">
        <f t="shared" si="69"/>
        <v>-14.021834808971775</v>
      </c>
      <c r="AF98" s="1">
        <f t="shared" si="48"/>
        <v>-40.14277704407715</v>
      </c>
      <c r="AG98" s="1">
        <f>$J98+SUMPRODUCT(regions!AX97:BK97,regions!AX$204:BK$204)</f>
        <v>-6.5632923880891116</v>
      </c>
      <c r="AH98" s="1">
        <f>$J98+SUMPRODUCT(regions!AG97:AV97,regions!AG$204:AV$204)</f>
        <v>-14.317550712970041</v>
      </c>
      <c r="AI98" s="1">
        <f t="shared" si="70"/>
        <v>-13.521834808971775</v>
      </c>
      <c r="AJ98" s="1">
        <f>SartoriRoson!C95</f>
        <v>-2.02</v>
      </c>
      <c r="AK98" s="1">
        <f>Kompas!E95</f>
        <v>-5.1710000000000003</v>
      </c>
      <c r="AL98" s="1">
        <f>$J98+SUMPRODUCT(regions!EY97:FW97,regions!EY$204:FW$204)</f>
        <v>-7.9198740638622862</v>
      </c>
      <c r="AM98" s="1">
        <f>$J98+SUMPRODUCT(regions!FZ97:GF97,regions!FZ$204:GF$204)</f>
        <v>-8.3972220376241502</v>
      </c>
      <c r="AN98" s="1">
        <f t="shared" si="50"/>
        <v>-20.721834808971774</v>
      </c>
      <c r="AO98" s="1">
        <f t="shared" si="50"/>
        <v>-20.021834808971775</v>
      </c>
      <c r="AP98" s="1">
        <f t="shared" si="50"/>
        <v>-15.221834808971774</v>
      </c>
      <c r="AQ98" s="1">
        <f t="shared" si="49"/>
        <v>-6.3923074979813412</v>
      </c>
      <c r="AR98" s="1">
        <f t="shared" si="49"/>
        <v>-16.521834808971775</v>
      </c>
      <c r="AS98" s="1">
        <f t="shared" si="49"/>
        <v>-13.821834808971776</v>
      </c>
      <c r="AT98" s="1">
        <f t="shared" si="49"/>
        <v>-11.815168142305108</v>
      </c>
      <c r="AU98" s="1">
        <f t="shared" si="53"/>
        <v>-16.741834808971774</v>
      </c>
      <c r="AV98" s="1">
        <f t="shared" si="53"/>
        <v>-15.321834808971776</v>
      </c>
      <c r="AW98" s="1">
        <f>$J98+SUMPRODUCT(regions!BN97:BU97,regions!BN$204:BU$204)</f>
        <v>-11.303440021290999</v>
      </c>
      <c r="AX98" s="1">
        <f t="shared" si="53"/>
        <v>-13.001834808971775</v>
      </c>
      <c r="AY98" s="1">
        <f t="shared" si="53"/>
        <v>-12.221834808971774</v>
      </c>
      <c r="AZ98" s="1">
        <f t="shared" si="71"/>
        <v>-12.221834808971774</v>
      </c>
      <c r="BF98" s="1"/>
      <c r="BG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</row>
    <row r="99" spans="1:90" x14ac:dyDescent="0.35">
      <c r="A99" t="s">
        <v>379</v>
      </c>
      <c r="B99" s="19">
        <f>regions!B98</f>
        <v>1775680</v>
      </c>
      <c r="C99" s="19">
        <f>regions!C98</f>
        <v>4776327556.26161</v>
      </c>
      <c r="D99" s="8">
        <f>regions!D98</f>
        <v>2689.8582831712979</v>
      </c>
      <c r="E99" s="8">
        <f>regions!E98</f>
        <v>0</v>
      </c>
      <c r="F99" s="8">
        <f>regions!F98</f>
        <v>13.604143947655395</v>
      </c>
      <c r="G99" s="1">
        <f>regions!Z98</f>
        <v>9.9</v>
      </c>
      <c r="J99" s="1">
        <f t="shared" si="45"/>
        <v>10.716949524851358</v>
      </c>
      <c r="K99" s="1">
        <f t="shared" si="67"/>
        <v>-4.2357967631733988</v>
      </c>
      <c r="L99" s="1">
        <f t="shared" si="59"/>
        <v>-5.0494006061465964</v>
      </c>
      <c r="M99" s="1">
        <f t="shared" si="60"/>
        <v>6.0165040659442619</v>
      </c>
      <c r="N99" s="1">
        <f t="shared" si="68"/>
        <v>-3.7345283458613192</v>
      </c>
      <c r="O99" s="1">
        <f t="shared" si="68"/>
        <v>-6.1380992727386978</v>
      </c>
      <c r="P99" s="1">
        <f t="shared" si="68"/>
        <v>-4.1380992727386978</v>
      </c>
      <c r="Q99" s="1">
        <f t="shared" si="68"/>
        <v>-4.4680992727386979</v>
      </c>
      <c r="R99" s="1">
        <f t="shared" si="68"/>
        <v>-6.7380992727386975</v>
      </c>
      <c r="S99" s="1">
        <f>$J99+SUMPRODUCT(regions!EI98:EN98,regions!EI$204:EN$204)</f>
        <v>0.4559022225580911</v>
      </c>
      <c r="T99" s="1">
        <f>$J99+SUMPRODUCT(regions!EQ98:EV98,regions!EQ$204:EV$204)</f>
        <v>0.95689015554282086</v>
      </c>
      <c r="U99" s="1">
        <f>$J99+SUMPRODUCT(regions!CM98:CU98,regions!CM$204:CU$204)</f>
        <v>-3.9390573043847308</v>
      </c>
      <c r="V99" s="1">
        <f>$J99+SUMPRODUCT(regions!DH98:DM98,regions!DH$204:DM$204)</f>
        <v>-1.4715412119857429</v>
      </c>
      <c r="W99" s="1">
        <f>$J99+SUMPRODUCT(regions!DP98:DW98,regions!DP$204:DW$204)</f>
        <v>-4.2390573043847315</v>
      </c>
      <c r="X99" s="1">
        <f>$J99+SUMPRODUCT(regions!AB98:AE98,regions!AB$204:AE$204)</f>
        <v>1.5785443675113591</v>
      </c>
      <c r="Y99" s="1">
        <f>$J99+SUMPRODUCT(regions!BX98:CJ98,regions!BX$204:CJ$204)</f>
        <v>-3.3759091546413416</v>
      </c>
      <c r="Z99" s="1">
        <f>$J99+SUMPRODUCT(regions!CX98:DF98,regions!CX$204:DF$204)</f>
        <v>-2.2390573043847315</v>
      </c>
      <c r="AA99" s="1">
        <f t="shared" si="46"/>
        <v>-1.7310984734992005</v>
      </c>
      <c r="AB99" s="1">
        <f t="shared" si="47"/>
        <v>-3.2911588251837864</v>
      </c>
      <c r="AC99" s="1">
        <f>$J99+SUMPRODUCT(regions!DZ98:EG98,regions!DZ$204:EG$204)</f>
        <v>-3.8085573043847312</v>
      </c>
      <c r="AD99" s="1">
        <f t="shared" si="69"/>
        <v>-4.128099272738698</v>
      </c>
      <c r="AE99" s="1">
        <f t="shared" si="69"/>
        <v>-5.6380992727386978</v>
      </c>
      <c r="AF99" s="1">
        <f t="shared" si="48"/>
        <v>-31.759041507844067</v>
      </c>
      <c r="AG99" s="1">
        <f>$J99+SUMPRODUCT(regions!AX98:BK98,regions!AX$204:BK$204)</f>
        <v>-3.0482272786727407</v>
      </c>
      <c r="AH99" s="1">
        <f>$J99+SUMPRODUCT(regions!AG98:AV98,regions!AG$204:AV$204)</f>
        <v>-3.6878592394712939</v>
      </c>
      <c r="AI99" s="1">
        <f t="shared" si="70"/>
        <v>-5.1380992727386978</v>
      </c>
      <c r="AJ99" s="1">
        <f>SartoriRoson!C96</f>
        <v>0.01</v>
      </c>
      <c r="AK99" s="1">
        <f>Kompas!E96</f>
        <v>-0.20499999999999999</v>
      </c>
      <c r="AL99" s="1">
        <f>$J99+SUMPRODUCT(regions!EY98:FW98,regions!EY$204:FW$204)</f>
        <v>-1.7493296976310155</v>
      </c>
      <c r="AM99" s="1">
        <f>$J99+SUMPRODUCT(regions!FZ98:GF98,regions!FZ$204:GF$204)</f>
        <v>-3.5512808499966297</v>
      </c>
      <c r="AN99" s="1">
        <f t="shared" si="50"/>
        <v>-12.338099272738697</v>
      </c>
      <c r="AO99" s="1">
        <f t="shared" si="50"/>
        <v>-11.638099272738698</v>
      </c>
      <c r="AP99" s="1">
        <f t="shared" si="50"/>
        <v>-6.838099272738698</v>
      </c>
      <c r="AQ99" s="1">
        <f t="shared" si="49"/>
        <v>1.9914280382517351</v>
      </c>
      <c r="AR99" s="1">
        <f t="shared" si="49"/>
        <v>-8.1380992727386978</v>
      </c>
      <c r="AS99" s="1">
        <f t="shared" si="49"/>
        <v>-5.4380992727386985</v>
      </c>
      <c r="AT99" s="1">
        <f t="shared" si="49"/>
        <v>-3.4314326060720308</v>
      </c>
      <c r="AU99" s="1">
        <f t="shared" si="53"/>
        <v>-8.3580992727386985</v>
      </c>
      <c r="AV99" s="1">
        <f t="shared" si="53"/>
        <v>-6.9380992727386976</v>
      </c>
      <c r="AW99" s="1">
        <f>$J99+SUMPRODUCT(regions!BN98:BU98,regions!BN$204:BU$204)</f>
        <v>-4.3448818184646356</v>
      </c>
      <c r="AX99" s="1">
        <f t="shared" si="53"/>
        <v>-4.6180992727386982</v>
      </c>
      <c r="AY99" s="1">
        <f t="shared" si="53"/>
        <v>-3.8380992727386971</v>
      </c>
      <c r="AZ99" s="1">
        <f t="shared" si="71"/>
        <v>-3.8380992727386971</v>
      </c>
      <c r="BF99" s="1"/>
      <c r="BG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</row>
    <row r="100" spans="1:90" x14ac:dyDescent="0.35">
      <c r="A100" t="s">
        <v>380</v>
      </c>
      <c r="B100" s="19">
        <f>regions!B99</f>
        <v>2991580</v>
      </c>
      <c r="C100" s="19">
        <f>regions!C99</f>
        <v>85606896366.229919</v>
      </c>
      <c r="D100" s="8">
        <f>regions!D99</f>
        <v>28615.94754819524</v>
      </c>
      <c r="E100" s="8">
        <f>regions!E99</f>
        <v>0.97947042090020597</v>
      </c>
      <c r="F100" s="8">
        <f>regions!F99</f>
        <v>0.45164469408176167</v>
      </c>
      <c r="G100" s="1">
        <f>regions!Z99</f>
        <v>25.3</v>
      </c>
      <c r="J100" s="1">
        <f t="shared" si="45"/>
        <v>9.3004143860692654</v>
      </c>
      <c r="K100" s="1">
        <f t="shared" si="67"/>
        <v>-5.6523319019554918</v>
      </c>
      <c r="L100" s="1">
        <f t="shared" si="59"/>
        <v>-6.1655406130243193</v>
      </c>
      <c r="M100" s="1">
        <f t="shared" si="60"/>
        <v>6.4648157874055325</v>
      </c>
      <c r="N100" s="1">
        <f t="shared" si="68"/>
        <v>-5.1510634846434122</v>
      </c>
      <c r="O100" s="1">
        <f t="shared" si="68"/>
        <v>-7.5546344115207908</v>
      </c>
      <c r="P100" s="1">
        <f t="shared" si="68"/>
        <v>-5.5546344115207908</v>
      </c>
      <c r="Q100" s="1">
        <f t="shared" si="68"/>
        <v>-5.8846344115207909</v>
      </c>
      <c r="R100" s="1">
        <f t="shared" si="68"/>
        <v>-8.1546344115207905</v>
      </c>
      <c r="S100" s="1">
        <f>$J100+SUMPRODUCT(regions!EI99:EN99,regions!EI$204:EN$204)</f>
        <v>-0.96063291622400193</v>
      </c>
      <c r="T100" s="1">
        <f>$J100+SUMPRODUCT(regions!EQ99:EV99,regions!EQ$204:EV$204)</f>
        <v>-0.45964498323927216</v>
      </c>
      <c r="U100" s="1">
        <f>$J100+SUMPRODUCT(regions!CM99:CU99,regions!CM$204:CU$204)</f>
        <v>-4.3263321876378402</v>
      </c>
      <c r="V100" s="1">
        <f>$J100+SUMPRODUCT(regions!DH99:DM99,regions!DH$204:DM$204)</f>
        <v>-2.888076350767836</v>
      </c>
      <c r="W100" s="1">
        <f>$J100+SUMPRODUCT(regions!DP99:DW99,regions!DP$204:DW$204)</f>
        <v>-4.7276336001583363</v>
      </c>
      <c r="X100" s="1">
        <f>$J100+SUMPRODUCT(regions!AB99:AE99,regions!AB$204:AE$204)</f>
        <v>-6.0432883555328569</v>
      </c>
      <c r="Y100" s="1">
        <f>$J100+SUMPRODUCT(regions!BX99:CJ99,regions!BX$204:CJ$204)</f>
        <v>-1.3002885174002259</v>
      </c>
      <c r="Z100" s="1">
        <f>$J100+SUMPRODUCT(regions!CX99:DF99,regions!CX$204:DF$204)</f>
        <v>0.87366781236215907</v>
      </c>
      <c r="AA100" s="1">
        <f t="shared" si="46"/>
        <v>-3.1476336122812936</v>
      </c>
      <c r="AB100" s="1">
        <f t="shared" si="47"/>
        <v>-4.7076939639658795</v>
      </c>
      <c r="AC100" s="1">
        <f>$J100+SUMPRODUCT(regions!DZ99:EG99,regions!DZ$204:EG$204)</f>
        <v>-1.1285336001583364</v>
      </c>
      <c r="AD100" s="1">
        <f t="shared" si="69"/>
        <v>-5.5446344115207911</v>
      </c>
      <c r="AE100" s="1">
        <f t="shared" si="69"/>
        <v>-7.0546344115207908</v>
      </c>
      <c r="AF100" s="1">
        <f t="shared" si="48"/>
        <v>-33.175576646626162</v>
      </c>
      <c r="AG100" s="1">
        <f>$J100+SUMPRODUCT(regions!AX99:BK99,regions!AX$204:BK$204)</f>
        <v>-0.8839497590461054</v>
      </c>
      <c r="AH100" s="1">
        <f>$J100+SUMPRODUCT(regions!AG99:AV99,regions!AG$204:AV$204)</f>
        <v>-10.265553133058559</v>
      </c>
      <c r="AI100" s="1">
        <f t="shared" si="70"/>
        <v>-6.5546344115207908</v>
      </c>
      <c r="AJ100" s="1">
        <f>SartoriRoson!C97</f>
        <v>-2.5</v>
      </c>
      <c r="AK100" s="1">
        <f>Kompas!E97</f>
        <v>-4.4880000000000004</v>
      </c>
      <c r="AL100" s="1">
        <f>$J100+SUMPRODUCT(regions!EY99:FW99,regions!EY$204:FW$204)</f>
        <v>-2.2386135773874845</v>
      </c>
      <c r="AM100" s="1">
        <f>$J100+SUMPRODUCT(regions!FZ99:GF99,regions!FZ$204:GF$204)</f>
        <v>0.33367959336214703</v>
      </c>
      <c r="AN100" s="1">
        <f t="shared" si="50"/>
        <v>-13.75463441152079</v>
      </c>
      <c r="AO100" s="1">
        <f t="shared" si="50"/>
        <v>-13.054634411520791</v>
      </c>
      <c r="AP100" s="1">
        <f t="shared" si="50"/>
        <v>-8.2546344115207901</v>
      </c>
      <c r="AQ100" s="1">
        <f t="shared" si="49"/>
        <v>0.57489289946964384</v>
      </c>
      <c r="AR100" s="1">
        <f t="shared" si="49"/>
        <v>-9.5546344115207908</v>
      </c>
      <c r="AS100" s="1">
        <f t="shared" si="49"/>
        <v>-6.8546344115207907</v>
      </c>
      <c r="AT100" s="1">
        <f t="shared" si="49"/>
        <v>-4.8479677448541239</v>
      </c>
      <c r="AU100" s="1">
        <f t="shared" si="53"/>
        <v>-9.7746344115207897</v>
      </c>
      <c r="AV100" s="1">
        <f t="shared" si="53"/>
        <v>-8.3546344115207916</v>
      </c>
      <c r="AW100" s="1">
        <f>$J100+SUMPRODUCT(regions!BN99:BU99,regions!BN$204:BU$204)</f>
        <v>-2.6043742241466337</v>
      </c>
      <c r="AX100" s="1">
        <f t="shared" si="53"/>
        <v>-6.0346344115207913</v>
      </c>
      <c r="AY100" s="1">
        <f t="shared" si="53"/>
        <v>-5.2546344115207901</v>
      </c>
      <c r="AZ100" s="1">
        <f t="shared" si="71"/>
        <v>-5.2546344115207901</v>
      </c>
      <c r="BF100" s="1"/>
      <c r="BG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</row>
    <row r="101" spans="1:90" x14ac:dyDescent="0.35">
      <c r="A101" t="s">
        <v>252</v>
      </c>
      <c r="B101" s="19">
        <f>regions!B100</f>
        <v>5447900</v>
      </c>
      <c r="C101" s="19">
        <f>regions!C100</f>
        <v>3055806771.435782</v>
      </c>
      <c r="D101" s="8">
        <f>regions!D100</f>
        <v>560.91462241153135</v>
      </c>
      <c r="E101" s="8">
        <f>regions!E100</f>
        <v>0</v>
      </c>
      <c r="F101" s="8">
        <f>regions!F100</f>
        <v>17.448256177244289</v>
      </c>
      <c r="G101" s="1">
        <f>regions!Z100</f>
        <v>1.6</v>
      </c>
      <c r="J101" s="1">
        <f t="shared" ref="J101:J132" si="72">I$1+I$2*LN(D101)+I$3*G101</f>
        <v>10.945606442013089</v>
      </c>
      <c r="K101" s="1">
        <f t="shared" si="67"/>
        <v>-4.0071398460116683</v>
      </c>
      <c r="L101" s="1">
        <f t="shared" si="59"/>
        <v>-3.9661201814432183</v>
      </c>
      <c r="M101" s="1">
        <f t="shared" si="60"/>
        <v>4.6015175438726601</v>
      </c>
      <c r="N101" s="1">
        <f t="shared" si="68"/>
        <v>-3.5058714286995887</v>
      </c>
      <c r="O101" s="1">
        <f t="shared" si="68"/>
        <v>-5.9094423555769673</v>
      </c>
      <c r="P101" s="1">
        <f t="shared" si="68"/>
        <v>-3.9094423555769673</v>
      </c>
      <c r="Q101" s="1">
        <f t="shared" si="68"/>
        <v>-4.2394423555769674</v>
      </c>
      <c r="R101" s="1">
        <f t="shared" si="68"/>
        <v>-6.5094423555769669</v>
      </c>
      <c r="S101" s="1">
        <f>$J101+SUMPRODUCT(regions!EI100:EN100,regions!EI$204:EN$204)</f>
        <v>-5.92304504298931</v>
      </c>
      <c r="T101" s="1">
        <f>$J101+SUMPRODUCT(regions!EQ100:EV100,regions!EQ$204:EV$204)</f>
        <v>-6.0230450429893114</v>
      </c>
      <c r="U101" s="1">
        <f>$J101+SUMPRODUCT(regions!CM100:CU100,regions!CM$204:CU$204)</f>
        <v>-3.7104003872230003</v>
      </c>
      <c r="V101" s="1">
        <f>$J101+SUMPRODUCT(regions!DH100:DM100,regions!DH$204:DM$204)</f>
        <v>-6.08004504298931</v>
      </c>
      <c r="W101" s="1">
        <f>$J101+SUMPRODUCT(regions!DP100:DW100,regions!DP$204:DW$204)</f>
        <v>-4.010400387223001</v>
      </c>
      <c r="X101" s="1">
        <f>$J101+SUMPRODUCT(regions!AB100:AE100,regions!AB$204:AE$204)</f>
        <v>7.4290890937976473</v>
      </c>
      <c r="Y101" s="1">
        <f>$J101+SUMPRODUCT(regions!BX100:CJ100,regions!BX$204:CJ$204)</f>
        <v>3.6410652371407384</v>
      </c>
      <c r="Z101" s="1">
        <f>$J101+SUMPRODUCT(regions!CX100:DF100,regions!CX$204:DF$204)</f>
        <v>-2.010400387223001</v>
      </c>
      <c r="AA101" s="1">
        <f t="shared" ref="AA101:AA132" si="73">IF(ISNUMBER(BC101),BC101,K101-BD$4)</f>
        <v>-1.50244155633747</v>
      </c>
      <c r="AB101" s="1">
        <f t="shared" ref="AB101:AB132" si="74">IF(ISNUMBER(BG101),BG101,K101-BI$4)</f>
        <v>-3.0625019080220559</v>
      </c>
      <c r="AC101" s="1">
        <f>$J101+SUMPRODUCT(regions!DZ100:EG100,regions!DZ$204:EG$204)</f>
        <v>-3.5799003872230006</v>
      </c>
      <c r="AD101" s="1">
        <f t="shared" si="69"/>
        <v>-3.8994423555769675</v>
      </c>
      <c r="AE101" s="1">
        <f t="shared" si="69"/>
        <v>-5.4094423555769673</v>
      </c>
      <c r="AF101" s="1">
        <f t="shared" ref="AF101:AF132" si="75">IF(ISNUMBER(BK101),BK101,K101-BL$4)</f>
        <v>10.3</v>
      </c>
      <c r="AG101" s="1">
        <f>$J101+SUMPRODUCT(regions!AX100:BK100,regions!AX$204:BK$204)</f>
        <v>-4.42304504298931</v>
      </c>
      <c r="AH101" s="1">
        <f>$J101+SUMPRODUCT(regions!AG100:AV100,regions!AG$204:AV$204)</f>
        <v>-3.4592023223095634</v>
      </c>
      <c r="AI101" s="1">
        <f t="shared" si="70"/>
        <v>-4.9094423555769673</v>
      </c>
      <c r="AJ101" s="1">
        <f>SartoriRoson!C98</f>
        <v>-1.05</v>
      </c>
      <c r="AK101" s="1">
        <f>Kompas!E98</f>
        <v>-0.93</v>
      </c>
      <c r="AL101" s="1">
        <f>$J101+SUMPRODUCT(regions!EY100:FW100,regions!EY$204:FW$204)</f>
        <v>0.69251838953252154</v>
      </c>
      <c r="AM101" s="1">
        <f>$J101+SUMPRODUCT(regions!FZ100:GF100,regions!FZ$204:GF$204)</f>
        <v>-3.9469426207696596</v>
      </c>
      <c r="AN101" s="1">
        <f t="shared" si="50"/>
        <v>-12.109442355576967</v>
      </c>
      <c r="AO101" s="1">
        <f t="shared" si="50"/>
        <v>-11.409442355576967</v>
      </c>
      <c r="AP101" s="1">
        <f t="shared" si="50"/>
        <v>-6.6094423555769675</v>
      </c>
      <c r="AQ101" s="1">
        <f t="shared" si="49"/>
        <v>2.2200849554134674</v>
      </c>
      <c r="AR101" s="1">
        <f t="shared" si="49"/>
        <v>-7.9094423555769673</v>
      </c>
      <c r="AS101" s="1">
        <f t="shared" si="49"/>
        <v>-5.2094423555769662</v>
      </c>
      <c r="AT101" s="1">
        <f t="shared" si="49"/>
        <v>-3.2027756889103003</v>
      </c>
      <c r="AU101" s="1">
        <f t="shared" si="53"/>
        <v>-8.1294423555769662</v>
      </c>
      <c r="AV101" s="1">
        <f t="shared" si="53"/>
        <v>-6.7094423555769671</v>
      </c>
      <c r="AW101" s="1">
        <f>$J101+SUMPRODUCT(regions!BN100:BU100,regions!BN$204:BU$204)</f>
        <v>-4.1162249013029051</v>
      </c>
      <c r="AX101" s="1">
        <f t="shared" si="53"/>
        <v>-4.3894423555769677</v>
      </c>
      <c r="AY101" s="1">
        <f t="shared" si="53"/>
        <v>-3.6094423555769666</v>
      </c>
      <c r="AZ101" s="1">
        <f t="shared" si="71"/>
        <v>-3.6094423555769666</v>
      </c>
      <c r="BF101" s="1"/>
      <c r="BG101" s="1"/>
      <c r="BJ101" t="str">
        <f>MaddisonRehdanz!A44</f>
        <v>Kyrgyzstan</v>
      </c>
      <c r="BK101">
        <f>MaddisonRehdanz!D44</f>
        <v>10.3</v>
      </c>
      <c r="BL101" s="1">
        <f>$K101-BK101</f>
        <v>-14.307139846011669</v>
      </c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</row>
    <row r="102" spans="1:90" x14ac:dyDescent="0.35">
      <c r="A102" t="s">
        <v>381</v>
      </c>
      <c r="B102" s="19">
        <f>regions!B101</f>
        <v>6395713</v>
      </c>
      <c r="C102" s="19">
        <f>regions!C101</f>
        <v>4021824831.5087829</v>
      </c>
      <c r="D102" s="8">
        <f>regions!D101</f>
        <v>628.83134867195929</v>
      </c>
      <c r="E102" s="8">
        <f>regions!E101</f>
        <v>13.027139092931982</v>
      </c>
      <c r="F102" s="8">
        <f>regions!F101</f>
        <v>22.595794134321995</v>
      </c>
      <c r="G102" s="1">
        <f>regions!Z101</f>
        <v>22.7</v>
      </c>
      <c r="J102" s="1">
        <f t="shared" si="72"/>
        <v>3.306335252713593</v>
      </c>
      <c r="K102" s="1">
        <f t="shared" si="67"/>
        <v>-11.646411035311164</v>
      </c>
      <c r="L102" s="1">
        <f t="shared" si="59"/>
        <v>-11.873541372068374</v>
      </c>
      <c r="M102" s="1">
        <f t="shared" si="60"/>
        <v>8.0750070665708318</v>
      </c>
      <c r="N102" s="1">
        <f t="shared" si="68"/>
        <v>-11.145142617999085</v>
      </c>
      <c r="O102" s="1">
        <f t="shared" si="68"/>
        <v>-13.548713544876463</v>
      </c>
      <c r="P102" s="1">
        <f t="shared" si="68"/>
        <v>-11.548713544876463</v>
      </c>
      <c r="Q102" s="1">
        <f t="shared" si="68"/>
        <v>-11.878713544876463</v>
      </c>
      <c r="R102" s="1">
        <f t="shared" si="68"/>
        <v>-14.148713544876463</v>
      </c>
      <c r="S102" s="1">
        <f>$J102+SUMPRODUCT(regions!EI101:EN101,regions!EI$204:EN$204)</f>
        <v>-6.9547120495796744</v>
      </c>
      <c r="T102" s="1">
        <f>$J102+SUMPRODUCT(regions!EQ101:EV101,regions!EQ$204:EV$204)</f>
        <v>-6.4537241165949446</v>
      </c>
      <c r="U102" s="1">
        <f>$J102+SUMPRODUCT(regions!CM101:CU101,regions!CM$204:CU$204)</f>
        <v>-12.491670619624399</v>
      </c>
      <c r="V102" s="1">
        <f>$J102+SUMPRODUCT(regions!DH101:DM101,regions!DH$204:DM$204)</f>
        <v>-8.8821554841235084</v>
      </c>
      <c r="W102" s="1">
        <f>$J102+SUMPRODUCT(regions!DP101:DW101,regions!DP$204:DW$204)</f>
        <v>-12.666220785374099</v>
      </c>
      <c r="X102" s="1">
        <f>$J102+SUMPRODUCT(regions!AB101:AE101,regions!AB$204:AE$204)</f>
        <v>-0.21018209550184874</v>
      </c>
      <c r="Y102" s="1">
        <f>$J102+SUMPRODUCT(regions!BX101:CJ101,regions!BX$204:CJ$204)</f>
        <v>-3.9982059521587576</v>
      </c>
      <c r="Z102" s="1">
        <f>$J102+SUMPRODUCT(regions!CX101:DF101,regions!CX$204:DF$204)</f>
        <v>-5.5916706196244004</v>
      </c>
      <c r="AA102" s="1">
        <f t="shared" si="73"/>
        <v>-9.1417127456369656</v>
      </c>
      <c r="AB102" s="1">
        <f t="shared" si="74"/>
        <v>-10.701773097321553</v>
      </c>
      <c r="AC102" s="1">
        <f>$J102+SUMPRODUCT(regions!DZ101:EG101,regions!DZ$204:EG$204)</f>
        <v>-7.1612207853741001</v>
      </c>
      <c r="AD102" s="1">
        <f t="shared" si="69"/>
        <v>-11.538713544876464</v>
      </c>
      <c r="AE102" s="1">
        <f t="shared" si="69"/>
        <v>-13.048713544876463</v>
      </c>
      <c r="AF102" s="1">
        <f t="shared" si="75"/>
        <v>-39.169655779981838</v>
      </c>
      <c r="AG102" s="1">
        <f>$J102+SUMPRODUCT(regions!AX101:BK101,regions!AX$204:BK$204)</f>
        <v>-5.5901711239937999</v>
      </c>
      <c r="AH102" s="1">
        <f>$J102+SUMPRODUCT(regions!AG101:AV101,regions!AG$204:AV$204)</f>
        <v>-14.647657429999258</v>
      </c>
      <c r="AI102" s="1">
        <f t="shared" si="70"/>
        <v>-12.548713544876463</v>
      </c>
      <c r="AJ102" s="1">
        <f>SartoriRoson!C99</f>
        <v>-13.57</v>
      </c>
      <c r="AK102" s="1">
        <f>Kompas!E99</f>
        <v>-10.62</v>
      </c>
      <c r="AL102" s="1">
        <f>$J102+SUMPRODUCT(regions!EY101:FW101,regions!EY$204:FW$204)</f>
        <v>-5.2593393751261583</v>
      </c>
      <c r="AM102" s="1">
        <f>$J102+SUMPRODUCT(regions!FZ101:GF101,regions!FZ$204:GF$204)</f>
        <v>-5.6603995399935254</v>
      </c>
      <c r="AN102" s="1">
        <f t="shared" si="50"/>
        <v>-19.748713544876463</v>
      </c>
      <c r="AO102" s="1">
        <f t="shared" si="50"/>
        <v>-19.048713544876463</v>
      </c>
      <c r="AP102" s="1">
        <f t="shared" si="50"/>
        <v>-14.248713544876463</v>
      </c>
      <c r="AQ102" s="1">
        <f t="shared" si="49"/>
        <v>-5.4191862338860286</v>
      </c>
      <c r="AR102" s="1">
        <f t="shared" si="49"/>
        <v>-15.548713544876463</v>
      </c>
      <c r="AS102" s="1">
        <f t="shared" si="49"/>
        <v>-12.848713544876464</v>
      </c>
      <c r="AT102" s="1">
        <f t="shared" si="49"/>
        <v>-10.842046878209796</v>
      </c>
      <c r="AU102" s="1">
        <f t="shared" si="53"/>
        <v>-15.768713544876462</v>
      </c>
      <c r="AV102" s="1">
        <f t="shared" si="53"/>
        <v>-14.348713544876464</v>
      </c>
      <c r="AW102" s="1">
        <f>$J102+SUMPRODUCT(regions!BN101:BU101,regions!BN$204:BU$204)</f>
        <v>-8.5984533575023061</v>
      </c>
      <c r="AX102" s="1">
        <f t="shared" si="53"/>
        <v>-12.028713544876464</v>
      </c>
      <c r="AY102" s="1">
        <f t="shared" si="53"/>
        <v>-11.248713544876463</v>
      </c>
      <c r="AZ102" s="1">
        <f t="shared" si="71"/>
        <v>-11.248713544876463</v>
      </c>
      <c r="BF102" s="1"/>
      <c r="BG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</row>
    <row r="103" spans="1:90" x14ac:dyDescent="0.35">
      <c r="A103" t="s">
        <v>226</v>
      </c>
      <c r="B103" s="19">
        <f>regions!B102</f>
        <v>2239008</v>
      </c>
      <c r="C103" s="19">
        <f>regions!C102</f>
        <v>15502642580.339478</v>
      </c>
      <c r="D103" s="8">
        <f>regions!D102</f>
        <v>6923.8888741529627</v>
      </c>
      <c r="E103" s="8">
        <f>regions!E102</f>
        <v>19.811459876479883</v>
      </c>
      <c r="F103" s="8">
        <f>regions!F102</f>
        <v>3.9404096838416982</v>
      </c>
      <c r="G103" s="1">
        <f>regions!Z102</f>
        <v>5.6</v>
      </c>
      <c r="J103" s="1">
        <f t="shared" si="72"/>
        <v>14.040144830563385</v>
      </c>
      <c r="K103" s="1">
        <f t="shared" si="67"/>
        <v>-0.91260145746137233</v>
      </c>
      <c r="L103" s="1">
        <f t="shared" si="59"/>
        <v>-1.0130400953108905</v>
      </c>
      <c r="M103" s="1">
        <f t="shared" si="60"/>
        <v>5.4042899972761473</v>
      </c>
      <c r="N103" s="1">
        <f t="shared" si="68"/>
        <v>-0.41133304014929273</v>
      </c>
      <c r="O103" s="1">
        <f t="shared" si="68"/>
        <v>-2.8149039670266713</v>
      </c>
      <c r="P103" s="1">
        <f t="shared" si="68"/>
        <v>-0.81490396702667134</v>
      </c>
      <c r="Q103" s="1">
        <f t="shared" si="68"/>
        <v>-1.1449039670266714</v>
      </c>
      <c r="R103" s="1">
        <f t="shared" si="68"/>
        <v>-3.414903967026671</v>
      </c>
      <c r="S103" s="1">
        <f>$J103+SUMPRODUCT(regions!EI102:EN102,regions!EI$204:EN$204)</f>
        <v>-2.8285066544390141</v>
      </c>
      <c r="T103" s="1">
        <f>$J103+SUMPRODUCT(regions!EQ102:EV102,regions!EQ$204:EV$204)</f>
        <v>-2.9285066544390155</v>
      </c>
      <c r="U103" s="1">
        <f>$J103+SUMPRODUCT(regions!CM102:CU102,regions!CM$204:CU$204)</f>
        <v>-0.6158619986727043</v>
      </c>
      <c r="V103" s="1">
        <f>$J103+SUMPRODUCT(regions!DH102:DM102,regions!DH$204:DM$204)</f>
        <v>-2.9855066544390141</v>
      </c>
      <c r="W103" s="1">
        <f>$J103+SUMPRODUCT(regions!DP102:DW102,regions!DP$204:DW$204)</f>
        <v>-0.91586199867270501</v>
      </c>
      <c r="X103" s="1">
        <f>$J103+SUMPRODUCT(regions!AB102:AE102,regions!AB$204:AE$204)</f>
        <v>4.0865060445840875</v>
      </c>
      <c r="Y103" s="1">
        <f>$J103+SUMPRODUCT(regions!BX102:CJ102,regions!BX$204:CJ$204)</f>
        <v>-5.2713848929315077E-2</v>
      </c>
      <c r="Z103" s="1">
        <f>$J103+SUMPRODUCT(regions!CX102:DF102,regions!CX$204:DF$204)</f>
        <v>1.084138001327295</v>
      </c>
      <c r="AA103" s="1">
        <f t="shared" si="73"/>
        <v>1.5920968322128259</v>
      </c>
      <c r="AB103" s="1">
        <f t="shared" si="74"/>
        <v>2.2454144314818962</v>
      </c>
      <c r="AC103" s="1">
        <f>$J103+SUMPRODUCT(regions!DZ102:EG102,regions!DZ$204:EG$204)</f>
        <v>-0.48536199867270469</v>
      </c>
      <c r="AD103" s="1">
        <f t="shared" si="69"/>
        <v>-0.80490396702667155</v>
      </c>
      <c r="AE103" s="1">
        <f t="shared" si="69"/>
        <v>-2.3149039670266713</v>
      </c>
      <c r="AF103" s="1">
        <f t="shared" si="75"/>
        <v>24.9</v>
      </c>
      <c r="AG103" s="1">
        <f>$J103+SUMPRODUCT(regions!AX102:BK102,regions!AX$204:BK$204)</f>
        <v>-1.3285066544390141</v>
      </c>
      <c r="AH103" s="1">
        <f>$J103+SUMPRODUCT(regions!AG102:AV102,regions!AG$204:AV$204)</f>
        <v>-0.36466393375926742</v>
      </c>
      <c r="AI103" s="1">
        <f t="shared" si="70"/>
        <v>-1.8149039670266713</v>
      </c>
      <c r="AJ103" s="1">
        <f>SartoriRoson!C100</f>
        <v>0.97</v>
      </c>
      <c r="AK103" s="1">
        <f>Kompas!E100</f>
        <v>-0.39400000000000002</v>
      </c>
      <c r="AL103" s="1">
        <f>$J103+SUMPRODUCT(regions!EY102:FW102,regions!EY$204:FW$204)</f>
        <v>0.78554042292873483</v>
      </c>
      <c r="AM103" s="1">
        <f>$J103+SUMPRODUCT(regions!FZ102:GF102,regions!FZ$204:GF$204)</f>
        <v>-0.22808554428460326</v>
      </c>
      <c r="AN103" s="1">
        <f t="shared" si="50"/>
        <v>-9.0149039670266706</v>
      </c>
      <c r="AO103" s="1">
        <f t="shared" si="50"/>
        <v>-8.3149039670266713</v>
      </c>
      <c r="AP103" s="1">
        <f t="shared" si="50"/>
        <v>-3.5149039670266706</v>
      </c>
      <c r="AQ103" s="1">
        <f t="shared" si="49"/>
        <v>5.3146233439637616</v>
      </c>
      <c r="AR103" s="1">
        <f t="shared" si="49"/>
        <v>-4.8149039670266713</v>
      </c>
      <c r="AS103" s="1">
        <f t="shared" si="49"/>
        <v>-2.114903967026672</v>
      </c>
      <c r="AT103" s="1">
        <f t="shared" si="49"/>
        <v>-0.10823730036000434</v>
      </c>
      <c r="AU103" s="1">
        <f t="shared" si="53"/>
        <v>-5.0349039670266702</v>
      </c>
      <c r="AV103" s="1">
        <f t="shared" si="53"/>
        <v>-3.614903967026672</v>
      </c>
      <c r="AW103" s="1">
        <f>$J103+SUMPRODUCT(regions!BN102:BU102,regions!BN$204:BU$204)</f>
        <v>-1.0216865127526091</v>
      </c>
      <c r="AX103" s="1">
        <f t="shared" si="53"/>
        <v>-1.2949039670266718</v>
      </c>
      <c r="AY103" s="1">
        <f t="shared" si="53"/>
        <v>-0.51490396702667063</v>
      </c>
      <c r="AZ103" s="1">
        <f t="shared" si="71"/>
        <v>-0.51490396702667063</v>
      </c>
      <c r="BE103" t="str">
        <f>RehdanzMaddison!P39</f>
        <v>Latvia</v>
      </c>
      <c r="BF103" s="1">
        <f>-100*RehdanzMaddison!U39</f>
        <v>1.2725507529289888</v>
      </c>
      <c r="BG103" s="1">
        <f>-100*RehdanzMaddison!V39</f>
        <v>2.2454144314818962</v>
      </c>
      <c r="BH103" s="1">
        <f>$K103-BF103</f>
        <v>-2.1851522103903611</v>
      </c>
      <c r="BI103" s="1">
        <f>$K103-BG103</f>
        <v>-3.1580158889432686</v>
      </c>
      <c r="BJ103" t="str">
        <f>MaddisonRehdanz!A45</f>
        <v>Latvia</v>
      </c>
      <c r="BK103">
        <f>MaddisonRehdanz!D45</f>
        <v>24.9</v>
      </c>
      <c r="BL103" s="1">
        <f>$K103-BK103</f>
        <v>-25.812601457461369</v>
      </c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</row>
    <row r="104" spans="1:90" x14ac:dyDescent="0.35">
      <c r="A104" t="s">
        <v>382</v>
      </c>
      <c r="B104" s="19">
        <f>regions!B103</f>
        <v>4341092</v>
      </c>
      <c r="C104" s="19">
        <f>regions!C103</f>
        <v>30751708803.782261</v>
      </c>
      <c r="D104" s="8">
        <f>regions!D103</f>
        <v>7083.864798023691</v>
      </c>
      <c r="E104" s="8">
        <f>regions!E103</f>
        <v>16.855122047929463</v>
      </c>
      <c r="F104" s="8">
        <f>regions!F103</f>
        <v>3.8471173514827086</v>
      </c>
      <c r="G104" s="1">
        <f>regions!Z103</f>
        <v>16.399999999999999</v>
      </c>
      <c r="J104" s="1">
        <f t="shared" si="72"/>
        <v>10.064978928049531</v>
      </c>
      <c r="K104" s="1">
        <f t="shared" si="67"/>
        <v>-4.8877673599752267</v>
      </c>
      <c r="L104" s="1">
        <f t="shared" si="59"/>
        <v>-5.1543325692425306</v>
      </c>
      <c r="M104" s="1">
        <f t="shared" si="60"/>
        <v>6.5075780880607077</v>
      </c>
      <c r="N104" s="1">
        <f t="shared" si="68"/>
        <v>-4.3864989426631471</v>
      </c>
      <c r="O104" s="1">
        <f t="shared" si="68"/>
        <v>-6.7900698695405257</v>
      </c>
      <c r="P104" s="1">
        <f t="shared" si="68"/>
        <v>-4.7900698695405257</v>
      </c>
      <c r="Q104" s="1">
        <f t="shared" si="68"/>
        <v>-5.1200698695405258</v>
      </c>
      <c r="R104" s="1">
        <f t="shared" si="68"/>
        <v>-7.3900698695405254</v>
      </c>
      <c r="S104" s="1">
        <f>$J104+SUMPRODUCT(regions!EI103:EN103,regions!EI$204:EN$204)</f>
        <v>-0.1960683742437368</v>
      </c>
      <c r="T104" s="1">
        <f>$J104+SUMPRODUCT(regions!EQ103:EV103,regions!EQ$204:EV$204)</f>
        <v>0.30491955874099297</v>
      </c>
      <c r="U104" s="1">
        <f>$J104+SUMPRODUCT(regions!CM103:CU103,regions!CM$204:CU$204)</f>
        <v>-3.5617676456575751</v>
      </c>
      <c r="V104" s="1">
        <f>$J104+SUMPRODUCT(regions!DH103:DM103,regions!DH$204:DM$204)</f>
        <v>-2.1235118087875708</v>
      </c>
      <c r="W104" s="1">
        <f>$J104+SUMPRODUCT(regions!DP103:DW103,regions!DP$204:DW$204)</f>
        <v>-3.9630690581780712</v>
      </c>
      <c r="X104" s="1">
        <f>$J104+SUMPRODUCT(regions!AB103:AE103,regions!AB$204:AE$204)</f>
        <v>0.11134014207023313</v>
      </c>
      <c r="Y104" s="1">
        <f>$J104+SUMPRODUCT(regions!BX103:CJ103,regions!BX$204:CJ$204)</f>
        <v>2.7604377231771799</v>
      </c>
      <c r="Z104" s="1">
        <f>$J104+SUMPRODUCT(regions!CX103:DF103,regions!CX$204:DF$204)</f>
        <v>1.6382323543424242</v>
      </c>
      <c r="AA104" s="1">
        <f t="shared" si="73"/>
        <v>-2.3830690703010284</v>
      </c>
      <c r="AB104" s="1">
        <f t="shared" si="74"/>
        <v>-3.9431294219856143</v>
      </c>
      <c r="AC104" s="1">
        <f>$J104+SUMPRODUCT(regions!DZ103:EG103,regions!DZ$204:EG$204)</f>
        <v>-0.36396905817807124</v>
      </c>
      <c r="AD104" s="1">
        <f t="shared" si="69"/>
        <v>-4.7800698695405259</v>
      </c>
      <c r="AE104" s="1">
        <f t="shared" si="69"/>
        <v>-6.2900698695405257</v>
      </c>
      <c r="AF104" s="1">
        <f t="shared" si="75"/>
        <v>-32.411012104645899</v>
      </c>
      <c r="AG104" s="1">
        <f>$J104+SUMPRODUCT(regions!AX103:BK103,regions!AX$204:BK$204)</f>
        <v>-0.11938521706584027</v>
      </c>
      <c r="AH104" s="1">
        <f>$J104+SUMPRODUCT(regions!AG103:AV103,regions!AG$204:AV$204)</f>
        <v>-9.5009885910782934</v>
      </c>
      <c r="AI104" s="1">
        <f t="shared" si="70"/>
        <v>-5.7900698695405257</v>
      </c>
      <c r="AJ104" s="1">
        <f>SartoriRoson!C101</f>
        <v>-1.22</v>
      </c>
      <c r="AK104" s="1">
        <f>Kompas!E101</f>
        <v>-3.306</v>
      </c>
      <c r="AL104" s="1">
        <f>$J104+SUMPRODUCT(regions!EY103:FW103,regions!EY$204:FW$204)</f>
        <v>-1.4740490354072193</v>
      </c>
      <c r="AM104" s="1">
        <f>$J104+SUMPRODUCT(regions!FZ103:GF103,regions!FZ$204:GF$204)</f>
        <v>1.0982441353424122</v>
      </c>
      <c r="AN104" s="1">
        <f t="shared" si="50"/>
        <v>-12.990069869540525</v>
      </c>
      <c r="AO104" s="1">
        <f t="shared" si="50"/>
        <v>-12.290069869540526</v>
      </c>
      <c r="AP104" s="1">
        <f t="shared" si="50"/>
        <v>-7.4900698695405259</v>
      </c>
      <c r="AQ104" s="1">
        <f t="shared" si="49"/>
        <v>1.3394574414499072</v>
      </c>
      <c r="AR104" s="1">
        <f t="shared" si="49"/>
        <v>-8.7900698695405257</v>
      </c>
      <c r="AS104" s="1">
        <f t="shared" si="49"/>
        <v>-6.0900698695405255</v>
      </c>
      <c r="AT104" s="1">
        <f t="shared" si="49"/>
        <v>-4.0834032028738587</v>
      </c>
      <c r="AU104" s="1">
        <f t="shared" si="53"/>
        <v>-9.0100698695405264</v>
      </c>
      <c r="AV104" s="1">
        <f t="shared" si="53"/>
        <v>-7.5900698695405255</v>
      </c>
      <c r="AW104" s="1">
        <f>$J104+SUMPRODUCT(regions!BN103:BU103,regions!BN$204:BU$204)</f>
        <v>-1.8398096821663685</v>
      </c>
      <c r="AX104" s="1">
        <f t="shared" si="53"/>
        <v>-5.2700698695405261</v>
      </c>
      <c r="AY104" s="1">
        <f t="shared" si="53"/>
        <v>-4.490069869540525</v>
      </c>
      <c r="AZ104" s="1">
        <f t="shared" si="71"/>
        <v>-4.490069869540525</v>
      </c>
      <c r="BF104" s="1"/>
      <c r="BG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</row>
    <row r="105" spans="1:90" x14ac:dyDescent="0.35">
      <c r="A105" t="s">
        <v>383</v>
      </c>
      <c r="B105" s="19">
        <f>regions!B104</f>
        <v>2008921</v>
      </c>
      <c r="C105" s="19">
        <f>regions!C104</f>
        <v>1749548111.1919663</v>
      </c>
      <c r="D105" s="8">
        <f>regions!D104</f>
        <v>870.88945319002903</v>
      </c>
      <c r="E105" s="8">
        <f>regions!E104</f>
        <v>37.26300276036342</v>
      </c>
      <c r="F105" s="8">
        <f>regions!F104</f>
        <v>5.1236482298911694</v>
      </c>
      <c r="G105" s="1">
        <f>regions!Z104</f>
        <v>11.8</v>
      </c>
      <c r="J105" s="1">
        <f t="shared" si="72"/>
        <v>7.9541022905101437</v>
      </c>
      <c r="K105" s="1">
        <f t="shared" si="67"/>
        <v>-6.9986439975146135</v>
      </c>
      <c r="L105" s="1">
        <f t="shared" si="59"/>
        <v>-6.6232143774157635</v>
      </c>
      <c r="M105" s="1">
        <f t="shared" si="60"/>
        <v>7.2438667683287843</v>
      </c>
      <c r="N105" s="1">
        <f t="shared" si="68"/>
        <v>-6.497375580202533</v>
      </c>
      <c r="O105" s="1">
        <f t="shared" si="68"/>
        <v>-8.9009465070799116</v>
      </c>
      <c r="P105" s="1">
        <f t="shared" si="68"/>
        <v>-6.9009465070799125</v>
      </c>
      <c r="Q105" s="1">
        <f t="shared" si="68"/>
        <v>-7.2309465070799126</v>
      </c>
      <c r="R105" s="1">
        <f t="shared" si="68"/>
        <v>-9.5009465070799131</v>
      </c>
      <c r="S105" s="1">
        <f>$J105+SUMPRODUCT(regions!EI104:EN104,regions!EI$204:EN$204)</f>
        <v>-2.3069450117831236</v>
      </c>
      <c r="T105" s="1">
        <f>$J105+SUMPRODUCT(regions!EQ104:EV104,regions!EQ$204:EV$204)</f>
        <v>-1.8059570787983938</v>
      </c>
      <c r="U105" s="1">
        <f>$J105+SUMPRODUCT(regions!CM104:CU104,regions!CM$204:CU$204)</f>
        <v>-6.5015282021085996</v>
      </c>
      <c r="V105" s="1">
        <f>$J105+SUMPRODUCT(regions!DH104:DM104,regions!DH$204:DM$204)</f>
        <v>-4.2343884463269577</v>
      </c>
      <c r="W105" s="1">
        <f>$J105+SUMPRODUCT(regions!DP104:DW104,regions!DP$204:DW$204)</f>
        <v>-6.073945695717458</v>
      </c>
      <c r="X105" s="1">
        <f>$J105+SUMPRODUCT(regions!AB104:AE104,regions!AB$204:AE$204)</f>
        <v>4.437584942294702</v>
      </c>
      <c r="Y105" s="1">
        <f>$J105+SUMPRODUCT(regions!BX104:CJ104,regions!BX$204:CJ$204)</f>
        <v>1.0020955025682801</v>
      </c>
      <c r="Z105" s="1">
        <f>$J105+SUMPRODUCT(regions!CX104:DF104,regions!CX$204:DF$204)</f>
        <v>-1.9015282021086</v>
      </c>
      <c r="AA105" s="1">
        <f t="shared" si="73"/>
        <v>-4.4939457078404157</v>
      </c>
      <c r="AB105" s="1">
        <f t="shared" si="74"/>
        <v>-6.0540060595250011</v>
      </c>
      <c r="AC105" s="1">
        <f>$J105+SUMPRODUCT(regions!DZ104:EG104,regions!DZ$204:EG$204)</f>
        <v>-2.474845695717458</v>
      </c>
      <c r="AD105" s="1">
        <f t="shared" si="69"/>
        <v>-6.8909465070799127</v>
      </c>
      <c r="AE105" s="1">
        <f t="shared" si="69"/>
        <v>-8.4009465070799116</v>
      </c>
      <c r="AF105" s="1">
        <f t="shared" si="75"/>
        <v>-34.521888742185283</v>
      </c>
      <c r="AG105" s="1">
        <f>$J105+SUMPRODUCT(regions!AX104:BK104,regions!AX$204:BK$204)</f>
        <v>1.1640129495276161</v>
      </c>
      <c r="AH105" s="1">
        <f>$J105+SUMPRODUCT(regions!AG104:AV104,regions!AG$204:AV$204)</f>
        <v>-5.7359870504723842</v>
      </c>
      <c r="AI105" s="1">
        <f t="shared" si="70"/>
        <v>-7.9009465070799125</v>
      </c>
      <c r="AJ105" s="1">
        <f>SartoriRoson!C102</f>
        <v>-1.81</v>
      </c>
      <c r="AK105" s="1">
        <f>Kompas!E102</f>
        <v>-3.0449999999999999</v>
      </c>
      <c r="AL105" s="1">
        <f>$J105+SUMPRODUCT(regions!EY104:FW104,regions!EY$204:FW$204)</f>
        <v>0.67488768381218467</v>
      </c>
      <c r="AM105" s="1">
        <f>$J105+SUMPRODUCT(regions!FZ104:GF104,regions!FZ$204:GF$204)</f>
        <v>3.8024236117896857</v>
      </c>
      <c r="AN105" s="1">
        <f t="shared" si="50"/>
        <v>-15.100946507079911</v>
      </c>
      <c r="AO105" s="1">
        <f t="shared" si="50"/>
        <v>-14.400946507079912</v>
      </c>
      <c r="AP105" s="1">
        <f t="shared" si="50"/>
        <v>-9.6009465070799127</v>
      </c>
      <c r="AQ105" s="1">
        <f t="shared" si="49"/>
        <v>-0.77141919608947873</v>
      </c>
      <c r="AR105" s="1">
        <f t="shared" si="49"/>
        <v>-10.900946507079912</v>
      </c>
      <c r="AS105" s="1">
        <f t="shared" si="49"/>
        <v>-8.2009465070799124</v>
      </c>
      <c r="AT105" s="1">
        <f t="shared" si="49"/>
        <v>-6.1942798404132455</v>
      </c>
      <c r="AU105" s="1">
        <f t="shared" si="53"/>
        <v>-11.120946507079912</v>
      </c>
      <c r="AV105" s="1">
        <f t="shared" si="53"/>
        <v>-9.7009465070799124</v>
      </c>
      <c r="AW105" s="1">
        <f>$J105+SUMPRODUCT(regions!BN104:BU104,regions!BN$204:BU$204)</f>
        <v>-5.6825517193991368</v>
      </c>
      <c r="AX105" s="1">
        <f t="shared" si="53"/>
        <v>-7.3809465070799121</v>
      </c>
      <c r="AY105" s="1">
        <f t="shared" si="53"/>
        <v>-6.6009465070799127</v>
      </c>
      <c r="AZ105" s="1">
        <f t="shared" si="71"/>
        <v>-6.6009465070799127</v>
      </c>
      <c r="BF105" s="1"/>
      <c r="BG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</row>
    <row r="106" spans="1:90" x14ac:dyDescent="0.35">
      <c r="A106" t="s">
        <v>384</v>
      </c>
      <c r="B106" s="19">
        <f>regions!B105</f>
        <v>3957990</v>
      </c>
      <c r="C106" s="19">
        <f>regions!C105</f>
        <v>960255604.18450153</v>
      </c>
      <c r="D106" s="8">
        <f>regions!D105</f>
        <v>242.61193287110416</v>
      </c>
      <c r="E106" s="8">
        <f>regions!E105</f>
        <v>17.318743045064462</v>
      </c>
      <c r="F106" s="8">
        <f>regions!F105</f>
        <v>44.799999938113885</v>
      </c>
      <c r="G106" s="1">
        <f>regions!Z105</f>
        <v>25.3</v>
      </c>
      <c r="J106" s="1">
        <f t="shared" si="72"/>
        <v>0.60281567815017389</v>
      </c>
      <c r="K106" s="1">
        <f t="shared" si="67"/>
        <v>-14.349930609874583</v>
      </c>
      <c r="L106" s="1">
        <f t="shared" si="59"/>
        <v>-13.983387178893341</v>
      </c>
      <c r="M106" s="1">
        <f t="shared" si="60"/>
        <v>8.9636549822970242</v>
      </c>
      <c r="N106" s="1">
        <f t="shared" si="68"/>
        <v>-13.848662192562504</v>
      </c>
      <c r="O106" s="1">
        <f t="shared" si="68"/>
        <v>-16.252233119439882</v>
      </c>
      <c r="P106" s="1">
        <f t="shared" si="68"/>
        <v>-14.252233119439882</v>
      </c>
      <c r="Q106" s="1">
        <f t="shared" si="68"/>
        <v>-14.582233119439882</v>
      </c>
      <c r="R106" s="1">
        <f t="shared" si="68"/>
        <v>-16.852233119439884</v>
      </c>
      <c r="S106" s="1">
        <f>$J106+SUMPRODUCT(regions!EI105:EN105,regions!EI$204:EN$204)</f>
        <v>-9.6582316241430934</v>
      </c>
      <c r="T106" s="1">
        <f>$J106+SUMPRODUCT(regions!EQ105:EV105,regions!EQ$204:EV$204)</f>
        <v>-9.1572436911583637</v>
      </c>
      <c r="U106" s="1">
        <f>$J106+SUMPRODUCT(regions!CM105:CU105,regions!CM$204:CU$204)</f>
        <v>-13.852814814468569</v>
      </c>
      <c r="V106" s="1">
        <f>$J106+SUMPRODUCT(regions!DH105:DM105,regions!DH$204:DM$204)</f>
        <v>-11.585675058686927</v>
      </c>
      <c r="W106" s="1">
        <f>$J106+SUMPRODUCT(regions!DP105:DW105,regions!DP$204:DW$204)</f>
        <v>-13.425232308077428</v>
      </c>
      <c r="X106" s="1">
        <f>$J106+SUMPRODUCT(regions!AB105:AE105,regions!AB$204:AE$204)</f>
        <v>-2.9137016700652678</v>
      </c>
      <c r="Y106" s="1">
        <f>$J106+SUMPRODUCT(regions!BX105:CJ105,regions!BX$204:CJ$204)</f>
        <v>-6.3491911097916898</v>
      </c>
      <c r="Z106" s="1">
        <f>$J106+SUMPRODUCT(regions!CX105:DF105,regions!CX$204:DF$204)</f>
        <v>-9.2528148144685698</v>
      </c>
      <c r="AA106" s="1">
        <f t="shared" si="73"/>
        <v>-11.845232320200385</v>
      </c>
      <c r="AB106" s="1">
        <f t="shared" si="74"/>
        <v>-13.405292671884972</v>
      </c>
      <c r="AC106" s="1">
        <f>$J106+SUMPRODUCT(regions!DZ105:EG105,regions!DZ$204:EG$204)</f>
        <v>-9.8261323080774279</v>
      </c>
      <c r="AD106" s="1">
        <f t="shared" si="69"/>
        <v>-14.242233119439883</v>
      </c>
      <c r="AE106" s="1">
        <f t="shared" si="69"/>
        <v>-15.752233119439882</v>
      </c>
      <c r="AF106" s="1">
        <f t="shared" si="75"/>
        <v>-41.873175354545253</v>
      </c>
      <c r="AG106" s="1">
        <f>$J106+SUMPRODUCT(regions!AX105:BK105,regions!AX$204:BK$204)</f>
        <v>-6.1872736628323537</v>
      </c>
      <c r="AH106" s="1">
        <f>$J106+SUMPRODUCT(regions!AG105:AV105,regions!AG$204:AV$204)</f>
        <v>-13.087273662832354</v>
      </c>
      <c r="AI106" s="1">
        <f t="shared" si="70"/>
        <v>-15.252233119439882</v>
      </c>
      <c r="AJ106" s="1">
        <f>SartoriRoson!C103</f>
        <v>-6.07</v>
      </c>
      <c r="AK106" s="1">
        <f>Kompas!E103</f>
        <v>-15.566000000000001</v>
      </c>
      <c r="AL106" s="1">
        <f>$J106+SUMPRODUCT(regions!EY105:FW105,regions!EY$204:FW$204)</f>
        <v>-6.6763989285477852</v>
      </c>
      <c r="AM106" s="1">
        <f>$J106+SUMPRODUCT(regions!FZ105:GF105,regions!FZ$204:GF$204)</f>
        <v>-3.5488630005702841</v>
      </c>
      <c r="AN106" s="1">
        <f t="shared" si="50"/>
        <v>-22.452233119439882</v>
      </c>
      <c r="AO106" s="1">
        <f t="shared" si="50"/>
        <v>-21.752233119439882</v>
      </c>
      <c r="AP106" s="1">
        <f t="shared" si="50"/>
        <v>-16.952233119439882</v>
      </c>
      <c r="AQ106" s="1">
        <f t="shared" si="49"/>
        <v>-8.1227058084494494</v>
      </c>
      <c r="AR106" s="1">
        <f t="shared" si="49"/>
        <v>-18.252233119439882</v>
      </c>
      <c r="AS106" s="1">
        <f t="shared" si="49"/>
        <v>-15.552233119439883</v>
      </c>
      <c r="AT106" s="1">
        <f t="shared" si="49"/>
        <v>-13.545566452773215</v>
      </c>
      <c r="AU106" s="1">
        <f t="shared" si="53"/>
        <v>-18.472233119439881</v>
      </c>
      <c r="AV106" s="1">
        <f t="shared" si="53"/>
        <v>-17.052233119439883</v>
      </c>
      <c r="AW106" s="1">
        <f>$J106+SUMPRODUCT(regions!BN105:BU105,regions!BN$204:BU$204)</f>
        <v>-11.301972932065725</v>
      </c>
      <c r="AX106" s="1">
        <f t="shared" si="53"/>
        <v>-14.732233119439883</v>
      </c>
      <c r="AY106" s="1">
        <f t="shared" si="53"/>
        <v>-13.952233119439882</v>
      </c>
      <c r="AZ106" s="1">
        <f t="shared" si="71"/>
        <v>-13.952233119439882</v>
      </c>
      <c r="BF106" s="1"/>
      <c r="BG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</row>
    <row r="107" spans="1:90" x14ac:dyDescent="0.35">
      <c r="A107" t="s">
        <v>385</v>
      </c>
      <c r="B107" s="19">
        <f>regions!B106</f>
        <v>6040612</v>
      </c>
      <c r="C107" s="19">
        <f>regions!C106</f>
        <v>54963979226.010597</v>
      </c>
      <c r="D107" s="8">
        <f>regions!D106</f>
        <v>9099.0746013832031</v>
      </c>
      <c r="E107" s="8">
        <f>regions!E106</f>
        <v>0</v>
      </c>
      <c r="F107" s="8">
        <f>regions!F106</f>
        <v>0</v>
      </c>
      <c r="G107" s="1">
        <f>regions!Z106</f>
        <v>21.8</v>
      </c>
      <c r="J107" s="1">
        <f t="shared" si="72"/>
        <v>8.5130403217525163</v>
      </c>
      <c r="K107" s="1">
        <f t="shared" si="67"/>
        <v>-6.4397059662722409</v>
      </c>
      <c r="L107" s="1">
        <f t="shared" si="59"/>
        <v>-6.5810398494609412</v>
      </c>
      <c r="M107" s="1">
        <f t="shared" si="60"/>
        <v>6.8367520961937309</v>
      </c>
      <c r="N107" s="1">
        <f t="shared" si="68"/>
        <v>-5.9384375489601613</v>
      </c>
      <c r="O107" s="1">
        <f t="shared" si="68"/>
        <v>-8.3420084758375399</v>
      </c>
      <c r="P107" s="1">
        <f t="shared" si="68"/>
        <v>-6.3420084758375399</v>
      </c>
      <c r="Q107" s="1">
        <f t="shared" si="68"/>
        <v>-6.67200847583754</v>
      </c>
      <c r="R107" s="1">
        <f t="shared" si="68"/>
        <v>-8.9420084758375395</v>
      </c>
      <c r="S107" s="1">
        <f>$J107+SUMPRODUCT(regions!EI106:EN106,regions!EI$204:EN$204)</f>
        <v>-1.748006980540751</v>
      </c>
      <c r="T107" s="1">
        <f>$J107+SUMPRODUCT(regions!EQ106:EV106,regions!EQ$204:EV$204)</f>
        <v>-1.2470190475560212</v>
      </c>
      <c r="U107" s="1">
        <f>$J107+SUMPRODUCT(regions!CM106:CU106,regions!CM$204:CU$204)</f>
        <v>-5.942590170866227</v>
      </c>
      <c r="V107" s="1">
        <f>$J107+SUMPRODUCT(regions!DH106:DM106,regions!DH$204:DM$204)</f>
        <v>-3.675450415084585</v>
      </c>
      <c r="W107" s="1">
        <f>$J107+SUMPRODUCT(regions!DP106:DW106,regions!DP$204:DW$204)</f>
        <v>-5.5150076644750854</v>
      </c>
      <c r="X107" s="1">
        <f>$J107+SUMPRODUCT(regions!AB106:AE106,regions!AB$204:AE$204)</f>
        <v>-1.4405984642267811</v>
      </c>
      <c r="Y107" s="1">
        <f>$J107+SUMPRODUCT(regions!BX106:CJ106,regions!BX$204:CJ$204)</f>
        <v>-2.0876625817169749</v>
      </c>
      <c r="Z107" s="1">
        <f>$J107+SUMPRODUCT(regions!CX106:DF106,regions!CX$204:DF$204)</f>
        <v>-1.3425901708662273</v>
      </c>
      <c r="AA107" s="1">
        <f t="shared" si="73"/>
        <v>-3.9350076765980426</v>
      </c>
      <c r="AB107" s="1">
        <f t="shared" si="74"/>
        <v>-5.4950680282826285</v>
      </c>
      <c r="AC107" s="1">
        <f>$J107+SUMPRODUCT(regions!DZ106:EG106,regions!DZ$204:EG$204)</f>
        <v>-1.9159076644750854</v>
      </c>
      <c r="AD107" s="1">
        <f t="shared" si="69"/>
        <v>-6.3320084758375401</v>
      </c>
      <c r="AE107" s="1">
        <f t="shared" si="69"/>
        <v>-7.8420084758375399</v>
      </c>
      <c r="AF107" s="1">
        <f t="shared" si="75"/>
        <v>-33.962950710942913</v>
      </c>
      <c r="AG107" s="1">
        <f>$J107+SUMPRODUCT(regions!AX106:BK106,regions!AX$204:BK$204)</f>
        <v>-1.6713238233628545</v>
      </c>
      <c r="AH107" s="1">
        <f>$J107+SUMPRODUCT(regions!AG106:AV106,regions!AG$204:AV$204)</f>
        <v>-11.052927197375308</v>
      </c>
      <c r="AI107" s="1">
        <f t="shared" si="70"/>
        <v>-7.3420084758375399</v>
      </c>
      <c r="AJ107" s="1">
        <f>SartoriRoson!C104</f>
        <v>-0.93</v>
      </c>
      <c r="AK107" s="1">
        <f>Kompas!E104</f>
        <v>-2.3940000000000001</v>
      </c>
      <c r="AL107" s="1">
        <f>$J107+SUMPRODUCT(regions!EY106:FW106,regions!EY$204:FW$204)</f>
        <v>-1.7089697147988545</v>
      </c>
      <c r="AM107" s="1">
        <f>$J107+SUMPRODUCT(regions!FZ106:GF106,regions!FZ$204:GF$204)</f>
        <v>4.3613616430320583</v>
      </c>
      <c r="AN107" s="1">
        <f t="shared" si="50"/>
        <v>-14.542008475837539</v>
      </c>
      <c r="AO107" s="1">
        <f t="shared" si="50"/>
        <v>-13.84200847583754</v>
      </c>
      <c r="AP107" s="1">
        <f t="shared" si="50"/>
        <v>-9.042008475837541</v>
      </c>
      <c r="AQ107" s="1">
        <f t="shared" si="49"/>
        <v>-0.212481164847107</v>
      </c>
      <c r="AR107" s="1">
        <f t="shared" si="49"/>
        <v>-10.34200847583754</v>
      </c>
      <c r="AS107" s="1">
        <f t="shared" si="49"/>
        <v>-7.6420084758375397</v>
      </c>
      <c r="AT107" s="1">
        <f t="shared" si="49"/>
        <v>-5.6353418091708729</v>
      </c>
      <c r="AU107" s="1">
        <f t="shared" si="53"/>
        <v>-10.562008475837541</v>
      </c>
      <c r="AV107" s="1">
        <f t="shared" si="53"/>
        <v>-9.1420084758375388</v>
      </c>
      <c r="AW107" s="1">
        <f>$J107+SUMPRODUCT(regions!BN106:BU106,regions!BN$204:BU$204)</f>
        <v>-3.3917482884633827</v>
      </c>
      <c r="AX107" s="1">
        <f t="shared" si="53"/>
        <v>-6.8220084758375403</v>
      </c>
      <c r="AY107" s="1">
        <f t="shared" si="53"/>
        <v>-6.0420084758375401</v>
      </c>
      <c r="AZ107" s="1">
        <f t="shared" si="71"/>
        <v>-6.0420084758375401</v>
      </c>
      <c r="BF107" s="1"/>
      <c r="BG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</row>
    <row r="108" spans="1:90" x14ac:dyDescent="0.35">
      <c r="A108" t="s">
        <v>605</v>
      </c>
      <c r="B108" s="19">
        <f>regions!B107</f>
        <v>36120</v>
      </c>
      <c r="C108" s="19">
        <f>regions!C107</f>
        <v>4188136169.5258017</v>
      </c>
      <c r="D108" s="8">
        <f>regions!D107</f>
        <v>115950.613774247</v>
      </c>
      <c r="E108" s="8">
        <f>regions!E107</f>
        <v>0</v>
      </c>
      <c r="F108" s="8">
        <f>regions!F107</f>
        <v>0</v>
      </c>
      <c r="G108" s="1">
        <f>regions!Z107</f>
        <v>10.199999999999999</v>
      </c>
      <c r="J108" s="1">
        <f t="shared" si="72"/>
        <v>17.46767401067758</v>
      </c>
      <c r="K108" s="1">
        <f>J108+J$4</f>
        <v>2.514927722652823</v>
      </c>
      <c r="L108" s="1">
        <f t="shared" si="59"/>
        <v>0.46999630531301773</v>
      </c>
      <c r="M108" s="1">
        <f t="shared" si="60"/>
        <v>5.4812839585883104</v>
      </c>
      <c r="N108" s="1">
        <f t="shared" ref="N108:R108" si="76">$J108+N$3-$J$3</f>
        <v>3.0161961399649027</v>
      </c>
      <c r="O108" s="1">
        <f t="shared" si="76"/>
        <v>0.61262521308752405</v>
      </c>
      <c r="P108" s="1">
        <f t="shared" si="76"/>
        <v>2.612625213087524</v>
      </c>
      <c r="Q108" s="1">
        <f t="shared" si="76"/>
        <v>2.2826252130875222</v>
      </c>
      <c r="R108" s="1">
        <f t="shared" si="76"/>
        <v>1.2625213087524401E-2</v>
      </c>
      <c r="S108" s="1">
        <f>$J108+SUMPRODUCT(regions!EI107:EN107,regions!EI$204:EN$204)</f>
        <v>0.68565760048443281</v>
      </c>
      <c r="T108" s="1">
        <f>$J108+SUMPRODUCT(regions!EQ107:EV107,regions!EQ$204:EV$204)</f>
        <v>0.48565760048443352</v>
      </c>
      <c r="U108" s="1">
        <f>$J108+SUMPRODUCT(regions!CM107:CU107,regions!CM$204:CU$204)</f>
        <v>0.67100892744270269</v>
      </c>
      <c r="V108" s="1">
        <f>$J108+SUMPRODUCT(regions!DH107:DM107,regions!DH$204:DM$204)</f>
        <v>0.90924462685007512</v>
      </c>
      <c r="W108" s="1">
        <f>$J108+SUMPRODUCT(regions!DP107:DW107,regions!DP$204:DW$204)</f>
        <v>0.78565760048443423</v>
      </c>
      <c r="X108" s="1">
        <f>$J108+SUMPRODUCT(regions!AB107:AE107,regions!AB$204:AE$204)</f>
        <v>2.123971269075458</v>
      </c>
      <c r="Y108" s="1">
        <f>$J108+SUMPRODUCT(regions!BX107:CJ107,regions!BX$204:CJ$204)</f>
        <v>-0.91976218639049279</v>
      </c>
      <c r="Z108" s="1">
        <f>$J108+SUMPRODUCT(regions!CX107:DF107,regions!CX$204:DF$204)</f>
        <v>5.6710089274427027</v>
      </c>
      <c r="AA108" s="1">
        <f t="shared" si="73"/>
        <v>5.0196260123270218</v>
      </c>
      <c r="AB108" s="1">
        <f t="shared" si="74"/>
        <v>3.4595656606424354</v>
      </c>
      <c r="AC108" s="1">
        <f>$J108+SUMPRODUCT(regions!DZ107:EG107,regions!DZ$204:EG$204)</f>
        <v>0.85565760048443451</v>
      </c>
      <c r="AD108" s="1">
        <f>$J108+AD$3-$J$3</f>
        <v>2.6226252130875256</v>
      </c>
      <c r="AE108" s="1">
        <f>$J108+AE$3-$J$3</f>
        <v>1.112625213087524</v>
      </c>
      <c r="AF108" s="1">
        <f t="shared" si="75"/>
        <v>-25.008317022017849</v>
      </c>
      <c r="AG108" s="1">
        <f>$J108+SUMPRODUCT(regions!AX107:BK107,regions!AX$204:BK$204)</f>
        <v>1.173626052443737</v>
      </c>
      <c r="AH108" s="1">
        <f>$J108+SUMPRODUCT(regions!AG107:AV107,regions!AG$204:AV$204)</f>
        <v>3.3188082065367706</v>
      </c>
      <c r="AI108" s="1">
        <f>$J108+AI$3-$J$3</f>
        <v>1.612625213087524</v>
      </c>
      <c r="AJ108" s="1">
        <f>SartoriRoson!C105</f>
        <v>-0.04</v>
      </c>
      <c r="AK108" s="1">
        <f>Kompas!E105</f>
        <v>-0.42099999999999999</v>
      </c>
      <c r="AL108" s="1">
        <f>$J108+SUMPRODUCT(regions!EY107:FW107,regions!EY$204:FW$204)</f>
        <v>5.0013947881952063</v>
      </c>
      <c r="AM108" s="1">
        <f>$J108+SUMPRODUCT(regions!FZ107:GF107,regions!FZ$204:GF$204)</f>
        <v>3.1994436358295921</v>
      </c>
      <c r="AN108" s="1">
        <f t="shared" si="50"/>
        <v>-5.5873747869124752</v>
      </c>
      <c r="AO108" s="1">
        <f t="shared" si="50"/>
        <v>-4.887374786912476</v>
      </c>
      <c r="AP108" s="1">
        <f t="shared" si="50"/>
        <v>-8.7374786912475244E-2</v>
      </c>
      <c r="AQ108" s="1">
        <f t="shared" si="49"/>
        <v>8.742152524077957</v>
      </c>
      <c r="AR108" s="1">
        <f t="shared" si="49"/>
        <v>-1.387374786912476</v>
      </c>
      <c r="AS108" s="1">
        <f t="shared" si="49"/>
        <v>1.3126252130875233</v>
      </c>
      <c r="AT108" s="1">
        <f t="shared" si="49"/>
        <v>3.319291879754191</v>
      </c>
      <c r="AU108" s="1">
        <f t="shared" si="53"/>
        <v>-1.6073747869124748</v>
      </c>
      <c r="AV108" s="1">
        <f t="shared" si="53"/>
        <v>-0.18737478691247667</v>
      </c>
      <c r="AW108" s="1">
        <f>$J108+SUMPRODUCT(regions!BN107:BU107,regions!BN$204:BU$204)</f>
        <v>3.8310200007682997</v>
      </c>
      <c r="AX108" s="1">
        <f t="shared" si="53"/>
        <v>2.1326252130875236</v>
      </c>
      <c r="AY108" s="1">
        <f t="shared" si="53"/>
        <v>2.9126252130875248</v>
      </c>
      <c r="AZ108" s="1">
        <f t="shared" si="71"/>
        <v>2.9126252130875248</v>
      </c>
      <c r="BF108" s="1"/>
      <c r="BG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</row>
    <row r="109" spans="1:90" x14ac:dyDescent="0.35">
      <c r="A109" t="s">
        <v>227</v>
      </c>
      <c r="B109" s="19">
        <f>regions!B108</f>
        <v>3286820</v>
      </c>
      <c r="C109" s="19">
        <f>regions!C108</f>
        <v>27346902406.20084</v>
      </c>
      <c r="D109" s="8">
        <f>regions!D108</f>
        <v>8320.1703793334709</v>
      </c>
      <c r="E109" s="8">
        <f>regions!E108</f>
        <v>4.6247943651455579</v>
      </c>
      <c r="F109" s="8">
        <f>regions!F108</f>
        <v>2.9907474079310834</v>
      </c>
      <c r="G109" s="1">
        <f>regions!Z108</f>
        <v>6.2</v>
      </c>
      <c r="J109" s="1">
        <f t="shared" si="72"/>
        <v>14.151937734204562</v>
      </c>
      <c r="K109" s="1">
        <f t="shared" ref="K109:K124" si="77">J109+J$4</f>
        <v>-0.800808553820195</v>
      </c>
      <c r="L109" s="1">
        <f t="shared" si="59"/>
        <v>-0.97103268072115301</v>
      </c>
      <c r="M109" s="1">
        <f t="shared" si="60"/>
        <v>5.1152767398217662</v>
      </c>
      <c r="N109" s="1">
        <f t="shared" ref="N109:R118" si="78">$J109+N$3-$J$3</f>
        <v>-0.2995401365081154</v>
      </c>
      <c r="O109" s="1">
        <f t="shared" si="78"/>
        <v>-2.703111063385494</v>
      </c>
      <c r="P109" s="1">
        <f t="shared" si="78"/>
        <v>-0.70311106338549401</v>
      </c>
      <c r="Q109" s="1">
        <f t="shared" si="78"/>
        <v>-1.0331110633854941</v>
      </c>
      <c r="R109" s="1">
        <f t="shared" si="78"/>
        <v>-3.3031110633854937</v>
      </c>
      <c r="S109" s="1">
        <f>$J109+SUMPRODUCT(regions!EI108:EN108,regions!EI$204:EN$204)</f>
        <v>-2.7167137507978367</v>
      </c>
      <c r="T109" s="1">
        <f>$J109+SUMPRODUCT(regions!EQ108:EV108,regions!EQ$204:EV$204)</f>
        <v>-2.8167137507978381</v>
      </c>
      <c r="U109" s="1">
        <f>$J109+SUMPRODUCT(regions!CM108:CU108,regions!CM$204:CU$204)</f>
        <v>-0.50406909503152697</v>
      </c>
      <c r="V109" s="1">
        <f>$J109+SUMPRODUCT(regions!DH108:DM108,regions!DH$204:DM$204)</f>
        <v>-2.8737137507978368</v>
      </c>
      <c r="W109" s="1">
        <f>$J109+SUMPRODUCT(regions!DP108:DW108,regions!DP$204:DW$204)</f>
        <v>-0.80406909503152768</v>
      </c>
      <c r="X109" s="1">
        <f>$J109+SUMPRODUCT(regions!AB108:AE108,regions!AB$204:AE$204)</f>
        <v>4.1982989482252648</v>
      </c>
      <c r="Y109" s="1">
        <f>$J109+SUMPRODUCT(regions!BX108:CJ108,regions!BX$204:CJ$204)</f>
        <v>5.9079054711862256E-2</v>
      </c>
      <c r="Z109" s="1">
        <f>$J109+SUMPRODUCT(regions!CX108:DF108,regions!CX$204:DF$204)</f>
        <v>1.1959309049684723</v>
      </c>
      <c r="AA109" s="1">
        <f t="shared" si="73"/>
        <v>1.7038897358540033</v>
      </c>
      <c r="AB109" s="1">
        <f t="shared" si="74"/>
        <v>1.640951973040454</v>
      </c>
      <c r="AC109" s="1">
        <f>$J109+SUMPRODUCT(regions!DZ108:EG108,regions!DZ$204:EG$204)</f>
        <v>-0.37356909503152735</v>
      </c>
      <c r="AD109" s="1">
        <f t="shared" ref="AD109:AE124" si="79">$J109+AD$3-$J$3</f>
        <v>-0.69311106338549422</v>
      </c>
      <c r="AE109" s="1">
        <f t="shared" si="79"/>
        <v>-2.203111063385494</v>
      </c>
      <c r="AF109" s="1">
        <f t="shared" si="75"/>
        <v>23.1</v>
      </c>
      <c r="AG109" s="1">
        <f>$J109+SUMPRODUCT(regions!AX108:BK108,regions!AX$204:BK$204)</f>
        <v>-1.2167137507978367</v>
      </c>
      <c r="AH109" s="1">
        <f>$J109+SUMPRODUCT(regions!AG108:AV108,regions!AG$204:AV$204)</f>
        <v>-0.25287103011809009</v>
      </c>
      <c r="AI109" s="1">
        <f t="shared" ref="AI109:AI124" si="80">$J109+AI$3-$J$3</f>
        <v>-1.703111063385494</v>
      </c>
      <c r="AJ109" s="1">
        <f>SartoriRoson!C106</f>
        <v>1.1000000000000001</v>
      </c>
      <c r="AK109" s="1">
        <f>Kompas!E106</f>
        <v>-0.39400000000000002</v>
      </c>
      <c r="AL109" s="1">
        <f>$J109+SUMPRODUCT(regions!EY108:FW108,regions!EY$204:FW$204)</f>
        <v>0.89733332656991216</v>
      </c>
      <c r="AM109" s="1">
        <f>$J109+SUMPRODUCT(regions!FZ108:GF108,regions!FZ$204:GF$204)</f>
        <v>-0.11629264064342593</v>
      </c>
      <c r="AN109" s="1">
        <f t="shared" si="50"/>
        <v>-8.9031110633854933</v>
      </c>
      <c r="AO109" s="1">
        <f t="shared" si="50"/>
        <v>-8.203111063385494</v>
      </c>
      <c r="AP109" s="1">
        <f t="shared" si="50"/>
        <v>-3.4031110633854933</v>
      </c>
      <c r="AQ109" s="1">
        <f t="shared" si="49"/>
        <v>5.4264162476049389</v>
      </c>
      <c r="AR109" s="1">
        <f t="shared" si="49"/>
        <v>-4.703111063385494</v>
      </c>
      <c r="AS109" s="1">
        <f t="shared" si="49"/>
        <v>-2.0031110633854947</v>
      </c>
      <c r="AT109" s="1">
        <f t="shared" si="49"/>
        <v>3.5556032811729921E-3</v>
      </c>
      <c r="AU109" s="1">
        <f t="shared" si="53"/>
        <v>-4.9231110633854929</v>
      </c>
      <c r="AV109" s="1">
        <f t="shared" si="53"/>
        <v>-3.5031110633854947</v>
      </c>
      <c r="AW109" s="1">
        <f>$J109+SUMPRODUCT(regions!BN108:BU108,regions!BN$204:BU$204)</f>
        <v>-0.9098936091114318</v>
      </c>
      <c r="AX109" s="1">
        <f t="shared" si="53"/>
        <v>-1.1831110633854944</v>
      </c>
      <c r="AY109" s="1">
        <f t="shared" si="53"/>
        <v>-0.4031110633854933</v>
      </c>
      <c r="AZ109" s="1">
        <f t="shared" si="71"/>
        <v>-0.4031110633854933</v>
      </c>
      <c r="BE109" t="str">
        <f>RehdanzMaddison!P40</f>
        <v>Lithuania</v>
      </c>
      <c r="BF109" s="1">
        <f>-100*RehdanzMaddison!U40</f>
        <v>0.92221669150658481</v>
      </c>
      <c r="BG109" s="1">
        <f>-100*RehdanzMaddison!V40</f>
        <v>1.640951973040454</v>
      </c>
      <c r="BH109" s="1">
        <f>$K109-BF109</f>
        <v>-1.7230252453267798</v>
      </c>
      <c r="BI109" s="1">
        <f>$K109-BG109</f>
        <v>-2.4417605268606488</v>
      </c>
      <c r="BJ109" t="str">
        <f>MaddisonRehdanz!A46</f>
        <v>Lithuania</v>
      </c>
      <c r="BK109">
        <f>MaddisonRehdanz!D46</f>
        <v>23.1</v>
      </c>
      <c r="BL109" s="1">
        <f>$K109-BK109</f>
        <v>-23.900808553820198</v>
      </c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</row>
    <row r="110" spans="1:90" x14ac:dyDescent="0.35">
      <c r="A110" t="s">
        <v>161</v>
      </c>
      <c r="B110" s="19">
        <f>regions!B109</f>
        <v>506953</v>
      </c>
      <c r="C110" s="19">
        <f>regions!C109</f>
        <v>40696164751.529617</v>
      </c>
      <c r="D110" s="8">
        <f>regions!D109</f>
        <v>80276.011290059658</v>
      </c>
      <c r="E110" s="8">
        <f>regions!E109</f>
        <v>25.017624155342254</v>
      </c>
      <c r="F110" s="8">
        <f>regions!F109</f>
        <v>9.464102847938717</v>
      </c>
      <c r="G110" s="1">
        <f>regions!Z109</f>
        <v>8.6999999999999993</v>
      </c>
      <c r="J110" s="1">
        <f t="shared" si="72"/>
        <v>17.355149952125235</v>
      </c>
      <c r="K110" s="1">
        <f t="shared" si="77"/>
        <v>2.4024036641004773</v>
      </c>
      <c r="L110" s="1">
        <f t="shared" si="59"/>
        <v>0.29283068123696065</v>
      </c>
      <c r="M110" s="1">
        <f t="shared" si="60"/>
        <v>5.3860609676460927</v>
      </c>
      <c r="N110" s="1">
        <f t="shared" si="78"/>
        <v>2.9036720814125569</v>
      </c>
      <c r="O110" s="1">
        <f t="shared" si="78"/>
        <v>0.50010115453517834</v>
      </c>
      <c r="P110" s="1">
        <f t="shared" si="78"/>
        <v>2.5001011545351783</v>
      </c>
      <c r="Q110" s="1">
        <f t="shared" si="78"/>
        <v>2.1701011545351765</v>
      </c>
      <c r="R110" s="1">
        <f t="shared" si="78"/>
        <v>-9.9898845464821306E-2</v>
      </c>
      <c r="S110" s="1">
        <f>$J110+SUMPRODUCT(regions!EI109:EN109,regions!EI$204:EN$204)</f>
        <v>0.5731335419320871</v>
      </c>
      <c r="T110" s="1">
        <f>$J110+SUMPRODUCT(regions!EQ109:EV109,regions!EQ$204:EV$204)</f>
        <v>0.37313354193208781</v>
      </c>
      <c r="U110" s="1">
        <f>$J110+SUMPRODUCT(regions!CM109:CU109,regions!CM$204:CU$204)</f>
        <v>0.55848486889035698</v>
      </c>
      <c r="V110" s="1">
        <f>$J110+SUMPRODUCT(regions!DH109:DM109,regions!DH$204:DM$204)</f>
        <v>0.79672056829772941</v>
      </c>
      <c r="W110" s="1">
        <f>$J110+SUMPRODUCT(regions!DP109:DW109,regions!DP$204:DW$204)</f>
        <v>0.67313354193208852</v>
      </c>
      <c r="X110" s="1">
        <f>$J110+SUMPRODUCT(regions!AB109:AE109,regions!AB$204:AE$204)</f>
        <v>2.0114472105231123</v>
      </c>
      <c r="Y110" s="1">
        <f>$J110+SUMPRODUCT(regions!BX109:CJ109,regions!BX$204:CJ$204)</f>
        <v>-1.0322862449428385</v>
      </c>
      <c r="Z110" s="1">
        <f>$J110+SUMPRODUCT(regions!CX109:DF109,regions!CX$204:DF$204)</f>
        <v>5.558484868890357</v>
      </c>
      <c r="AA110" s="1">
        <f t="shared" si="73"/>
        <v>3.1</v>
      </c>
      <c r="AB110" s="1">
        <f t="shared" si="74"/>
        <v>3.3470416020900897</v>
      </c>
      <c r="AC110" s="1">
        <f>$J110+SUMPRODUCT(regions!DZ109:EG109,regions!DZ$204:EG$204)</f>
        <v>0.7431335419320888</v>
      </c>
      <c r="AD110" s="1">
        <f t="shared" si="79"/>
        <v>2.5101011545351799</v>
      </c>
      <c r="AE110" s="1">
        <f t="shared" si="79"/>
        <v>1.0001011545351783</v>
      </c>
      <c r="AF110" s="1">
        <f t="shared" si="75"/>
        <v>-25.120841080570194</v>
      </c>
      <c r="AG110" s="1">
        <f>$J110+SUMPRODUCT(regions!AX109:BK109,regions!AX$204:BK$204)</f>
        <v>1.0611019938913913</v>
      </c>
      <c r="AH110" s="1">
        <f>$J110+SUMPRODUCT(regions!AG109:AV109,regions!AG$204:AV$204)</f>
        <v>3.2062841479844248</v>
      </c>
      <c r="AI110" s="1">
        <f t="shared" si="80"/>
        <v>1.5001011545351783</v>
      </c>
      <c r="AJ110" s="1">
        <f>SartoriRoson!C107</f>
        <v>2.84</v>
      </c>
      <c r="AK110" s="1">
        <f>Kompas!E107</f>
        <v>-0.6</v>
      </c>
      <c r="AL110" s="1">
        <f>$J110+SUMPRODUCT(regions!EY109:FW109,regions!EY$204:FW$204)</f>
        <v>1.7511524827173712</v>
      </c>
      <c r="AM110" s="1">
        <f>$J110+SUMPRODUCT(regions!FZ109:GF109,regions!FZ$204:GF$204)</f>
        <v>3.0869195772772464</v>
      </c>
      <c r="AN110" s="1">
        <f t="shared" si="50"/>
        <v>-5.699898845464821</v>
      </c>
      <c r="AO110" s="1">
        <f t="shared" si="50"/>
        <v>-4.9998988454648217</v>
      </c>
      <c r="AP110" s="1">
        <f t="shared" si="50"/>
        <v>-0.19989884546482095</v>
      </c>
      <c r="AQ110" s="1">
        <f t="shared" si="49"/>
        <v>8.6296284655256112</v>
      </c>
      <c r="AR110" s="1">
        <f t="shared" si="49"/>
        <v>-1.4998988454648217</v>
      </c>
      <c r="AS110" s="1">
        <f t="shared" si="49"/>
        <v>1.2001011545351776</v>
      </c>
      <c r="AT110" s="1">
        <f t="shared" si="49"/>
        <v>3.2067678212018453</v>
      </c>
      <c r="AU110" s="1">
        <f t="shared" si="53"/>
        <v>-1.7198988454648205</v>
      </c>
      <c r="AV110" s="1">
        <f t="shared" si="53"/>
        <v>-0.29989884546482237</v>
      </c>
      <c r="AW110" s="1">
        <f>$J110+SUMPRODUCT(regions!BN109:BU109,regions!BN$204:BU$204)</f>
        <v>3.2162469703866794</v>
      </c>
      <c r="AX110" s="1">
        <f t="shared" si="53"/>
        <v>2.0201011545351779</v>
      </c>
      <c r="AY110" s="1">
        <f t="shared" si="53"/>
        <v>2.800101154535179</v>
      </c>
      <c r="AZ110" s="1">
        <f t="shared" si="71"/>
        <v>2.800101154535179</v>
      </c>
      <c r="BB110" t="str">
        <f>Maddison!A46</f>
        <v>Luxembourg</v>
      </c>
      <c r="BC110">
        <f>-Maddison!B46</f>
        <v>3.1</v>
      </c>
      <c r="BD110" s="1">
        <f>K110-BC110</f>
        <v>-0.69759633589952275</v>
      </c>
      <c r="BF110" s="1"/>
      <c r="BG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</row>
    <row r="111" spans="1:90" x14ac:dyDescent="0.35">
      <c r="A111" t="s">
        <v>386</v>
      </c>
      <c r="B111" s="19">
        <f>regions!B110</f>
        <v>534626</v>
      </c>
      <c r="C111" s="19">
        <f>regions!C110</f>
        <v>20684154508.54776</v>
      </c>
      <c r="D111" s="8">
        <f>regions!D110</f>
        <v>38689.01719809317</v>
      </c>
      <c r="E111" s="8">
        <f>regions!E110</f>
        <v>34.532987256137496</v>
      </c>
      <c r="F111" s="8">
        <f>regions!F110</f>
        <v>0</v>
      </c>
      <c r="G111" s="1">
        <f>regions!Z110</f>
        <v>22.8</v>
      </c>
      <c r="J111" s="1">
        <f t="shared" si="72"/>
        <v>10.780123742473963</v>
      </c>
      <c r="K111" s="1">
        <f t="shared" si="77"/>
        <v>-4.1726225455507944</v>
      </c>
      <c r="L111" s="1">
        <f t="shared" si="59"/>
        <v>-4.9474988468191583</v>
      </c>
      <c r="M111" s="1">
        <f t="shared" si="60"/>
        <v>6.2958147674536704</v>
      </c>
      <c r="N111" s="1">
        <f t="shared" si="78"/>
        <v>-3.6713541282387148</v>
      </c>
      <c r="O111" s="1">
        <f t="shared" si="78"/>
        <v>-6.0749250551160934</v>
      </c>
      <c r="P111" s="1">
        <f t="shared" si="78"/>
        <v>-4.0749250551160934</v>
      </c>
      <c r="Q111" s="1">
        <f t="shared" si="78"/>
        <v>-4.4049250551160934</v>
      </c>
      <c r="R111" s="1">
        <f t="shared" si="78"/>
        <v>-6.674925055116093</v>
      </c>
      <c r="S111" s="1">
        <f>$J111+SUMPRODUCT(regions!EI110:EN110,regions!EI$204:EN$204)</f>
        <v>0.51907644018069554</v>
      </c>
      <c r="T111" s="1">
        <f>$J111+SUMPRODUCT(regions!EQ110:EV110,regions!EQ$204:EV$204)</f>
        <v>1.0200643731654253</v>
      </c>
      <c r="U111" s="1">
        <f>$J111+SUMPRODUCT(regions!CM110:CU110,regions!CM$204:CU$204)</f>
        <v>-6.2842137023064222</v>
      </c>
      <c r="V111" s="1">
        <f>$J111+SUMPRODUCT(regions!DH110:DM110,regions!DH$204:DM$204)</f>
        <v>-1.4083669943631385</v>
      </c>
      <c r="W111" s="1">
        <f>$J111+SUMPRODUCT(regions!DP110:DW110,regions!DP$204:DW$204)</f>
        <v>-5.1924322956137292</v>
      </c>
      <c r="X111" s="1">
        <f>$J111+SUMPRODUCT(regions!AB110:AE110,regions!AB$204:AE$204)</f>
        <v>-4.5635789991281595</v>
      </c>
      <c r="Y111" s="1">
        <f>$J111+SUMPRODUCT(regions!BX110:CJ110,regions!BX$204:CJ$204)</f>
        <v>-1.6051990067562745</v>
      </c>
      <c r="Z111" s="1">
        <f>$J111+SUMPRODUCT(regions!CX110:DF110,regions!CX$204:DF$204)</f>
        <v>1.0157862976935768</v>
      </c>
      <c r="AA111" s="1">
        <f t="shared" si="73"/>
        <v>-1.6679242558765961</v>
      </c>
      <c r="AB111" s="1">
        <f t="shared" si="74"/>
        <v>-3.227984607561182</v>
      </c>
      <c r="AC111" s="1">
        <f>$J111+SUMPRODUCT(regions!DZ110:EG110,regions!DZ$204:EG$204)</f>
        <v>0.3125677043862698</v>
      </c>
      <c r="AD111" s="1">
        <f t="shared" si="79"/>
        <v>-4.0649250551160936</v>
      </c>
      <c r="AE111" s="1">
        <f t="shared" si="79"/>
        <v>-5.5749250551160934</v>
      </c>
      <c r="AF111" s="1">
        <f t="shared" si="75"/>
        <v>-31.695867290221464</v>
      </c>
      <c r="AG111" s="1">
        <f>$J111+SUMPRODUCT(regions!AX110:BK110,regions!AX$204:BK$204)</f>
        <v>1.88361736576657</v>
      </c>
      <c r="AH111" s="1">
        <f>$J111+SUMPRODUCT(regions!AG110:AV110,regions!AG$204:AV$204)</f>
        <v>-0.98847566968966838</v>
      </c>
      <c r="AI111" s="1">
        <f t="shared" si="80"/>
        <v>-5.0749250551160934</v>
      </c>
      <c r="AJ111" s="1">
        <f>SartoriRoson!C108</f>
        <v>-4.84</v>
      </c>
      <c r="AK111" s="1">
        <f>Kompas!E108</f>
        <v>-9.49</v>
      </c>
      <c r="AL111" s="1">
        <f>$J111+SUMPRODUCT(regions!EY110:FW110,regions!EY$204:FW$204)</f>
        <v>0.52703568999339545</v>
      </c>
      <c r="AM111" s="1">
        <f>$J111+SUMPRODUCT(regions!FZ110:GF110,regions!FZ$204:GF$204)</f>
        <v>1.8133889497668445</v>
      </c>
      <c r="AN111" s="1">
        <f t="shared" si="50"/>
        <v>-12.274925055116093</v>
      </c>
      <c r="AO111" s="1">
        <f t="shared" si="50"/>
        <v>-11.574925055116093</v>
      </c>
      <c r="AP111" s="1">
        <f t="shared" si="50"/>
        <v>-6.7749250551160936</v>
      </c>
      <c r="AQ111" s="1">
        <f t="shared" si="49"/>
        <v>2.0546022558743413</v>
      </c>
      <c r="AR111" s="1">
        <f t="shared" si="49"/>
        <v>-8.0749250551160934</v>
      </c>
      <c r="AS111" s="1">
        <f t="shared" si="49"/>
        <v>-5.3749250551160923</v>
      </c>
      <c r="AT111" s="1">
        <f t="shared" si="49"/>
        <v>-3.3682583884494264</v>
      </c>
      <c r="AU111" s="1">
        <f t="shared" si="53"/>
        <v>-8.2949250551160922</v>
      </c>
      <c r="AV111" s="1">
        <f t="shared" si="53"/>
        <v>-6.8749250551160932</v>
      </c>
      <c r="AW111" s="1">
        <f>$J111+SUMPRODUCT(regions!BN110:BU110,regions!BN$204:BU$204)</f>
        <v>-2.8565302674353177</v>
      </c>
      <c r="AX111" s="1">
        <f t="shared" si="53"/>
        <v>-4.5549250551160938</v>
      </c>
      <c r="AY111" s="1">
        <f t="shared" si="53"/>
        <v>-3.7749250551160927</v>
      </c>
      <c r="AZ111" s="1">
        <f t="shared" si="71"/>
        <v>-3.7749250551160927</v>
      </c>
      <c r="BF111" s="1"/>
      <c r="BG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</row>
    <row r="112" spans="1:90" x14ac:dyDescent="0.35">
      <c r="A112" t="s">
        <v>387</v>
      </c>
      <c r="B112" s="19">
        <f>regions!B111</f>
        <v>2102216</v>
      </c>
      <c r="C112" s="19">
        <f>regions!C111</f>
        <v>7140636379.2323322</v>
      </c>
      <c r="D112" s="8">
        <f>regions!D111</f>
        <v>3396.7186907683758</v>
      </c>
      <c r="E112" s="8">
        <f>regions!E111</f>
        <v>16.865692803044162</v>
      </c>
      <c r="F112" s="8">
        <f>regions!F111</f>
        <v>10.120833485785372</v>
      </c>
      <c r="G112" s="1">
        <f>regions!Z111</f>
        <v>9.8000000000000007</v>
      </c>
      <c r="J112" s="1">
        <f t="shared" si="72"/>
        <v>11.179556623526407</v>
      </c>
      <c r="K112" s="1">
        <f t="shared" si="77"/>
        <v>-3.77318966449835</v>
      </c>
      <c r="L112" s="1">
        <f t="shared" si="59"/>
        <v>-4.3091867517419447</v>
      </c>
      <c r="M112" s="1">
        <f t="shared" si="60"/>
        <v>3.905192160963435</v>
      </c>
      <c r="N112" s="1">
        <f t="shared" si="78"/>
        <v>-3.2719212471862704</v>
      </c>
      <c r="O112" s="1">
        <f t="shared" si="78"/>
        <v>-5.675492174063649</v>
      </c>
      <c r="P112" s="1">
        <f t="shared" si="78"/>
        <v>-3.675492174063649</v>
      </c>
      <c r="Q112" s="1">
        <f t="shared" si="78"/>
        <v>-4.0054921740636491</v>
      </c>
      <c r="R112" s="1">
        <f t="shared" si="78"/>
        <v>-6.2754921740636487</v>
      </c>
      <c r="S112" s="1">
        <f>$J112+SUMPRODUCT(regions!EI111:EN111,regions!EI$204:EN$204)</f>
        <v>0.91850932123313989</v>
      </c>
      <c r="T112" s="1">
        <f>$J112+SUMPRODUCT(regions!EQ111:EV111,regions!EQ$204:EV$204)</f>
        <v>1.4194972542178697</v>
      </c>
      <c r="U112" s="1">
        <f>$J112+SUMPRODUCT(regions!CM111:CU111,regions!CM$204:CU$204)</f>
        <v>-3.476450205709682</v>
      </c>
      <c r="V112" s="1">
        <f>$J112+SUMPRODUCT(regions!DH111:DM111,regions!DH$204:DM$204)</f>
        <v>-1.0089341133106942</v>
      </c>
      <c r="W112" s="1">
        <f>$J112+SUMPRODUCT(regions!DP111:DW111,regions!DP$204:DW$204)</f>
        <v>-3.7764502057096827</v>
      </c>
      <c r="X112" s="1">
        <f>$J112+SUMPRODUCT(regions!AB111:AE111,regions!AB$204:AE$204)</f>
        <v>2.0411514661864079</v>
      </c>
      <c r="Y112" s="1">
        <f>$J112+SUMPRODUCT(regions!BX111:CJ111,regions!BX$204:CJ$204)</f>
        <v>-2.9133020559662928</v>
      </c>
      <c r="Z112" s="1">
        <f>$J112+SUMPRODUCT(regions!CX111:DF111,regions!CX$204:DF$204)</f>
        <v>-1.7764502057096827</v>
      </c>
      <c r="AA112" s="1">
        <f t="shared" si="73"/>
        <v>-1.2684913748241518</v>
      </c>
      <c r="AB112" s="1">
        <f t="shared" si="74"/>
        <v>-12.973108464873134</v>
      </c>
      <c r="AC112" s="1">
        <f>$J112+SUMPRODUCT(regions!DZ111:EG111,regions!DZ$204:EG$204)</f>
        <v>-3.3459502057096824</v>
      </c>
      <c r="AD112" s="1">
        <f t="shared" si="79"/>
        <v>-3.6654921740636492</v>
      </c>
      <c r="AE112" s="1">
        <f t="shared" si="79"/>
        <v>-5.175492174063649</v>
      </c>
      <c r="AF112" s="1">
        <f t="shared" si="75"/>
        <v>-9.4</v>
      </c>
      <c r="AG112" s="1">
        <f>$J112+SUMPRODUCT(regions!AX111:BK111,regions!AX$204:BK$204)</f>
        <v>-2.5856201799976919</v>
      </c>
      <c r="AH112" s="1">
        <f>$J112+SUMPRODUCT(regions!AG111:AV111,regions!AG$204:AV$204)</f>
        <v>-3.2252521407962451</v>
      </c>
      <c r="AI112" s="1">
        <f t="shared" si="80"/>
        <v>-4.675492174063649</v>
      </c>
      <c r="AJ112" s="1">
        <f>SartoriRoson!C109</f>
        <v>0.01</v>
      </c>
      <c r="AK112" s="1">
        <f>Kompas!E109</f>
        <v>-0.20499999999999999</v>
      </c>
      <c r="AL112" s="1">
        <f>$J112+SUMPRODUCT(regions!EY111:FW111,regions!EY$204:FW$204)</f>
        <v>-1.2867225989559667</v>
      </c>
      <c r="AM112" s="1">
        <f>$J112+SUMPRODUCT(regions!FZ111:GF111,regions!FZ$204:GF$204)</f>
        <v>-3.088673751321581</v>
      </c>
      <c r="AN112" s="1">
        <f t="shared" si="50"/>
        <v>-11.875492174063648</v>
      </c>
      <c r="AO112" s="1">
        <f t="shared" si="50"/>
        <v>-11.175492174063649</v>
      </c>
      <c r="AP112" s="1">
        <f t="shared" si="50"/>
        <v>-6.3754921740636492</v>
      </c>
      <c r="AQ112" s="1">
        <f t="shared" si="49"/>
        <v>2.4540351369267857</v>
      </c>
      <c r="AR112" s="1">
        <f t="shared" si="49"/>
        <v>-7.675492174063649</v>
      </c>
      <c r="AS112" s="1">
        <f t="shared" si="49"/>
        <v>-4.975492174063648</v>
      </c>
      <c r="AT112" s="1">
        <f t="shared" si="49"/>
        <v>-2.968825507396982</v>
      </c>
      <c r="AU112" s="1">
        <f t="shared" si="53"/>
        <v>-7.8954921740636488</v>
      </c>
      <c r="AV112" s="1">
        <f t="shared" si="53"/>
        <v>-6.4754921740636489</v>
      </c>
      <c r="AW112" s="1">
        <f>$J112+SUMPRODUCT(regions!BN111:BU111,regions!BN$204:BU$204)</f>
        <v>-3.8822747197895868</v>
      </c>
      <c r="AX112" s="1">
        <f t="shared" si="53"/>
        <v>-4.1554921740636495</v>
      </c>
      <c r="AY112" s="1">
        <f t="shared" si="53"/>
        <v>-3.3754921740636483</v>
      </c>
      <c r="AZ112" s="1">
        <f t="shared" si="71"/>
        <v>-3.3754921740636483</v>
      </c>
      <c r="BE112" t="str">
        <f>RehdanzMaddison!P41</f>
        <v>Macedonia [FYROM]</v>
      </c>
      <c r="BF112" s="1">
        <f>-100*RehdanzMaddison!U41</f>
        <v>-7.471328158252402</v>
      </c>
      <c r="BG112" s="1">
        <f>-100*RehdanzMaddison!V41</f>
        <v>-12.973108464873134</v>
      </c>
      <c r="BH112" s="1">
        <f>$K112-BF112</f>
        <v>3.698138493754052</v>
      </c>
      <c r="BI112" s="1">
        <f>$K112-BG112</f>
        <v>9.1999188003747836</v>
      </c>
      <c r="BJ112" t="str">
        <f>MaddisonRehdanz!A47</f>
        <v>Macedonia</v>
      </c>
      <c r="BK112">
        <f>MaddisonRehdanz!D47</f>
        <v>-9.4</v>
      </c>
      <c r="BL112" s="1">
        <f>$K112-BK112</f>
        <v>5.6268103355016503</v>
      </c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</row>
    <row r="113" spans="1:90" x14ac:dyDescent="0.35">
      <c r="A113" t="s">
        <v>162</v>
      </c>
      <c r="B113" s="19">
        <f>regions!B112</f>
        <v>21079532</v>
      </c>
      <c r="C113" s="19">
        <f>regions!C112</f>
        <v>5759450979.3430977</v>
      </c>
      <c r="D113" s="8">
        <f>regions!D112</f>
        <v>273.22480306218836</v>
      </c>
      <c r="E113" s="8">
        <f>regions!E112</f>
        <v>0</v>
      </c>
      <c r="F113" s="8">
        <f>regions!F112</f>
        <v>25.765248003544773</v>
      </c>
      <c r="G113" s="1">
        <f>regions!Z112</f>
        <v>22.6</v>
      </c>
      <c r="J113" s="1">
        <f t="shared" si="72"/>
        <v>1.8236847702218775</v>
      </c>
      <c r="K113" s="1">
        <f t="shared" si="77"/>
        <v>-13.12906151780288</v>
      </c>
      <c r="L113" s="1">
        <f t="shared" si="59"/>
        <v>-12.532396044660304</v>
      </c>
      <c r="M113" s="1">
        <f t="shared" si="60"/>
        <v>8.6858721507807779</v>
      </c>
      <c r="N113" s="1">
        <f t="shared" si="78"/>
        <v>-12.6277931004908</v>
      </c>
      <c r="O113" s="1">
        <f t="shared" si="78"/>
        <v>-15.031364027368179</v>
      </c>
      <c r="P113" s="1">
        <f t="shared" si="78"/>
        <v>-13.031364027368179</v>
      </c>
      <c r="Q113" s="1">
        <f t="shared" si="78"/>
        <v>-13.361364027368179</v>
      </c>
      <c r="R113" s="1">
        <f t="shared" si="78"/>
        <v>-15.631364027368178</v>
      </c>
      <c r="S113" s="1">
        <f>$J113+SUMPRODUCT(regions!EI112:EN112,regions!EI$204:EN$204)</f>
        <v>-8.4373625320713899</v>
      </c>
      <c r="T113" s="1">
        <f>$J113+SUMPRODUCT(regions!EQ112:EV112,regions!EQ$204:EV$204)</f>
        <v>-7.9363745990866601</v>
      </c>
      <c r="U113" s="1">
        <f>$J113+SUMPRODUCT(regions!CM112:CU112,regions!CM$204:CU$204)</f>
        <v>-12.631945722396866</v>
      </c>
      <c r="V113" s="1">
        <f>$J113+SUMPRODUCT(regions!DH112:DM112,regions!DH$204:DM$204)</f>
        <v>-10.364805966615224</v>
      </c>
      <c r="W113" s="1">
        <f>$J113+SUMPRODUCT(regions!DP112:DW112,regions!DP$204:DW$204)</f>
        <v>-12.204363216005724</v>
      </c>
      <c r="X113" s="1">
        <f>$J113+SUMPRODUCT(regions!AB112:AE112,regions!AB$204:AE$204)</f>
        <v>-1.6928325779935642</v>
      </c>
      <c r="Y113" s="1">
        <f>$J113+SUMPRODUCT(regions!BX112:CJ112,regions!BX$204:CJ$204)</f>
        <v>-5.1283220177199862</v>
      </c>
      <c r="Z113" s="1">
        <f>$J113+SUMPRODUCT(regions!CX112:DF112,regions!CX$204:DF$204)</f>
        <v>-8.0319457223968662</v>
      </c>
      <c r="AA113" s="1">
        <f t="shared" si="73"/>
        <v>-1.9</v>
      </c>
      <c r="AB113" s="1">
        <f t="shared" si="74"/>
        <v>-12.184423579813268</v>
      </c>
      <c r="AC113" s="1">
        <f>$J113+SUMPRODUCT(regions!DZ112:EG112,regions!DZ$204:EG$204)</f>
        <v>-8.6052632160057243</v>
      </c>
      <c r="AD113" s="1">
        <f t="shared" si="79"/>
        <v>-13.021364027368179</v>
      </c>
      <c r="AE113" s="1">
        <f t="shared" si="79"/>
        <v>-14.531364027368179</v>
      </c>
      <c r="AF113" s="1">
        <f t="shared" si="75"/>
        <v>-40.652306262473552</v>
      </c>
      <c r="AG113" s="1">
        <f>$J113+SUMPRODUCT(regions!AX112:BK112,regions!AX$204:BK$204)</f>
        <v>-4.9664045707606501</v>
      </c>
      <c r="AH113" s="1">
        <f>$J113+SUMPRODUCT(regions!AG112:AV112,regions!AG$204:AV$204)</f>
        <v>-11.86640457076065</v>
      </c>
      <c r="AI113" s="1">
        <f t="shared" si="80"/>
        <v>-14.031364027368179</v>
      </c>
      <c r="AJ113" s="1">
        <f>SartoriRoson!C110</f>
        <v>-10</v>
      </c>
      <c r="AK113" s="1">
        <f>Kompas!E110</f>
        <v>-7.2119999999999997</v>
      </c>
      <c r="AL113" s="1">
        <f>$J113+SUMPRODUCT(regions!EY112:FW112,regions!EY$204:FW$204)</f>
        <v>-5.4555298364760816</v>
      </c>
      <c r="AM113" s="1">
        <f>$J113+SUMPRODUCT(regions!FZ112:GF112,regions!FZ$204:GF$204)</f>
        <v>-2.3279939084985806</v>
      </c>
      <c r="AN113" s="1">
        <f t="shared" si="50"/>
        <v>-21.23136402736818</v>
      </c>
      <c r="AO113" s="1">
        <f t="shared" si="50"/>
        <v>-20.531364027368177</v>
      </c>
      <c r="AP113" s="1">
        <f t="shared" si="50"/>
        <v>-15.73136402736818</v>
      </c>
      <c r="AQ113" s="1">
        <f t="shared" si="49"/>
        <v>-6.901836716377745</v>
      </c>
      <c r="AR113" s="1">
        <f t="shared" si="49"/>
        <v>-17.031364027368177</v>
      </c>
      <c r="AS113" s="1">
        <f t="shared" si="49"/>
        <v>-14.331364027368178</v>
      </c>
      <c r="AT113" s="1">
        <f t="shared" si="49"/>
        <v>-12.324697360701512</v>
      </c>
      <c r="AU113" s="1">
        <f t="shared" si="53"/>
        <v>-17.251364027368179</v>
      </c>
      <c r="AV113" s="1">
        <f t="shared" si="53"/>
        <v>-15.831364027368178</v>
      </c>
      <c r="AW113" s="1">
        <f>$J113+SUMPRODUCT(regions!BN112:BU112,regions!BN$204:BU$204)</f>
        <v>-11.812969239687403</v>
      </c>
      <c r="AX113" s="1">
        <f t="shared" si="53"/>
        <v>-13.511364027368179</v>
      </c>
      <c r="AY113" s="1">
        <f t="shared" si="53"/>
        <v>-12.731364027368178</v>
      </c>
      <c r="AZ113" s="1">
        <f t="shared" si="71"/>
        <v>-12.731364027368178</v>
      </c>
      <c r="BB113" t="str">
        <f>Maddison!A47</f>
        <v>Madagascar</v>
      </c>
      <c r="BC113">
        <f>-Maddison!B47</f>
        <v>-1.9</v>
      </c>
      <c r="BD113" s="1">
        <f>K113-BC113</f>
        <v>-11.229061517802879</v>
      </c>
      <c r="BF113" s="1"/>
      <c r="BG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</row>
    <row r="114" spans="1:90" x14ac:dyDescent="0.35">
      <c r="A114" t="s">
        <v>163</v>
      </c>
      <c r="B114" s="19">
        <f>regions!B113</f>
        <v>15013694</v>
      </c>
      <c r="C114" s="19">
        <f>regions!C113</f>
        <v>3290262502.0248256</v>
      </c>
      <c r="D114" s="8">
        <f>regions!D113</f>
        <v>219.15076343135976</v>
      </c>
      <c r="E114" s="8">
        <f>regions!E113</f>
        <v>15.372913896940007</v>
      </c>
      <c r="F114" s="8">
        <f>regions!F113</f>
        <v>29.614872252981755</v>
      </c>
      <c r="G114" s="1">
        <f>regions!Z113</f>
        <v>21.9</v>
      </c>
      <c r="J114" s="1">
        <f t="shared" si="72"/>
        <v>1.6819327852231112</v>
      </c>
      <c r="K114" s="1">
        <f t="shared" si="77"/>
        <v>-13.270813502801646</v>
      </c>
      <c r="L114" s="1">
        <f t="shared" si="59"/>
        <v>-12.978987620556602</v>
      </c>
      <c r="M114" s="1">
        <f t="shared" si="60"/>
        <v>8.5856166977054933</v>
      </c>
      <c r="N114" s="1">
        <f t="shared" si="78"/>
        <v>-12.769545085489566</v>
      </c>
      <c r="O114" s="1">
        <f t="shared" si="78"/>
        <v>-15.173116012366945</v>
      </c>
      <c r="P114" s="1">
        <f t="shared" si="78"/>
        <v>-13.173116012366945</v>
      </c>
      <c r="Q114" s="1">
        <f t="shared" si="78"/>
        <v>-13.503116012366945</v>
      </c>
      <c r="R114" s="1">
        <f t="shared" si="78"/>
        <v>-15.773116012366945</v>
      </c>
      <c r="S114" s="1">
        <f>$J114+SUMPRODUCT(regions!EI113:EN113,regions!EI$204:EN$204)</f>
        <v>-8.5791145170701562</v>
      </c>
      <c r="T114" s="1">
        <f>$J114+SUMPRODUCT(regions!EQ113:EV113,regions!EQ$204:EV$204)</f>
        <v>-8.0781265840854264</v>
      </c>
      <c r="U114" s="1">
        <f>$J114+SUMPRODUCT(regions!CM113:CU113,regions!CM$204:CU$204)</f>
        <v>-12.773697707395632</v>
      </c>
      <c r="V114" s="1">
        <f>$J114+SUMPRODUCT(regions!DH113:DM113,regions!DH$204:DM$204)</f>
        <v>-10.50655795161399</v>
      </c>
      <c r="W114" s="1">
        <f>$J114+SUMPRODUCT(regions!DP113:DW113,regions!DP$204:DW$204)</f>
        <v>-12.346115201004491</v>
      </c>
      <c r="X114" s="1">
        <f>$J114+SUMPRODUCT(regions!AB113:AE113,regions!AB$204:AE$204)</f>
        <v>-1.8345845629923305</v>
      </c>
      <c r="Y114" s="1">
        <f>$J114+SUMPRODUCT(regions!BX113:CJ113,regions!BX$204:CJ$204)</f>
        <v>-5.2700740027187525</v>
      </c>
      <c r="Z114" s="1">
        <f>$J114+SUMPRODUCT(regions!CX113:DF113,regions!CX$204:DF$204)</f>
        <v>-8.1736977073956325</v>
      </c>
      <c r="AA114" s="1">
        <f t="shared" si="73"/>
        <v>-12.4</v>
      </c>
      <c r="AB114" s="1">
        <f t="shared" si="74"/>
        <v>-12.326175564812035</v>
      </c>
      <c r="AC114" s="1">
        <f>$J114+SUMPRODUCT(regions!DZ113:EG113,regions!DZ$204:EG$204)</f>
        <v>-8.7470152010044906</v>
      </c>
      <c r="AD114" s="1">
        <f t="shared" si="79"/>
        <v>-13.163116012366945</v>
      </c>
      <c r="AE114" s="1">
        <f t="shared" si="79"/>
        <v>-14.673116012366945</v>
      </c>
      <c r="AF114" s="1">
        <f t="shared" si="75"/>
        <v>-40.794058247472314</v>
      </c>
      <c r="AG114" s="1">
        <f>$J114+SUMPRODUCT(regions!AX113:BK113,regions!AX$204:BK$204)</f>
        <v>-5.1081565557594164</v>
      </c>
      <c r="AH114" s="1">
        <f>$J114+SUMPRODUCT(regions!AG113:AV113,regions!AG$204:AV$204)</f>
        <v>-12.008156555759417</v>
      </c>
      <c r="AI114" s="1">
        <f t="shared" si="80"/>
        <v>-14.173116012366945</v>
      </c>
      <c r="AJ114" s="1">
        <f>SartoriRoson!C111</f>
        <v>-9.76</v>
      </c>
      <c r="AK114" s="1">
        <f>Kompas!E111</f>
        <v>-9.266</v>
      </c>
      <c r="AL114" s="1">
        <f>$J114+SUMPRODUCT(regions!EY113:FW113,regions!EY$204:FW$204)</f>
        <v>-5.5972818214748479</v>
      </c>
      <c r="AM114" s="1">
        <f>$J114+SUMPRODUCT(regions!FZ113:GF113,regions!FZ$204:GF$204)</f>
        <v>-2.4697458934973469</v>
      </c>
      <c r="AN114" s="1">
        <f t="shared" si="50"/>
        <v>-21.373116012366943</v>
      </c>
      <c r="AO114" s="1">
        <f t="shared" si="50"/>
        <v>-20.673116012366947</v>
      </c>
      <c r="AP114" s="1">
        <f t="shared" si="50"/>
        <v>-15.873116012366946</v>
      </c>
      <c r="AQ114" s="1">
        <f t="shared" si="49"/>
        <v>-7.0435887013765113</v>
      </c>
      <c r="AR114" s="1">
        <f t="shared" si="49"/>
        <v>-17.173116012366947</v>
      </c>
      <c r="AS114" s="1">
        <f t="shared" si="49"/>
        <v>-14.473116012366944</v>
      </c>
      <c r="AT114" s="1">
        <f t="shared" si="49"/>
        <v>-12.466449345700278</v>
      </c>
      <c r="AU114" s="1">
        <f t="shared" si="53"/>
        <v>-17.393116012366946</v>
      </c>
      <c r="AV114" s="1">
        <f t="shared" si="53"/>
        <v>-15.973116012366944</v>
      </c>
      <c r="AW114" s="1">
        <f>$J114+SUMPRODUCT(regions!BN113:BU113,regions!BN$204:BU$204)</f>
        <v>-11.954721224686169</v>
      </c>
      <c r="AX114" s="1">
        <f t="shared" si="53"/>
        <v>-13.653116012366945</v>
      </c>
      <c r="AY114" s="1">
        <f t="shared" si="53"/>
        <v>-12.873116012366944</v>
      </c>
      <c r="AZ114" s="1">
        <f t="shared" si="71"/>
        <v>-12.873116012366944</v>
      </c>
      <c r="BB114" t="str">
        <f>Maddison!A48</f>
        <v>Malawi</v>
      </c>
      <c r="BC114">
        <f>-Maddison!B48</f>
        <v>-12.4</v>
      </c>
      <c r="BD114" s="1">
        <f>K114-BC114</f>
        <v>-0.87081350280164571</v>
      </c>
      <c r="BF114" s="1"/>
      <c r="BG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</row>
    <row r="115" spans="1:90" x14ac:dyDescent="0.35">
      <c r="A115" t="s">
        <v>164</v>
      </c>
      <c r="B115" s="19">
        <f>regions!B114</f>
        <v>28275835</v>
      </c>
      <c r="C115" s="19">
        <f>regions!C114</f>
        <v>178672208075.05682</v>
      </c>
      <c r="D115" s="8">
        <f>regions!D114</f>
        <v>6318.9012128220729</v>
      </c>
      <c r="E115" s="8">
        <f>regions!E114</f>
        <v>13.332195310376733</v>
      </c>
      <c r="F115" s="8">
        <f>regions!F114</f>
        <v>10.089915927512132</v>
      </c>
      <c r="G115" s="1">
        <f>regions!Z114</f>
        <v>25.4</v>
      </c>
      <c r="J115" s="1">
        <f t="shared" si="72"/>
        <v>6.509278025619615</v>
      </c>
      <c r="K115" s="1">
        <f t="shared" si="77"/>
        <v>-8.4434682624051423</v>
      </c>
      <c r="L115" s="1">
        <f t="shared" si="59"/>
        <v>-8.7951192542425343</v>
      </c>
      <c r="M115" s="1">
        <f t="shared" si="60"/>
        <v>6.5781960760591289</v>
      </c>
      <c r="N115" s="1">
        <f t="shared" si="78"/>
        <v>-7.9421998450930626</v>
      </c>
      <c r="O115" s="1">
        <f t="shared" si="78"/>
        <v>-10.345770771970441</v>
      </c>
      <c r="P115" s="1">
        <f t="shared" si="78"/>
        <v>-8.3457707719704413</v>
      </c>
      <c r="Q115" s="1">
        <f t="shared" si="78"/>
        <v>-8.6757707719704413</v>
      </c>
      <c r="R115" s="1">
        <f t="shared" si="78"/>
        <v>-10.945770771970441</v>
      </c>
      <c r="S115" s="1">
        <f>$J115+SUMPRODUCT(regions!EI114:EN114,regions!EI$204:EN$204)</f>
        <v>-3.7517692766736523</v>
      </c>
      <c r="T115" s="1">
        <f>$J115+SUMPRODUCT(regions!EQ114:EV114,regions!EQ$204:EV$204)</f>
        <v>-3.2507813436889226</v>
      </c>
      <c r="U115" s="1">
        <f>$J115+SUMPRODUCT(regions!CM114:CU114,regions!CM$204:CU$204)</f>
        <v>-9.2887278467183769</v>
      </c>
      <c r="V115" s="1">
        <f>$J115+SUMPRODUCT(regions!DH114:DM114,regions!DH$204:DM$204)</f>
        <v>-5.6792127112174864</v>
      </c>
      <c r="W115" s="1">
        <f>$J115+SUMPRODUCT(regions!DP114:DW114,regions!DP$204:DW$204)</f>
        <v>-9.4632780124680771</v>
      </c>
      <c r="X115" s="1">
        <f>$J115+SUMPRODUCT(regions!AB114:AE114,regions!AB$204:AE$204)</f>
        <v>-3.4443607603596824</v>
      </c>
      <c r="Y115" s="1">
        <f>$J115+SUMPRODUCT(regions!BX114:CJ114,regions!BX$204:CJ$204)</f>
        <v>-5.8760447236106224</v>
      </c>
      <c r="Z115" s="1">
        <f>$J115+SUMPRODUCT(regions!CX114:DF114,regions!CX$204:DF$204)</f>
        <v>-2.3887278467183783</v>
      </c>
      <c r="AA115" s="1">
        <f t="shared" si="73"/>
        <v>0</v>
      </c>
      <c r="AB115" s="1">
        <f t="shared" si="74"/>
        <v>-7.4988303244155299</v>
      </c>
      <c r="AC115" s="1">
        <f>$J115+SUMPRODUCT(regions!DZ114:EG114,regions!DZ$204:EG$204)</f>
        <v>-3.9582780124680781</v>
      </c>
      <c r="AD115" s="1">
        <f t="shared" si="79"/>
        <v>-8.3357707719704415</v>
      </c>
      <c r="AE115" s="1">
        <f t="shared" si="79"/>
        <v>-9.8457707719704413</v>
      </c>
      <c r="AF115" s="1">
        <f t="shared" si="75"/>
        <v>-30.7</v>
      </c>
      <c r="AG115" s="1">
        <f>$J115+SUMPRODUCT(regions!AX114:BK114,regions!AX$204:BK$204)</f>
        <v>-2.3872283510877779</v>
      </c>
      <c r="AH115" s="1">
        <f>$J115+SUMPRODUCT(regions!AG114:AV114,regions!AG$204:AV$204)</f>
        <v>-11.444714657093236</v>
      </c>
      <c r="AI115" s="1">
        <f t="shared" si="80"/>
        <v>-9.3457707719704413</v>
      </c>
      <c r="AJ115" s="1">
        <f>SartoriRoson!C112</f>
        <v>-10.210000000000001</v>
      </c>
      <c r="AK115" s="1">
        <f>Kompas!E112</f>
        <v>-12.118</v>
      </c>
      <c r="AL115" s="1">
        <f>$J115+SUMPRODUCT(regions!EY114:FW114,regions!EY$204:FW$204)</f>
        <v>-2.0563966022201363</v>
      </c>
      <c r="AM115" s="1">
        <f>$J115+SUMPRODUCT(regions!FZ114:GF114,regions!FZ$204:GF$204)</f>
        <v>-2.4574567670875034</v>
      </c>
      <c r="AN115" s="1">
        <f t="shared" si="50"/>
        <v>-16.545770771970439</v>
      </c>
      <c r="AO115" s="1">
        <f t="shared" si="50"/>
        <v>-15.845770771970441</v>
      </c>
      <c r="AP115" s="1">
        <f t="shared" si="50"/>
        <v>-11.045770771970442</v>
      </c>
      <c r="AQ115" s="1">
        <f t="shared" si="49"/>
        <v>-2.2162434609800084</v>
      </c>
      <c r="AR115" s="1">
        <f t="shared" si="49"/>
        <v>-12.345770771970441</v>
      </c>
      <c r="AS115" s="1">
        <f t="shared" si="49"/>
        <v>-9.6457707719704402</v>
      </c>
      <c r="AT115" s="1">
        <f t="shared" si="49"/>
        <v>-7.6391041053037743</v>
      </c>
      <c r="AU115" s="1">
        <f t="shared" si="53"/>
        <v>-12.565770771970442</v>
      </c>
      <c r="AV115" s="1">
        <f t="shared" si="53"/>
        <v>-11.14577077197044</v>
      </c>
      <c r="AW115" s="1">
        <f>$J115+SUMPRODUCT(regions!BN114:BU114,regions!BN$204:BU$204)</f>
        <v>-5.3955105845962841</v>
      </c>
      <c r="AX115" s="1">
        <f t="shared" si="53"/>
        <v>-8.8257707719704417</v>
      </c>
      <c r="AY115" s="1">
        <f t="shared" si="53"/>
        <v>-8.0457707719704423</v>
      </c>
      <c r="AZ115" s="1">
        <f t="shared" si="71"/>
        <v>-8.0457707719704423</v>
      </c>
      <c r="BB115" t="str">
        <f>Maddison!A49</f>
        <v>Malaysia</v>
      </c>
      <c r="BC115">
        <f>-Maddison!B49</f>
        <v>0</v>
      </c>
      <c r="BD115" s="1">
        <f>K115-BC115</f>
        <v>-8.4434682624051423</v>
      </c>
      <c r="BF115" s="1"/>
      <c r="BG115" s="1"/>
      <c r="BJ115" t="str">
        <f>MaddisonRehdanz!A48</f>
        <v>Malaysia</v>
      </c>
      <c r="BK115">
        <f>MaddisonRehdanz!D48</f>
        <v>-30.7</v>
      </c>
      <c r="BL115" s="1">
        <f>$K115-BK115</f>
        <v>22.256531737594855</v>
      </c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</row>
    <row r="116" spans="1:90" x14ac:dyDescent="0.35">
      <c r="A116" t="s">
        <v>388</v>
      </c>
      <c r="B116" s="19">
        <f>regions!B115</f>
        <v>325694</v>
      </c>
      <c r="C116" s="19">
        <f>regions!C115</f>
        <v>1518834121.3135984</v>
      </c>
      <c r="D116" s="8">
        <f>regions!D115</f>
        <v>4663.3776529920669</v>
      </c>
      <c r="E116" s="8">
        <f>regions!E115</f>
        <v>8.8476279303051069</v>
      </c>
      <c r="F116" s="8">
        <f>regions!F115</f>
        <v>5.6341206261220371</v>
      </c>
      <c r="G116" s="1">
        <f>regions!Z115</f>
        <v>27.6</v>
      </c>
      <c r="J116" s="1">
        <f t="shared" si="72"/>
        <v>5.1371105341467977</v>
      </c>
      <c r="K116" s="1">
        <f t="shared" si="77"/>
        <v>-9.8156357538779595</v>
      </c>
      <c r="L116" s="1">
        <f t="shared" si="59"/>
        <v>-10.107400009707987</v>
      </c>
      <c r="M116" s="1">
        <f t="shared" si="60"/>
        <v>7.3865386032976152</v>
      </c>
      <c r="N116" s="1">
        <f t="shared" si="78"/>
        <v>-9.3143673365658799</v>
      </c>
      <c r="O116" s="1">
        <f t="shared" si="78"/>
        <v>-11.717938263443259</v>
      </c>
      <c r="P116" s="1">
        <f t="shared" si="78"/>
        <v>-9.7179382634432585</v>
      </c>
      <c r="Q116" s="1">
        <f t="shared" si="78"/>
        <v>-10.047938263443259</v>
      </c>
      <c r="R116" s="1">
        <f t="shared" si="78"/>
        <v>-12.317938263443258</v>
      </c>
      <c r="S116" s="1">
        <f>$J116+SUMPRODUCT(regions!EI115:EN115,regions!EI$204:EN$204)</f>
        <v>-5.1239367681464696</v>
      </c>
      <c r="T116" s="1">
        <f>$J116+SUMPRODUCT(regions!EQ115:EV115,regions!EQ$204:EV$204)</f>
        <v>-4.6229488351617398</v>
      </c>
      <c r="U116" s="1">
        <f>$J116+SUMPRODUCT(regions!CM115:CU115,regions!CM$204:CU$204)</f>
        <v>-10.660895338191194</v>
      </c>
      <c r="V116" s="1">
        <f>$J116+SUMPRODUCT(regions!DH115:DM115,regions!DH$204:DM$204)</f>
        <v>-7.0513802026903036</v>
      </c>
      <c r="W116" s="1">
        <f>$J116+SUMPRODUCT(regions!DP115:DW115,regions!DP$204:DW$204)</f>
        <v>-10.835445503940894</v>
      </c>
      <c r="X116" s="1">
        <f>$J116+SUMPRODUCT(regions!AB115:AE115,regions!AB$204:AE$204)</f>
        <v>-4.8165282518324997</v>
      </c>
      <c r="Y116" s="1">
        <f>$J116+SUMPRODUCT(regions!BX115:CJ115,regions!BX$204:CJ$204)</f>
        <v>-2.1674306707255528</v>
      </c>
      <c r="Z116" s="1">
        <f>$J116+SUMPRODUCT(regions!CX115:DF115,regions!CX$204:DF$204)</f>
        <v>-3.7608953381911956</v>
      </c>
      <c r="AA116" s="1">
        <f t="shared" si="73"/>
        <v>-7.3109374642037608</v>
      </c>
      <c r="AB116" s="1">
        <f t="shared" si="74"/>
        <v>-8.870997815888348</v>
      </c>
      <c r="AC116" s="1">
        <f>$J116+SUMPRODUCT(regions!DZ115:EG115,regions!DZ$204:EG$204)</f>
        <v>-5.3304455039408953</v>
      </c>
      <c r="AD116" s="1">
        <f t="shared" si="79"/>
        <v>-9.7079382634432587</v>
      </c>
      <c r="AE116" s="1">
        <f t="shared" si="79"/>
        <v>-11.217938263443259</v>
      </c>
      <c r="AF116" s="1">
        <f t="shared" si="75"/>
        <v>-37.338880498548633</v>
      </c>
      <c r="AG116" s="1">
        <f>$J116+SUMPRODUCT(regions!AX115:BK115,regions!AX$204:BK$204)</f>
        <v>-3.7593958425605951</v>
      </c>
      <c r="AH116" s="1">
        <f>$J116+SUMPRODUCT(regions!AG115:AV115,regions!AG$204:AV$204)</f>
        <v>-11.513654167441524</v>
      </c>
      <c r="AI116" s="1">
        <f t="shared" si="80"/>
        <v>-10.717938263443259</v>
      </c>
      <c r="AJ116" s="1">
        <f>SartoriRoson!C113</f>
        <v>-4.8899999999999997</v>
      </c>
      <c r="AK116" s="1">
        <f>Kompas!E113</f>
        <v>-9.6059999999999999</v>
      </c>
      <c r="AL116" s="1">
        <f>$J116+SUMPRODUCT(regions!EY115:FW115,regions!EY$204:FW$204)</f>
        <v>-5.1159775183337697</v>
      </c>
      <c r="AM116" s="1">
        <f>$J116+SUMPRODUCT(regions!FZ115:GF115,regions!FZ$204:GF$204)</f>
        <v>-3.8296242585603206</v>
      </c>
      <c r="AN116" s="1">
        <f t="shared" si="50"/>
        <v>-17.917938263443258</v>
      </c>
      <c r="AO116" s="1">
        <f t="shared" si="50"/>
        <v>-17.217938263443259</v>
      </c>
      <c r="AP116" s="1">
        <f t="shared" si="50"/>
        <v>-12.417938263443258</v>
      </c>
      <c r="AQ116" s="1">
        <f t="shared" si="49"/>
        <v>-3.5884109524528238</v>
      </c>
      <c r="AR116" s="1">
        <f t="shared" si="49"/>
        <v>-13.717938263443259</v>
      </c>
      <c r="AS116" s="1">
        <f t="shared" si="49"/>
        <v>-11.017938263443259</v>
      </c>
      <c r="AT116" s="1">
        <f t="shared" si="49"/>
        <v>-9.0112715967765915</v>
      </c>
      <c r="AU116" s="1">
        <f t="shared" si="53"/>
        <v>-13.937938263443257</v>
      </c>
      <c r="AV116" s="1">
        <f t="shared" si="53"/>
        <v>-12.517938263443259</v>
      </c>
      <c r="AW116" s="1">
        <f>$J116+SUMPRODUCT(regions!BN115:BU115,regions!BN$204:BU$204)</f>
        <v>-8.4995434757624828</v>
      </c>
      <c r="AX116" s="1">
        <f t="shared" si="53"/>
        <v>-10.197938263443259</v>
      </c>
      <c r="AY116" s="1">
        <f t="shared" si="53"/>
        <v>-9.4179382634432578</v>
      </c>
      <c r="AZ116" s="1">
        <f t="shared" si="71"/>
        <v>-9.4179382634432578</v>
      </c>
      <c r="BF116" s="1"/>
      <c r="BG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</row>
    <row r="117" spans="1:90" x14ac:dyDescent="0.35">
      <c r="A117" t="s">
        <v>165</v>
      </c>
      <c r="B117" s="19">
        <f>regions!B116</f>
        <v>13985961</v>
      </c>
      <c r="C117" s="19">
        <f>regions!C116</f>
        <v>6971653980.9015436</v>
      </c>
      <c r="D117" s="8">
        <f>regions!D116</f>
        <v>498.47514810755899</v>
      </c>
      <c r="E117" s="8">
        <f>regions!E116</f>
        <v>12.89285053202542</v>
      </c>
      <c r="F117" s="8">
        <f>regions!F116</f>
        <v>33.016830029614638</v>
      </c>
      <c r="G117" s="1">
        <f>regions!Z116</f>
        <v>28.2</v>
      </c>
      <c r="J117" s="1">
        <f t="shared" si="72"/>
        <v>0.83716646157936481</v>
      </c>
      <c r="K117" s="1">
        <f t="shared" si="77"/>
        <v>-14.115579826445392</v>
      </c>
      <c r="L117" s="1">
        <f t="shared" si="59"/>
        <v>-16.546959355950591</v>
      </c>
      <c r="M117" s="1">
        <f t="shared" si="60"/>
        <v>26.613271328417643</v>
      </c>
      <c r="N117" s="1">
        <f t="shared" si="78"/>
        <v>-13.614311409133313</v>
      </c>
      <c r="O117" s="1">
        <f t="shared" si="78"/>
        <v>-16.017882336010693</v>
      </c>
      <c r="P117" s="1">
        <f t="shared" si="78"/>
        <v>-14.017882336010691</v>
      </c>
      <c r="Q117" s="1">
        <f t="shared" si="78"/>
        <v>-14.347882336010692</v>
      </c>
      <c r="R117" s="1">
        <f t="shared" si="78"/>
        <v>-16.617882336010691</v>
      </c>
      <c r="S117" s="1">
        <f>$J117+SUMPRODUCT(regions!EI116:EN116,regions!EI$204:EN$204)</f>
        <v>-9.4238808407139025</v>
      </c>
      <c r="T117" s="1">
        <f>$J117+SUMPRODUCT(regions!EQ116:EV116,regions!EQ$204:EV$204)</f>
        <v>-8.9228929077291728</v>
      </c>
      <c r="U117" s="1">
        <f>$J117+SUMPRODUCT(regions!CM116:CU116,regions!CM$204:CU$204)</f>
        <v>-13.618464031039379</v>
      </c>
      <c r="V117" s="1">
        <f>$J117+SUMPRODUCT(regions!DH116:DM116,regions!DH$204:DM$204)</f>
        <v>-11.351324275257737</v>
      </c>
      <c r="W117" s="1">
        <f>$J117+SUMPRODUCT(regions!DP116:DW116,regions!DP$204:DW$204)</f>
        <v>-13.190881524648237</v>
      </c>
      <c r="X117" s="1">
        <f>$J117+SUMPRODUCT(regions!AB116:AE116,regions!AB$204:AE$204)</f>
        <v>-2.6793508866360769</v>
      </c>
      <c r="Y117" s="1">
        <f>$J117+SUMPRODUCT(regions!BX116:CJ116,regions!BX$204:CJ$204)</f>
        <v>-6.1148403263624989</v>
      </c>
      <c r="Z117" s="1">
        <f>$J117+SUMPRODUCT(regions!CX116:DF116,regions!CX$204:DF$204)</f>
        <v>-9.0184640310393789</v>
      </c>
      <c r="AA117" s="1">
        <f t="shared" si="73"/>
        <v>-4.8</v>
      </c>
      <c r="AB117" s="1">
        <f t="shared" si="74"/>
        <v>-13.170941888455781</v>
      </c>
      <c r="AC117" s="1">
        <f>$J117+SUMPRODUCT(regions!DZ116:EG116,regions!DZ$204:EG$204)</f>
        <v>-9.591781524648237</v>
      </c>
      <c r="AD117" s="1">
        <f t="shared" si="79"/>
        <v>-14.007882336010692</v>
      </c>
      <c r="AE117" s="1">
        <f t="shared" si="79"/>
        <v>-15.517882336010691</v>
      </c>
      <c r="AF117" s="1">
        <f t="shared" si="75"/>
        <v>-157.1</v>
      </c>
      <c r="AG117" s="1">
        <f>$J117+SUMPRODUCT(regions!AX116:BK116,regions!AX$204:BK$204)</f>
        <v>-5.9529228794031628</v>
      </c>
      <c r="AH117" s="1">
        <f>$J117+SUMPRODUCT(regions!AG116:AV116,regions!AG$204:AV$204)</f>
        <v>-12.852922879403163</v>
      </c>
      <c r="AI117" s="1">
        <f t="shared" si="80"/>
        <v>-15.017882336010691</v>
      </c>
      <c r="AJ117" s="1">
        <f>SartoriRoson!C114</f>
        <v>-6.07</v>
      </c>
      <c r="AK117" s="1">
        <f>Kompas!E114</f>
        <v>-15.566000000000001</v>
      </c>
      <c r="AL117" s="1">
        <f>$J117+SUMPRODUCT(regions!EY116:FW116,regions!EY$204:FW$204)</f>
        <v>-6.4420481451185942</v>
      </c>
      <c r="AM117" s="1">
        <f>$J117+SUMPRODUCT(regions!FZ116:GF116,regions!FZ$204:GF$204)</f>
        <v>-3.3145122171410932</v>
      </c>
      <c r="AN117" s="1">
        <f t="shared" si="50"/>
        <v>-22.217882336010689</v>
      </c>
      <c r="AO117" s="1">
        <f t="shared" si="50"/>
        <v>-21.517882336010693</v>
      </c>
      <c r="AP117" s="1">
        <f t="shared" si="50"/>
        <v>-16.717882336010693</v>
      </c>
      <c r="AQ117" s="1">
        <f t="shared" si="49"/>
        <v>-7.8883550250202576</v>
      </c>
      <c r="AR117" s="1">
        <f t="shared" si="49"/>
        <v>-18.017882336010693</v>
      </c>
      <c r="AS117" s="1">
        <f t="shared" si="49"/>
        <v>-15.31788233601069</v>
      </c>
      <c r="AT117" s="1">
        <f t="shared" si="49"/>
        <v>-13.311215669344024</v>
      </c>
      <c r="AU117" s="1">
        <f t="shared" si="53"/>
        <v>-18.237882336010692</v>
      </c>
      <c r="AV117" s="1">
        <f t="shared" si="53"/>
        <v>-16.81788233601069</v>
      </c>
      <c r="AW117" s="1">
        <f>$J117+SUMPRODUCT(regions!BN116:BU116,regions!BN$204:BU$204)</f>
        <v>-11.067622148636534</v>
      </c>
      <c r="AX117" s="1">
        <f t="shared" si="53"/>
        <v>-14.497882336010692</v>
      </c>
      <c r="AY117" s="1">
        <f t="shared" si="53"/>
        <v>-13.717882336010691</v>
      </c>
      <c r="AZ117" s="1">
        <f t="shared" si="71"/>
        <v>-13.717882336010691</v>
      </c>
      <c r="BB117" t="str">
        <f>Maddison!A50</f>
        <v>Mali</v>
      </c>
      <c r="BC117">
        <f>-Maddison!B50</f>
        <v>-4.8</v>
      </c>
      <c r="BD117" s="1">
        <f>K117-BC117</f>
        <v>-9.3155798264453935</v>
      </c>
      <c r="BF117" s="1"/>
      <c r="BG117" s="1"/>
      <c r="BJ117" t="str">
        <f>MaddisonRehdanz!A49</f>
        <v>Mali</v>
      </c>
      <c r="BK117">
        <f>MaddisonRehdanz!D49</f>
        <v>-157.1</v>
      </c>
      <c r="BL117" s="1">
        <f>$K117-BK117</f>
        <v>142.98442017355461</v>
      </c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</row>
    <row r="118" spans="1:90" x14ac:dyDescent="0.35">
      <c r="A118" t="s">
        <v>389</v>
      </c>
      <c r="B118" s="19">
        <f>regions!B117</f>
        <v>415995</v>
      </c>
      <c r="C118" s="19">
        <f>regions!C117</f>
        <v>6652772997.1789989</v>
      </c>
      <c r="D118" s="8">
        <f>regions!D117</f>
        <v>15992.434998447094</v>
      </c>
      <c r="E118" s="8">
        <f>regions!E117</f>
        <v>26.139677248276382</v>
      </c>
      <c r="F118" s="8">
        <f>regions!F117</f>
        <v>1.4561709220395482</v>
      </c>
      <c r="G118" s="1">
        <f>regions!Z117</f>
        <v>19.2</v>
      </c>
      <c r="J118" s="1">
        <f t="shared" si="72"/>
        <v>10.508287334612341</v>
      </c>
      <c r="K118" s="1">
        <f t="shared" si="77"/>
        <v>-4.4444589534124166</v>
      </c>
      <c r="L118" s="1">
        <f t="shared" si="59"/>
        <v>-6.0216016058486428</v>
      </c>
      <c r="M118" s="1">
        <f t="shared" si="60"/>
        <v>5.8106164479551676</v>
      </c>
      <c r="N118" s="1">
        <f t="shared" si="78"/>
        <v>-3.943190536100337</v>
      </c>
      <c r="O118" s="1">
        <f t="shared" si="78"/>
        <v>-6.3467614629777156</v>
      </c>
      <c r="P118" s="1">
        <f t="shared" si="78"/>
        <v>-4.3467614629777156</v>
      </c>
      <c r="Q118" s="1">
        <f t="shared" si="78"/>
        <v>-4.6767614629777157</v>
      </c>
      <c r="R118" s="1">
        <f t="shared" si="78"/>
        <v>-6.9467614629777152</v>
      </c>
      <c r="S118" s="1">
        <f>$J118+SUMPRODUCT(regions!EI117:EN117,regions!EI$204:EN$204)</f>
        <v>-6.2737290755808068</v>
      </c>
      <c r="T118" s="1">
        <f>$J118+SUMPRODUCT(regions!EQ117:EV117,regions!EQ$204:EV$204)</f>
        <v>-6.4737290755808061</v>
      </c>
      <c r="U118" s="1">
        <f>$J118+SUMPRODUCT(regions!CM117:CU117,regions!CM$204:CU$204)</f>
        <v>-6.288377748622537</v>
      </c>
      <c r="V118" s="1">
        <f>$J118+SUMPRODUCT(regions!DH117:DM117,regions!DH$204:DM$204)</f>
        <v>-1.6802034022247607</v>
      </c>
      <c r="W118" s="1">
        <f>$J118+SUMPRODUCT(regions!DP117:DW117,regions!DP$204:DW$204)</f>
        <v>-6.1737290755808054</v>
      </c>
      <c r="X118" s="1">
        <f>$J118+SUMPRODUCT(regions!AB117:AE117,regions!AB$204:AE$204)</f>
        <v>-4.8354154069897817</v>
      </c>
      <c r="Y118" s="1">
        <f>$J118+SUMPRODUCT(regions!BX117:CJ117,regions!BX$204:CJ$204)</f>
        <v>-1.8770354146178967</v>
      </c>
      <c r="Z118" s="1">
        <f>$J118+SUMPRODUCT(regions!CX117:DF117,regions!CX$204:DF$204)</f>
        <v>-1.288377748622537</v>
      </c>
      <c r="AA118" s="1">
        <f t="shared" si="73"/>
        <v>-1.9397606637382183</v>
      </c>
      <c r="AB118" s="1">
        <f t="shared" si="74"/>
        <v>-3.4998210154228042</v>
      </c>
      <c r="AC118" s="1">
        <f>$J118+SUMPRODUCT(regions!DZ117:EG117,regions!DZ$204:EG$204)</f>
        <v>-6.1037290755808051</v>
      </c>
      <c r="AD118" s="1">
        <f t="shared" si="79"/>
        <v>-4.3367614629777158</v>
      </c>
      <c r="AE118" s="1">
        <f t="shared" si="79"/>
        <v>-5.8467614629777156</v>
      </c>
      <c r="AF118" s="1">
        <f t="shared" si="75"/>
        <v>-31.967703698083085</v>
      </c>
      <c r="AG118" s="1">
        <f>$J118+SUMPRODUCT(regions!AX117:BK117,regions!AX$204:BK$204)</f>
        <v>-3.6944990541884337</v>
      </c>
      <c r="AH118" s="1">
        <f>$J118+SUMPRODUCT(regions!AG117:AV117,regions!AG$204:AV$204)</f>
        <v>-3.6405784695284691</v>
      </c>
      <c r="AI118" s="1">
        <f t="shared" si="80"/>
        <v>-5.3467614629777156</v>
      </c>
      <c r="AJ118" s="1">
        <f>SartoriRoson!C115</f>
        <v>-6.55</v>
      </c>
      <c r="AK118" s="1">
        <f>Kompas!E115</f>
        <v>-1.2609999999999999</v>
      </c>
      <c r="AL118" s="1">
        <f>$J118+SUMPRODUCT(regions!EY117:FW117,regions!EY$204:FW$204)</f>
        <v>-2.7463170730223094</v>
      </c>
      <c r="AM118" s="1">
        <f>$J118+SUMPRODUCT(regions!FZ117:GF117,regions!FZ$204:GF$204)</f>
        <v>-3.7599430402356475</v>
      </c>
      <c r="AN118" s="1">
        <f t="shared" si="50"/>
        <v>-12.546761462977715</v>
      </c>
      <c r="AO118" s="1">
        <f t="shared" si="50"/>
        <v>-11.846761462977716</v>
      </c>
      <c r="AP118" s="1">
        <f t="shared" si="50"/>
        <v>-7.0467614629777158</v>
      </c>
      <c r="AQ118" s="1">
        <f t="shared" si="49"/>
        <v>1.7827658480127173</v>
      </c>
      <c r="AR118" s="1">
        <f t="shared" si="49"/>
        <v>-8.3467614629777156</v>
      </c>
      <c r="AS118" s="1">
        <f t="shared" si="49"/>
        <v>-5.6467614629777163</v>
      </c>
      <c r="AT118" s="1">
        <f t="shared" si="49"/>
        <v>-3.6400947963110486</v>
      </c>
      <c r="AU118" s="1">
        <f t="shared" si="53"/>
        <v>-8.5667614629777162</v>
      </c>
      <c r="AV118" s="1">
        <f t="shared" si="53"/>
        <v>-7.1467614629777154</v>
      </c>
      <c r="AW118" s="1">
        <f>$J118+SUMPRODUCT(regions!BN117:BU117,regions!BN$204:BU$204)</f>
        <v>-3.1283666752969399</v>
      </c>
      <c r="AX118" s="1">
        <f t="shared" si="53"/>
        <v>-4.826761462977716</v>
      </c>
      <c r="AY118" s="1">
        <f t="shared" si="53"/>
        <v>-4.0467614629777149</v>
      </c>
      <c r="AZ118" s="1">
        <f t="shared" si="71"/>
        <v>-4.0467614629777149</v>
      </c>
      <c r="BF118" s="1"/>
      <c r="BG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</row>
    <row r="119" spans="1:90" x14ac:dyDescent="0.35">
      <c r="A119" t="s">
        <v>390</v>
      </c>
      <c r="B119" s="19">
        <f>regions!B118</f>
        <v>52428</v>
      </c>
      <c r="C119" s="19">
        <f>regions!C118</f>
        <v>147320121.96961504</v>
      </c>
      <c r="D119" s="8">
        <f>regions!D118</f>
        <v>2809.9512086979294</v>
      </c>
      <c r="E119" s="8">
        <f>regions!E118</f>
        <v>17.120376482626138</v>
      </c>
      <c r="F119" s="8">
        <f>regions!F118</f>
        <v>15.045383598577494</v>
      </c>
      <c r="G119" s="1">
        <f>regions!Z118</f>
        <v>27.4</v>
      </c>
      <c r="J119" s="1">
        <f t="shared" si="72"/>
        <v>4.2878626477493125</v>
      </c>
      <c r="K119" s="1">
        <f t="shared" si="77"/>
        <v>-10.664883640275445</v>
      </c>
      <c r="L119" s="1">
        <f t="shared" si="59"/>
        <v>-10.83325565870005</v>
      </c>
      <c r="M119" s="1">
        <f t="shared" si="60"/>
        <v>7.630559892451549</v>
      </c>
      <c r="N119" s="1">
        <f t="shared" ref="N119:R124" si="81">$J119+N$3-$J$3</f>
        <v>-10.163615222963365</v>
      </c>
      <c r="O119" s="1">
        <f t="shared" si="81"/>
        <v>-12.567186149840744</v>
      </c>
      <c r="P119" s="1">
        <f t="shared" si="81"/>
        <v>-10.567186149840744</v>
      </c>
      <c r="Q119" s="1">
        <f t="shared" si="81"/>
        <v>-10.897186149840744</v>
      </c>
      <c r="R119" s="1">
        <f t="shared" si="81"/>
        <v>-13.167186149840743</v>
      </c>
      <c r="S119" s="1">
        <f>$J119+SUMPRODUCT(regions!EI118:EN118,regions!EI$204:EN$204)</f>
        <v>-5.9731846545439549</v>
      </c>
      <c r="T119" s="1">
        <f>$J119+SUMPRODUCT(regions!EQ118:EV118,regions!EQ$204:EV$204)</f>
        <v>-5.4721967215592251</v>
      </c>
      <c r="U119" s="1">
        <f>$J119+SUMPRODUCT(regions!CM118:CU118,regions!CM$204:CU$204)</f>
        <v>-11.510143224588679</v>
      </c>
      <c r="V119" s="1">
        <f>$J119+SUMPRODUCT(regions!DH118:DM118,regions!DH$204:DM$204)</f>
        <v>-7.9006280890877889</v>
      </c>
      <c r="W119" s="1">
        <f>$J119+SUMPRODUCT(regions!DP118:DW118,regions!DP$204:DW$204)</f>
        <v>-11.68469339033838</v>
      </c>
      <c r="X119" s="1">
        <f>$J119+SUMPRODUCT(regions!AB118:AE118,regions!AB$204:AE$204)</f>
        <v>-4.8505425095906869</v>
      </c>
      <c r="Y119" s="1">
        <f>$J119+SUMPRODUCT(regions!BX118:CJ118,regions!BX$204:CJ$204)</f>
        <v>-6.2594094662104975</v>
      </c>
      <c r="Z119" s="1">
        <f>$J119+SUMPRODUCT(regions!CX118:DF118,regions!CX$204:DF$204)</f>
        <v>-4.6101432245886809</v>
      </c>
      <c r="AA119" s="1">
        <f t="shared" si="73"/>
        <v>-8.1601853506012461</v>
      </c>
      <c r="AB119" s="1">
        <f t="shared" si="74"/>
        <v>-9.7202457022858333</v>
      </c>
      <c r="AC119" s="1">
        <f>$J119+SUMPRODUCT(regions!DZ118:EG118,regions!DZ$204:EG$204)</f>
        <v>-6.1796933903383806</v>
      </c>
      <c r="AD119" s="1">
        <f t="shared" si="79"/>
        <v>-10.557186149840744</v>
      </c>
      <c r="AE119" s="1">
        <f t="shared" si="79"/>
        <v>-12.067186149840744</v>
      </c>
      <c r="AF119" s="1">
        <f t="shared" si="75"/>
        <v>-38.188128384946111</v>
      </c>
      <c r="AG119" s="1">
        <f>$J119+SUMPRODUCT(regions!AX118:BK118,regions!AX$204:BK$204)</f>
        <v>-4.6086437289580804</v>
      </c>
      <c r="AH119" s="1">
        <f>$J119+SUMPRODUCT(regions!AG118:AV118,regions!AG$204:AV$204)</f>
        <v>-12.36290205383901</v>
      </c>
      <c r="AI119" s="1">
        <f t="shared" si="80"/>
        <v>-11.567186149840744</v>
      </c>
      <c r="AJ119" s="1">
        <f>SartoriRoson!C116</f>
        <v>-2.02</v>
      </c>
      <c r="AK119" s="1">
        <f>Kompas!E116</f>
        <v>-5.1710000000000003</v>
      </c>
      <c r="AL119" s="1">
        <f>$J119+SUMPRODUCT(regions!EY118:FW118,regions!EY$204:FW$204)</f>
        <v>-5.965225404731255</v>
      </c>
      <c r="AM119" s="1">
        <f>$J119+SUMPRODUCT(regions!FZ118:GF118,regions!FZ$204:GF$204)</f>
        <v>-6.442573378493119</v>
      </c>
      <c r="AN119" s="1">
        <f t="shared" si="50"/>
        <v>-18.767186149840743</v>
      </c>
      <c r="AO119" s="1">
        <f t="shared" si="50"/>
        <v>-18.067186149840744</v>
      </c>
      <c r="AP119" s="1">
        <f t="shared" si="50"/>
        <v>-13.267186149840743</v>
      </c>
      <c r="AQ119" s="1">
        <f t="shared" si="49"/>
        <v>-4.4376588388503091</v>
      </c>
      <c r="AR119" s="1">
        <f t="shared" si="49"/>
        <v>-14.567186149840744</v>
      </c>
      <c r="AS119" s="1">
        <f t="shared" si="49"/>
        <v>-11.867186149840744</v>
      </c>
      <c r="AT119" s="1">
        <f t="shared" si="49"/>
        <v>-9.8605194831740768</v>
      </c>
      <c r="AU119" s="1">
        <f t="shared" si="53"/>
        <v>-14.787186149840743</v>
      </c>
      <c r="AV119" s="1">
        <f t="shared" si="53"/>
        <v>-13.367186149840744</v>
      </c>
      <c r="AW119" s="1">
        <f>$J119+SUMPRODUCT(regions!BN118:BU118,regions!BN$204:BU$204)</f>
        <v>-9.3487913621599681</v>
      </c>
      <c r="AX119" s="1">
        <f t="shared" si="53"/>
        <v>-11.047186149840744</v>
      </c>
      <c r="AY119" s="1">
        <f t="shared" si="53"/>
        <v>-10.267186149840743</v>
      </c>
      <c r="AZ119" s="1">
        <f t="shared" si="71"/>
        <v>-10.267186149840743</v>
      </c>
      <c r="BF119" s="1"/>
      <c r="BG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</row>
    <row r="120" spans="1:90" x14ac:dyDescent="0.35">
      <c r="A120" t="s">
        <v>391</v>
      </c>
      <c r="B120" s="19">
        <f>regions!B119</f>
        <v>3609420</v>
      </c>
      <c r="C120" s="19">
        <f>regions!C119</f>
        <v>2814034804.5275235</v>
      </c>
      <c r="D120" s="8">
        <f>regions!D119</f>
        <v>779.63628630847154</v>
      </c>
      <c r="E120" s="8">
        <f>regions!E119</f>
        <v>0</v>
      </c>
      <c r="F120" s="8">
        <f>regions!F119</f>
        <v>20.293266043943419</v>
      </c>
      <c r="G120" s="1">
        <f>regions!Z119</f>
        <v>27.6</v>
      </c>
      <c r="J120" s="1">
        <f t="shared" si="72"/>
        <v>1.8758361637486711</v>
      </c>
      <c r="K120" s="1">
        <f t="shared" si="77"/>
        <v>-13.076910124276086</v>
      </c>
      <c r="L120" s="1">
        <f t="shared" si="59"/>
        <v>-12.775649795120403</v>
      </c>
      <c r="M120" s="1">
        <f t="shared" si="60"/>
        <v>8.601131078377545</v>
      </c>
      <c r="N120" s="1">
        <f t="shared" si="81"/>
        <v>-12.575641706964007</v>
      </c>
      <c r="O120" s="1">
        <f t="shared" si="81"/>
        <v>-14.979212633841385</v>
      </c>
      <c r="P120" s="1">
        <f t="shared" si="81"/>
        <v>-12.979212633841385</v>
      </c>
      <c r="Q120" s="1">
        <f t="shared" si="81"/>
        <v>-13.309212633841385</v>
      </c>
      <c r="R120" s="1">
        <f t="shared" si="81"/>
        <v>-15.579212633841385</v>
      </c>
      <c r="S120" s="1">
        <f>$J120+SUMPRODUCT(regions!EI119:EN119,regions!EI$204:EN$204)</f>
        <v>-8.3852111385445962</v>
      </c>
      <c r="T120" s="1">
        <f>$J120+SUMPRODUCT(regions!EQ119:EV119,regions!EQ$204:EV$204)</f>
        <v>-7.8842232055598664</v>
      </c>
      <c r="U120" s="1">
        <f>$J120+SUMPRODUCT(regions!CM119:CU119,regions!CM$204:CU$204)</f>
        <v>-12.579794328870072</v>
      </c>
      <c r="V120" s="1">
        <f>$J120+SUMPRODUCT(regions!DH119:DM119,regions!DH$204:DM$204)</f>
        <v>-10.31265457308843</v>
      </c>
      <c r="W120" s="1">
        <f>$J120+SUMPRODUCT(regions!DP119:DW119,regions!DP$204:DW$204)</f>
        <v>-12.152211822478931</v>
      </c>
      <c r="X120" s="1">
        <f>$J120+SUMPRODUCT(regions!AB119:AE119,regions!AB$204:AE$204)</f>
        <v>-1.6406811844667706</v>
      </c>
      <c r="Y120" s="1">
        <f>$J120+SUMPRODUCT(regions!BX119:CJ119,regions!BX$204:CJ$204)</f>
        <v>-5.0761706241931925</v>
      </c>
      <c r="Z120" s="1">
        <f>$J120+SUMPRODUCT(regions!CX119:DF119,regions!CX$204:DF$204)</f>
        <v>-7.9797943288700726</v>
      </c>
      <c r="AA120" s="1">
        <f t="shared" si="73"/>
        <v>-10.572211834601887</v>
      </c>
      <c r="AB120" s="1">
        <f t="shared" si="74"/>
        <v>-12.132272186286475</v>
      </c>
      <c r="AC120" s="1">
        <f>$J120+SUMPRODUCT(regions!DZ119:EG119,regions!DZ$204:EG$204)</f>
        <v>-8.5531118224789306</v>
      </c>
      <c r="AD120" s="1">
        <f t="shared" si="79"/>
        <v>-12.969212633841385</v>
      </c>
      <c r="AE120" s="1">
        <f t="shared" si="79"/>
        <v>-14.479212633841385</v>
      </c>
      <c r="AF120" s="1">
        <f t="shared" si="75"/>
        <v>-40.60015486894676</v>
      </c>
      <c r="AG120" s="1">
        <f>$J120+SUMPRODUCT(regions!AX119:BK119,regions!AX$204:BK$204)</f>
        <v>-4.9142531772338565</v>
      </c>
      <c r="AH120" s="1">
        <f>$J120+SUMPRODUCT(regions!AG119:AV119,regions!AG$204:AV$204)</f>
        <v>-11.814253177233857</v>
      </c>
      <c r="AI120" s="1">
        <f t="shared" si="80"/>
        <v>-13.979212633841385</v>
      </c>
      <c r="AJ120" s="1">
        <f>SartoriRoson!C117</f>
        <v>-6.07</v>
      </c>
      <c r="AK120" s="1">
        <f>Kompas!E117</f>
        <v>-15.566000000000001</v>
      </c>
      <c r="AL120" s="1">
        <f>$J120+SUMPRODUCT(regions!EY119:FW119,regions!EY$204:FW$204)</f>
        <v>-5.4033784429492879</v>
      </c>
      <c r="AM120" s="1">
        <f>$J120+SUMPRODUCT(regions!FZ119:GF119,regions!FZ$204:GF$204)</f>
        <v>-2.2758425149717869</v>
      </c>
      <c r="AN120" s="1">
        <f t="shared" si="50"/>
        <v>-21.179212633841384</v>
      </c>
      <c r="AO120" s="1">
        <f t="shared" si="50"/>
        <v>-20.479212633841385</v>
      </c>
      <c r="AP120" s="1">
        <f t="shared" si="50"/>
        <v>-15.679212633841384</v>
      </c>
      <c r="AQ120" s="1">
        <f t="shared" si="49"/>
        <v>-6.8496853228509513</v>
      </c>
      <c r="AR120" s="1">
        <f t="shared" si="49"/>
        <v>-16.979212633841385</v>
      </c>
      <c r="AS120" s="1">
        <f t="shared" si="49"/>
        <v>-14.279212633841386</v>
      </c>
      <c r="AT120" s="1">
        <f t="shared" si="49"/>
        <v>-12.272545967174718</v>
      </c>
      <c r="AU120" s="1">
        <f t="shared" si="53"/>
        <v>-17.199212633841384</v>
      </c>
      <c r="AV120" s="1">
        <f t="shared" si="53"/>
        <v>-15.779212633841386</v>
      </c>
      <c r="AW120" s="1">
        <f>$J120+SUMPRODUCT(regions!BN119:BU119,regions!BN$204:BU$204)</f>
        <v>-10.028952446467228</v>
      </c>
      <c r="AX120" s="1">
        <f t="shared" si="53"/>
        <v>-13.459212633841386</v>
      </c>
      <c r="AY120" s="1">
        <f t="shared" si="53"/>
        <v>-12.679212633841384</v>
      </c>
      <c r="AZ120" s="1">
        <f t="shared" si="71"/>
        <v>-12.679212633841384</v>
      </c>
      <c r="BF120" s="1"/>
      <c r="BG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</row>
    <row r="121" spans="1:90" x14ac:dyDescent="0.35">
      <c r="A121" t="s">
        <v>166</v>
      </c>
      <c r="B121" s="19">
        <f>regions!B120</f>
        <v>1280924</v>
      </c>
      <c r="C121" s="19">
        <f>regions!C120</f>
        <v>7826157631.8455935</v>
      </c>
      <c r="D121" s="8">
        <f>regions!D120</f>
        <v>6109.775155938677</v>
      </c>
      <c r="E121" s="8">
        <f>regions!E120</f>
        <v>18.016713372321462</v>
      </c>
      <c r="F121" s="8">
        <f>regions!F120</f>
        <v>3.6417421912799517</v>
      </c>
      <c r="G121" s="1">
        <f>regions!Z120</f>
        <v>22.4</v>
      </c>
      <c r="J121" s="1">
        <f t="shared" si="72"/>
        <v>7.5636958729238817</v>
      </c>
      <c r="K121" s="1">
        <f t="shared" si="77"/>
        <v>-7.3890504151008756</v>
      </c>
      <c r="L121" s="1">
        <f t="shared" si="59"/>
        <v>-7.6241393027759372</v>
      </c>
      <c r="M121" s="1">
        <f t="shared" si="60"/>
        <v>7.0755145613129597</v>
      </c>
      <c r="N121" s="1">
        <f t="shared" si="81"/>
        <v>-6.887781997788796</v>
      </c>
      <c r="O121" s="1">
        <f t="shared" si="81"/>
        <v>-9.2913529246661746</v>
      </c>
      <c r="P121" s="1">
        <f t="shared" si="81"/>
        <v>-7.2913529246661746</v>
      </c>
      <c r="Q121" s="1">
        <f t="shared" si="81"/>
        <v>-7.6213529246661746</v>
      </c>
      <c r="R121" s="1">
        <f t="shared" si="81"/>
        <v>-9.8913529246661742</v>
      </c>
      <c r="S121" s="1">
        <f>$J121+SUMPRODUCT(regions!EI120:EN120,regions!EI$204:EN$204)</f>
        <v>-2.6973514293693857</v>
      </c>
      <c r="T121" s="1">
        <f>$J121+SUMPRODUCT(regions!EQ120:EV120,regions!EQ$204:EV$204)</f>
        <v>-2.1963634963846559</v>
      </c>
      <c r="U121" s="1">
        <f>$J121+SUMPRODUCT(regions!CM120:CU120,regions!CM$204:CU$204)</f>
        <v>-6.8919346196948617</v>
      </c>
      <c r="V121" s="1">
        <f>$J121+SUMPRODUCT(regions!DH120:DM120,regions!DH$204:DM$204)</f>
        <v>-4.6247948639132197</v>
      </c>
      <c r="W121" s="1">
        <f>$J121+SUMPRODUCT(regions!DP120:DW120,regions!DP$204:DW$204)</f>
        <v>-6.4643521133037201</v>
      </c>
      <c r="X121" s="1">
        <f>$J121+SUMPRODUCT(regions!AB120:AE120,regions!AB$204:AE$204)</f>
        <v>-2.3899429130554157</v>
      </c>
      <c r="Y121" s="1">
        <f>$J121+SUMPRODUCT(regions!BX120:CJ120,regions!BX$204:CJ$204)</f>
        <v>-2.9835762410359283</v>
      </c>
      <c r="Z121" s="1">
        <f>$J121+SUMPRODUCT(regions!CX120:DF120,regions!CX$204:DF$204)</f>
        <v>-2.291934619694862</v>
      </c>
      <c r="AA121" s="1">
        <f t="shared" si="73"/>
        <v>-4.7</v>
      </c>
      <c r="AB121" s="1">
        <f t="shared" si="74"/>
        <v>-6.4444124771112632</v>
      </c>
      <c r="AC121" s="1">
        <f>$J121+SUMPRODUCT(regions!DZ120:EG120,regions!DZ$204:EG$204)</f>
        <v>-2.8652521133037201</v>
      </c>
      <c r="AD121" s="1">
        <f t="shared" si="79"/>
        <v>-7.2813529246661748</v>
      </c>
      <c r="AE121" s="1">
        <f t="shared" si="79"/>
        <v>-8.7913529246661746</v>
      </c>
      <c r="AF121" s="1">
        <f t="shared" si="75"/>
        <v>-34.912295159771546</v>
      </c>
      <c r="AG121" s="1">
        <f>$J121+SUMPRODUCT(regions!AX120:BK120,regions!AX$204:BK$204)</f>
        <v>0.77360653194135409</v>
      </c>
      <c r="AH121" s="1">
        <f>$J121+SUMPRODUCT(regions!AG120:AV120,regions!AG$204:AV$204)</f>
        <v>-6.1263934680586463</v>
      </c>
      <c r="AI121" s="1">
        <f t="shared" si="80"/>
        <v>-8.2913529246661746</v>
      </c>
      <c r="AJ121" s="1">
        <f>SartoriRoson!C118</f>
        <v>-12.14</v>
      </c>
      <c r="AK121" s="1">
        <f>Kompas!E118</f>
        <v>-7.4580000000000002</v>
      </c>
      <c r="AL121" s="1">
        <f>$J121+SUMPRODUCT(regions!EY120:FW120,regions!EY$204:FW$204)</f>
        <v>0.28448126622592262</v>
      </c>
      <c r="AM121" s="1">
        <f>$J121+SUMPRODUCT(regions!FZ120:GF120,regions!FZ$204:GF$204)</f>
        <v>3.4120171942034236</v>
      </c>
      <c r="AN121" s="1">
        <f t="shared" si="50"/>
        <v>-15.491352924666174</v>
      </c>
      <c r="AO121" s="1">
        <f t="shared" si="50"/>
        <v>-14.791352924666175</v>
      </c>
      <c r="AP121" s="1">
        <f t="shared" si="50"/>
        <v>-9.9913529246661739</v>
      </c>
      <c r="AQ121" s="1">
        <f t="shared" si="49"/>
        <v>-1.1618256136757399</v>
      </c>
      <c r="AR121" s="1">
        <f t="shared" si="49"/>
        <v>-11.291352924666175</v>
      </c>
      <c r="AS121" s="1">
        <f t="shared" si="49"/>
        <v>-8.5913529246661753</v>
      </c>
      <c r="AT121" s="1">
        <f t="shared" si="49"/>
        <v>-6.5846862579995076</v>
      </c>
      <c r="AU121" s="1">
        <f t="shared" si="53"/>
        <v>-11.511352924666173</v>
      </c>
      <c r="AV121" s="1">
        <f t="shared" si="53"/>
        <v>-10.091352924666175</v>
      </c>
      <c r="AW121" s="1">
        <f>$J121+SUMPRODUCT(regions!BN120:BU120,regions!BN$204:BU$204)</f>
        <v>-6.0729581369853989</v>
      </c>
      <c r="AX121" s="1">
        <f t="shared" si="53"/>
        <v>-7.771352924666175</v>
      </c>
      <c r="AY121" s="1">
        <f t="shared" si="53"/>
        <v>-6.9913529246661748</v>
      </c>
      <c r="AZ121" s="1">
        <f t="shared" si="71"/>
        <v>-6.9913529246661748</v>
      </c>
      <c r="BB121" t="str">
        <f>Maddison!A51</f>
        <v>Mauritius</v>
      </c>
      <c r="BC121">
        <f>-Maddison!B51</f>
        <v>-4.7</v>
      </c>
      <c r="BD121" s="1">
        <f>K121-BC121</f>
        <v>-2.6890504151008754</v>
      </c>
      <c r="BF121" s="1"/>
      <c r="BG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</row>
    <row r="122" spans="1:90" x14ac:dyDescent="0.35">
      <c r="A122" t="s">
        <v>167</v>
      </c>
      <c r="B122" s="19">
        <f>regions!B121</f>
        <v>117886404</v>
      </c>
      <c r="C122" s="19">
        <f>regions!C121</f>
        <v>953067840505.29358</v>
      </c>
      <c r="D122" s="8">
        <f>regions!D121</f>
        <v>8084.6290001796442</v>
      </c>
      <c r="E122" s="8">
        <f>regions!E121</f>
        <v>10.110913441912643</v>
      </c>
      <c r="F122" s="8">
        <f>regions!F121</f>
        <v>3.2191545173385432</v>
      </c>
      <c r="G122" s="1">
        <f>regions!Z121</f>
        <v>21</v>
      </c>
      <c r="J122" s="1">
        <f t="shared" si="72"/>
        <v>8.5950534682090112</v>
      </c>
      <c r="K122" s="1">
        <f t="shared" si="77"/>
        <v>-6.3576928198157461</v>
      </c>
      <c r="L122" s="1">
        <f t="shared" si="59"/>
        <v>-6.5835866438310688</v>
      </c>
      <c r="M122" s="1">
        <f t="shared" si="60"/>
        <v>6.9678648439018467</v>
      </c>
      <c r="N122" s="1">
        <f t="shared" si="81"/>
        <v>-5.8564244025036665</v>
      </c>
      <c r="O122" s="1">
        <f t="shared" si="81"/>
        <v>-8.2599953293810451</v>
      </c>
      <c r="P122" s="1">
        <f t="shared" si="81"/>
        <v>-6.2599953293810451</v>
      </c>
      <c r="Q122" s="1">
        <f t="shared" si="81"/>
        <v>-6.5899953293810452</v>
      </c>
      <c r="R122" s="1">
        <f t="shared" si="81"/>
        <v>-8.8599953293810447</v>
      </c>
      <c r="S122" s="1">
        <f>$J122+SUMPRODUCT(regions!EI121:EN121,regions!EI$204:EN$204)</f>
        <v>-1.6659938340842562</v>
      </c>
      <c r="T122" s="1">
        <f>$J122+SUMPRODUCT(regions!EQ121:EV121,regions!EQ$204:EV$204)</f>
        <v>-1.1650059010995264</v>
      </c>
      <c r="U122" s="1">
        <f>$J122+SUMPRODUCT(regions!CM121:CU121,regions!CM$204:CU$204)</f>
        <v>-3.4998840096408674</v>
      </c>
      <c r="V122" s="1">
        <f>$J122+SUMPRODUCT(regions!DH121:DM121,regions!DH$204:DM$204)</f>
        <v>-3.5934372686280902</v>
      </c>
      <c r="W122" s="1">
        <f>$J122+SUMPRODUCT(regions!DP121:DW121,regions!DP$204:DW$204)</f>
        <v>-3.4898840096408659</v>
      </c>
      <c r="X122" s="1">
        <f>$J122+SUMPRODUCT(regions!AB121:AE121,regions!AB$204:AE$204)</f>
        <v>-1.3585853177702862</v>
      </c>
      <c r="Y122" s="1">
        <f>$J122+SUMPRODUCT(regions!BX121:CJ121,regions!BX$204:CJ$204)</f>
        <v>-1.9522186457507988</v>
      </c>
      <c r="Z122" s="1">
        <f>$J122+SUMPRODUCT(regions!CX121:DF121,regions!CX$204:DF$204)</f>
        <v>0.70011599035913363</v>
      </c>
      <c r="AA122" s="1">
        <f t="shared" si="73"/>
        <v>-11.8</v>
      </c>
      <c r="AB122" s="1">
        <f t="shared" si="74"/>
        <v>-3.5114783868708366</v>
      </c>
      <c r="AC122" s="1">
        <f>$J122+SUMPRODUCT(regions!DZ121:EG121,regions!DZ$204:EG$204)</f>
        <v>-1.4507840096408664</v>
      </c>
      <c r="AD122" s="1">
        <f t="shared" si="79"/>
        <v>-6.2499953293810453</v>
      </c>
      <c r="AE122" s="1">
        <f t="shared" si="79"/>
        <v>-7.7599953293810451</v>
      </c>
      <c r="AF122" s="1">
        <f t="shared" si="75"/>
        <v>-35.6</v>
      </c>
      <c r="AG122" s="1">
        <f>$J122+SUMPRODUCT(regions!AX121:BK121,regions!AX$204:BK$204)</f>
        <v>0.11090232488708551</v>
      </c>
      <c r="AH122" s="1">
        <f>$J122+SUMPRODUCT(regions!AG121:AV121,regions!AG$204:AV$204)</f>
        <v>-3.1735459439546201</v>
      </c>
      <c r="AI122" s="1">
        <f t="shared" si="80"/>
        <v>-7.2599953293810451</v>
      </c>
      <c r="AJ122" s="1">
        <f>SartoriRoson!C119</f>
        <v>-1.1499999999999999</v>
      </c>
      <c r="AK122" s="1">
        <f>Kompas!E119</f>
        <v>-2.2770000000000001</v>
      </c>
      <c r="AL122" s="1">
        <f>$J122+SUMPRODUCT(regions!EY121:FW121,regions!EY$204:FW$204)</f>
        <v>-1.9756672851841302</v>
      </c>
      <c r="AM122" s="1">
        <f>$J122+SUMPRODUCT(regions!FZ121:GF121,regions!FZ$204:GF$204)</f>
        <v>-6.6728534271387847</v>
      </c>
      <c r="AN122" s="1">
        <f t="shared" si="50"/>
        <v>-14.459995329381044</v>
      </c>
      <c r="AO122" s="1">
        <f t="shared" si="50"/>
        <v>-13.759995329381045</v>
      </c>
      <c r="AP122" s="1">
        <f t="shared" si="50"/>
        <v>-8.9599953293810444</v>
      </c>
      <c r="AQ122" s="1">
        <f t="shared" si="49"/>
        <v>-0.1304680183906104</v>
      </c>
      <c r="AR122" s="1">
        <f t="shared" si="49"/>
        <v>-10.259995329381045</v>
      </c>
      <c r="AS122" s="1">
        <f t="shared" si="49"/>
        <v>-7.5599953293810449</v>
      </c>
      <c r="AT122" s="1">
        <f t="shared" si="49"/>
        <v>-5.5533286627143781</v>
      </c>
      <c r="AU122" s="1">
        <f t="shared" si="53"/>
        <v>-10.479995329381044</v>
      </c>
      <c r="AV122" s="1">
        <f t="shared" si="53"/>
        <v>-9.0599953293810458</v>
      </c>
      <c r="AW122" s="1">
        <f>$J122+SUMPRODUCT(regions!BN121:BU121,regions!BN$204:BU$204)</f>
        <v>-3.3097351420068879</v>
      </c>
      <c r="AX122" s="1">
        <f t="shared" si="53"/>
        <v>-6.7399953293810455</v>
      </c>
      <c r="AY122" s="1">
        <f t="shared" si="53"/>
        <v>-5.9599953293810453</v>
      </c>
      <c r="AZ122" s="1">
        <f t="shared" si="71"/>
        <v>-5.9599953293810453</v>
      </c>
      <c r="BB122" t="str">
        <f>Maddison!A52</f>
        <v>Mexico</v>
      </c>
      <c r="BC122">
        <f>-Maddison!B52</f>
        <v>-11.8</v>
      </c>
      <c r="BD122" s="1">
        <f>K122-BC122</f>
        <v>5.4423071801842546</v>
      </c>
      <c r="BE122" t="str">
        <f>RehdanzMaddison!P42</f>
        <v>Mexico</v>
      </c>
      <c r="BF122" s="1">
        <f>-100*RehdanzMaddison!U42</f>
        <v>-2.0542686621279671</v>
      </c>
      <c r="BG122" s="1">
        <f>-100*RehdanzMaddison!V42</f>
        <v>-3.5114783868708366</v>
      </c>
      <c r="BH122" s="1">
        <f>$K122-BF122</f>
        <v>-4.303424157687779</v>
      </c>
      <c r="BI122" s="1">
        <f>$K122-BG122</f>
        <v>-2.8462144329449095</v>
      </c>
      <c r="BJ122" t="str">
        <f>MaddisonRehdanz!A50</f>
        <v>Mexico</v>
      </c>
      <c r="BK122">
        <f>MaddisonRehdanz!D50</f>
        <v>-35.6</v>
      </c>
      <c r="BL122" s="1">
        <f>$K122-BK122</f>
        <v>29.242307180184255</v>
      </c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</row>
    <row r="123" spans="1:90" x14ac:dyDescent="0.35">
      <c r="A123" t="s">
        <v>392</v>
      </c>
      <c r="B123" s="19">
        <f>regions!B122</f>
        <v>103619</v>
      </c>
      <c r="C123" s="19">
        <f>regions!C122</f>
        <v>246418335.62772667</v>
      </c>
      <c r="D123" s="8">
        <f>regions!D122</f>
        <v>2378.1192216459017</v>
      </c>
      <c r="E123" s="8">
        <f>regions!E122</f>
        <v>4.6677190782708928</v>
      </c>
      <c r="F123" s="8">
        <f>regions!F122</f>
        <v>24.780948976064334</v>
      </c>
      <c r="G123" s="1">
        <f>regions!Z122</f>
        <v>27.6</v>
      </c>
      <c r="J123" s="1">
        <f t="shared" si="72"/>
        <v>3.9092468315471649</v>
      </c>
      <c r="K123" s="1">
        <f t="shared" si="77"/>
        <v>-11.043499456477592</v>
      </c>
      <c r="L123" s="1">
        <f t="shared" si="59"/>
        <v>-11.192455279199521</v>
      </c>
      <c r="M123" s="1">
        <f t="shared" si="60"/>
        <v>7.7444931310607714</v>
      </c>
      <c r="N123" s="1">
        <f t="shared" si="81"/>
        <v>-10.542231039165513</v>
      </c>
      <c r="O123" s="1">
        <f t="shared" si="81"/>
        <v>-12.945801966042891</v>
      </c>
      <c r="P123" s="1">
        <f t="shared" si="81"/>
        <v>-10.945801966042891</v>
      </c>
      <c r="Q123" s="1">
        <f t="shared" si="81"/>
        <v>-11.275801966042891</v>
      </c>
      <c r="R123" s="1">
        <f t="shared" si="81"/>
        <v>-13.545801966042891</v>
      </c>
      <c r="S123" s="1">
        <f>$J123+SUMPRODUCT(regions!EI122:EN122,regions!EI$204:EN$204)</f>
        <v>-6.3518004707461024</v>
      </c>
      <c r="T123" s="1">
        <f>$J123+SUMPRODUCT(regions!EQ122:EV122,regions!EQ$204:EV$204)</f>
        <v>-5.8508125377613727</v>
      </c>
      <c r="U123" s="1">
        <f>$J123+SUMPRODUCT(regions!CM122:CU122,regions!CM$204:CU$204)</f>
        <v>-11.888759040790827</v>
      </c>
      <c r="V123" s="1">
        <f>$J123+SUMPRODUCT(regions!DH122:DM122,regions!DH$204:DM$204)</f>
        <v>-8.2792439052899365</v>
      </c>
      <c r="W123" s="1">
        <f>$J123+SUMPRODUCT(regions!DP122:DW122,regions!DP$204:DW$204)</f>
        <v>-12.063309206540527</v>
      </c>
      <c r="X123" s="1">
        <f>$J123+SUMPRODUCT(regions!AB122:AE122,regions!AB$204:AE$204)</f>
        <v>-5.2291583257928345</v>
      </c>
      <c r="Y123" s="1">
        <f>$J123+SUMPRODUCT(regions!BX122:CJ122,regions!BX$204:CJ$204)</f>
        <v>-6.6380252824126451</v>
      </c>
      <c r="Z123" s="1">
        <f>$J123+SUMPRODUCT(regions!CX122:DF122,regions!CX$204:DF$204)</f>
        <v>-4.9887590407908284</v>
      </c>
      <c r="AA123" s="1">
        <f t="shared" si="73"/>
        <v>-8.5388011668033936</v>
      </c>
      <c r="AB123" s="1">
        <f t="shared" si="74"/>
        <v>-10.098861518487981</v>
      </c>
      <c r="AC123" s="1">
        <f>$J123+SUMPRODUCT(regions!DZ122:EG122,regions!DZ$204:EG$204)</f>
        <v>-6.5583092065405282</v>
      </c>
      <c r="AD123" s="1">
        <f t="shared" si="79"/>
        <v>-10.935801966042892</v>
      </c>
      <c r="AE123" s="1">
        <f t="shared" si="79"/>
        <v>-12.445801966042891</v>
      </c>
      <c r="AF123" s="1">
        <f t="shared" si="75"/>
        <v>-38.566744201148261</v>
      </c>
      <c r="AG123" s="1">
        <f>$J123+SUMPRODUCT(regions!AX122:BK122,regions!AX$204:BK$204)</f>
        <v>-4.987259545160228</v>
      </c>
      <c r="AH123" s="1">
        <f>$J123+SUMPRODUCT(regions!AG122:AV122,regions!AG$204:AV$204)</f>
        <v>-12.741517870041157</v>
      </c>
      <c r="AI123" s="1">
        <f t="shared" si="80"/>
        <v>-11.945801966042891</v>
      </c>
      <c r="AJ123" s="1">
        <f>SartoriRoson!C120</f>
        <v>-2.02</v>
      </c>
      <c r="AK123" s="1">
        <f>Kompas!E120</f>
        <v>-5.1710000000000003</v>
      </c>
      <c r="AL123" s="1">
        <f>$J123+SUMPRODUCT(regions!EY122:FW122,regions!EY$204:FW$204)</f>
        <v>-6.3438412209334025</v>
      </c>
      <c r="AM123" s="1">
        <f>$J123+SUMPRODUCT(regions!FZ122:GF122,regions!FZ$204:GF$204)</f>
        <v>-6.8211891946952665</v>
      </c>
      <c r="AN123" s="1">
        <f t="shared" si="50"/>
        <v>-19.145801966042889</v>
      </c>
      <c r="AO123" s="1">
        <f t="shared" si="50"/>
        <v>-18.445801966042893</v>
      </c>
      <c r="AP123" s="1">
        <f t="shared" si="50"/>
        <v>-13.645801966042892</v>
      </c>
      <c r="AQ123" s="1">
        <f t="shared" si="49"/>
        <v>-4.8162746550524584</v>
      </c>
      <c r="AR123" s="1">
        <f t="shared" si="49"/>
        <v>-14.945801966042891</v>
      </c>
      <c r="AS123" s="1">
        <f t="shared" si="49"/>
        <v>-12.24580196604289</v>
      </c>
      <c r="AT123" s="1">
        <f t="shared" si="49"/>
        <v>-10.239135299376224</v>
      </c>
      <c r="AU123" s="1">
        <f t="shared" si="53"/>
        <v>-15.165801966042892</v>
      </c>
      <c r="AV123" s="1">
        <f t="shared" si="53"/>
        <v>-13.74580196604289</v>
      </c>
      <c r="AW123" s="1">
        <f>$J123+SUMPRODUCT(regions!BN122:BU122,regions!BN$204:BU$204)</f>
        <v>-9.7274071783621157</v>
      </c>
      <c r="AX123" s="1">
        <f t="shared" si="53"/>
        <v>-11.425801966042892</v>
      </c>
      <c r="AY123" s="1">
        <f t="shared" si="53"/>
        <v>-10.645801966042892</v>
      </c>
      <c r="AZ123" s="1">
        <f t="shared" si="71"/>
        <v>-10.645801966042892</v>
      </c>
      <c r="BF123" s="1"/>
      <c r="BG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</row>
    <row r="124" spans="1:90" x14ac:dyDescent="0.35">
      <c r="A124" t="s">
        <v>229</v>
      </c>
      <c r="B124" s="19">
        <f>regions!B123</f>
        <v>3562062</v>
      </c>
      <c r="C124" s="19">
        <f>regions!C123</f>
        <v>3501430331.6016059</v>
      </c>
      <c r="D124" s="8">
        <f>regions!D123</f>
        <v>982.97849155955339</v>
      </c>
      <c r="E124" s="8">
        <f>regions!E123</f>
        <v>18.195470200279964</v>
      </c>
      <c r="F124" s="8">
        <f>regions!F123</f>
        <v>12.043371933528601</v>
      </c>
      <c r="G124" s="1">
        <f>regions!Z123</f>
        <v>9.4</v>
      </c>
      <c r="J124" s="1">
        <f t="shared" si="72"/>
        <v>9.0674782526066284</v>
      </c>
      <c r="K124" s="1">
        <f t="shared" si="77"/>
        <v>-5.8852680354181288</v>
      </c>
      <c r="L124" s="1">
        <f t="shared" si="59"/>
        <v>-5.8605871074452942</v>
      </c>
      <c r="M124" s="1">
        <f t="shared" si="60"/>
        <v>5.7012182596017862</v>
      </c>
      <c r="N124" s="1">
        <f t="shared" si="81"/>
        <v>-5.3839996181060492</v>
      </c>
      <c r="O124" s="1">
        <f t="shared" si="81"/>
        <v>-7.7875705449834278</v>
      </c>
      <c r="P124" s="1">
        <f t="shared" si="81"/>
        <v>-5.7875705449834278</v>
      </c>
      <c r="Q124" s="1">
        <f t="shared" si="81"/>
        <v>-6.1175705449834279</v>
      </c>
      <c r="R124" s="1">
        <f t="shared" si="81"/>
        <v>-8.3875705449834275</v>
      </c>
      <c r="S124" s="1">
        <f>$J124+SUMPRODUCT(regions!EI123:EN123,regions!EI$204:EN$204)</f>
        <v>-7.8011732323957705</v>
      </c>
      <c r="T124" s="1">
        <f>$J124+SUMPRODUCT(regions!EQ123:EV123,regions!EQ$204:EV$204)</f>
        <v>-7.901173232395772</v>
      </c>
      <c r="U124" s="1">
        <f>$J124+SUMPRODUCT(regions!CM123:CU123,regions!CM$204:CU$204)</f>
        <v>-5.5885285766294608</v>
      </c>
      <c r="V124" s="1">
        <f>$J124+SUMPRODUCT(regions!DH123:DM123,regions!DH$204:DM$204)</f>
        <v>-7.9581732323957706</v>
      </c>
      <c r="W124" s="1">
        <f>$J124+SUMPRODUCT(regions!DP123:DW123,regions!DP$204:DW$204)</f>
        <v>-5.8885285766294615</v>
      </c>
      <c r="X124" s="1">
        <f>$J124+SUMPRODUCT(regions!AB123:AE123,regions!AB$204:AE$204)</f>
        <v>5.5509609043911867</v>
      </c>
      <c r="Y124" s="1">
        <f>$J124+SUMPRODUCT(regions!BX123:CJ123,regions!BX$204:CJ$204)</f>
        <v>-5.0253804268860716</v>
      </c>
      <c r="Z124" s="1">
        <f>$J124+SUMPRODUCT(regions!CX123:DF123,regions!CX$204:DF$204)</f>
        <v>-3.8885285766294615</v>
      </c>
      <c r="AA124" s="1">
        <f t="shared" si="73"/>
        <v>-3.3805697457439305</v>
      </c>
      <c r="AB124" s="1">
        <f t="shared" si="74"/>
        <v>-10.440716748254729</v>
      </c>
      <c r="AC124" s="1">
        <f>$J124+SUMPRODUCT(regions!DZ123:EG123,regions!DZ$204:EG$204)</f>
        <v>-5.4580285766294612</v>
      </c>
      <c r="AD124" s="1">
        <f t="shared" si="79"/>
        <v>-5.777570544983428</v>
      </c>
      <c r="AE124" s="1">
        <f t="shared" si="79"/>
        <v>-7.2875705449834278</v>
      </c>
      <c r="AF124" s="1">
        <f t="shared" si="75"/>
        <v>16.2</v>
      </c>
      <c r="AG124" s="1">
        <f>$J124+SUMPRODUCT(regions!AX123:BK123,regions!AX$204:BK$204)</f>
        <v>-6.3011732323957705</v>
      </c>
      <c r="AH124" s="1">
        <f>$J124+SUMPRODUCT(regions!AG123:AV123,regions!AG$204:AV$204)</f>
        <v>-5.3373305117160239</v>
      </c>
      <c r="AI124" s="1">
        <f t="shared" si="80"/>
        <v>-6.7875705449834278</v>
      </c>
      <c r="AJ124" s="1">
        <f>SartoriRoson!C121</f>
        <v>-0.02</v>
      </c>
      <c r="AK124" s="1">
        <f>Kompas!E121</f>
        <v>0.37</v>
      </c>
      <c r="AL124" s="1">
        <f>$J124+SUMPRODUCT(regions!EY123:FW123,regions!EY$204:FW$204)</f>
        <v>-3.3988009698757455</v>
      </c>
      <c r="AM124" s="1">
        <f>$J124+SUMPRODUCT(regions!FZ123:GF123,regions!FZ$204:GF$204)</f>
        <v>-5.8250708101761202</v>
      </c>
      <c r="AN124" s="1">
        <f t="shared" si="50"/>
        <v>-13.987570544983427</v>
      </c>
      <c r="AO124" s="1">
        <f t="shared" si="50"/>
        <v>-13.287570544983428</v>
      </c>
      <c r="AP124" s="1">
        <f t="shared" si="50"/>
        <v>-8.4875705449834271</v>
      </c>
      <c r="AQ124" s="1">
        <f t="shared" si="49"/>
        <v>0.34195676600700686</v>
      </c>
      <c r="AR124" s="1">
        <f t="shared" si="49"/>
        <v>-9.7875705449834278</v>
      </c>
      <c r="AS124" s="1">
        <f t="shared" si="49"/>
        <v>-7.0875705449834276</v>
      </c>
      <c r="AT124" s="1">
        <f t="shared" si="49"/>
        <v>-5.0809038783167608</v>
      </c>
      <c r="AU124" s="1">
        <f t="shared" si="53"/>
        <v>-10.007570544983427</v>
      </c>
      <c r="AV124" s="1">
        <f t="shared" si="53"/>
        <v>-8.5875705449834285</v>
      </c>
      <c r="AW124" s="1">
        <f>$J124+SUMPRODUCT(regions!BN123:BU123,regions!BN$204:BU$204)</f>
        <v>-5.9943530907093656</v>
      </c>
      <c r="AX124" s="1">
        <f t="shared" si="53"/>
        <v>-6.2675705449834282</v>
      </c>
      <c r="AY124" s="1">
        <f t="shared" si="53"/>
        <v>-5.4875705449834271</v>
      </c>
      <c r="AZ124" s="1">
        <f t="shared" si="71"/>
        <v>-5.4875705449834271</v>
      </c>
      <c r="BE124" t="str">
        <f>RehdanzMaddison!P43</f>
        <v>Moldova</v>
      </c>
      <c r="BF124" s="1">
        <f>-100*RehdanzMaddison!U43</f>
        <v>-6.6145903047015748</v>
      </c>
      <c r="BG124" s="1">
        <f>-100*RehdanzMaddison!V43</f>
        <v>-10.440716748254729</v>
      </c>
      <c r="BH124" s="1">
        <f>$K124-BF124</f>
        <v>0.72932226928344601</v>
      </c>
      <c r="BI124" s="1">
        <f>$K124-BG124</f>
        <v>4.5554487128366006</v>
      </c>
      <c r="BJ124" t="str">
        <f>MaddisonRehdanz!A51</f>
        <v>Moldova</v>
      </c>
      <c r="BK124">
        <f>MaddisonRehdanz!D51</f>
        <v>16.2</v>
      </c>
      <c r="BL124" s="1">
        <f>$K124-BK124</f>
        <v>-22.085268035418128</v>
      </c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</row>
    <row r="125" spans="1:90" x14ac:dyDescent="0.35">
      <c r="A125" t="s">
        <v>606</v>
      </c>
      <c r="B125" s="19">
        <f>regions!B124</f>
        <v>36845</v>
      </c>
      <c r="C125" s="19">
        <f>regions!C124</f>
        <v>5903610988.456316</v>
      </c>
      <c r="D125" s="8">
        <f>regions!D124</f>
        <v>160228.280321789</v>
      </c>
      <c r="E125" s="8">
        <f>regions!E124</f>
        <v>0</v>
      </c>
      <c r="F125" s="8">
        <f>regions!F124</f>
        <v>0</v>
      </c>
      <c r="G125" s="1">
        <f>regions!Z124</f>
        <v>16.2</v>
      </c>
      <c r="J125" s="1">
        <f t="shared" si="72"/>
        <v>15.825829551705404</v>
      </c>
      <c r="K125" s="1">
        <f>J125+J$4</f>
        <v>0.87308326368064648</v>
      </c>
      <c r="L125" s="1">
        <f t="shared" si="59"/>
        <v>-1.0272083975725579</v>
      </c>
      <c r="M125" s="1">
        <f t="shared" si="60"/>
        <v>5.3887933302267212</v>
      </c>
      <c r="N125" s="1">
        <f t="shared" ref="N125:R125" si="82">$J125+N$3-$J$3</f>
        <v>1.3743516809927261</v>
      </c>
      <c r="O125" s="1">
        <f t="shared" si="82"/>
        <v>-1.0292192458846525</v>
      </c>
      <c r="P125" s="1">
        <f t="shared" si="82"/>
        <v>0.97078075411534748</v>
      </c>
      <c r="Q125" s="1">
        <f t="shared" si="82"/>
        <v>0.64078075411534741</v>
      </c>
      <c r="R125" s="1">
        <f t="shared" si="82"/>
        <v>-1.6292192458846522</v>
      </c>
      <c r="S125" s="1">
        <f>$J125+SUMPRODUCT(regions!EI124:EN124,regions!EI$204:EN$204)</f>
        <v>-0.95618685848774376</v>
      </c>
      <c r="T125" s="1">
        <f>$J125+SUMPRODUCT(regions!EQ124:EV124,regions!EQ$204:EV$204)</f>
        <v>-1.1561868584877431</v>
      </c>
      <c r="U125" s="1">
        <f>$J125+SUMPRODUCT(regions!CM124:CU124,regions!CM$204:CU$204)</f>
        <v>-0.97083553152947388</v>
      </c>
      <c r="V125" s="1">
        <f>$J125+SUMPRODUCT(regions!DH124:DM124,regions!DH$204:DM$204)</f>
        <v>-0.73259983212210145</v>
      </c>
      <c r="W125" s="1">
        <f>$J125+SUMPRODUCT(regions!DP124:DW124,regions!DP$204:DW$204)</f>
        <v>-0.85618685848774234</v>
      </c>
      <c r="X125" s="1">
        <f>$J125+SUMPRODUCT(regions!AB124:AE124,regions!AB$204:AE$204)</f>
        <v>0.4821268101032814</v>
      </c>
      <c r="Y125" s="1">
        <f>$J125+SUMPRODUCT(regions!BX124:CJ124,regions!BX$204:CJ$204)</f>
        <v>-2.5616066453626694</v>
      </c>
      <c r="Z125" s="1">
        <f>$J125+SUMPRODUCT(regions!CX124:DF124,regions!CX$204:DF$204)</f>
        <v>4.0291644684705261</v>
      </c>
      <c r="AA125" s="1">
        <f t="shared" si="73"/>
        <v>3.3777815533548448</v>
      </c>
      <c r="AB125" s="1">
        <f t="shared" si="74"/>
        <v>1.8177212016702586</v>
      </c>
      <c r="AC125" s="1">
        <f>$J125+SUMPRODUCT(regions!DZ124:EG124,regions!DZ$204:EG$204)</f>
        <v>-0.78618685848774206</v>
      </c>
      <c r="AD125" s="1">
        <f>$J125+AD$3-$J$3</f>
        <v>0.98078075411534726</v>
      </c>
      <c r="AE125" s="1">
        <f>$J125+AE$3-$J$3</f>
        <v>-0.52921924588465252</v>
      </c>
      <c r="AF125" s="1">
        <f t="shared" si="75"/>
        <v>-26.650161480990022</v>
      </c>
      <c r="AG125" s="1">
        <f>$J125+SUMPRODUCT(regions!AX124:BK124,regions!AX$204:BK$204)</f>
        <v>1.6230431629046294</v>
      </c>
      <c r="AH125" s="1">
        <f>$J125+SUMPRODUCT(regions!AG124:AV124,regions!AG$204:AV$204)</f>
        <v>1.676963747564594</v>
      </c>
      <c r="AI125" s="1">
        <f>$J125+AI$3-$J$3</f>
        <v>-2.9219245884652523E-2</v>
      </c>
      <c r="AJ125" s="1">
        <f>SartoriRoson!C122</f>
        <v>0.01</v>
      </c>
      <c r="AK125" s="1">
        <f>Kompas!E122</f>
        <v>-0.20499999999999999</v>
      </c>
      <c r="AL125" s="1">
        <f>$J125+SUMPRODUCT(regions!EY124:FW124,regions!EY$204:FW$204)</f>
        <v>3.3595503292230298</v>
      </c>
      <c r="AM125" s="1">
        <f>$J125+SUMPRODUCT(regions!FZ124:GF124,regions!FZ$204:GF$204)</f>
        <v>1.5575991768574156</v>
      </c>
      <c r="AN125" s="1">
        <f t="shared" si="50"/>
        <v>-7.2292192458846518</v>
      </c>
      <c r="AO125" s="1">
        <f t="shared" si="50"/>
        <v>-6.5292192458846525</v>
      </c>
      <c r="AP125" s="1">
        <f t="shared" si="50"/>
        <v>-1.7292192458846518</v>
      </c>
      <c r="AQ125" s="1">
        <f t="shared" si="49"/>
        <v>7.1003080651057804</v>
      </c>
      <c r="AR125" s="1">
        <f t="shared" si="49"/>
        <v>-3.0292192458846525</v>
      </c>
      <c r="AS125" s="1">
        <f t="shared" si="49"/>
        <v>-0.32921924588465323</v>
      </c>
      <c r="AT125" s="1">
        <f t="shared" si="49"/>
        <v>1.6774474207820145</v>
      </c>
      <c r="AU125" s="1">
        <f t="shared" si="53"/>
        <v>-3.2492192458846514</v>
      </c>
      <c r="AV125" s="1">
        <f t="shared" si="53"/>
        <v>-1.8292192458846532</v>
      </c>
      <c r="AW125" s="1">
        <f>$J125+SUMPRODUCT(regions!BN124:BU124,regions!BN$204:BU$204)</f>
        <v>2.1891755417961232</v>
      </c>
      <c r="AX125" s="1">
        <f t="shared" si="53"/>
        <v>0.49078075411534705</v>
      </c>
      <c r="AY125" s="1">
        <f t="shared" si="53"/>
        <v>1.2707807541153482</v>
      </c>
      <c r="AZ125" s="1">
        <f t="shared" si="71"/>
        <v>1.2707807541153482</v>
      </c>
      <c r="BF125" s="1"/>
      <c r="BG125" s="1"/>
      <c r="BH125" s="1"/>
      <c r="BI125" s="1"/>
      <c r="BL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</row>
    <row r="126" spans="1:90" x14ac:dyDescent="0.35">
      <c r="A126" t="s">
        <v>393</v>
      </c>
      <c r="B126" s="19">
        <f>regions!B125</f>
        <v>2712738</v>
      </c>
      <c r="C126" s="19">
        <f>regions!C125</f>
        <v>3453733409.7557302</v>
      </c>
      <c r="D126" s="8">
        <f>regions!D125</f>
        <v>1273.1540641800757</v>
      </c>
      <c r="E126" s="8">
        <f>regions!E125</f>
        <v>19.593119250577384</v>
      </c>
      <c r="F126" s="8">
        <f>regions!F125</f>
        <v>11.732563198012945</v>
      </c>
      <c r="G126" s="1">
        <f>regions!Z125</f>
        <v>-0.7</v>
      </c>
      <c r="J126" s="1">
        <f t="shared" si="72"/>
        <v>13.295567035751477</v>
      </c>
      <c r="K126" s="1">
        <f t="shared" ref="K126:K158" si="83">J126+J$4</f>
        <v>-1.6571792522732807</v>
      </c>
      <c r="L126" s="1">
        <f t="shared" si="59"/>
        <v>-2.1353518339373707</v>
      </c>
      <c r="M126" s="1">
        <f t="shared" si="60"/>
        <v>6.3162592766563996</v>
      </c>
      <c r="N126" s="1">
        <f t="shared" ref="N126:R135" si="84">$J126+N$3-$J$3</f>
        <v>-1.1559108349612011</v>
      </c>
      <c r="O126" s="1">
        <f t="shared" si="84"/>
        <v>-3.5594817618385797</v>
      </c>
      <c r="P126" s="1">
        <f t="shared" si="84"/>
        <v>-1.5594817618385797</v>
      </c>
      <c r="Q126" s="1">
        <f t="shared" si="84"/>
        <v>-1.8894817618385797</v>
      </c>
      <c r="R126" s="1">
        <f t="shared" si="84"/>
        <v>-4.1594817618385793</v>
      </c>
      <c r="S126" s="1">
        <f>$J126+SUMPRODUCT(regions!EI125:EN125,regions!EI$204:EN$204)</f>
        <v>3.0345197334582092</v>
      </c>
      <c r="T126" s="1">
        <f>$J126+SUMPRODUCT(regions!EQ125:EV125,regions!EQ$204:EV$204)</f>
        <v>3.535507666442939</v>
      </c>
      <c r="U126" s="1">
        <f>$J126+SUMPRODUCT(regions!CM125:CU125,regions!CM$204:CU$204)</f>
        <v>-3.7687704090289085</v>
      </c>
      <c r="V126" s="1">
        <f>$J126+SUMPRODUCT(regions!DH125:DM125,regions!DH$204:DM$204)</f>
        <v>1.1070762989143752</v>
      </c>
      <c r="W126" s="1">
        <f>$J126+SUMPRODUCT(regions!DP125:DW125,regions!DP$204:DW$204)</f>
        <v>-3.8565988056574394</v>
      </c>
      <c r="X126" s="1">
        <f>$J126+SUMPRODUCT(regions!AB125:AE125,regions!AB$204:AE$204)</f>
        <v>4.1571618784114772</v>
      </c>
      <c r="Y126" s="1">
        <f>$J126+SUMPRODUCT(regions!BX125:CJ125,regions!BX$204:CJ$204)</f>
        <v>5.991025830879126</v>
      </c>
      <c r="Z126" s="1">
        <f>$J126+SUMPRODUCT(regions!CX125:DF125,regions!CX$204:DF$204)</f>
        <v>3.5312295909710905</v>
      </c>
      <c r="AA126" s="1">
        <f t="shared" si="73"/>
        <v>0.84751903740091761</v>
      </c>
      <c r="AB126" s="1">
        <f t="shared" si="74"/>
        <v>-0.71254131428366851</v>
      </c>
      <c r="AC126" s="1">
        <f>$J126+SUMPRODUCT(regions!DZ125:EG125,regions!DZ$204:EG$204)</f>
        <v>1.0974011943425612</v>
      </c>
      <c r="AD126" s="1">
        <f t="shared" ref="AD126:AE145" si="85">$J126+AD$3-$J$3</f>
        <v>-1.5494817618385799</v>
      </c>
      <c r="AE126" s="1">
        <f t="shared" si="85"/>
        <v>-3.0594817618385797</v>
      </c>
      <c r="AF126" s="1">
        <f t="shared" si="75"/>
        <v>-29.180423996943951</v>
      </c>
      <c r="AG126" s="1">
        <f>$J126+SUMPRODUCT(regions!AX125:BK125,regions!AX$204:BK$204)</f>
        <v>4.3990606590440837</v>
      </c>
      <c r="AH126" s="1">
        <f>$J126+SUMPRODUCT(regions!AG125:AV125,regions!AG$204:AV$204)</f>
        <v>-4.6584256469613745</v>
      </c>
      <c r="AI126" s="1">
        <f t="shared" ref="AI126:AI158" si="86">$J126+AI$3-$J$3</f>
        <v>-2.5594817618385797</v>
      </c>
      <c r="AJ126" s="1">
        <f>SartoriRoson!C123</f>
        <v>1.06</v>
      </c>
      <c r="AK126" s="1">
        <f>Kompas!E123</f>
        <v>-2.71</v>
      </c>
      <c r="AL126" s="1">
        <f>$J126+SUMPRODUCT(regions!EY125:FW125,regions!EY$204:FW$204)</f>
        <v>3.0424789832709092</v>
      </c>
      <c r="AM126" s="1">
        <f>$J126+SUMPRODUCT(regions!FZ125:GF125,regions!FZ$204:GF$204)</f>
        <v>4.3288322430443582</v>
      </c>
      <c r="AN126" s="1">
        <f t="shared" si="50"/>
        <v>-9.759481761838579</v>
      </c>
      <c r="AO126" s="1">
        <f t="shared" si="50"/>
        <v>-9.0594817618385797</v>
      </c>
      <c r="AP126" s="1">
        <f t="shared" si="50"/>
        <v>-4.2594817618385807</v>
      </c>
      <c r="AQ126" s="1">
        <f t="shared" si="49"/>
        <v>4.570045549151855</v>
      </c>
      <c r="AR126" s="1">
        <f t="shared" si="49"/>
        <v>-5.5594817618385797</v>
      </c>
      <c r="AS126" s="1">
        <f t="shared" si="49"/>
        <v>-2.8594817618385786</v>
      </c>
      <c r="AT126" s="1">
        <f t="shared" si="49"/>
        <v>-0.85281509517191267</v>
      </c>
      <c r="AU126" s="1">
        <f t="shared" si="53"/>
        <v>-5.7794817618385803</v>
      </c>
      <c r="AV126" s="1">
        <f t="shared" si="53"/>
        <v>-4.3594817618385786</v>
      </c>
      <c r="AW126" s="1">
        <f>$J126+SUMPRODUCT(regions!BN125:BU125,regions!BN$204:BU$204)</f>
        <v>1.3907784255355775</v>
      </c>
      <c r="AX126" s="1">
        <f t="shared" si="53"/>
        <v>-2.0394817618385801</v>
      </c>
      <c r="AY126" s="1">
        <f t="shared" si="53"/>
        <v>-1.259481761838579</v>
      </c>
      <c r="AZ126" s="1">
        <f t="shared" si="71"/>
        <v>-1.259481761838579</v>
      </c>
      <c r="BF126" s="1"/>
      <c r="BG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</row>
    <row r="127" spans="1:90" x14ac:dyDescent="0.35">
      <c r="A127" t="s">
        <v>230</v>
      </c>
      <c r="B127" s="19">
        <f>regions!B126</f>
        <v>620078</v>
      </c>
      <c r="C127" s="19">
        <f>regions!C126</f>
        <v>2803866144.4280138</v>
      </c>
      <c r="D127" s="8">
        <f>regions!D126</f>
        <v>4521.7958779831151</v>
      </c>
      <c r="E127" s="8">
        <f>regions!E126</f>
        <v>0</v>
      </c>
      <c r="F127" s="8">
        <f>regions!F126</f>
        <v>7.6780828712133085</v>
      </c>
      <c r="G127" s="1">
        <f>regions!Z126</f>
        <v>9.9</v>
      </c>
      <c r="J127" s="1">
        <f t="shared" si="72"/>
        <v>11.664008291499368</v>
      </c>
      <c r="K127" s="1">
        <f t="shared" si="83"/>
        <v>-3.2887379965253896</v>
      </c>
      <c r="L127" s="1">
        <f t="shared" si="59"/>
        <v>-4.3784834901796863</v>
      </c>
      <c r="M127" s="1">
        <f t="shared" si="60"/>
        <v>5.9870268361898011</v>
      </c>
      <c r="N127" s="1">
        <f t="shared" si="84"/>
        <v>-2.78746957921331</v>
      </c>
      <c r="O127" s="1">
        <f t="shared" si="84"/>
        <v>-5.1910405060906886</v>
      </c>
      <c r="P127" s="1">
        <f t="shared" si="84"/>
        <v>-3.1910405060906886</v>
      </c>
      <c r="Q127" s="1">
        <f t="shared" si="84"/>
        <v>-3.5210405060906886</v>
      </c>
      <c r="R127" s="1">
        <f t="shared" si="84"/>
        <v>-5.7910405060906882</v>
      </c>
      <c r="S127" s="1">
        <f>$J127+SUMPRODUCT(regions!EI126:EN126,regions!EI$204:EN$204)</f>
        <v>1.4029609892061004</v>
      </c>
      <c r="T127" s="1">
        <f>$J127+SUMPRODUCT(regions!EQ126:EV126,regions!EQ$204:EV$204)</f>
        <v>1.9039489221908301</v>
      </c>
      <c r="U127" s="1">
        <f>$J127+SUMPRODUCT(regions!CM126:CU126,regions!CM$204:CU$204)</f>
        <v>-2.9919985377367215</v>
      </c>
      <c r="V127" s="1">
        <f>$J127+SUMPRODUCT(regions!DH126:DM126,regions!DH$204:DM$204)</f>
        <v>-0.52448244533773369</v>
      </c>
      <c r="W127" s="1">
        <f>$J127+SUMPRODUCT(regions!DP126:DW126,regions!DP$204:DW$204)</f>
        <v>-3.2919985377367222</v>
      </c>
      <c r="X127" s="1">
        <f>$J127+SUMPRODUCT(regions!AB126:AE126,regions!AB$204:AE$204)</f>
        <v>1.7103695055200703</v>
      </c>
      <c r="Y127" s="1">
        <f>$J127+SUMPRODUCT(regions!BX126:CJ126,regions!BX$204:CJ$204)</f>
        <v>-2.4288503879933323</v>
      </c>
      <c r="Z127" s="1">
        <f>$J127+SUMPRODUCT(regions!CX126:DF126,regions!CX$204:DF$204)</f>
        <v>-1.2919985377367222</v>
      </c>
      <c r="AA127" s="1">
        <f t="shared" si="73"/>
        <v>-0.78403970685119129</v>
      </c>
      <c r="AB127" s="1">
        <f t="shared" si="74"/>
        <v>-10.404273273163366</v>
      </c>
      <c r="AC127" s="1">
        <f>$J127+SUMPRODUCT(regions!DZ126:EG126,regions!DZ$204:EG$204)</f>
        <v>-2.8614985377367219</v>
      </c>
      <c r="AD127" s="1">
        <f t="shared" si="85"/>
        <v>-3.1810405060906888</v>
      </c>
      <c r="AE127" s="1">
        <f t="shared" si="85"/>
        <v>-4.6910405060906886</v>
      </c>
      <c r="AF127" s="1">
        <f t="shared" si="75"/>
        <v>-30.811982741196061</v>
      </c>
      <c r="AG127" s="1">
        <f>$J127+SUMPRODUCT(regions!AX126:BK126,regions!AX$204:BK$204)</f>
        <v>-2.1011685120247314</v>
      </c>
      <c r="AH127" s="1">
        <f>$J127+SUMPRODUCT(regions!AG126:AV126,regions!AG$204:AV$204)</f>
        <v>-2.7408004728232847</v>
      </c>
      <c r="AI127" s="1">
        <f t="shared" si="86"/>
        <v>-4.1910405060906886</v>
      </c>
      <c r="AJ127" s="1">
        <f>SartoriRoson!C124</f>
        <v>0.01</v>
      </c>
      <c r="AK127" s="1">
        <f>Kompas!E124</f>
        <v>-0.20499999999999999</v>
      </c>
      <c r="AL127" s="1">
        <f>$J127+SUMPRODUCT(regions!EY126:FW126,regions!EY$204:FW$204)</f>
        <v>-0.80227093098300628</v>
      </c>
      <c r="AM127" s="1">
        <f>$J127+SUMPRODUCT(regions!FZ126:GF126,regions!FZ$204:GF$204)</f>
        <v>-2.6042220833486205</v>
      </c>
      <c r="AN127" s="1">
        <f t="shared" si="50"/>
        <v>-11.391040506090688</v>
      </c>
      <c r="AO127" s="1">
        <f t="shared" si="50"/>
        <v>-10.691040506090689</v>
      </c>
      <c r="AP127" s="1">
        <f t="shared" si="50"/>
        <v>-5.8910405060906887</v>
      </c>
      <c r="AQ127" s="1">
        <f t="shared" si="49"/>
        <v>2.9384868048997443</v>
      </c>
      <c r="AR127" s="1">
        <f t="shared" si="49"/>
        <v>-7.1910405060906886</v>
      </c>
      <c r="AS127" s="1">
        <f t="shared" si="49"/>
        <v>-4.4910405060906893</v>
      </c>
      <c r="AT127" s="1">
        <f t="shared" si="49"/>
        <v>-2.4843738394240216</v>
      </c>
      <c r="AU127" s="1">
        <f t="shared" si="53"/>
        <v>-7.4110405060906883</v>
      </c>
      <c r="AV127" s="1">
        <f t="shared" si="53"/>
        <v>-5.9910405060906884</v>
      </c>
      <c r="AW127" s="1">
        <f>$J127+SUMPRODUCT(regions!BN126:BU126,regions!BN$204:BU$204)</f>
        <v>-3.3978230518166264</v>
      </c>
      <c r="AX127" s="1">
        <f t="shared" si="53"/>
        <v>-3.671040506090689</v>
      </c>
      <c r="AY127" s="1">
        <f t="shared" si="53"/>
        <v>-2.8910405060906879</v>
      </c>
      <c r="AZ127" s="1">
        <f t="shared" si="71"/>
        <v>-2.8910405060906879</v>
      </c>
      <c r="BE127" t="str">
        <f>RehdanzMaddison!P44</f>
        <v>Montenegro</v>
      </c>
      <c r="BF127" s="1">
        <f>-100*RehdanzMaddison!U44</f>
        <v>-6.0248186196656377</v>
      </c>
      <c r="BG127" s="1">
        <f>-100*RehdanzMaddison!V44</f>
        <v>-10.404273273163366</v>
      </c>
      <c r="BH127" s="1">
        <f>$K127-BF127</f>
        <v>2.7360806231402481</v>
      </c>
      <c r="BI127" s="1">
        <f>$K127-BG127</f>
        <v>7.115535276637976</v>
      </c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</row>
    <row r="128" spans="1:90" x14ac:dyDescent="0.35">
      <c r="A128" t="s">
        <v>168</v>
      </c>
      <c r="B128" s="19">
        <f>regions!B127</f>
        <v>31642360</v>
      </c>
      <c r="C128" s="19">
        <f>regions!C127</f>
        <v>75523499823.662308</v>
      </c>
      <c r="D128" s="8">
        <f>regions!D127</f>
        <v>2386.7846716762692</v>
      </c>
      <c r="E128" s="8">
        <f>regions!E127</f>
        <v>22.819233381250896</v>
      </c>
      <c r="F128" s="8">
        <f>regions!F127</f>
        <v>12.943524541691309</v>
      </c>
      <c r="G128" s="1">
        <f>regions!Z127</f>
        <v>17.100000000000001</v>
      </c>
      <c r="J128" s="1">
        <f t="shared" si="72"/>
        <v>7.8211141351371491</v>
      </c>
      <c r="K128" s="1">
        <f t="shared" si="83"/>
        <v>-7.1316321528876081</v>
      </c>
      <c r="L128" s="1">
        <f t="shared" si="59"/>
        <v>-7.3224324744999461</v>
      </c>
      <c r="M128" s="1">
        <f t="shared" si="60"/>
        <v>6.7612499484367259</v>
      </c>
      <c r="N128" s="1">
        <f t="shared" si="84"/>
        <v>-6.6303637355755285</v>
      </c>
      <c r="O128" s="1">
        <f t="shared" si="84"/>
        <v>-9.0339346624529071</v>
      </c>
      <c r="P128" s="1">
        <f t="shared" si="84"/>
        <v>-7.0339346624529071</v>
      </c>
      <c r="Q128" s="1">
        <f t="shared" si="84"/>
        <v>-7.3639346624529072</v>
      </c>
      <c r="R128" s="1">
        <f t="shared" si="84"/>
        <v>-9.6339346624529067</v>
      </c>
      <c r="S128" s="1">
        <f>$J128+SUMPRODUCT(regions!EI127:EN127,regions!EI$204:EN$204)</f>
        <v>-2.4399331671561182</v>
      </c>
      <c r="T128" s="1">
        <f>$J128+SUMPRODUCT(regions!EQ127:EV127,regions!EQ$204:EV$204)</f>
        <v>-1.9389452341713884</v>
      </c>
      <c r="U128" s="1">
        <f>$J128+SUMPRODUCT(regions!CM127:CU127,regions!CM$204:CU$204)</f>
        <v>-6.6345163574815942</v>
      </c>
      <c r="V128" s="1">
        <f>$J128+SUMPRODUCT(regions!DH127:DM127,regions!DH$204:DM$204)</f>
        <v>-4.3673766016999522</v>
      </c>
      <c r="W128" s="1">
        <f>$J128+SUMPRODUCT(regions!DP127:DW127,regions!DP$204:DW$204)</f>
        <v>-6.2069338510904526</v>
      </c>
      <c r="X128" s="1">
        <f>$J128+SUMPRODUCT(regions!AB127:AE127,regions!AB$204:AE$204)</f>
        <v>-1.3172910222028502</v>
      </c>
      <c r="Y128" s="1">
        <f>$J128+SUMPRODUCT(regions!BX127:CJ127,regions!BX$204:CJ$204)</f>
        <v>-2.7261579788226609</v>
      </c>
      <c r="Z128" s="1">
        <f>$J128+SUMPRODUCT(regions!CX127:DF127,regions!CX$204:DF$204)</f>
        <v>-2.0345163574815945</v>
      </c>
      <c r="AA128" s="1">
        <f t="shared" si="73"/>
        <v>-6</v>
      </c>
      <c r="AB128" s="1">
        <f t="shared" si="74"/>
        <v>-6.1869942148979957</v>
      </c>
      <c r="AC128" s="1">
        <f>$J128+SUMPRODUCT(regions!DZ127:EG127,regions!DZ$204:EG$204)</f>
        <v>-2.6078338510904526</v>
      </c>
      <c r="AD128" s="1">
        <f t="shared" si="85"/>
        <v>-7.0239346624529073</v>
      </c>
      <c r="AE128" s="1">
        <f t="shared" si="85"/>
        <v>-8.5339346624529071</v>
      </c>
      <c r="AF128" s="1">
        <f t="shared" si="75"/>
        <v>-33.299999999999997</v>
      </c>
      <c r="AG128" s="1">
        <f>$J128+SUMPRODUCT(regions!AX127:BK127,regions!AX$204:BK$204)</f>
        <v>-1.9629032609582104</v>
      </c>
      <c r="AH128" s="1">
        <f>$J128+SUMPRODUCT(regions!AG127:AV127,regions!AG$204:AV$204)</f>
        <v>-11.744853383990675</v>
      </c>
      <c r="AI128" s="1">
        <f t="shared" si="86"/>
        <v>-8.0339346624529071</v>
      </c>
      <c r="AJ128" s="1">
        <f>SartoriRoson!C125</f>
        <v>-3.72</v>
      </c>
      <c r="AK128" s="1">
        <f>Kompas!E125</f>
        <v>-2.4359999999999999</v>
      </c>
      <c r="AL128" s="1">
        <f>$J128+SUMPRODUCT(regions!EY127:FW127,regions!EY$204:FW$204)</f>
        <v>-2.4008959014142217</v>
      </c>
      <c r="AM128" s="1">
        <f>$J128+SUMPRODUCT(regions!FZ127:GF127,regions!FZ$204:GF$204)</f>
        <v>3.6694354564166911</v>
      </c>
      <c r="AN128" s="1">
        <f t="shared" si="50"/>
        <v>-15.233934662452906</v>
      </c>
      <c r="AO128" s="1">
        <f t="shared" si="50"/>
        <v>-14.533934662452907</v>
      </c>
      <c r="AP128" s="1">
        <f t="shared" si="50"/>
        <v>-9.7339346624529064</v>
      </c>
      <c r="AQ128" s="1">
        <f t="shared" si="49"/>
        <v>-0.90440735146247242</v>
      </c>
      <c r="AR128" s="1">
        <f t="shared" si="49"/>
        <v>-11.033934662452907</v>
      </c>
      <c r="AS128" s="1">
        <f t="shared" si="49"/>
        <v>-8.3339346624529078</v>
      </c>
      <c r="AT128" s="1">
        <f t="shared" si="49"/>
        <v>-6.3272679957862401</v>
      </c>
      <c r="AU128" s="1">
        <f t="shared" si="53"/>
        <v>-11.253934662452906</v>
      </c>
      <c r="AV128" s="1">
        <f t="shared" si="53"/>
        <v>-9.8339346624529078</v>
      </c>
      <c r="AW128" s="1">
        <f>$J128+SUMPRODUCT(regions!BN127:BU127,regions!BN$204:BU$204)</f>
        <v>-5.8155398747721314</v>
      </c>
      <c r="AX128" s="1">
        <f t="shared" si="53"/>
        <v>-7.5139346624529075</v>
      </c>
      <c r="AY128" s="1">
        <f t="shared" si="53"/>
        <v>-6.7339346624529073</v>
      </c>
      <c r="AZ128" s="1">
        <f t="shared" si="71"/>
        <v>-6.7339346624529073</v>
      </c>
      <c r="BB128" t="str">
        <f>Maddison!A53</f>
        <v>Morocco</v>
      </c>
      <c r="BC128">
        <f>-Maddison!B53</f>
        <v>-6</v>
      </c>
      <c r="BD128" s="1">
        <f>K128-BC128</f>
        <v>-1.1316321528876081</v>
      </c>
      <c r="BF128" s="1"/>
      <c r="BG128" s="1"/>
      <c r="BJ128" t="str">
        <f>MaddisonRehdanz!A52</f>
        <v>Morocco</v>
      </c>
      <c r="BK128">
        <f>MaddisonRehdanz!D52</f>
        <v>-33.299999999999997</v>
      </c>
      <c r="BL128" s="1">
        <f>$K128-BK128</f>
        <v>26.168367847112389</v>
      </c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</row>
    <row r="129" spans="1:90" x14ac:dyDescent="0.35">
      <c r="A129" t="s">
        <v>394</v>
      </c>
      <c r="B129" s="19">
        <f>regions!B128</f>
        <v>23967265</v>
      </c>
      <c r="C129" s="19">
        <f>regions!C128</f>
        <v>9127794918.9110737</v>
      </c>
      <c r="D129" s="8">
        <f>regions!D128</f>
        <v>380.84424396822391</v>
      </c>
      <c r="E129" s="8">
        <f>regions!E128</f>
        <v>16.123513597250682</v>
      </c>
      <c r="F129" s="8">
        <f>regions!F128</f>
        <v>27.343902359168094</v>
      </c>
      <c r="G129" s="1">
        <f>regions!Z128</f>
        <v>23.8</v>
      </c>
      <c r="J129" s="1">
        <f t="shared" si="72"/>
        <v>1.9828813229812035</v>
      </c>
      <c r="K129" s="1">
        <f t="shared" si="83"/>
        <v>-12.969864965043554</v>
      </c>
      <c r="L129" s="1">
        <f t="shared" si="59"/>
        <v>-12.593424013276552</v>
      </c>
      <c r="M129" s="1">
        <f t="shared" si="60"/>
        <v>8.5069465032829683</v>
      </c>
      <c r="N129" s="1">
        <f t="shared" si="84"/>
        <v>-12.468596547731474</v>
      </c>
      <c r="O129" s="1">
        <f t="shared" si="84"/>
        <v>-14.872167474608853</v>
      </c>
      <c r="P129" s="1">
        <f t="shared" si="84"/>
        <v>-12.872167474608853</v>
      </c>
      <c r="Q129" s="1">
        <f t="shared" si="84"/>
        <v>-13.202167474608853</v>
      </c>
      <c r="R129" s="1">
        <f t="shared" si="84"/>
        <v>-15.472167474608852</v>
      </c>
      <c r="S129" s="1">
        <f>$J129+SUMPRODUCT(regions!EI128:EN128,regions!EI$204:EN$204)</f>
        <v>-8.2781659793120639</v>
      </c>
      <c r="T129" s="1">
        <f>$J129+SUMPRODUCT(regions!EQ128:EV128,regions!EQ$204:EV$204)</f>
        <v>-7.7771780463273341</v>
      </c>
      <c r="U129" s="1">
        <f>$J129+SUMPRODUCT(regions!CM128:CU128,regions!CM$204:CU$204)</f>
        <v>-12.47274916963754</v>
      </c>
      <c r="V129" s="1">
        <f>$J129+SUMPRODUCT(regions!DH128:DM128,regions!DH$204:DM$204)</f>
        <v>-10.205609413855898</v>
      </c>
      <c r="W129" s="1">
        <f>$J129+SUMPRODUCT(regions!DP128:DW128,regions!DP$204:DW$204)</f>
        <v>-12.045166663246398</v>
      </c>
      <c r="X129" s="1">
        <f>$J129+SUMPRODUCT(regions!AB128:AE128,regions!AB$204:AE$204)</f>
        <v>-1.5336360252342383</v>
      </c>
      <c r="Y129" s="1">
        <f>$J129+SUMPRODUCT(regions!BX128:CJ128,regions!BX$204:CJ$204)</f>
        <v>-4.9691254649606602</v>
      </c>
      <c r="Z129" s="1">
        <f>$J129+SUMPRODUCT(regions!CX128:DF128,regions!CX$204:DF$204)</f>
        <v>-7.8727491696375402</v>
      </c>
      <c r="AA129" s="1">
        <f t="shared" si="73"/>
        <v>-10.465166675369355</v>
      </c>
      <c r="AB129" s="1">
        <f t="shared" si="74"/>
        <v>-12.025227027053942</v>
      </c>
      <c r="AC129" s="1">
        <f>$J129+SUMPRODUCT(regions!DZ128:EG128,regions!DZ$204:EG$204)</f>
        <v>-8.4460666632463983</v>
      </c>
      <c r="AD129" s="1">
        <f t="shared" si="85"/>
        <v>-12.862167474608853</v>
      </c>
      <c r="AE129" s="1">
        <f t="shared" si="85"/>
        <v>-14.372167474608853</v>
      </c>
      <c r="AF129" s="1">
        <f t="shared" si="75"/>
        <v>-40.493109709714226</v>
      </c>
      <c r="AG129" s="1">
        <f>$J129+SUMPRODUCT(regions!AX128:BK128,regions!AX$204:BK$204)</f>
        <v>-4.8072080180013241</v>
      </c>
      <c r="AH129" s="1">
        <f>$J129+SUMPRODUCT(regions!AG128:AV128,regions!AG$204:AV$204)</f>
        <v>-11.707208018001324</v>
      </c>
      <c r="AI129" s="1">
        <f t="shared" si="86"/>
        <v>-13.872167474608853</v>
      </c>
      <c r="AJ129" s="1">
        <f>SartoriRoson!C126</f>
        <v>-7.88</v>
      </c>
      <c r="AK129" s="1">
        <f>Kompas!E126</f>
        <v>-8.8780000000000001</v>
      </c>
      <c r="AL129" s="1">
        <f>$J129+SUMPRODUCT(regions!EY128:FW128,regions!EY$204:FW$204)</f>
        <v>-5.2963332837167556</v>
      </c>
      <c r="AM129" s="1">
        <f>$J129+SUMPRODUCT(regions!FZ128:GF128,regions!FZ$204:GF$204)</f>
        <v>-2.1687973557392546</v>
      </c>
      <c r="AN129" s="1">
        <f t="shared" si="50"/>
        <v>-21.072167474608854</v>
      </c>
      <c r="AO129" s="1">
        <f t="shared" si="50"/>
        <v>-20.372167474608851</v>
      </c>
      <c r="AP129" s="1">
        <f t="shared" si="50"/>
        <v>-15.572167474608854</v>
      </c>
      <c r="AQ129" s="1">
        <f t="shared" si="49"/>
        <v>-6.742640163618419</v>
      </c>
      <c r="AR129" s="1">
        <f t="shared" si="49"/>
        <v>-16.872167474608851</v>
      </c>
      <c r="AS129" s="1">
        <f t="shared" si="49"/>
        <v>-14.172167474608852</v>
      </c>
      <c r="AT129" s="1">
        <f t="shared" si="49"/>
        <v>-12.165500807942186</v>
      </c>
      <c r="AU129" s="1">
        <f t="shared" si="53"/>
        <v>-17.092167474608853</v>
      </c>
      <c r="AV129" s="1">
        <f t="shared" si="53"/>
        <v>-15.672167474608852</v>
      </c>
      <c r="AW129" s="1">
        <f>$J129+SUMPRODUCT(regions!BN128:BU128,regions!BN$204:BU$204)</f>
        <v>-11.653772686928077</v>
      </c>
      <c r="AX129" s="1">
        <f t="shared" si="53"/>
        <v>-13.352167474608853</v>
      </c>
      <c r="AY129" s="1">
        <f t="shared" si="53"/>
        <v>-12.572167474608852</v>
      </c>
      <c r="AZ129" s="1">
        <f t="shared" si="71"/>
        <v>-12.572167474608852</v>
      </c>
      <c r="BF129" s="1"/>
      <c r="BG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</row>
    <row r="130" spans="1:90" x14ac:dyDescent="0.35">
      <c r="A130" t="s">
        <v>395</v>
      </c>
      <c r="B130" s="19">
        <f>regions!B129</f>
        <v>2178967</v>
      </c>
      <c r="C130" s="19">
        <f>regions!C129</f>
        <v>8936748666.272974</v>
      </c>
      <c r="D130" s="8">
        <f>regions!D129</f>
        <v>4101.3694407822486</v>
      </c>
      <c r="E130" s="8">
        <f>regions!E129</f>
        <v>25.912133507219622</v>
      </c>
      <c r="F130" s="8">
        <f>regions!F129</f>
        <v>8.577791536051226</v>
      </c>
      <c r="G130" s="1">
        <f>regions!Z129</f>
        <v>19.899999999999999</v>
      </c>
      <c r="J130" s="1">
        <f t="shared" si="72"/>
        <v>7.7668037298343595</v>
      </c>
      <c r="K130" s="1">
        <f t="shared" si="83"/>
        <v>-7.1859425581903977</v>
      </c>
      <c r="L130" s="1">
        <f t="shared" si="59"/>
        <v>-7.1255588263589917</v>
      </c>
      <c r="M130" s="1">
        <f t="shared" si="60"/>
        <v>6.9865531278337274</v>
      </c>
      <c r="N130" s="1">
        <f t="shared" si="84"/>
        <v>-6.6846741408783181</v>
      </c>
      <c r="O130" s="1">
        <f t="shared" si="84"/>
        <v>-9.0882450677556967</v>
      </c>
      <c r="P130" s="1">
        <f t="shared" si="84"/>
        <v>-7.0882450677556967</v>
      </c>
      <c r="Q130" s="1">
        <f t="shared" si="84"/>
        <v>-7.4182450677556968</v>
      </c>
      <c r="R130" s="1">
        <f t="shared" si="84"/>
        <v>-9.6882450677556964</v>
      </c>
      <c r="S130" s="1">
        <f>$J130+SUMPRODUCT(regions!EI129:EN129,regions!EI$204:EN$204)</f>
        <v>-2.4942435724589078</v>
      </c>
      <c r="T130" s="1">
        <f>$J130+SUMPRODUCT(regions!EQ129:EV129,regions!EQ$204:EV$204)</f>
        <v>-1.9932556394741781</v>
      </c>
      <c r="U130" s="1">
        <f>$J130+SUMPRODUCT(regions!CM129:CU129,regions!CM$204:CU$204)</f>
        <v>-6.6888267627843838</v>
      </c>
      <c r="V130" s="1">
        <f>$J130+SUMPRODUCT(regions!DH129:DM129,regions!DH$204:DM$204)</f>
        <v>-4.4216870070027419</v>
      </c>
      <c r="W130" s="1">
        <f>$J130+SUMPRODUCT(regions!DP129:DW129,regions!DP$204:DW$204)</f>
        <v>-6.2612442563932422</v>
      </c>
      <c r="X130" s="1">
        <f>$J130+SUMPRODUCT(regions!AB129:AE129,regions!AB$204:AE$204)</f>
        <v>-2.1868350561449379</v>
      </c>
      <c r="Y130" s="1">
        <f>$J130+SUMPRODUCT(regions!BX129:CJ129,regions!BX$204:CJ$204)</f>
        <v>-2.7804683841254505</v>
      </c>
      <c r="Z130" s="1">
        <f>$J130+SUMPRODUCT(regions!CX129:DF129,regions!CX$204:DF$204)</f>
        <v>-2.0888267627843842</v>
      </c>
      <c r="AA130" s="1">
        <f t="shared" si="73"/>
        <v>-4.681244268516199</v>
      </c>
      <c r="AB130" s="1">
        <f t="shared" si="74"/>
        <v>-6.2413046202007854</v>
      </c>
      <c r="AC130" s="1">
        <f>$J130+SUMPRODUCT(regions!DZ129:EG129,regions!DZ$204:EG$204)</f>
        <v>-2.6621442563932423</v>
      </c>
      <c r="AD130" s="1">
        <f t="shared" si="85"/>
        <v>-7.078245067755697</v>
      </c>
      <c r="AE130" s="1">
        <f t="shared" si="85"/>
        <v>-8.5882450677556967</v>
      </c>
      <c r="AF130" s="1">
        <f t="shared" si="75"/>
        <v>-34.709187302861068</v>
      </c>
      <c r="AG130" s="1">
        <f>$J130+SUMPRODUCT(regions!AX129:BK129,regions!AX$204:BK$204)</f>
        <v>0.97671438885183193</v>
      </c>
      <c r="AH130" s="1">
        <f>$J130+SUMPRODUCT(regions!AG129:AV129,regions!AG$204:AV$204)</f>
        <v>-5.9232856111481684</v>
      </c>
      <c r="AI130" s="1">
        <f t="shared" si="86"/>
        <v>-8.0882450677556967</v>
      </c>
      <c r="AJ130" s="1">
        <f>SartoriRoson!C127</f>
        <v>-5.08</v>
      </c>
      <c r="AK130" s="1">
        <f>Kompas!E127</f>
        <v>-2.4039999999999999</v>
      </c>
      <c r="AL130" s="1">
        <f>$J130+SUMPRODUCT(regions!EY129:FW129,regions!EY$204:FW$204)</f>
        <v>0.48758912313640046</v>
      </c>
      <c r="AM130" s="1">
        <f>$J130+SUMPRODUCT(regions!FZ129:GF129,regions!FZ$204:GF$204)</f>
        <v>3.6151250511139015</v>
      </c>
      <c r="AN130" s="1">
        <f t="shared" si="50"/>
        <v>-15.288245067755696</v>
      </c>
      <c r="AO130" s="1">
        <f t="shared" si="50"/>
        <v>-14.588245067755697</v>
      </c>
      <c r="AP130" s="1">
        <f t="shared" si="50"/>
        <v>-9.788245067755696</v>
      </c>
      <c r="AQ130" s="1">
        <f t="shared" si="49"/>
        <v>-0.95871775676526205</v>
      </c>
      <c r="AR130" s="1">
        <f t="shared" si="49"/>
        <v>-11.088245067755697</v>
      </c>
      <c r="AS130" s="1">
        <f t="shared" si="49"/>
        <v>-8.3882450677556974</v>
      </c>
      <c r="AT130" s="1">
        <f t="shared" si="49"/>
        <v>-6.3815784010890297</v>
      </c>
      <c r="AU130" s="1">
        <f t="shared" si="53"/>
        <v>-11.308245067755696</v>
      </c>
      <c r="AV130" s="1">
        <f t="shared" si="53"/>
        <v>-9.8882450677556974</v>
      </c>
      <c r="AW130" s="1">
        <f>$J130+SUMPRODUCT(regions!BN129:BU129,regions!BN$204:BU$204)</f>
        <v>-5.869850280074921</v>
      </c>
      <c r="AX130" s="1">
        <f t="shared" si="53"/>
        <v>-7.5682450677556972</v>
      </c>
      <c r="AY130" s="1">
        <f t="shared" si="53"/>
        <v>-6.7882450677556969</v>
      </c>
      <c r="AZ130" s="1">
        <f t="shared" si="71"/>
        <v>-6.7882450677556969</v>
      </c>
      <c r="BF130" s="1"/>
      <c r="BG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</row>
    <row r="131" spans="1:90" x14ac:dyDescent="0.35">
      <c r="A131" t="s">
        <v>169</v>
      </c>
      <c r="B131" s="19">
        <f>regions!B130</f>
        <v>26846016</v>
      </c>
      <c r="C131" s="19">
        <f>regions!C130</f>
        <v>10103288981.142262</v>
      </c>
      <c r="D131" s="8">
        <f>regions!D130</f>
        <v>376.34220962776232</v>
      </c>
      <c r="E131" s="8">
        <f>regions!E130</f>
        <v>13.396115441818818</v>
      </c>
      <c r="F131" s="8">
        <f>regions!F130</f>
        <v>33.179378490812169</v>
      </c>
      <c r="G131" s="1">
        <f>regions!Z130</f>
        <v>8.1</v>
      </c>
      <c r="J131" s="1">
        <f t="shared" si="72"/>
        <v>7.8004563931016264</v>
      </c>
      <c r="K131" s="1">
        <f t="shared" si="83"/>
        <v>-7.1522898949231308</v>
      </c>
      <c r="L131" s="1">
        <f t="shared" si="59"/>
        <v>-7.0068072223536308</v>
      </c>
      <c r="M131" s="1">
        <f t="shared" si="60"/>
        <v>7.0966744054386144</v>
      </c>
      <c r="N131" s="1">
        <f t="shared" si="84"/>
        <v>-6.6510214776110512</v>
      </c>
      <c r="O131" s="1">
        <f t="shared" si="84"/>
        <v>-9.0545924044884298</v>
      </c>
      <c r="P131" s="1">
        <f t="shared" si="84"/>
        <v>-7.0545924044884298</v>
      </c>
      <c r="Q131" s="1">
        <f t="shared" si="84"/>
        <v>-7.3845924044884299</v>
      </c>
      <c r="R131" s="1">
        <f t="shared" si="84"/>
        <v>-9.6545924044884295</v>
      </c>
      <c r="S131" s="1">
        <f>$J131+SUMPRODUCT(regions!EI130:EN130,regions!EI$204:EN$204)</f>
        <v>-2.4605909091916409</v>
      </c>
      <c r="T131" s="1">
        <f>$J131+SUMPRODUCT(regions!EQ130:EV130,regions!EQ$204:EV$204)</f>
        <v>-1.9596029762069112</v>
      </c>
      <c r="U131" s="1">
        <f>$J131+SUMPRODUCT(regions!CM130:CU130,regions!CM$204:CU$204)</f>
        <v>-7.9975494792363655</v>
      </c>
      <c r="V131" s="1">
        <f>$J131+SUMPRODUCT(regions!DH130:DM130,regions!DH$204:DM$204)</f>
        <v>-4.388034343735475</v>
      </c>
      <c r="W131" s="1">
        <f>$J131+SUMPRODUCT(regions!DP130:DW130,regions!DP$204:DW$204)</f>
        <v>-8.1720996449860657</v>
      </c>
      <c r="X131" s="1">
        <f>$J131+SUMPRODUCT(regions!AB130:AE130,regions!AB$204:AE$204)</f>
        <v>4.2839390448861847</v>
      </c>
      <c r="Y131" s="1">
        <f>$J131+SUMPRODUCT(regions!BX130:CJ130,regions!BX$204:CJ$204)</f>
        <v>0.49591518822927583</v>
      </c>
      <c r="Z131" s="1">
        <f>$J131+SUMPRODUCT(regions!CX130:DF130,regions!CX$204:DF$204)</f>
        <v>-1.0975494792363669</v>
      </c>
      <c r="AA131" s="1">
        <f t="shared" si="73"/>
        <v>-1.8</v>
      </c>
      <c r="AB131" s="1">
        <f t="shared" si="74"/>
        <v>-6.2076519569335185</v>
      </c>
      <c r="AC131" s="1">
        <f>$J131+SUMPRODUCT(regions!DZ130:EG130,regions!DZ$204:EG$204)</f>
        <v>-2.6670996449860667</v>
      </c>
      <c r="AD131" s="1">
        <f t="shared" si="85"/>
        <v>-7.04459240448843</v>
      </c>
      <c r="AE131" s="1">
        <f t="shared" si="85"/>
        <v>-8.5545924044884298</v>
      </c>
      <c r="AF131" s="1">
        <f t="shared" si="75"/>
        <v>-34.675534639593799</v>
      </c>
      <c r="AG131" s="1">
        <f>$J131+SUMPRODUCT(regions!AX130:BK130,regions!AX$204:BK$204)</f>
        <v>0.55040626076918642</v>
      </c>
      <c r="AH131" s="1">
        <f>$J131+SUMPRODUCT(regions!AG130:AV130,regions!AG$204:AV$204)</f>
        <v>-2.197155670383232</v>
      </c>
      <c r="AI131" s="1">
        <f t="shared" si="86"/>
        <v>-8.0545924044884298</v>
      </c>
      <c r="AJ131" s="1">
        <f>SartoriRoson!C128</f>
        <v>-3.97</v>
      </c>
      <c r="AK131" s="1">
        <f>Kompas!E128</f>
        <v>-5.7309999999999999</v>
      </c>
      <c r="AL131" s="1">
        <f>$J131+SUMPRODUCT(regions!EY130:FW130,regions!EY$204:FW$204)</f>
        <v>-2.452631659378941</v>
      </c>
      <c r="AM131" s="1">
        <f>$J131+SUMPRODUCT(regions!FZ130:GF130,regions!FZ$204:GF$204)</f>
        <v>-1.166278399605492</v>
      </c>
      <c r="AN131" s="1">
        <f t="shared" si="50"/>
        <v>-15.254592404488429</v>
      </c>
      <c r="AO131" s="1">
        <f t="shared" si="50"/>
        <v>-14.55459240448843</v>
      </c>
      <c r="AP131" s="1">
        <f t="shared" si="50"/>
        <v>-9.7545924044884309</v>
      </c>
      <c r="AQ131" s="1">
        <f t="shared" si="49"/>
        <v>-0.92506509349799693</v>
      </c>
      <c r="AR131" s="1">
        <f t="shared" si="49"/>
        <v>-11.05459240448843</v>
      </c>
      <c r="AS131" s="1">
        <f t="shared" si="49"/>
        <v>-8.3545924044884288</v>
      </c>
      <c r="AT131" s="1">
        <f t="shared" ref="AT131:AZ146" si="87">$J131+AT$3-$J$3</f>
        <v>-6.3479257378217628</v>
      </c>
      <c r="AU131" s="1">
        <f t="shared" si="87"/>
        <v>-11.27459240448843</v>
      </c>
      <c r="AV131" s="1">
        <f t="shared" si="87"/>
        <v>-9.8545924044884288</v>
      </c>
      <c r="AW131" s="1">
        <f>$J131+SUMPRODUCT(regions!BN130:BU130,regions!BN$204:BU$204)</f>
        <v>-5.8361976168076541</v>
      </c>
      <c r="AX131" s="1">
        <f t="shared" si="87"/>
        <v>-7.5345924044884303</v>
      </c>
      <c r="AY131" s="1">
        <f t="shared" si="87"/>
        <v>-6.75459240448843</v>
      </c>
      <c r="AZ131" s="1">
        <f t="shared" si="87"/>
        <v>-6.75459240448843</v>
      </c>
      <c r="BB131" t="str">
        <f>Maddison!A54</f>
        <v>Nepal</v>
      </c>
      <c r="BC131">
        <f>-Maddison!B54</f>
        <v>-1.8</v>
      </c>
      <c r="BD131" s="1">
        <f>K131-BC131</f>
        <v>-5.352289894923131</v>
      </c>
      <c r="BF131" s="1"/>
      <c r="BG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</row>
    <row r="132" spans="1:90" x14ac:dyDescent="0.35">
      <c r="A132" t="s">
        <v>170</v>
      </c>
      <c r="B132" s="19">
        <f>regions!B131</f>
        <v>16615394</v>
      </c>
      <c r="C132" s="19">
        <f>regions!C131</f>
        <v>683063473113.4657</v>
      </c>
      <c r="D132" s="8">
        <f>regions!D131</f>
        <v>41110.27840287541</v>
      </c>
      <c r="E132" s="8">
        <f>regions!E131</f>
        <v>21.345279266268889</v>
      </c>
      <c r="F132" s="8">
        <f>regions!F131</f>
        <v>1.7146150825320818</v>
      </c>
      <c r="G132" s="1">
        <f>regions!Z131</f>
        <v>9.1999999999999993</v>
      </c>
      <c r="J132" s="1">
        <f t="shared" si="72"/>
        <v>15.949012239029967</v>
      </c>
      <c r="K132" s="1">
        <f t="shared" si="83"/>
        <v>0.99626595100520987</v>
      </c>
      <c r="L132" s="1">
        <f t="shared" si="59"/>
        <v>-0.22749353252444557</v>
      </c>
      <c r="M132" s="1">
        <f t="shared" si="60"/>
        <v>2.9887016814468255</v>
      </c>
      <c r="N132" s="1">
        <f t="shared" si="84"/>
        <v>1.4975343683172895</v>
      </c>
      <c r="O132" s="1">
        <f t="shared" si="84"/>
        <v>-0.90603655856008913</v>
      </c>
      <c r="P132" s="1">
        <f t="shared" si="84"/>
        <v>1.0939634414399109</v>
      </c>
      <c r="Q132" s="1">
        <f t="shared" si="84"/>
        <v>0.7639634414399108</v>
      </c>
      <c r="R132" s="1">
        <f t="shared" si="84"/>
        <v>-1.5060365585600888</v>
      </c>
      <c r="S132" s="1">
        <f>$J132+SUMPRODUCT(regions!EI131:EN131,regions!EI$204:EN$204)</f>
        <v>-0.83300417116318037</v>
      </c>
      <c r="T132" s="1">
        <f>$J132+SUMPRODUCT(regions!EQ131:EV131,regions!EQ$204:EV$204)</f>
        <v>-1.0330041711631797</v>
      </c>
      <c r="U132" s="1">
        <f>$J132+SUMPRODUCT(regions!CM131:CU131,regions!CM$204:CU$204)</f>
        <v>-0.84765284420491049</v>
      </c>
      <c r="V132" s="1">
        <f>$J132+SUMPRODUCT(regions!DH131:DM131,regions!DH$204:DM$204)</f>
        <v>-0.60941714479753806</v>
      </c>
      <c r="W132" s="1">
        <f>$J132+SUMPRODUCT(regions!DP131:DW131,regions!DP$204:DW$204)</f>
        <v>-0.73300417116317895</v>
      </c>
      <c r="X132" s="1">
        <f>$J132+SUMPRODUCT(regions!AB131:AE131,regions!AB$204:AE$204)</f>
        <v>0.60530949742784479</v>
      </c>
      <c r="Y132" s="1">
        <f>$J132+SUMPRODUCT(regions!BX131:CJ131,regions!BX$204:CJ$204)</f>
        <v>-2.438423958038106</v>
      </c>
      <c r="Z132" s="1">
        <f>$J132+SUMPRODUCT(regions!CX131:DF131,regions!CX$204:DF$204)</f>
        <v>4.1523471557950895</v>
      </c>
      <c r="AA132" s="1">
        <f t="shared" si="73"/>
        <v>3.4</v>
      </c>
      <c r="AB132" s="1">
        <f t="shared" si="74"/>
        <v>2.9238430064144921E-2</v>
      </c>
      <c r="AC132" s="1">
        <f>$J132+SUMPRODUCT(regions!DZ131:EG131,regions!DZ$204:EG$204)</f>
        <v>-0.66300417116317867</v>
      </c>
      <c r="AD132" s="1">
        <f t="shared" si="85"/>
        <v>1.1039634414399107</v>
      </c>
      <c r="AE132" s="1">
        <f t="shared" si="85"/>
        <v>-0.40603655856008913</v>
      </c>
      <c r="AF132" s="1">
        <f t="shared" si="75"/>
        <v>7.4</v>
      </c>
      <c r="AG132" s="1">
        <f>$J132+SUMPRODUCT(regions!AX131:BK131,regions!AX$204:BK$204)</f>
        <v>-0.34503571920387621</v>
      </c>
      <c r="AH132" s="1">
        <f>$J132+SUMPRODUCT(regions!AG131:AV131,regions!AG$204:AV$204)</f>
        <v>1.8001464348891574</v>
      </c>
      <c r="AI132" s="1">
        <f t="shared" si="86"/>
        <v>9.3963441439910866E-2</v>
      </c>
      <c r="AJ132" s="1">
        <f>SartoriRoson!C129</f>
        <v>0.72</v>
      </c>
      <c r="AK132" s="1">
        <f>Kompas!E129</f>
        <v>-0.46700000000000003</v>
      </c>
      <c r="AL132" s="1">
        <f>$J132+SUMPRODUCT(regions!EY131:FW131,regions!EY$204:FW$204)</f>
        <v>0.34501476962210376</v>
      </c>
      <c r="AM132" s="1">
        <f>$J132+SUMPRODUCT(regions!FZ131:GF131,regions!FZ$204:GF$204)</f>
        <v>1.6807818641819789</v>
      </c>
      <c r="AN132" s="1">
        <f t="shared" si="50"/>
        <v>-7.1060365585600884</v>
      </c>
      <c r="AO132" s="1">
        <f t="shared" si="50"/>
        <v>-6.4060365585600891</v>
      </c>
      <c r="AP132" s="1">
        <f t="shared" si="50"/>
        <v>-1.6060365585600902</v>
      </c>
      <c r="AQ132" s="1">
        <f t="shared" si="49"/>
        <v>7.2234907524303456</v>
      </c>
      <c r="AR132" s="1">
        <f t="shared" si="49"/>
        <v>-2.9060365585600891</v>
      </c>
      <c r="AS132" s="1">
        <f t="shared" si="49"/>
        <v>-0.20603655856008807</v>
      </c>
      <c r="AT132" s="1">
        <f t="shared" si="87"/>
        <v>1.8006301081065779</v>
      </c>
      <c r="AU132" s="1">
        <f t="shared" si="87"/>
        <v>-3.1260365585600898</v>
      </c>
      <c r="AV132" s="1">
        <f t="shared" si="87"/>
        <v>-1.7060365585600881</v>
      </c>
      <c r="AW132" s="1">
        <f>$J132+SUMPRODUCT(regions!BN131:BU131,regions!BN$204:BU$204)</f>
        <v>1.8101092572914119</v>
      </c>
      <c r="AX132" s="1">
        <f t="shared" si="87"/>
        <v>0.61396344143991044</v>
      </c>
      <c r="AY132" s="1">
        <f t="shared" si="87"/>
        <v>1.3939634414399116</v>
      </c>
      <c r="AZ132" s="1">
        <f t="shared" si="87"/>
        <v>1.3939634414399116</v>
      </c>
      <c r="BB132" t="str">
        <f>Maddison!A55</f>
        <v>Netherlands</v>
      </c>
      <c r="BC132">
        <f>-Maddison!B55</f>
        <v>3.4</v>
      </c>
      <c r="BD132" s="1">
        <f>K132-BC132</f>
        <v>-2.40373404899479</v>
      </c>
      <c r="BE132" t="str">
        <f>RehdanzMaddison!P45</f>
        <v>Netherlands</v>
      </c>
      <c r="BF132" s="1">
        <f>-100*RehdanzMaddison!U45</f>
        <v>1.1505638452862354E-2</v>
      </c>
      <c r="BG132" s="1">
        <f>-100*RehdanzMaddison!V45</f>
        <v>2.9238430064144921E-2</v>
      </c>
      <c r="BH132" s="1">
        <f>$K132-BF132</f>
        <v>0.98476031255234753</v>
      </c>
      <c r="BI132" s="1">
        <f>$K132-BG132</f>
        <v>0.96702752094106492</v>
      </c>
      <c r="BJ132" t="str">
        <f>MaddisonRehdanz!A53</f>
        <v>Netherlands</v>
      </c>
      <c r="BK132">
        <f>MaddisonRehdanz!D53</f>
        <v>7.4</v>
      </c>
      <c r="BL132" s="1">
        <f>$K132-BK132</f>
        <v>-6.4037340489947905</v>
      </c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</row>
    <row r="133" spans="1:90" x14ac:dyDescent="0.35">
      <c r="A133" t="s">
        <v>171</v>
      </c>
      <c r="B133" s="19">
        <f>regions!B132</f>
        <v>4367800</v>
      </c>
      <c r="C133" s="19">
        <f>regions!C132</f>
        <v>120042479359.5708</v>
      </c>
      <c r="D133" s="8">
        <f>regions!D132</f>
        <v>27483.511003152802</v>
      </c>
      <c r="E133" s="8">
        <f>regions!E132</f>
        <v>26.061590308295418</v>
      </c>
      <c r="F133" s="8">
        <f>regions!F132</f>
        <v>8.6411317675511476</v>
      </c>
      <c r="G133" s="1">
        <f>regions!Z132</f>
        <v>10.5</v>
      </c>
      <c r="J133" s="1">
        <f t="shared" ref="J133:J164" si="88">I$1+I$2*LN(D133)+I$3*G133</f>
        <v>14.731315921446072</v>
      </c>
      <c r="K133" s="1">
        <f t="shared" si="83"/>
        <v>-0.22143036657868542</v>
      </c>
      <c r="L133" s="1">
        <f t="shared" si="59"/>
        <v>-1.3148160275110312</v>
      </c>
      <c r="M133" s="1">
        <f t="shared" si="60"/>
        <v>2.9741974416587742</v>
      </c>
      <c r="N133" s="1">
        <f t="shared" si="84"/>
        <v>0.27983805073339418</v>
      </c>
      <c r="O133" s="1">
        <f t="shared" si="84"/>
        <v>-2.1237328761439844</v>
      </c>
      <c r="P133" s="1">
        <f t="shared" si="84"/>
        <v>-0.12373287614398443</v>
      </c>
      <c r="Q133" s="1">
        <f t="shared" si="84"/>
        <v>-0.4537328761439845</v>
      </c>
      <c r="R133" s="1">
        <f t="shared" si="84"/>
        <v>-2.7237328761439841</v>
      </c>
      <c r="S133" s="1">
        <f>$J133+SUMPRODUCT(regions!EI132:EN132,regions!EI$204:EN$204)</f>
        <v>-2.627647756640787</v>
      </c>
      <c r="T133" s="1">
        <f>$J133+SUMPRODUCT(regions!EQ132:EV132,regions!EQ$204:EV$204)</f>
        <v>-2.2840792945366637</v>
      </c>
      <c r="U133" s="1">
        <f>$J133+SUMPRODUCT(regions!CM132:CU132,regions!CM$204:CU$204)</f>
        <v>-2.5245819229294817</v>
      </c>
      <c r="V133" s="1">
        <f>$J133+SUMPRODUCT(regions!DH132:DM132,regions!DH$204:DM$204)</f>
        <v>2.5428251846089704</v>
      </c>
      <c r="W133" s="1">
        <f>$J133+SUMPRODUCT(regions!DP132:DW132,regions!DP$204:DW$204)</f>
        <v>-4.0876477566407878</v>
      </c>
      <c r="X133" s="1">
        <f>$J133+SUMPRODUCT(regions!AB132:AE132,regions!AB$204:AE$204)</f>
        <v>-0.6123868201560505</v>
      </c>
      <c r="Y133" s="1">
        <f>$J133+SUMPRODUCT(regions!BX132:CJ132,regions!BX$204:CJ$204)</f>
        <v>-0.5198211091004552</v>
      </c>
      <c r="Z133" s="1">
        <f>$J133+SUMPRODUCT(regions!CX132:DF132,regions!CX$204:DF$204)</f>
        <v>1.275418077070519</v>
      </c>
      <c r="AA133" s="1">
        <f t="shared" ref="AA133:AA164" si="89">IF(ISNUMBER(BC133),BC133,K133-BD$4)</f>
        <v>1.3</v>
      </c>
      <c r="AB133" s="1">
        <f t="shared" ref="AB133:AB164" si="90">IF(ISNUMBER(BG133),BG133,K133-BI$4)</f>
        <v>-0.21503802768583782</v>
      </c>
      <c r="AC133" s="1">
        <f>$J133+SUMPRODUCT(regions!DZ132:EG132,regions!DZ$204:EG$204)</f>
        <v>-1.5351477566407894</v>
      </c>
      <c r="AD133" s="1">
        <f t="shared" si="85"/>
        <v>-0.11373287614398464</v>
      </c>
      <c r="AE133" s="1">
        <f t="shared" si="85"/>
        <v>-1.6237328761439844</v>
      </c>
      <c r="AF133" s="1">
        <f t="shared" ref="AF133:AF164" si="91">IF(ISNUMBER(BK133),BK133,K133-BL$4)</f>
        <v>5</v>
      </c>
      <c r="AG133" s="1">
        <f>$J133+SUMPRODUCT(regions!AX132:BK132,regions!AX$204:BK$204)</f>
        <v>-1.6520756376588821</v>
      </c>
      <c r="AH133" s="1">
        <f>$J133+SUMPRODUCT(regions!AG132:AV132,regions!AG$204:AV$204)</f>
        <v>-1.8501970873410372</v>
      </c>
      <c r="AI133" s="1">
        <f t="shared" si="86"/>
        <v>-1.1237328761439844</v>
      </c>
      <c r="AJ133" s="1">
        <f>SartoriRoson!C130</f>
        <v>-0.12</v>
      </c>
      <c r="AK133" s="1">
        <f>Kompas!E130</f>
        <v>-0.79800000000000004</v>
      </c>
      <c r="AL133" s="1">
        <f>$J133+SUMPRODUCT(regions!EY132:FW132,regions!EY$204:FW$204)</f>
        <v>2.2561440308166674</v>
      </c>
      <c r="AM133" s="1">
        <f>$J133+SUMPRODUCT(regions!FZ132:GF132,regions!FZ$204:GF$204)</f>
        <v>4.0008798952036404</v>
      </c>
      <c r="AN133" s="1">
        <f t="shared" si="50"/>
        <v>-8.3237328761439837</v>
      </c>
      <c r="AO133" s="1">
        <f t="shared" si="50"/>
        <v>-7.6237328761439844</v>
      </c>
      <c r="AP133" s="1">
        <f t="shared" ref="AP133:AT196" si="92">$J133+AP$3-$J$3</f>
        <v>-2.8237328761439837</v>
      </c>
      <c r="AQ133" s="1">
        <f t="shared" si="92"/>
        <v>6.0057944348464485</v>
      </c>
      <c r="AR133" s="1">
        <f t="shared" si="92"/>
        <v>-4.1237328761439844</v>
      </c>
      <c r="AS133" s="1">
        <f t="shared" si="92"/>
        <v>-1.4237328761439851</v>
      </c>
      <c r="AT133" s="1">
        <f t="shared" si="92"/>
        <v>0.58293379052268257</v>
      </c>
      <c r="AU133" s="1">
        <f t="shared" si="87"/>
        <v>-4.3437328761439833</v>
      </c>
      <c r="AV133" s="1">
        <f t="shared" si="87"/>
        <v>-2.9237328761439851</v>
      </c>
      <c r="AW133" s="1">
        <f>$J133+SUMPRODUCT(regions!BN132:BU132,regions!BN$204:BU$204)</f>
        <v>-1.6268939127933706</v>
      </c>
      <c r="AX133" s="1">
        <f t="shared" si="87"/>
        <v>-0.60373287614398485</v>
      </c>
      <c r="AY133" s="1">
        <f t="shared" si="87"/>
        <v>0.17626712385601628</v>
      </c>
      <c r="AZ133" s="1">
        <f t="shared" si="87"/>
        <v>0.17626712385601628</v>
      </c>
      <c r="BB133" t="str">
        <f>Maddison!A56</f>
        <v>New Zealand</v>
      </c>
      <c r="BC133">
        <f>-Maddison!B56</f>
        <v>1.3</v>
      </c>
      <c r="BD133" s="1">
        <f>K133-BC133</f>
        <v>-1.5214303665786855</v>
      </c>
      <c r="BE133" t="str">
        <f>RehdanzMaddison!P46</f>
        <v>New Zealand</v>
      </c>
      <c r="BF133" s="1">
        <f>-100*RehdanzMaddison!U46</f>
        <v>-0.14022953615925868</v>
      </c>
      <c r="BG133" s="1">
        <f>-100*RehdanzMaddison!V46</f>
        <v>-0.21503802768583782</v>
      </c>
      <c r="BH133" s="1">
        <f>$K133-BF133</f>
        <v>-8.1200830419426745E-2</v>
      </c>
      <c r="BI133" s="1">
        <f>$K133-BG133</f>
        <v>-6.3923388928475988E-3</v>
      </c>
      <c r="BJ133" t="str">
        <f>MaddisonRehdanz!A54</f>
        <v>New Zealand</v>
      </c>
      <c r="BK133">
        <f>MaddisonRehdanz!D54</f>
        <v>5</v>
      </c>
      <c r="BL133" s="1">
        <f>$K133-BK133</f>
        <v>-5.2214303665786854</v>
      </c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</row>
    <row r="134" spans="1:90" x14ac:dyDescent="0.35">
      <c r="A134" t="s">
        <v>396</v>
      </c>
      <c r="B134" s="19">
        <f>regions!B133</f>
        <v>5822209</v>
      </c>
      <c r="C134" s="19">
        <f>regions!C133</f>
        <v>7163269747.9907646</v>
      </c>
      <c r="D134" s="8">
        <f>regions!D133</f>
        <v>1230.3353843860234</v>
      </c>
      <c r="E134" s="8">
        <f>regions!E133</f>
        <v>13.678366549710841</v>
      </c>
      <c r="F134" s="8">
        <f>regions!F133</f>
        <v>16.982636800704821</v>
      </c>
      <c r="G134" s="1">
        <f>regions!Z133</f>
        <v>24.8</v>
      </c>
      <c r="J134" s="1">
        <f t="shared" si="88"/>
        <v>3.7490474369894002</v>
      </c>
      <c r="K134" s="1">
        <f t="shared" si="83"/>
        <v>-11.203698851035357</v>
      </c>
      <c r="L134" s="1">
        <f t="shared" si="59"/>
        <v>-11.296670904674945</v>
      </c>
      <c r="M134" s="1">
        <f t="shared" si="60"/>
        <v>7.8409964460581509</v>
      </c>
      <c r="N134" s="1">
        <f t="shared" si="84"/>
        <v>-10.702430433723277</v>
      </c>
      <c r="O134" s="1">
        <f t="shared" si="84"/>
        <v>-13.106001360600656</v>
      </c>
      <c r="P134" s="1">
        <f t="shared" si="84"/>
        <v>-11.106001360600656</v>
      </c>
      <c r="Q134" s="1">
        <f t="shared" si="84"/>
        <v>-11.436001360600656</v>
      </c>
      <c r="R134" s="1">
        <f t="shared" si="84"/>
        <v>-13.706001360600656</v>
      </c>
      <c r="S134" s="1">
        <f>$J134+SUMPRODUCT(regions!EI133:EN133,regions!EI$204:EN$204)</f>
        <v>-6.5119998653038671</v>
      </c>
      <c r="T134" s="1">
        <f>$J134+SUMPRODUCT(regions!EQ133:EV133,regions!EQ$204:EV$204)</f>
        <v>-6.0110119323191373</v>
      </c>
      <c r="U134" s="1">
        <f>$J134+SUMPRODUCT(regions!CM133:CU133,regions!CM$204:CU$204)</f>
        <v>-8.3458900408604784</v>
      </c>
      <c r="V134" s="1">
        <f>$J134+SUMPRODUCT(regions!DH133:DM133,regions!DH$204:DM$204)</f>
        <v>-8.4394432998477011</v>
      </c>
      <c r="W134" s="1">
        <f>$J134+SUMPRODUCT(regions!DP133:DW133,regions!DP$204:DW$204)</f>
        <v>-8.3358900408604768</v>
      </c>
      <c r="X134" s="1">
        <f>$J134+SUMPRODUCT(regions!AB133:AE133,regions!AB$204:AE$204)</f>
        <v>-5.3893577203505991</v>
      </c>
      <c r="Y134" s="1">
        <f>$J134+SUMPRODUCT(regions!BX133:CJ133,regions!BX$204:CJ$204)</f>
        <v>-3.5554937678829504</v>
      </c>
      <c r="Z134" s="1">
        <f>$J134+SUMPRODUCT(regions!CX133:DF133,regions!CX$204:DF$204)</f>
        <v>-4.1458900408604773</v>
      </c>
      <c r="AA134" s="1">
        <f t="shared" si="89"/>
        <v>-8.6990005613611583</v>
      </c>
      <c r="AB134" s="1">
        <f t="shared" si="90"/>
        <v>-10.259060913045746</v>
      </c>
      <c r="AC134" s="1">
        <f>$J134+SUMPRODUCT(regions!DZ133:EG133,regions!DZ$204:EG$204)</f>
        <v>-6.2967900408604773</v>
      </c>
      <c r="AD134" s="1">
        <f t="shared" si="85"/>
        <v>-11.096001360600656</v>
      </c>
      <c r="AE134" s="1">
        <f t="shared" si="85"/>
        <v>-12.606001360600656</v>
      </c>
      <c r="AF134" s="1">
        <f t="shared" si="91"/>
        <v>-38.726943595706025</v>
      </c>
      <c r="AG134" s="1">
        <f>$J134+SUMPRODUCT(regions!AX133:BK133,regions!AX$204:BK$204)</f>
        <v>-4.7351037063325254</v>
      </c>
      <c r="AH134" s="1">
        <f>$J134+SUMPRODUCT(regions!AG133:AV133,regions!AG$204:AV$204)</f>
        <v>-12.901717264598922</v>
      </c>
      <c r="AI134" s="1">
        <f t="shared" si="86"/>
        <v>-12.106001360600656</v>
      </c>
      <c r="AJ134" s="1">
        <f>SartoriRoson!C131</f>
        <v>-12.13</v>
      </c>
      <c r="AK134" s="1">
        <f>Kompas!E131</f>
        <v>-11.673</v>
      </c>
      <c r="AL134" s="1">
        <f>$J134+SUMPRODUCT(regions!EY133:FW133,regions!EY$204:FW$204)</f>
        <v>-5.5688524843454026</v>
      </c>
      <c r="AM134" s="1">
        <f>$J134+SUMPRODUCT(regions!FZ133:GF133,regions!FZ$204:GF$204)</f>
        <v>-2.1121685672277817</v>
      </c>
      <c r="AN134" s="1">
        <f t="shared" ref="AN134:AP197" si="93">$J134+AN$3-$J$3</f>
        <v>-19.306001360600654</v>
      </c>
      <c r="AO134" s="1">
        <f t="shared" si="93"/>
        <v>-18.606001360600658</v>
      </c>
      <c r="AP134" s="1">
        <f t="shared" si="93"/>
        <v>-13.806001360600657</v>
      </c>
      <c r="AQ134" s="1">
        <f t="shared" si="92"/>
        <v>-4.9764740496102231</v>
      </c>
      <c r="AR134" s="1">
        <f t="shared" si="92"/>
        <v>-15.106001360600656</v>
      </c>
      <c r="AS134" s="1">
        <f t="shared" si="92"/>
        <v>-12.406001360600655</v>
      </c>
      <c r="AT134" s="1">
        <f t="shared" si="92"/>
        <v>-10.399334693933989</v>
      </c>
      <c r="AU134" s="1">
        <f t="shared" si="87"/>
        <v>-15.326001360600657</v>
      </c>
      <c r="AV134" s="1">
        <f t="shared" si="87"/>
        <v>-13.906001360600655</v>
      </c>
      <c r="AW134" s="1">
        <f>$J134+SUMPRODUCT(regions!BN133:BU133,regions!BN$204:BU$204)</f>
        <v>-9.8876065729198803</v>
      </c>
      <c r="AX134" s="1">
        <f t="shared" si="87"/>
        <v>-11.586001360600656</v>
      </c>
      <c r="AY134" s="1">
        <f t="shared" si="87"/>
        <v>-10.806001360600657</v>
      </c>
      <c r="AZ134" s="1">
        <f t="shared" si="87"/>
        <v>-10.806001360600657</v>
      </c>
      <c r="BF134" s="1"/>
      <c r="BG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</row>
    <row r="135" spans="1:90" x14ac:dyDescent="0.35">
      <c r="A135" t="s">
        <v>397</v>
      </c>
      <c r="B135" s="19">
        <f>regions!B134</f>
        <v>15893746</v>
      </c>
      <c r="C135" s="19">
        <f>regions!C134</f>
        <v>4381636014.6785507</v>
      </c>
      <c r="D135" s="8">
        <f>regions!D134</f>
        <v>275.68302744227515</v>
      </c>
      <c r="E135" s="8">
        <f>regions!E134</f>
        <v>0</v>
      </c>
      <c r="F135" s="8">
        <f>regions!F134</f>
        <v>40.898376788219828</v>
      </c>
      <c r="G135" s="1">
        <f>regions!Z134</f>
        <v>27.1</v>
      </c>
      <c r="J135" s="1">
        <f t="shared" si="88"/>
        <v>0.16634336537698502</v>
      </c>
      <c r="K135" s="1">
        <f t="shared" si="83"/>
        <v>-14.786402922647772</v>
      </c>
      <c r="L135" s="1">
        <f t="shared" si="59"/>
        <v>-14.3974762961397</v>
      </c>
      <c r="M135" s="1">
        <f t="shared" si="60"/>
        <v>9.0951359666844276</v>
      </c>
      <c r="N135" s="1">
        <f t="shared" si="84"/>
        <v>-14.285134505335693</v>
      </c>
      <c r="O135" s="1">
        <f t="shared" si="84"/>
        <v>-16.688705432213069</v>
      </c>
      <c r="P135" s="1">
        <f t="shared" si="84"/>
        <v>-14.688705432213071</v>
      </c>
      <c r="Q135" s="1">
        <f t="shared" si="84"/>
        <v>-15.018705432213071</v>
      </c>
      <c r="R135" s="1">
        <f t="shared" si="84"/>
        <v>-17.288705432213071</v>
      </c>
      <c r="S135" s="1">
        <f>$J135+SUMPRODUCT(regions!EI134:EN134,regions!EI$204:EN$204)</f>
        <v>-10.094703936916282</v>
      </c>
      <c r="T135" s="1">
        <f>$J135+SUMPRODUCT(regions!EQ134:EV134,regions!EQ$204:EV$204)</f>
        <v>-9.5937160039315525</v>
      </c>
      <c r="U135" s="1">
        <f>$J135+SUMPRODUCT(regions!CM134:CU134,regions!CM$204:CU$204)</f>
        <v>-14.289287127241758</v>
      </c>
      <c r="V135" s="1">
        <f>$J135+SUMPRODUCT(regions!DH134:DM134,regions!DH$204:DM$204)</f>
        <v>-12.022147371460116</v>
      </c>
      <c r="W135" s="1">
        <f>$J135+SUMPRODUCT(regions!DP134:DW134,regions!DP$204:DW$204)</f>
        <v>-13.861704620850617</v>
      </c>
      <c r="X135" s="1">
        <f>$J135+SUMPRODUCT(regions!AB134:AE134,regions!AB$204:AE$204)</f>
        <v>-3.3501739828384567</v>
      </c>
      <c r="Y135" s="1">
        <f>$J135+SUMPRODUCT(regions!BX134:CJ134,regions!BX$204:CJ$204)</f>
        <v>-6.7856634225648786</v>
      </c>
      <c r="Z135" s="1">
        <f>$J135+SUMPRODUCT(regions!CX134:DF134,regions!CX$204:DF$204)</f>
        <v>-9.6892871272417587</v>
      </c>
      <c r="AA135" s="1">
        <f t="shared" si="89"/>
        <v>-12.281704632973574</v>
      </c>
      <c r="AB135" s="1">
        <f t="shared" si="90"/>
        <v>-13.841764984658161</v>
      </c>
      <c r="AC135" s="1">
        <f>$J135+SUMPRODUCT(regions!DZ134:EG134,regions!DZ$204:EG$204)</f>
        <v>-10.262604620850617</v>
      </c>
      <c r="AD135" s="1">
        <f t="shared" si="85"/>
        <v>-14.678705432213071</v>
      </c>
      <c r="AE135" s="1">
        <f t="shared" si="85"/>
        <v>-16.188705432213069</v>
      </c>
      <c r="AF135" s="1">
        <f t="shared" si="91"/>
        <v>-42.309647667318444</v>
      </c>
      <c r="AG135" s="1">
        <f>$J135+SUMPRODUCT(regions!AX134:BK134,regions!AX$204:BK$204)</f>
        <v>-6.6237459756055426</v>
      </c>
      <c r="AH135" s="1">
        <f>$J135+SUMPRODUCT(regions!AG134:AV134,regions!AG$204:AV$204)</f>
        <v>-13.523745975605543</v>
      </c>
      <c r="AI135" s="1">
        <f t="shared" si="86"/>
        <v>-15.688705432213071</v>
      </c>
      <c r="AJ135" s="1">
        <f>SartoriRoson!C132</f>
        <v>-6.07</v>
      </c>
      <c r="AK135" s="1">
        <f>Kompas!E132</f>
        <v>-15.566000000000001</v>
      </c>
      <c r="AL135" s="1">
        <f>$J135+SUMPRODUCT(regions!EY134:FW134,regions!EY$204:FW$204)</f>
        <v>-7.112871241320974</v>
      </c>
      <c r="AM135" s="1">
        <f>$J135+SUMPRODUCT(regions!FZ134:GF134,regions!FZ$204:GF$204)</f>
        <v>-3.985335313343473</v>
      </c>
      <c r="AN135" s="1">
        <f t="shared" si="93"/>
        <v>-22.888705432213072</v>
      </c>
      <c r="AO135" s="1">
        <f t="shared" si="93"/>
        <v>-22.188705432213069</v>
      </c>
      <c r="AP135" s="1">
        <f t="shared" si="93"/>
        <v>-17.388705432213072</v>
      </c>
      <c r="AQ135" s="1">
        <f t="shared" si="92"/>
        <v>-8.5591781212226365</v>
      </c>
      <c r="AR135" s="1">
        <f t="shared" si="92"/>
        <v>-18.688705432213069</v>
      </c>
      <c r="AS135" s="1">
        <f t="shared" si="92"/>
        <v>-15.98870543221307</v>
      </c>
      <c r="AT135" s="1">
        <f t="shared" si="92"/>
        <v>-13.982038765546404</v>
      </c>
      <c r="AU135" s="1">
        <f t="shared" si="87"/>
        <v>-18.908705432213072</v>
      </c>
      <c r="AV135" s="1">
        <f t="shared" si="87"/>
        <v>-17.48870543221307</v>
      </c>
      <c r="AW135" s="1">
        <f>$J135+SUMPRODUCT(regions!BN134:BU134,regions!BN$204:BU$204)</f>
        <v>-11.738445244838914</v>
      </c>
      <c r="AX135" s="1">
        <f t="shared" si="87"/>
        <v>-15.168705432213072</v>
      </c>
      <c r="AY135" s="1">
        <f t="shared" si="87"/>
        <v>-14.388705432213071</v>
      </c>
      <c r="AZ135" s="1">
        <f t="shared" si="87"/>
        <v>-14.388705432213071</v>
      </c>
      <c r="BF135" s="1"/>
      <c r="BG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</row>
    <row r="136" spans="1:90" x14ac:dyDescent="0.35">
      <c r="A136" t="s">
        <v>172</v>
      </c>
      <c r="B136" s="19">
        <f>regions!B135</f>
        <v>159707780</v>
      </c>
      <c r="C136" s="19">
        <f>regions!C135</f>
        <v>159017874554.81158</v>
      </c>
      <c r="D136" s="8">
        <f>regions!D135</f>
        <v>995.6802013953959</v>
      </c>
      <c r="E136" s="8">
        <f>regions!E135</f>
        <v>2.2684599570656951</v>
      </c>
      <c r="F136" s="8">
        <f>regions!F135</f>
        <v>23.524509894971676</v>
      </c>
      <c r="G136" s="1">
        <f>regions!Z135</f>
        <v>26.8</v>
      </c>
      <c r="J136" s="1">
        <f t="shared" si="88"/>
        <v>2.6193540833779085</v>
      </c>
      <c r="K136" s="1">
        <f t="shared" si="83"/>
        <v>-12.333392204646849</v>
      </c>
      <c r="L136" s="1">
        <f t="shared" si="59"/>
        <v>-14.286204660203207</v>
      </c>
      <c r="M136" s="1">
        <f t="shared" si="60"/>
        <v>17.398498953633805</v>
      </c>
      <c r="N136" s="1">
        <f t="shared" ref="N136:R145" si="94">$J136+N$3-$J$3</f>
        <v>-11.832123787334769</v>
      </c>
      <c r="O136" s="1">
        <f t="shared" si="94"/>
        <v>-14.235694714212148</v>
      </c>
      <c r="P136" s="1">
        <f t="shared" si="94"/>
        <v>-12.235694714212148</v>
      </c>
      <c r="Q136" s="1">
        <f t="shared" si="94"/>
        <v>-12.565694714212148</v>
      </c>
      <c r="R136" s="1">
        <f t="shared" si="94"/>
        <v>-14.835694714212147</v>
      </c>
      <c r="S136" s="1">
        <f>$J136+SUMPRODUCT(regions!EI135:EN135,regions!EI$204:EN$204)</f>
        <v>-7.6416932189153588</v>
      </c>
      <c r="T136" s="1">
        <f>$J136+SUMPRODUCT(regions!EQ135:EV135,regions!EQ$204:EV$204)</f>
        <v>-7.140705285930629</v>
      </c>
      <c r="U136" s="1">
        <f>$J136+SUMPRODUCT(regions!CM135:CU135,regions!CM$204:CU$204)</f>
        <v>-11.836276409240835</v>
      </c>
      <c r="V136" s="1">
        <f>$J136+SUMPRODUCT(regions!DH135:DM135,regions!DH$204:DM$204)</f>
        <v>-9.5691366534591928</v>
      </c>
      <c r="W136" s="1">
        <f>$J136+SUMPRODUCT(regions!DP135:DW135,regions!DP$204:DW$204)</f>
        <v>-11.408693902849693</v>
      </c>
      <c r="X136" s="1">
        <f>$J136+SUMPRODUCT(regions!AB135:AE135,regions!AB$204:AE$204)</f>
        <v>-6.5190510739620908</v>
      </c>
      <c r="Y136" s="1">
        <f>$J136+SUMPRODUCT(regions!BX135:CJ135,regions!BX$204:CJ$204)</f>
        <v>-4.3326527045639551</v>
      </c>
      <c r="Z136" s="1">
        <f>$J136+SUMPRODUCT(regions!CX135:DF135,regions!CX$204:DF$204)</f>
        <v>-7.2362764092408352</v>
      </c>
      <c r="AA136" s="1">
        <f t="shared" si="89"/>
        <v>-3.5</v>
      </c>
      <c r="AB136" s="1">
        <f t="shared" si="90"/>
        <v>-30.557000086333829</v>
      </c>
      <c r="AC136" s="1">
        <f>$J136+SUMPRODUCT(regions!DZ135:EG135,regions!DZ$204:EG$204)</f>
        <v>-7.8095939028496932</v>
      </c>
      <c r="AD136" s="1">
        <f t="shared" si="85"/>
        <v>-12.225694714212148</v>
      </c>
      <c r="AE136" s="1">
        <f t="shared" si="85"/>
        <v>-13.735694714212148</v>
      </c>
      <c r="AF136" s="1">
        <f t="shared" si="91"/>
        <v>-99.8</v>
      </c>
      <c r="AG136" s="1">
        <f>$J136+SUMPRODUCT(regions!AX135:BK135,regions!AX$204:BK$204)</f>
        <v>-4.1707352576046191</v>
      </c>
      <c r="AH136" s="1">
        <f>$J136+SUMPRODUCT(regions!AG135:AV135,regions!AG$204:AV$204)</f>
        <v>-11.070735257604619</v>
      </c>
      <c r="AI136" s="1">
        <f t="shared" si="86"/>
        <v>-13.235694714212148</v>
      </c>
      <c r="AJ136" s="1">
        <f>SartoriRoson!C133</f>
        <v>-13.93</v>
      </c>
      <c r="AK136" s="1">
        <f>Kompas!E133</f>
        <v>-15.723000000000001</v>
      </c>
      <c r="AL136" s="1">
        <f>$J136+SUMPRODUCT(regions!EY135:FW135,regions!EY$204:FW$204)</f>
        <v>-4.6598605233200505</v>
      </c>
      <c r="AM136" s="1">
        <f>$J136+SUMPRODUCT(regions!FZ135:GF135,regions!FZ$204:GF$204)</f>
        <v>-1.5323245953425495</v>
      </c>
      <c r="AN136" s="1">
        <f t="shared" si="93"/>
        <v>-20.435694714212147</v>
      </c>
      <c r="AO136" s="1">
        <f t="shared" si="93"/>
        <v>-19.735694714212148</v>
      </c>
      <c r="AP136" s="1">
        <f t="shared" si="93"/>
        <v>-14.935694714212147</v>
      </c>
      <c r="AQ136" s="1">
        <f t="shared" si="92"/>
        <v>-6.1061674032217139</v>
      </c>
      <c r="AR136" s="1">
        <f t="shared" si="92"/>
        <v>-16.235694714212148</v>
      </c>
      <c r="AS136" s="1">
        <f t="shared" si="92"/>
        <v>-13.535694714212148</v>
      </c>
      <c r="AT136" s="1">
        <f t="shared" si="92"/>
        <v>-11.529028047545481</v>
      </c>
      <c r="AU136" s="1">
        <f t="shared" si="87"/>
        <v>-16.455694714212147</v>
      </c>
      <c r="AV136" s="1">
        <f t="shared" si="87"/>
        <v>-15.035694714212148</v>
      </c>
      <c r="AW136" s="1">
        <f>$J136+SUMPRODUCT(regions!BN135:BU135,regions!BN$204:BU$204)</f>
        <v>-9.2854345268379905</v>
      </c>
      <c r="AX136" s="1">
        <f t="shared" si="87"/>
        <v>-12.715694714212148</v>
      </c>
      <c r="AY136" s="1">
        <f t="shared" si="87"/>
        <v>-11.935694714212147</v>
      </c>
      <c r="AZ136" s="1">
        <f t="shared" si="87"/>
        <v>-11.935694714212147</v>
      </c>
      <c r="BB136" t="str">
        <f>Maddison!A57</f>
        <v>Nigeria</v>
      </c>
      <c r="BC136">
        <f>-Maddison!B57</f>
        <v>-3.5</v>
      </c>
      <c r="BD136" s="1">
        <f>K136-BC136</f>
        <v>-8.8333922046468487</v>
      </c>
      <c r="BE136" t="str">
        <f>RehdanzMaddison!P47</f>
        <v>Nigeria</v>
      </c>
      <c r="BF136" s="1">
        <f>-100*RehdanzMaddison!U47</f>
        <v>-18.126301973973806</v>
      </c>
      <c r="BG136" s="1">
        <f>-100*RehdanzMaddison!V47</f>
        <v>-30.557000086333829</v>
      </c>
      <c r="BH136" s="1">
        <f>$K136-BF136</f>
        <v>5.7929097693269576</v>
      </c>
      <c r="BI136" s="1">
        <f>$K136-BG136</f>
        <v>18.223607881686981</v>
      </c>
      <c r="BJ136" t="str">
        <f>MaddisonRehdanz!A55</f>
        <v>Nigeria</v>
      </c>
      <c r="BK136">
        <f>MaddisonRehdanz!D55</f>
        <v>-99.8</v>
      </c>
      <c r="BL136" s="1">
        <f>$K136-BK136</f>
        <v>87.466607795353156</v>
      </c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</row>
    <row r="137" spans="1:90" x14ac:dyDescent="0.35">
      <c r="A137" t="s">
        <v>173</v>
      </c>
      <c r="B137" s="19">
        <f>regions!B136</f>
        <v>4889252</v>
      </c>
      <c r="C137" s="19">
        <f>regions!C136</f>
        <v>315796662786.18549</v>
      </c>
      <c r="D137" s="8">
        <f>regions!D136</f>
        <v>64589.974659965468</v>
      </c>
      <c r="E137" s="8">
        <f>regions!E136</f>
        <v>26.821202904378584</v>
      </c>
      <c r="F137" s="8">
        <f>regions!F136</f>
        <v>1.5672355622520229</v>
      </c>
      <c r="G137" s="1">
        <f>regions!Z136</f>
        <v>1.5</v>
      </c>
      <c r="J137" s="1">
        <f t="shared" si="88"/>
        <v>19.636619601980463</v>
      </c>
      <c r="K137" s="1">
        <f t="shared" si="83"/>
        <v>4.6838733139557061</v>
      </c>
      <c r="L137" s="1">
        <f t="shared" si="59"/>
        <v>2.8676127864874292</v>
      </c>
      <c r="M137" s="1">
        <f t="shared" si="60"/>
        <v>3.5793484507970743</v>
      </c>
      <c r="N137" s="1">
        <f t="shared" si="94"/>
        <v>5.1851417312677857</v>
      </c>
      <c r="O137" s="1">
        <f t="shared" si="94"/>
        <v>2.781570804390407</v>
      </c>
      <c r="P137" s="1">
        <f t="shared" si="94"/>
        <v>4.781570804390407</v>
      </c>
      <c r="Q137" s="1">
        <f t="shared" si="94"/>
        <v>4.4515708043904088</v>
      </c>
      <c r="R137" s="1">
        <f t="shared" si="94"/>
        <v>2.1815708043904056</v>
      </c>
      <c r="S137" s="1">
        <f>$J137+SUMPRODUCT(regions!EI136:EN136,regions!EI$204:EN$204)</f>
        <v>2.2776559238936045</v>
      </c>
      <c r="T137" s="1">
        <f>$J137+SUMPRODUCT(regions!EQ136:EV136,regions!EQ$204:EV$204)</f>
        <v>2.6212243859977278</v>
      </c>
      <c r="U137" s="1">
        <f>$J137+SUMPRODUCT(regions!CM136:CU136,regions!CM$204:CU$204)</f>
        <v>2.8399545187455857</v>
      </c>
      <c r="V137" s="1">
        <f>$J137+SUMPRODUCT(regions!DH136:DM136,regions!DH$204:DM$204)</f>
        <v>7.4481288651433619</v>
      </c>
      <c r="W137" s="1">
        <f>$J137+SUMPRODUCT(regions!DP136:DW136,regions!DP$204:DW$204)</f>
        <v>0.81765592389360364</v>
      </c>
      <c r="X137" s="1">
        <f>$J137+SUMPRODUCT(regions!AB136:AE136,regions!AB$204:AE$204)</f>
        <v>4.292916860378341</v>
      </c>
      <c r="Y137" s="1">
        <f>$J137+SUMPRODUCT(regions!BX136:CJ136,regions!BX$204:CJ$204)</f>
        <v>1.2491834049123902</v>
      </c>
      <c r="Z137" s="1">
        <f>$J137+SUMPRODUCT(regions!CX136:DF136,regions!CX$204:DF$204)</f>
        <v>7.8399545187455857</v>
      </c>
      <c r="AA137" s="1">
        <f t="shared" si="89"/>
        <v>1.9</v>
      </c>
      <c r="AB137" s="1">
        <f t="shared" si="90"/>
        <v>0.71699981682613589</v>
      </c>
      <c r="AC137" s="1">
        <f>$J137+SUMPRODUCT(regions!DZ136:EG136,regions!DZ$204:EG$204)</f>
        <v>3.3701559238936021</v>
      </c>
      <c r="AD137" s="1">
        <f t="shared" si="85"/>
        <v>4.7915708043904086</v>
      </c>
      <c r="AE137" s="1">
        <f t="shared" si="85"/>
        <v>3.281570804390407</v>
      </c>
      <c r="AF137" s="1">
        <f t="shared" si="91"/>
        <v>3.2</v>
      </c>
      <c r="AG137" s="1">
        <f>$J137+SUMPRODUCT(regions!AX136:BK136,regions!AX$204:BK$204)</f>
        <v>3.34257164374662</v>
      </c>
      <c r="AH137" s="1">
        <f>$J137+SUMPRODUCT(regions!AG136:AV136,regions!AG$204:AV$204)</f>
        <v>5.4877537978396536</v>
      </c>
      <c r="AI137" s="1">
        <f t="shared" si="86"/>
        <v>3.781570804390407</v>
      </c>
      <c r="AJ137" s="1">
        <f>SartoriRoson!C134</f>
        <v>1.47</v>
      </c>
      <c r="AK137" s="1">
        <f>Kompas!E134</f>
        <v>-0.64600000000000002</v>
      </c>
      <c r="AL137" s="1">
        <f>$J137+SUMPRODUCT(regions!EY136:FW136,regions!EY$204:FW$204)</f>
        <v>4.0554456619380215</v>
      </c>
      <c r="AM137" s="1">
        <f>$J137+SUMPRODUCT(regions!FZ136:GF136,regions!FZ$204:GF$204)</f>
        <v>5.3683892271324751</v>
      </c>
      <c r="AN137" s="1">
        <f t="shared" si="93"/>
        <v>-3.4184291956095922</v>
      </c>
      <c r="AO137" s="1">
        <f t="shared" si="93"/>
        <v>-2.718429195609593</v>
      </c>
      <c r="AP137" s="1">
        <f t="shared" si="93"/>
        <v>2.0815708043904078</v>
      </c>
      <c r="AQ137" s="1">
        <f t="shared" si="92"/>
        <v>10.91109811538084</v>
      </c>
      <c r="AR137" s="1">
        <f t="shared" si="92"/>
        <v>0.78157080439040705</v>
      </c>
      <c r="AS137" s="1">
        <f t="shared" si="92"/>
        <v>3.4815708043904063</v>
      </c>
      <c r="AT137" s="1">
        <f t="shared" si="92"/>
        <v>5.488237471057074</v>
      </c>
      <c r="AU137" s="1">
        <f t="shared" si="87"/>
        <v>0.56157080439040818</v>
      </c>
      <c r="AV137" s="1">
        <f t="shared" si="87"/>
        <v>1.9815708043904063</v>
      </c>
      <c r="AW137" s="1">
        <f>$J137+SUMPRODUCT(regions!BN136:BU136,regions!BN$204:BU$204)</f>
        <v>3.2784097677410209</v>
      </c>
      <c r="AX137" s="1">
        <f t="shared" si="87"/>
        <v>4.3015708043904066</v>
      </c>
      <c r="AY137" s="1">
        <f t="shared" si="87"/>
        <v>5.0815708043904078</v>
      </c>
      <c r="AZ137" s="1">
        <f t="shared" si="87"/>
        <v>5.0815708043904078</v>
      </c>
      <c r="BB137" t="str">
        <f>Maddison!A58</f>
        <v>Norway</v>
      </c>
      <c r="BC137">
        <f>-Maddison!B58</f>
        <v>1.9</v>
      </c>
      <c r="BD137" s="1">
        <f>K137-BC137</f>
        <v>2.7838733139557061</v>
      </c>
      <c r="BE137" t="str">
        <f>RehdanzMaddison!P49</f>
        <v>Norway</v>
      </c>
      <c r="BF137" s="1">
        <f>-100*RehdanzMaddison!U49</f>
        <v>0.42026645997161494</v>
      </c>
      <c r="BG137" s="1">
        <f>-100*RehdanzMaddison!V49</f>
        <v>0.71699981682613589</v>
      </c>
      <c r="BH137" s="1">
        <f>$K137-BF137</f>
        <v>4.2636068539840908</v>
      </c>
      <c r="BI137" s="1">
        <f>$K137-BG137</f>
        <v>3.96687349712957</v>
      </c>
      <c r="BJ137" t="str">
        <f>MaddisonRehdanz!A56</f>
        <v>Norway</v>
      </c>
      <c r="BK137">
        <f>MaddisonRehdanz!D56</f>
        <v>3.2</v>
      </c>
      <c r="BL137" s="1">
        <f>$K137-BK137</f>
        <v>1.4838733139557059</v>
      </c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</row>
    <row r="138" spans="1:90" x14ac:dyDescent="0.35">
      <c r="A138" t="s">
        <v>398</v>
      </c>
      <c r="B138" s="19">
        <f>regions!B137</f>
        <v>2802768</v>
      </c>
      <c r="C138" s="19">
        <f>regions!C137</f>
        <v>41935096066.201286</v>
      </c>
      <c r="D138" s="8">
        <f>regions!D137</f>
        <v>14962.028989271066</v>
      </c>
      <c r="E138" s="8">
        <f>regions!E137</f>
        <v>2.5421323398971087</v>
      </c>
      <c r="F138" s="8">
        <f>regions!F137</f>
        <v>1.3822383359943231</v>
      </c>
      <c r="G138" s="1">
        <f>regions!Z137</f>
        <v>25.6</v>
      </c>
      <c r="J138" s="1">
        <f t="shared" si="88"/>
        <v>8.00652123065076</v>
      </c>
      <c r="K138" s="1">
        <f t="shared" si="83"/>
        <v>-6.9462250573739972</v>
      </c>
      <c r="L138" s="1">
        <f t="shared" si="59"/>
        <v>-7.3782597604726448</v>
      </c>
      <c r="M138" s="1">
        <f t="shared" si="60"/>
        <v>6.7003853859838518</v>
      </c>
      <c r="N138" s="1">
        <f t="shared" si="94"/>
        <v>-6.4449566400619176</v>
      </c>
      <c r="O138" s="1">
        <f t="shared" si="94"/>
        <v>-8.8485275669392962</v>
      </c>
      <c r="P138" s="1">
        <f t="shared" si="94"/>
        <v>-6.8485275669392962</v>
      </c>
      <c r="Q138" s="1">
        <f t="shared" si="94"/>
        <v>-7.1785275669392963</v>
      </c>
      <c r="R138" s="1">
        <f t="shared" si="94"/>
        <v>-9.4485275669392959</v>
      </c>
      <c r="S138" s="1">
        <f>$J138+SUMPRODUCT(regions!EI137:EN137,regions!EI$204:EN$204)</f>
        <v>-2.2545260716425073</v>
      </c>
      <c r="T138" s="1">
        <f>$J138+SUMPRODUCT(regions!EQ137:EV137,regions!EQ$204:EV$204)</f>
        <v>-1.7535381386577775</v>
      </c>
      <c r="U138" s="1">
        <f>$J138+SUMPRODUCT(regions!CM137:CU137,regions!CM$204:CU$204)</f>
        <v>-5.6202253430563456</v>
      </c>
      <c r="V138" s="1">
        <f>$J138+SUMPRODUCT(regions!DH137:DM137,regions!DH$204:DM$204)</f>
        <v>-4.1819695061863413</v>
      </c>
      <c r="W138" s="1">
        <f>$J138+SUMPRODUCT(regions!DP137:DW137,regions!DP$204:DW$204)</f>
        <v>-6.0215267555768417</v>
      </c>
      <c r="X138" s="1">
        <f>$J138+SUMPRODUCT(regions!AB137:AE137,regions!AB$204:AE$204)</f>
        <v>-7.3371815109513623</v>
      </c>
      <c r="Y138" s="1">
        <f>$J138+SUMPRODUCT(regions!BX137:CJ137,regions!BX$204:CJ$204)</f>
        <v>-2.5941816728187312</v>
      </c>
      <c r="Z138" s="1">
        <f>$J138+SUMPRODUCT(regions!CX137:DF137,regions!CX$204:DF$204)</f>
        <v>-0.42022534305634629</v>
      </c>
      <c r="AA138" s="1">
        <f t="shared" si="89"/>
        <v>-4.4415267676997985</v>
      </c>
      <c r="AB138" s="1">
        <f t="shared" si="90"/>
        <v>-6.0015871193843848</v>
      </c>
      <c r="AC138" s="1">
        <f>$J138+SUMPRODUCT(regions!DZ137:EG137,regions!DZ$204:EG$204)</f>
        <v>-2.4224267555768417</v>
      </c>
      <c r="AD138" s="1">
        <f t="shared" si="85"/>
        <v>-6.8385275669392964</v>
      </c>
      <c r="AE138" s="1">
        <f t="shared" si="85"/>
        <v>-8.3485275669392962</v>
      </c>
      <c r="AF138" s="1">
        <f t="shared" si="91"/>
        <v>-34.469469802044671</v>
      </c>
      <c r="AG138" s="1">
        <f>$J138+SUMPRODUCT(regions!AX137:BK137,regions!AX$204:BK$204)</f>
        <v>-2.1778429144646108</v>
      </c>
      <c r="AH138" s="1">
        <f>$J138+SUMPRODUCT(regions!AG137:AV137,regions!AG$204:AV$204)</f>
        <v>-11.559446288477064</v>
      </c>
      <c r="AI138" s="1">
        <f t="shared" si="86"/>
        <v>-7.8485275669392962</v>
      </c>
      <c r="AJ138" s="1">
        <f>SartoriRoson!C135</f>
        <v>-2.63</v>
      </c>
      <c r="AK138" s="1">
        <f>Kompas!E135</f>
        <v>-3.78</v>
      </c>
      <c r="AL138" s="1">
        <f>$J138+SUMPRODUCT(regions!EY137:FW137,regions!EY$204:FW$204)</f>
        <v>-3.5325067328059898</v>
      </c>
      <c r="AM138" s="1">
        <f>$J138+SUMPRODUCT(regions!FZ137:GF137,regions!FZ$204:GF$204)</f>
        <v>-0.96021356205635833</v>
      </c>
      <c r="AN138" s="1">
        <f t="shared" si="93"/>
        <v>-15.048527566939295</v>
      </c>
      <c r="AO138" s="1">
        <f t="shared" si="93"/>
        <v>-14.348527566939296</v>
      </c>
      <c r="AP138" s="1">
        <f t="shared" si="93"/>
        <v>-9.5485275669392955</v>
      </c>
      <c r="AQ138" s="1">
        <f t="shared" si="92"/>
        <v>-0.71900025594886152</v>
      </c>
      <c r="AR138" s="1">
        <f t="shared" si="92"/>
        <v>-10.848527566939296</v>
      </c>
      <c r="AS138" s="1">
        <f t="shared" si="92"/>
        <v>-8.1485275669392969</v>
      </c>
      <c r="AT138" s="1">
        <f t="shared" si="92"/>
        <v>-6.1418609002726292</v>
      </c>
      <c r="AU138" s="1">
        <f t="shared" si="87"/>
        <v>-11.068527566939295</v>
      </c>
      <c r="AV138" s="1">
        <f t="shared" si="87"/>
        <v>-9.6485275669392969</v>
      </c>
      <c r="AW138" s="1">
        <f>$J138+SUMPRODUCT(regions!BN137:BU137,regions!BN$204:BU$204)</f>
        <v>-3.898267379565139</v>
      </c>
      <c r="AX138" s="1">
        <f t="shared" si="87"/>
        <v>-7.3285275669392966</v>
      </c>
      <c r="AY138" s="1">
        <f t="shared" si="87"/>
        <v>-6.5485275669392964</v>
      </c>
      <c r="AZ138" s="1">
        <f t="shared" si="87"/>
        <v>-6.5485275669392964</v>
      </c>
      <c r="BF138" s="1"/>
      <c r="BG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</row>
    <row r="139" spans="1:90" x14ac:dyDescent="0.35">
      <c r="A139" t="s">
        <v>174</v>
      </c>
      <c r="B139" s="19">
        <f>regions!B138</f>
        <v>173149306</v>
      </c>
      <c r="C139" s="19">
        <f>regions!C138</f>
        <v>129517496849.86209</v>
      </c>
      <c r="D139" s="8">
        <f>regions!D138</f>
        <v>748.01048783794772</v>
      </c>
      <c r="E139" s="8">
        <f>regions!E138</f>
        <v>9.9754247596488206</v>
      </c>
      <c r="F139" s="8">
        <f>regions!F138</f>
        <v>23.281589636534505</v>
      </c>
      <c r="G139" s="1">
        <f>regions!Z138</f>
        <v>20.2</v>
      </c>
      <c r="J139" s="1">
        <f t="shared" si="88"/>
        <v>4.5525937395337008</v>
      </c>
      <c r="K139" s="1">
        <f t="shared" si="83"/>
        <v>-10.400152548491057</v>
      </c>
      <c r="L139" s="1">
        <f t="shared" si="59"/>
        <v>-11.769465125822443</v>
      </c>
      <c r="M139" s="1">
        <f t="shared" si="60"/>
        <v>16.55958539532158</v>
      </c>
      <c r="N139" s="1">
        <f t="shared" si="94"/>
        <v>-9.8988841311789759</v>
      </c>
      <c r="O139" s="1">
        <f t="shared" si="94"/>
        <v>-12.302455058056356</v>
      </c>
      <c r="P139" s="1">
        <f t="shared" si="94"/>
        <v>-10.302455058056356</v>
      </c>
      <c r="Q139" s="1">
        <f t="shared" si="94"/>
        <v>-10.632455058056355</v>
      </c>
      <c r="R139" s="1">
        <f t="shared" si="94"/>
        <v>-12.902455058056356</v>
      </c>
      <c r="S139" s="1">
        <f>$J139+SUMPRODUCT(regions!EI138:EN138,regions!EI$204:EN$204)</f>
        <v>-5.7084535627595665</v>
      </c>
      <c r="T139" s="1">
        <f>$J139+SUMPRODUCT(regions!EQ138:EV138,regions!EQ$204:EV$204)</f>
        <v>-5.2074656297748367</v>
      </c>
      <c r="U139" s="1">
        <f>$J139+SUMPRODUCT(regions!CM138:CU138,regions!CM$204:CU$204)</f>
        <v>-11.24541213280429</v>
      </c>
      <c r="V139" s="1">
        <f>$J139+SUMPRODUCT(regions!DH138:DM138,regions!DH$204:DM$204)</f>
        <v>-7.6358969973034005</v>
      </c>
      <c r="W139" s="1">
        <f>$J139+SUMPRODUCT(regions!DP138:DW138,regions!DP$204:DW$204)</f>
        <v>-11.41996229855399</v>
      </c>
      <c r="X139" s="1">
        <f>$J139+SUMPRODUCT(regions!AB138:AE138,regions!AB$204:AE$204)</f>
        <v>1.0360763913182591</v>
      </c>
      <c r="Y139" s="1">
        <f>$J139+SUMPRODUCT(regions!BX138:CJ138,regions!BX$204:CJ$204)</f>
        <v>-2.7519474653386498</v>
      </c>
      <c r="Z139" s="1">
        <f>$J139+SUMPRODUCT(regions!CX138:DF138,regions!CX$204:DF$204)</f>
        <v>-4.3454121328042925</v>
      </c>
      <c r="AA139" s="1">
        <f t="shared" si="89"/>
        <v>-11.9</v>
      </c>
      <c r="AB139" s="1">
        <f t="shared" si="90"/>
        <v>-9.4555146105014458</v>
      </c>
      <c r="AC139" s="1">
        <f>$J139+SUMPRODUCT(regions!DZ138:EG138,regions!DZ$204:EG$204)</f>
        <v>-5.9149622985539922</v>
      </c>
      <c r="AD139" s="1">
        <f t="shared" si="85"/>
        <v>-10.292455058056355</v>
      </c>
      <c r="AE139" s="1">
        <f t="shared" si="85"/>
        <v>-11.802455058056356</v>
      </c>
      <c r="AF139" s="1">
        <f t="shared" si="91"/>
        <v>-96.6</v>
      </c>
      <c r="AG139" s="1">
        <f>$J139+SUMPRODUCT(regions!AX138:BK138,regions!AX$204:BK$204)</f>
        <v>-2.6974563927987392</v>
      </c>
      <c r="AH139" s="1">
        <f>$J139+SUMPRODUCT(regions!AG138:AV138,regions!AG$204:AV$204)</f>
        <v>-5.4450183239511576</v>
      </c>
      <c r="AI139" s="1">
        <f t="shared" si="86"/>
        <v>-11.302455058056356</v>
      </c>
      <c r="AJ139" s="1">
        <f>SartoriRoson!C136</f>
        <v>-3.31</v>
      </c>
      <c r="AK139" s="1">
        <f>Kompas!E136</f>
        <v>-6.4349999999999996</v>
      </c>
      <c r="AL139" s="1">
        <f>$J139+SUMPRODUCT(regions!EY138:FW138,regions!EY$204:FW$204)</f>
        <v>-5.7004943129468666</v>
      </c>
      <c r="AM139" s="1">
        <f>$J139+SUMPRODUCT(regions!FZ138:GF138,regions!FZ$204:GF$204)</f>
        <v>-4.4141410531734175</v>
      </c>
      <c r="AN139" s="1">
        <f t="shared" si="93"/>
        <v>-18.502455058056356</v>
      </c>
      <c r="AO139" s="1">
        <f t="shared" si="93"/>
        <v>-17.802455058056356</v>
      </c>
      <c r="AP139" s="1">
        <f t="shared" si="93"/>
        <v>-13.002455058056356</v>
      </c>
      <c r="AQ139" s="1">
        <f t="shared" si="92"/>
        <v>-4.1729277470659216</v>
      </c>
      <c r="AR139" s="1">
        <f t="shared" si="92"/>
        <v>-14.302455058056356</v>
      </c>
      <c r="AS139" s="1">
        <f t="shared" si="92"/>
        <v>-11.602455058056355</v>
      </c>
      <c r="AT139" s="1">
        <f t="shared" si="92"/>
        <v>-9.5957883913896893</v>
      </c>
      <c r="AU139" s="1">
        <f t="shared" si="87"/>
        <v>-14.522455058056355</v>
      </c>
      <c r="AV139" s="1">
        <f t="shared" si="87"/>
        <v>-13.102455058056355</v>
      </c>
      <c r="AW139" s="1">
        <f>$J139+SUMPRODUCT(regions!BN138:BU138,regions!BN$204:BU$204)</f>
        <v>-9.0840602703755806</v>
      </c>
      <c r="AX139" s="1">
        <f t="shared" si="87"/>
        <v>-10.782455058056355</v>
      </c>
      <c r="AY139" s="1">
        <f t="shared" si="87"/>
        <v>-10.002455058056356</v>
      </c>
      <c r="AZ139" s="1">
        <f t="shared" si="87"/>
        <v>-10.002455058056356</v>
      </c>
      <c r="BB139" t="str">
        <f>Maddison!A59</f>
        <v>Pakistan</v>
      </c>
      <c r="BC139">
        <f>-Maddison!B59</f>
        <v>-11.9</v>
      </c>
      <c r="BD139" s="1">
        <f>K139-BC139</f>
        <v>1.4998474515089431</v>
      </c>
      <c r="BF139" s="1"/>
      <c r="BG139" s="1"/>
      <c r="BJ139" t="str">
        <f>MaddisonRehdanz!A57</f>
        <v>Pakistan</v>
      </c>
      <c r="BK139">
        <f>MaddisonRehdanz!D57</f>
        <v>-96.6</v>
      </c>
      <c r="BL139" s="1">
        <f>$K139-BK139</f>
        <v>86.19984745150893</v>
      </c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</row>
    <row r="140" spans="1:90" x14ac:dyDescent="0.35">
      <c r="A140" t="s">
        <v>399</v>
      </c>
      <c r="B140" s="19">
        <f>regions!B139</f>
        <v>20470</v>
      </c>
      <c r="C140" s="19">
        <f>regions!C139</f>
        <v>180183623.83524305</v>
      </c>
      <c r="D140" s="8">
        <f>regions!D139</f>
        <v>8802.3265185756245</v>
      </c>
      <c r="E140" s="8">
        <f>regions!E139</f>
        <v>17.020312419671875</v>
      </c>
      <c r="F140" s="8">
        <f>regions!F139</f>
        <v>3.88003312116681</v>
      </c>
      <c r="G140" s="1">
        <f>regions!Z139</f>
        <v>27.6</v>
      </c>
      <c r="J140" s="1">
        <f t="shared" si="88"/>
        <v>6.2954081034849754</v>
      </c>
      <c r="K140" s="1">
        <f t="shared" si="83"/>
        <v>-8.6573381845397819</v>
      </c>
      <c r="L140" s="1">
        <f t="shared" si="59"/>
        <v>-8.6791218036349189</v>
      </c>
      <c r="M140" s="1">
        <f t="shared" si="60"/>
        <v>7.4429445574701694</v>
      </c>
      <c r="N140" s="1">
        <f t="shared" si="94"/>
        <v>-8.1560697672277023</v>
      </c>
      <c r="O140" s="1">
        <f t="shared" si="94"/>
        <v>-10.559640694105081</v>
      </c>
      <c r="P140" s="1">
        <f t="shared" si="94"/>
        <v>-8.5596406941050809</v>
      </c>
      <c r="Q140" s="1">
        <f t="shared" si="94"/>
        <v>-8.889640694105081</v>
      </c>
      <c r="R140" s="1">
        <f t="shared" si="94"/>
        <v>-11.159640694105081</v>
      </c>
      <c r="S140" s="1">
        <f>$J140+SUMPRODUCT(regions!EI139:EN139,regions!EI$204:EN$204)</f>
        <v>-3.965639198808292</v>
      </c>
      <c r="T140" s="1">
        <f>$J140+SUMPRODUCT(regions!EQ139:EV139,regions!EQ$204:EV$204)</f>
        <v>-3.4646512658235622</v>
      </c>
      <c r="U140" s="1">
        <f>$J140+SUMPRODUCT(regions!CM139:CU139,regions!CM$204:CU$204)</f>
        <v>-9.5025977688530165</v>
      </c>
      <c r="V140" s="1">
        <f>$J140+SUMPRODUCT(regions!DH139:DM139,regions!DH$204:DM$204)</f>
        <v>-5.893082633352126</v>
      </c>
      <c r="W140" s="1">
        <f>$J140+SUMPRODUCT(regions!DP139:DW139,regions!DP$204:DW$204)</f>
        <v>-9.6771479346027167</v>
      </c>
      <c r="X140" s="1">
        <f>$J140+SUMPRODUCT(regions!AB139:AE139,regions!AB$204:AE$204)</f>
        <v>-3.658230682494322</v>
      </c>
      <c r="Y140" s="1">
        <f>$J140+SUMPRODUCT(regions!BX139:CJ139,regions!BX$204:CJ$204)</f>
        <v>6.2954081034849754</v>
      </c>
      <c r="Z140" s="1">
        <f>$J140+SUMPRODUCT(regions!CX139:DF139,regions!CX$204:DF$204)</f>
        <v>-2.602597768853018</v>
      </c>
      <c r="AA140" s="1">
        <f t="shared" si="89"/>
        <v>-6.1526398948655832</v>
      </c>
      <c r="AB140" s="1">
        <f t="shared" si="90"/>
        <v>-7.7127002465501695</v>
      </c>
      <c r="AC140" s="1">
        <f>$J140+SUMPRODUCT(regions!DZ139:EG139,regions!DZ$204:EG$204)</f>
        <v>-4.1721479346027177</v>
      </c>
      <c r="AD140" s="1">
        <f t="shared" si="85"/>
        <v>-8.5496406941050811</v>
      </c>
      <c r="AE140" s="1">
        <f t="shared" si="85"/>
        <v>-10.059640694105081</v>
      </c>
      <c r="AF140" s="1">
        <f t="shared" si="91"/>
        <v>-36.180582929210452</v>
      </c>
      <c r="AG140" s="1">
        <f>$J140+SUMPRODUCT(regions!AX139:BK139,regions!AX$204:BK$204)</f>
        <v>-2.6010982732224175</v>
      </c>
      <c r="AH140" s="1">
        <f>$J140+SUMPRODUCT(regions!AG139:AV139,regions!AG$204:AV$204)</f>
        <v>-10.355356598103347</v>
      </c>
      <c r="AI140" s="1">
        <f t="shared" si="86"/>
        <v>-9.5596406941050809</v>
      </c>
      <c r="AJ140" s="1">
        <f>SartoriRoson!C137</f>
        <v>-2.02</v>
      </c>
      <c r="AK140" s="1">
        <f>Kompas!E137</f>
        <v>-5.1710000000000003</v>
      </c>
      <c r="AL140" s="1">
        <f>$J140+SUMPRODUCT(regions!EY139:FW139,regions!EY$204:FW$204)</f>
        <v>-3.9576799489955921</v>
      </c>
      <c r="AM140" s="1">
        <f>$J140+SUMPRODUCT(regions!FZ139:GF139,regions!FZ$204:GF$204)</f>
        <v>-4.4350279227574561</v>
      </c>
      <c r="AN140" s="1">
        <f t="shared" si="93"/>
        <v>-16.75964069410508</v>
      </c>
      <c r="AO140" s="1">
        <f t="shared" si="93"/>
        <v>-16.059640694105081</v>
      </c>
      <c r="AP140" s="1">
        <f t="shared" si="93"/>
        <v>-11.25964069410508</v>
      </c>
      <c r="AQ140" s="1">
        <f t="shared" si="92"/>
        <v>-2.4301133831146462</v>
      </c>
      <c r="AR140" s="1">
        <f t="shared" si="92"/>
        <v>-12.559640694105081</v>
      </c>
      <c r="AS140" s="1">
        <f t="shared" si="92"/>
        <v>-9.8596406941050816</v>
      </c>
      <c r="AT140" s="1">
        <f t="shared" si="92"/>
        <v>-7.8529740274384139</v>
      </c>
      <c r="AU140" s="1">
        <f t="shared" si="87"/>
        <v>-12.77964069410508</v>
      </c>
      <c r="AV140" s="1">
        <f t="shared" si="87"/>
        <v>-11.359640694105082</v>
      </c>
      <c r="AW140" s="1">
        <f>$J140+SUMPRODUCT(regions!BN139:BU139,regions!BN$204:BU$204)</f>
        <v>-7.3412459064243052</v>
      </c>
      <c r="AX140" s="1">
        <f t="shared" si="87"/>
        <v>-9.0396406941050813</v>
      </c>
      <c r="AY140" s="1">
        <f t="shared" si="87"/>
        <v>-8.2596406941050802</v>
      </c>
      <c r="AZ140" s="1">
        <f t="shared" si="87"/>
        <v>-8.2596406941050802</v>
      </c>
      <c r="BF140" s="1"/>
      <c r="BG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</row>
    <row r="141" spans="1:90" x14ac:dyDescent="0.35">
      <c r="A141" t="s">
        <v>400</v>
      </c>
      <c r="B141" s="19">
        <f>regions!B140</f>
        <v>3811102</v>
      </c>
      <c r="C141" s="19">
        <f>regions!C140</f>
        <v>4836140076.078743</v>
      </c>
      <c r="D141" s="8">
        <f>regions!D140</f>
        <v>1268.9610711229307</v>
      </c>
      <c r="E141" s="8">
        <f>regions!E140</f>
        <v>5.4500013191470114</v>
      </c>
      <c r="F141" s="8">
        <f>regions!F140</f>
        <v>5.5839158093143801</v>
      </c>
      <c r="G141" s="1">
        <f>regions!Z140</f>
        <v>19.2</v>
      </c>
      <c r="J141" s="1">
        <f t="shared" si="88"/>
        <v>5.8882010141830063</v>
      </c>
      <c r="K141" s="1">
        <f t="shared" si="83"/>
        <v>-9.0645452738417518</v>
      </c>
      <c r="L141" s="1">
        <f t="shared" si="59"/>
        <v>-9.0960133175610487</v>
      </c>
      <c r="M141" s="1">
        <f t="shared" si="60"/>
        <v>7.3360202005827038</v>
      </c>
      <c r="N141" s="1">
        <f t="shared" si="94"/>
        <v>-8.5632768565296704</v>
      </c>
      <c r="O141" s="1">
        <f t="shared" si="94"/>
        <v>-10.966847783407051</v>
      </c>
      <c r="P141" s="1">
        <f t="shared" si="94"/>
        <v>-8.9668477834070508</v>
      </c>
      <c r="Q141" s="1">
        <f t="shared" si="94"/>
        <v>-9.2968477834070491</v>
      </c>
      <c r="R141" s="1">
        <f t="shared" si="94"/>
        <v>-11.56684778340705</v>
      </c>
      <c r="S141" s="1">
        <f>$J141+SUMPRODUCT(regions!EI140:EN140,regions!EI$204:EN$204)</f>
        <v>-4.372846288110261</v>
      </c>
      <c r="T141" s="1">
        <f>$J141+SUMPRODUCT(regions!EQ140:EV140,regions!EQ$204:EV$204)</f>
        <v>-3.8718583551255312</v>
      </c>
      <c r="U141" s="1">
        <f>$J141+SUMPRODUCT(regions!CM140:CU140,regions!CM$204:CU$204)</f>
        <v>-7.7385455595240993</v>
      </c>
      <c r="V141" s="1">
        <f>$J141+SUMPRODUCT(regions!DH140:DM140,regions!DH$204:DM$204)</f>
        <v>-6.300289722654095</v>
      </c>
      <c r="W141" s="1">
        <f>$J141+SUMPRODUCT(regions!DP140:DW140,regions!DP$204:DW$204)</f>
        <v>-8.1398469720445945</v>
      </c>
      <c r="X141" s="1">
        <f>$J141+SUMPRODUCT(regions!AB140:AE140,regions!AB$204:AE$204)</f>
        <v>-3.250204143156993</v>
      </c>
      <c r="Y141" s="1">
        <f>$J141+SUMPRODUCT(regions!BX140:CJ140,regions!BX$204:CJ$204)</f>
        <v>-1.4163401906893442</v>
      </c>
      <c r="Z141" s="1">
        <f>$J141+SUMPRODUCT(regions!CX140:DF140,regions!CX$204:DF$204)</f>
        <v>-2.5385455595241</v>
      </c>
      <c r="AA141" s="1">
        <f t="shared" si="89"/>
        <v>-6.5598469841675531</v>
      </c>
      <c r="AB141" s="1">
        <f t="shared" si="90"/>
        <v>-8.1199073358521403</v>
      </c>
      <c r="AC141" s="1">
        <f>$J141+SUMPRODUCT(regions!DZ140:EG140,regions!DZ$204:EG$204)</f>
        <v>-4.5407469720445954</v>
      </c>
      <c r="AD141" s="1">
        <f t="shared" si="85"/>
        <v>-8.9568477834070492</v>
      </c>
      <c r="AE141" s="1">
        <f t="shared" si="85"/>
        <v>-10.466847783407051</v>
      </c>
      <c r="AF141" s="1">
        <f t="shared" si="91"/>
        <v>-36.587790018512422</v>
      </c>
      <c r="AG141" s="1">
        <f>$J141+SUMPRODUCT(regions!AX140:BK140,regions!AX$204:BK$204)</f>
        <v>-4.2961631309323645</v>
      </c>
      <c r="AH141" s="1">
        <f>$J141+SUMPRODUCT(regions!AG140:AV140,regions!AG$204:AV$204)</f>
        <v>-13.677766504944817</v>
      </c>
      <c r="AI141" s="1">
        <f t="shared" si="86"/>
        <v>-9.9668477834070508</v>
      </c>
      <c r="AJ141" s="1">
        <f>SartoriRoson!C138</f>
        <v>-1.22</v>
      </c>
      <c r="AK141" s="1">
        <f>Kompas!E138</f>
        <v>-3.306</v>
      </c>
      <c r="AL141" s="1">
        <f>$J141+SUMPRODUCT(regions!EY140:FW140,regions!EY$204:FW$204)</f>
        <v>-5.6508269492737435</v>
      </c>
      <c r="AM141" s="1">
        <f>$J141+SUMPRODUCT(regions!FZ140:GF140,regions!FZ$204:GF$204)</f>
        <v>-3.078533778524112</v>
      </c>
      <c r="AN141" s="1">
        <f t="shared" si="93"/>
        <v>-17.16684778340705</v>
      </c>
      <c r="AO141" s="1">
        <f t="shared" si="93"/>
        <v>-16.466847783407051</v>
      </c>
      <c r="AP141" s="1">
        <f t="shared" si="93"/>
        <v>-11.66684778340705</v>
      </c>
      <c r="AQ141" s="1">
        <f t="shared" si="92"/>
        <v>-2.8373204724166161</v>
      </c>
      <c r="AR141" s="1">
        <f t="shared" si="92"/>
        <v>-12.966847783407051</v>
      </c>
      <c r="AS141" s="1">
        <f t="shared" si="92"/>
        <v>-10.26684778340705</v>
      </c>
      <c r="AT141" s="1">
        <f t="shared" si="92"/>
        <v>-8.2601811167403838</v>
      </c>
      <c r="AU141" s="1">
        <f t="shared" si="87"/>
        <v>-13.18684778340705</v>
      </c>
      <c r="AV141" s="1">
        <f t="shared" si="87"/>
        <v>-11.76684778340705</v>
      </c>
      <c r="AW141" s="1">
        <f>$J141+SUMPRODUCT(regions!BN140:BU140,regions!BN$204:BU$204)</f>
        <v>-6.0165875960328927</v>
      </c>
      <c r="AX141" s="1">
        <f t="shared" si="87"/>
        <v>-9.4468477834070494</v>
      </c>
      <c r="AY141" s="1">
        <f t="shared" si="87"/>
        <v>-8.6668477834070501</v>
      </c>
      <c r="AZ141" s="1">
        <f t="shared" si="87"/>
        <v>-8.6668477834070501</v>
      </c>
      <c r="BF141" s="1"/>
      <c r="BG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</row>
    <row r="142" spans="1:90" x14ac:dyDescent="0.35">
      <c r="A142" t="s">
        <v>175</v>
      </c>
      <c r="B142" s="19">
        <f>regions!B141</f>
        <v>3678128</v>
      </c>
      <c r="C142" s="19">
        <f>regions!C141</f>
        <v>22603329668.360188</v>
      </c>
      <c r="D142" s="8">
        <f>regions!D141</f>
        <v>6145.3352543359524</v>
      </c>
      <c r="E142" s="8">
        <f>regions!E141</f>
        <v>0</v>
      </c>
      <c r="F142" s="8">
        <f>regions!F141</f>
        <v>3.6130659267065037</v>
      </c>
      <c r="G142" s="1">
        <f>regions!Z141</f>
        <v>25.4</v>
      </c>
      <c r="J142" s="1">
        <f t="shared" si="88"/>
        <v>6.458495464946493</v>
      </c>
      <c r="K142" s="1">
        <f t="shared" si="83"/>
        <v>-8.4942508230782643</v>
      </c>
      <c r="L142" s="1">
        <f t="shared" si="59"/>
        <v>-8.5650256474931581</v>
      </c>
      <c r="M142" s="1">
        <f t="shared" si="60"/>
        <v>7.2046159289290612</v>
      </c>
      <c r="N142" s="1">
        <f t="shared" si="94"/>
        <v>-7.9929824057661847</v>
      </c>
      <c r="O142" s="1">
        <f t="shared" si="94"/>
        <v>-10.396553332643563</v>
      </c>
      <c r="P142" s="1">
        <f t="shared" si="94"/>
        <v>-8.3965533326435633</v>
      </c>
      <c r="Q142" s="1">
        <f t="shared" si="94"/>
        <v>-8.7265533326435634</v>
      </c>
      <c r="R142" s="1">
        <f t="shared" si="94"/>
        <v>-10.996553332643563</v>
      </c>
      <c r="S142" s="1">
        <f>$J142+SUMPRODUCT(regions!EI141:EN141,regions!EI$204:EN$204)</f>
        <v>-3.8025518373467744</v>
      </c>
      <c r="T142" s="1">
        <f>$J142+SUMPRODUCT(regions!EQ141:EV141,regions!EQ$204:EV$204)</f>
        <v>-3.3015639043620446</v>
      </c>
      <c r="U142" s="1">
        <f>$J142+SUMPRODUCT(regions!CM141:CU141,regions!CM$204:CU$204)</f>
        <v>-5.6364420129033856</v>
      </c>
      <c r="V142" s="1">
        <f>$J142+SUMPRODUCT(regions!DH141:DM141,regions!DH$204:DM$204)</f>
        <v>-5.7299952718906084</v>
      </c>
      <c r="W142" s="1">
        <f>$J142+SUMPRODUCT(regions!DP141:DW141,regions!DP$204:DW$204)</f>
        <v>-5.6264420129033841</v>
      </c>
      <c r="X142" s="1">
        <f>$J142+SUMPRODUCT(regions!AB141:AE141,regions!AB$204:AE$204)</f>
        <v>-3.4951433210328045</v>
      </c>
      <c r="Y142" s="1">
        <f>$J142+SUMPRODUCT(regions!BX141:CJ141,regions!BX$204:CJ$204)</f>
        <v>-4.0887766490133171</v>
      </c>
      <c r="Z142" s="1">
        <f>$J142+SUMPRODUCT(regions!CX141:DF141,regions!CX$204:DF$204)</f>
        <v>-1.4364420129033846</v>
      </c>
      <c r="AA142" s="1">
        <f t="shared" si="89"/>
        <v>-1.3</v>
      </c>
      <c r="AB142" s="1">
        <f t="shared" si="90"/>
        <v>-7.5496128850886519</v>
      </c>
      <c r="AC142" s="1">
        <f>$J142+SUMPRODUCT(regions!DZ141:EG141,regions!DZ$204:EG$204)</f>
        <v>-3.5873420129033846</v>
      </c>
      <c r="AD142" s="1">
        <f t="shared" si="85"/>
        <v>-8.3865533326435635</v>
      </c>
      <c r="AE142" s="1">
        <f t="shared" si="85"/>
        <v>-9.8965533326435633</v>
      </c>
      <c r="AF142" s="1">
        <f t="shared" si="91"/>
        <v>-36.017495567748938</v>
      </c>
      <c r="AG142" s="1">
        <f>$J142+SUMPRODUCT(regions!AX141:BK141,regions!AX$204:BK$204)</f>
        <v>-2.0256556783754327</v>
      </c>
      <c r="AH142" s="1">
        <f>$J142+SUMPRODUCT(regions!AG141:AV141,regions!AG$204:AV$204)</f>
        <v>-10.192269236641829</v>
      </c>
      <c r="AI142" s="1">
        <f t="shared" si="86"/>
        <v>-9.3965533326435633</v>
      </c>
      <c r="AJ142" s="1">
        <f>SartoriRoson!C139</f>
        <v>-8.57</v>
      </c>
      <c r="AK142" s="1">
        <f>Kompas!E139</f>
        <v>-9.58</v>
      </c>
      <c r="AL142" s="1">
        <f>$J142+SUMPRODUCT(regions!EY141:FW141,regions!EY$204:FW$204)</f>
        <v>-2.8594044563883099</v>
      </c>
      <c r="AM142" s="1">
        <f>$J142+SUMPRODUCT(regions!FZ141:GF141,regions!FZ$204:GF$204)</f>
        <v>0.59727946072931104</v>
      </c>
      <c r="AN142" s="1">
        <f t="shared" si="93"/>
        <v>-16.596553332643563</v>
      </c>
      <c r="AO142" s="1">
        <f t="shared" si="93"/>
        <v>-15.896553332643563</v>
      </c>
      <c r="AP142" s="1">
        <f t="shared" si="93"/>
        <v>-11.096553332643563</v>
      </c>
      <c r="AQ142" s="1">
        <f t="shared" si="92"/>
        <v>-2.2670260216531286</v>
      </c>
      <c r="AR142" s="1">
        <f t="shared" si="92"/>
        <v>-12.396553332643563</v>
      </c>
      <c r="AS142" s="1">
        <f t="shared" si="92"/>
        <v>-9.696553332643564</v>
      </c>
      <c r="AT142" s="1">
        <f t="shared" si="92"/>
        <v>-7.6898866659768963</v>
      </c>
      <c r="AU142" s="1">
        <f t="shared" si="87"/>
        <v>-12.616553332643562</v>
      </c>
      <c r="AV142" s="1">
        <f t="shared" si="87"/>
        <v>-11.196553332643564</v>
      </c>
      <c r="AW142" s="1">
        <f>$J142+SUMPRODUCT(regions!BN141:BU141,regions!BN$204:BU$204)</f>
        <v>-7.1781585449627876</v>
      </c>
      <c r="AX142" s="1">
        <f t="shared" si="87"/>
        <v>-8.8765533326435637</v>
      </c>
      <c r="AY142" s="1">
        <f t="shared" si="87"/>
        <v>-8.0965533326435626</v>
      </c>
      <c r="AZ142" s="1">
        <f t="shared" si="87"/>
        <v>-8.0965533326435626</v>
      </c>
      <c r="BB142" t="str">
        <f>Maddison!A60</f>
        <v>Panama</v>
      </c>
      <c r="BC142">
        <f>-Maddison!B60</f>
        <v>-1.3</v>
      </c>
      <c r="BD142" s="1">
        <f>K142-BC142</f>
        <v>-7.1942508230782645</v>
      </c>
      <c r="BF142" s="1"/>
      <c r="BG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</row>
    <row r="143" spans="1:90" x14ac:dyDescent="0.35">
      <c r="A143" t="s">
        <v>401</v>
      </c>
      <c r="B143" s="19">
        <f>regions!B142</f>
        <v>6858945</v>
      </c>
      <c r="C143" s="19">
        <f>regions!C142</f>
        <v>6553203635.5810919</v>
      </c>
      <c r="D143" s="8">
        <f>regions!D142</f>
        <v>955.42443270518891</v>
      </c>
      <c r="E143" s="8">
        <f>regions!E142</f>
        <v>0</v>
      </c>
      <c r="F143" s="8">
        <f>regions!F142</f>
        <v>19.609310487200659</v>
      </c>
      <c r="G143" s="1">
        <f>regions!Z142</f>
        <v>25.2</v>
      </c>
      <c r="J143" s="1">
        <f t="shared" si="88"/>
        <v>3.1391892759142479</v>
      </c>
      <c r="K143" s="1">
        <f t="shared" si="83"/>
        <v>-11.813557012110509</v>
      </c>
      <c r="L143" s="1">
        <f t="shared" si="59"/>
        <v>-11.767881031269381</v>
      </c>
      <c r="M143" s="1">
        <f t="shared" si="60"/>
        <v>8.1506352305019671</v>
      </c>
      <c r="N143" s="1">
        <f t="shared" si="94"/>
        <v>-11.31228859479843</v>
      </c>
      <c r="O143" s="1">
        <f t="shared" si="94"/>
        <v>-13.715859521675808</v>
      </c>
      <c r="P143" s="1">
        <f t="shared" si="94"/>
        <v>-11.715859521675808</v>
      </c>
      <c r="Q143" s="1">
        <f t="shared" si="94"/>
        <v>-12.045859521675808</v>
      </c>
      <c r="R143" s="1">
        <f t="shared" si="94"/>
        <v>-14.315859521675808</v>
      </c>
      <c r="S143" s="1">
        <f>$J143+SUMPRODUCT(regions!EI142:EN142,regions!EI$204:EN$204)</f>
        <v>-7.1218580263790194</v>
      </c>
      <c r="T143" s="1">
        <f>$J143+SUMPRODUCT(regions!EQ142:EV142,regions!EQ$204:EV$204)</f>
        <v>-6.6208700933942897</v>
      </c>
      <c r="U143" s="1">
        <f>$J143+SUMPRODUCT(regions!CM142:CU142,regions!CM$204:CU$204)</f>
        <v>-12.658816596423744</v>
      </c>
      <c r="V143" s="1">
        <f>$J143+SUMPRODUCT(regions!DH142:DM142,regions!DH$204:DM$204)</f>
        <v>-9.0493014609228535</v>
      </c>
      <c r="W143" s="1">
        <f>$J143+SUMPRODUCT(regions!DP142:DW142,regions!DP$204:DW$204)</f>
        <v>-12.833366762173444</v>
      </c>
      <c r="X143" s="1">
        <f>$J143+SUMPRODUCT(regions!AB142:AE142,regions!AB$204:AE$204)</f>
        <v>-0.37732807230119381</v>
      </c>
      <c r="Y143" s="1">
        <f>$J143+SUMPRODUCT(regions!BX142:CJ142,regions!BX$204:CJ$204)</f>
        <v>-7.4080828380455621</v>
      </c>
      <c r="Z143" s="1">
        <f>$J143+SUMPRODUCT(regions!CX142:DF142,regions!CX$204:DF$204)</f>
        <v>-5.7588165964237454</v>
      </c>
      <c r="AA143" s="1">
        <f t="shared" si="89"/>
        <v>-9.3088587224363106</v>
      </c>
      <c r="AB143" s="1">
        <f t="shared" si="90"/>
        <v>-10.868919074120898</v>
      </c>
      <c r="AC143" s="1">
        <f>$J143+SUMPRODUCT(regions!DZ142:EG142,regions!DZ$204:EG$204)</f>
        <v>-7.3283667621734452</v>
      </c>
      <c r="AD143" s="1">
        <f t="shared" si="85"/>
        <v>-11.705859521675809</v>
      </c>
      <c r="AE143" s="1">
        <f t="shared" si="85"/>
        <v>-13.215859521675808</v>
      </c>
      <c r="AF143" s="1">
        <f t="shared" si="91"/>
        <v>-39.336801756781178</v>
      </c>
      <c r="AG143" s="1">
        <f>$J143+SUMPRODUCT(regions!AX142:BK142,regions!AX$204:BK$204)</f>
        <v>-5.757317100793145</v>
      </c>
      <c r="AH143" s="1">
        <f>$J143+SUMPRODUCT(regions!AG142:AV142,regions!AG$204:AV$204)</f>
        <v>-14.814803406798603</v>
      </c>
      <c r="AI143" s="1">
        <f t="shared" si="86"/>
        <v>-12.715859521675808</v>
      </c>
      <c r="AJ143" s="1">
        <f>SartoriRoson!C140</f>
        <v>-2.02</v>
      </c>
      <c r="AK143" s="1">
        <f>Kompas!E140</f>
        <v>-5.1710000000000003</v>
      </c>
      <c r="AL143" s="1">
        <f>$J143+SUMPRODUCT(regions!EY142:FW142,regions!EY$204:FW$204)</f>
        <v>-7.1138987765663195</v>
      </c>
      <c r="AM143" s="1">
        <f>$J143+SUMPRODUCT(regions!FZ142:GF142,regions!FZ$204:GF$204)</f>
        <v>-7.5912467503281835</v>
      </c>
      <c r="AN143" s="1">
        <f t="shared" si="93"/>
        <v>-19.915859521675806</v>
      </c>
      <c r="AO143" s="1">
        <f t="shared" si="93"/>
        <v>-19.21585952167581</v>
      </c>
      <c r="AP143" s="1">
        <f t="shared" si="93"/>
        <v>-14.415859521675809</v>
      </c>
      <c r="AQ143" s="1">
        <f t="shared" si="92"/>
        <v>-5.5863322106853754</v>
      </c>
      <c r="AR143" s="1">
        <f t="shared" si="92"/>
        <v>-15.715859521675808</v>
      </c>
      <c r="AS143" s="1">
        <f t="shared" si="92"/>
        <v>-13.015859521675807</v>
      </c>
      <c r="AT143" s="1">
        <f t="shared" si="92"/>
        <v>-11.009192855009141</v>
      </c>
      <c r="AU143" s="1">
        <f t="shared" si="87"/>
        <v>-15.935859521675809</v>
      </c>
      <c r="AV143" s="1">
        <f t="shared" si="87"/>
        <v>-14.515859521675807</v>
      </c>
      <c r="AW143" s="1">
        <f>$J143+SUMPRODUCT(regions!BN142:BU142,regions!BN$204:BU$204)</f>
        <v>-8.7655993343016512</v>
      </c>
      <c r="AX143" s="1">
        <f t="shared" si="87"/>
        <v>-12.195859521675809</v>
      </c>
      <c r="AY143" s="1">
        <f t="shared" si="87"/>
        <v>-11.415859521675809</v>
      </c>
      <c r="AZ143" s="1">
        <f t="shared" si="87"/>
        <v>-11.415859521675809</v>
      </c>
      <c r="BF143" s="1"/>
      <c r="BG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</row>
    <row r="144" spans="1:90" x14ac:dyDescent="0.35">
      <c r="A144" t="s">
        <v>176</v>
      </c>
      <c r="B144" s="19">
        <f>regions!B143</f>
        <v>6459721</v>
      </c>
      <c r="C144" s="19">
        <f>regions!C143</f>
        <v>11148152913.231319</v>
      </c>
      <c r="D144" s="8">
        <f>regions!D143</f>
        <v>1725.7948003065951</v>
      </c>
      <c r="E144" s="8">
        <f>regions!E143</f>
        <v>12.063196025418852</v>
      </c>
      <c r="F144" s="8">
        <f>regions!F143</f>
        <v>20.37131170408405</v>
      </c>
      <c r="G144" s="1">
        <f>regions!Z143</f>
        <v>23.5</v>
      </c>
      <c r="J144" s="1">
        <f t="shared" si="88"/>
        <v>4.8495584733551897</v>
      </c>
      <c r="K144" s="1">
        <f t="shared" si="83"/>
        <v>-10.103187814669568</v>
      </c>
      <c r="L144" s="1">
        <f t="shared" si="59"/>
        <v>-9.8892691877148913</v>
      </c>
      <c r="M144" s="1">
        <f t="shared" si="60"/>
        <v>7.5947122248992205</v>
      </c>
      <c r="N144" s="1">
        <f t="shared" si="94"/>
        <v>-9.6019193973574879</v>
      </c>
      <c r="O144" s="1">
        <f t="shared" si="94"/>
        <v>-12.005490324234867</v>
      </c>
      <c r="P144" s="1">
        <f t="shared" si="94"/>
        <v>-10.005490324234867</v>
      </c>
      <c r="Q144" s="1">
        <f t="shared" si="94"/>
        <v>-10.335490324234867</v>
      </c>
      <c r="R144" s="1">
        <f t="shared" si="94"/>
        <v>-12.605490324234866</v>
      </c>
      <c r="S144" s="1">
        <f>$J144+SUMPRODUCT(regions!EI143:EN143,regions!EI$204:EN$204)</f>
        <v>-5.4114888289380776</v>
      </c>
      <c r="T144" s="1">
        <f>$J144+SUMPRODUCT(regions!EQ143:EV143,regions!EQ$204:EV$204)</f>
        <v>-4.9105008959533478</v>
      </c>
      <c r="U144" s="1">
        <f>$J144+SUMPRODUCT(regions!CM143:CU143,regions!CM$204:CU$204)</f>
        <v>-7.2453790044946889</v>
      </c>
      <c r="V144" s="1">
        <f>$J144+SUMPRODUCT(regions!DH143:DM143,regions!DH$204:DM$204)</f>
        <v>-7.3389322634819116</v>
      </c>
      <c r="W144" s="1">
        <f>$J144+SUMPRODUCT(regions!DP143:DW143,regions!DP$204:DW$204)</f>
        <v>-7.2353790044946873</v>
      </c>
      <c r="X144" s="1">
        <f>$J144+SUMPRODUCT(regions!AB143:AE143,regions!AB$204:AE$204)</f>
        <v>-4.2888466839848096</v>
      </c>
      <c r="Y144" s="1">
        <f>$J144+SUMPRODUCT(regions!BX143:CJ143,regions!BX$204:CJ$204)</f>
        <v>-5.6977136406046203</v>
      </c>
      <c r="Z144" s="1">
        <f>$J144+SUMPRODUCT(regions!CX143:DF143,regions!CX$204:DF$204)</f>
        <v>-3.0453790044946878</v>
      </c>
      <c r="AA144" s="1">
        <f t="shared" si="89"/>
        <v>-1.5</v>
      </c>
      <c r="AB144" s="1">
        <f t="shared" si="90"/>
        <v>-9.158549876679956</v>
      </c>
      <c r="AC144" s="1">
        <f>$J144+SUMPRODUCT(regions!DZ143:EG143,regions!DZ$204:EG$204)</f>
        <v>-5.1962790044946878</v>
      </c>
      <c r="AD144" s="1">
        <f t="shared" si="85"/>
        <v>-9.9954903242348667</v>
      </c>
      <c r="AE144" s="1">
        <f t="shared" si="85"/>
        <v>-11.505490324234867</v>
      </c>
      <c r="AF144" s="1">
        <f t="shared" si="91"/>
        <v>-37.626432559340238</v>
      </c>
      <c r="AG144" s="1">
        <f>$J144+SUMPRODUCT(regions!AX143:BK143,regions!AX$204:BK$204)</f>
        <v>-3.6345926699667359</v>
      </c>
      <c r="AH144" s="1">
        <f>$J144+SUMPRODUCT(regions!AG143:AV143,regions!AG$204:AV$204)</f>
        <v>-11.801206228233132</v>
      </c>
      <c r="AI144" s="1">
        <f t="shared" si="86"/>
        <v>-11.005490324234867</v>
      </c>
      <c r="AJ144" s="1">
        <f>SartoriRoson!C141</f>
        <v>-5.76</v>
      </c>
      <c r="AK144" s="1">
        <f>Kompas!E141</f>
        <v>-6.7290000000000001</v>
      </c>
      <c r="AL144" s="1">
        <f>$J144+SUMPRODUCT(regions!EY143:FW143,regions!EY$204:FW$204)</f>
        <v>-4.4683414479796131</v>
      </c>
      <c r="AM144" s="1">
        <f>$J144+SUMPRODUCT(regions!FZ143:GF143,regions!FZ$204:GF$204)</f>
        <v>-1.0116575308619922</v>
      </c>
      <c r="AN144" s="1">
        <f t="shared" si="93"/>
        <v>-18.205490324234866</v>
      </c>
      <c r="AO144" s="1">
        <f t="shared" si="93"/>
        <v>-17.505490324234867</v>
      </c>
      <c r="AP144" s="1">
        <f t="shared" si="93"/>
        <v>-12.705490324234866</v>
      </c>
      <c r="AQ144" s="1">
        <f t="shared" si="92"/>
        <v>-3.8759630132444318</v>
      </c>
      <c r="AR144" s="1">
        <f t="shared" si="92"/>
        <v>-14.005490324234867</v>
      </c>
      <c r="AS144" s="1">
        <f t="shared" si="92"/>
        <v>-11.305490324234867</v>
      </c>
      <c r="AT144" s="1">
        <f t="shared" si="92"/>
        <v>-9.2988236575681995</v>
      </c>
      <c r="AU144" s="1">
        <f t="shared" si="87"/>
        <v>-14.225490324234865</v>
      </c>
      <c r="AV144" s="1">
        <f t="shared" si="87"/>
        <v>-12.805490324234867</v>
      </c>
      <c r="AW144" s="1">
        <f>$J144+SUMPRODUCT(regions!BN143:BU143,regions!BN$204:BU$204)</f>
        <v>-8.7870955365540908</v>
      </c>
      <c r="AX144" s="1">
        <f t="shared" si="87"/>
        <v>-10.485490324234867</v>
      </c>
      <c r="AY144" s="1">
        <f t="shared" si="87"/>
        <v>-9.7054903242348658</v>
      </c>
      <c r="AZ144" s="1">
        <f t="shared" si="87"/>
        <v>-9.7054903242348658</v>
      </c>
      <c r="BB144" t="str">
        <f>Maddison!A61</f>
        <v>Paraguay</v>
      </c>
      <c r="BC144">
        <f>-Maddison!B61</f>
        <v>-1.5</v>
      </c>
      <c r="BD144" s="1">
        <f>K144-BC144</f>
        <v>-8.6031878146695675</v>
      </c>
      <c r="BF144" s="1"/>
      <c r="BG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</row>
    <row r="145" spans="1:90" x14ac:dyDescent="0.35">
      <c r="A145" t="s">
        <v>177</v>
      </c>
      <c r="B145" s="19">
        <f>regions!B144</f>
        <v>29262830</v>
      </c>
      <c r="C145" s="19">
        <f>regions!C144</f>
        <v>103487662932.25778</v>
      </c>
      <c r="D145" s="8">
        <f>regions!D144</f>
        <v>3536.4885396339923</v>
      </c>
      <c r="E145" s="8">
        <f>regions!E144</f>
        <v>15.466571757043122</v>
      </c>
      <c r="F145" s="8">
        <f>regions!F144</f>
        <v>6.8279972359783487</v>
      </c>
      <c r="G145" s="1">
        <f>regions!Z144</f>
        <v>19.600000000000001</v>
      </c>
      <c r="J145" s="1">
        <f t="shared" si="88"/>
        <v>7.6081935019142604</v>
      </c>
      <c r="K145" s="1">
        <f t="shared" si="83"/>
        <v>-7.3445527861104969</v>
      </c>
      <c r="L145" s="1">
        <f t="shared" ref="L145:L202" si="95">AVERAGE(N145:AZ145)+AVERAGE(N$1:AZ$1)</f>
        <v>-8.0740002973026819</v>
      </c>
      <c r="M145" s="1">
        <f t="shared" ref="M145:M202" si="96">SQRT(SUMPRODUCT(N145:AZ145,N145:AZ145)/32-L145^2)</f>
        <v>14.527220726605641</v>
      </c>
      <c r="N145" s="1">
        <f t="shared" si="94"/>
        <v>-6.8432843687984164</v>
      </c>
      <c r="O145" s="1">
        <f t="shared" si="94"/>
        <v>-9.2468552956757968</v>
      </c>
      <c r="P145" s="1">
        <f t="shared" si="94"/>
        <v>-7.2468552956757959</v>
      </c>
      <c r="Q145" s="1">
        <f t="shared" si="94"/>
        <v>-7.576855295675796</v>
      </c>
      <c r="R145" s="1">
        <f t="shared" si="94"/>
        <v>-9.8468552956757964</v>
      </c>
      <c r="S145" s="1">
        <f>$J145+SUMPRODUCT(regions!EI144:EN144,regions!EI$204:EN$204)</f>
        <v>-2.652853800379007</v>
      </c>
      <c r="T145" s="1">
        <f>$J145+SUMPRODUCT(regions!EQ144:EV144,regions!EQ$204:EV$204)</f>
        <v>-2.1518658673942772</v>
      </c>
      <c r="U145" s="1">
        <f>$J145+SUMPRODUCT(regions!CM144:CU144,regions!CM$204:CU$204)</f>
        <v>-4.4867439759356182</v>
      </c>
      <c r="V145" s="1">
        <f>$J145+SUMPRODUCT(regions!DH144:DM144,regions!DH$204:DM$204)</f>
        <v>-4.580297234922841</v>
      </c>
      <c r="W145" s="1">
        <f>$J145+SUMPRODUCT(regions!DP144:DW144,regions!DP$204:DW$204)</f>
        <v>-4.4767439759356167</v>
      </c>
      <c r="X145" s="1">
        <f>$J145+SUMPRODUCT(regions!AB144:AE144,regions!AB$204:AE$204)</f>
        <v>-1.530211655425739</v>
      </c>
      <c r="Y145" s="1">
        <f>$J145+SUMPRODUCT(regions!BX144:CJ144,regions!BX$204:CJ$204)</f>
        <v>-2.9390786120455497</v>
      </c>
      <c r="Z145" s="1">
        <f>$J145+SUMPRODUCT(regions!CX144:DF144,regions!CX$204:DF$204)</f>
        <v>-0.28674397593561718</v>
      </c>
      <c r="AA145" s="1">
        <f t="shared" si="89"/>
        <v>1.2</v>
      </c>
      <c r="AB145" s="1">
        <f t="shared" si="90"/>
        <v>1.8719133190475812</v>
      </c>
      <c r="AC145" s="1">
        <f>$J145+SUMPRODUCT(regions!DZ144:EG144,regions!DZ$204:EG$204)</f>
        <v>-2.4376439759356172</v>
      </c>
      <c r="AD145" s="1">
        <f t="shared" si="85"/>
        <v>-7.2368552956757961</v>
      </c>
      <c r="AE145" s="1">
        <f t="shared" si="85"/>
        <v>-8.7468552956757968</v>
      </c>
      <c r="AF145" s="1">
        <f t="shared" si="91"/>
        <v>-83</v>
      </c>
      <c r="AG145" s="1">
        <f>$J145+SUMPRODUCT(regions!AX144:BK144,regions!AX$204:BK$204)</f>
        <v>-0.8759576414076653</v>
      </c>
      <c r="AH145" s="1">
        <f>$J145+SUMPRODUCT(regions!AG144:AV144,regions!AG$204:AV$204)</f>
        <v>-9.042571199674061</v>
      </c>
      <c r="AI145" s="1">
        <f t="shared" si="86"/>
        <v>-8.2468552956757968</v>
      </c>
      <c r="AJ145" s="1">
        <f>SartoriRoson!C142</f>
        <v>-1.91</v>
      </c>
      <c r="AK145" s="1">
        <f>Kompas!E142</f>
        <v>-1.9339999999999999</v>
      </c>
      <c r="AL145" s="1">
        <f>$J145+SUMPRODUCT(regions!EY144:FW144,regions!EY$204:FW$204)</f>
        <v>-1.7097064194205425</v>
      </c>
      <c r="AM145" s="1">
        <f>$J145+SUMPRODUCT(regions!FZ144:GF144,regions!FZ$204:GF$204)</f>
        <v>1.7469774976970784</v>
      </c>
      <c r="AN145" s="1">
        <f t="shared" si="93"/>
        <v>-15.446855295675796</v>
      </c>
      <c r="AO145" s="1">
        <f t="shared" si="93"/>
        <v>-14.746855295675797</v>
      </c>
      <c r="AP145" s="1">
        <f t="shared" si="93"/>
        <v>-9.9468552956757961</v>
      </c>
      <c r="AQ145" s="1">
        <f t="shared" si="92"/>
        <v>-1.1173279846853621</v>
      </c>
      <c r="AR145" s="1">
        <f t="shared" si="92"/>
        <v>-11.246855295675797</v>
      </c>
      <c r="AS145" s="1">
        <f t="shared" si="92"/>
        <v>-8.5468552956757957</v>
      </c>
      <c r="AT145" s="1">
        <f t="shared" si="92"/>
        <v>-6.5401886290091289</v>
      </c>
      <c r="AU145" s="1">
        <f t="shared" si="87"/>
        <v>-11.466855295675796</v>
      </c>
      <c r="AV145" s="1">
        <f t="shared" si="87"/>
        <v>-10.046855295675796</v>
      </c>
      <c r="AW145" s="1">
        <f>$J145+SUMPRODUCT(regions!BN144:BU144,regions!BN$204:BU$204)</f>
        <v>-6.0284605079950202</v>
      </c>
      <c r="AX145" s="1">
        <f t="shared" si="87"/>
        <v>-7.7268552956757954</v>
      </c>
      <c r="AY145" s="1">
        <f t="shared" si="87"/>
        <v>-6.9468552956757961</v>
      </c>
      <c r="AZ145" s="1">
        <f t="shared" si="87"/>
        <v>-6.9468552956757961</v>
      </c>
      <c r="BB145" t="str">
        <f>Maddison!A62</f>
        <v>Peru</v>
      </c>
      <c r="BC145">
        <f>-Maddison!B62</f>
        <v>1.2</v>
      </c>
      <c r="BD145" s="1">
        <f>K145-BC145</f>
        <v>-8.5445527861104971</v>
      </c>
      <c r="BE145" t="str">
        <f>RehdanzMaddison!P50</f>
        <v>Peru</v>
      </c>
      <c r="BF145" s="1">
        <f>-100*RehdanzMaddison!U50</f>
        <v>1.7050811652351834</v>
      </c>
      <c r="BG145" s="1">
        <f>-100*RehdanzMaddison!V50</f>
        <v>1.8719133190475812</v>
      </c>
      <c r="BH145" s="1">
        <f t="shared" ref="BH145:BI149" si="97">$K145-BF145</f>
        <v>-9.0496339513456796</v>
      </c>
      <c r="BI145" s="1">
        <f t="shared" si="97"/>
        <v>-9.2164661051580783</v>
      </c>
      <c r="BJ145" t="str">
        <f>MaddisonRehdanz!A58</f>
        <v>Peru</v>
      </c>
      <c r="BK145">
        <f>MaddisonRehdanz!D58</f>
        <v>-83</v>
      </c>
      <c r="BL145" s="1">
        <f>$K145-BK145</f>
        <v>75.655447213889502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</row>
    <row r="146" spans="1:90" x14ac:dyDescent="0.35">
      <c r="A146" t="s">
        <v>178</v>
      </c>
      <c r="B146" s="19">
        <f>regions!B145</f>
        <v>93444322</v>
      </c>
      <c r="C146" s="19">
        <f>regions!C145</f>
        <v>131131009140.35426</v>
      </c>
      <c r="D146" s="8">
        <f>regions!D145</f>
        <v>1403.3063361554944</v>
      </c>
      <c r="E146" s="8">
        <f>regions!E145</f>
        <v>12.146992063352981</v>
      </c>
      <c r="F146" s="8">
        <f>regions!F145</f>
        <v>12.314327803253532</v>
      </c>
      <c r="G146" s="1">
        <f>regions!Z145</f>
        <v>25.8</v>
      </c>
      <c r="J146" s="1">
        <f t="shared" si="88"/>
        <v>3.6169647298183296</v>
      </c>
      <c r="K146" s="1">
        <f t="shared" si="83"/>
        <v>-11.335781558206428</v>
      </c>
      <c r="L146" s="1">
        <f t="shared" si="95"/>
        <v>-11.777088694908237</v>
      </c>
      <c r="M146" s="1">
        <f t="shared" si="96"/>
        <v>10.670671144120618</v>
      </c>
      <c r="N146" s="1">
        <f t="shared" ref="N146:R158" si="98">$J146+N$3-$J$3</f>
        <v>-10.834513140894348</v>
      </c>
      <c r="O146" s="1">
        <f t="shared" si="98"/>
        <v>-13.238084067771727</v>
      </c>
      <c r="P146" s="1">
        <f t="shared" si="98"/>
        <v>-11.238084067771727</v>
      </c>
      <c r="Q146" s="1">
        <f t="shared" si="98"/>
        <v>-11.568084067771727</v>
      </c>
      <c r="R146" s="1">
        <f t="shared" si="98"/>
        <v>-13.838084067771726</v>
      </c>
      <c r="S146" s="1">
        <f>$J146+SUMPRODUCT(regions!EI145:EN145,regions!EI$204:EN$204)</f>
        <v>-6.6440825724749377</v>
      </c>
      <c r="T146" s="1">
        <f>$J146+SUMPRODUCT(regions!EQ145:EV145,regions!EQ$204:EV$204)</f>
        <v>-6.143094639490208</v>
      </c>
      <c r="U146" s="1">
        <f>$J146+SUMPRODUCT(regions!CM145:CU145,regions!CM$204:CU$204)</f>
        <v>-12.181041142519662</v>
      </c>
      <c r="V146" s="1">
        <f>$J146+SUMPRODUCT(regions!DH145:DM145,regions!DH$204:DM$204)</f>
        <v>-8.5715260070187718</v>
      </c>
      <c r="W146" s="1">
        <f>$J146+SUMPRODUCT(regions!DP145:DW145,regions!DP$204:DW$204)</f>
        <v>-12.355591308269362</v>
      </c>
      <c r="X146" s="1">
        <f>$J146+SUMPRODUCT(regions!AB145:AE145,regions!AB$204:AE$204)</f>
        <v>-5.5214404275216697</v>
      </c>
      <c r="Y146" s="1">
        <f>$J146+SUMPRODUCT(regions!BX145:CJ145,regions!BX$204:CJ$204)</f>
        <v>-3.687576475054021</v>
      </c>
      <c r="Z146" s="1">
        <f>$J146+SUMPRODUCT(regions!CX145:DF145,regions!CX$204:DF$204)</f>
        <v>-5.2810411425196637</v>
      </c>
      <c r="AA146" s="1">
        <f t="shared" si="89"/>
        <v>-1.1000000000000001</v>
      </c>
      <c r="AB146" s="1">
        <f t="shared" si="90"/>
        <v>-1.0311362264380628</v>
      </c>
      <c r="AC146" s="1">
        <f>$J146+SUMPRODUCT(regions!DZ145:EG145,regions!DZ$204:EG$204)</f>
        <v>-6.8505913082693635</v>
      </c>
      <c r="AD146" s="1">
        <f t="shared" ref="AD146:AE158" si="99">$J146+AD$3-$J$3</f>
        <v>-11.228084067771727</v>
      </c>
      <c r="AE146" s="1">
        <f t="shared" si="99"/>
        <v>-12.738084067771727</v>
      </c>
      <c r="AF146" s="1">
        <f t="shared" si="91"/>
        <v>-58.3</v>
      </c>
      <c r="AG146" s="1">
        <f>$J146+SUMPRODUCT(regions!AX145:BK145,regions!AX$204:BK$204)</f>
        <v>-5.2795416468890632</v>
      </c>
      <c r="AH146" s="1">
        <f>$J146+SUMPRODUCT(regions!AG145:AV145,regions!AG$204:AV$204)</f>
        <v>-14.337027952894521</v>
      </c>
      <c r="AI146" s="1">
        <f t="shared" si="86"/>
        <v>-12.238084067771727</v>
      </c>
      <c r="AJ146" s="1">
        <f>SartoriRoson!C143</f>
        <v>-7.42</v>
      </c>
      <c r="AK146" s="1">
        <f>Kompas!E143</f>
        <v>-14.798</v>
      </c>
      <c r="AL146" s="1">
        <f>$J146+SUMPRODUCT(regions!EY145:FW145,regions!EY$204:FW$204)</f>
        <v>-4.9487098980214217</v>
      </c>
      <c r="AM146" s="1">
        <f>$J146+SUMPRODUCT(regions!FZ145:GF145,regions!FZ$204:GF$204)</f>
        <v>-5.3497700628887888</v>
      </c>
      <c r="AN146" s="1">
        <f t="shared" si="93"/>
        <v>-19.438084067771726</v>
      </c>
      <c r="AO146" s="1">
        <f t="shared" si="93"/>
        <v>-18.738084067771727</v>
      </c>
      <c r="AP146" s="1">
        <f t="shared" si="93"/>
        <v>-13.938084067771726</v>
      </c>
      <c r="AQ146" s="1">
        <f t="shared" si="92"/>
        <v>-5.108556756781292</v>
      </c>
      <c r="AR146" s="1">
        <f t="shared" si="92"/>
        <v>-15.238084067771727</v>
      </c>
      <c r="AS146" s="1">
        <f t="shared" si="92"/>
        <v>-12.538084067771727</v>
      </c>
      <c r="AT146" s="1">
        <f t="shared" si="92"/>
        <v>-10.53141740110506</v>
      </c>
      <c r="AU146" s="1">
        <f t="shared" si="87"/>
        <v>-15.458084067771726</v>
      </c>
      <c r="AV146" s="1">
        <f t="shared" si="87"/>
        <v>-14.038084067771727</v>
      </c>
      <c r="AW146" s="1">
        <f>$J146+SUMPRODUCT(regions!BN145:BU145,regions!BN$204:BU$204)</f>
        <v>-10.019689280090951</v>
      </c>
      <c r="AX146" s="1">
        <f t="shared" si="87"/>
        <v>-11.718084067771727</v>
      </c>
      <c r="AY146" s="1">
        <f t="shared" si="87"/>
        <v>-10.938084067771726</v>
      </c>
      <c r="AZ146" s="1">
        <f t="shared" si="87"/>
        <v>-10.938084067771726</v>
      </c>
      <c r="BB146" t="str">
        <f>Maddison!A63</f>
        <v>Philippines</v>
      </c>
      <c r="BC146">
        <f>-Maddison!B63</f>
        <v>-1.1000000000000001</v>
      </c>
      <c r="BD146" s="1">
        <f>K146-BC146</f>
        <v>-10.235781558206428</v>
      </c>
      <c r="BE146" t="str">
        <f>RehdanzMaddison!P51</f>
        <v>Philippines</v>
      </c>
      <c r="BF146" s="1">
        <f>-100*RehdanzMaddison!U51</f>
        <v>-0.89289128661153594</v>
      </c>
      <c r="BG146" s="1">
        <f>-100*RehdanzMaddison!V51</f>
        <v>-1.0311362264380628</v>
      </c>
      <c r="BH146" s="1">
        <f t="shared" si="97"/>
        <v>-10.442890271594891</v>
      </c>
      <c r="BI146" s="1">
        <f t="shared" si="97"/>
        <v>-10.304645331768365</v>
      </c>
      <c r="BJ146" t="str">
        <f>MaddisonRehdanz!A59</f>
        <v>Philippines</v>
      </c>
      <c r="BK146">
        <f>MaddisonRehdanz!D59</f>
        <v>-58.3</v>
      </c>
      <c r="BL146" s="1">
        <f>$K146-BK146</f>
        <v>46.96421844179357</v>
      </c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</row>
    <row r="147" spans="1:90" x14ac:dyDescent="0.35">
      <c r="A147" t="s">
        <v>179</v>
      </c>
      <c r="B147" s="19">
        <f>regions!B146</f>
        <v>38183683</v>
      </c>
      <c r="C147" s="19">
        <f>regions!C146</f>
        <v>383205737633.98334</v>
      </c>
      <c r="D147" s="8">
        <f>regions!D146</f>
        <v>10035.850591834826</v>
      </c>
      <c r="E147" s="8">
        <f>regions!E146</f>
        <v>16.549943333485551</v>
      </c>
      <c r="F147" s="8">
        <f>regions!F146</f>
        <v>2.5659068233679148</v>
      </c>
      <c r="G147" s="1">
        <f>regions!Z146</f>
        <v>7.8</v>
      </c>
      <c r="J147" s="1">
        <f t="shared" si="88"/>
        <v>13.898687961606889</v>
      </c>
      <c r="K147" s="1">
        <f t="shared" si="83"/>
        <v>-1.0540583264178682</v>
      </c>
      <c r="L147" s="1">
        <f t="shared" si="95"/>
        <v>-0.88569142640252596</v>
      </c>
      <c r="M147" s="1">
        <f t="shared" si="96"/>
        <v>4.6081604264628862</v>
      </c>
      <c r="N147" s="1">
        <f t="shared" si="98"/>
        <v>-0.55278990910578862</v>
      </c>
      <c r="O147" s="1">
        <f t="shared" si="98"/>
        <v>-2.9563608359831672</v>
      </c>
      <c r="P147" s="1">
        <f t="shared" si="98"/>
        <v>-0.95636083598316723</v>
      </c>
      <c r="Q147" s="1">
        <f t="shared" si="98"/>
        <v>-1.2863608359831673</v>
      </c>
      <c r="R147" s="1">
        <f t="shared" si="98"/>
        <v>-3.5563608359831669</v>
      </c>
      <c r="S147" s="1">
        <f>$J147+SUMPRODUCT(regions!EI146:EN146,regions!EI$204:EN$204)</f>
        <v>3.6376406593136217</v>
      </c>
      <c r="T147" s="1">
        <f>$J147+SUMPRODUCT(regions!EQ146:EV146,regions!EQ$204:EV$204)</f>
        <v>4.1386285922983514</v>
      </c>
      <c r="U147" s="1">
        <f>$J147+SUMPRODUCT(regions!CM146:CU146,regions!CM$204:CU$204)</f>
        <v>-0.7573188676292002</v>
      </c>
      <c r="V147" s="1">
        <f>$J147+SUMPRODUCT(regions!DH146:DM146,regions!DH$204:DM$204)</f>
        <v>1.7101972247697876</v>
      </c>
      <c r="W147" s="1">
        <f>$J147+SUMPRODUCT(regions!DP146:DW146,regions!DP$204:DW$204)</f>
        <v>-1.0573188676292009</v>
      </c>
      <c r="X147" s="1">
        <f>$J147+SUMPRODUCT(regions!AB146:AE146,regions!AB$204:AE$204)</f>
        <v>3.9450491756275916</v>
      </c>
      <c r="Y147" s="1">
        <f>$J147+SUMPRODUCT(regions!BX146:CJ146,regions!BX$204:CJ$204)</f>
        <v>-0.19417071788581097</v>
      </c>
      <c r="Z147" s="1">
        <f>$J147+SUMPRODUCT(regions!CX146:DF146,regions!CX$204:DF$204)</f>
        <v>0.94268113237079909</v>
      </c>
      <c r="AA147" s="1">
        <f t="shared" si="89"/>
        <v>2.8</v>
      </c>
      <c r="AB147" s="1">
        <f t="shared" si="90"/>
        <v>-0.36379577063158514</v>
      </c>
      <c r="AC147" s="1">
        <f>$J147+SUMPRODUCT(regions!DZ146:EG146,regions!DZ$204:EG$204)</f>
        <v>-0.62681886762920058</v>
      </c>
      <c r="AD147" s="1">
        <f t="shared" si="99"/>
        <v>-0.94636083598316745</v>
      </c>
      <c r="AE147" s="1">
        <f t="shared" si="99"/>
        <v>-2.4563608359831672</v>
      </c>
      <c r="AF147" s="1">
        <f t="shared" si="91"/>
        <v>18.3</v>
      </c>
      <c r="AG147" s="1">
        <f>$J147+SUMPRODUCT(regions!AX146:BK146,regions!AX$204:BK$204)</f>
        <v>0.1335111580827899</v>
      </c>
      <c r="AH147" s="1">
        <f>$J147+SUMPRODUCT(regions!AG146:AV146,regions!AG$204:AV$204)</f>
        <v>-0.50612080271576332</v>
      </c>
      <c r="AI147" s="1">
        <f t="shared" si="86"/>
        <v>-1.9563608359831672</v>
      </c>
      <c r="AJ147" s="1">
        <f>SartoriRoson!C144</f>
        <v>0.96</v>
      </c>
      <c r="AK147" s="1">
        <f>Kompas!E144</f>
        <v>-0.51400000000000001</v>
      </c>
      <c r="AL147" s="1">
        <f>$J147+SUMPRODUCT(regions!EY146:FW146,regions!EY$204:FW$204)</f>
        <v>-1.7053095078009743</v>
      </c>
      <c r="AM147" s="1">
        <f>$J147+SUMPRODUCT(regions!FZ146:GF146,regions!FZ$204:GF$204)</f>
        <v>-0.36954241324109915</v>
      </c>
      <c r="AN147" s="1">
        <f t="shared" si="93"/>
        <v>-9.1563608359831665</v>
      </c>
      <c r="AO147" s="1">
        <f t="shared" si="93"/>
        <v>-8.4563608359831672</v>
      </c>
      <c r="AP147" s="1">
        <f t="shared" si="93"/>
        <v>-3.6563608359831665</v>
      </c>
      <c r="AQ147" s="1">
        <f t="shared" si="92"/>
        <v>5.1731664750072657</v>
      </c>
      <c r="AR147" s="1">
        <f t="shared" si="92"/>
        <v>-4.9563608359831672</v>
      </c>
      <c r="AS147" s="1">
        <f t="shared" si="92"/>
        <v>-2.2563608359831679</v>
      </c>
      <c r="AT147" s="1">
        <f t="shared" si="92"/>
        <v>-0.24969416931650024</v>
      </c>
      <c r="AU147" s="1">
        <f t="shared" ref="AU147:AZ194" si="100">$J147+AU$3-$J$3</f>
        <v>-5.1763608359831661</v>
      </c>
      <c r="AV147" s="1">
        <f t="shared" si="100"/>
        <v>-3.7563608359831679</v>
      </c>
      <c r="AW147" s="1">
        <f>$J147+SUMPRODUCT(regions!BN146:BU146,regions!BN$204:BU$204)</f>
        <v>-1.163143381709105</v>
      </c>
      <c r="AX147" s="1">
        <f t="shared" si="100"/>
        <v>-1.4363608359831677</v>
      </c>
      <c r="AY147" s="1">
        <f t="shared" si="100"/>
        <v>-0.65636083598316652</v>
      </c>
      <c r="AZ147" s="1">
        <f t="shared" si="100"/>
        <v>-0.65636083598316652</v>
      </c>
      <c r="BB147" t="str">
        <f>Maddison!A64</f>
        <v>Poland</v>
      </c>
      <c r="BC147">
        <f>-Maddison!B64</f>
        <v>2.8</v>
      </c>
      <c r="BD147" s="1">
        <f>K147-BC147</f>
        <v>-3.8540583264178681</v>
      </c>
      <c r="BE147" t="str">
        <f>RehdanzMaddison!P52</f>
        <v>Poland</v>
      </c>
      <c r="BF147" s="1">
        <f>-100*RehdanzMaddison!U52</f>
        <v>-0.25986835656181151</v>
      </c>
      <c r="BG147" s="1">
        <f>-100*RehdanzMaddison!V52</f>
        <v>-0.36379577063158514</v>
      </c>
      <c r="BH147" s="1">
        <f t="shared" si="97"/>
        <v>-0.79418996985605672</v>
      </c>
      <c r="BI147" s="1">
        <f t="shared" si="97"/>
        <v>-0.69026255578628315</v>
      </c>
      <c r="BJ147" t="str">
        <f>MaddisonRehdanz!A60</f>
        <v>Poland</v>
      </c>
      <c r="BK147">
        <f>MaddisonRehdanz!D60</f>
        <v>18.3</v>
      </c>
      <c r="BL147" s="1">
        <f>$K147-BK147</f>
        <v>-19.354058326417871</v>
      </c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</row>
    <row r="148" spans="1:90" x14ac:dyDescent="0.35">
      <c r="A148" t="s">
        <v>180</v>
      </c>
      <c r="B148" s="19">
        <f>regions!B147</f>
        <v>10637346</v>
      </c>
      <c r="C148" s="19">
        <f>regions!C147</f>
        <v>197164604092.98117</v>
      </c>
      <c r="D148" s="8">
        <f>regions!D147</f>
        <v>18535.131234142536</v>
      </c>
      <c r="E148" s="8">
        <f>regions!E147</f>
        <v>19.698321587753341</v>
      </c>
      <c r="F148" s="8">
        <f>regions!F147</f>
        <v>1.9248522307131626</v>
      </c>
      <c r="G148" s="1">
        <f>regions!Z147</f>
        <v>15.1</v>
      </c>
      <c r="J148" s="1">
        <f t="shared" si="88"/>
        <v>12.302220338241652</v>
      </c>
      <c r="K148" s="1">
        <f t="shared" si="83"/>
        <v>-2.6505259497831055</v>
      </c>
      <c r="L148" s="1">
        <f t="shared" si="95"/>
        <v>-4.4334715132919289</v>
      </c>
      <c r="M148" s="1">
        <f t="shared" si="96"/>
        <v>5.5813995822840479</v>
      </c>
      <c r="N148" s="1">
        <f t="shared" si="98"/>
        <v>-2.1492575324710259</v>
      </c>
      <c r="O148" s="1">
        <f t="shared" si="98"/>
        <v>-4.5528284593484045</v>
      </c>
      <c r="P148" s="1">
        <f t="shared" si="98"/>
        <v>-2.5528284593484045</v>
      </c>
      <c r="Q148" s="1">
        <f t="shared" si="98"/>
        <v>-2.8828284593484046</v>
      </c>
      <c r="R148" s="1">
        <f t="shared" si="98"/>
        <v>-5.1528284593484042</v>
      </c>
      <c r="S148" s="1">
        <f>$J148+SUMPRODUCT(regions!EI147:EN147,regions!EI$204:EN$204)</f>
        <v>-4.4797960719514958</v>
      </c>
      <c r="T148" s="1">
        <f>$J148+SUMPRODUCT(regions!EQ147:EV147,regions!EQ$204:EV$204)</f>
        <v>-4.6797960719514951</v>
      </c>
      <c r="U148" s="1">
        <f>$J148+SUMPRODUCT(regions!CM147:CU147,regions!CM$204:CU$204)</f>
        <v>-4.4944447449932259</v>
      </c>
      <c r="V148" s="1">
        <f>$J148+SUMPRODUCT(regions!DH147:DM147,regions!DH$204:DM$204)</f>
        <v>-4.2562090455858534</v>
      </c>
      <c r="W148" s="1">
        <f>$J148+SUMPRODUCT(regions!DP147:DW147,regions!DP$204:DW$204)</f>
        <v>-4.3797960719514943</v>
      </c>
      <c r="X148" s="1">
        <f>$J148+SUMPRODUCT(regions!AB147:AE147,regions!AB$204:AE$204)</f>
        <v>-3.0414824033604706</v>
      </c>
      <c r="Y148" s="1">
        <f>$J148+SUMPRODUCT(regions!BX147:CJ147,regions!BX$204:CJ$204)</f>
        <v>-6.0852158588264214</v>
      </c>
      <c r="Z148" s="1">
        <f>$J148+SUMPRODUCT(regions!CX147:DF147,regions!CX$204:DF$204)</f>
        <v>0.50555525500677412</v>
      </c>
      <c r="AA148" s="1">
        <f t="shared" si="89"/>
        <v>2.5</v>
      </c>
      <c r="AB148" s="1">
        <f t="shared" si="90"/>
        <v>-1.9874690680442966</v>
      </c>
      <c r="AC148" s="1">
        <f>$J148+SUMPRODUCT(regions!DZ147:EG147,regions!DZ$204:EG$204)</f>
        <v>-4.3097960719514941</v>
      </c>
      <c r="AD148" s="1">
        <f t="shared" si="99"/>
        <v>-2.5428284593484047</v>
      </c>
      <c r="AE148" s="1">
        <f t="shared" si="99"/>
        <v>-4.0528284593484045</v>
      </c>
      <c r="AF148" s="1">
        <f t="shared" si="91"/>
        <v>-30.173770694453776</v>
      </c>
      <c r="AG148" s="1">
        <f>$J148+SUMPRODUCT(regions!AX147:BK147,regions!AX$204:BK$204)</f>
        <v>-1.9005660505591226</v>
      </c>
      <c r="AH148" s="1">
        <f>$J148+SUMPRODUCT(regions!AG147:AV147,regions!AG$204:AV$204)</f>
        <v>-1.846645465899158</v>
      </c>
      <c r="AI148" s="1">
        <f t="shared" si="86"/>
        <v>-3.5528284593484045</v>
      </c>
      <c r="AJ148" s="1">
        <f>SartoriRoson!C145</f>
        <v>-0.93</v>
      </c>
      <c r="AK148" s="1">
        <f>Kompas!E145</f>
        <v>-0.46</v>
      </c>
      <c r="AL148" s="1">
        <f>$J148+SUMPRODUCT(regions!EY147:FW147,regions!EY$204:FW$204)</f>
        <v>-3.3017771311662116</v>
      </c>
      <c r="AM148" s="1">
        <f>$J148+SUMPRODUCT(regions!FZ147:GF147,regions!FZ$204:GF$204)</f>
        <v>-1.9660100366063364</v>
      </c>
      <c r="AN148" s="1">
        <f t="shared" si="93"/>
        <v>-10.752828459348404</v>
      </c>
      <c r="AO148" s="1">
        <f t="shared" si="93"/>
        <v>-10.052828459348405</v>
      </c>
      <c r="AP148" s="1">
        <f t="shared" si="93"/>
        <v>-5.2528284593484056</v>
      </c>
      <c r="AQ148" s="1">
        <f t="shared" si="92"/>
        <v>3.5766988516420302</v>
      </c>
      <c r="AR148" s="1">
        <f t="shared" si="92"/>
        <v>-6.5528284593484045</v>
      </c>
      <c r="AS148" s="1">
        <f t="shared" si="92"/>
        <v>-3.8528284593484035</v>
      </c>
      <c r="AT148" s="1">
        <f t="shared" si="92"/>
        <v>-1.8461617926817375</v>
      </c>
      <c r="AU148" s="1">
        <f t="shared" si="100"/>
        <v>-6.7728284593484043</v>
      </c>
      <c r="AV148" s="1">
        <f t="shared" si="100"/>
        <v>-5.3528284593484035</v>
      </c>
      <c r="AW148" s="1">
        <f>$J148+SUMPRODUCT(regions!BN147:BU147,regions!BN$204:BU$204)</f>
        <v>-1.8366826434969035</v>
      </c>
      <c r="AX148" s="1">
        <f t="shared" si="100"/>
        <v>-3.0328284593484049</v>
      </c>
      <c r="AY148" s="1">
        <f t="shared" si="100"/>
        <v>-2.2528284593484038</v>
      </c>
      <c r="AZ148" s="1">
        <f t="shared" si="100"/>
        <v>-2.2528284593484038</v>
      </c>
      <c r="BB148" t="str">
        <f>Maddison!A65</f>
        <v>Portugal</v>
      </c>
      <c r="BC148">
        <f>-Maddison!B65</f>
        <v>2.5</v>
      </c>
      <c r="BD148" s="1">
        <f>K148-BC148</f>
        <v>-5.1505259497831055</v>
      </c>
      <c r="BE148" t="str">
        <f>RehdanzMaddison!P53</f>
        <v>Portugal</v>
      </c>
      <c r="BF148" s="1">
        <f>-100*RehdanzMaddison!U53</f>
        <v>-1.1770620733352086</v>
      </c>
      <c r="BG148" s="1">
        <f>-100*RehdanzMaddison!V53</f>
        <v>-1.9874690680442966</v>
      </c>
      <c r="BH148" s="1">
        <f t="shared" si="97"/>
        <v>-1.4734638764478969</v>
      </c>
      <c r="BI148" s="1">
        <f t="shared" si="97"/>
        <v>-0.66305688173880895</v>
      </c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</row>
    <row r="149" spans="1:90" x14ac:dyDescent="0.35">
      <c r="A149" t="s">
        <v>232</v>
      </c>
      <c r="B149" s="19">
        <f>regions!B148</f>
        <v>3721208</v>
      </c>
      <c r="C149" s="19">
        <f>regions!C148</f>
        <v>77337254437.921829</v>
      </c>
      <c r="D149" s="8">
        <f>regions!D148</f>
        <v>20782.83569150712</v>
      </c>
      <c r="E149" s="8">
        <f>regions!E148</f>
        <v>0</v>
      </c>
      <c r="F149" s="8">
        <f>regions!F148</f>
        <v>0.83552490907110488</v>
      </c>
      <c r="G149" s="1">
        <f>regions!Z148</f>
        <v>25.2</v>
      </c>
      <c r="J149" s="1">
        <f t="shared" si="88"/>
        <v>8.7544494357442364</v>
      </c>
      <c r="K149" s="1">
        <f t="shared" si="83"/>
        <v>-6.1982968522805209</v>
      </c>
      <c r="L149" s="1">
        <f t="shared" si="95"/>
        <v>-6.5785610903772778</v>
      </c>
      <c r="M149" s="1">
        <f t="shared" si="96"/>
        <v>6.5864896452877213</v>
      </c>
      <c r="N149" s="1">
        <f t="shared" si="98"/>
        <v>-5.6970284349684412</v>
      </c>
      <c r="O149" s="1">
        <f t="shared" si="98"/>
        <v>-8.1005993618458199</v>
      </c>
      <c r="P149" s="1">
        <f t="shared" si="98"/>
        <v>-6.1005993618458199</v>
      </c>
      <c r="Q149" s="1">
        <f t="shared" si="98"/>
        <v>-6.4305993618458199</v>
      </c>
      <c r="R149" s="1">
        <f t="shared" si="98"/>
        <v>-8.7005993618458195</v>
      </c>
      <c r="S149" s="1">
        <f>$J149+SUMPRODUCT(regions!EI148:EN148,regions!EI$204:EN$204)</f>
        <v>-1.5065978665490309</v>
      </c>
      <c r="T149" s="1">
        <f>$J149+SUMPRODUCT(regions!EQ148:EV148,regions!EQ$204:EV$204)</f>
        <v>-1.0056099335643012</v>
      </c>
      <c r="U149" s="1">
        <f>$J149+SUMPRODUCT(regions!CM148:CU148,regions!CM$204:CU$204)</f>
        <v>-3.3404880421056422</v>
      </c>
      <c r="V149" s="1">
        <f>$J149+SUMPRODUCT(regions!DH148:DM148,regions!DH$204:DM$204)</f>
        <v>-3.434041301092865</v>
      </c>
      <c r="W149" s="1">
        <f>$J149+SUMPRODUCT(regions!DP148:DW148,regions!DP$204:DW$204)</f>
        <v>-3.3304880421056406</v>
      </c>
      <c r="X149" s="1">
        <f>$J149+SUMPRODUCT(regions!AB148:AE148,regions!AB$204:AE$204)</f>
        <v>-6.5892533058578859</v>
      </c>
      <c r="Y149" s="1">
        <f>$J149+SUMPRODUCT(regions!BX148:CJ148,regions!BX$204:CJ$204)</f>
        <v>-3.630873313486001</v>
      </c>
      <c r="Z149" s="1">
        <f>$J149+SUMPRODUCT(regions!CX148:DF148,regions!CX$204:DF$204)</f>
        <v>0.85951195789435886</v>
      </c>
      <c r="AA149" s="1">
        <f t="shared" si="89"/>
        <v>-3.6935985626063226</v>
      </c>
      <c r="AB149" s="1">
        <f t="shared" si="90"/>
        <v>-0.29048009086012322</v>
      </c>
      <c r="AC149" s="1">
        <f>$J149+SUMPRODUCT(regions!DZ148:EG148,regions!DZ$204:EG$204)</f>
        <v>-1.2913880421056412</v>
      </c>
      <c r="AD149" s="1">
        <f t="shared" si="99"/>
        <v>-6.0905993618458201</v>
      </c>
      <c r="AE149" s="1">
        <f t="shared" si="99"/>
        <v>-7.6005993618458199</v>
      </c>
      <c r="AF149" s="1">
        <f t="shared" si="91"/>
        <v>-33.721541596951191</v>
      </c>
      <c r="AG149" s="1">
        <f>$J149+SUMPRODUCT(regions!AX148:BK148,regions!AX$204:BK$204)</f>
        <v>0.27029829242231074</v>
      </c>
      <c r="AH149" s="1">
        <f>$J149+SUMPRODUCT(regions!AG148:AV148,regions!AG$204:AV$204)</f>
        <v>-7.8963152658440858</v>
      </c>
      <c r="AI149" s="1">
        <f t="shared" si="86"/>
        <v>-7.1005993618458199</v>
      </c>
      <c r="AJ149" s="1">
        <f>SartoriRoson!C146</f>
        <v>-2.74</v>
      </c>
      <c r="AK149" s="1">
        <f>Kompas!E146</f>
        <v>-6.5270000000000001</v>
      </c>
      <c r="AL149" s="1">
        <f>$J149+SUMPRODUCT(regions!EY148:FW148,regions!EY$204:FW$204)</f>
        <v>-0.56345048559056643</v>
      </c>
      <c r="AM149" s="1">
        <f>$J149+SUMPRODUCT(regions!FZ148:GF148,regions!FZ$204:GF$204)</f>
        <v>-6.5134574596035595</v>
      </c>
      <c r="AN149" s="1">
        <f t="shared" si="93"/>
        <v>-14.300599361845819</v>
      </c>
      <c r="AO149" s="1">
        <f t="shared" si="93"/>
        <v>-13.60059936184582</v>
      </c>
      <c r="AP149" s="1">
        <f t="shared" si="93"/>
        <v>-8.8005993618458191</v>
      </c>
      <c r="AQ149" s="1">
        <f t="shared" si="92"/>
        <v>2.8927949144614828E-2</v>
      </c>
      <c r="AR149" s="1">
        <f t="shared" si="92"/>
        <v>-10.10059936184582</v>
      </c>
      <c r="AS149" s="1">
        <f t="shared" si="92"/>
        <v>-7.4005993618458197</v>
      </c>
      <c r="AT149" s="1">
        <f t="shared" si="92"/>
        <v>-5.3939326951791529</v>
      </c>
      <c r="AU149" s="1">
        <f t="shared" si="100"/>
        <v>-10.320599361845819</v>
      </c>
      <c r="AV149" s="1">
        <f t="shared" si="100"/>
        <v>-8.9005993618458206</v>
      </c>
      <c r="AW149" s="1">
        <f>$J149+SUMPRODUCT(regions!BN148:BU148,regions!BN$204:BU$204)</f>
        <v>-4.8822045741650442</v>
      </c>
      <c r="AX149" s="1">
        <f t="shared" si="100"/>
        <v>-6.5805993618458203</v>
      </c>
      <c r="AY149" s="1">
        <f t="shared" si="100"/>
        <v>-5.8005993618458191</v>
      </c>
      <c r="AZ149" s="1">
        <f t="shared" si="100"/>
        <v>-5.8005993618458191</v>
      </c>
      <c r="BE149" t="str">
        <f>RehdanzMaddison!P54</f>
        <v>Puerto Rico</v>
      </c>
      <c r="BF149" s="1">
        <f>-100*RehdanzMaddison!U54</f>
        <v>-0.18216955838933685</v>
      </c>
      <c r="BG149" s="1">
        <f>-100*RehdanzMaddison!V54</f>
        <v>-0.29048009086012322</v>
      </c>
      <c r="BH149" s="1">
        <f t="shared" si="97"/>
        <v>-6.0161272938911843</v>
      </c>
      <c r="BI149" s="1">
        <f t="shared" si="97"/>
        <v>-5.9078167614203974</v>
      </c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</row>
    <row r="150" spans="1:90" x14ac:dyDescent="0.35">
      <c r="A150" t="s">
        <v>402</v>
      </c>
      <c r="B150" s="19">
        <f>regions!B149</f>
        <v>1749713</v>
      </c>
      <c r="C150" s="19">
        <f>regions!C149</f>
        <v>101932972130.43025</v>
      </c>
      <c r="D150" s="8">
        <f>regions!D149</f>
        <v>58256.966788513462</v>
      </c>
      <c r="E150" s="8">
        <f>regions!E149</f>
        <v>14.654950961848447</v>
      </c>
      <c r="F150" s="8">
        <f>regions!F149</f>
        <v>0.1179066122065671</v>
      </c>
      <c r="G150" s="1">
        <f>regions!Z149</f>
        <v>27.2</v>
      </c>
      <c r="J150" s="1">
        <f t="shared" si="88"/>
        <v>9.8899343750975515</v>
      </c>
      <c r="K150" s="1">
        <f t="shared" si="83"/>
        <v>-5.0628119129272058</v>
      </c>
      <c r="L150" s="1">
        <f t="shared" si="95"/>
        <v>-5.6792267772795366</v>
      </c>
      <c r="M150" s="1">
        <f t="shared" si="96"/>
        <v>6.3960945472599819</v>
      </c>
      <c r="N150" s="1">
        <f t="shared" si="98"/>
        <v>-4.5615434956151262</v>
      </c>
      <c r="O150" s="1">
        <f t="shared" si="98"/>
        <v>-6.9651144224925048</v>
      </c>
      <c r="P150" s="1">
        <f t="shared" si="98"/>
        <v>-4.9651144224925048</v>
      </c>
      <c r="Q150" s="1">
        <f t="shared" si="98"/>
        <v>-5.2951144224925049</v>
      </c>
      <c r="R150" s="1">
        <f t="shared" si="98"/>
        <v>-7.5651144224925044</v>
      </c>
      <c r="S150" s="1">
        <f>$J150+SUMPRODUCT(regions!EI149:EN149,regions!EI$204:EN$204)</f>
        <v>-0.37111292719571587</v>
      </c>
      <c r="T150" s="1">
        <f>$J150+SUMPRODUCT(regions!EQ149:EV149,regions!EQ$204:EV$204)</f>
        <v>0.1298750057890139</v>
      </c>
      <c r="U150" s="1">
        <f>$J150+SUMPRODUCT(regions!CM149:CU149,regions!CM$204:CU$204)</f>
        <v>-3.7368121986095542</v>
      </c>
      <c r="V150" s="1">
        <f>$J150+SUMPRODUCT(regions!DH149:DM149,regions!DH$204:DM$204)</f>
        <v>-2.2985563617395499</v>
      </c>
      <c r="W150" s="1">
        <f>$J150+SUMPRODUCT(regions!DP149:DW149,regions!DP$204:DW$204)</f>
        <v>-4.1381136111300503</v>
      </c>
      <c r="X150" s="1">
        <f>$J150+SUMPRODUCT(regions!AB149:AE149,regions!AB$204:AE$204)</f>
        <v>-5.4537683665045709</v>
      </c>
      <c r="Y150" s="1">
        <f>$J150+SUMPRODUCT(regions!BX149:CJ149,regions!BX$204:CJ$204)</f>
        <v>-0.71076852837193982</v>
      </c>
      <c r="Z150" s="1">
        <f>$J150+SUMPRODUCT(regions!CX149:DF149,regions!CX$204:DF$204)</f>
        <v>1.4631878013904451</v>
      </c>
      <c r="AA150" s="1">
        <f t="shared" si="89"/>
        <v>-2.5581136232530075</v>
      </c>
      <c r="AB150" s="1">
        <f t="shared" si="90"/>
        <v>-4.1181739749375934</v>
      </c>
      <c r="AC150" s="1">
        <f>$J150+SUMPRODUCT(regions!DZ149:EG149,regions!DZ$204:EG$204)</f>
        <v>-0.53901361113005031</v>
      </c>
      <c r="AD150" s="1">
        <f t="shared" si="99"/>
        <v>-4.955114422492505</v>
      </c>
      <c r="AE150" s="1">
        <f t="shared" si="99"/>
        <v>-6.4651144224925048</v>
      </c>
      <c r="AF150" s="1">
        <f t="shared" si="91"/>
        <v>-32.586056657597879</v>
      </c>
      <c r="AG150" s="1">
        <f>$J150+SUMPRODUCT(regions!AX149:BK149,regions!AX$204:BK$204)</f>
        <v>-0.29442977001781934</v>
      </c>
      <c r="AH150" s="1">
        <f>$J150+SUMPRODUCT(regions!AG149:AV149,regions!AG$204:AV$204)</f>
        <v>-9.6760331440302725</v>
      </c>
      <c r="AI150" s="1">
        <f t="shared" si="86"/>
        <v>-5.9651144224925048</v>
      </c>
      <c r="AJ150" s="1">
        <f>SartoriRoson!C147</f>
        <v>-2.5299999999999998</v>
      </c>
      <c r="AK150" s="1">
        <f>Kompas!E147</f>
        <v>-7.3040000000000003</v>
      </c>
      <c r="AL150" s="1">
        <f>$J150+SUMPRODUCT(regions!EY149:FW149,regions!EY$204:FW$204)</f>
        <v>-1.6490935883591984</v>
      </c>
      <c r="AM150" s="1">
        <f>$J150+SUMPRODUCT(regions!FZ149:GF149,regions!FZ$204:GF$204)</f>
        <v>0.92319958239043309</v>
      </c>
      <c r="AN150" s="1">
        <f t="shared" si="93"/>
        <v>-13.165114422492504</v>
      </c>
      <c r="AO150" s="1">
        <f t="shared" si="93"/>
        <v>-12.465114422492505</v>
      </c>
      <c r="AP150" s="1">
        <f t="shared" si="93"/>
        <v>-7.665114422492505</v>
      </c>
      <c r="AQ150" s="1">
        <f t="shared" si="92"/>
        <v>1.1644128884979299</v>
      </c>
      <c r="AR150" s="1">
        <f t="shared" si="92"/>
        <v>-8.9651144224925048</v>
      </c>
      <c r="AS150" s="1">
        <f t="shared" si="92"/>
        <v>-6.2651144224925046</v>
      </c>
      <c r="AT150" s="1">
        <f t="shared" si="92"/>
        <v>-4.2584477558258378</v>
      </c>
      <c r="AU150" s="1">
        <f t="shared" si="100"/>
        <v>-9.1851144224925036</v>
      </c>
      <c r="AV150" s="1">
        <f t="shared" si="100"/>
        <v>-7.7651144224925046</v>
      </c>
      <c r="AW150" s="1">
        <f>$J150+SUMPRODUCT(regions!BN149:BU149,regions!BN$204:BU$204)</f>
        <v>-2.0148542351183476</v>
      </c>
      <c r="AX150" s="1">
        <f t="shared" si="100"/>
        <v>-5.4451144224925052</v>
      </c>
      <c r="AY150" s="1">
        <f t="shared" si="100"/>
        <v>-4.6651144224925041</v>
      </c>
      <c r="AZ150" s="1">
        <f t="shared" si="100"/>
        <v>-4.6651144224925041</v>
      </c>
      <c r="BF150" s="1"/>
      <c r="BG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</row>
    <row r="151" spans="1:90" x14ac:dyDescent="0.35">
      <c r="A151" t="s">
        <v>181</v>
      </c>
      <c r="B151" s="19">
        <f>regions!B150</f>
        <v>21438001</v>
      </c>
      <c r="C151" s="19">
        <f>regions!C150</f>
        <v>114088972368.88327</v>
      </c>
      <c r="D151" s="8">
        <f>regions!D150</f>
        <v>5321.8101990424975</v>
      </c>
      <c r="E151" s="8">
        <f>regions!E150</f>
        <v>16.571847737118915</v>
      </c>
      <c r="F151" s="8">
        <f>regions!F150</f>
        <v>5.4528547166052856</v>
      </c>
      <c r="G151" s="1">
        <f>regions!Z150</f>
        <v>8.8000000000000007</v>
      </c>
      <c r="J151" s="1">
        <f t="shared" si="88"/>
        <v>12.370151250996829</v>
      </c>
      <c r="K151" s="1">
        <f t="shared" si="83"/>
        <v>-2.5825950370279287</v>
      </c>
      <c r="L151" s="1">
        <f t="shared" si="95"/>
        <v>-2.771266819066418</v>
      </c>
      <c r="M151" s="1">
        <f t="shared" si="96"/>
        <v>3.4448152105074064</v>
      </c>
      <c r="N151" s="1">
        <f t="shared" si="98"/>
        <v>-2.0813266197158491</v>
      </c>
      <c r="O151" s="1">
        <f t="shared" si="98"/>
        <v>-4.4848975465932277</v>
      </c>
      <c r="P151" s="1">
        <f t="shared" si="98"/>
        <v>-2.4848975465932277</v>
      </c>
      <c r="Q151" s="1">
        <f t="shared" si="98"/>
        <v>-2.8148975465932278</v>
      </c>
      <c r="R151" s="1">
        <f t="shared" si="98"/>
        <v>-5.0848975465932273</v>
      </c>
      <c r="S151" s="1">
        <f>$J151+SUMPRODUCT(regions!EI150:EN150,regions!EI$204:EN$204)</f>
        <v>2.1091039487035612</v>
      </c>
      <c r="T151" s="1">
        <f>$J151+SUMPRODUCT(regions!EQ150:EV150,regions!EQ$204:EV$204)</f>
        <v>2.610091881688291</v>
      </c>
      <c r="U151" s="1">
        <f>$J151+SUMPRODUCT(regions!CM150:CU150,regions!CM$204:CU$204)</f>
        <v>-2.2858555782392607</v>
      </c>
      <c r="V151" s="1">
        <f>$J151+SUMPRODUCT(regions!DH150:DM150,regions!DH$204:DM$204)</f>
        <v>0.18166051415972717</v>
      </c>
      <c r="W151" s="1">
        <f>$J151+SUMPRODUCT(regions!DP150:DW150,regions!DP$204:DW$204)</f>
        <v>-2.5858555782392614</v>
      </c>
      <c r="X151" s="1">
        <f>$J151+SUMPRODUCT(regions!AB150:AE150,regions!AB$204:AE$204)</f>
        <v>2.4165124650175311</v>
      </c>
      <c r="Y151" s="1">
        <f>$J151+SUMPRODUCT(regions!BX150:CJ150,regions!BX$204:CJ$204)</f>
        <v>-1.7227074284958714</v>
      </c>
      <c r="Z151" s="1">
        <f>$J151+SUMPRODUCT(regions!CX150:DF150,regions!CX$204:DF$204)</f>
        <v>-0.58585557823926138</v>
      </c>
      <c r="AA151" s="1">
        <f t="shared" si="89"/>
        <v>1.4</v>
      </c>
      <c r="AB151" s="1">
        <f t="shared" si="90"/>
        <v>-7.3213809855545469</v>
      </c>
      <c r="AC151" s="1">
        <f>$J151+SUMPRODUCT(regions!DZ150:EG150,regions!DZ$204:EG$204)</f>
        <v>-2.155355578239261</v>
      </c>
      <c r="AD151" s="1">
        <f t="shared" si="99"/>
        <v>-2.4748975465932279</v>
      </c>
      <c r="AE151" s="1">
        <f t="shared" si="99"/>
        <v>-3.9848975465932277</v>
      </c>
      <c r="AF151" s="1">
        <f t="shared" si="91"/>
        <v>3.4</v>
      </c>
      <c r="AG151" s="1">
        <f>$J151+SUMPRODUCT(regions!AX150:BK150,regions!AX$204:BK$204)</f>
        <v>-1.3950255525272706</v>
      </c>
      <c r="AH151" s="1">
        <f>$J151+SUMPRODUCT(regions!AG150:AV150,regions!AG$204:AV$204)</f>
        <v>-2.0346575133258238</v>
      </c>
      <c r="AI151" s="1">
        <f t="shared" si="86"/>
        <v>-3.4848975465932277</v>
      </c>
      <c r="AJ151" s="1">
        <f>SartoriRoson!C148</f>
        <v>0.27</v>
      </c>
      <c r="AK151" s="1">
        <f>Kompas!E148</f>
        <v>-0.48299999999999998</v>
      </c>
      <c r="AL151" s="1">
        <f>$J151+SUMPRODUCT(regions!EY150:FW150,regions!EY$204:FW$204)</f>
        <v>-0.88445315663782154</v>
      </c>
      <c r="AM151" s="1">
        <f>$J151+SUMPRODUCT(regions!FZ150:GF150,regions!FZ$204:GF$204)</f>
        <v>-1.8980791238511596</v>
      </c>
      <c r="AN151" s="1">
        <f t="shared" si="93"/>
        <v>-10.684897546593227</v>
      </c>
      <c r="AO151" s="1">
        <f t="shared" si="93"/>
        <v>-9.9848975465932277</v>
      </c>
      <c r="AP151" s="1">
        <f t="shared" si="93"/>
        <v>-5.1848975465932288</v>
      </c>
      <c r="AQ151" s="1">
        <f t="shared" si="92"/>
        <v>3.644629764397207</v>
      </c>
      <c r="AR151" s="1">
        <f t="shared" si="92"/>
        <v>-6.4848975465932277</v>
      </c>
      <c r="AS151" s="1">
        <f t="shared" si="92"/>
        <v>-3.7848975465932266</v>
      </c>
      <c r="AT151" s="1">
        <f t="shared" si="92"/>
        <v>-1.7782308799265607</v>
      </c>
      <c r="AU151" s="1">
        <f t="shared" si="100"/>
        <v>-6.7048975465932275</v>
      </c>
      <c r="AV151" s="1">
        <f t="shared" si="100"/>
        <v>-5.2848975465932266</v>
      </c>
      <c r="AW151" s="1">
        <f>$J151+SUMPRODUCT(regions!BN150:BU150,regions!BN$204:BU$204)</f>
        <v>-2.6916800923191655</v>
      </c>
      <c r="AX151" s="1">
        <f t="shared" si="100"/>
        <v>-2.9648975465932281</v>
      </c>
      <c r="AY151" s="1">
        <f t="shared" si="100"/>
        <v>-2.184897546593227</v>
      </c>
      <c r="AZ151" s="1">
        <f t="shared" si="100"/>
        <v>-2.184897546593227</v>
      </c>
      <c r="BB151" t="str">
        <f>Maddison!A66</f>
        <v>Romania</v>
      </c>
      <c r="BC151">
        <f>-Maddison!B66</f>
        <v>1.4</v>
      </c>
      <c r="BD151" s="1">
        <f>K151-BC151</f>
        <v>-3.9825950370279286</v>
      </c>
      <c r="BE151" t="str">
        <f>RehdanzMaddison!P55</f>
        <v>Romania</v>
      </c>
      <c r="BF151" s="1">
        <f>-100*RehdanzMaddison!U55</f>
        <v>-4.3941815144417289</v>
      </c>
      <c r="BG151" s="1">
        <f>-100*RehdanzMaddison!V55</f>
        <v>-7.3213809855545469</v>
      </c>
      <c r="BH151" s="1">
        <f>$K151-BF151</f>
        <v>1.8115864774138002</v>
      </c>
      <c r="BI151" s="1">
        <f>$K151-BG151</f>
        <v>4.7387859485266182</v>
      </c>
      <c r="BJ151" t="str">
        <f>MaddisonRehdanz!A61</f>
        <v>Romania</v>
      </c>
      <c r="BK151">
        <f>MaddisonRehdanz!D61</f>
        <v>3.4</v>
      </c>
      <c r="BL151" s="1">
        <f>$K151-BK151</f>
        <v>-5.9825950370279291</v>
      </c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</row>
    <row r="152" spans="1:90" x14ac:dyDescent="0.35">
      <c r="A152" t="s">
        <v>233</v>
      </c>
      <c r="B152" s="19">
        <f>regions!B151</f>
        <v>142389000</v>
      </c>
      <c r="C152" s="19">
        <f>regions!C151</f>
        <v>909241662711.50525</v>
      </c>
      <c r="D152" s="8">
        <f>regions!D151</f>
        <v>6385.6173068952321</v>
      </c>
      <c r="E152" s="8">
        <f>regions!E151</f>
        <v>13.048360452184804</v>
      </c>
      <c r="F152" s="8">
        <f>regions!F151</f>
        <v>3.3439012233175331</v>
      </c>
      <c r="G152" s="1">
        <f>regions!Z151</f>
        <v>-5.0999999999999996</v>
      </c>
      <c r="J152" s="1">
        <f t="shared" si="88"/>
        <v>17.872207416916524</v>
      </c>
      <c r="K152" s="1">
        <f t="shared" si="83"/>
        <v>2.9194611288917667</v>
      </c>
      <c r="L152" s="1">
        <f t="shared" si="95"/>
        <v>2.2246716058464249</v>
      </c>
      <c r="M152" s="1">
        <f t="shared" si="96"/>
        <v>5.3372975830728731</v>
      </c>
      <c r="N152" s="1">
        <f t="shared" si="98"/>
        <v>3.4207295462038463</v>
      </c>
      <c r="O152" s="1">
        <f t="shared" si="98"/>
        <v>1.0171586193264677</v>
      </c>
      <c r="P152" s="1">
        <f t="shared" si="98"/>
        <v>3.0171586193264677</v>
      </c>
      <c r="Q152" s="1">
        <f t="shared" si="98"/>
        <v>2.6871586193264694</v>
      </c>
      <c r="R152" s="1">
        <f t="shared" si="98"/>
        <v>0.41715861932646803</v>
      </c>
      <c r="S152" s="1">
        <f>$J152+SUMPRODUCT(regions!EI151:EN151,regions!EI$204:EN$204)</f>
        <v>1.003555931914125</v>
      </c>
      <c r="T152" s="1">
        <f>$J152+SUMPRODUCT(regions!EQ151:EV151,regions!EQ$204:EV$204)</f>
        <v>0.90355593191412353</v>
      </c>
      <c r="U152" s="1">
        <f>$J152+SUMPRODUCT(regions!CM151:CU151,regions!CM$204:CU$204)</f>
        <v>3.2162005876804347</v>
      </c>
      <c r="V152" s="1">
        <f>$J152+SUMPRODUCT(regions!DH151:DM151,regions!DH$204:DM$204)</f>
        <v>0.84655593191412493</v>
      </c>
      <c r="W152" s="1">
        <f>$J152+SUMPRODUCT(regions!DP151:DW151,regions!DP$204:DW$204)</f>
        <v>2.916200587680434</v>
      </c>
      <c r="X152" s="1">
        <f>$J152+SUMPRODUCT(regions!AB151:AE151,regions!AB$204:AE$204)</f>
        <v>7.9185686309372265</v>
      </c>
      <c r="Y152" s="1">
        <f>$J152+SUMPRODUCT(regions!BX151:CJ151,regions!BX$204:CJ$204)</f>
        <v>0.64999999999999858</v>
      </c>
      <c r="Z152" s="1">
        <f>$J152+SUMPRODUCT(regions!CX151:DF151,regions!CX$204:DF$204)</f>
        <v>4.916200587680434</v>
      </c>
      <c r="AA152" s="1">
        <f t="shared" si="89"/>
        <v>5.4241594185659654</v>
      </c>
      <c r="AB152" s="1">
        <f t="shared" si="90"/>
        <v>1.9996500551656842</v>
      </c>
      <c r="AC152" s="1">
        <f>$J152+SUMPRODUCT(regions!DZ151:EG151,regions!DZ$204:EG$204)</f>
        <v>3.3467005876804343</v>
      </c>
      <c r="AD152" s="1">
        <f t="shared" si="99"/>
        <v>3.0271586193264692</v>
      </c>
      <c r="AE152" s="1">
        <f t="shared" si="99"/>
        <v>1.5171586193264677</v>
      </c>
      <c r="AF152" s="1">
        <f t="shared" si="91"/>
        <v>25.7</v>
      </c>
      <c r="AG152" s="1">
        <f>$J152+SUMPRODUCT(regions!AX151:BK151,regions!AX$204:BK$204)</f>
        <v>2.503555931914125</v>
      </c>
      <c r="AH152" s="1">
        <f>$J152+SUMPRODUCT(regions!AG151:AV151,regions!AG$204:AV$204)</f>
        <v>2.4000000000000004</v>
      </c>
      <c r="AI152" s="1">
        <f t="shared" si="86"/>
        <v>2.0171586193264677</v>
      </c>
      <c r="AJ152" s="1">
        <f>SartoriRoson!C149</f>
        <v>1.39</v>
      </c>
      <c r="AK152" s="1">
        <f>Kompas!E149</f>
        <v>-0.93600000000000005</v>
      </c>
      <c r="AL152" s="1">
        <f>$J152+SUMPRODUCT(regions!EY151:FW151,regions!EY$204:FW$204)</f>
        <v>1.1549992863260101</v>
      </c>
      <c r="AM152" s="1">
        <f>$J152+SUMPRODUCT(regions!FZ151:GF151,regions!FZ$204:GF$204)</f>
        <v>2.9796583541337753</v>
      </c>
      <c r="AN152" s="1">
        <f t="shared" si="93"/>
        <v>-5.1828413806735316</v>
      </c>
      <c r="AO152" s="1">
        <f t="shared" si="93"/>
        <v>-4.4828413806735323</v>
      </c>
      <c r="AP152" s="1">
        <f t="shared" si="93"/>
        <v>0.31715861932646838</v>
      </c>
      <c r="AQ152" s="1">
        <f t="shared" si="92"/>
        <v>9.1466859303169006</v>
      </c>
      <c r="AR152" s="1">
        <f t="shared" si="92"/>
        <v>-0.98284138067353233</v>
      </c>
      <c r="AS152" s="1">
        <f t="shared" si="92"/>
        <v>1.717158619326467</v>
      </c>
      <c r="AT152" s="1">
        <f t="shared" si="92"/>
        <v>3.7238252859931347</v>
      </c>
      <c r="AU152" s="1">
        <f t="shared" si="100"/>
        <v>-1.2028413806735312</v>
      </c>
      <c r="AV152" s="1">
        <f t="shared" si="100"/>
        <v>0.21715861932646696</v>
      </c>
      <c r="AW152" s="1">
        <f>$J152+SUMPRODUCT(regions!BN151:BU151,regions!BN$204:BU$204)</f>
        <v>2.8103760736005299</v>
      </c>
      <c r="AX152" s="1">
        <f t="shared" si="100"/>
        <v>2.5371586193264672</v>
      </c>
      <c r="AY152" s="1">
        <f t="shared" si="100"/>
        <v>3.3171586193264684</v>
      </c>
      <c r="AZ152" s="1">
        <f t="shared" si="100"/>
        <v>3.3171586193264684</v>
      </c>
      <c r="BE152" t="str">
        <f>RehdanzMaddison!P56</f>
        <v>Russia</v>
      </c>
      <c r="BF152" s="1">
        <f>-100*RehdanzMaddison!U56</f>
        <v>1.1884520533050653</v>
      </c>
      <c r="BG152" s="1">
        <f>-100*RehdanzMaddison!V56</f>
        <v>1.9996500551656842</v>
      </c>
      <c r="BH152" s="1">
        <f>$K152-BF152</f>
        <v>1.7310090755867014</v>
      </c>
      <c r="BI152" s="1">
        <f>$K152-BG152</f>
        <v>0.91981107372608251</v>
      </c>
      <c r="BJ152" t="str">
        <f>MaddisonRehdanz!A62</f>
        <v>Russian Federation</v>
      </c>
      <c r="BK152">
        <f>MaddisonRehdanz!D62</f>
        <v>25.7</v>
      </c>
      <c r="BL152" s="1">
        <f>$K152-BK152</f>
        <v>-22.780538871108234</v>
      </c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</row>
    <row r="153" spans="1:90" x14ac:dyDescent="0.35">
      <c r="A153" t="s">
        <v>182</v>
      </c>
      <c r="B153" s="19">
        <f>regions!B152</f>
        <v>10836732</v>
      </c>
      <c r="C153" s="19">
        <f>regions!C152</f>
        <v>3785756661.0048919</v>
      </c>
      <c r="D153" s="8">
        <f>regions!D152</f>
        <v>349.34486347036096</v>
      </c>
      <c r="E153" s="8">
        <f>regions!E152</f>
        <v>0</v>
      </c>
      <c r="F153" s="8">
        <f>regions!F152</f>
        <v>29.122426379726623</v>
      </c>
      <c r="G153" s="1">
        <f>regions!Z152</f>
        <v>17.899999999999999</v>
      </c>
      <c r="J153" s="1">
        <f t="shared" si="88"/>
        <v>4.0198448433505813</v>
      </c>
      <c r="K153" s="1">
        <f t="shared" si="83"/>
        <v>-10.932901444674176</v>
      </c>
      <c r="L153" s="1">
        <f t="shared" si="95"/>
        <v>-18.320991577437955</v>
      </c>
      <c r="M153" s="1">
        <f t="shared" si="96"/>
        <v>55.653457209245154</v>
      </c>
      <c r="N153" s="1">
        <f t="shared" si="98"/>
        <v>-10.431633027362096</v>
      </c>
      <c r="O153" s="1">
        <f t="shared" si="98"/>
        <v>-12.835203954239475</v>
      </c>
      <c r="P153" s="1">
        <f t="shared" si="98"/>
        <v>-10.835203954239475</v>
      </c>
      <c r="Q153" s="1">
        <f t="shared" si="98"/>
        <v>-11.165203954239475</v>
      </c>
      <c r="R153" s="1">
        <f t="shared" si="98"/>
        <v>-13.435203954239475</v>
      </c>
      <c r="S153" s="1">
        <f>$J153+SUMPRODUCT(regions!EI152:EN152,regions!EI$204:EN$204)</f>
        <v>-6.241202458942686</v>
      </c>
      <c r="T153" s="1">
        <f>$J153+SUMPRODUCT(regions!EQ152:EV152,regions!EQ$204:EV$204)</f>
        <v>-5.7402145259579562</v>
      </c>
      <c r="U153" s="1">
        <f>$J153+SUMPRODUCT(regions!CM152:CU152,regions!CM$204:CU$204)</f>
        <v>-10.435785649268162</v>
      </c>
      <c r="V153" s="1">
        <f>$J153+SUMPRODUCT(regions!DH152:DM152,regions!DH$204:DM$204)</f>
        <v>-8.16864589348652</v>
      </c>
      <c r="W153" s="1">
        <f>$J153+SUMPRODUCT(regions!DP152:DW152,regions!DP$204:DW$204)</f>
        <v>-10.00820314287702</v>
      </c>
      <c r="X153" s="1">
        <f>$J153+SUMPRODUCT(regions!AB152:AE152,regions!AB$204:AE$204)</f>
        <v>0.50332749513513964</v>
      </c>
      <c r="Y153" s="1">
        <f>$J153+SUMPRODUCT(regions!BX152:CJ152,regions!BX$204:CJ$204)</f>
        <v>-2.9321619445912823</v>
      </c>
      <c r="Z153" s="1">
        <f>$J153+SUMPRODUCT(regions!CX152:DF152,regions!CX$204:DF$204)</f>
        <v>-5.8357856492681623</v>
      </c>
      <c r="AA153" s="1">
        <f t="shared" si="89"/>
        <v>-23</v>
      </c>
      <c r="AB153" s="1">
        <f t="shared" si="90"/>
        <v>-9.9882635066845644</v>
      </c>
      <c r="AC153" s="1">
        <f>$J153+SUMPRODUCT(regions!DZ152:EG152,regions!DZ$204:EG$204)</f>
        <v>-6.4091031428770204</v>
      </c>
      <c r="AD153" s="1">
        <f t="shared" si="99"/>
        <v>-10.825203954239475</v>
      </c>
      <c r="AE153" s="1">
        <f t="shared" si="99"/>
        <v>-12.335203954239475</v>
      </c>
      <c r="AF153" s="1">
        <f t="shared" si="91"/>
        <v>-324.39999999999998</v>
      </c>
      <c r="AG153" s="1">
        <f>$J153+SUMPRODUCT(regions!AX152:BK152,regions!AX$204:BK$204)</f>
        <v>-2.7702444976319462</v>
      </c>
      <c r="AH153" s="1">
        <f>$J153+SUMPRODUCT(regions!AG152:AV152,regions!AG$204:AV$204)</f>
        <v>-9.6702444976319466</v>
      </c>
      <c r="AI153" s="1">
        <f t="shared" si="86"/>
        <v>-11.835203954239475</v>
      </c>
      <c r="AJ153" s="1">
        <f>SartoriRoson!C150</f>
        <v>-9.67</v>
      </c>
      <c r="AK153" s="1">
        <f>Kompas!E150</f>
        <v>-7.0469999999999997</v>
      </c>
      <c r="AL153" s="1">
        <f>$J153+SUMPRODUCT(regions!EY152:FW152,regions!EY$204:FW$204)</f>
        <v>-3.2593697633473777</v>
      </c>
      <c r="AM153" s="1">
        <f>$J153+SUMPRODUCT(regions!FZ152:GF152,regions!FZ$204:GF$204)</f>
        <v>-0.1318338353698767</v>
      </c>
      <c r="AN153" s="1">
        <f t="shared" si="93"/>
        <v>-19.035203954239474</v>
      </c>
      <c r="AO153" s="1">
        <f t="shared" si="93"/>
        <v>-18.335203954239475</v>
      </c>
      <c r="AP153" s="1">
        <f t="shared" si="93"/>
        <v>-13.535203954239474</v>
      </c>
      <c r="AQ153" s="1">
        <f t="shared" si="92"/>
        <v>-4.7056766432490402</v>
      </c>
      <c r="AR153" s="1">
        <f t="shared" si="92"/>
        <v>-14.835203954239475</v>
      </c>
      <c r="AS153" s="1">
        <f t="shared" si="92"/>
        <v>-12.135203954239476</v>
      </c>
      <c r="AT153" s="1">
        <f t="shared" si="92"/>
        <v>-10.128537287572808</v>
      </c>
      <c r="AU153" s="1">
        <f t="shared" si="100"/>
        <v>-15.055203954239474</v>
      </c>
      <c r="AV153" s="1">
        <f t="shared" si="100"/>
        <v>-13.635203954239476</v>
      </c>
      <c r="AW153" s="1">
        <f>$J153+SUMPRODUCT(regions!BN152:BU152,regions!BN$204:BU$204)</f>
        <v>-7.8849437668653177</v>
      </c>
      <c r="AX153" s="1">
        <f t="shared" si="100"/>
        <v>-11.315203954239475</v>
      </c>
      <c r="AY153" s="1">
        <f t="shared" si="100"/>
        <v>-10.535203954239474</v>
      </c>
      <c r="AZ153" s="1">
        <f t="shared" si="100"/>
        <v>-10.535203954239474</v>
      </c>
      <c r="BB153" t="str">
        <f>Maddison!A67</f>
        <v>Rwanda</v>
      </c>
      <c r="BC153">
        <f>-Maddison!B67</f>
        <v>-23</v>
      </c>
      <c r="BD153" s="1">
        <f>K153-BC153</f>
        <v>12.067098555325824</v>
      </c>
      <c r="BF153" s="1"/>
      <c r="BG153" s="1"/>
      <c r="BJ153" t="str">
        <f>MaddisonRehdanz!A63</f>
        <v>Rwanda</v>
      </c>
      <c r="BK153">
        <f>MaddisonRehdanz!D63</f>
        <v>-324.39999999999998</v>
      </c>
      <c r="BL153" s="1">
        <f>$K153-BK153</f>
        <v>313.46709855532578</v>
      </c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</row>
    <row r="154" spans="1:90" x14ac:dyDescent="0.35">
      <c r="A154" t="s">
        <v>403</v>
      </c>
      <c r="B154" s="19">
        <f>regions!B153</f>
        <v>178228</v>
      </c>
      <c r="C154" s="19">
        <f>regions!C153</f>
        <v>167926229.92155305</v>
      </c>
      <c r="D154" s="8">
        <f>regions!D153</f>
        <v>942.19892453235764</v>
      </c>
      <c r="E154" s="8">
        <f>regions!E153</f>
        <v>17.711984069618275</v>
      </c>
      <c r="F154" s="8">
        <f>regions!F153</f>
        <v>11.26200612630832</v>
      </c>
      <c r="G154" s="1">
        <f>regions!Z153</f>
        <v>23.7</v>
      </c>
      <c r="J154" s="1">
        <f t="shared" si="88"/>
        <v>3.6716646709455389</v>
      </c>
      <c r="K154" s="1">
        <f t="shared" si="83"/>
        <v>-11.281081617079218</v>
      </c>
      <c r="L154" s="1">
        <f t="shared" si="95"/>
        <v>-10.759233001539373</v>
      </c>
      <c r="M154" s="1">
        <f t="shared" si="96"/>
        <v>8.156202808305169</v>
      </c>
      <c r="N154" s="1">
        <f t="shared" si="98"/>
        <v>-10.779813199767139</v>
      </c>
      <c r="O154" s="1">
        <f t="shared" si="98"/>
        <v>-13.183384126644517</v>
      </c>
      <c r="P154" s="1">
        <f t="shared" si="98"/>
        <v>-11.183384126644517</v>
      </c>
      <c r="Q154" s="1">
        <f t="shared" si="98"/>
        <v>-11.513384126644517</v>
      </c>
      <c r="R154" s="1">
        <f t="shared" si="98"/>
        <v>-13.783384126644517</v>
      </c>
      <c r="S154" s="1">
        <f>$J154+SUMPRODUCT(regions!EI153:EN153,regions!EI$204:EN$204)</f>
        <v>-6.5893826313477284</v>
      </c>
      <c r="T154" s="1">
        <f>$J154+SUMPRODUCT(regions!EQ153:EV153,regions!EQ$204:EV$204)</f>
        <v>-6.0883946983629986</v>
      </c>
      <c r="U154" s="1">
        <f>$J154+SUMPRODUCT(regions!CM153:CU153,regions!CM$204:CU$204)</f>
        <v>-10.783965821673204</v>
      </c>
      <c r="V154" s="1">
        <f>$J154+SUMPRODUCT(regions!DH153:DM153,regions!DH$204:DM$204)</f>
        <v>-8.5168260658915624</v>
      </c>
      <c r="W154" s="1">
        <f>$J154+SUMPRODUCT(regions!DP153:DW153,regions!DP$204:DW$204)</f>
        <v>-10.356383315282063</v>
      </c>
      <c r="X154" s="1">
        <f>$J154+SUMPRODUCT(regions!AB153:AE153,regions!AB$204:AE$204)</f>
        <v>0.15514732273009724</v>
      </c>
      <c r="Y154" s="1">
        <f>$J154+SUMPRODUCT(regions!BX153:CJ153,regions!BX$204:CJ$204)</f>
        <v>-3.6328765339268116</v>
      </c>
      <c r="Z154" s="1">
        <f>$J154+SUMPRODUCT(regions!CX153:DF153,regions!CX$204:DF$204)</f>
        <v>-6.1839658216732047</v>
      </c>
      <c r="AA154" s="1">
        <f t="shared" si="89"/>
        <v>-8.7763833274050196</v>
      </c>
      <c r="AB154" s="1">
        <f t="shared" si="90"/>
        <v>-10.336443679089607</v>
      </c>
      <c r="AC154" s="1">
        <f>$J154+SUMPRODUCT(regions!DZ153:EG153,regions!DZ$204:EG$204)</f>
        <v>-6.7572833152820628</v>
      </c>
      <c r="AD154" s="1">
        <f t="shared" si="99"/>
        <v>-11.173384126644518</v>
      </c>
      <c r="AE154" s="1">
        <f t="shared" si="99"/>
        <v>-12.683384126644517</v>
      </c>
      <c r="AF154" s="1">
        <f t="shared" si="91"/>
        <v>-38.804326361749887</v>
      </c>
      <c r="AG154" s="1">
        <f>$J154+SUMPRODUCT(regions!AX153:BK153,regions!AX$204:BK$204)</f>
        <v>-3.1184246700369886</v>
      </c>
      <c r="AH154" s="1">
        <f>$J154+SUMPRODUCT(regions!AG153:AV153,regions!AG$204:AV$204)</f>
        <v>-10.018424670036989</v>
      </c>
      <c r="AI154" s="1">
        <f t="shared" si="86"/>
        <v>-12.183384126644517</v>
      </c>
      <c r="AJ154" s="1">
        <f>SartoriRoson!C151</f>
        <v>-2.38</v>
      </c>
      <c r="AK154" s="1">
        <f>Kompas!E151</f>
        <v>-4.9770000000000003</v>
      </c>
      <c r="AL154" s="1">
        <f>$J154+SUMPRODUCT(regions!EY153:FW153,regions!EY$204:FW$204)</f>
        <v>-3.6075499357524201</v>
      </c>
      <c r="AM154" s="1">
        <f>$J154+SUMPRODUCT(regions!FZ153:GF153,regions!FZ$204:GF$204)</f>
        <v>-0.48001400777491909</v>
      </c>
      <c r="AN154" s="1">
        <f t="shared" si="93"/>
        <v>-19.383384126644515</v>
      </c>
      <c r="AO154" s="1">
        <f t="shared" si="93"/>
        <v>-18.683384126644519</v>
      </c>
      <c r="AP154" s="1">
        <f t="shared" si="93"/>
        <v>-13.883384126644518</v>
      </c>
      <c r="AQ154" s="1">
        <f t="shared" si="92"/>
        <v>-5.0538568156540844</v>
      </c>
      <c r="AR154" s="1">
        <f t="shared" si="92"/>
        <v>-15.183384126644517</v>
      </c>
      <c r="AS154" s="1">
        <f t="shared" si="92"/>
        <v>-12.483384126644516</v>
      </c>
      <c r="AT154" s="1">
        <f t="shared" si="92"/>
        <v>-10.47671745997785</v>
      </c>
      <c r="AU154" s="1">
        <f t="shared" si="100"/>
        <v>-15.403384126644518</v>
      </c>
      <c r="AV154" s="1">
        <f t="shared" si="100"/>
        <v>-13.983384126644516</v>
      </c>
      <c r="AW154" s="1">
        <f>$J154+SUMPRODUCT(regions!BN153:BU153,regions!BN$204:BU$204)</f>
        <v>-9.9649893389637416</v>
      </c>
      <c r="AX154" s="1">
        <f t="shared" si="100"/>
        <v>-11.663384126644518</v>
      </c>
      <c r="AY154" s="1">
        <f t="shared" si="100"/>
        <v>-10.883384126644518</v>
      </c>
      <c r="AZ154" s="1">
        <f t="shared" si="100"/>
        <v>-10.883384126644518</v>
      </c>
      <c r="BF154" s="1"/>
      <c r="BG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</row>
    <row r="155" spans="1:90" x14ac:dyDescent="0.35">
      <c r="A155" t="s">
        <v>404</v>
      </c>
      <c r="B155" s="19">
        <f>regions!B154</f>
        <v>52352</v>
      </c>
      <c r="C155" s="19">
        <f>regions!C154</f>
        <v>554642952.86511683</v>
      </c>
      <c r="D155" s="8">
        <f>regions!D154</f>
        <v>10594.494056867299</v>
      </c>
      <c r="E155" s="8">
        <f>regions!E154</f>
        <v>22.141554150513663</v>
      </c>
      <c r="F155" s="8">
        <f>regions!F154</f>
        <v>1.4011199650756234</v>
      </c>
      <c r="G155" s="1">
        <f>regions!Z154</f>
        <v>24.4</v>
      </c>
      <c r="J155" s="1">
        <f t="shared" si="88"/>
        <v>7.8234657640115923</v>
      </c>
      <c r="K155" s="1">
        <f t="shared" si="83"/>
        <v>-7.1292805240131649</v>
      </c>
      <c r="L155" s="1">
        <f t="shared" si="95"/>
        <v>-7.3835051886025393</v>
      </c>
      <c r="M155" s="1">
        <f t="shared" si="96"/>
        <v>6.862551837964066</v>
      </c>
      <c r="N155" s="1">
        <f t="shared" si="98"/>
        <v>-6.6280121067010853</v>
      </c>
      <c r="O155" s="1">
        <f t="shared" si="98"/>
        <v>-9.0315830335784639</v>
      </c>
      <c r="P155" s="1">
        <f t="shared" si="98"/>
        <v>-7.0315830335784639</v>
      </c>
      <c r="Q155" s="1">
        <f t="shared" si="98"/>
        <v>-7.361583033578464</v>
      </c>
      <c r="R155" s="1">
        <f t="shared" si="98"/>
        <v>-9.6315830335784636</v>
      </c>
      <c r="S155" s="1">
        <f>$J155+SUMPRODUCT(regions!EI154:EN154,regions!EI$204:EN$204)</f>
        <v>-2.437581538281675</v>
      </c>
      <c r="T155" s="1">
        <f>$J155+SUMPRODUCT(regions!EQ154:EV154,regions!EQ$204:EV$204)</f>
        <v>-1.9365936052969452</v>
      </c>
      <c r="U155" s="1">
        <f>$J155+SUMPRODUCT(regions!CM154:CU154,regions!CM$204:CU$204)</f>
        <v>-4.2714717138382863</v>
      </c>
      <c r="V155" s="1">
        <f>$J155+SUMPRODUCT(regions!DH154:DM154,regions!DH$204:DM$204)</f>
        <v>-4.3650249728255091</v>
      </c>
      <c r="W155" s="1">
        <f>$J155+SUMPRODUCT(regions!DP154:DW154,regions!DP$204:DW$204)</f>
        <v>-4.2614717138382847</v>
      </c>
      <c r="X155" s="1">
        <f>$J155+SUMPRODUCT(regions!AB154:AE154,regions!AB$204:AE$204)</f>
        <v>-2.1301730219677051</v>
      </c>
      <c r="Y155" s="1">
        <f>$J155+SUMPRODUCT(regions!BX154:CJ154,regions!BX$204:CJ$204)</f>
        <v>-4.561856985218645</v>
      </c>
      <c r="Z155" s="1">
        <f>$J155+SUMPRODUCT(regions!CX154:DF154,regions!CX$204:DF$204)</f>
        <v>-7.1471713838285211E-2</v>
      </c>
      <c r="AA155" s="1">
        <f t="shared" si="89"/>
        <v>-4.6245822343389662</v>
      </c>
      <c r="AB155" s="1">
        <f t="shared" si="90"/>
        <v>-6.1846425860235525</v>
      </c>
      <c r="AC155" s="1">
        <f>$J155+SUMPRODUCT(regions!DZ154:EG154,regions!DZ$204:EG$204)</f>
        <v>-2.2223717138382852</v>
      </c>
      <c r="AD155" s="1">
        <f t="shared" si="99"/>
        <v>-7.0215830335784641</v>
      </c>
      <c r="AE155" s="1">
        <f t="shared" si="99"/>
        <v>-8.5315830335784639</v>
      </c>
      <c r="AF155" s="1">
        <f t="shared" si="91"/>
        <v>-34.652525268683831</v>
      </c>
      <c r="AG155" s="1">
        <f>$J155+SUMPRODUCT(regions!AX154:BK154,regions!AX$204:BK$204)</f>
        <v>-0.66068537931033333</v>
      </c>
      <c r="AH155" s="1">
        <f>$J155+SUMPRODUCT(regions!AG154:AV154,regions!AG$204:AV$204)</f>
        <v>-8.8272989375767299</v>
      </c>
      <c r="AI155" s="1">
        <f t="shared" si="86"/>
        <v>-8.0315830335784639</v>
      </c>
      <c r="AJ155" s="1">
        <f>SartoriRoson!C152</f>
        <v>-7.84</v>
      </c>
      <c r="AK155" s="1">
        <f>Kompas!E152</f>
        <v>-8.2070000000000007</v>
      </c>
      <c r="AL155" s="1">
        <f>$J155+SUMPRODUCT(regions!EY154:FW154,regions!EY$204:FW$204)</f>
        <v>-1.4944341573232105</v>
      </c>
      <c r="AM155" s="1">
        <f>$J155+SUMPRODUCT(regions!FZ154:GF154,regions!FZ$204:GF$204)</f>
        <v>1.9622497597944104</v>
      </c>
      <c r="AN155" s="1">
        <f t="shared" si="93"/>
        <v>-15.231583033578463</v>
      </c>
      <c r="AO155" s="1">
        <f t="shared" si="93"/>
        <v>-14.531583033578464</v>
      </c>
      <c r="AP155" s="1">
        <f t="shared" si="93"/>
        <v>-9.7315830335784632</v>
      </c>
      <c r="AQ155" s="1">
        <f t="shared" si="92"/>
        <v>-0.90205572258802924</v>
      </c>
      <c r="AR155" s="1">
        <f t="shared" si="92"/>
        <v>-11.031583033578464</v>
      </c>
      <c r="AS155" s="1">
        <f t="shared" si="92"/>
        <v>-8.3315830335784646</v>
      </c>
      <c r="AT155" s="1">
        <f t="shared" si="92"/>
        <v>-6.3249163669117969</v>
      </c>
      <c r="AU155" s="1">
        <f t="shared" si="100"/>
        <v>-11.251583033578463</v>
      </c>
      <c r="AV155" s="1">
        <f t="shared" si="100"/>
        <v>-9.8315830335784646</v>
      </c>
      <c r="AW155" s="1">
        <f>$J155+SUMPRODUCT(regions!BN154:BU154,regions!BN$204:BU$204)</f>
        <v>-5.8131882458976882</v>
      </c>
      <c r="AX155" s="1">
        <f t="shared" si="100"/>
        <v>-7.5115830335784644</v>
      </c>
      <c r="AY155" s="1">
        <f t="shared" si="100"/>
        <v>-6.7315830335784641</v>
      </c>
      <c r="AZ155" s="1">
        <f t="shared" si="100"/>
        <v>-6.7315830335784641</v>
      </c>
      <c r="BF155" s="1"/>
      <c r="BG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</row>
    <row r="156" spans="1:90" x14ac:dyDescent="0.35">
      <c r="A156" t="s">
        <v>183</v>
      </c>
      <c r="B156" s="19">
        <f>regions!B155</f>
        <v>177397</v>
      </c>
      <c r="C156" s="19">
        <f>regions!C155</f>
        <v>1083804878.6319301</v>
      </c>
      <c r="D156" s="8">
        <f>regions!D155</f>
        <v>6109.4882023480113</v>
      </c>
      <c r="E156" s="8">
        <f>regions!E155</f>
        <v>19.537868037543767</v>
      </c>
      <c r="F156" s="8">
        <f>regions!F155</f>
        <v>2.2177829940511846</v>
      </c>
      <c r="G156" s="1">
        <f>regions!Z155</f>
        <v>25.5</v>
      </c>
      <c r="J156" s="1">
        <f t="shared" si="88"/>
        <v>6.4106359173347762</v>
      </c>
      <c r="K156" s="1">
        <f t="shared" si="83"/>
        <v>-8.542110370689981</v>
      </c>
      <c r="L156" s="1">
        <f t="shared" si="95"/>
        <v>-8.6126665282442403</v>
      </c>
      <c r="M156" s="1">
        <f t="shared" si="96"/>
        <v>7.1743118496269922</v>
      </c>
      <c r="N156" s="1">
        <f t="shared" si="98"/>
        <v>-8.0408419533779014</v>
      </c>
      <c r="O156" s="1">
        <f t="shared" si="98"/>
        <v>-10.44441288025528</v>
      </c>
      <c r="P156" s="1">
        <f t="shared" si="98"/>
        <v>-8.44441288025528</v>
      </c>
      <c r="Q156" s="1">
        <f t="shared" si="98"/>
        <v>-8.7744128802552801</v>
      </c>
      <c r="R156" s="1">
        <f t="shared" si="98"/>
        <v>-11.04441288025528</v>
      </c>
      <c r="S156" s="1">
        <f>$J156+SUMPRODUCT(regions!EI155:EN155,regions!EI$204:EN$204)</f>
        <v>-3.8504113849584911</v>
      </c>
      <c r="T156" s="1">
        <f>$J156+SUMPRODUCT(regions!EQ155:EV155,regions!EQ$204:EV$204)</f>
        <v>-3.3494234519737613</v>
      </c>
      <c r="U156" s="1">
        <f>$J156+SUMPRODUCT(regions!CM155:CU155,regions!CM$204:CU$204)</f>
        <v>-5.6843015605151024</v>
      </c>
      <c r="V156" s="1">
        <f>$J156+SUMPRODUCT(regions!DH155:DM155,regions!DH$204:DM$204)</f>
        <v>-5.7778548195023252</v>
      </c>
      <c r="W156" s="1">
        <f>$J156+SUMPRODUCT(regions!DP155:DW155,regions!DP$204:DW$204)</f>
        <v>-5.6743015605151008</v>
      </c>
      <c r="X156" s="1">
        <f>$J156+SUMPRODUCT(regions!AB155:AE155,regions!AB$204:AE$204)</f>
        <v>-3.5430028686445212</v>
      </c>
      <c r="Y156" s="1">
        <f>$J156+SUMPRODUCT(regions!BX155:CJ155,regions!BX$204:CJ$204)</f>
        <v>-5.9746868318954611</v>
      </c>
      <c r="Z156" s="1">
        <f>$J156+SUMPRODUCT(regions!CX155:DF155,regions!CX$204:DF$204)</f>
        <v>-1.4843015605151013</v>
      </c>
      <c r="AA156" s="1">
        <f t="shared" si="89"/>
        <v>-1.7</v>
      </c>
      <c r="AB156" s="1">
        <f t="shared" si="90"/>
        <v>-7.5974724327003686</v>
      </c>
      <c r="AC156" s="1">
        <f>$J156+SUMPRODUCT(regions!DZ155:EG155,regions!DZ$204:EG$204)</f>
        <v>-3.6352015605151013</v>
      </c>
      <c r="AD156" s="1">
        <f t="shared" si="99"/>
        <v>-8.4344128802552802</v>
      </c>
      <c r="AE156" s="1">
        <f t="shared" si="99"/>
        <v>-9.94441288025528</v>
      </c>
      <c r="AF156" s="1">
        <f t="shared" si="91"/>
        <v>-36.065355115360653</v>
      </c>
      <c r="AG156" s="1">
        <f>$J156+SUMPRODUCT(regions!AX155:BK155,regions!AX$204:BK$204)</f>
        <v>-2.0735152259871494</v>
      </c>
      <c r="AH156" s="1">
        <f>$J156+SUMPRODUCT(regions!AG155:AV155,regions!AG$204:AV$204)</f>
        <v>-10.240128784253546</v>
      </c>
      <c r="AI156" s="1">
        <f t="shared" si="86"/>
        <v>-9.44441288025528</v>
      </c>
      <c r="AJ156" s="1">
        <f>SartoriRoson!C153</f>
        <v>-7.84</v>
      </c>
      <c r="AK156" s="1">
        <f>Kompas!E153</f>
        <v>-8.2070000000000007</v>
      </c>
      <c r="AL156" s="1">
        <f>$J156+SUMPRODUCT(regions!EY155:FW155,regions!EY$204:FW$204)</f>
        <v>-2.9072640040000266</v>
      </c>
      <c r="AM156" s="1">
        <f>$J156+SUMPRODUCT(regions!FZ155:GF155,regions!FZ$204:GF$204)</f>
        <v>0.54941991311759431</v>
      </c>
      <c r="AN156" s="1">
        <f t="shared" si="93"/>
        <v>-16.644412880255281</v>
      </c>
      <c r="AO156" s="1">
        <f t="shared" si="93"/>
        <v>-15.94441288025528</v>
      </c>
      <c r="AP156" s="1">
        <f t="shared" si="93"/>
        <v>-11.144412880255281</v>
      </c>
      <c r="AQ156" s="1">
        <f t="shared" si="92"/>
        <v>-2.3148855692648471</v>
      </c>
      <c r="AR156" s="1">
        <f t="shared" si="92"/>
        <v>-12.44441288025528</v>
      </c>
      <c r="AS156" s="1">
        <f t="shared" si="92"/>
        <v>-9.744412880255279</v>
      </c>
      <c r="AT156" s="1">
        <f t="shared" si="92"/>
        <v>-7.737746213588613</v>
      </c>
      <c r="AU156" s="1">
        <f t="shared" si="100"/>
        <v>-12.664412880255281</v>
      </c>
      <c r="AV156" s="1">
        <f t="shared" si="100"/>
        <v>-11.244412880255279</v>
      </c>
      <c r="AW156" s="1">
        <f>$J156+SUMPRODUCT(regions!BN155:BU155,regions!BN$204:BU$204)</f>
        <v>-7.2260180925745043</v>
      </c>
      <c r="AX156" s="1">
        <f t="shared" si="100"/>
        <v>-8.9244128802552805</v>
      </c>
      <c r="AY156" s="1">
        <f t="shared" si="100"/>
        <v>-8.1444128802552811</v>
      </c>
      <c r="AZ156" s="1">
        <f t="shared" si="100"/>
        <v>-8.1444128802552811</v>
      </c>
      <c r="BB156" t="str">
        <f>Maddison!A68</f>
        <v>Saint Lucia</v>
      </c>
      <c r="BC156">
        <f>-Maddison!B68</f>
        <v>-1.7</v>
      </c>
      <c r="BD156" s="1">
        <f>K156-BC156</f>
        <v>-6.8421103706899808</v>
      </c>
      <c r="BF156" s="1"/>
      <c r="BG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</row>
    <row r="157" spans="1:90" x14ac:dyDescent="0.35">
      <c r="A157" t="s">
        <v>405</v>
      </c>
      <c r="B157" s="19">
        <f>regions!B156</f>
        <v>109316</v>
      </c>
      <c r="C157" s="19">
        <f>regions!C156</f>
        <v>589844929.93824661</v>
      </c>
      <c r="D157" s="8">
        <f>regions!D156</f>
        <v>5395.7785679886438</v>
      </c>
      <c r="E157" s="8">
        <f>regions!E156</f>
        <v>22.91476961932629</v>
      </c>
      <c r="F157" s="8">
        <f>regions!F156</f>
        <v>6.0788172695838512</v>
      </c>
      <c r="G157" s="1">
        <f>regions!Z156</f>
        <v>26.7</v>
      </c>
      <c r="J157" s="1">
        <f t="shared" si="88"/>
        <v>5.7378220693419628</v>
      </c>
      <c r="K157" s="1">
        <f t="shared" si="83"/>
        <v>-9.2149242186827944</v>
      </c>
      <c r="L157" s="1">
        <f t="shared" si="95"/>
        <v>-9.315063292897559</v>
      </c>
      <c r="M157" s="1">
        <f t="shared" si="96"/>
        <v>7.2689967342655777</v>
      </c>
      <c r="N157" s="1">
        <f t="shared" si="98"/>
        <v>-8.7136558013707148</v>
      </c>
      <c r="O157" s="1">
        <f t="shared" si="98"/>
        <v>-11.117226728248093</v>
      </c>
      <c r="P157" s="1">
        <f t="shared" si="98"/>
        <v>-9.1172267282480934</v>
      </c>
      <c r="Q157" s="1">
        <f t="shared" si="98"/>
        <v>-9.4472267282480935</v>
      </c>
      <c r="R157" s="1">
        <f t="shared" si="98"/>
        <v>-11.717226728248093</v>
      </c>
      <c r="S157" s="1">
        <f>$J157+SUMPRODUCT(regions!EI156:EN156,regions!EI$204:EN$204)</f>
        <v>-4.5232252329513045</v>
      </c>
      <c r="T157" s="1">
        <f>$J157+SUMPRODUCT(regions!EQ156:EV156,regions!EQ$204:EV$204)</f>
        <v>-4.0222372999665748</v>
      </c>
      <c r="U157" s="1">
        <f>$J157+SUMPRODUCT(regions!CM156:CU156,regions!CM$204:CU$204)</f>
        <v>-6.3571154085079158</v>
      </c>
      <c r="V157" s="1">
        <f>$J157+SUMPRODUCT(regions!DH156:DM156,regions!DH$204:DM$204)</f>
        <v>-6.4506686674951386</v>
      </c>
      <c r="W157" s="1">
        <f>$J157+SUMPRODUCT(regions!DP156:DW156,regions!DP$204:DW$204)</f>
        <v>-6.3471154085079142</v>
      </c>
      <c r="X157" s="1">
        <f>$J157+SUMPRODUCT(regions!AB156:AE156,regions!AB$204:AE$204)</f>
        <v>-4.2158167166373346</v>
      </c>
      <c r="Y157" s="1">
        <f>$J157+SUMPRODUCT(regions!BX156:CJ156,regions!BX$204:CJ$204)</f>
        <v>-4.8094500446178472</v>
      </c>
      <c r="Z157" s="1">
        <f>$J157+SUMPRODUCT(regions!CX156:DF156,regions!CX$204:DF$204)</f>
        <v>-2.1571154085079147</v>
      </c>
      <c r="AA157" s="1">
        <f t="shared" si="89"/>
        <v>-6.7102259290085957</v>
      </c>
      <c r="AB157" s="1">
        <f t="shared" si="90"/>
        <v>-8.2702862806931829</v>
      </c>
      <c r="AC157" s="1">
        <f>$J157+SUMPRODUCT(regions!DZ156:EG156,regions!DZ$204:EG$204)</f>
        <v>-4.3080154085079148</v>
      </c>
      <c r="AD157" s="1">
        <f t="shared" si="99"/>
        <v>-9.1072267282480937</v>
      </c>
      <c r="AE157" s="1">
        <f t="shared" si="99"/>
        <v>-10.617226728248093</v>
      </c>
      <c r="AF157" s="1">
        <f t="shared" si="91"/>
        <v>-36.738168963353466</v>
      </c>
      <c r="AG157" s="1">
        <f>$J157+SUMPRODUCT(regions!AX156:BK156,regions!AX$204:BK$204)</f>
        <v>-2.7463290739799628</v>
      </c>
      <c r="AH157" s="1">
        <f>$J157+SUMPRODUCT(regions!AG156:AV156,regions!AG$204:AV$204)</f>
        <v>-10.912942632246359</v>
      </c>
      <c r="AI157" s="1">
        <f t="shared" si="86"/>
        <v>-10.117226728248093</v>
      </c>
      <c r="AJ157" s="1">
        <f>SartoriRoson!C154</f>
        <v>-7.84</v>
      </c>
      <c r="AK157" s="1">
        <f>Kompas!E154</f>
        <v>-8.2070000000000007</v>
      </c>
      <c r="AL157" s="1">
        <f>$J157+SUMPRODUCT(regions!EY156:FW156,regions!EY$204:FW$204)</f>
        <v>-3.58007785199284</v>
      </c>
      <c r="AM157" s="1">
        <f>$J157+SUMPRODUCT(regions!FZ156:GF156,regions!FZ$204:GF$204)</f>
        <v>-0.1233939348752191</v>
      </c>
      <c r="AN157" s="1">
        <f t="shared" si="93"/>
        <v>-17.317226728248095</v>
      </c>
      <c r="AO157" s="1">
        <f t="shared" si="93"/>
        <v>-16.617226728248092</v>
      </c>
      <c r="AP157" s="1">
        <f t="shared" si="93"/>
        <v>-11.817226728248095</v>
      </c>
      <c r="AQ157" s="1">
        <f t="shared" si="92"/>
        <v>-2.9876994172576605</v>
      </c>
      <c r="AR157" s="1">
        <f t="shared" si="92"/>
        <v>-13.117226728248093</v>
      </c>
      <c r="AS157" s="1">
        <f t="shared" si="92"/>
        <v>-10.417226728248092</v>
      </c>
      <c r="AT157" s="1">
        <f t="shared" si="92"/>
        <v>-8.4105600615814264</v>
      </c>
      <c r="AU157" s="1">
        <f t="shared" si="100"/>
        <v>-13.337226728248094</v>
      </c>
      <c r="AV157" s="1">
        <f t="shared" si="100"/>
        <v>-11.917226728248092</v>
      </c>
      <c r="AW157" s="1">
        <f>$J157+SUMPRODUCT(regions!BN156:BU156,regions!BN$204:BU$204)</f>
        <v>-7.8988319405673177</v>
      </c>
      <c r="AX157" s="1">
        <f t="shared" si="100"/>
        <v>-9.5972267282480939</v>
      </c>
      <c r="AY157" s="1">
        <f t="shared" si="100"/>
        <v>-8.8172267282480945</v>
      </c>
      <c r="AZ157" s="1">
        <f t="shared" si="100"/>
        <v>-8.8172267282480945</v>
      </c>
      <c r="BF157" s="1"/>
      <c r="BG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</row>
    <row r="158" spans="1:90" x14ac:dyDescent="0.35">
      <c r="A158" t="s">
        <v>406</v>
      </c>
      <c r="B158" s="19">
        <f>regions!B157</f>
        <v>186029</v>
      </c>
      <c r="C158" s="19">
        <f>regions!C157</f>
        <v>426326498.14749146</v>
      </c>
      <c r="D158" s="8">
        <f>regions!D157</f>
        <v>2291.7206357476061</v>
      </c>
      <c r="E158" s="8">
        <f>regions!E157</f>
        <v>21.694533948884871</v>
      </c>
      <c r="F158" s="8">
        <f>regions!F157</f>
        <v>10.421931413472686</v>
      </c>
      <c r="G158" s="1">
        <f>regions!Z157</f>
        <v>26.7</v>
      </c>
      <c r="J158" s="1">
        <f t="shared" si="88"/>
        <v>4.1765064722854213</v>
      </c>
      <c r="K158" s="1">
        <f t="shared" si="83"/>
        <v>-10.776239815739336</v>
      </c>
      <c r="L158" s="1">
        <f t="shared" si="95"/>
        <v>-10.668458386346311</v>
      </c>
      <c r="M158" s="1">
        <f t="shared" si="96"/>
        <v>7.9908292239304464</v>
      </c>
      <c r="N158" s="1">
        <f t="shared" si="98"/>
        <v>-10.274971398427256</v>
      </c>
      <c r="O158" s="1">
        <f t="shared" si="98"/>
        <v>-12.678542325304635</v>
      </c>
      <c r="P158" s="1">
        <f t="shared" si="98"/>
        <v>-10.678542325304635</v>
      </c>
      <c r="Q158" s="1">
        <f t="shared" si="98"/>
        <v>-11.008542325304635</v>
      </c>
      <c r="R158" s="1">
        <f t="shared" si="98"/>
        <v>-13.278542325304635</v>
      </c>
      <c r="S158" s="1">
        <f>$J158+SUMPRODUCT(regions!EI157:EN157,regions!EI$204:EN$204)</f>
        <v>-6.0845408300078461</v>
      </c>
      <c r="T158" s="1">
        <f>$J158+SUMPRODUCT(regions!EQ157:EV157,regions!EQ$204:EV$204)</f>
        <v>-5.5835528970231163</v>
      </c>
      <c r="U158" s="1">
        <f>$J158+SUMPRODUCT(regions!CM157:CU157,regions!CM$204:CU$204)</f>
        <v>-11.621499400052571</v>
      </c>
      <c r="V158" s="1">
        <f>$J158+SUMPRODUCT(regions!DH157:DM157,regions!DH$204:DM$204)</f>
        <v>-8.0119842645516801</v>
      </c>
      <c r="W158" s="1">
        <f>$J158+SUMPRODUCT(regions!DP157:DW157,regions!DP$204:DW$204)</f>
        <v>-11.796049565802271</v>
      </c>
      <c r="X158" s="1">
        <f>$J158+SUMPRODUCT(regions!AB157:AE157,regions!AB$204:AE$204)</f>
        <v>-4.9618986850545781</v>
      </c>
      <c r="Y158" s="1">
        <f>$J158+SUMPRODUCT(regions!BX157:CJ157,regions!BX$204:CJ$204)</f>
        <v>4.1765064722854213</v>
      </c>
      <c r="Z158" s="1">
        <f>$J158+SUMPRODUCT(regions!CX157:DF157,regions!CX$204:DF$204)</f>
        <v>-4.7214994000525721</v>
      </c>
      <c r="AA158" s="1">
        <f t="shared" si="89"/>
        <v>-8.2715415260651373</v>
      </c>
      <c r="AB158" s="1">
        <f t="shared" si="90"/>
        <v>-9.8316018777497245</v>
      </c>
      <c r="AC158" s="1">
        <f>$J158+SUMPRODUCT(regions!DZ157:EG157,regions!DZ$204:EG$204)</f>
        <v>-6.2910495658022718</v>
      </c>
      <c r="AD158" s="1">
        <f t="shared" si="99"/>
        <v>-10.668542325304635</v>
      </c>
      <c r="AE158" s="1">
        <f t="shared" si="99"/>
        <v>-12.178542325304635</v>
      </c>
      <c r="AF158" s="1">
        <f t="shared" si="91"/>
        <v>-38.299484560410008</v>
      </c>
      <c r="AG158" s="1">
        <f>$J158+SUMPRODUCT(regions!AX157:BK157,regions!AX$204:BK$204)</f>
        <v>-4.7199999044219716</v>
      </c>
      <c r="AH158" s="1">
        <f>$J158+SUMPRODUCT(regions!AG157:AV157,regions!AG$204:AV$204)</f>
        <v>-12.474258229302901</v>
      </c>
      <c r="AI158" s="1">
        <f t="shared" si="86"/>
        <v>-11.678542325304635</v>
      </c>
      <c r="AJ158" s="1">
        <f>SartoriRoson!C155</f>
        <v>-2.02</v>
      </c>
      <c r="AK158" s="1">
        <f>Kompas!E155</f>
        <v>-5.1710000000000003</v>
      </c>
      <c r="AL158" s="1">
        <f>$J158+SUMPRODUCT(regions!EY157:FW157,regions!EY$204:FW$204)</f>
        <v>-6.0765815801951462</v>
      </c>
      <c r="AM158" s="1">
        <f>$J158+SUMPRODUCT(regions!FZ157:GF157,regions!FZ$204:GF$204)</f>
        <v>-6.5539295539570102</v>
      </c>
      <c r="AN158" s="1">
        <f t="shared" si="93"/>
        <v>-18.878542325304636</v>
      </c>
      <c r="AO158" s="1">
        <f t="shared" si="93"/>
        <v>-18.178542325304633</v>
      </c>
      <c r="AP158" s="1">
        <f t="shared" si="93"/>
        <v>-13.378542325304636</v>
      </c>
      <c r="AQ158" s="1">
        <f t="shared" si="92"/>
        <v>-4.5490150143142021</v>
      </c>
      <c r="AR158" s="1">
        <f t="shared" si="92"/>
        <v>-14.678542325304635</v>
      </c>
      <c r="AS158" s="1">
        <f t="shared" si="92"/>
        <v>-11.978542325304634</v>
      </c>
      <c r="AT158" s="1">
        <f t="shared" si="92"/>
        <v>-9.971875658637968</v>
      </c>
      <c r="AU158" s="1">
        <f t="shared" si="100"/>
        <v>-14.898542325304636</v>
      </c>
      <c r="AV158" s="1">
        <f t="shared" si="100"/>
        <v>-13.478542325304634</v>
      </c>
      <c r="AW158" s="1">
        <f>$J158+SUMPRODUCT(regions!BN157:BU157,regions!BN$204:BU$204)</f>
        <v>-9.4601475376238593</v>
      </c>
      <c r="AX158" s="1">
        <f t="shared" si="100"/>
        <v>-11.158542325304635</v>
      </c>
      <c r="AY158" s="1">
        <f t="shared" si="100"/>
        <v>-10.378542325304636</v>
      </c>
      <c r="AZ158" s="1">
        <f t="shared" si="100"/>
        <v>-10.378542325304636</v>
      </c>
      <c r="BF158" s="1"/>
      <c r="BG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</row>
    <row r="159" spans="1:90" x14ac:dyDescent="0.35">
      <c r="A159" t="s">
        <v>607</v>
      </c>
      <c r="B159" s="19">
        <f>regions!B158</f>
        <v>30861</v>
      </c>
      <c r="C159" s="19">
        <f>regions!C158</f>
        <v>1541851055.8333526</v>
      </c>
      <c r="D159" s="8">
        <f>regions!D158</f>
        <v>49961.150184159698</v>
      </c>
      <c r="E159" s="8">
        <f>regions!E158</f>
        <v>0</v>
      </c>
      <c r="F159" s="8">
        <f>regions!F158</f>
        <v>0</v>
      </c>
      <c r="G159" s="1">
        <f>regions!Z158</f>
        <v>14.3</v>
      </c>
      <c r="J159" s="1">
        <f t="shared" si="88"/>
        <v>14.407703899909276</v>
      </c>
      <c r="K159" s="1">
        <f>J159+J$4</f>
        <v>-0.54504238811548156</v>
      </c>
      <c r="L159" s="1">
        <f t="shared" si="95"/>
        <v>-2.3726096569688844</v>
      </c>
      <c r="M159" s="1">
        <f t="shared" si="96"/>
        <v>5.3933085726965144</v>
      </c>
      <c r="N159" s="1">
        <f t="shared" ref="N159:R159" si="101">$J159+N$3-$J$3</f>
        <v>-4.3773970803401951E-2</v>
      </c>
      <c r="O159" s="1">
        <f t="shared" si="101"/>
        <v>-2.4473448976807806</v>
      </c>
      <c r="P159" s="1">
        <f t="shared" si="101"/>
        <v>-0.44734489768078056</v>
      </c>
      <c r="Q159" s="1">
        <f t="shared" si="101"/>
        <v>-0.77734489768078063</v>
      </c>
      <c r="R159" s="1">
        <f t="shared" si="101"/>
        <v>-3.0473448976807802</v>
      </c>
      <c r="S159" s="1">
        <f>$J159+SUMPRODUCT(regions!EI158:EN158,regions!EI$204:EN$204)</f>
        <v>-2.3743125102838718</v>
      </c>
      <c r="T159" s="1">
        <f>$J159+SUMPRODUCT(regions!EQ158:EV158,regions!EQ$204:EV$204)</f>
        <v>-2.5743125102838711</v>
      </c>
      <c r="U159" s="1">
        <f>$J159+SUMPRODUCT(regions!CM158:CU158,regions!CM$204:CU$204)</f>
        <v>-2.3889611833256019</v>
      </c>
      <c r="V159" s="1">
        <f>$J159+SUMPRODUCT(regions!DH158:DM158,regions!DH$204:DM$204)</f>
        <v>-2.1507254839182295</v>
      </c>
      <c r="W159" s="1">
        <f>$J159+SUMPRODUCT(regions!DP158:DW158,regions!DP$204:DW$204)</f>
        <v>-2.2743125102838704</v>
      </c>
      <c r="X159" s="1">
        <f>$J159+SUMPRODUCT(regions!AB158:AE158,regions!AB$204:AE$204)</f>
        <v>-0.93599884169284664</v>
      </c>
      <c r="Y159" s="1">
        <f>$J159+SUMPRODUCT(regions!BX158:CJ158,regions!BX$204:CJ$204)</f>
        <v>-3.9797322971587974</v>
      </c>
      <c r="Z159" s="1">
        <f>$J159+SUMPRODUCT(regions!CX158:DF158,regions!CX$204:DF$204)</f>
        <v>2.6110388166743981</v>
      </c>
      <c r="AA159" s="1">
        <f t="shared" si="89"/>
        <v>1.9596559015587167</v>
      </c>
      <c r="AB159" s="1">
        <f t="shared" si="90"/>
        <v>0.3995955498741306</v>
      </c>
      <c r="AC159" s="1">
        <f>$J159+SUMPRODUCT(regions!DZ158:EG158,regions!DZ$204:EG$204)</f>
        <v>-2.2043125102838701</v>
      </c>
      <c r="AD159" s="1">
        <f>$J159+AD$3-$J$3</f>
        <v>-0.43734489768078078</v>
      </c>
      <c r="AE159" s="1">
        <f>$J159+AE$3-$J$3</f>
        <v>-1.9473448976807806</v>
      </c>
      <c r="AF159" s="1">
        <f t="shared" si="91"/>
        <v>-28.068287132786153</v>
      </c>
      <c r="AG159" s="1">
        <f>$J159+SUMPRODUCT(regions!AX158:BK158,regions!AX$204:BK$204)</f>
        <v>0.20491751110850132</v>
      </c>
      <c r="AH159" s="1">
        <f>$J159+SUMPRODUCT(regions!AG158:AV158,regions!AG$204:AV$204)</f>
        <v>0.25883809576846595</v>
      </c>
      <c r="AI159" s="1">
        <f>$J159+AI$3-$J$3</f>
        <v>-1.4473448976807806</v>
      </c>
      <c r="AJ159" s="1">
        <f>SartoriRoson!C156</f>
        <v>0.01</v>
      </c>
      <c r="AK159" s="1">
        <f>Kompas!E156</f>
        <v>-0.20499999999999999</v>
      </c>
      <c r="AL159" s="1">
        <f>$J159+SUMPRODUCT(regions!EY158:FW158,regions!EY$204:FW$204)</f>
        <v>1.9414246774269017</v>
      </c>
      <c r="AM159" s="1">
        <f>$J159+SUMPRODUCT(regions!FZ158:GF158,regions!FZ$204:GF$204)</f>
        <v>0.13947352506128752</v>
      </c>
      <c r="AN159" s="1">
        <f t="shared" si="93"/>
        <v>-8.6473448976807799</v>
      </c>
      <c r="AO159" s="1">
        <f t="shared" si="93"/>
        <v>-7.9473448976807806</v>
      </c>
      <c r="AP159" s="1">
        <f t="shared" si="93"/>
        <v>-3.1473448976807799</v>
      </c>
      <c r="AQ159" s="1">
        <f t="shared" si="92"/>
        <v>5.6821824133096523</v>
      </c>
      <c r="AR159" s="1">
        <f t="shared" si="92"/>
        <v>-4.4473448976807806</v>
      </c>
      <c r="AS159" s="1">
        <f t="shared" si="92"/>
        <v>-1.7473448976807813</v>
      </c>
      <c r="AT159" s="1">
        <f t="shared" si="92"/>
        <v>0.25932176898588644</v>
      </c>
      <c r="AU159" s="1">
        <f t="shared" si="100"/>
        <v>-4.6673448976807794</v>
      </c>
      <c r="AV159" s="1">
        <f t="shared" si="100"/>
        <v>-3.2473448976807813</v>
      </c>
      <c r="AW159" s="1">
        <f>$J159+SUMPRODUCT(regions!BN158:BU158,regions!BN$204:BU$204)</f>
        <v>0.77104988999999513</v>
      </c>
      <c r="AX159" s="1">
        <f t="shared" si="100"/>
        <v>-0.92734489768078099</v>
      </c>
      <c r="AY159" s="1">
        <f t="shared" si="100"/>
        <v>-0.14734489768077985</v>
      </c>
      <c r="AZ159" s="1">
        <f t="shared" si="100"/>
        <v>-0.14734489768077985</v>
      </c>
      <c r="BF159" s="1"/>
      <c r="BG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</row>
    <row r="160" spans="1:90" x14ac:dyDescent="0.35">
      <c r="A160" t="s">
        <v>253</v>
      </c>
      <c r="B160" s="19">
        <f>regions!B159</f>
        <v>27258387</v>
      </c>
      <c r="C160" s="19">
        <f>regions!C159</f>
        <v>435991918415.44006</v>
      </c>
      <c r="D160" s="8">
        <f>regions!D159</f>
        <v>15994.78055746439</v>
      </c>
      <c r="E160" s="8">
        <f>regions!E159</f>
        <v>0</v>
      </c>
      <c r="F160" s="8">
        <f>regions!F159</f>
        <v>2.6402770226027461</v>
      </c>
      <c r="G160" s="1">
        <f>regions!Z159</f>
        <v>24.6</v>
      </c>
      <c r="J160" s="1">
        <f t="shared" si="88"/>
        <v>8.5001478522584577</v>
      </c>
      <c r="K160" s="1">
        <f t="shared" ref="K160:K177" si="102">J160+J$4</f>
        <v>-6.4525984357662995</v>
      </c>
      <c r="L160" s="1">
        <f t="shared" si="95"/>
        <v>-6.7490026276541411</v>
      </c>
      <c r="M160" s="1">
        <f t="shared" si="96"/>
        <v>5.5103587380774099</v>
      </c>
      <c r="N160" s="1">
        <f t="shared" ref="N160:R169" si="103">$J160+N$3-$J$3</f>
        <v>-5.9513300184542199</v>
      </c>
      <c r="O160" s="1">
        <f t="shared" si="103"/>
        <v>-8.3549009453315985</v>
      </c>
      <c r="P160" s="1">
        <f t="shared" si="103"/>
        <v>-6.3549009453315985</v>
      </c>
      <c r="Q160" s="1">
        <f t="shared" si="103"/>
        <v>-6.6849009453315986</v>
      </c>
      <c r="R160" s="1">
        <f t="shared" si="103"/>
        <v>-8.9549009453315982</v>
      </c>
      <c r="S160" s="1">
        <f>$J160+SUMPRODUCT(regions!EI159:EN159,regions!EI$204:EN$204)</f>
        <v>-1.7608994500348096</v>
      </c>
      <c r="T160" s="1">
        <f>$J160+SUMPRODUCT(regions!EQ159:EV159,regions!EQ$204:EV$204)</f>
        <v>-1.2599115170500799</v>
      </c>
      <c r="U160" s="1">
        <f>$J160+SUMPRODUCT(regions!CM159:CU159,regions!CM$204:CU$204)</f>
        <v>-5.1265987214486479</v>
      </c>
      <c r="V160" s="1">
        <f>$J160+SUMPRODUCT(regions!DH159:DM159,regions!DH$204:DM$204)</f>
        <v>-3.6883428845786437</v>
      </c>
      <c r="W160" s="1">
        <f>$J160+SUMPRODUCT(regions!DP159:DW159,regions!DP$204:DW$204)</f>
        <v>-5.527900133969144</v>
      </c>
      <c r="X160" s="1">
        <f>$J160+SUMPRODUCT(regions!AB159:AE159,regions!AB$204:AE$204)</f>
        <v>-6.8435548893436646</v>
      </c>
      <c r="Y160" s="1">
        <f>$J160+SUMPRODUCT(regions!BX159:CJ159,regions!BX$204:CJ$204)</f>
        <v>-2.1005550512110336</v>
      </c>
      <c r="Z160" s="1">
        <f>$J160+SUMPRODUCT(regions!CX159:DF159,regions!CX$204:DF$204)</f>
        <v>7.3401278551351368E-2</v>
      </c>
      <c r="AA160" s="1">
        <f t="shared" si="89"/>
        <v>-3.9479001460921013</v>
      </c>
      <c r="AB160" s="1">
        <f t="shared" si="90"/>
        <v>-5.5079604977766872</v>
      </c>
      <c r="AC160" s="1">
        <f>$J160+SUMPRODUCT(regions!DZ159:EG159,regions!DZ$204:EG$204)</f>
        <v>-1.9288001339691441</v>
      </c>
      <c r="AD160" s="1">
        <f t="shared" ref="AD160:AE177" si="104">$J160+AD$3-$J$3</f>
        <v>-6.3449009453315988</v>
      </c>
      <c r="AE160" s="1">
        <f t="shared" si="104"/>
        <v>-7.8549009453315985</v>
      </c>
      <c r="AF160" s="1">
        <f t="shared" si="91"/>
        <v>-25.3</v>
      </c>
      <c r="AG160" s="1">
        <f>$J160+SUMPRODUCT(regions!AX159:BK159,regions!AX$204:BK$204)</f>
        <v>-1.6842162928569131</v>
      </c>
      <c r="AH160" s="1">
        <f>$J160+SUMPRODUCT(regions!AG159:AV159,regions!AG$204:AV$204)</f>
        <v>-11.065819666869366</v>
      </c>
      <c r="AI160" s="1">
        <f t="shared" ref="AI160:AI177" si="105">$J160+AI$3-$J$3</f>
        <v>-7.3549009453315985</v>
      </c>
      <c r="AJ160" s="1">
        <f>SartoriRoson!C157</f>
        <v>-3.36</v>
      </c>
      <c r="AK160" s="1">
        <f>Kompas!E157</f>
        <v>-5.4489999999999998</v>
      </c>
      <c r="AL160" s="1">
        <f>$J160+SUMPRODUCT(regions!EY159:FW159,regions!EY$204:FW$204)</f>
        <v>-3.0388801111982922</v>
      </c>
      <c r="AM160" s="1">
        <f>$J160+SUMPRODUCT(regions!FZ159:GF159,regions!FZ$204:GF$204)</f>
        <v>-0.46658694044866067</v>
      </c>
      <c r="AN160" s="1">
        <f t="shared" si="93"/>
        <v>-14.554900945331598</v>
      </c>
      <c r="AO160" s="1">
        <f t="shared" si="93"/>
        <v>-13.854900945331599</v>
      </c>
      <c r="AP160" s="1">
        <f t="shared" si="93"/>
        <v>-9.0549009453315996</v>
      </c>
      <c r="AQ160" s="1">
        <f t="shared" si="92"/>
        <v>-0.22537363434116564</v>
      </c>
      <c r="AR160" s="1">
        <f t="shared" si="92"/>
        <v>-10.354900945331599</v>
      </c>
      <c r="AS160" s="1">
        <f t="shared" si="92"/>
        <v>-7.6549009453315984</v>
      </c>
      <c r="AT160" s="1">
        <f t="shared" si="92"/>
        <v>-5.6482342786649316</v>
      </c>
      <c r="AU160" s="1">
        <f t="shared" si="100"/>
        <v>-10.574900945331599</v>
      </c>
      <c r="AV160" s="1">
        <f t="shared" si="100"/>
        <v>-9.1549009453315975</v>
      </c>
      <c r="AW160" s="1">
        <f>$J160+SUMPRODUCT(regions!BN159:BU159,regions!BN$204:BU$204)</f>
        <v>-3.4046407579574414</v>
      </c>
      <c r="AX160" s="1">
        <f t="shared" si="100"/>
        <v>-6.834900945331599</v>
      </c>
      <c r="AY160" s="1">
        <f t="shared" si="100"/>
        <v>-6.0549009453315987</v>
      </c>
      <c r="AZ160" s="1">
        <f t="shared" si="100"/>
        <v>-6.0549009453315987</v>
      </c>
      <c r="BF160" s="1"/>
      <c r="BG160" s="1"/>
      <c r="BJ160" t="str">
        <f>MaddisonRehdanz!A64</f>
        <v>Saudi Arabia</v>
      </c>
      <c r="BK160">
        <f>MaddisonRehdanz!D64</f>
        <v>-25.3</v>
      </c>
      <c r="BL160" s="1">
        <f>$K160-BK160</f>
        <v>18.847401564233699</v>
      </c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</row>
    <row r="161" spans="1:90" x14ac:dyDescent="0.35">
      <c r="A161" t="s">
        <v>184</v>
      </c>
      <c r="B161" s="19">
        <f>regions!B160</f>
        <v>12950564</v>
      </c>
      <c r="C161" s="19">
        <f>regions!C160</f>
        <v>10366034228.236326</v>
      </c>
      <c r="D161" s="8">
        <f>regions!D160</f>
        <v>800.43110309607573</v>
      </c>
      <c r="E161" s="8">
        <f>regions!E160</f>
        <v>18.662279360884103</v>
      </c>
      <c r="F161" s="8">
        <f>regions!F160</f>
        <v>15.290544496622013</v>
      </c>
      <c r="G161" s="1">
        <f>regions!Z160</f>
        <v>27.8</v>
      </c>
      <c r="J161" s="1">
        <f t="shared" si="88"/>
        <v>1.8494453059604812</v>
      </c>
      <c r="K161" s="1">
        <f t="shared" si="102"/>
        <v>-13.103300982064276</v>
      </c>
      <c r="L161" s="1">
        <f t="shared" si="95"/>
        <v>-13.281364129627406</v>
      </c>
      <c r="M161" s="1">
        <f t="shared" si="96"/>
        <v>9.093264412949857</v>
      </c>
      <c r="N161" s="1">
        <f t="shared" si="103"/>
        <v>-12.602032564752196</v>
      </c>
      <c r="O161" s="1">
        <f t="shared" si="103"/>
        <v>-15.005603491629575</v>
      </c>
      <c r="P161" s="1">
        <f t="shared" si="103"/>
        <v>-13.005603491629575</v>
      </c>
      <c r="Q161" s="1">
        <f t="shared" si="103"/>
        <v>-13.335603491629575</v>
      </c>
      <c r="R161" s="1">
        <f t="shared" si="103"/>
        <v>-15.605603491629575</v>
      </c>
      <c r="S161" s="1">
        <f>$J161+SUMPRODUCT(regions!EI160:EN160,regions!EI$204:EN$204)</f>
        <v>-8.4116019963327862</v>
      </c>
      <c r="T161" s="1">
        <f>$J161+SUMPRODUCT(regions!EQ160:EV160,regions!EQ$204:EV$204)</f>
        <v>-7.9106140633480564</v>
      </c>
      <c r="U161" s="1">
        <f>$J161+SUMPRODUCT(regions!CM160:CU160,regions!CM$204:CU$204)</f>
        <v>-12.606185186658262</v>
      </c>
      <c r="V161" s="1">
        <f>$J161+SUMPRODUCT(regions!DH160:DM160,regions!DH$204:DM$204)</f>
        <v>-10.33904543087662</v>
      </c>
      <c r="W161" s="1">
        <f>$J161+SUMPRODUCT(regions!DP160:DW160,regions!DP$204:DW$204)</f>
        <v>-12.178602680267121</v>
      </c>
      <c r="X161" s="1">
        <f>$J161+SUMPRODUCT(regions!AB160:AE160,regions!AB$204:AE$204)</f>
        <v>-1.6670720422549605</v>
      </c>
      <c r="Y161" s="1">
        <f>$J161+SUMPRODUCT(regions!BX160:CJ160,regions!BX$204:CJ$204)</f>
        <v>-5.1025614819813825</v>
      </c>
      <c r="Z161" s="1">
        <f>$J161+SUMPRODUCT(regions!CX160:DF160,regions!CX$204:DF$204)</f>
        <v>-8.0061851866582625</v>
      </c>
      <c r="AA161" s="1">
        <f t="shared" si="89"/>
        <v>-28.4</v>
      </c>
      <c r="AB161" s="1">
        <f t="shared" si="90"/>
        <v>-12.158663044074665</v>
      </c>
      <c r="AC161" s="1">
        <f>$J161+SUMPRODUCT(regions!DZ160:EG160,regions!DZ$204:EG$204)</f>
        <v>-8.5795026802671206</v>
      </c>
      <c r="AD161" s="1">
        <f t="shared" si="104"/>
        <v>-12.995603491629575</v>
      </c>
      <c r="AE161" s="1">
        <f t="shared" si="104"/>
        <v>-14.505603491629575</v>
      </c>
      <c r="AF161" s="1">
        <f t="shared" si="91"/>
        <v>-40.626545726734946</v>
      </c>
      <c r="AG161" s="1">
        <f>$J161+SUMPRODUCT(regions!AX160:BK160,regions!AX$204:BK$204)</f>
        <v>-4.9406440350220464</v>
      </c>
      <c r="AH161" s="1">
        <f>$J161+SUMPRODUCT(regions!AG160:AV160,regions!AG$204:AV$204)</f>
        <v>-11.840644035022047</v>
      </c>
      <c r="AI161" s="1">
        <f t="shared" si="105"/>
        <v>-14.005603491629575</v>
      </c>
      <c r="AJ161" s="1">
        <f>SartoriRoson!C158</f>
        <v>-9.58</v>
      </c>
      <c r="AK161" s="1">
        <f>Kompas!E158</f>
        <v>-13.000999999999999</v>
      </c>
      <c r="AL161" s="1">
        <f>$J161+SUMPRODUCT(regions!EY160:FW160,regions!EY$204:FW$204)</f>
        <v>-5.4297693007374779</v>
      </c>
      <c r="AM161" s="1">
        <f>$J161+SUMPRODUCT(regions!FZ160:GF160,regions!FZ$204:GF$204)</f>
        <v>-2.3022333727599769</v>
      </c>
      <c r="AN161" s="1">
        <f t="shared" si="93"/>
        <v>-21.205603491629574</v>
      </c>
      <c r="AO161" s="1">
        <f t="shared" si="93"/>
        <v>-20.505603491629575</v>
      </c>
      <c r="AP161" s="1">
        <f t="shared" si="93"/>
        <v>-15.705603491629574</v>
      </c>
      <c r="AQ161" s="1">
        <f t="shared" si="92"/>
        <v>-6.8760761806391413</v>
      </c>
      <c r="AR161" s="1">
        <f t="shared" si="92"/>
        <v>-17.005603491629575</v>
      </c>
      <c r="AS161" s="1">
        <f t="shared" si="92"/>
        <v>-14.305603491629576</v>
      </c>
      <c r="AT161" s="1">
        <f t="shared" si="92"/>
        <v>-12.298936824962908</v>
      </c>
      <c r="AU161" s="1">
        <f t="shared" si="100"/>
        <v>-17.225603491629574</v>
      </c>
      <c r="AV161" s="1">
        <f t="shared" si="100"/>
        <v>-15.805603491629576</v>
      </c>
      <c r="AW161" s="1">
        <f>$J161+SUMPRODUCT(regions!BN160:BU160,regions!BN$204:BU$204)</f>
        <v>-10.055343304255418</v>
      </c>
      <c r="AX161" s="1">
        <f t="shared" si="100"/>
        <v>-13.485603491629576</v>
      </c>
      <c r="AY161" s="1">
        <f t="shared" si="100"/>
        <v>-12.705603491629574</v>
      </c>
      <c r="AZ161" s="1">
        <f t="shared" si="100"/>
        <v>-12.705603491629574</v>
      </c>
      <c r="BB161" t="str">
        <f>Maddison!A69</f>
        <v>Senegal</v>
      </c>
      <c r="BC161">
        <f>-Maddison!B69</f>
        <v>-28.4</v>
      </c>
      <c r="BD161" s="1">
        <f>K161-BC161</f>
        <v>15.296699017935723</v>
      </c>
      <c r="BF161" s="1"/>
      <c r="BG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</row>
    <row r="162" spans="1:90" x14ac:dyDescent="0.35">
      <c r="A162" t="s">
        <v>234</v>
      </c>
      <c r="B162" s="19">
        <f>regions!B161</f>
        <v>7291436</v>
      </c>
      <c r="C162" s="19">
        <f>regions!C161</f>
        <v>27876766882.558659</v>
      </c>
      <c r="D162" s="8">
        <f>regions!D161</f>
        <v>3823.2204030260514</v>
      </c>
      <c r="E162" s="8">
        <f>regions!E161</f>
        <v>21.4386601870325</v>
      </c>
      <c r="F162" s="8">
        <f>regions!F161</f>
        <v>8.5260019023150093</v>
      </c>
      <c r="G162" s="1">
        <f>regions!Z161</f>
        <v>9.9</v>
      </c>
      <c r="J162" s="1">
        <f t="shared" si="88"/>
        <v>11.35802948064171</v>
      </c>
      <c r="K162" s="1">
        <f t="shared" si="102"/>
        <v>-3.5947168073830476</v>
      </c>
      <c r="L162" s="1">
        <f t="shared" si="95"/>
        <v>-4.6107007466144516</v>
      </c>
      <c r="M162" s="1">
        <f t="shared" si="96"/>
        <v>6.0495365425947787</v>
      </c>
      <c r="N162" s="1">
        <f t="shared" si="103"/>
        <v>-3.0934483900709679</v>
      </c>
      <c r="O162" s="1">
        <f t="shared" si="103"/>
        <v>-5.4970193169483466</v>
      </c>
      <c r="P162" s="1">
        <f t="shared" si="103"/>
        <v>-3.4970193169483466</v>
      </c>
      <c r="Q162" s="1">
        <f t="shared" si="103"/>
        <v>-3.8270193169483466</v>
      </c>
      <c r="R162" s="1">
        <f t="shared" si="103"/>
        <v>-6.0970193169483462</v>
      </c>
      <c r="S162" s="1">
        <f>$J162+SUMPRODUCT(regions!EI161:EN161,regions!EI$204:EN$204)</f>
        <v>1.0969821783484424</v>
      </c>
      <c r="T162" s="1">
        <f>$J162+SUMPRODUCT(regions!EQ161:EV161,regions!EQ$204:EV$204)</f>
        <v>1.5979701113331721</v>
      </c>
      <c r="U162" s="1">
        <f>$J162+SUMPRODUCT(regions!CM161:CU161,regions!CM$204:CU$204)</f>
        <v>-3.2979773485943795</v>
      </c>
      <c r="V162" s="1">
        <f>$J162+SUMPRODUCT(regions!DH161:DM161,regions!DH$204:DM$204)</f>
        <v>-0.83046125619539168</v>
      </c>
      <c r="W162" s="1">
        <f>$J162+SUMPRODUCT(regions!DP161:DW161,regions!DP$204:DW$204)</f>
        <v>-3.5979773485943802</v>
      </c>
      <c r="X162" s="1">
        <f>$J162+SUMPRODUCT(regions!AB161:AE161,regions!AB$204:AE$204)</f>
        <v>1.4043906946624123</v>
      </c>
      <c r="Y162" s="1">
        <f>$J162+SUMPRODUCT(regions!BX161:CJ161,regions!BX$204:CJ$204)</f>
        <v>-2.7348291988509903</v>
      </c>
      <c r="Z162" s="1">
        <f>$J162+SUMPRODUCT(regions!CX161:DF161,regions!CX$204:DF$204)</f>
        <v>-1.5979773485943802</v>
      </c>
      <c r="AA162" s="1">
        <f t="shared" si="89"/>
        <v>0.8</v>
      </c>
      <c r="AB162" s="1">
        <f t="shared" si="90"/>
        <v>-10.33552760095237</v>
      </c>
      <c r="AC162" s="1">
        <f>$J162+SUMPRODUCT(regions!DZ161:EG161,regions!DZ$204:EG$204)</f>
        <v>-3.1674773485943799</v>
      </c>
      <c r="AD162" s="1">
        <f t="shared" si="104"/>
        <v>-3.4870193169483468</v>
      </c>
      <c r="AE162" s="1">
        <f t="shared" si="104"/>
        <v>-4.9970193169483466</v>
      </c>
      <c r="AF162" s="1">
        <f t="shared" si="91"/>
        <v>-31.117961552053718</v>
      </c>
      <c r="AG162" s="1">
        <f>$J162+SUMPRODUCT(regions!AX161:BK161,regions!AX$204:BK$204)</f>
        <v>-2.4071473228823894</v>
      </c>
      <c r="AH162" s="1">
        <f>$J162+SUMPRODUCT(regions!AG161:AV161,regions!AG$204:AV$204)</f>
        <v>-3.0467792836809426</v>
      </c>
      <c r="AI162" s="1">
        <f t="shared" si="105"/>
        <v>-4.4970193169483466</v>
      </c>
      <c r="AJ162" s="1">
        <f>SartoriRoson!C159</f>
        <v>0.01</v>
      </c>
      <c r="AK162" s="1">
        <f>Kompas!E159</f>
        <v>-0.20499999999999999</v>
      </c>
      <c r="AL162" s="1">
        <f>$J162+SUMPRODUCT(regions!EY161:FW161,regions!EY$204:FW$204)</f>
        <v>-1.1082497418406643</v>
      </c>
      <c r="AM162" s="1">
        <f>$J162+SUMPRODUCT(regions!FZ161:GF161,regions!FZ$204:GF$204)</f>
        <v>-2.9102008942062785</v>
      </c>
      <c r="AN162" s="1">
        <f t="shared" si="93"/>
        <v>-11.697019316948346</v>
      </c>
      <c r="AO162" s="1">
        <f t="shared" si="93"/>
        <v>-10.997019316948347</v>
      </c>
      <c r="AP162" s="1">
        <f t="shared" si="93"/>
        <v>-6.1970193169483467</v>
      </c>
      <c r="AQ162" s="1">
        <f t="shared" si="92"/>
        <v>2.6325079940420881</v>
      </c>
      <c r="AR162" s="1">
        <f t="shared" si="92"/>
        <v>-7.4970193169483466</v>
      </c>
      <c r="AS162" s="1">
        <f t="shared" si="92"/>
        <v>-4.7970193169483455</v>
      </c>
      <c r="AT162" s="1">
        <f t="shared" si="92"/>
        <v>-2.7903526502816796</v>
      </c>
      <c r="AU162" s="1">
        <f t="shared" si="100"/>
        <v>-7.7170193169483463</v>
      </c>
      <c r="AV162" s="1">
        <f t="shared" si="100"/>
        <v>-6.2970193169483464</v>
      </c>
      <c r="AW162" s="1">
        <f>$J162+SUMPRODUCT(regions!BN161:BU161,regions!BN$204:BU$204)</f>
        <v>-3.7038018626742844</v>
      </c>
      <c r="AX162" s="1">
        <f t="shared" si="100"/>
        <v>-3.977019316948347</v>
      </c>
      <c r="AY162" s="1">
        <f t="shared" si="100"/>
        <v>-3.1970193169483458</v>
      </c>
      <c r="AZ162" s="1">
        <f t="shared" si="100"/>
        <v>-3.1970193169483458</v>
      </c>
      <c r="BB162" t="str">
        <f>Maddison!A88</f>
        <v>Yugoslavia</v>
      </c>
      <c r="BC162">
        <f>-Maddison!B88</f>
        <v>0.8</v>
      </c>
      <c r="BD162" s="1">
        <f>K162-BC162</f>
        <v>-4.3947168073830474</v>
      </c>
      <c r="BE162" t="str">
        <f>RehdanzMaddison!P57</f>
        <v>Serbia</v>
      </c>
      <c r="BF162" s="1">
        <f>-100*RehdanzMaddison!U57</f>
        <v>-5.7396638662608837</v>
      </c>
      <c r="BG162" s="1">
        <f>-100*RehdanzMaddison!V57</f>
        <v>-10.33552760095237</v>
      </c>
      <c r="BH162" s="1">
        <f>$K162-BF162</f>
        <v>2.1449470588778361</v>
      </c>
      <c r="BI162" s="1">
        <f>$K162-BG162</f>
        <v>6.740810793569322</v>
      </c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</row>
    <row r="163" spans="1:90" x14ac:dyDescent="0.35">
      <c r="A163" t="s">
        <v>407</v>
      </c>
      <c r="B163" s="19">
        <f>regions!B162</f>
        <v>89770</v>
      </c>
      <c r="C163" s="19">
        <f>regions!C162</f>
        <v>1135149255.7550099</v>
      </c>
      <c r="D163" s="8">
        <f>regions!D162</f>
        <v>12645.084724908209</v>
      </c>
      <c r="E163" s="8">
        <f>regions!E162</f>
        <v>27.851389346347709</v>
      </c>
      <c r="F163" s="8">
        <f>regions!F162</f>
        <v>2.2608774028193075</v>
      </c>
      <c r="G163" s="1">
        <f>regions!Z162</f>
        <v>27.1</v>
      </c>
      <c r="J163" s="1">
        <f t="shared" si="88"/>
        <v>7.141865992707233</v>
      </c>
      <c r="K163" s="1">
        <f t="shared" si="102"/>
        <v>-7.8108802953175243</v>
      </c>
      <c r="L163" s="1">
        <f t="shared" si="95"/>
        <v>-8.2479480438938015</v>
      </c>
      <c r="M163" s="1">
        <f t="shared" si="96"/>
        <v>6.8818703275323356</v>
      </c>
      <c r="N163" s="1">
        <f t="shared" si="103"/>
        <v>-7.3096118780054447</v>
      </c>
      <c r="O163" s="1">
        <f t="shared" si="103"/>
        <v>-9.7131828048828233</v>
      </c>
      <c r="P163" s="1">
        <f t="shared" si="103"/>
        <v>-7.7131828048828233</v>
      </c>
      <c r="Q163" s="1">
        <f t="shared" si="103"/>
        <v>-8.0431828048828233</v>
      </c>
      <c r="R163" s="1">
        <f t="shared" si="103"/>
        <v>-10.313182804882823</v>
      </c>
      <c r="S163" s="1">
        <f>$J163+SUMPRODUCT(regions!EI162:EN162,regions!EI$204:EN$204)</f>
        <v>-3.1191813095860343</v>
      </c>
      <c r="T163" s="1">
        <f>$J163+SUMPRODUCT(regions!EQ162:EV162,regions!EQ$204:EV$204)</f>
        <v>-2.6181933766013046</v>
      </c>
      <c r="U163" s="1">
        <f>$J163+SUMPRODUCT(regions!CM162:CU162,regions!CM$204:CU$204)</f>
        <v>-8.6561398796307589</v>
      </c>
      <c r="V163" s="1">
        <f>$J163+SUMPRODUCT(regions!DH162:DM162,regions!DH$204:DM$204)</f>
        <v>-5.0466247441298684</v>
      </c>
      <c r="W163" s="1">
        <f>$J163+SUMPRODUCT(regions!DP162:DW162,regions!DP$204:DW$204)</f>
        <v>-8.8306900453804591</v>
      </c>
      <c r="X163" s="1">
        <f>$J163+SUMPRODUCT(regions!AB162:AE162,regions!AB$204:AE$204)</f>
        <v>-2.8117727932720644</v>
      </c>
      <c r="Y163" s="1">
        <f>$J163+SUMPRODUCT(regions!BX162:CJ162,regions!BX$204:CJ$204)</f>
        <v>-5.2434567565230044</v>
      </c>
      <c r="Z163" s="1">
        <f>$J163+SUMPRODUCT(regions!CX162:DF162,regions!CX$204:DF$204)</f>
        <v>-1.7561398796307603</v>
      </c>
      <c r="AA163" s="1">
        <f t="shared" si="89"/>
        <v>-5.3061820056433255</v>
      </c>
      <c r="AB163" s="1">
        <f t="shared" si="90"/>
        <v>-6.8662423573279119</v>
      </c>
      <c r="AC163" s="1">
        <f>$J163+SUMPRODUCT(regions!DZ162:EG162,regions!DZ$204:EG$204)</f>
        <v>-3.3256900453804601</v>
      </c>
      <c r="AD163" s="1">
        <f t="shared" si="104"/>
        <v>-7.7031828048828235</v>
      </c>
      <c r="AE163" s="1">
        <f t="shared" si="104"/>
        <v>-9.2131828048828233</v>
      </c>
      <c r="AF163" s="1">
        <f t="shared" si="91"/>
        <v>-35.334125039988194</v>
      </c>
      <c r="AG163" s="1">
        <f>$J163+SUMPRODUCT(regions!AX162:BK162,regions!AX$204:BK$204)</f>
        <v>-0.10818413962520701</v>
      </c>
      <c r="AH163" s="1">
        <f>$J163+SUMPRODUCT(regions!AG162:AV162,regions!AG$204:AV$204)</f>
        <v>-9.5088987088810892</v>
      </c>
      <c r="AI163" s="1">
        <f t="shared" si="105"/>
        <v>-8.7131828048828233</v>
      </c>
      <c r="AJ163" s="1">
        <f>SartoriRoson!C160</f>
        <v>-4.62</v>
      </c>
      <c r="AK163" s="1">
        <f>Kompas!E160</f>
        <v>-8.0990000000000002</v>
      </c>
      <c r="AL163" s="1">
        <f>$J163+SUMPRODUCT(regions!EY162:FW162,regions!EY$204:FW$204)</f>
        <v>-3.1112220597733344</v>
      </c>
      <c r="AM163" s="1">
        <f>$J163+SUMPRODUCT(regions!FZ162:GF162,regions!FZ$204:GF$204)</f>
        <v>-1.8248687999998854</v>
      </c>
      <c r="AN163" s="1">
        <f t="shared" si="93"/>
        <v>-15.913182804882823</v>
      </c>
      <c r="AO163" s="1">
        <f t="shared" si="93"/>
        <v>-15.213182804882823</v>
      </c>
      <c r="AP163" s="1">
        <f t="shared" si="93"/>
        <v>-10.413182804882823</v>
      </c>
      <c r="AQ163" s="1">
        <f t="shared" si="92"/>
        <v>-1.5836554938923886</v>
      </c>
      <c r="AR163" s="1">
        <f t="shared" si="92"/>
        <v>-11.713182804882823</v>
      </c>
      <c r="AS163" s="1">
        <f t="shared" si="92"/>
        <v>-9.013182804882824</v>
      </c>
      <c r="AT163" s="1">
        <f t="shared" si="92"/>
        <v>-7.0065161382161563</v>
      </c>
      <c r="AU163" s="1">
        <f t="shared" si="100"/>
        <v>-11.933182804882822</v>
      </c>
      <c r="AV163" s="1">
        <f t="shared" si="100"/>
        <v>-10.513182804882824</v>
      </c>
      <c r="AW163" s="1">
        <f>$J163+SUMPRODUCT(regions!BN162:BU162,regions!BN$204:BU$204)</f>
        <v>-6.4947880172020476</v>
      </c>
      <c r="AX163" s="1">
        <f t="shared" si="100"/>
        <v>-8.1931828048828237</v>
      </c>
      <c r="AY163" s="1">
        <f t="shared" si="100"/>
        <v>-7.4131828048828234</v>
      </c>
      <c r="AZ163" s="1">
        <f t="shared" si="100"/>
        <v>-7.4131828048828234</v>
      </c>
      <c r="BF163" s="1"/>
      <c r="BG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</row>
    <row r="164" spans="1:90" x14ac:dyDescent="0.35">
      <c r="A164" t="s">
        <v>185</v>
      </c>
      <c r="B164" s="19">
        <f>regions!B163</f>
        <v>5751976</v>
      </c>
      <c r="C164" s="19">
        <f>regions!C163</f>
        <v>2130751272.7919905</v>
      </c>
      <c r="D164" s="8">
        <f>regions!D163</f>
        <v>370.43813687539563</v>
      </c>
      <c r="E164" s="8">
        <f>regions!E163</f>
        <v>9.0807920713429322</v>
      </c>
      <c r="F164" s="8">
        <f>regions!F163</f>
        <v>52.942680264490413</v>
      </c>
      <c r="G164" s="1">
        <f>regions!Z163</f>
        <v>26</v>
      </c>
      <c r="J164" s="1">
        <f t="shared" si="88"/>
        <v>1.1141287909544477</v>
      </c>
      <c r="K164" s="1">
        <f t="shared" si="102"/>
        <v>-13.83861749707031</v>
      </c>
      <c r="L164" s="1">
        <f t="shared" si="95"/>
        <v>-13.269220399889388</v>
      </c>
      <c r="M164" s="1">
        <f t="shared" si="96"/>
        <v>8.9435565829196353</v>
      </c>
      <c r="N164" s="1">
        <f t="shared" si="103"/>
        <v>-13.33734907975823</v>
      </c>
      <c r="O164" s="1">
        <f t="shared" si="103"/>
        <v>-15.740920006635609</v>
      </c>
      <c r="P164" s="1">
        <f t="shared" si="103"/>
        <v>-13.740920006635609</v>
      </c>
      <c r="Q164" s="1">
        <f t="shared" si="103"/>
        <v>-14.070920006635609</v>
      </c>
      <c r="R164" s="1">
        <f t="shared" si="103"/>
        <v>-16.34092000663561</v>
      </c>
      <c r="S164" s="1">
        <f>$J164+SUMPRODUCT(regions!EI163:EN163,regions!EI$204:EN$204)</f>
        <v>-9.1469185113388196</v>
      </c>
      <c r="T164" s="1">
        <f>$J164+SUMPRODUCT(regions!EQ163:EV163,regions!EQ$204:EV$204)</f>
        <v>-8.6459305783540898</v>
      </c>
      <c r="U164" s="1">
        <f>$J164+SUMPRODUCT(regions!CM163:CU163,regions!CM$204:CU$204)</f>
        <v>-13.341501701664296</v>
      </c>
      <c r="V164" s="1">
        <f>$J164+SUMPRODUCT(regions!DH163:DM163,regions!DH$204:DM$204)</f>
        <v>-11.074361945882654</v>
      </c>
      <c r="W164" s="1">
        <f>$J164+SUMPRODUCT(regions!DP163:DW163,regions!DP$204:DW$204)</f>
        <v>-12.913919195273154</v>
      </c>
      <c r="X164" s="1">
        <f>$J164+SUMPRODUCT(regions!AB163:AE163,regions!AB$204:AE$204)</f>
        <v>-2.402388557260994</v>
      </c>
      <c r="Y164" s="1">
        <f>$J164+SUMPRODUCT(regions!BX163:CJ163,regions!BX$204:CJ$204)</f>
        <v>-5.8378779969874159</v>
      </c>
      <c r="Z164" s="1">
        <f>$J164+SUMPRODUCT(regions!CX163:DF163,regions!CX$204:DF$204)</f>
        <v>-8.741501701664296</v>
      </c>
      <c r="AA164" s="1">
        <f t="shared" si="89"/>
        <v>-2.4</v>
      </c>
      <c r="AB164" s="1">
        <f t="shared" si="90"/>
        <v>-12.893979559080698</v>
      </c>
      <c r="AC164" s="1">
        <f>$J164+SUMPRODUCT(regions!DZ163:EG163,regions!DZ$204:EG$204)</f>
        <v>-9.3148191952731541</v>
      </c>
      <c r="AD164" s="1">
        <f t="shared" si="104"/>
        <v>-13.730920006635609</v>
      </c>
      <c r="AE164" s="1">
        <f t="shared" si="104"/>
        <v>-15.240920006635609</v>
      </c>
      <c r="AF164" s="1">
        <f t="shared" si="91"/>
        <v>-41.36186224174098</v>
      </c>
      <c r="AG164" s="1">
        <f>$J164+SUMPRODUCT(regions!AX163:BK163,regions!AX$204:BK$204)</f>
        <v>-5.6759605500280799</v>
      </c>
      <c r="AH164" s="1">
        <f>$J164+SUMPRODUCT(regions!AG163:AV163,regions!AG$204:AV$204)</f>
        <v>-12.57596055002808</v>
      </c>
      <c r="AI164" s="1">
        <f t="shared" si="105"/>
        <v>-14.740920006635609</v>
      </c>
      <c r="AJ164" s="1">
        <f>SartoriRoson!C161</f>
        <v>-6.07</v>
      </c>
      <c r="AK164" s="1">
        <f>Kompas!E161</f>
        <v>-15.566000000000001</v>
      </c>
      <c r="AL164" s="1">
        <f>$J164+SUMPRODUCT(regions!EY163:FW163,regions!EY$204:FW$204)</f>
        <v>-6.1650858157435113</v>
      </c>
      <c r="AM164" s="1">
        <f>$J164+SUMPRODUCT(regions!FZ163:GF163,regions!FZ$204:GF$204)</f>
        <v>-3.0375498877660103</v>
      </c>
      <c r="AN164" s="1">
        <f t="shared" si="93"/>
        <v>-21.940920006635608</v>
      </c>
      <c r="AO164" s="1">
        <f t="shared" si="93"/>
        <v>-21.240920006635609</v>
      </c>
      <c r="AP164" s="1">
        <f t="shared" si="93"/>
        <v>-16.440920006635608</v>
      </c>
      <c r="AQ164" s="1">
        <f t="shared" si="92"/>
        <v>-7.6113926956451747</v>
      </c>
      <c r="AR164" s="1">
        <f t="shared" si="92"/>
        <v>-17.740920006635609</v>
      </c>
      <c r="AS164" s="1">
        <f t="shared" si="92"/>
        <v>-15.040920006635609</v>
      </c>
      <c r="AT164" s="1">
        <f t="shared" si="92"/>
        <v>-13.034253339968942</v>
      </c>
      <c r="AU164" s="1">
        <f t="shared" si="100"/>
        <v>-17.960920006635607</v>
      </c>
      <c r="AV164" s="1">
        <f t="shared" si="100"/>
        <v>-16.540920006635609</v>
      </c>
      <c r="AW164" s="1">
        <f>$J164+SUMPRODUCT(regions!BN163:BU163,regions!BN$204:BU$204)</f>
        <v>-10.790659819261451</v>
      </c>
      <c r="AX164" s="1">
        <f t="shared" si="100"/>
        <v>-14.220920006635609</v>
      </c>
      <c r="AY164" s="1">
        <f t="shared" si="100"/>
        <v>-13.440920006635608</v>
      </c>
      <c r="AZ164" s="1">
        <f t="shared" si="100"/>
        <v>-13.440920006635608</v>
      </c>
      <c r="BB164" t="str">
        <f>Maddison!A70</f>
        <v>Sierra Leone</v>
      </c>
      <c r="BC164">
        <f>-Maddison!B70</f>
        <v>-2.4</v>
      </c>
      <c r="BD164" s="1">
        <f>K164-BC164</f>
        <v>-11.438617497070309</v>
      </c>
      <c r="BF164" s="1"/>
      <c r="BG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</row>
    <row r="165" spans="1:90" x14ac:dyDescent="0.35">
      <c r="A165" t="s">
        <v>207</v>
      </c>
      <c r="B165" s="19">
        <f>regions!B164</f>
        <v>5076700</v>
      </c>
      <c r="C165" s="19">
        <f>regions!C164</f>
        <v>176457991287.06442</v>
      </c>
      <c r="D165" s="8">
        <f>regions!D164</f>
        <v>34758.404334915285</v>
      </c>
      <c r="E165" s="8">
        <f>regions!E164</f>
        <v>12.969027590487814</v>
      </c>
      <c r="F165" s="8">
        <f>regions!F164</f>
        <v>3.6728997388332532E-2</v>
      </c>
      <c r="G165" s="1">
        <f>regions!Z164</f>
        <v>26.4</v>
      </c>
      <c r="J165" s="1">
        <f t="shared" ref="J165:J196" si="106">I$1+I$2*LN(D165)+I$3*G165</f>
        <v>9.2458479357392047</v>
      </c>
      <c r="K165" s="1">
        <f t="shared" si="102"/>
        <v>-5.7068983522855525</v>
      </c>
      <c r="L165" s="1">
        <f t="shared" si="95"/>
        <v>-5.9508627630901785</v>
      </c>
      <c r="M165" s="1">
        <f t="shared" si="96"/>
        <v>4.4241815387738974</v>
      </c>
      <c r="N165" s="1">
        <f t="shared" si="103"/>
        <v>-5.2056299349734729</v>
      </c>
      <c r="O165" s="1">
        <f t="shared" si="103"/>
        <v>-7.6092008618508515</v>
      </c>
      <c r="P165" s="1">
        <f t="shared" si="103"/>
        <v>-5.6092008618508515</v>
      </c>
      <c r="Q165" s="1">
        <f t="shared" si="103"/>
        <v>-5.9392008618508516</v>
      </c>
      <c r="R165" s="1">
        <f t="shared" si="103"/>
        <v>-8.2092008618508512</v>
      </c>
      <c r="S165" s="1">
        <f>$J165+SUMPRODUCT(regions!EI164:EN164,regions!EI$204:EN$204)</f>
        <v>-1.0151993665540626</v>
      </c>
      <c r="T165" s="1">
        <f>$J165+SUMPRODUCT(regions!EQ164:EV164,regions!EQ$204:EV$204)</f>
        <v>-0.51421143356933285</v>
      </c>
      <c r="U165" s="1">
        <f>$J165+SUMPRODUCT(regions!CM164:CU164,regions!CM$204:CU$204)</f>
        <v>-6.5521579365987872</v>
      </c>
      <c r="V165" s="1">
        <f>$J165+SUMPRODUCT(regions!DH164:DM164,regions!DH$204:DM$204)</f>
        <v>-2.9426428010978967</v>
      </c>
      <c r="W165" s="1">
        <f>$J165+SUMPRODUCT(regions!DP164:DW164,regions!DP$204:DW$204)</f>
        <v>-6.7267081023484874</v>
      </c>
      <c r="X165" s="1">
        <f>$J165+SUMPRODUCT(regions!AB164:AE164,regions!AB$204:AE$204)</f>
        <v>-6.0978548058629176</v>
      </c>
      <c r="Y165" s="1">
        <f>$J165+SUMPRODUCT(regions!BX164:CJ164,regions!BX$204:CJ$204)</f>
        <v>-6.0052890948073223</v>
      </c>
      <c r="Z165" s="1">
        <f>$J165+SUMPRODUCT(regions!CX164:DF164,regions!CX$204:DF$204)</f>
        <v>0.34784206340121138</v>
      </c>
      <c r="AA165" s="1">
        <f t="shared" ref="AA165:AA196" si="107">IF(ISNUMBER(BC165),BC165,K165-BD$4)</f>
        <v>-3.2022000626113543</v>
      </c>
      <c r="AB165" s="1">
        <f t="shared" ref="AB165:AB196" si="108">IF(ISNUMBER(BG165),BG165,K165-BI$4)</f>
        <v>-4.7622604142959402</v>
      </c>
      <c r="AC165" s="1">
        <f>$J165+SUMPRODUCT(regions!DZ164:EG164,regions!DZ$204:EG$204)</f>
        <v>-1.2217081023484884</v>
      </c>
      <c r="AD165" s="1">
        <f t="shared" si="104"/>
        <v>-5.5992008618508518</v>
      </c>
      <c r="AE165" s="1">
        <f t="shared" si="104"/>
        <v>-7.1092008618508515</v>
      </c>
      <c r="AF165" s="1">
        <f t="shared" ref="AF165:AF196" si="109">IF(ISNUMBER(BK165),BK165,K165-BL$4)</f>
        <v>-2.2999999999999998</v>
      </c>
      <c r="AG165" s="1">
        <f>$J165+SUMPRODUCT(regions!AX164:BK164,regions!AX$204:BK$204)</f>
        <v>0.34934155903181185</v>
      </c>
      <c r="AH165" s="1">
        <f>$J165+SUMPRODUCT(regions!AG164:AV164,regions!AG$204:AV$204)</f>
        <v>-8.7081447469736464</v>
      </c>
      <c r="AI165" s="1">
        <f t="shared" si="105"/>
        <v>-6.6092008618508515</v>
      </c>
      <c r="AJ165" s="1">
        <f>SartoriRoson!C162</f>
        <v>-10.74</v>
      </c>
      <c r="AK165" s="1">
        <f>Kompas!E162</f>
        <v>-11.651999999999999</v>
      </c>
      <c r="AL165" s="1">
        <f>$J165+SUMPRODUCT(regions!EY164:FW164,regions!EY$204:FW$204)</f>
        <v>0.68017330789945341</v>
      </c>
      <c r="AM165" s="1">
        <f>$J165+SUMPRODUCT(regions!FZ164:GF164,regions!FZ$204:GF$204)</f>
        <v>0.27911314303208634</v>
      </c>
      <c r="AN165" s="1">
        <f t="shared" si="93"/>
        <v>-13.809200861850851</v>
      </c>
      <c r="AO165" s="1">
        <f t="shared" si="93"/>
        <v>-13.109200861850852</v>
      </c>
      <c r="AP165" s="1">
        <f t="shared" si="93"/>
        <v>-8.3092008618508508</v>
      </c>
      <c r="AQ165" s="1">
        <f t="shared" si="92"/>
        <v>0.52032644913958315</v>
      </c>
      <c r="AR165" s="1">
        <f t="shared" si="92"/>
        <v>-9.6092008618508515</v>
      </c>
      <c r="AS165" s="1">
        <f t="shared" si="92"/>
        <v>-6.9092008618508514</v>
      </c>
      <c r="AT165" s="1">
        <f t="shared" si="92"/>
        <v>-4.9025341951841845</v>
      </c>
      <c r="AU165" s="1">
        <f t="shared" si="100"/>
        <v>-9.8292008618508504</v>
      </c>
      <c r="AV165" s="1">
        <f t="shared" si="100"/>
        <v>-8.4092008618508522</v>
      </c>
      <c r="AW165" s="1">
        <f>$J165+SUMPRODUCT(regions!BN164:BU164,regions!BN$204:BU$204)</f>
        <v>-4.3908060741700758</v>
      </c>
      <c r="AX165" s="1">
        <f t="shared" si="100"/>
        <v>-6.089200861850852</v>
      </c>
      <c r="AY165" s="1">
        <f t="shared" si="100"/>
        <v>-5.3092008618508508</v>
      </c>
      <c r="AZ165" s="1">
        <f t="shared" si="100"/>
        <v>-5.3092008618508508</v>
      </c>
      <c r="BF165" s="1"/>
      <c r="BG165" s="1"/>
      <c r="BJ165" t="str">
        <f>MaddisonRehdanz!A65</f>
        <v>Singapore</v>
      </c>
      <c r="BK165">
        <f>MaddisonRehdanz!D65</f>
        <v>-2.2999999999999998</v>
      </c>
      <c r="BL165" s="1">
        <f>$K165-BK165</f>
        <v>-3.4068983522855527</v>
      </c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</row>
    <row r="166" spans="1:90" x14ac:dyDescent="0.35">
      <c r="A166" t="s">
        <v>235</v>
      </c>
      <c r="B166" s="19">
        <f>regions!B165</f>
        <v>5430099</v>
      </c>
      <c r="C166" s="19">
        <f>regions!C165</f>
        <v>76899962691.20755</v>
      </c>
      <c r="D166" s="8">
        <f>regions!D165</f>
        <v>14161.797545718329</v>
      </c>
      <c r="E166" s="8">
        <f>regions!E165</f>
        <v>14.99047283460088</v>
      </c>
      <c r="F166" s="8">
        <f>regions!F165</f>
        <v>2.5548657708785236</v>
      </c>
      <c r="G166" s="1">
        <f>regions!Z165</f>
        <v>6.8</v>
      </c>
      <c r="J166" s="1">
        <f t="shared" si="106"/>
        <v>14.898530338506342</v>
      </c>
      <c r="K166" s="1">
        <f t="shared" si="102"/>
        <v>-5.421594951841513E-2</v>
      </c>
      <c r="L166" s="1">
        <f t="shared" si="95"/>
        <v>-0.28075432903243391</v>
      </c>
      <c r="M166" s="1">
        <f t="shared" si="96"/>
        <v>3.5511297266266419</v>
      </c>
      <c r="N166" s="1">
        <f t="shared" si="103"/>
        <v>0.44705246779366448</v>
      </c>
      <c r="O166" s="1">
        <f t="shared" si="103"/>
        <v>-1.9565184590837141</v>
      </c>
      <c r="P166" s="1">
        <f t="shared" si="103"/>
        <v>4.3481540916285866E-2</v>
      </c>
      <c r="Q166" s="1">
        <f t="shared" si="103"/>
        <v>-0.28651845908371421</v>
      </c>
      <c r="R166" s="1">
        <f t="shared" si="103"/>
        <v>-2.5565184590837138</v>
      </c>
      <c r="S166" s="1">
        <f>$J166+SUMPRODUCT(regions!EI165:EN165,regions!EI$204:EN$204)</f>
        <v>4.6374830362130748</v>
      </c>
      <c r="T166" s="1">
        <f>$J166+SUMPRODUCT(regions!EQ165:EV165,regions!EQ$204:EV$204)</f>
        <v>5.1384709691978045</v>
      </c>
      <c r="U166" s="1">
        <f>$J166+SUMPRODUCT(regions!CM165:CU165,regions!CM$204:CU$204)</f>
        <v>0.2425235092702529</v>
      </c>
      <c r="V166" s="1">
        <f>$J166+SUMPRODUCT(regions!DH165:DM165,regions!DH$204:DM$204)</f>
        <v>2.7100396016692407</v>
      </c>
      <c r="W166" s="1">
        <f>$J166+SUMPRODUCT(regions!DP165:DW165,regions!DP$204:DW$204)</f>
        <v>-5.7476490729747809E-2</v>
      </c>
      <c r="X166" s="1">
        <f>$J166+SUMPRODUCT(regions!AB165:AE165,regions!AB$204:AE$204)</f>
        <v>4.9448915525270447</v>
      </c>
      <c r="Y166" s="1">
        <f>$J166+SUMPRODUCT(regions!BX165:CJ165,regions!BX$204:CJ$204)</f>
        <v>0.80567165901364213</v>
      </c>
      <c r="Z166" s="1">
        <f>$J166+SUMPRODUCT(regions!CX165:DF165,regions!CX$204:DF$204)</f>
        <v>1.9425235092702522</v>
      </c>
      <c r="AA166" s="1">
        <f t="shared" si="107"/>
        <v>2.4504823401557831</v>
      </c>
      <c r="AB166" s="1">
        <f t="shared" si="108"/>
        <v>-1.6303721279351799</v>
      </c>
      <c r="AC166" s="1">
        <f>$J166+SUMPRODUCT(regions!DZ165:EG165,regions!DZ$204:EG$204)</f>
        <v>0.37302350927025252</v>
      </c>
      <c r="AD166" s="1">
        <f t="shared" si="104"/>
        <v>5.3481540916285653E-2</v>
      </c>
      <c r="AE166" s="1">
        <f t="shared" si="104"/>
        <v>-1.4565184590837141</v>
      </c>
      <c r="AF166" s="1">
        <f t="shared" si="109"/>
        <v>9.1999999999999993</v>
      </c>
      <c r="AG166" s="1">
        <f>$J166+SUMPRODUCT(regions!AX165:BK165,regions!AX$204:BK$204)</f>
        <v>1.133353534982243</v>
      </c>
      <c r="AH166" s="1">
        <f>$J166+SUMPRODUCT(regions!AG165:AV165,regions!AG$204:AV$204)</f>
        <v>0.49372157418368978</v>
      </c>
      <c r="AI166" s="1">
        <f t="shared" si="105"/>
        <v>-0.95651845908371413</v>
      </c>
      <c r="AJ166" s="1">
        <f>SartoriRoson!C163</f>
        <v>1.23</v>
      </c>
      <c r="AK166" s="1">
        <f>Kompas!E163</f>
        <v>-0.47</v>
      </c>
      <c r="AL166" s="1">
        <f>$J166+SUMPRODUCT(regions!EY165:FW165,regions!EY$204:FW$204)</f>
        <v>-0.70546713090152124</v>
      </c>
      <c r="AM166" s="1">
        <f>$J166+SUMPRODUCT(regions!FZ165:GF165,regions!FZ$204:GF$204)</f>
        <v>0.63029996365835395</v>
      </c>
      <c r="AN166" s="1">
        <f t="shared" si="93"/>
        <v>-8.1565184590837134</v>
      </c>
      <c r="AO166" s="1">
        <f t="shared" si="93"/>
        <v>-7.4565184590837141</v>
      </c>
      <c r="AP166" s="1">
        <f t="shared" si="93"/>
        <v>-2.6565184590837152</v>
      </c>
      <c r="AQ166" s="1">
        <f t="shared" si="92"/>
        <v>6.1730088519067206</v>
      </c>
      <c r="AR166" s="1">
        <f t="shared" si="92"/>
        <v>-3.9565184590837141</v>
      </c>
      <c r="AS166" s="1">
        <f t="shared" si="92"/>
        <v>-1.2565184590837131</v>
      </c>
      <c r="AT166" s="1">
        <f t="shared" si="92"/>
        <v>0.75014820758295286</v>
      </c>
      <c r="AU166" s="1">
        <f t="shared" si="100"/>
        <v>-4.1765184590837148</v>
      </c>
      <c r="AV166" s="1">
        <f t="shared" si="100"/>
        <v>-2.7565184590837131</v>
      </c>
      <c r="AW166" s="1">
        <f>$J166+SUMPRODUCT(regions!BN165:BU165,regions!BN$204:BU$204)</f>
        <v>-0.16330100480965193</v>
      </c>
      <c r="AX166" s="1">
        <f t="shared" si="100"/>
        <v>-0.43651845908371456</v>
      </c>
      <c r="AY166" s="1">
        <f t="shared" si="100"/>
        <v>0.34348154091628658</v>
      </c>
      <c r="AZ166" s="1">
        <f t="shared" si="100"/>
        <v>0.34348154091628658</v>
      </c>
      <c r="BE166" t="str">
        <f>RehdanzMaddison!P58</f>
        <v>Slovakia</v>
      </c>
      <c r="BF166" s="1">
        <f>-100*RehdanzMaddison!U58</f>
        <v>-0.96357824322419616</v>
      </c>
      <c r="BG166" s="1">
        <f>-100*RehdanzMaddison!V58</f>
        <v>-1.6303721279351799</v>
      </c>
      <c r="BH166" s="1">
        <f>$K166-BF166</f>
        <v>0.90936229370578103</v>
      </c>
      <c r="BI166" s="1">
        <f>$K166-BG166</f>
        <v>1.5761561784167648</v>
      </c>
      <c r="BJ166" t="str">
        <f>MaddisonRehdanz!A66</f>
        <v>Slovakia</v>
      </c>
      <c r="BK166">
        <f>MaddisonRehdanz!D66</f>
        <v>9.1999999999999993</v>
      </c>
      <c r="BL166" s="1">
        <f>$K166-BK166</f>
        <v>-9.2542159495184144</v>
      </c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</row>
    <row r="167" spans="1:90" x14ac:dyDescent="0.35">
      <c r="A167" t="s">
        <v>236</v>
      </c>
      <c r="B167" s="19">
        <f>regions!B166</f>
        <v>2048583</v>
      </c>
      <c r="C167" s="19">
        <f>regions!C166</f>
        <v>39034227961.239731</v>
      </c>
      <c r="D167" s="8">
        <f>regions!D166</f>
        <v>19054.257484924816</v>
      </c>
      <c r="E167" s="8">
        <f>regions!E166</f>
        <v>18.112829254260724</v>
      </c>
      <c r="F167" s="8">
        <f>regions!F166</f>
        <v>1.726788454801407</v>
      </c>
      <c r="G167" s="1">
        <f>regions!Z166</f>
        <v>8.9</v>
      </c>
      <c r="J167" s="1">
        <f t="shared" si="106"/>
        <v>14.6585333002035</v>
      </c>
      <c r="K167" s="1">
        <f t="shared" si="102"/>
        <v>-0.2942129878212576</v>
      </c>
      <c r="L167" s="1">
        <f t="shared" si="95"/>
        <v>-0.769922383856813</v>
      </c>
      <c r="M167" s="1">
        <f t="shared" si="96"/>
        <v>3.0712757055726354</v>
      </c>
      <c r="N167" s="1">
        <f t="shared" si="103"/>
        <v>0.20705542949082201</v>
      </c>
      <c r="O167" s="1">
        <f t="shared" si="103"/>
        <v>-2.1965154973865566</v>
      </c>
      <c r="P167" s="1">
        <f t="shared" si="103"/>
        <v>-0.1965154973865566</v>
      </c>
      <c r="Q167" s="1">
        <f t="shared" si="103"/>
        <v>-0.52651549738655667</v>
      </c>
      <c r="R167" s="1">
        <f t="shared" si="103"/>
        <v>-2.7965154973865562</v>
      </c>
      <c r="S167" s="1">
        <f>$J167+SUMPRODUCT(regions!EI166:EN166,regions!EI$204:EN$204)</f>
        <v>4.3974859979102323</v>
      </c>
      <c r="T167" s="1">
        <f>$J167+SUMPRODUCT(regions!EQ166:EV166,regions!EQ$204:EV$204)</f>
        <v>4.8984739308949621</v>
      </c>
      <c r="U167" s="1">
        <f>$J167+SUMPRODUCT(regions!CM166:CU166,regions!CM$204:CU$204)</f>
        <v>2.5264709674104324E-3</v>
      </c>
      <c r="V167" s="1">
        <f>$J167+SUMPRODUCT(regions!DH166:DM166,regions!DH$204:DM$204)</f>
        <v>2.4700425633663983</v>
      </c>
      <c r="W167" s="1">
        <f>$J167+SUMPRODUCT(regions!DP166:DW166,regions!DP$204:DW$204)</f>
        <v>-0.29747352903259028</v>
      </c>
      <c r="X167" s="1">
        <f>$J167+SUMPRODUCT(regions!AB166:AE166,regions!AB$204:AE$204)</f>
        <v>-0.68516944139862268</v>
      </c>
      <c r="Y167" s="1">
        <f>$J167+SUMPRODUCT(regions!BX166:CJ166,regions!BX$204:CJ$204)</f>
        <v>0.56567462071079966</v>
      </c>
      <c r="Z167" s="1">
        <f>$J167+SUMPRODUCT(regions!CX166:DF166,regions!CX$204:DF$204)</f>
        <v>1.7025264709674097</v>
      </c>
      <c r="AA167" s="1">
        <f t="shared" si="107"/>
        <v>2.2104853018529407</v>
      </c>
      <c r="AB167" s="1">
        <f t="shared" si="108"/>
        <v>-1.7259659698636514</v>
      </c>
      <c r="AC167" s="1">
        <f>$J167+SUMPRODUCT(regions!DZ166:EG166,regions!DZ$204:EG$204)</f>
        <v>0.13302647096741005</v>
      </c>
      <c r="AD167" s="1">
        <f t="shared" si="104"/>
        <v>-0.18651549738655682</v>
      </c>
      <c r="AE167" s="1">
        <f t="shared" si="104"/>
        <v>-1.6965154973865566</v>
      </c>
      <c r="AF167" s="1">
        <f t="shared" si="109"/>
        <v>4</v>
      </c>
      <c r="AG167" s="1">
        <f>$J167+SUMPRODUCT(regions!AX166:BK166,regions!AX$204:BK$204)</f>
        <v>0.89335649667940054</v>
      </c>
      <c r="AH167" s="1">
        <f>$J167+SUMPRODUCT(regions!AG166:AV166,regions!AG$204:AV$204)</f>
        <v>0.25372453588084731</v>
      </c>
      <c r="AI167" s="1">
        <f t="shared" si="105"/>
        <v>-1.1965154973865566</v>
      </c>
      <c r="AJ167" s="1">
        <f>SartoriRoson!C164</f>
        <v>1.28</v>
      </c>
      <c r="AK167" s="1">
        <f>Kompas!E164</f>
        <v>-0.51200000000000001</v>
      </c>
      <c r="AL167" s="1">
        <f>$J167+SUMPRODUCT(regions!EY166:FW166,regions!EY$204:FW$204)</f>
        <v>-0.94546416920436371</v>
      </c>
      <c r="AM167" s="1">
        <f>$J167+SUMPRODUCT(regions!FZ166:GF166,regions!FZ$204:GF$204)</f>
        <v>0.39030292535551148</v>
      </c>
      <c r="AN167" s="1">
        <f t="shared" si="93"/>
        <v>-8.3965154973865559</v>
      </c>
      <c r="AO167" s="1">
        <f t="shared" si="93"/>
        <v>-7.6965154973865566</v>
      </c>
      <c r="AP167" s="1">
        <f t="shared" si="93"/>
        <v>-2.8965154973865577</v>
      </c>
      <c r="AQ167" s="1">
        <f t="shared" si="92"/>
        <v>5.9330118136038781</v>
      </c>
      <c r="AR167" s="1">
        <f t="shared" si="92"/>
        <v>-4.1965154973865566</v>
      </c>
      <c r="AS167" s="1">
        <f t="shared" si="92"/>
        <v>-1.4965154973865555</v>
      </c>
      <c r="AT167" s="1">
        <f t="shared" si="92"/>
        <v>0.51015116928011039</v>
      </c>
      <c r="AU167" s="1">
        <f t="shared" si="100"/>
        <v>-4.4165154973865572</v>
      </c>
      <c r="AV167" s="1">
        <f t="shared" si="100"/>
        <v>-2.9965154973865555</v>
      </c>
      <c r="AW167" s="1">
        <f>$J167+SUMPRODUCT(regions!BN166:BU166,regions!BN$204:BU$204)</f>
        <v>-0.4032980431124944</v>
      </c>
      <c r="AX167" s="1">
        <f t="shared" si="100"/>
        <v>-0.67651549738655703</v>
      </c>
      <c r="AY167" s="1">
        <f t="shared" si="100"/>
        <v>0.10348450261344411</v>
      </c>
      <c r="AZ167" s="1">
        <f t="shared" si="100"/>
        <v>0.10348450261344411</v>
      </c>
      <c r="BE167" t="str">
        <f>RehdanzMaddison!P59</f>
        <v>Slovenia</v>
      </c>
      <c r="BF167" s="1">
        <f>-100*RehdanzMaddison!U59</f>
        <v>-0.99384612677678019</v>
      </c>
      <c r="BG167" s="1">
        <f>-100*RehdanzMaddison!V59</f>
        <v>-1.7259659698636514</v>
      </c>
      <c r="BH167" s="1">
        <f>$K167-BF167</f>
        <v>0.69963313895552259</v>
      </c>
      <c r="BI167" s="1">
        <f>$K167-BG167</f>
        <v>1.4317529820423938</v>
      </c>
      <c r="BJ167" t="str">
        <f>MaddisonRehdanz!A67</f>
        <v>Slovenia</v>
      </c>
      <c r="BK167">
        <f>MaddisonRehdanz!D67</f>
        <v>4</v>
      </c>
      <c r="BL167" s="1">
        <f>$K167-BK167</f>
        <v>-4.2942129878212576</v>
      </c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</row>
    <row r="168" spans="1:90" x14ac:dyDescent="0.35">
      <c r="A168" t="s">
        <v>408</v>
      </c>
      <c r="B168" s="19">
        <f>regions!B167</f>
        <v>526447</v>
      </c>
      <c r="C168" s="19">
        <f>regions!C167</f>
        <v>522614190.24701446</v>
      </c>
      <c r="D168" s="8">
        <f>regions!D167</f>
        <v>992.71947650383504</v>
      </c>
      <c r="E168" s="8">
        <f>regions!E167</f>
        <v>0</v>
      </c>
      <c r="F168" s="8">
        <f>regions!F167</f>
        <v>0</v>
      </c>
      <c r="G168" s="1">
        <f>regions!Z167</f>
        <v>25.6</v>
      </c>
      <c r="J168" s="1">
        <f t="shared" si="106"/>
        <v>3.0602369420086148</v>
      </c>
      <c r="K168" s="1">
        <f t="shared" si="102"/>
        <v>-11.892509346016142</v>
      </c>
      <c r="L168" s="1">
        <f t="shared" si="95"/>
        <v>-11.914779253656929</v>
      </c>
      <c r="M168" s="1">
        <f t="shared" si="96"/>
        <v>8.060505065867396</v>
      </c>
      <c r="N168" s="1">
        <f t="shared" si="103"/>
        <v>-11.391240928704063</v>
      </c>
      <c r="O168" s="1">
        <f t="shared" si="103"/>
        <v>-13.794811855581441</v>
      </c>
      <c r="P168" s="1">
        <f t="shared" si="103"/>
        <v>-11.794811855581441</v>
      </c>
      <c r="Q168" s="1">
        <f t="shared" si="103"/>
        <v>-12.124811855581441</v>
      </c>
      <c r="R168" s="1">
        <f t="shared" si="103"/>
        <v>-14.394811855581441</v>
      </c>
      <c r="S168" s="1">
        <f>$J168+SUMPRODUCT(regions!EI167:EN167,regions!EI$204:EN$204)</f>
        <v>-7.2008103602846525</v>
      </c>
      <c r="T168" s="1">
        <f>$J168+SUMPRODUCT(regions!EQ167:EV167,regions!EQ$204:EV$204)</f>
        <v>-6.6998224272999227</v>
      </c>
      <c r="U168" s="1">
        <f>$J168+SUMPRODUCT(regions!CM167:CU167,regions!CM$204:CU$204)</f>
        <v>-12.737768930329377</v>
      </c>
      <c r="V168" s="1">
        <f>$J168+SUMPRODUCT(regions!DH167:DM167,regions!DH$204:DM$204)</f>
        <v>-9.1282537948284865</v>
      </c>
      <c r="W168" s="1">
        <f>$J168+SUMPRODUCT(regions!DP167:DW167,regions!DP$204:DW$204)</f>
        <v>-12.912319096079077</v>
      </c>
      <c r="X168" s="1">
        <f>$J168+SUMPRODUCT(regions!AB167:AE167,regions!AB$204:AE$204)</f>
        <v>-6.0781682153313845</v>
      </c>
      <c r="Y168" s="1">
        <f>$J168+SUMPRODUCT(regions!BX167:CJ167,regions!BX$204:CJ$204)</f>
        <v>-4.2443042628637357</v>
      </c>
      <c r="Z168" s="1">
        <f>$J168+SUMPRODUCT(regions!CX167:DF167,regions!CX$204:DF$204)</f>
        <v>-5.8377689303293785</v>
      </c>
      <c r="AA168" s="1">
        <f t="shared" si="107"/>
        <v>-9.3878110563419437</v>
      </c>
      <c r="AB168" s="1">
        <f t="shared" si="108"/>
        <v>-10.947871408026531</v>
      </c>
      <c r="AC168" s="1">
        <f>$J168+SUMPRODUCT(regions!DZ167:EG167,regions!DZ$204:EG$204)</f>
        <v>-7.4073190960790782</v>
      </c>
      <c r="AD168" s="1">
        <f t="shared" si="104"/>
        <v>-11.784811855581442</v>
      </c>
      <c r="AE168" s="1">
        <f t="shared" si="104"/>
        <v>-13.294811855581441</v>
      </c>
      <c r="AF168" s="1">
        <f t="shared" si="109"/>
        <v>-39.415754090686811</v>
      </c>
      <c r="AG168" s="1">
        <f>$J168+SUMPRODUCT(regions!AX167:BK167,regions!AX$204:BK$204)</f>
        <v>-5.836269434698778</v>
      </c>
      <c r="AH168" s="1">
        <f>$J168+SUMPRODUCT(regions!AG167:AV167,regions!AG$204:AV$204)</f>
        <v>-13.590527759579707</v>
      </c>
      <c r="AI168" s="1">
        <f t="shared" si="105"/>
        <v>-12.794811855581441</v>
      </c>
      <c r="AJ168" s="1">
        <f>SartoriRoson!C165</f>
        <v>-2.02</v>
      </c>
      <c r="AK168" s="1">
        <f>Kompas!E165</f>
        <v>-5.1710000000000003</v>
      </c>
      <c r="AL168" s="1">
        <f>$J168+SUMPRODUCT(regions!EY167:FW167,regions!EY$204:FW$204)</f>
        <v>-7.1928511104719526</v>
      </c>
      <c r="AM168" s="1">
        <f>$J168+SUMPRODUCT(regions!FZ167:GF167,regions!FZ$204:GF$204)</f>
        <v>-7.6701990842338166</v>
      </c>
      <c r="AN168" s="1">
        <f t="shared" si="93"/>
        <v>-19.994811855581439</v>
      </c>
      <c r="AO168" s="1">
        <f t="shared" si="93"/>
        <v>-19.294811855581443</v>
      </c>
      <c r="AP168" s="1">
        <f t="shared" si="93"/>
        <v>-14.494811855581442</v>
      </c>
      <c r="AQ168" s="1">
        <f t="shared" si="92"/>
        <v>-5.6652845445910085</v>
      </c>
      <c r="AR168" s="1">
        <f t="shared" si="92"/>
        <v>-15.794811855581441</v>
      </c>
      <c r="AS168" s="1">
        <f t="shared" si="92"/>
        <v>-13.09481185558144</v>
      </c>
      <c r="AT168" s="1">
        <f t="shared" si="92"/>
        <v>-11.088145188914774</v>
      </c>
      <c r="AU168" s="1">
        <f t="shared" si="100"/>
        <v>-16.014811855581442</v>
      </c>
      <c r="AV168" s="1">
        <f t="shared" si="100"/>
        <v>-14.59481185558144</v>
      </c>
      <c r="AW168" s="1">
        <f>$J168+SUMPRODUCT(regions!BN167:BU167,regions!BN$204:BU$204)</f>
        <v>-10.576417067900666</v>
      </c>
      <c r="AX168" s="1">
        <f t="shared" si="100"/>
        <v>-12.274811855581442</v>
      </c>
      <c r="AY168" s="1">
        <f t="shared" si="100"/>
        <v>-11.494811855581442</v>
      </c>
      <c r="AZ168" s="1">
        <f t="shared" si="100"/>
        <v>-11.494811855581442</v>
      </c>
      <c r="BF168" s="1"/>
      <c r="BG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</row>
    <row r="169" spans="1:90" x14ac:dyDescent="0.35">
      <c r="A169" t="s">
        <v>237</v>
      </c>
      <c r="B169" s="19">
        <f>regions!B168</f>
        <v>49991300</v>
      </c>
      <c r="C169" s="19">
        <f>regions!C168</f>
        <v>289811738503.83063</v>
      </c>
      <c r="D169" s="8">
        <f>regions!D168</f>
        <v>5797.2434904439497</v>
      </c>
      <c r="E169" s="8">
        <f>regions!E168</f>
        <v>25.041504396704088</v>
      </c>
      <c r="F169" s="8">
        <f>regions!F168</f>
        <v>2.3873656845249362</v>
      </c>
      <c r="G169" s="1">
        <f>regions!Z168</f>
        <v>17.8</v>
      </c>
      <c r="J169" s="1">
        <f t="shared" si="106"/>
        <v>9.1788243029367962</v>
      </c>
      <c r="K169" s="1">
        <f t="shared" si="102"/>
        <v>-5.7739219850879611</v>
      </c>
      <c r="L169" s="1">
        <f t="shared" si="95"/>
        <v>-5.7605976652459727</v>
      </c>
      <c r="M169" s="1">
        <f t="shared" si="96"/>
        <v>5.0529208073186105</v>
      </c>
      <c r="N169" s="1">
        <f t="shared" si="103"/>
        <v>-5.2726535677758815</v>
      </c>
      <c r="O169" s="1">
        <f t="shared" si="103"/>
        <v>-7.6762244946532601</v>
      </c>
      <c r="P169" s="1">
        <f t="shared" si="103"/>
        <v>-5.6762244946532601</v>
      </c>
      <c r="Q169" s="1">
        <f t="shared" si="103"/>
        <v>-6.0062244946532601</v>
      </c>
      <c r="R169" s="1">
        <f t="shared" si="103"/>
        <v>-8.2762244946532597</v>
      </c>
      <c r="S169" s="1">
        <f>$J169+SUMPRODUCT(regions!EI168:EN168,regions!EI$204:EN$204)</f>
        <v>-1.0822229993564711</v>
      </c>
      <c r="T169" s="1">
        <f>$J169+SUMPRODUCT(regions!EQ168:EV168,regions!EQ$204:EV$204)</f>
        <v>-0.58123506637174138</v>
      </c>
      <c r="U169" s="1">
        <f>$J169+SUMPRODUCT(regions!CM168:CU168,regions!CM$204:CU$204)</f>
        <v>-5.2768061896819471</v>
      </c>
      <c r="V169" s="1">
        <f>$J169+SUMPRODUCT(regions!DH168:DM168,regions!DH$204:DM$204)</f>
        <v>-3.0096664339003052</v>
      </c>
      <c r="W169" s="1">
        <f>$J169+SUMPRODUCT(regions!DP168:DW168,regions!DP$204:DW$204)</f>
        <v>-4.8492236832908056</v>
      </c>
      <c r="X169" s="1">
        <f>$J169+SUMPRODUCT(regions!AB168:AE168,regions!AB$204:AE$204)</f>
        <v>-0.77481448304250122</v>
      </c>
      <c r="Y169" s="1">
        <f>$J169+SUMPRODUCT(regions!BX168:CJ168,regions!BX$204:CJ$204)</f>
        <v>-1.3684478110230138</v>
      </c>
      <c r="Z169" s="1">
        <f>$J169+SUMPRODUCT(regions!CX168:DF168,regions!CX$204:DF$204)</f>
        <v>-0.6768061896819475</v>
      </c>
      <c r="AA169" s="1">
        <f t="shared" si="107"/>
        <v>-3.2692236954137628</v>
      </c>
      <c r="AB169" s="1">
        <f t="shared" si="108"/>
        <v>-4.6920575347296589</v>
      </c>
      <c r="AC169" s="1">
        <f>$J169+SUMPRODUCT(regions!DZ168:EG168,regions!DZ$204:EG$204)</f>
        <v>-1.2501236832908056</v>
      </c>
      <c r="AD169" s="1">
        <f t="shared" si="104"/>
        <v>-5.6662244946532603</v>
      </c>
      <c r="AE169" s="1">
        <f t="shared" si="104"/>
        <v>-7.1762244946532601</v>
      </c>
      <c r="AF169" s="1">
        <f t="shared" si="109"/>
        <v>-19.600000000000001</v>
      </c>
      <c r="AG169" s="1">
        <f>$J169+SUMPRODUCT(regions!AX168:BK168,regions!AX$204:BK$204)</f>
        <v>-9.8014124299527232</v>
      </c>
      <c r="AH169" s="1">
        <f>$J169+SUMPRODUCT(regions!AG168:AV168,regions!AG$204:AV$204)</f>
        <v>-4.5112650380457318</v>
      </c>
      <c r="AI169" s="1">
        <f t="shared" si="105"/>
        <v>-6.6762244946532601</v>
      </c>
      <c r="AJ169" s="1">
        <f>SartoriRoson!C166</f>
        <v>-1.59</v>
      </c>
      <c r="AK169" s="1">
        <f>Kompas!E166</f>
        <v>-2.464</v>
      </c>
      <c r="AL169" s="1">
        <f>$J169+SUMPRODUCT(regions!EY168:FW168,regions!EY$204:FW$204)</f>
        <v>-2.1859120753639694</v>
      </c>
      <c r="AM169" s="1">
        <f>$J169+SUMPRODUCT(regions!FZ168:GF168,regions!FZ$204:GF$204)</f>
        <v>5.0271456242163381</v>
      </c>
      <c r="AN169" s="1">
        <f t="shared" si="93"/>
        <v>-13.876224494653259</v>
      </c>
      <c r="AO169" s="1">
        <f t="shared" si="93"/>
        <v>-13.17622449465326</v>
      </c>
      <c r="AP169" s="1">
        <f t="shared" si="93"/>
        <v>-8.3762244946532611</v>
      </c>
      <c r="AQ169" s="1">
        <f t="shared" si="92"/>
        <v>0.45330281633717284</v>
      </c>
      <c r="AR169" s="1">
        <f t="shared" si="92"/>
        <v>-9.6762244946532601</v>
      </c>
      <c r="AS169" s="1">
        <f t="shared" si="92"/>
        <v>-6.9762244946532599</v>
      </c>
      <c r="AT169" s="1">
        <f t="shared" si="92"/>
        <v>-4.9695578279865931</v>
      </c>
      <c r="AU169" s="1">
        <f t="shared" si="100"/>
        <v>-9.8962244946532607</v>
      </c>
      <c r="AV169" s="1">
        <f t="shared" si="100"/>
        <v>-8.476224494653259</v>
      </c>
      <c r="AW169" s="1">
        <f>$J169+SUMPRODUCT(regions!BN168:BU168,regions!BN$204:BU$204)</f>
        <v>-4.4578297069724844</v>
      </c>
      <c r="AX169" s="1">
        <f t="shared" si="100"/>
        <v>-6.1562244946532605</v>
      </c>
      <c r="AY169" s="1">
        <f t="shared" si="100"/>
        <v>-5.3762244946532594</v>
      </c>
      <c r="AZ169" s="1">
        <f t="shared" si="100"/>
        <v>-5.3762244946532594</v>
      </c>
      <c r="BE169" t="str">
        <f>RehdanzMaddison!P60</f>
        <v>South Africa</v>
      </c>
      <c r="BF169" s="1">
        <f>-100*RehdanzMaddison!U60</f>
        <v>-2.7261232042523265</v>
      </c>
      <c r="BG169" s="1">
        <f>-100*RehdanzMaddison!V60</f>
        <v>-4.6920575347296589</v>
      </c>
      <c r="BH169" s="1">
        <f t="shared" ref="BH169:BI171" si="110">$K169-BF169</f>
        <v>-3.0477987808356346</v>
      </c>
      <c r="BI169" s="1">
        <f t="shared" si="110"/>
        <v>-1.0818644503583021</v>
      </c>
      <c r="BJ169" t="str">
        <f>MaddisonRehdanz!A68</f>
        <v>South Africa</v>
      </c>
      <c r="BK169">
        <f>MaddisonRehdanz!D68</f>
        <v>-19.600000000000001</v>
      </c>
      <c r="BL169" s="1">
        <f>$K169-BK169</f>
        <v>13.82607801491204</v>
      </c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</row>
    <row r="170" spans="1:90" x14ac:dyDescent="0.35">
      <c r="A170" t="s">
        <v>186</v>
      </c>
      <c r="B170" s="19">
        <f>regions!B169</f>
        <v>49410000</v>
      </c>
      <c r="C170" s="19">
        <f>regions!C169</f>
        <v>1098690046553.521</v>
      </c>
      <c r="D170" s="8">
        <f>regions!D169</f>
        <v>22236.187948867053</v>
      </c>
      <c r="E170" s="8">
        <f>regions!E169</f>
        <v>14.045461263186512</v>
      </c>
      <c r="F170" s="8">
        <f>regions!F169</f>
        <v>2.2364041008197213</v>
      </c>
      <c r="G170" s="1">
        <f>regions!Z169</f>
        <v>11.5</v>
      </c>
      <c r="J170" s="1">
        <f t="shared" si="106"/>
        <v>13.97309537079434</v>
      </c>
      <c r="K170" s="1">
        <f t="shared" si="102"/>
        <v>-0.97965091723041731</v>
      </c>
      <c r="L170" s="1">
        <f t="shared" si="95"/>
        <v>-0.8794504716145527</v>
      </c>
      <c r="M170" s="1">
        <f t="shared" si="96"/>
        <v>3.6179186814360165</v>
      </c>
      <c r="N170" s="1">
        <f t="shared" ref="N170:R177" si="111">$J170+N$3-$J$3</f>
        <v>-0.4783824999183377</v>
      </c>
      <c r="O170" s="1">
        <f t="shared" si="111"/>
        <v>-2.8819534267957163</v>
      </c>
      <c r="P170" s="1">
        <f t="shared" si="111"/>
        <v>-0.88195342679571631</v>
      </c>
      <c r="Q170" s="1">
        <f t="shared" si="111"/>
        <v>-1.2119534267957164</v>
      </c>
      <c r="R170" s="1">
        <f t="shared" si="111"/>
        <v>-3.481953426795716</v>
      </c>
      <c r="S170" s="1">
        <f>$J170+SUMPRODUCT(regions!EI169:EN169,regions!EI$204:EN$204)</f>
        <v>3.7120480685010726</v>
      </c>
      <c r="T170" s="1">
        <f>$J170+SUMPRODUCT(regions!EQ169:EV169,regions!EQ$204:EV$204)</f>
        <v>4.2130360014858024</v>
      </c>
      <c r="U170" s="1">
        <f>$J170+SUMPRODUCT(regions!CM169:CU169,regions!CM$204:CU$204)</f>
        <v>-1.824910501543652</v>
      </c>
      <c r="V170" s="1">
        <f>$J170+SUMPRODUCT(regions!DH169:DM169,regions!DH$204:DM$204)</f>
        <v>1.7846046339572386</v>
      </c>
      <c r="W170" s="1">
        <f>$J170+SUMPRODUCT(regions!DP169:DW169,regions!DP$204:DW$204)</f>
        <v>-1.9994606672933521</v>
      </c>
      <c r="X170" s="1">
        <f>$J170+SUMPRODUCT(regions!AB169:AE169,regions!AB$204:AE$204)</f>
        <v>-1.3706073708077824</v>
      </c>
      <c r="Y170" s="1">
        <f>$J170+SUMPRODUCT(regions!BX169:CJ169,regions!BX$204:CJ$204)</f>
        <v>1.5877726215641026</v>
      </c>
      <c r="Z170" s="1">
        <f>$J170+SUMPRODUCT(regions!CX169:DF169,regions!CX$204:DF$204)</f>
        <v>5.0750894984563466</v>
      </c>
      <c r="AA170" s="1">
        <f t="shared" si="107"/>
        <v>0.4</v>
      </c>
      <c r="AB170" s="1">
        <f t="shared" si="108"/>
        <v>0.71995254028313194</v>
      </c>
      <c r="AC170" s="1">
        <f>$J170+SUMPRODUCT(regions!DZ169:EG169,regions!DZ$204:EG$204)</f>
        <v>3.5055393327066469</v>
      </c>
      <c r="AD170" s="1">
        <f t="shared" si="104"/>
        <v>-0.87195342679571652</v>
      </c>
      <c r="AE170" s="1">
        <f t="shared" si="104"/>
        <v>-2.3819534267957163</v>
      </c>
      <c r="AF170" s="1">
        <f t="shared" si="109"/>
        <v>5.0999999999999996</v>
      </c>
      <c r="AG170" s="1">
        <f>$J170+SUMPRODUCT(regions!AX169:BK169,regions!AX$204:BK$204)</f>
        <v>1.7829479788873481</v>
      </c>
      <c r="AH170" s="1">
        <f>$J170+SUMPRODUCT(regions!AG169:AV169,regions!AG$204:AV$204)</f>
        <v>2.2044959586307087</v>
      </c>
      <c r="AI170" s="1">
        <f t="shared" si="105"/>
        <v>-1.8819534267957163</v>
      </c>
      <c r="AJ170" s="1">
        <f>SartoriRoson!C167</f>
        <v>-0.24</v>
      </c>
      <c r="AK170" s="1">
        <f>Kompas!E167</f>
        <v>-1.498</v>
      </c>
      <c r="AL170" s="1">
        <f>$J170+SUMPRODUCT(regions!EY169:FW169,regions!EY$204:FW$204)</f>
        <v>-0.42989223522694786</v>
      </c>
      <c r="AM170" s="1">
        <f>$J170+SUMPRODUCT(regions!FZ169:GF169,regions!FZ$204:GF$204)</f>
        <v>5.0063605780872216</v>
      </c>
      <c r="AN170" s="1">
        <f t="shared" si="93"/>
        <v>-9.0819534267957156</v>
      </c>
      <c r="AO170" s="1">
        <f t="shared" si="93"/>
        <v>-8.3819534267957163</v>
      </c>
      <c r="AP170" s="1">
        <f t="shared" si="93"/>
        <v>-3.5819534267957156</v>
      </c>
      <c r="AQ170" s="1">
        <f t="shared" si="92"/>
        <v>5.2475738841947166</v>
      </c>
      <c r="AR170" s="1">
        <f t="shared" si="92"/>
        <v>-4.8819534267957163</v>
      </c>
      <c r="AS170" s="1">
        <f t="shared" si="92"/>
        <v>-2.181953426795717</v>
      </c>
      <c r="AT170" s="1">
        <f t="shared" si="92"/>
        <v>-0.17528676012904931</v>
      </c>
      <c r="AU170" s="1">
        <f t="shared" si="100"/>
        <v>-5.1019534267957152</v>
      </c>
      <c r="AV170" s="1">
        <f t="shared" si="100"/>
        <v>-3.681953426795717</v>
      </c>
      <c r="AW170" s="1">
        <f>$J170+SUMPRODUCT(regions!BN169:BU169,regions!BN$204:BU$204)</f>
        <v>0.33644136088505938</v>
      </c>
      <c r="AX170" s="1">
        <f t="shared" si="100"/>
        <v>-1.3619534267957167</v>
      </c>
      <c r="AY170" s="1">
        <f t="shared" si="100"/>
        <v>-0.5819534267957156</v>
      </c>
      <c r="AZ170" s="1">
        <f t="shared" si="100"/>
        <v>-0.5819534267957156</v>
      </c>
      <c r="BB170" t="str">
        <f>Maddison!A71</f>
        <v>South Korea</v>
      </c>
      <c r="BC170">
        <f>-Maddison!B71</f>
        <v>0.4</v>
      </c>
      <c r="BD170" s="1">
        <f>K170-BC170</f>
        <v>-1.3796509172304172</v>
      </c>
      <c r="BE170" t="str">
        <f>RehdanzMaddison!P61</f>
        <v>South Korea</v>
      </c>
      <c r="BF170" s="1">
        <f>-100*RehdanzMaddison!U61</f>
        <v>0.42844573997610086</v>
      </c>
      <c r="BG170" s="1">
        <f>-100*RehdanzMaddison!V61</f>
        <v>0.71995254028313194</v>
      </c>
      <c r="BH170" s="1">
        <f t="shared" si="110"/>
        <v>-1.4080966572065181</v>
      </c>
      <c r="BI170" s="1">
        <f t="shared" si="110"/>
        <v>-1.6996034575135492</v>
      </c>
      <c r="BJ170" t="str">
        <f>MaddisonRehdanz!A69</f>
        <v>South Korea</v>
      </c>
      <c r="BK170">
        <f>MaddisonRehdanz!D69</f>
        <v>5.0999999999999996</v>
      </c>
      <c r="BL170" s="1">
        <f>$K170-BK170</f>
        <v>-6.079650917230417</v>
      </c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</row>
    <row r="171" spans="1:90" x14ac:dyDescent="0.35">
      <c r="A171" t="s">
        <v>187</v>
      </c>
      <c r="B171" s="19">
        <f>regions!B170</f>
        <v>46070971</v>
      </c>
      <c r="C171" s="19">
        <f>regions!C170</f>
        <v>1179232117935.5505</v>
      </c>
      <c r="D171" s="8">
        <f>regions!D170</f>
        <v>25595.990106992766</v>
      </c>
      <c r="E171" s="8">
        <f>regions!E170</f>
        <v>12.966459592852484</v>
      </c>
      <c r="F171" s="8">
        <f>regions!F170</f>
        <v>2.3362181814817728</v>
      </c>
      <c r="G171" s="1">
        <f>regions!Z170</f>
        <v>13.3</v>
      </c>
      <c r="J171" s="1">
        <f t="shared" si="106"/>
        <v>13.560191156648807</v>
      </c>
      <c r="K171" s="1">
        <f t="shared" si="102"/>
        <v>-1.3925551313759499</v>
      </c>
      <c r="L171" s="1">
        <f t="shared" si="95"/>
        <v>-2.6692212781331519</v>
      </c>
      <c r="M171" s="1">
        <f t="shared" si="96"/>
        <v>2.6314504727630497</v>
      </c>
      <c r="N171" s="1">
        <f t="shared" si="111"/>
        <v>-0.89128671406387028</v>
      </c>
      <c r="O171" s="1">
        <f t="shared" si="111"/>
        <v>-3.2948576409412489</v>
      </c>
      <c r="P171" s="1">
        <f t="shared" si="111"/>
        <v>-1.2948576409412489</v>
      </c>
      <c r="Q171" s="1">
        <f t="shared" si="111"/>
        <v>-1.624857640941249</v>
      </c>
      <c r="R171" s="1">
        <f t="shared" si="111"/>
        <v>-3.8948576409412485</v>
      </c>
      <c r="S171" s="1">
        <f>$J171+SUMPRODUCT(regions!EI170:EN170,regions!EI$204:EN$204)</f>
        <v>-3.2218252535443401</v>
      </c>
      <c r="T171" s="1">
        <f>$J171+SUMPRODUCT(regions!EQ170:EV170,regions!EQ$204:EV$204)</f>
        <v>-3.4218252535443394</v>
      </c>
      <c r="U171" s="1">
        <f>$J171+SUMPRODUCT(regions!CM170:CU170,regions!CM$204:CU$204)</f>
        <v>-3.2364739265860702</v>
      </c>
      <c r="V171" s="1">
        <f>$J171+SUMPRODUCT(regions!DH170:DM170,regions!DH$204:DM$204)</f>
        <v>-2.9982382271786978</v>
      </c>
      <c r="W171" s="1">
        <f>$J171+SUMPRODUCT(regions!DP170:DW170,regions!DP$204:DW$204)</f>
        <v>-3.1218252535443387</v>
      </c>
      <c r="X171" s="1">
        <f>$J171+SUMPRODUCT(regions!AB170:AE170,regions!AB$204:AE$204)</f>
        <v>-1.783511584953315</v>
      </c>
      <c r="Y171" s="1">
        <f>$J171+SUMPRODUCT(regions!BX170:CJ170,regions!BX$204:CJ$204)</f>
        <v>-4.8272450404192657</v>
      </c>
      <c r="Z171" s="1">
        <f>$J171+SUMPRODUCT(regions!CX170:DF170,regions!CX$204:DF$204)</f>
        <v>1.7635260734139298</v>
      </c>
      <c r="AA171" s="1">
        <f t="shared" si="107"/>
        <v>1</v>
      </c>
      <c r="AB171" s="1">
        <f t="shared" si="108"/>
        <v>-1.7714884171490752</v>
      </c>
      <c r="AC171" s="1">
        <f>$J171+SUMPRODUCT(regions!DZ170:EG170,regions!DZ$204:EG$204)</f>
        <v>-3.0518252535443384</v>
      </c>
      <c r="AD171" s="1">
        <f t="shared" si="104"/>
        <v>-1.2848576409412491</v>
      </c>
      <c r="AE171" s="1">
        <f t="shared" si="104"/>
        <v>-2.7948576409412489</v>
      </c>
      <c r="AF171" s="1">
        <f t="shared" si="109"/>
        <v>-2.9</v>
      </c>
      <c r="AG171" s="1">
        <f>$J171+SUMPRODUCT(regions!AX170:BK170,regions!AX$204:BK$204)</f>
        <v>-0.64259523215196701</v>
      </c>
      <c r="AH171" s="1">
        <f>$J171+SUMPRODUCT(regions!AG170:AV170,regions!AG$204:AV$204)</f>
        <v>-0.58867464749200238</v>
      </c>
      <c r="AI171" s="1">
        <f t="shared" si="105"/>
        <v>-2.2948576409412489</v>
      </c>
      <c r="AJ171" s="1">
        <f>SartoriRoson!C168</f>
        <v>-0.77</v>
      </c>
      <c r="AK171" s="1">
        <f>Kompas!E168</f>
        <v>-0.57499999999999996</v>
      </c>
      <c r="AL171" s="1">
        <f>$J171+SUMPRODUCT(regions!EY170:FW170,regions!EY$204:FW$204)</f>
        <v>-2.043806312759056</v>
      </c>
      <c r="AM171" s="1">
        <f>$J171+SUMPRODUCT(regions!FZ170:GF170,regions!FZ$204:GF$204)</f>
        <v>-0.70803921819918081</v>
      </c>
      <c r="AN171" s="1">
        <f t="shared" si="93"/>
        <v>-9.4948576409412482</v>
      </c>
      <c r="AO171" s="1">
        <f t="shared" si="93"/>
        <v>-8.7948576409412489</v>
      </c>
      <c r="AP171" s="1">
        <f t="shared" si="93"/>
        <v>-3.99485764094125</v>
      </c>
      <c r="AQ171" s="1">
        <f t="shared" si="92"/>
        <v>4.8346696700491858</v>
      </c>
      <c r="AR171" s="1">
        <f t="shared" si="92"/>
        <v>-5.2948576409412489</v>
      </c>
      <c r="AS171" s="1">
        <f t="shared" si="92"/>
        <v>-2.5948576409412478</v>
      </c>
      <c r="AT171" s="1">
        <f t="shared" si="92"/>
        <v>-0.58819097427458189</v>
      </c>
      <c r="AU171" s="1">
        <f t="shared" si="100"/>
        <v>-5.5148576409412495</v>
      </c>
      <c r="AV171" s="1">
        <f t="shared" si="100"/>
        <v>-4.0948576409412478</v>
      </c>
      <c r="AW171" s="1">
        <f>$J171+SUMPRODUCT(regions!BN170:BU170,regions!BN$204:BU$204)</f>
        <v>-0.57871182508974783</v>
      </c>
      <c r="AX171" s="1">
        <f t="shared" si="100"/>
        <v>-1.7748576409412493</v>
      </c>
      <c r="AY171" s="1">
        <f t="shared" si="100"/>
        <v>-0.99485764094124818</v>
      </c>
      <c r="AZ171" s="1">
        <f t="shared" si="100"/>
        <v>-0.99485764094124818</v>
      </c>
      <c r="BB171" t="str">
        <f>Maddison!A72</f>
        <v>Spain</v>
      </c>
      <c r="BC171">
        <f>-Maddison!B72</f>
        <v>1</v>
      </c>
      <c r="BD171" s="1">
        <f>K171-BC171</f>
        <v>-2.3925551313759499</v>
      </c>
      <c r="BE171" t="str">
        <f>RehdanzMaddison!P62</f>
        <v>Spain</v>
      </c>
      <c r="BF171" s="1">
        <f>-100*RehdanzMaddison!U62</f>
        <v>-1.0477813082398837</v>
      </c>
      <c r="BG171" s="1">
        <f>-100*RehdanzMaddison!V62</f>
        <v>-1.7714884171490752</v>
      </c>
      <c r="BH171" s="1">
        <f t="shared" si="110"/>
        <v>-0.34477382313606619</v>
      </c>
      <c r="BI171" s="1">
        <f t="shared" si="110"/>
        <v>0.37893328577312535</v>
      </c>
      <c r="BJ171" t="str">
        <f>MaddisonRehdanz!A70</f>
        <v>Spain</v>
      </c>
      <c r="BK171">
        <f>MaddisonRehdanz!D70</f>
        <v>-2.9</v>
      </c>
      <c r="BL171" s="1">
        <f>$K171-BK171</f>
        <v>1.50744486862405</v>
      </c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</row>
    <row r="172" spans="1:90" x14ac:dyDescent="0.35">
      <c r="A172" t="s">
        <v>188</v>
      </c>
      <c r="B172" s="19">
        <f>regions!B171</f>
        <v>20653000</v>
      </c>
      <c r="C172" s="19">
        <f>regions!C171</f>
        <v>33253082140.166439</v>
      </c>
      <c r="D172" s="8">
        <f>regions!D171</f>
        <v>1610.0848370777339</v>
      </c>
      <c r="E172" s="8">
        <f>regions!E171</f>
        <v>11.300031394885579</v>
      </c>
      <c r="F172" s="8">
        <f>regions!F171</f>
        <v>8.4961834631914215</v>
      </c>
      <c r="G172" s="1">
        <f>regions!Z171</f>
        <v>26.9</v>
      </c>
      <c r="J172" s="1">
        <f t="shared" si="106"/>
        <v>3.4584676047898668</v>
      </c>
      <c r="K172" s="1">
        <f t="shared" si="102"/>
        <v>-11.49427868323489</v>
      </c>
      <c r="L172" s="1">
        <f t="shared" si="95"/>
        <v>-11.351640150259989</v>
      </c>
      <c r="M172" s="1">
        <f t="shared" si="96"/>
        <v>8.0026583947614807</v>
      </c>
      <c r="N172" s="1">
        <f t="shared" si="111"/>
        <v>-10.993010265922811</v>
      </c>
      <c r="O172" s="1">
        <f t="shared" si="111"/>
        <v>-13.396581192800189</v>
      </c>
      <c r="P172" s="1">
        <f t="shared" si="111"/>
        <v>-11.396581192800189</v>
      </c>
      <c r="Q172" s="1">
        <f t="shared" si="111"/>
        <v>-11.72658119280019</v>
      </c>
      <c r="R172" s="1">
        <f t="shared" si="111"/>
        <v>-13.996581192800189</v>
      </c>
      <c r="S172" s="1">
        <f>$J172+SUMPRODUCT(regions!EI171:EN171,regions!EI$204:EN$204)</f>
        <v>-6.8025796975034005</v>
      </c>
      <c r="T172" s="1">
        <f>$J172+SUMPRODUCT(regions!EQ171:EV171,regions!EQ$204:EV$204)</f>
        <v>-6.3015917645186708</v>
      </c>
      <c r="U172" s="1">
        <f>$J172+SUMPRODUCT(regions!CM171:CU171,regions!CM$204:CU$204)</f>
        <v>-12.339538267548125</v>
      </c>
      <c r="V172" s="1">
        <f>$J172+SUMPRODUCT(regions!DH171:DM171,regions!DH$204:DM$204)</f>
        <v>-8.7300231320472346</v>
      </c>
      <c r="W172" s="1">
        <f>$J172+SUMPRODUCT(regions!DP171:DW171,regions!DP$204:DW$204)</f>
        <v>-12.514088433297825</v>
      </c>
      <c r="X172" s="1">
        <f>$J172+SUMPRODUCT(regions!AB171:AE171,regions!AB$204:AE$204)</f>
        <v>-5.6799375525501326</v>
      </c>
      <c r="Y172" s="1">
        <f>$J172+SUMPRODUCT(regions!BX171:CJ171,regions!BX$204:CJ$204)</f>
        <v>-3.8460736000824838</v>
      </c>
      <c r="Z172" s="1">
        <f>$J172+SUMPRODUCT(regions!CX171:DF171,regions!CX$204:DF$204)</f>
        <v>-5.4395382675481265</v>
      </c>
      <c r="AA172" s="1">
        <f t="shared" si="107"/>
        <v>-0.9</v>
      </c>
      <c r="AB172" s="1">
        <f t="shared" si="108"/>
        <v>-10.549640745245279</v>
      </c>
      <c r="AC172" s="1">
        <f>$J172+SUMPRODUCT(regions!DZ171:EG171,regions!DZ$204:EG$204)</f>
        <v>-7.0090884332978263</v>
      </c>
      <c r="AD172" s="1">
        <f t="shared" si="104"/>
        <v>-11.38658119280019</v>
      </c>
      <c r="AE172" s="1">
        <f t="shared" si="104"/>
        <v>-12.896581192800189</v>
      </c>
      <c r="AF172" s="1">
        <f t="shared" si="109"/>
        <v>-39.017523427905559</v>
      </c>
      <c r="AG172" s="1">
        <f>$J172+SUMPRODUCT(regions!AX171:BK171,regions!AX$204:BK$204)</f>
        <v>-3.7915825275425732</v>
      </c>
      <c r="AH172" s="1">
        <f>$J172+SUMPRODUCT(regions!AG171:AV171,regions!AG$204:AV$204)</f>
        <v>-6.5391444586949916</v>
      </c>
      <c r="AI172" s="1">
        <f t="shared" si="105"/>
        <v>-12.396581192800189</v>
      </c>
      <c r="AJ172" s="1">
        <f>SartoriRoson!C169</f>
        <v>-6.4</v>
      </c>
      <c r="AK172" s="1">
        <f>Kompas!E169</f>
        <v>-11.715999999999999</v>
      </c>
      <c r="AL172" s="1">
        <f>$J172+SUMPRODUCT(regions!EY171:FW171,regions!EY$204:FW$204)</f>
        <v>-6.7946204476907006</v>
      </c>
      <c r="AM172" s="1">
        <f>$J172+SUMPRODUCT(regions!FZ171:GF171,regions!FZ$204:GF$204)</f>
        <v>-5.5082671879172516</v>
      </c>
      <c r="AN172" s="1">
        <f t="shared" si="93"/>
        <v>-19.596581192800187</v>
      </c>
      <c r="AO172" s="1">
        <f t="shared" si="93"/>
        <v>-18.896581192800191</v>
      </c>
      <c r="AP172" s="1">
        <f t="shared" si="93"/>
        <v>-14.096581192800191</v>
      </c>
      <c r="AQ172" s="1">
        <f t="shared" si="92"/>
        <v>-5.2670538818097565</v>
      </c>
      <c r="AR172" s="1">
        <f t="shared" si="92"/>
        <v>-15.396581192800189</v>
      </c>
      <c r="AS172" s="1">
        <f t="shared" si="92"/>
        <v>-12.696581192800188</v>
      </c>
      <c r="AT172" s="1">
        <f t="shared" si="92"/>
        <v>-10.689914526133522</v>
      </c>
      <c r="AU172" s="1">
        <f t="shared" si="100"/>
        <v>-15.61658119280019</v>
      </c>
      <c r="AV172" s="1">
        <f t="shared" si="100"/>
        <v>-14.196581192800188</v>
      </c>
      <c r="AW172" s="1">
        <f>$J172+SUMPRODUCT(regions!BN171:BU171,regions!BN$204:BU$204)</f>
        <v>-10.178186405119414</v>
      </c>
      <c r="AX172" s="1">
        <f t="shared" si="100"/>
        <v>-11.87658119280019</v>
      </c>
      <c r="AY172" s="1">
        <f t="shared" si="100"/>
        <v>-11.096581192800191</v>
      </c>
      <c r="AZ172" s="1">
        <f t="shared" si="100"/>
        <v>-11.096581192800191</v>
      </c>
      <c r="BB172" t="str">
        <f>Maddison!A73</f>
        <v>Sri Lanka</v>
      </c>
      <c r="BC172">
        <f>-Maddison!B73</f>
        <v>-0.9</v>
      </c>
      <c r="BD172" s="1">
        <f>K172-BC172</f>
        <v>-10.59427868323489</v>
      </c>
      <c r="BF172" s="1"/>
      <c r="BG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</row>
    <row r="173" spans="1:90" x14ac:dyDescent="0.35">
      <c r="A173" t="s">
        <v>409</v>
      </c>
      <c r="B173" s="19">
        <f>regions!B172</f>
        <v>35652002</v>
      </c>
      <c r="C173" s="19">
        <f>regions!C172</f>
        <v>35822262376.238686</v>
      </c>
      <c r="D173" s="8">
        <f>regions!D172</f>
        <v>1004.7756189466916</v>
      </c>
      <c r="E173" s="8">
        <f>regions!E172</f>
        <v>0</v>
      </c>
      <c r="F173" s="8">
        <f>regions!F172</f>
        <v>23.310538379626493</v>
      </c>
      <c r="G173" s="1">
        <f>regions!Z172</f>
        <v>26.8</v>
      </c>
      <c r="J173" s="1">
        <f t="shared" si="106"/>
        <v>2.6359340755346476</v>
      </c>
      <c r="K173" s="1">
        <f t="shared" si="102"/>
        <v>-12.31681221249011</v>
      </c>
      <c r="L173" s="1">
        <f t="shared" si="95"/>
        <v>-11.970041207249722</v>
      </c>
      <c r="M173" s="1">
        <f t="shared" si="96"/>
        <v>8.2397689886649026</v>
      </c>
      <c r="N173" s="1">
        <f t="shared" si="111"/>
        <v>-11.81554379517803</v>
      </c>
      <c r="O173" s="1">
        <f t="shared" si="111"/>
        <v>-14.219114722055409</v>
      </c>
      <c r="P173" s="1">
        <f t="shared" si="111"/>
        <v>-12.219114722055409</v>
      </c>
      <c r="Q173" s="1">
        <f t="shared" si="111"/>
        <v>-12.549114722055409</v>
      </c>
      <c r="R173" s="1">
        <f t="shared" si="111"/>
        <v>-14.819114722055408</v>
      </c>
      <c r="S173" s="1">
        <f>$J173+SUMPRODUCT(regions!EI172:EN172,regions!EI$204:EN$204)</f>
        <v>-7.6251132267586197</v>
      </c>
      <c r="T173" s="1">
        <f>$J173+SUMPRODUCT(regions!EQ172:EV172,regions!EQ$204:EV$204)</f>
        <v>-7.1241252937738899</v>
      </c>
      <c r="U173" s="1">
        <f>$J173+SUMPRODUCT(regions!CM172:CU172,regions!CM$204:CU$204)</f>
        <v>-11.819696417084096</v>
      </c>
      <c r="V173" s="1">
        <f>$J173+SUMPRODUCT(regions!DH172:DM172,regions!DH$204:DM$204)</f>
        <v>-9.5525566613024537</v>
      </c>
      <c r="W173" s="1">
        <f>$J173+SUMPRODUCT(regions!DP172:DW172,regions!DP$204:DW$204)</f>
        <v>-11.392113910692954</v>
      </c>
      <c r="X173" s="1">
        <f>$J173+SUMPRODUCT(regions!AB172:AE172,regions!AB$204:AE$204)</f>
        <v>-6.5024710818053517</v>
      </c>
      <c r="Y173" s="1">
        <f>$J173+SUMPRODUCT(regions!BX172:CJ172,regions!BX$204:CJ$204)</f>
        <v>-4.316072712407216</v>
      </c>
      <c r="Z173" s="1">
        <f>$J173+SUMPRODUCT(regions!CX172:DF172,regions!CX$204:DF$204)</f>
        <v>-7.219696417084096</v>
      </c>
      <c r="AA173" s="1">
        <f t="shared" si="107"/>
        <v>-9.8121139228159109</v>
      </c>
      <c r="AB173" s="1">
        <f t="shared" si="108"/>
        <v>-11.372174274500498</v>
      </c>
      <c r="AC173" s="1">
        <f>$J173+SUMPRODUCT(regions!DZ172:EG172,regions!DZ$204:EG$204)</f>
        <v>-7.7930139106929541</v>
      </c>
      <c r="AD173" s="1">
        <f t="shared" si="104"/>
        <v>-12.209114722055409</v>
      </c>
      <c r="AE173" s="1">
        <f t="shared" si="104"/>
        <v>-13.719114722055409</v>
      </c>
      <c r="AF173" s="1">
        <f t="shared" si="109"/>
        <v>-39.840056957160783</v>
      </c>
      <c r="AG173" s="1">
        <f>$J173+SUMPRODUCT(regions!AX172:BK172,regions!AX$204:BK$204)</f>
        <v>-4.1541552654478799</v>
      </c>
      <c r="AH173" s="1">
        <f>$J173+SUMPRODUCT(regions!AG172:AV172,regions!AG$204:AV$204)</f>
        <v>-11.05415526544788</v>
      </c>
      <c r="AI173" s="1">
        <f t="shared" si="105"/>
        <v>-13.219114722055409</v>
      </c>
      <c r="AJ173" s="1">
        <f>SartoriRoson!C170</f>
        <v>-4.62</v>
      </c>
      <c r="AK173" s="1">
        <f>Kompas!E170</f>
        <v>-8.0990000000000002</v>
      </c>
      <c r="AL173" s="1">
        <f>$J173+SUMPRODUCT(regions!EY172:FW172,regions!EY$204:FW$204)</f>
        <v>-4.6432805311633114</v>
      </c>
      <c r="AM173" s="1">
        <f>$J173+SUMPRODUCT(regions!FZ172:GF172,regions!FZ$204:GF$204)</f>
        <v>-1.5157446031858104</v>
      </c>
      <c r="AN173" s="1">
        <f t="shared" si="93"/>
        <v>-20.419114722055408</v>
      </c>
      <c r="AO173" s="1">
        <f t="shared" si="93"/>
        <v>-19.719114722055409</v>
      </c>
      <c r="AP173" s="1">
        <f t="shared" si="93"/>
        <v>-14.919114722055408</v>
      </c>
      <c r="AQ173" s="1">
        <f t="shared" si="92"/>
        <v>-6.0895874110649748</v>
      </c>
      <c r="AR173" s="1">
        <f t="shared" si="92"/>
        <v>-16.219114722055409</v>
      </c>
      <c r="AS173" s="1">
        <f t="shared" si="92"/>
        <v>-13.519114722055409</v>
      </c>
      <c r="AT173" s="1">
        <f t="shared" si="92"/>
        <v>-11.512448055388742</v>
      </c>
      <c r="AU173" s="1">
        <f t="shared" si="100"/>
        <v>-16.439114722055407</v>
      </c>
      <c r="AV173" s="1">
        <f t="shared" si="100"/>
        <v>-15.019114722055409</v>
      </c>
      <c r="AW173" s="1">
        <f>$J173+SUMPRODUCT(regions!BN172:BU172,regions!BN$204:BU$204)</f>
        <v>-9.2688545346812514</v>
      </c>
      <c r="AX173" s="1">
        <f t="shared" si="100"/>
        <v>-12.699114722055409</v>
      </c>
      <c r="AY173" s="1">
        <f t="shared" si="100"/>
        <v>-11.919114722055408</v>
      </c>
      <c r="AZ173" s="1">
        <f t="shared" si="100"/>
        <v>-11.919114722055408</v>
      </c>
      <c r="BF173" s="1"/>
      <c r="BG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</row>
    <row r="174" spans="1:90" x14ac:dyDescent="0.35">
      <c r="A174" t="s">
        <v>189</v>
      </c>
      <c r="B174" s="19">
        <f>regions!B173</f>
        <v>524960</v>
      </c>
      <c r="C174" s="19">
        <f>regions!C173</f>
        <v>2188868338.2963519</v>
      </c>
      <c r="D174" s="8">
        <f>regions!D173</f>
        <v>4169.5907084279788</v>
      </c>
      <c r="E174" s="8">
        <f>regions!E173</f>
        <v>15.656707227299258</v>
      </c>
      <c r="F174" s="8">
        <f>regions!F173</f>
        <v>9.6973234386725586</v>
      </c>
      <c r="G174" s="1">
        <f>regions!Z173</f>
        <v>25.7</v>
      </c>
      <c r="J174" s="1">
        <f t="shared" si="106"/>
        <v>5.6397048287823921</v>
      </c>
      <c r="K174" s="1">
        <f t="shared" si="102"/>
        <v>-9.3130414592423651</v>
      </c>
      <c r="L174" s="1">
        <f t="shared" si="95"/>
        <v>-8.9370644561387493</v>
      </c>
      <c r="M174" s="1">
        <f t="shared" si="96"/>
        <v>7.5552250104218963</v>
      </c>
      <c r="N174" s="1">
        <f t="shared" si="111"/>
        <v>-8.8117730419302855</v>
      </c>
      <c r="O174" s="1">
        <f t="shared" si="111"/>
        <v>-11.215343968807664</v>
      </c>
      <c r="P174" s="1">
        <f t="shared" si="111"/>
        <v>-9.2153439688076642</v>
      </c>
      <c r="Q174" s="1">
        <f t="shared" si="111"/>
        <v>-9.5453439688076642</v>
      </c>
      <c r="R174" s="1">
        <f t="shared" si="111"/>
        <v>-11.815343968807664</v>
      </c>
      <c r="S174" s="1">
        <f>$J174+SUMPRODUCT(regions!EI173:EN173,regions!EI$204:EN$204)</f>
        <v>-4.6213424735108752</v>
      </c>
      <c r="T174" s="1">
        <f>$J174+SUMPRODUCT(regions!EQ173:EV173,regions!EQ$204:EV$204)</f>
        <v>-4.1203545405261455</v>
      </c>
      <c r="U174" s="1">
        <f>$J174+SUMPRODUCT(regions!CM173:CU173,regions!CM$204:CU$204)</f>
        <v>-6.4552326490674865</v>
      </c>
      <c r="V174" s="1">
        <f>$J174+SUMPRODUCT(regions!DH173:DM173,regions!DH$204:DM$204)</f>
        <v>-6.5487859080547093</v>
      </c>
      <c r="W174" s="1">
        <f>$J174+SUMPRODUCT(regions!DP173:DW173,regions!DP$204:DW$204)</f>
        <v>-6.4452326490674849</v>
      </c>
      <c r="X174" s="1">
        <f>$J174+SUMPRODUCT(regions!AB173:AE173,regions!AB$204:AE$204)</f>
        <v>-4.3139339571969053</v>
      </c>
      <c r="Y174" s="1">
        <f>$J174+SUMPRODUCT(regions!BX173:CJ173,regions!BX$204:CJ$204)</f>
        <v>-6.7456179204478453</v>
      </c>
      <c r="Z174" s="1">
        <f>$J174+SUMPRODUCT(regions!CX173:DF173,regions!CX$204:DF$204)</f>
        <v>-2.2552326490674854</v>
      </c>
      <c r="AA174" s="1">
        <f t="shared" si="107"/>
        <v>-0.5</v>
      </c>
      <c r="AB174" s="1">
        <f t="shared" si="108"/>
        <v>-8.3684035212527537</v>
      </c>
      <c r="AC174" s="1">
        <f>$J174+SUMPRODUCT(regions!DZ173:EG173,regions!DZ$204:EG$204)</f>
        <v>-4.4061326490674855</v>
      </c>
      <c r="AD174" s="1">
        <f t="shared" si="104"/>
        <v>-9.2053439688076644</v>
      </c>
      <c r="AE174" s="1">
        <f t="shared" si="104"/>
        <v>-10.715343968807664</v>
      </c>
      <c r="AF174" s="1">
        <f t="shared" si="109"/>
        <v>-36.836286203913033</v>
      </c>
      <c r="AG174" s="1">
        <f>$J174+SUMPRODUCT(regions!AX173:BK173,regions!AX$204:BK$204)</f>
        <v>-2.8444463145395336</v>
      </c>
      <c r="AH174" s="1">
        <f>$J174+SUMPRODUCT(regions!AG173:AV173,regions!AG$204:AV$204)</f>
        <v>-11.01105987280593</v>
      </c>
      <c r="AI174" s="1">
        <f t="shared" si="105"/>
        <v>-10.215343968807664</v>
      </c>
      <c r="AJ174" s="1">
        <f>SartoriRoson!C171</f>
        <v>-0.6</v>
      </c>
      <c r="AK174" s="1">
        <f>Kompas!E171</f>
        <v>-1.5449999999999999</v>
      </c>
      <c r="AL174" s="1">
        <f>$J174+SUMPRODUCT(regions!EY173:FW173,regions!EY$204:FW$204)</f>
        <v>-3.6781950925524107</v>
      </c>
      <c r="AM174" s="1">
        <f>$J174+SUMPRODUCT(regions!FZ173:GF173,regions!FZ$204:GF$204)</f>
        <v>-0.22151117543478982</v>
      </c>
      <c r="AN174" s="1">
        <f t="shared" si="93"/>
        <v>-17.415343968807662</v>
      </c>
      <c r="AO174" s="1">
        <f t="shared" si="93"/>
        <v>-16.715343968807666</v>
      </c>
      <c r="AP174" s="1">
        <f t="shared" si="93"/>
        <v>-11.915343968807665</v>
      </c>
      <c r="AQ174" s="1">
        <f t="shared" si="92"/>
        <v>-3.0858166578172312</v>
      </c>
      <c r="AR174" s="1">
        <f t="shared" si="92"/>
        <v>-13.215343968807664</v>
      </c>
      <c r="AS174" s="1">
        <f t="shared" si="92"/>
        <v>-10.515343968807663</v>
      </c>
      <c r="AT174" s="1">
        <f t="shared" si="92"/>
        <v>-8.5086773021409972</v>
      </c>
      <c r="AU174" s="1">
        <f t="shared" si="100"/>
        <v>-13.435343968807665</v>
      </c>
      <c r="AV174" s="1">
        <f t="shared" si="100"/>
        <v>-12.015343968807663</v>
      </c>
      <c r="AW174" s="1">
        <f>$J174+SUMPRODUCT(regions!BN173:BU173,regions!BN$204:BU$204)</f>
        <v>-7.9969491811268885</v>
      </c>
      <c r="AX174" s="1">
        <f t="shared" si="100"/>
        <v>-9.6953439688076646</v>
      </c>
      <c r="AY174" s="1">
        <f t="shared" si="100"/>
        <v>-8.9153439688076652</v>
      </c>
      <c r="AZ174" s="1">
        <f t="shared" si="100"/>
        <v>-8.9153439688076652</v>
      </c>
      <c r="BB174" t="str">
        <f>Maddison!A74</f>
        <v>Suriname</v>
      </c>
      <c r="BC174">
        <f>-Maddison!B74</f>
        <v>-0.5</v>
      </c>
      <c r="BD174" s="1">
        <f>K174-BC174</f>
        <v>-8.8130414592423651</v>
      </c>
      <c r="BF174" s="1"/>
      <c r="BG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</row>
    <row r="175" spans="1:90" x14ac:dyDescent="0.35">
      <c r="A175" t="s">
        <v>190</v>
      </c>
      <c r="B175" s="19">
        <f>regions!B174</f>
        <v>1193148</v>
      </c>
      <c r="C175" s="19">
        <f>regions!C174</f>
        <v>2917342648.1127834</v>
      </c>
      <c r="D175" s="8">
        <f>regions!D174</f>
        <v>2445.0802818366064</v>
      </c>
      <c r="E175" s="8">
        <f>regions!E174</f>
        <v>16.000527627245592</v>
      </c>
      <c r="F175" s="8">
        <f>regions!F174</f>
        <v>10.156212732348513</v>
      </c>
      <c r="G175" s="1">
        <f>regions!Z174</f>
        <v>21.4</v>
      </c>
      <c r="J175" s="1">
        <f t="shared" si="106"/>
        <v>6.265824856401875</v>
      </c>
      <c r="K175" s="1">
        <f t="shared" si="102"/>
        <v>-8.6869214316228813</v>
      </c>
      <c r="L175" s="1">
        <f t="shared" si="95"/>
        <v>-8.2208023191896569</v>
      </c>
      <c r="M175" s="1">
        <f t="shared" si="96"/>
        <v>7.4939247679673411</v>
      </c>
      <c r="N175" s="1">
        <f t="shared" si="111"/>
        <v>-8.1856530143108017</v>
      </c>
      <c r="O175" s="1">
        <f t="shared" si="111"/>
        <v>-10.58922394118818</v>
      </c>
      <c r="P175" s="1">
        <f t="shared" si="111"/>
        <v>-8.5892239411881803</v>
      </c>
      <c r="Q175" s="1">
        <f t="shared" si="111"/>
        <v>-8.9192239411881822</v>
      </c>
      <c r="R175" s="1">
        <f t="shared" si="111"/>
        <v>-11.189223941188182</v>
      </c>
      <c r="S175" s="1">
        <f>$J175+SUMPRODUCT(regions!EI174:EN174,regions!EI$204:EN$204)</f>
        <v>-3.9952224458913923</v>
      </c>
      <c r="T175" s="1">
        <f>$J175+SUMPRODUCT(regions!EQ174:EV174,regions!EQ$204:EV$204)</f>
        <v>-3.4942345129066625</v>
      </c>
      <c r="U175" s="1">
        <f>$J175+SUMPRODUCT(regions!CM174:CU174,regions!CM$204:CU$204)</f>
        <v>-8.1898056362168674</v>
      </c>
      <c r="V175" s="1">
        <f>$J175+SUMPRODUCT(regions!DH174:DM174,regions!DH$204:DM$204)</f>
        <v>-5.9226658804352263</v>
      </c>
      <c r="W175" s="1">
        <f>$J175+SUMPRODUCT(regions!DP174:DW174,regions!DP$204:DW$204)</f>
        <v>-7.7622231298257267</v>
      </c>
      <c r="X175" s="1">
        <f>$J175+SUMPRODUCT(regions!AB174:AE174,regions!AB$204:AE$204)</f>
        <v>-2.8725803009381243</v>
      </c>
      <c r="Y175" s="1">
        <f>$J175+SUMPRODUCT(regions!BX174:CJ174,regions!BX$204:CJ$204)</f>
        <v>-0.68618193153998863</v>
      </c>
      <c r="Z175" s="1">
        <f>$J175+SUMPRODUCT(regions!CX174:DF174,regions!CX$204:DF$204)</f>
        <v>-3.5898056362168687</v>
      </c>
      <c r="AA175" s="1">
        <f t="shared" si="107"/>
        <v>-0.4</v>
      </c>
      <c r="AB175" s="1">
        <f t="shared" si="108"/>
        <v>-7.742283493633269</v>
      </c>
      <c r="AC175" s="1">
        <f>$J175+SUMPRODUCT(regions!DZ174:EG174,regions!DZ$204:EG$204)</f>
        <v>-4.1631231298257267</v>
      </c>
      <c r="AD175" s="1">
        <f t="shared" si="104"/>
        <v>-8.5792239411881823</v>
      </c>
      <c r="AE175" s="1">
        <f t="shared" si="104"/>
        <v>-10.08922394118818</v>
      </c>
      <c r="AF175" s="1">
        <f t="shared" si="109"/>
        <v>-36.210166176293555</v>
      </c>
      <c r="AG175" s="1">
        <f>$J175+SUMPRODUCT(regions!AX174:BK174,regions!AX$204:BK$204)</f>
        <v>-0.52426448458065256</v>
      </c>
      <c r="AH175" s="1">
        <f>$J175+SUMPRODUCT(regions!AG174:AV174,regions!AG$204:AV$204)</f>
        <v>-7.4242644845806529</v>
      </c>
      <c r="AI175" s="1">
        <f t="shared" si="105"/>
        <v>-9.5892239411881803</v>
      </c>
      <c r="AJ175" s="1">
        <f>SartoriRoson!C172</f>
        <v>-1.81</v>
      </c>
      <c r="AK175" s="1">
        <f>Kompas!E172</f>
        <v>-3.0449999999999999</v>
      </c>
      <c r="AL175" s="1">
        <f>$J175+SUMPRODUCT(regions!EY174:FW174,regions!EY$204:FW$204)</f>
        <v>-1.013389750296084</v>
      </c>
      <c r="AM175" s="1">
        <f>$J175+SUMPRODUCT(regions!FZ174:GF174,regions!FZ$204:GF$204)</f>
        <v>2.114146177681417</v>
      </c>
      <c r="AN175" s="1">
        <f t="shared" si="93"/>
        <v>-16.78922394118818</v>
      </c>
      <c r="AO175" s="1">
        <f t="shared" si="93"/>
        <v>-16.08922394118818</v>
      </c>
      <c r="AP175" s="1">
        <f t="shared" si="93"/>
        <v>-11.289223941188181</v>
      </c>
      <c r="AQ175" s="1">
        <f t="shared" si="92"/>
        <v>-2.4596966301977474</v>
      </c>
      <c r="AR175" s="1">
        <f t="shared" si="92"/>
        <v>-12.58922394118818</v>
      </c>
      <c r="AS175" s="1">
        <f t="shared" si="92"/>
        <v>-9.889223941188181</v>
      </c>
      <c r="AT175" s="1">
        <f t="shared" si="92"/>
        <v>-7.8825572745215142</v>
      </c>
      <c r="AU175" s="1">
        <f t="shared" si="100"/>
        <v>-12.809223941188181</v>
      </c>
      <c r="AV175" s="1">
        <f t="shared" si="100"/>
        <v>-11.389223941188181</v>
      </c>
      <c r="AW175" s="1">
        <f>$J175+SUMPRODUCT(regions!BN174:BU174,regions!BN$204:BU$204)</f>
        <v>-7.3708291535074055</v>
      </c>
      <c r="AX175" s="1">
        <f t="shared" si="100"/>
        <v>-9.0692239411881808</v>
      </c>
      <c r="AY175" s="1">
        <f t="shared" si="100"/>
        <v>-8.2892239411881814</v>
      </c>
      <c r="AZ175" s="1">
        <f t="shared" si="100"/>
        <v>-8.2892239411881814</v>
      </c>
      <c r="BB175" t="str">
        <f>Maddison!A75</f>
        <v>Swaziland</v>
      </c>
      <c r="BC175">
        <f>-Maddison!B75</f>
        <v>-0.4</v>
      </c>
      <c r="BD175" s="1">
        <f>K175-BC175</f>
        <v>-8.286921431622881</v>
      </c>
      <c r="BF175" s="1"/>
      <c r="BG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</row>
    <row r="176" spans="1:90" x14ac:dyDescent="0.35">
      <c r="A176" t="s">
        <v>191</v>
      </c>
      <c r="B176" s="19">
        <f>regions!B175</f>
        <v>9378126</v>
      </c>
      <c r="C176" s="19">
        <f>regions!C175</f>
        <v>401624584927.2937</v>
      </c>
      <c r="D176" s="8">
        <f>regions!D175</f>
        <v>42825.675932195161</v>
      </c>
      <c r="E176" s="8">
        <f>regions!E175</f>
        <v>27.110699620510715</v>
      </c>
      <c r="F176" s="8">
        <f>regions!F175</f>
        <v>1.4281558434474604</v>
      </c>
      <c r="G176" s="1">
        <f>regions!Z175</f>
        <v>2.1</v>
      </c>
      <c r="J176" s="1">
        <f t="shared" si="106"/>
        <v>18.6642311515809</v>
      </c>
      <c r="K176" s="1">
        <f t="shared" si="102"/>
        <v>3.7114848635561426</v>
      </c>
      <c r="L176" s="1">
        <f t="shared" si="95"/>
        <v>2.2488005618678142</v>
      </c>
      <c r="M176" s="1">
        <f t="shared" si="96"/>
        <v>3.5439471893625543</v>
      </c>
      <c r="N176" s="1">
        <f t="shared" si="111"/>
        <v>4.2127532808682222</v>
      </c>
      <c r="O176" s="1">
        <f t="shared" si="111"/>
        <v>1.8091823539908436</v>
      </c>
      <c r="P176" s="1">
        <f t="shared" si="111"/>
        <v>3.8091823539908436</v>
      </c>
      <c r="Q176" s="1">
        <f t="shared" si="111"/>
        <v>3.4791823539908453</v>
      </c>
      <c r="R176" s="1">
        <f t="shared" si="111"/>
        <v>1.2091823539908439</v>
      </c>
      <c r="S176" s="1">
        <f>$J176+SUMPRODUCT(regions!EI175:EN175,regions!EI$204:EN$204)</f>
        <v>1.8822147413877524</v>
      </c>
      <c r="T176" s="1">
        <f>$J176+SUMPRODUCT(regions!EQ175:EV175,regions!EQ$204:EV$204)</f>
        <v>1.6822147413877531</v>
      </c>
      <c r="U176" s="1">
        <f>$J176+SUMPRODUCT(regions!CM175:CU175,regions!CM$204:CU$204)</f>
        <v>1.8675660683460222</v>
      </c>
      <c r="V176" s="1">
        <f>$J176+SUMPRODUCT(regions!DH175:DM175,regions!DH$204:DM$204)</f>
        <v>2.1058017677533947</v>
      </c>
      <c r="W176" s="1">
        <f>$J176+SUMPRODUCT(regions!DP175:DW175,regions!DP$204:DW$204)</f>
        <v>1.9822147413877538</v>
      </c>
      <c r="X176" s="1">
        <f>$J176+SUMPRODUCT(regions!AB175:AE175,regions!AB$204:AE$204)</f>
        <v>3.3205284099787775</v>
      </c>
      <c r="Y176" s="1">
        <f>$J176+SUMPRODUCT(regions!BX175:CJ175,regions!BX$204:CJ$204)</f>
        <v>0.27679495451282676</v>
      </c>
      <c r="Z176" s="1">
        <f>$J176+SUMPRODUCT(regions!CX175:DF175,regions!CX$204:DF$204)</f>
        <v>6.8675660683460222</v>
      </c>
      <c r="AA176" s="1">
        <f t="shared" si="107"/>
        <v>2.1</v>
      </c>
      <c r="AB176" s="1">
        <f t="shared" si="108"/>
        <v>1.0692650846305696</v>
      </c>
      <c r="AC176" s="1">
        <f>$J176+SUMPRODUCT(regions!DZ175:EG175,regions!DZ$204:EG$204)</f>
        <v>2.0522147413877541</v>
      </c>
      <c r="AD176" s="1">
        <f t="shared" si="104"/>
        <v>3.8191823539908452</v>
      </c>
      <c r="AE176" s="1">
        <f t="shared" si="104"/>
        <v>2.3091823539908436</v>
      </c>
      <c r="AF176" s="1">
        <f t="shared" si="109"/>
        <v>10.8</v>
      </c>
      <c r="AG176" s="1">
        <f>$J176+SUMPRODUCT(regions!AX175:BK175,regions!AX$204:BK$204)</f>
        <v>2.3701831933470565</v>
      </c>
      <c r="AH176" s="1">
        <f>$J176+SUMPRODUCT(regions!AG175:AV175,regions!AG$204:AV$204)</f>
        <v>4.5153653474400901</v>
      </c>
      <c r="AI176" s="1">
        <f t="shared" si="105"/>
        <v>2.8091823539908436</v>
      </c>
      <c r="AJ176" s="1">
        <f>SartoriRoson!C173</f>
        <v>1.72</v>
      </c>
      <c r="AK176" s="1">
        <f>Kompas!E173</f>
        <v>-0.34899999999999998</v>
      </c>
      <c r="AL176" s="1">
        <f>$J176+SUMPRODUCT(regions!EY175:FW175,regions!EY$204:FW$204)</f>
        <v>3.0602336821730365</v>
      </c>
      <c r="AM176" s="1">
        <f>$J176+SUMPRODUCT(regions!FZ175:GF175,regions!FZ$204:GF$204)</f>
        <v>4.3960007767329117</v>
      </c>
      <c r="AN176" s="1">
        <f t="shared" si="93"/>
        <v>-4.3908176460091557</v>
      </c>
      <c r="AO176" s="1">
        <f t="shared" si="93"/>
        <v>-3.6908176460091564</v>
      </c>
      <c r="AP176" s="1">
        <f t="shared" si="93"/>
        <v>1.1091823539908443</v>
      </c>
      <c r="AQ176" s="1">
        <f t="shared" si="92"/>
        <v>9.9387096649812765</v>
      </c>
      <c r="AR176" s="1">
        <f t="shared" si="92"/>
        <v>-0.19081764600915641</v>
      </c>
      <c r="AS176" s="1">
        <f t="shared" si="92"/>
        <v>2.5091823539908429</v>
      </c>
      <c r="AT176" s="1">
        <f t="shared" si="92"/>
        <v>4.5158490206575106</v>
      </c>
      <c r="AU176" s="1">
        <f t="shared" si="100"/>
        <v>-0.41081764600915527</v>
      </c>
      <c r="AV176" s="1">
        <f t="shared" si="100"/>
        <v>1.0091823539908429</v>
      </c>
      <c r="AW176" s="1">
        <f>$J176+SUMPRODUCT(regions!BN175:BU175,regions!BN$204:BU$204)</f>
        <v>4.5253281698423446</v>
      </c>
      <c r="AX176" s="1">
        <f t="shared" si="100"/>
        <v>3.3291823539908432</v>
      </c>
      <c r="AY176" s="1">
        <f t="shared" si="100"/>
        <v>4.1091823539908443</v>
      </c>
      <c r="AZ176" s="1">
        <f t="shared" si="100"/>
        <v>4.1091823539908443</v>
      </c>
      <c r="BB176" t="str">
        <f>Maddison!A76</f>
        <v>Sweden</v>
      </c>
      <c r="BC176">
        <f>-Maddison!B76</f>
        <v>2.1</v>
      </c>
      <c r="BD176" s="1">
        <f>K176-BC176</f>
        <v>1.6114848635561425</v>
      </c>
      <c r="BE176" t="str">
        <f>RehdanzMaddison!P63</f>
        <v>Sweden</v>
      </c>
      <c r="BF176" s="1">
        <f>-100*RehdanzMaddison!U63</f>
        <v>0.63581016311595429</v>
      </c>
      <c r="BG176" s="1">
        <f>-100*RehdanzMaddison!V63</f>
        <v>1.0692650846305696</v>
      </c>
      <c r="BH176" s="1">
        <f>$K176-BF176</f>
        <v>3.0756747004401883</v>
      </c>
      <c r="BI176" s="1">
        <f>$K176-BG176</f>
        <v>2.6422197789255728</v>
      </c>
      <c r="BJ176" t="str">
        <f>MaddisonRehdanz!A71</f>
        <v>Sweden</v>
      </c>
      <c r="BK176">
        <f>MaddisonRehdanz!D71</f>
        <v>10.8</v>
      </c>
      <c r="BL176" s="1">
        <f>$K176-BK176</f>
        <v>-7.0885151364438581</v>
      </c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</row>
    <row r="177" spans="1:90" x14ac:dyDescent="0.35">
      <c r="A177" t="s">
        <v>192</v>
      </c>
      <c r="B177" s="19">
        <f>regions!B176</f>
        <v>7824909</v>
      </c>
      <c r="C177" s="19">
        <f>regions!C176</f>
        <v>427575024211.02106</v>
      </c>
      <c r="D177" s="8">
        <f>regions!D176</f>
        <v>54642.81108074497</v>
      </c>
      <c r="E177" s="8">
        <f>regions!E176</f>
        <v>9.7192254584653419</v>
      </c>
      <c r="F177" s="8">
        <f>regions!F176</f>
        <v>0.69911854876845392</v>
      </c>
      <c r="G177" s="1">
        <f>regions!Z176</f>
        <v>5.5</v>
      </c>
      <c r="J177" s="1">
        <f t="shared" si="106"/>
        <v>17.843979624768735</v>
      </c>
      <c r="K177" s="1">
        <f t="shared" si="102"/>
        <v>2.8912333367439782</v>
      </c>
      <c r="L177" s="1">
        <f t="shared" si="95"/>
        <v>1.3317678402279178</v>
      </c>
      <c r="M177" s="1">
        <f t="shared" si="96"/>
        <v>3.1677297422114634</v>
      </c>
      <c r="N177" s="1">
        <f t="shared" si="111"/>
        <v>3.3925017540560578</v>
      </c>
      <c r="O177" s="1">
        <f t="shared" si="111"/>
        <v>0.98893082717867919</v>
      </c>
      <c r="P177" s="1">
        <f t="shared" si="111"/>
        <v>2.9889308271786792</v>
      </c>
      <c r="Q177" s="1">
        <f t="shared" si="111"/>
        <v>2.6589308271786809</v>
      </c>
      <c r="R177" s="1">
        <f t="shared" si="111"/>
        <v>0.38893082717867955</v>
      </c>
      <c r="S177" s="1">
        <f>$J177+SUMPRODUCT(regions!EI176:EN176,regions!EI$204:EN$204)</f>
        <v>0.48501594668187664</v>
      </c>
      <c r="T177" s="1">
        <f>$J177+SUMPRODUCT(regions!EQ176:EV176,regions!EQ$204:EV$204)</f>
        <v>0.82858440878599993</v>
      </c>
      <c r="U177" s="1">
        <f>$J177+SUMPRODUCT(regions!CM176:CU176,regions!CM$204:CU$204)</f>
        <v>1.0473145415338578</v>
      </c>
      <c r="V177" s="1">
        <f>$J177+SUMPRODUCT(regions!DH176:DM176,regions!DH$204:DM$204)</f>
        <v>5.6554888879316341</v>
      </c>
      <c r="W177" s="1">
        <f>$J177+SUMPRODUCT(regions!DP176:DW176,regions!DP$204:DW$204)</f>
        <v>-0.97498405331812421</v>
      </c>
      <c r="X177" s="1">
        <f>$J177+SUMPRODUCT(regions!AB176:AE176,regions!AB$204:AE$204)</f>
        <v>2.5002768831666131</v>
      </c>
      <c r="Y177" s="1">
        <f>$J177+SUMPRODUCT(regions!BX176:CJ176,regions!BX$204:CJ$204)</f>
        <v>-0.54345657229933764</v>
      </c>
      <c r="Z177" s="1">
        <f>$J177+SUMPRODUCT(regions!CX176:DF176,regions!CX$204:DF$204)</f>
        <v>6.0473145415338578</v>
      </c>
      <c r="AA177" s="1">
        <f t="shared" si="107"/>
        <v>1.1000000000000001</v>
      </c>
      <c r="AB177" s="1">
        <f t="shared" si="108"/>
        <v>-0.47219386209601699</v>
      </c>
      <c r="AC177" s="1">
        <f>$J177+SUMPRODUCT(regions!DZ176:EG176,regions!DZ$204:EG$204)</f>
        <v>1.5775159466818742</v>
      </c>
      <c r="AD177" s="1">
        <f t="shared" si="104"/>
        <v>2.9989308271786808</v>
      </c>
      <c r="AE177" s="1">
        <f t="shared" si="104"/>
        <v>1.4889308271786792</v>
      </c>
      <c r="AF177" s="1">
        <f t="shared" si="109"/>
        <v>6</v>
      </c>
      <c r="AG177" s="1">
        <f>$J177+SUMPRODUCT(regions!AX176:BK176,regions!AX$204:BK$204)</f>
        <v>1.5499316665348921</v>
      </c>
      <c r="AH177" s="1">
        <f>$J177+SUMPRODUCT(regions!AG176:AV176,regions!AG$204:AV$204)</f>
        <v>3.6951138206279257</v>
      </c>
      <c r="AI177" s="1">
        <f t="shared" si="105"/>
        <v>1.9889308271786792</v>
      </c>
      <c r="AJ177" s="1">
        <f>SartoriRoson!C174</f>
        <v>1.42</v>
      </c>
      <c r="AK177" s="1">
        <f>Kompas!E174</f>
        <v>-0.35499999999999998</v>
      </c>
      <c r="AL177" s="1">
        <f>$J177+SUMPRODUCT(regions!EY176:FW176,regions!EY$204:FW$204)</f>
        <v>2.2628056847262936</v>
      </c>
      <c r="AM177" s="1">
        <f>$J177+SUMPRODUCT(regions!FZ176:GF176,regions!FZ$204:GF$204)</f>
        <v>3.5757492499207473</v>
      </c>
      <c r="AN177" s="1">
        <f t="shared" si="93"/>
        <v>-5.2110691728213201</v>
      </c>
      <c r="AO177" s="1">
        <f t="shared" si="93"/>
        <v>-4.5110691728213208</v>
      </c>
      <c r="AP177" s="1">
        <f t="shared" si="93"/>
        <v>0.28893082717867991</v>
      </c>
      <c r="AQ177" s="1">
        <f t="shared" si="92"/>
        <v>9.1184581381691121</v>
      </c>
      <c r="AR177" s="1">
        <f t="shared" si="92"/>
        <v>-1.0110691728213208</v>
      </c>
      <c r="AS177" s="1">
        <f t="shared" si="92"/>
        <v>1.6889308271786785</v>
      </c>
      <c r="AT177" s="1">
        <f t="shared" si="92"/>
        <v>3.6955974938453462</v>
      </c>
      <c r="AU177" s="1">
        <f t="shared" si="100"/>
        <v>-1.2310691728213197</v>
      </c>
      <c r="AV177" s="1">
        <f t="shared" si="100"/>
        <v>0.18893082717867848</v>
      </c>
      <c r="AW177" s="1">
        <f>$J177+SUMPRODUCT(regions!BN176:BU176,regions!BN$204:BU$204)</f>
        <v>1.485769790529293</v>
      </c>
      <c r="AX177" s="1">
        <f t="shared" si="100"/>
        <v>2.5089308271786788</v>
      </c>
      <c r="AY177" s="1">
        <f t="shared" si="100"/>
        <v>3.2889308271786799</v>
      </c>
      <c r="AZ177" s="1">
        <f t="shared" si="100"/>
        <v>3.2889308271786799</v>
      </c>
      <c r="BB177" t="str">
        <f>Maddison!A77</f>
        <v>Switzerland</v>
      </c>
      <c r="BC177">
        <f>-Maddison!B77</f>
        <v>1.1000000000000001</v>
      </c>
      <c r="BD177" s="1">
        <f>K177-BC177</f>
        <v>1.7912333367439781</v>
      </c>
      <c r="BE177" t="str">
        <f>RehdanzMaddison!P64</f>
        <v>Switzerland</v>
      </c>
      <c r="BF177" s="1">
        <f>-100*RehdanzMaddison!U64</f>
        <v>-0.26753748042716347</v>
      </c>
      <c r="BG177" s="1">
        <f>-100*RehdanzMaddison!V64</f>
        <v>-0.47219386209601699</v>
      </c>
      <c r="BH177" s="1">
        <f>$K177-BF177</f>
        <v>3.1587708171711415</v>
      </c>
      <c r="BI177" s="1">
        <f>$K177-BG177</f>
        <v>3.3634271988399953</v>
      </c>
      <c r="BJ177" t="str">
        <f>MaddisonRehdanz!A72</f>
        <v>Switzerland</v>
      </c>
      <c r="BK177">
        <f>MaddisonRehdanz!D72</f>
        <v>6</v>
      </c>
      <c r="BL177" s="1">
        <f>$K177-BK177</f>
        <v>-3.1087666632560218</v>
      </c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</row>
    <row r="178" spans="1:90" x14ac:dyDescent="0.35">
      <c r="A178" t="s">
        <v>193</v>
      </c>
      <c r="B178" s="19">
        <f>regions!B177</f>
        <v>21532647</v>
      </c>
      <c r="C178" s="19">
        <f>regions!C177</f>
        <v>35446687900.822365</v>
      </c>
      <c r="D178" s="8">
        <f>regions!D177</f>
        <v>1646.18348597933</v>
      </c>
      <c r="E178" s="8">
        <f>regions!E177</f>
        <v>0</v>
      </c>
      <c r="F178" s="8">
        <f>regions!F177</f>
        <v>0</v>
      </c>
      <c r="G178" s="1">
        <f>regions!Z177</f>
        <v>16.7</v>
      </c>
      <c r="J178" s="1">
        <f t="shared" si="106"/>
        <v>7.2925524815473768</v>
      </c>
      <c r="K178" s="1">
        <f>J178+J$4</f>
        <v>-7.6601938064773805</v>
      </c>
      <c r="L178" s="1">
        <f t="shared" si="95"/>
        <v>-7.8939563240194115</v>
      </c>
      <c r="M178" s="1">
        <f t="shared" si="96"/>
        <v>6.9148791120268234</v>
      </c>
      <c r="N178" s="1">
        <f t="shared" ref="N178:R178" si="112">$J178+N$3-$J$3</f>
        <v>-7.1589253891653009</v>
      </c>
      <c r="O178" s="1">
        <f t="shared" si="112"/>
        <v>-9.5624963160426795</v>
      </c>
      <c r="P178" s="1">
        <f t="shared" si="112"/>
        <v>-7.5624963160426795</v>
      </c>
      <c r="Q178" s="1">
        <f t="shared" si="112"/>
        <v>-7.8924963160426795</v>
      </c>
      <c r="R178" s="1">
        <f t="shared" si="112"/>
        <v>-10.162496316042679</v>
      </c>
      <c r="S178" s="1">
        <f>$J178+SUMPRODUCT(regions!EI177:EN177,regions!EI$204:EN$204)</f>
        <v>-2.9684948207458906</v>
      </c>
      <c r="T178" s="1">
        <f>$J178+SUMPRODUCT(regions!EQ177:EV177,regions!EQ$204:EV$204)</f>
        <v>-2.4675068877611608</v>
      </c>
      <c r="U178" s="1">
        <f>$J178+SUMPRODUCT(regions!CM177:CU177,regions!CM$204:CU$204)</f>
        <v>-6.3341940921597288</v>
      </c>
      <c r="V178" s="1">
        <f>$J178+SUMPRODUCT(regions!DH177:DM177,regions!DH$204:DM$204)</f>
        <v>-4.8959382552897246</v>
      </c>
      <c r="W178" s="1">
        <f>$J178+SUMPRODUCT(regions!DP177:DW177,regions!DP$204:DW$204)</f>
        <v>-6.735495504680225</v>
      </c>
      <c r="X178" s="1">
        <f>$J178+SUMPRODUCT(regions!AB177:AE177,regions!AB$204:AE$204)</f>
        <v>-1.8458526757926226</v>
      </c>
      <c r="Y178" s="1">
        <f>$J178+SUMPRODUCT(regions!BX177:CJ177,regions!BX$204:CJ$204)</f>
        <v>-5.0927702676828606</v>
      </c>
      <c r="Z178" s="1">
        <f>$J178+SUMPRODUCT(regions!CX177:DF177,regions!CX$204:DF$204)</f>
        <v>-1.1341940921597295</v>
      </c>
      <c r="AA178" s="1">
        <f t="shared" si="107"/>
        <v>-5.1554955168031817</v>
      </c>
      <c r="AB178" s="1">
        <f t="shared" si="108"/>
        <v>-6.7155558684877681</v>
      </c>
      <c r="AC178" s="1">
        <f>$J178+SUMPRODUCT(regions!DZ177:EG177,regions!DZ$204:EG$204)</f>
        <v>-3.136395504680225</v>
      </c>
      <c r="AD178" s="1">
        <f>$J178+AD$3-$J$3</f>
        <v>-7.5524963160426797</v>
      </c>
      <c r="AE178" s="1">
        <f>$J178+AE$3-$J$3</f>
        <v>-9.0624963160426795</v>
      </c>
      <c r="AF178" s="1">
        <f t="shared" si="109"/>
        <v>-35.183438551148051</v>
      </c>
      <c r="AG178" s="1">
        <f>$J178+SUMPRODUCT(regions!AX177:BK177,regions!AX$204:BK$204)</f>
        <v>-2.891811663567994</v>
      </c>
      <c r="AH178" s="1">
        <f>$J178+SUMPRODUCT(regions!AG177:AV177,regions!AG$204:AV$204)</f>
        <v>-12.273415037580447</v>
      </c>
      <c r="AI178" s="1">
        <f>$J178+AI$3-$J$3</f>
        <v>-8.5624963160426795</v>
      </c>
      <c r="AJ178" s="1">
        <f>SartoriRoson!C175</f>
        <v>-1.22</v>
      </c>
      <c r="AK178" s="1">
        <f>Kompas!E175</f>
        <v>-3.306</v>
      </c>
      <c r="AL178" s="1">
        <f>$J178+SUMPRODUCT(regions!EY177:FW177,regions!EY$204:FW$204)</f>
        <v>-4.2464754819093731</v>
      </c>
      <c r="AM178" s="1">
        <f>$J178+SUMPRODUCT(regions!FZ177:GF177,regions!FZ$204:GF$204)</f>
        <v>-1.6741823111597416</v>
      </c>
      <c r="AN178" s="1">
        <f t="shared" si="93"/>
        <v>-15.762496316042679</v>
      </c>
      <c r="AO178" s="1">
        <f t="shared" si="93"/>
        <v>-15.062496316042679</v>
      </c>
      <c r="AP178" s="1">
        <f t="shared" si="93"/>
        <v>-10.262496316042679</v>
      </c>
      <c r="AQ178" s="1">
        <f t="shared" si="92"/>
        <v>-1.4329690050522448</v>
      </c>
      <c r="AR178" s="1">
        <f t="shared" si="92"/>
        <v>-11.562496316042679</v>
      </c>
      <c r="AS178" s="1">
        <f t="shared" si="92"/>
        <v>-8.8624963160426802</v>
      </c>
      <c r="AT178" s="1">
        <f t="shared" si="92"/>
        <v>-6.8558296493760125</v>
      </c>
      <c r="AU178" s="1">
        <f t="shared" si="100"/>
        <v>-11.782496316042678</v>
      </c>
      <c r="AV178" s="1">
        <f t="shared" si="100"/>
        <v>-10.36249631604268</v>
      </c>
      <c r="AW178" s="1">
        <f>$J178+SUMPRODUCT(regions!BN177:BU177,regions!BN$204:BU$204)</f>
        <v>-4.6122361286685223</v>
      </c>
      <c r="AX178" s="1">
        <f t="shared" si="100"/>
        <v>-8.0424963160426799</v>
      </c>
      <c r="AY178" s="1">
        <f t="shared" si="100"/>
        <v>-7.2624963160426796</v>
      </c>
      <c r="AZ178" s="1">
        <f t="shared" si="100"/>
        <v>-7.2624963160426796</v>
      </c>
      <c r="BD178" s="1"/>
      <c r="BF178" s="1"/>
      <c r="BG178" s="1"/>
      <c r="BH178" s="1"/>
      <c r="BI178" s="1"/>
      <c r="BL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</row>
    <row r="179" spans="1:90" x14ac:dyDescent="0.35">
      <c r="A179" t="s">
        <v>410</v>
      </c>
      <c r="B179" s="19">
        <f>regions!B178</f>
        <v>7627326</v>
      </c>
      <c r="C179" s="19">
        <f>regions!C178</f>
        <v>3181403840.3997879</v>
      </c>
      <c r="D179" s="8">
        <f>regions!D178</f>
        <v>417.10605268475319</v>
      </c>
      <c r="E179" s="8">
        <f>regions!E178</f>
        <v>0</v>
      </c>
      <c r="F179" s="8">
        <f>regions!F178</f>
        <v>19.586677513751109</v>
      </c>
      <c r="G179" s="1">
        <f>regions!Z178</f>
        <v>2</v>
      </c>
      <c r="J179" s="1">
        <f t="shared" si="106"/>
        <v>10.256723289667626</v>
      </c>
      <c r="K179" s="1">
        <f t="shared" ref="K179:K202" si="113">J179+J$4</f>
        <v>-4.6960229983571313</v>
      </c>
      <c r="L179" s="1">
        <f t="shared" si="95"/>
        <v>-5.6541473924038463</v>
      </c>
      <c r="M179" s="1">
        <f t="shared" si="96"/>
        <v>6.3999576250982253</v>
      </c>
      <c r="N179" s="1">
        <f t="shared" ref="N179:R188" si="114">$J179+N$3-$J$3</f>
        <v>-4.1947545810450517</v>
      </c>
      <c r="O179" s="1">
        <f t="shared" si="114"/>
        <v>-6.5983255079224303</v>
      </c>
      <c r="P179" s="1">
        <f t="shared" si="114"/>
        <v>-4.5983255079224303</v>
      </c>
      <c r="Q179" s="1">
        <f t="shared" si="114"/>
        <v>-4.9283255079224304</v>
      </c>
      <c r="R179" s="1">
        <f t="shared" si="114"/>
        <v>-7.19832550792243</v>
      </c>
      <c r="S179" s="1">
        <f>$J179+SUMPRODUCT(regions!EI178:EN178,regions!EI$204:EN$204)</f>
        <v>-6.6119281953347731</v>
      </c>
      <c r="T179" s="1">
        <f>$J179+SUMPRODUCT(regions!EQ178:EV178,regions!EQ$204:EV$204)</f>
        <v>-6.7119281953347745</v>
      </c>
      <c r="U179" s="1">
        <f>$J179+SUMPRODUCT(regions!CM178:CU178,regions!CM$204:CU$204)</f>
        <v>-4.3992835395684633</v>
      </c>
      <c r="V179" s="1">
        <f>$J179+SUMPRODUCT(regions!DH178:DM178,regions!DH$204:DM$204)</f>
        <v>-6.7689281953347731</v>
      </c>
      <c r="W179" s="1">
        <f>$J179+SUMPRODUCT(regions!DP178:DW178,regions!DP$204:DW$204)</f>
        <v>-4.699283539568464</v>
      </c>
      <c r="X179" s="1">
        <f>$J179+SUMPRODUCT(regions!AB178:AE178,regions!AB$204:AE$204)</f>
        <v>6.7402059414521842</v>
      </c>
      <c r="Y179" s="1">
        <f>$J179+SUMPRODUCT(regions!BX178:CJ178,regions!BX$204:CJ$204)</f>
        <v>2.9521820847952753</v>
      </c>
      <c r="Z179" s="1">
        <f>$J179+SUMPRODUCT(regions!CX178:DF178,regions!CX$204:DF$204)</f>
        <v>-2.699283539568464</v>
      </c>
      <c r="AA179" s="1">
        <f t="shared" si="107"/>
        <v>-2.1913247086829331</v>
      </c>
      <c r="AB179" s="1">
        <f t="shared" si="108"/>
        <v>-3.751385060367519</v>
      </c>
      <c r="AC179" s="1">
        <f>$J179+SUMPRODUCT(regions!DZ178:EG178,regions!DZ$204:EG$204)</f>
        <v>-4.2687835395684637</v>
      </c>
      <c r="AD179" s="1">
        <f t="shared" ref="AD179:AE202" si="115">$J179+AD$3-$J$3</f>
        <v>-4.5883255079224305</v>
      </c>
      <c r="AE179" s="1">
        <f t="shared" si="115"/>
        <v>-6.0983255079224303</v>
      </c>
      <c r="AF179" s="1">
        <f t="shared" si="109"/>
        <v>-32.2192677430278</v>
      </c>
      <c r="AG179" s="1">
        <f>$J179+SUMPRODUCT(regions!AX178:BK178,regions!AX$204:BK$204)</f>
        <v>-5.1119281953347731</v>
      </c>
      <c r="AH179" s="1">
        <f>$J179+SUMPRODUCT(regions!AG178:AV178,regions!AG$204:AV$204)</f>
        <v>-4.1480854746550264</v>
      </c>
      <c r="AI179" s="1">
        <f t="shared" ref="AI179:AI202" si="116">$J179+AI$3-$J$3</f>
        <v>-5.5983255079224303</v>
      </c>
      <c r="AJ179" s="1">
        <f>SartoriRoson!C176</f>
        <v>7.0000000000000007E-2</v>
      </c>
      <c r="AK179" s="1">
        <f>Kompas!E176</f>
        <v>-0.56399999999999995</v>
      </c>
      <c r="AL179" s="1">
        <f>$J179+SUMPRODUCT(regions!EY178:FW178,regions!EY$204:FW$204)</f>
        <v>3.6352371870584932E-3</v>
      </c>
      <c r="AM179" s="1">
        <f>$J179+SUMPRODUCT(regions!FZ178:GF178,regions!FZ$204:GF$204)</f>
        <v>-4.6358257731151227</v>
      </c>
      <c r="AN179" s="1">
        <f t="shared" si="93"/>
        <v>-12.79832550792243</v>
      </c>
      <c r="AO179" s="1">
        <f t="shared" si="93"/>
        <v>-12.09832550792243</v>
      </c>
      <c r="AP179" s="1">
        <f t="shared" si="93"/>
        <v>-7.2983255079224305</v>
      </c>
      <c r="AQ179" s="1">
        <f t="shared" si="92"/>
        <v>1.5312018030680026</v>
      </c>
      <c r="AR179" s="1">
        <f t="shared" si="92"/>
        <v>-8.5983255079224303</v>
      </c>
      <c r="AS179" s="1">
        <f t="shared" si="92"/>
        <v>-5.8983255079224302</v>
      </c>
      <c r="AT179" s="1">
        <f t="shared" si="92"/>
        <v>-3.8916588412557633</v>
      </c>
      <c r="AU179" s="1">
        <f t="shared" si="100"/>
        <v>-8.818325507922431</v>
      </c>
      <c r="AV179" s="1">
        <f t="shared" si="100"/>
        <v>-7.3983255079224302</v>
      </c>
      <c r="AW179" s="1">
        <f>$J179+SUMPRODUCT(regions!BN178:BU178,regions!BN$204:BU$204)</f>
        <v>-4.8051080536483681</v>
      </c>
      <c r="AX179" s="1">
        <f t="shared" si="100"/>
        <v>-5.0783255079224308</v>
      </c>
      <c r="AY179" s="1">
        <f t="shared" si="100"/>
        <v>-4.2983255079224296</v>
      </c>
      <c r="AZ179" s="1">
        <f t="shared" si="100"/>
        <v>-4.2983255079224296</v>
      </c>
      <c r="BF179" s="1"/>
      <c r="BG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</row>
    <row r="180" spans="1:90" x14ac:dyDescent="0.35">
      <c r="A180" t="s">
        <v>194</v>
      </c>
      <c r="B180" s="19">
        <f>regions!B179</f>
        <v>44973330</v>
      </c>
      <c r="C180" s="19">
        <f>regions!C179</f>
        <v>19720449298.896339</v>
      </c>
      <c r="D180" s="8">
        <f>regions!D179</f>
        <v>438.4920862852793</v>
      </c>
      <c r="E180" s="8">
        <f>regions!E179</f>
        <v>0</v>
      </c>
      <c r="F180" s="8">
        <f>regions!F179</f>
        <v>29.90719393286545</v>
      </c>
      <c r="G180" s="1">
        <f>regions!Z179</f>
        <v>22.3</v>
      </c>
      <c r="J180" s="1">
        <f t="shared" si="106"/>
        <v>2.7977683123641803</v>
      </c>
      <c r="K180" s="1">
        <f t="shared" si="113"/>
        <v>-12.154977975660577</v>
      </c>
      <c r="L180" s="1">
        <f t="shared" si="95"/>
        <v>-14.1278003975461</v>
      </c>
      <c r="M180" s="1">
        <f t="shared" si="96"/>
        <v>22.822758536353902</v>
      </c>
      <c r="N180" s="1">
        <f t="shared" si="114"/>
        <v>-11.653709558348497</v>
      </c>
      <c r="O180" s="1">
        <f t="shared" si="114"/>
        <v>-14.057280485225876</v>
      </c>
      <c r="P180" s="1">
        <f t="shared" si="114"/>
        <v>-12.057280485225876</v>
      </c>
      <c r="Q180" s="1">
        <f t="shared" si="114"/>
        <v>-12.387280485225876</v>
      </c>
      <c r="R180" s="1">
        <f t="shared" si="114"/>
        <v>-14.657280485225876</v>
      </c>
      <c r="S180" s="1">
        <f>$J180+SUMPRODUCT(regions!EI179:EN179,regions!EI$204:EN$204)</f>
        <v>-7.463278989929087</v>
      </c>
      <c r="T180" s="1">
        <f>$J180+SUMPRODUCT(regions!EQ179:EV179,regions!EQ$204:EV$204)</f>
        <v>-6.9622910569443572</v>
      </c>
      <c r="U180" s="1">
        <f>$J180+SUMPRODUCT(regions!CM179:CU179,regions!CM$204:CU$204)</f>
        <v>-11.657862180254563</v>
      </c>
      <c r="V180" s="1">
        <f>$J180+SUMPRODUCT(regions!DH179:DM179,regions!DH$204:DM$204)</f>
        <v>-9.390722424472921</v>
      </c>
      <c r="W180" s="1">
        <f>$J180+SUMPRODUCT(regions!DP179:DW179,regions!DP$204:DW$204)</f>
        <v>-11.230279673863421</v>
      </c>
      <c r="X180" s="1">
        <f>$J180+SUMPRODUCT(regions!AB179:AE179,regions!AB$204:AE$204)</f>
        <v>-0.71874903585126138</v>
      </c>
      <c r="Y180" s="1">
        <f>$J180+SUMPRODUCT(regions!BX179:CJ179,regions!BX$204:CJ$204)</f>
        <v>-4.1542384755776833</v>
      </c>
      <c r="Z180" s="1">
        <f>$J180+SUMPRODUCT(regions!CX179:DF179,regions!CX$204:DF$204)</f>
        <v>-7.0578621802545634</v>
      </c>
      <c r="AA180" s="1">
        <f t="shared" si="107"/>
        <v>-6</v>
      </c>
      <c r="AB180" s="1">
        <f t="shared" si="108"/>
        <v>-11.210340037670965</v>
      </c>
      <c r="AC180" s="1">
        <f>$J180+SUMPRODUCT(regions!DZ179:EG179,regions!DZ$204:EG$204)</f>
        <v>-7.6311796738634214</v>
      </c>
      <c r="AD180" s="1">
        <f t="shared" si="115"/>
        <v>-12.047280485225876</v>
      </c>
      <c r="AE180" s="1">
        <f t="shared" si="115"/>
        <v>-13.557280485225876</v>
      </c>
      <c r="AF180" s="1">
        <f t="shared" si="109"/>
        <v>-134.30000000000001</v>
      </c>
      <c r="AG180" s="1">
        <f>$J180+SUMPRODUCT(regions!AX179:BK179,regions!AX$204:BK$204)</f>
        <v>-3.9923210286183473</v>
      </c>
      <c r="AH180" s="1">
        <f>$J180+SUMPRODUCT(regions!AG179:AV179,regions!AG$204:AV$204)</f>
        <v>-10.892321028618348</v>
      </c>
      <c r="AI180" s="1">
        <f t="shared" si="116"/>
        <v>-13.057280485225876</v>
      </c>
      <c r="AJ180" s="1">
        <f>SartoriRoson!C177</f>
        <v>-8.7899999999999991</v>
      </c>
      <c r="AK180" s="1">
        <f>Kompas!E177</f>
        <v>-6.9880000000000004</v>
      </c>
      <c r="AL180" s="1">
        <f>$J180+SUMPRODUCT(regions!EY179:FW179,regions!EY$204:FW$204)</f>
        <v>-4.4814462943337787</v>
      </c>
      <c r="AM180" s="1">
        <f>$J180+SUMPRODUCT(regions!FZ179:GF179,regions!FZ$204:GF$204)</f>
        <v>-1.3539103663562777</v>
      </c>
      <c r="AN180" s="1">
        <f t="shared" si="93"/>
        <v>-20.257280485225877</v>
      </c>
      <c r="AO180" s="1">
        <f t="shared" si="93"/>
        <v>-19.557280485225874</v>
      </c>
      <c r="AP180" s="1">
        <f t="shared" si="93"/>
        <v>-14.757280485225877</v>
      </c>
      <c r="AQ180" s="1">
        <f t="shared" si="92"/>
        <v>-5.9277531742354421</v>
      </c>
      <c r="AR180" s="1">
        <f t="shared" si="92"/>
        <v>-16.057280485225874</v>
      </c>
      <c r="AS180" s="1">
        <f t="shared" si="92"/>
        <v>-13.357280485225875</v>
      </c>
      <c r="AT180" s="1">
        <f t="shared" si="92"/>
        <v>-11.350613818559209</v>
      </c>
      <c r="AU180" s="1">
        <f t="shared" si="100"/>
        <v>-16.277280485225877</v>
      </c>
      <c r="AV180" s="1">
        <f t="shared" si="100"/>
        <v>-14.857280485225875</v>
      </c>
      <c r="AW180" s="1">
        <f>$J180+SUMPRODUCT(regions!BN179:BU179,regions!BN$204:BU$204)</f>
        <v>-10.8388856975451</v>
      </c>
      <c r="AX180" s="1">
        <f t="shared" si="100"/>
        <v>-12.537280485225876</v>
      </c>
      <c r="AY180" s="1">
        <f t="shared" si="100"/>
        <v>-11.757280485225877</v>
      </c>
      <c r="AZ180" s="1">
        <f t="shared" si="100"/>
        <v>-11.757280485225877</v>
      </c>
      <c r="BB180" t="str">
        <f>Maddison!A79</f>
        <v>Tanzania</v>
      </c>
      <c r="BC180">
        <f>-Maddison!B79</f>
        <v>-6</v>
      </c>
      <c r="BD180" s="1">
        <f>K180-BC180</f>
        <v>-6.1549779756605769</v>
      </c>
      <c r="BF180" s="1"/>
      <c r="BG180" s="1"/>
      <c r="BJ180" t="str">
        <f>MaddisonRehdanz!A73</f>
        <v>Tanzania</v>
      </c>
      <c r="BK180">
        <f>MaddisonRehdanz!D73</f>
        <v>-134.30000000000001</v>
      </c>
      <c r="BL180" s="1">
        <f>$K180-BK180</f>
        <v>122.14502202433944</v>
      </c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</row>
    <row r="181" spans="1:90" x14ac:dyDescent="0.35">
      <c r="A181" t="s">
        <v>195</v>
      </c>
      <c r="B181" s="19">
        <f>regions!B180</f>
        <v>66402316</v>
      </c>
      <c r="C181" s="19">
        <f>regions!C180</f>
        <v>210090542914.01364</v>
      </c>
      <c r="D181" s="8">
        <f>regions!D180</f>
        <v>3163.9038450709104</v>
      </c>
      <c r="E181" s="8">
        <f>regions!E180</f>
        <v>14.932639264569861</v>
      </c>
      <c r="F181" s="8">
        <f>regions!F180</f>
        <v>10.525167533281133</v>
      </c>
      <c r="G181" s="1">
        <f>regions!Z180</f>
        <v>26.3</v>
      </c>
      <c r="J181" s="1">
        <f t="shared" si="106"/>
        <v>4.9132978026493408</v>
      </c>
      <c r="K181" s="1">
        <f t="shared" si="113"/>
        <v>-10.039448485375416</v>
      </c>
      <c r="L181" s="1">
        <f t="shared" si="95"/>
        <v>-10.474653603515856</v>
      </c>
      <c r="M181" s="1">
        <f t="shared" si="96"/>
        <v>8.7946091522548446</v>
      </c>
      <c r="N181" s="1">
        <f t="shared" si="114"/>
        <v>-9.5381800680633368</v>
      </c>
      <c r="O181" s="1">
        <f t="shared" si="114"/>
        <v>-11.941750994940715</v>
      </c>
      <c r="P181" s="1">
        <f t="shared" si="114"/>
        <v>-9.9417509949407155</v>
      </c>
      <c r="Q181" s="1">
        <f t="shared" si="114"/>
        <v>-10.271750994940716</v>
      </c>
      <c r="R181" s="1">
        <f t="shared" si="114"/>
        <v>-12.541750994940715</v>
      </c>
      <c r="S181" s="1">
        <f>$J181+SUMPRODUCT(regions!EI180:EN180,regions!EI$204:EN$204)</f>
        <v>-5.3477494996439265</v>
      </c>
      <c r="T181" s="1">
        <f>$J181+SUMPRODUCT(regions!EQ180:EV180,regions!EQ$204:EV$204)</f>
        <v>-4.8467615666591968</v>
      </c>
      <c r="U181" s="1">
        <f>$J181+SUMPRODUCT(regions!CM180:CU180,regions!CM$204:CU$204)</f>
        <v>-10.884708069688651</v>
      </c>
      <c r="V181" s="1">
        <f>$J181+SUMPRODUCT(regions!DH180:DM180,regions!DH$204:DM$204)</f>
        <v>-7.2751929341877606</v>
      </c>
      <c r="W181" s="1">
        <f>$J181+SUMPRODUCT(regions!DP180:DW180,regions!DP$204:DW$204)</f>
        <v>-11.059258235438351</v>
      </c>
      <c r="X181" s="1">
        <f>$J181+SUMPRODUCT(regions!AB180:AE180,regions!AB$204:AE$204)</f>
        <v>-4.2251073546906586</v>
      </c>
      <c r="Y181" s="1">
        <f>$J181+SUMPRODUCT(regions!BX180:CJ180,regions!BX$204:CJ$204)</f>
        <v>-5.6339743113104692</v>
      </c>
      <c r="Z181" s="1">
        <f>$J181+SUMPRODUCT(regions!CX180:DF180,regions!CX$204:DF$204)</f>
        <v>-3.9847080696886525</v>
      </c>
      <c r="AA181" s="1">
        <f t="shared" si="107"/>
        <v>-2.7</v>
      </c>
      <c r="AB181" s="1">
        <f t="shared" si="108"/>
        <v>-9.094810547385805</v>
      </c>
      <c r="AC181" s="1">
        <f>$J181+SUMPRODUCT(regions!DZ180:EG180,regions!DZ$204:EG$204)</f>
        <v>-5.5542582354383523</v>
      </c>
      <c r="AD181" s="1">
        <f t="shared" si="115"/>
        <v>-9.9317509949407157</v>
      </c>
      <c r="AE181" s="1">
        <f t="shared" si="115"/>
        <v>-11.441750994940715</v>
      </c>
      <c r="AF181" s="1">
        <f t="shared" si="109"/>
        <v>-47.8</v>
      </c>
      <c r="AG181" s="1">
        <f>$J181+SUMPRODUCT(regions!AX180:BK180,regions!AX$204:BK$204)</f>
        <v>-3.9832085740580521</v>
      </c>
      <c r="AH181" s="1">
        <f>$J181+SUMPRODUCT(regions!AG180:AV180,regions!AG$204:AV$204)</f>
        <v>-9.4915109616733115</v>
      </c>
      <c r="AI181" s="1">
        <f t="shared" si="116"/>
        <v>-10.941750994940715</v>
      </c>
      <c r="AJ181" s="1">
        <f>SartoriRoson!C178</f>
        <v>-9.1300000000000008</v>
      </c>
      <c r="AK181" s="1">
        <f>Kompas!E178</f>
        <v>-9.2430000000000003</v>
      </c>
      <c r="AL181" s="1">
        <f>$J181+SUMPRODUCT(regions!EY180:FW180,regions!EY$204:FW$204)</f>
        <v>-3.6523768251904105</v>
      </c>
      <c r="AM181" s="1">
        <f>$J181+SUMPRODUCT(regions!FZ180:GF180,regions!FZ$204:GF$204)</f>
        <v>-4.0534369900577776</v>
      </c>
      <c r="AN181" s="1">
        <f t="shared" si="93"/>
        <v>-18.141750994940715</v>
      </c>
      <c r="AO181" s="1">
        <f t="shared" si="93"/>
        <v>-17.441750994940715</v>
      </c>
      <c r="AP181" s="1">
        <f t="shared" si="93"/>
        <v>-12.641750994940715</v>
      </c>
      <c r="AQ181" s="1">
        <f t="shared" si="92"/>
        <v>-3.8122236839502808</v>
      </c>
      <c r="AR181" s="1">
        <f t="shared" si="92"/>
        <v>-13.941750994940715</v>
      </c>
      <c r="AS181" s="1">
        <f t="shared" si="92"/>
        <v>-11.241750994940716</v>
      </c>
      <c r="AT181" s="1">
        <f t="shared" si="92"/>
        <v>-9.2350843282740485</v>
      </c>
      <c r="AU181" s="1">
        <f t="shared" si="100"/>
        <v>-14.161750994940714</v>
      </c>
      <c r="AV181" s="1">
        <f t="shared" si="100"/>
        <v>-12.741750994940716</v>
      </c>
      <c r="AW181" s="1">
        <f>$J181+SUMPRODUCT(regions!BN180:BU180,regions!BN$204:BU$204)</f>
        <v>-6.9914908075665583</v>
      </c>
      <c r="AX181" s="1">
        <f t="shared" si="100"/>
        <v>-10.421750994940716</v>
      </c>
      <c r="AY181" s="1">
        <f t="shared" si="100"/>
        <v>-9.6417509949407147</v>
      </c>
      <c r="AZ181" s="1">
        <f t="shared" si="100"/>
        <v>-9.6417509949407147</v>
      </c>
      <c r="BB181" t="str">
        <f>Maddison!A80</f>
        <v>Thailand</v>
      </c>
      <c r="BC181">
        <f>-Maddison!B80</f>
        <v>-2.7</v>
      </c>
      <c r="BD181" s="1">
        <f>K181-BC181</f>
        <v>-7.3394484853754163</v>
      </c>
      <c r="BF181" s="1"/>
      <c r="BG181" s="1"/>
      <c r="BJ181" t="str">
        <f>MaddisonRehdanz!A74</f>
        <v>Thailand</v>
      </c>
      <c r="BK181">
        <f>MaddisonRehdanz!D74</f>
        <v>-47.8</v>
      </c>
      <c r="BL181" s="1">
        <f>$K181-BK181</f>
        <v>37.760551514624581</v>
      </c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</row>
    <row r="182" spans="1:90" x14ac:dyDescent="0.35">
      <c r="A182" t="s">
        <v>411</v>
      </c>
      <c r="B182" s="19">
        <f>regions!B181</f>
        <v>1142502</v>
      </c>
      <c r="C182" s="19">
        <f>regions!C181</f>
        <v>732847298.62475431</v>
      </c>
      <c r="D182" s="8">
        <f>regions!D181</f>
        <v>641.4407139985351</v>
      </c>
      <c r="E182" s="8">
        <f>regions!E181</f>
        <v>24.298474862937063</v>
      </c>
      <c r="F182" s="8">
        <f>regions!F181</f>
        <v>5.6553817112989453</v>
      </c>
      <c r="G182" s="1">
        <f>regions!Z181</f>
        <v>25.8</v>
      </c>
      <c r="J182" s="1">
        <f t="shared" si="106"/>
        <v>2.189560084742542</v>
      </c>
      <c r="K182" s="1">
        <f t="shared" si="113"/>
        <v>-12.763186203282215</v>
      </c>
      <c r="L182" s="1">
        <f t="shared" si="95"/>
        <v>-12.848487800816564</v>
      </c>
      <c r="M182" s="1">
        <f t="shared" si="96"/>
        <v>8.2959795010856112</v>
      </c>
      <c r="N182" s="1">
        <f t="shared" si="114"/>
        <v>-12.261917785970136</v>
      </c>
      <c r="O182" s="1">
        <f t="shared" si="114"/>
        <v>-14.665488712847514</v>
      </c>
      <c r="P182" s="1">
        <f t="shared" si="114"/>
        <v>-12.665488712847514</v>
      </c>
      <c r="Q182" s="1">
        <f t="shared" si="114"/>
        <v>-12.995488712847514</v>
      </c>
      <c r="R182" s="1">
        <f t="shared" si="114"/>
        <v>-15.265488712847514</v>
      </c>
      <c r="S182" s="1">
        <f>$J182+SUMPRODUCT(regions!EI181:EN181,regions!EI$204:EN$204)</f>
        <v>-8.0714872175507253</v>
      </c>
      <c r="T182" s="1">
        <f>$J182+SUMPRODUCT(regions!EQ181:EV181,regions!EQ$204:EV$204)</f>
        <v>-7.5704992845659955</v>
      </c>
      <c r="U182" s="1">
        <f>$J182+SUMPRODUCT(regions!CM181:CU181,regions!CM$204:CU$204)</f>
        <v>-13.60844578759545</v>
      </c>
      <c r="V182" s="1">
        <f>$J182+SUMPRODUCT(regions!DH181:DM181,regions!DH$204:DM$204)</f>
        <v>-9.9989306520945593</v>
      </c>
      <c r="W182" s="1">
        <f>$J182+SUMPRODUCT(regions!DP181:DW181,regions!DP$204:DW$204)</f>
        <v>-13.78299595334515</v>
      </c>
      <c r="X182" s="1">
        <f>$J182+SUMPRODUCT(regions!AB181:AE181,regions!AB$204:AE$204)</f>
        <v>-1.3269572634728997</v>
      </c>
      <c r="Y182" s="1">
        <f>$J182+SUMPRODUCT(regions!BX181:CJ181,regions!BX$204:CJ$204)</f>
        <v>-5.1149811201298085</v>
      </c>
      <c r="Z182" s="1">
        <f>$J182+SUMPRODUCT(regions!CX181:DF181,regions!CX$204:DF$204)</f>
        <v>-6.7084457875954513</v>
      </c>
      <c r="AA182" s="1">
        <f t="shared" si="107"/>
        <v>-10.258487913608016</v>
      </c>
      <c r="AB182" s="1">
        <f t="shared" si="108"/>
        <v>-11.818548265292604</v>
      </c>
      <c r="AC182" s="1">
        <f>$J182+SUMPRODUCT(regions!DZ181:EG181,regions!DZ$204:EG$204)</f>
        <v>-8.277995953345151</v>
      </c>
      <c r="AD182" s="1">
        <f t="shared" si="115"/>
        <v>-12.655488712847514</v>
      </c>
      <c r="AE182" s="1">
        <f t="shared" si="115"/>
        <v>-14.165488712847514</v>
      </c>
      <c r="AF182" s="1">
        <f t="shared" si="109"/>
        <v>-40.286430947952887</v>
      </c>
      <c r="AG182" s="1">
        <f>$J182+SUMPRODUCT(regions!AX181:BK181,regions!AX$204:BK$204)</f>
        <v>-6.7069462919648508</v>
      </c>
      <c r="AH182" s="1">
        <f>$J182+SUMPRODUCT(regions!AG181:AV181,regions!AG$204:AV$204)</f>
        <v>-12.21524867958011</v>
      </c>
      <c r="AI182" s="1">
        <f t="shared" si="116"/>
        <v>-13.665488712847514</v>
      </c>
      <c r="AJ182" s="1">
        <f>SartoriRoson!C179</f>
        <v>-9.83</v>
      </c>
      <c r="AK182" s="1">
        <f>Kompas!E179</f>
        <v>-12.923999999999999</v>
      </c>
      <c r="AL182" s="1">
        <f>$J182+SUMPRODUCT(regions!EY181:FW181,regions!EY$204:FW$204)</f>
        <v>-8.0635279677380254</v>
      </c>
      <c r="AM182" s="1">
        <f>$J182+SUMPRODUCT(regions!FZ181:GF181,regions!FZ$204:GF$204)</f>
        <v>-6.7771747079645763</v>
      </c>
      <c r="AN182" s="1">
        <f t="shared" si="93"/>
        <v>-20.865488712847515</v>
      </c>
      <c r="AO182" s="1">
        <f t="shared" si="93"/>
        <v>-20.165488712847512</v>
      </c>
      <c r="AP182" s="1">
        <f t="shared" si="93"/>
        <v>-15.365488712847515</v>
      </c>
      <c r="AQ182" s="1">
        <f t="shared" si="92"/>
        <v>-6.5359614018570804</v>
      </c>
      <c r="AR182" s="1">
        <f t="shared" si="92"/>
        <v>-16.665488712847512</v>
      </c>
      <c r="AS182" s="1">
        <f t="shared" si="92"/>
        <v>-13.965488712847513</v>
      </c>
      <c r="AT182" s="1">
        <f t="shared" si="92"/>
        <v>-11.958822046180847</v>
      </c>
      <c r="AU182" s="1">
        <f t="shared" si="100"/>
        <v>-16.885488712847515</v>
      </c>
      <c r="AV182" s="1">
        <f t="shared" si="100"/>
        <v>-15.465488712847513</v>
      </c>
      <c r="AW182" s="1">
        <f>$J182+SUMPRODUCT(regions!BN181:BU181,regions!BN$204:BU$204)</f>
        <v>-9.715228525473357</v>
      </c>
      <c r="AX182" s="1">
        <f t="shared" si="100"/>
        <v>-13.145488712847515</v>
      </c>
      <c r="AY182" s="1">
        <f t="shared" si="100"/>
        <v>-12.365488712847513</v>
      </c>
      <c r="AZ182" s="1">
        <f t="shared" si="100"/>
        <v>-12.365488712847513</v>
      </c>
      <c r="BF182" s="1"/>
      <c r="BG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</row>
    <row r="183" spans="1:90" x14ac:dyDescent="0.35">
      <c r="A183" t="s">
        <v>412</v>
      </c>
      <c r="B183" s="19">
        <f>regions!B182</f>
        <v>6306014</v>
      </c>
      <c r="C183" s="19">
        <f>regions!C182</f>
        <v>2477349486.2692142</v>
      </c>
      <c r="D183" s="8">
        <f>regions!D182</f>
        <v>392.85505650149429</v>
      </c>
      <c r="E183" s="8">
        <f>regions!E182</f>
        <v>15.703212842931569</v>
      </c>
      <c r="F183" s="8">
        <f>regions!F182</f>
        <v>31.032445066360715</v>
      </c>
      <c r="G183" s="1">
        <f>regions!Z182</f>
        <v>27.1</v>
      </c>
      <c r="J183" s="1">
        <f t="shared" si="106"/>
        <v>0.81213541770967446</v>
      </c>
      <c r="K183" s="1">
        <f t="shared" si="113"/>
        <v>-14.140610870315083</v>
      </c>
      <c r="L183" s="1">
        <f t="shared" si="95"/>
        <v>-14.196046257181266</v>
      </c>
      <c r="M183" s="1">
        <f t="shared" si="96"/>
        <v>8.9958390230127865</v>
      </c>
      <c r="N183" s="1">
        <f t="shared" si="114"/>
        <v>-13.639342453003003</v>
      </c>
      <c r="O183" s="1">
        <f t="shared" si="114"/>
        <v>-16.042913379880382</v>
      </c>
      <c r="P183" s="1">
        <f t="shared" si="114"/>
        <v>-14.042913379880382</v>
      </c>
      <c r="Q183" s="1">
        <f t="shared" si="114"/>
        <v>-14.372913379880382</v>
      </c>
      <c r="R183" s="1">
        <f t="shared" si="114"/>
        <v>-16.642913379880383</v>
      </c>
      <c r="S183" s="1">
        <f>$J183+SUMPRODUCT(regions!EI182:EN182,regions!EI$204:EN$204)</f>
        <v>-9.4489118845835929</v>
      </c>
      <c r="T183" s="1">
        <f>$J183+SUMPRODUCT(regions!EQ182:EV182,regions!EQ$204:EV$204)</f>
        <v>-8.9479239515988631</v>
      </c>
      <c r="U183" s="1">
        <f>$J183+SUMPRODUCT(regions!CM182:CU182,regions!CM$204:CU$204)</f>
        <v>-13.643495074909069</v>
      </c>
      <c r="V183" s="1">
        <f>$J183+SUMPRODUCT(regions!DH182:DM182,regions!DH$204:DM$204)</f>
        <v>-11.376355319127427</v>
      </c>
      <c r="W183" s="1">
        <f>$J183+SUMPRODUCT(regions!DP182:DW182,regions!DP$204:DW$204)</f>
        <v>-13.215912568517927</v>
      </c>
      <c r="X183" s="1">
        <f>$J183+SUMPRODUCT(regions!AB182:AE182,regions!AB$204:AE$204)</f>
        <v>-2.7043819305057673</v>
      </c>
      <c r="Y183" s="1">
        <f>$J183+SUMPRODUCT(regions!BX182:CJ182,regions!BX$204:CJ$204)</f>
        <v>-6.4924057871626761</v>
      </c>
      <c r="Z183" s="1">
        <f>$J183+SUMPRODUCT(regions!CX182:DF182,regions!CX$204:DF$204)</f>
        <v>-9.0434950749090692</v>
      </c>
      <c r="AA183" s="1">
        <f t="shared" si="107"/>
        <v>-11.635912580640884</v>
      </c>
      <c r="AB183" s="1">
        <f t="shared" si="108"/>
        <v>-13.195972932325471</v>
      </c>
      <c r="AC183" s="1">
        <f>$J183+SUMPRODUCT(regions!DZ182:EG182,regions!DZ$204:EG$204)</f>
        <v>-9.6168125685179273</v>
      </c>
      <c r="AD183" s="1">
        <f t="shared" si="115"/>
        <v>-14.032913379880382</v>
      </c>
      <c r="AE183" s="1">
        <f t="shared" si="115"/>
        <v>-15.542913379880382</v>
      </c>
      <c r="AF183" s="1">
        <f t="shared" si="109"/>
        <v>-41.663855614985749</v>
      </c>
      <c r="AG183" s="1">
        <f>$J183+SUMPRODUCT(regions!AX182:BK182,regions!AX$204:BK$204)</f>
        <v>-5.9779539232728531</v>
      </c>
      <c r="AH183" s="1">
        <f>$J183+SUMPRODUCT(regions!AG182:AV182,regions!AG$204:AV$204)</f>
        <v>-12.877953923272853</v>
      </c>
      <c r="AI183" s="1">
        <f t="shared" si="116"/>
        <v>-15.042913379880382</v>
      </c>
      <c r="AJ183" s="1">
        <f>SartoriRoson!C180</f>
        <v>-18.29</v>
      </c>
      <c r="AK183" s="1">
        <f>Kompas!E180</f>
        <v>-19.032</v>
      </c>
      <c r="AL183" s="1">
        <f>$J183+SUMPRODUCT(regions!EY182:FW182,regions!EY$204:FW$204)</f>
        <v>-6.4670791889882846</v>
      </c>
      <c r="AM183" s="1">
        <f>$J183+SUMPRODUCT(regions!FZ182:GF182,regions!FZ$204:GF$204)</f>
        <v>-3.3395432610107836</v>
      </c>
      <c r="AN183" s="1">
        <f t="shared" si="93"/>
        <v>-22.242913379880381</v>
      </c>
      <c r="AO183" s="1">
        <f t="shared" si="93"/>
        <v>-21.542913379880382</v>
      </c>
      <c r="AP183" s="1">
        <f t="shared" si="93"/>
        <v>-16.742913379880381</v>
      </c>
      <c r="AQ183" s="1">
        <f t="shared" si="92"/>
        <v>-7.913386068889948</v>
      </c>
      <c r="AR183" s="1">
        <f t="shared" si="92"/>
        <v>-18.042913379880382</v>
      </c>
      <c r="AS183" s="1">
        <f t="shared" si="92"/>
        <v>-15.342913379880383</v>
      </c>
      <c r="AT183" s="1">
        <f t="shared" si="92"/>
        <v>-13.336246713213715</v>
      </c>
      <c r="AU183" s="1">
        <f t="shared" si="100"/>
        <v>-18.262913379880381</v>
      </c>
      <c r="AV183" s="1">
        <f t="shared" si="100"/>
        <v>-16.842913379880383</v>
      </c>
      <c r="AW183" s="1">
        <f>$J183+SUMPRODUCT(regions!BN182:BU182,regions!BN$204:BU$204)</f>
        <v>-11.092653192506225</v>
      </c>
      <c r="AX183" s="1">
        <f t="shared" si="100"/>
        <v>-14.522913379880382</v>
      </c>
      <c r="AY183" s="1">
        <f t="shared" si="100"/>
        <v>-13.742913379880381</v>
      </c>
      <c r="AZ183" s="1">
        <f t="shared" si="100"/>
        <v>-13.742913379880381</v>
      </c>
      <c r="BF183" s="1"/>
      <c r="BG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</row>
    <row r="184" spans="1:90" x14ac:dyDescent="0.35">
      <c r="A184" t="s">
        <v>413</v>
      </c>
      <c r="B184" s="19">
        <f>regions!B183</f>
        <v>104098</v>
      </c>
      <c r="C184" s="19">
        <f>regions!C183</f>
        <v>268854242.96830958</v>
      </c>
      <c r="D184" s="8">
        <f>regions!D183</f>
        <v>2582.7032504784875</v>
      </c>
      <c r="E184" s="8">
        <f>regions!E183</f>
        <v>0</v>
      </c>
      <c r="F184" s="8">
        <f>regions!F183</f>
        <v>16.402413357653991</v>
      </c>
      <c r="G184" s="1">
        <f>regions!Z183</f>
        <v>25.2</v>
      </c>
      <c r="J184" s="1">
        <f t="shared" si="106"/>
        <v>4.9523428597080468</v>
      </c>
      <c r="K184" s="1">
        <f t="shared" si="113"/>
        <v>-10.00040342831671</v>
      </c>
      <c r="L184" s="1">
        <f t="shared" si="95"/>
        <v>-10.202851355046892</v>
      </c>
      <c r="M184" s="1">
        <f t="shared" si="96"/>
        <v>7.438325126327662</v>
      </c>
      <c r="N184" s="1">
        <f t="shared" si="114"/>
        <v>-9.4991350110046309</v>
      </c>
      <c r="O184" s="1">
        <f t="shared" si="114"/>
        <v>-11.902705937882009</v>
      </c>
      <c r="P184" s="1">
        <f t="shared" si="114"/>
        <v>-9.9027059378820095</v>
      </c>
      <c r="Q184" s="1">
        <f t="shared" si="114"/>
        <v>-10.23270593788201</v>
      </c>
      <c r="R184" s="1">
        <f t="shared" si="114"/>
        <v>-12.502705937882009</v>
      </c>
      <c r="S184" s="1">
        <f>$J184+SUMPRODUCT(regions!EI183:EN183,regions!EI$204:EN$204)</f>
        <v>-5.3087044425852206</v>
      </c>
      <c r="T184" s="1">
        <f>$J184+SUMPRODUCT(regions!EQ183:EV183,regions!EQ$204:EV$204)</f>
        <v>-4.8077165096004908</v>
      </c>
      <c r="U184" s="1">
        <f>$J184+SUMPRODUCT(regions!CM183:CU183,regions!CM$204:CU$204)</f>
        <v>-10.845663012629945</v>
      </c>
      <c r="V184" s="1">
        <f>$J184+SUMPRODUCT(regions!DH183:DM183,regions!DH$204:DM$204)</f>
        <v>-7.2361478771290546</v>
      </c>
      <c r="W184" s="1">
        <f>$J184+SUMPRODUCT(regions!DP183:DW183,regions!DP$204:DW$204)</f>
        <v>-11.020213178379645</v>
      </c>
      <c r="X184" s="1">
        <f>$J184+SUMPRODUCT(regions!AB183:AE183,regions!AB$204:AE$204)</f>
        <v>-4.1860622976319526</v>
      </c>
      <c r="Y184" s="1">
        <f>$J184+SUMPRODUCT(regions!BX183:CJ183,regions!BX$204:CJ$204)</f>
        <v>-5.5949292542517632</v>
      </c>
      <c r="Z184" s="1">
        <f>$J184+SUMPRODUCT(regions!CX183:DF183,regions!CX$204:DF$204)</f>
        <v>-3.9456630126299466</v>
      </c>
      <c r="AA184" s="1">
        <f t="shared" si="107"/>
        <v>-7.4957051386425118</v>
      </c>
      <c r="AB184" s="1">
        <f t="shared" si="108"/>
        <v>-9.055765490327099</v>
      </c>
      <c r="AC184" s="1">
        <f>$J184+SUMPRODUCT(regions!DZ183:EG183,regions!DZ$204:EG$204)</f>
        <v>-5.5152131783796463</v>
      </c>
      <c r="AD184" s="1">
        <f t="shared" si="115"/>
        <v>-9.8927059378820097</v>
      </c>
      <c r="AE184" s="1">
        <f t="shared" si="115"/>
        <v>-11.402705937882009</v>
      </c>
      <c r="AF184" s="1">
        <f t="shared" si="109"/>
        <v>-37.523648172987379</v>
      </c>
      <c r="AG184" s="1">
        <f>$J184+SUMPRODUCT(regions!AX183:BK183,regions!AX$204:BK$204)</f>
        <v>-3.9441635169993461</v>
      </c>
      <c r="AH184" s="1">
        <f>$J184+SUMPRODUCT(regions!AG183:AV183,regions!AG$204:AV$204)</f>
        <v>-11.698421841880275</v>
      </c>
      <c r="AI184" s="1">
        <f t="shared" si="116"/>
        <v>-10.902705937882009</v>
      </c>
      <c r="AJ184" s="1">
        <f>SartoriRoson!C181</f>
        <v>-2.02</v>
      </c>
      <c r="AK184" s="1">
        <f>Kompas!E181</f>
        <v>-5.1710000000000003</v>
      </c>
      <c r="AL184" s="1">
        <f>$J184+SUMPRODUCT(regions!EY183:FW183,regions!EY$204:FW$204)</f>
        <v>-5.3007451927725207</v>
      </c>
      <c r="AM184" s="1">
        <f>$J184+SUMPRODUCT(regions!FZ183:GF183,regions!FZ$204:GF$204)</f>
        <v>-5.7780931665343847</v>
      </c>
      <c r="AN184" s="1">
        <f t="shared" si="93"/>
        <v>-18.102705937882007</v>
      </c>
      <c r="AO184" s="1">
        <f t="shared" si="93"/>
        <v>-17.402705937882011</v>
      </c>
      <c r="AP184" s="1">
        <f t="shared" si="93"/>
        <v>-12.602705937882011</v>
      </c>
      <c r="AQ184" s="1">
        <f t="shared" si="92"/>
        <v>-3.7731786268915766</v>
      </c>
      <c r="AR184" s="1">
        <f t="shared" si="92"/>
        <v>-13.902705937882009</v>
      </c>
      <c r="AS184" s="1">
        <f t="shared" si="92"/>
        <v>-11.202705937882008</v>
      </c>
      <c r="AT184" s="1">
        <f t="shared" si="92"/>
        <v>-9.1960392712153425</v>
      </c>
      <c r="AU184" s="1">
        <f t="shared" si="100"/>
        <v>-14.12270593788201</v>
      </c>
      <c r="AV184" s="1">
        <f t="shared" si="100"/>
        <v>-12.702705937882008</v>
      </c>
      <c r="AW184" s="1">
        <f>$J184+SUMPRODUCT(regions!BN183:BU183,regions!BN$204:BU$204)</f>
        <v>-8.6843111502012338</v>
      </c>
      <c r="AX184" s="1">
        <f t="shared" si="100"/>
        <v>-10.38270593788201</v>
      </c>
      <c r="AY184" s="1">
        <f t="shared" si="100"/>
        <v>-9.6027059378820105</v>
      </c>
      <c r="AZ184" s="1">
        <f t="shared" si="100"/>
        <v>-9.6027059378820105</v>
      </c>
      <c r="BF184" s="1"/>
      <c r="BG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</row>
    <row r="185" spans="1:90" x14ac:dyDescent="0.35">
      <c r="A185" t="s">
        <v>196</v>
      </c>
      <c r="B185" s="19">
        <f>regions!B184</f>
        <v>1328095</v>
      </c>
      <c r="C185" s="19">
        <f>regions!C184</f>
        <v>18988955441.46624</v>
      </c>
      <c r="D185" s="8">
        <f>regions!D184</f>
        <v>14297.889414135465</v>
      </c>
      <c r="E185" s="8">
        <f>regions!E184</f>
        <v>26.244018461364217</v>
      </c>
      <c r="F185" s="8">
        <f>regions!F184</f>
        <v>0.52014610527507998</v>
      </c>
      <c r="G185" s="1">
        <f>regions!Z184</f>
        <v>25.7</v>
      </c>
      <c r="J185" s="1">
        <f t="shared" si="106"/>
        <v>7.8865441117919808</v>
      </c>
      <c r="K185" s="1">
        <f t="shared" si="113"/>
        <v>-7.0662021762327765</v>
      </c>
      <c r="L185" s="1">
        <f t="shared" si="95"/>
        <v>-6.5349192994913494</v>
      </c>
      <c r="M185" s="1">
        <f t="shared" si="96"/>
        <v>4.6810940599919419</v>
      </c>
      <c r="N185" s="1">
        <f t="shared" si="114"/>
        <v>-6.5649337589206969</v>
      </c>
      <c r="O185" s="1">
        <f t="shared" si="114"/>
        <v>-8.9685046857980755</v>
      </c>
      <c r="P185" s="1">
        <f t="shared" si="114"/>
        <v>-6.9685046857980755</v>
      </c>
      <c r="Q185" s="1">
        <f t="shared" si="114"/>
        <v>-7.2985046857980755</v>
      </c>
      <c r="R185" s="1">
        <f t="shared" si="114"/>
        <v>-9.5685046857980751</v>
      </c>
      <c r="S185" s="1">
        <f>$J185+SUMPRODUCT(regions!EI184:EN184,regions!EI$204:EN$204)</f>
        <v>-2.3745031905012866</v>
      </c>
      <c r="T185" s="1">
        <f>$J185+SUMPRODUCT(regions!EQ184:EV184,regions!EQ$204:EV$204)</f>
        <v>-1.8735152575165568</v>
      </c>
      <c r="U185" s="1">
        <f>$J185+SUMPRODUCT(regions!CM184:CU184,regions!CM$204:CU$204)</f>
        <v>-4.2083933660578978</v>
      </c>
      <c r="V185" s="1">
        <f>$J185+SUMPRODUCT(regions!DH184:DM184,regions!DH$204:DM$204)</f>
        <v>-4.3019466250451206</v>
      </c>
      <c r="W185" s="1">
        <f>$J185+SUMPRODUCT(regions!DP184:DW184,regions!DP$204:DW$204)</f>
        <v>-4.1983933660578963</v>
      </c>
      <c r="X185" s="1">
        <f>$J185+SUMPRODUCT(regions!AB184:AE184,regions!AB$204:AE$204)</f>
        <v>-2.0670946741873166</v>
      </c>
      <c r="Y185" s="1">
        <f>$J185+SUMPRODUCT(regions!BX184:CJ184,regions!BX$204:CJ$204)</f>
        <v>-4.4987786374382566</v>
      </c>
      <c r="Z185" s="1">
        <f>$J185+SUMPRODUCT(regions!CX184:DF184,regions!CX$204:DF$204)</f>
        <v>-8.3933660578967562E-3</v>
      </c>
      <c r="AA185" s="1">
        <f t="shared" si="107"/>
        <v>-1.5</v>
      </c>
      <c r="AB185" s="1">
        <f t="shared" si="108"/>
        <v>-6.1215642382431641</v>
      </c>
      <c r="AC185" s="1">
        <f>$J185+SUMPRODUCT(regions!DZ184:EG184,regions!DZ$204:EG$204)</f>
        <v>-2.1592933660578968</v>
      </c>
      <c r="AD185" s="1">
        <f t="shared" si="115"/>
        <v>-6.9585046857980757</v>
      </c>
      <c r="AE185" s="1">
        <f t="shared" si="115"/>
        <v>-8.4685046857980755</v>
      </c>
      <c r="AF185" s="1">
        <f t="shared" si="109"/>
        <v>-10.7</v>
      </c>
      <c r="AG185" s="1">
        <f>$J185+SUMPRODUCT(regions!AX184:BK184,regions!AX$204:BK$204)</f>
        <v>-0.59760703152994488</v>
      </c>
      <c r="AH185" s="1">
        <f>$J185+SUMPRODUCT(regions!AG184:AV184,regions!AG$204:AV$204)</f>
        <v>-8.7642205897963414</v>
      </c>
      <c r="AI185" s="1">
        <f t="shared" si="116"/>
        <v>-7.9685046857980755</v>
      </c>
      <c r="AJ185" s="1">
        <f>SartoriRoson!C182</f>
        <v>-4.88</v>
      </c>
      <c r="AK185" s="1">
        <f>Kompas!E182</f>
        <v>-7.3570000000000002</v>
      </c>
      <c r="AL185" s="1">
        <f>$J185+SUMPRODUCT(regions!EY184:FW184,regions!EY$204:FW$204)</f>
        <v>-1.431355809542822</v>
      </c>
      <c r="AM185" s="1">
        <f>$J185+SUMPRODUCT(regions!FZ184:GF184,regions!FZ$204:GF$204)</f>
        <v>2.0253281075747989</v>
      </c>
      <c r="AN185" s="1">
        <f t="shared" si="93"/>
        <v>-15.168504685798075</v>
      </c>
      <c r="AO185" s="1">
        <f t="shared" si="93"/>
        <v>-14.468504685798075</v>
      </c>
      <c r="AP185" s="1">
        <f t="shared" si="93"/>
        <v>-9.6685046857980765</v>
      </c>
      <c r="AQ185" s="1">
        <f t="shared" si="92"/>
        <v>-0.83897737480764256</v>
      </c>
      <c r="AR185" s="1">
        <f t="shared" si="92"/>
        <v>-10.968504685798075</v>
      </c>
      <c r="AS185" s="1">
        <f t="shared" si="92"/>
        <v>-8.2685046857980744</v>
      </c>
      <c r="AT185" s="1">
        <f t="shared" si="92"/>
        <v>-6.2618380191314085</v>
      </c>
      <c r="AU185" s="1">
        <f t="shared" si="100"/>
        <v>-11.188504685798076</v>
      </c>
      <c r="AV185" s="1">
        <f t="shared" si="100"/>
        <v>-9.7685046857980744</v>
      </c>
      <c r="AW185" s="1">
        <f>$J185+SUMPRODUCT(regions!BN184:BU184,regions!BN$204:BU$204)</f>
        <v>-5.7501098981172998</v>
      </c>
      <c r="AX185" s="1">
        <f t="shared" si="100"/>
        <v>-7.4485046857980759</v>
      </c>
      <c r="AY185" s="1">
        <f t="shared" si="100"/>
        <v>-6.6685046857980756</v>
      </c>
      <c r="AZ185" s="1">
        <f t="shared" si="100"/>
        <v>-6.6685046857980756</v>
      </c>
      <c r="BB185" t="str">
        <f>Maddison!A81</f>
        <v>Trinidad and Tobago</v>
      </c>
      <c r="BC185">
        <f>-Maddison!B81</f>
        <v>-1.5</v>
      </c>
      <c r="BD185" s="1">
        <f>K185-BC185</f>
        <v>-5.5662021762327765</v>
      </c>
      <c r="BF185" s="1"/>
      <c r="BG185" s="1"/>
      <c r="BJ185" t="str">
        <f>MaddisonRehdanz!A75</f>
        <v>Trinidad and Tobago</v>
      </c>
      <c r="BK185">
        <f>MaddisonRehdanz!D75</f>
        <v>-10.7</v>
      </c>
      <c r="BL185" s="1">
        <f>$K185-BK185</f>
        <v>3.6337978237672228</v>
      </c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</row>
    <row r="186" spans="1:90" x14ac:dyDescent="0.35">
      <c r="A186" t="s">
        <v>197</v>
      </c>
      <c r="B186" s="19">
        <f>regions!B185</f>
        <v>10549100</v>
      </c>
      <c r="C186" s="19">
        <f>regions!C185</f>
        <v>40735443534.70594</v>
      </c>
      <c r="D186" s="8">
        <f>regions!D185</f>
        <v>3861.5088997834828</v>
      </c>
      <c r="E186" s="8">
        <f>regions!E185</f>
        <v>20.139086028752903</v>
      </c>
      <c r="F186" s="8">
        <f>regions!F185</f>
        <v>7.5345930901045923</v>
      </c>
      <c r="G186" s="1">
        <f>regions!Z185</f>
        <v>19.2</v>
      </c>
      <c r="J186" s="1">
        <f t="shared" si="106"/>
        <v>7.9172755190525583</v>
      </c>
      <c r="K186" s="1">
        <f t="shared" si="113"/>
        <v>-7.0354707689721989</v>
      </c>
      <c r="L186" s="1">
        <f t="shared" si="95"/>
        <v>-7.1071103028473708</v>
      </c>
      <c r="M186" s="1">
        <f t="shared" si="96"/>
        <v>6.9688408237406447</v>
      </c>
      <c r="N186" s="1">
        <f t="shared" si="114"/>
        <v>-6.5342023516601184</v>
      </c>
      <c r="O186" s="1">
        <f t="shared" si="114"/>
        <v>-8.9377732785374988</v>
      </c>
      <c r="P186" s="1">
        <f t="shared" si="114"/>
        <v>-6.9377732785374979</v>
      </c>
      <c r="Q186" s="1">
        <f t="shared" si="114"/>
        <v>-7.267773278537498</v>
      </c>
      <c r="R186" s="1">
        <f t="shared" si="114"/>
        <v>-9.5377732785374985</v>
      </c>
      <c r="S186" s="1">
        <f>$J186+SUMPRODUCT(regions!EI185:EN185,regions!EI$204:EN$204)</f>
        <v>-2.343771783240709</v>
      </c>
      <c r="T186" s="1">
        <f>$J186+SUMPRODUCT(regions!EQ185:EV185,regions!EQ$204:EV$204)</f>
        <v>-1.8427838502559792</v>
      </c>
      <c r="U186" s="1">
        <f>$J186+SUMPRODUCT(regions!CM185:CU185,regions!CM$204:CU$204)</f>
        <v>-6.538354973566185</v>
      </c>
      <c r="V186" s="1">
        <f>$J186+SUMPRODUCT(regions!DH185:DM185,regions!DH$204:DM$204)</f>
        <v>-4.2712152177845431</v>
      </c>
      <c r="W186" s="1">
        <f>$J186+SUMPRODUCT(regions!DP185:DW185,regions!DP$204:DW$204)</f>
        <v>-6.1107724671750434</v>
      </c>
      <c r="X186" s="1">
        <f>$J186+SUMPRODUCT(regions!AB185:AE185,regions!AB$204:AE$204)</f>
        <v>-2.0363632669267391</v>
      </c>
      <c r="Y186" s="1">
        <f>$J186+SUMPRODUCT(regions!BX185:CJ185,regions!BX$204:CJ$204)</f>
        <v>-2.6299965949072517</v>
      </c>
      <c r="Z186" s="1">
        <f>$J186+SUMPRODUCT(regions!CX185:DF185,regions!CX$204:DF$204)</f>
        <v>-1.9383549735661854</v>
      </c>
      <c r="AA186" s="1">
        <f t="shared" si="107"/>
        <v>-0.6</v>
      </c>
      <c r="AB186" s="1">
        <f t="shared" si="108"/>
        <v>-6.0908328309825865</v>
      </c>
      <c r="AC186" s="1">
        <f>$J186+SUMPRODUCT(regions!DZ185:EG185,regions!DZ$204:EG$204)</f>
        <v>-2.5116724671750434</v>
      </c>
      <c r="AD186" s="1">
        <f t="shared" si="115"/>
        <v>-6.9277732785374981</v>
      </c>
      <c r="AE186" s="1">
        <f t="shared" si="115"/>
        <v>-8.4377732785374988</v>
      </c>
      <c r="AF186" s="1">
        <f t="shared" si="109"/>
        <v>-34.558715513642866</v>
      </c>
      <c r="AG186" s="1">
        <f>$J186+SUMPRODUCT(regions!AX185:BK185,regions!AX$204:BK$204)</f>
        <v>-1.8667418770428013</v>
      </c>
      <c r="AH186" s="1">
        <f>$J186+SUMPRODUCT(regions!AG185:AV185,regions!AG$204:AV$204)</f>
        <v>-11.648692000075265</v>
      </c>
      <c r="AI186" s="1">
        <f t="shared" si="116"/>
        <v>-7.9377732785374979</v>
      </c>
      <c r="AJ186" s="1">
        <f>SartoriRoson!C183</f>
        <v>-3.13</v>
      </c>
      <c r="AK186" s="1">
        <f>Kompas!E183</f>
        <v>-3.052</v>
      </c>
      <c r="AL186" s="1">
        <f>$J186+SUMPRODUCT(regions!EY185:FW185,regions!EY$204:FW$204)</f>
        <v>-2.3047345174988125</v>
      </c>
      <c r="AM186" s="1">
        <f>$J186+SUMPRODUCT(regions!FZ185:GF185,regions!FZ$204:GF$204)</f>
        <v>3.7655968403321003</v>
      </c>
      <c r="AN186" s="1">
        <f t="shared" si="93"/>
        <v>-15.137773278537498</v>
      </c>
      <c r="AO186" s="1">
        <f t="shared" si="93"/>
        <v>-14.437773278537499</v>
      </c>
      <c r="AP186" s="1">
        <f t="shared" si="93"/>
        <v>-9.6377732785374981</v>
      </c>
      <c r="AQ186" s="1">
        <f t="shared" si="92"/>
        <v>-0.80824596754706413</v>
      </c>
      <c r="AR186" s="1">
        <f t="shared" si="92"/>
        <v>-10.937773278537499</v>
      </c>
      <c r="AS186" s="1">
        <f t="shared" si="92"/>
        <v>-8.2377732785374977</v>
      </c>
      <c r="AT186" s="1">
        <f t="shared" si="92"/>
        <v>-6.2311066118708309</v>
      </c>
      <c r="AU186" s="1">
        <f t="shared" si="100"/>
        <v>-11.157773278537498</v>
      </c>
      <c r="AV186" s="1">
        <f t="shared" si="100"/>
        <v>-9.7377732785374977</v>
      </c>
      <c r="AW186" s="1">
        <f>$J186+SUMPRODUCT(regions!BN185:BU185,regions!BN$204:BU$204)</f>
        <v>-3.9875130911633407</v>
      </c>
      <c r="AX186" s="1">
        <f t="shared" si="100"/>
        <v>-7.4177732785374975</v>
      </c>
      <c r="AY186" s="1">
        <f t="shared" si="100"/>
        <v>-6.6377732785374981</v>
      </c>
      <c r="AZ186" s="1">
        <f t="shared" si="100"/>
        <v>-6.6377732785374981</v>
      </c>
      <c r="BB186" t="str">
        <f>Maddison!A82</f>
        <v>Tunisia</v>
      </c>
      <c r="BC186">
        <f>-Maddison!B82</f>
        <v>-0.6</v>
      </c>
      <c r="BD186" s="1">
        <f>K186-BC186</f>
        <v>-6.4354707689721993</v>
      </c>
      <c r="BF186" s="1"/>
      <c r="BG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</row>
    <row r="187" spans="1:90" x14ac:dyDescent="0.35">
      <c r="A187" t="s">
        <v>198</v>
      </c>
      <c r="B187" s="19">
        <f>regions!B186</f>
        <v>72137546</v>
      </c>
      <c r="C187" s="19">
        <f>regions!C186</f>
        <v>565091528615.37659</v>
      </c>
      <c r="D187" s="8">
        <f>regions!D186</f>
        <v>7833.5285846205052</v>
      </c>
      <c r="E187" s="8">
        <f>regions!E186</f>
        <v>19.405369613572017</v>
      </c>
      <c r="F187" s="8">
        <f>regions!F186</f>
        <v>9.0260666669311451</v>
      </c>
      <c r="G187" s="1">
        <f>regions!Z186</f>
        <v>11.1</v>
      </c>
      <c r="J187" s="1">
        <f t="shared" si="106"/>
        <v>12.21960487624145</v>
      </c>
      <c r="K187" s="1">
        <f t="shared" si="113"/>
        <v>-2.7331414117833077</v>
      </c>
      <c r="L187" s="1">
        <f t="shared" si="95"/>
        <v>-2.6684996410294164</v>
      </c>
      <c r="M187" s="1">
        <f t="shared" si="96"/>
        <v>3.8353166705895245</v>
      </c>
      <c r="N187" s="1">
        <f t="shared" si="114"/>
        <v>-2.2318729944712281</v>
      </c>
      <c r="O187" s="1">
        <f t="shared" si="114"/>
        <v>-4.6354439213486067</v>
      </c>
      <c r="P187" s="1">
        <f t="shared" si="114"/>
        <v>-2.6354439213486067</v>
      </c>
      <c r="Q187" s="1">
        <f t="shared" si="114"/>
        <v>-2.9654439213486068</v>
      </c>
      <c r="R187" s="1">
        <f t="shared" si="114"/>
        <v>-5.2354439213486064</v>
      </c>
      <c r="S187" s="1">
        <f>$J187+SUMPRODUCT(regions!EI186:EN186,regions!EI$204:EN$204)</f>
        <v>1.9585575739481822</v>
      </c>
      <c r="T187" s="1">
        <f>$J187+SUMPRODUCT(regions!EQ186:EV186,regions!EQ$204:EV$204)</f>
        <v>2.459545506932912</v>
      </c>
      <c r="U187" s="1">
        <f>$J187+SUMPRODUCT(regions!CM186:CU186,regions!CM$204:CU$204)</f>
        <v>-1.4071416974656561</v>
      </c>
      <c r="V187" s="1">
        <f>$J187+SUMPRODUCT(regions!DH186:DM186,regions!DH$204:DM$204)</f>
        <v>3.1114139404348151E-2</v>
      </c>
      <c r="W187" s="1">
        <f>$J187+SUMPRODUCT(regions!DP186:DW186,regions!DP$204:DW$204)</f>
        <v>-1.8084431099861522</v>
      </c>
      <c r="X187" s="1">
        <f>$J187+SUMPRODUCT(regions!AB186:AE186,regions!AB$204:AE$204)</f>
        <v>2.2659660902621521</v>
      </c>
      <c r="Y187" s="1">
        <f>$J187+SUMPRODUCT(regions!BX186:CJ186,regions!BX$204:CJ$204)</f>
        <v>1.6723327622816395</v>
      </c>
      <c r="Z187" s="1">
        <f>$J187+SUMPRODUCT(regions!CX186:DF186,regions!CX$204:DF$204)</f>
        <v>3.7928583025343432</v>
      </c>
      <c r="AA187" s="1">
        <f t="shared" si="107"/>
        <v>0.2</v>
      </c>
      <c r="AB187" s="1">
        <f t="shared" si="108"/>
        <v>-6.3862663497797847</v>
      </c>
      <c r="AC187" s="1">
        <f>$J187+SUMPRODUCT(regions!DZ186:EG186,regions!DZ$204:EG$204)</f>
        <v>1.7906568900138478</v>
      </c>
      <c r="AD187" s="1">
        <f t="shared" si="115"/>
        <v>-2.6254439213486069</v>
      </c>
      <c r="AE187" s="1">
        <f t="shared" si="115"/>
        <v>-4.1354439213486067</v>
      </c>
      <c r="AF187" s="1">
        <f t="shared" si="109"/>
        <v>-2</v>
      </c>
      <c r="AG187" s="1">
        <f>$J187+SUMPRODUCT(regions!AX186:BK186,regions!AX$204:BK$204)</f>
        <v>2.0352407311260787</v>
      </c>
      <c r="AH187" s="1">
        <f>$J187+SUMPRODUCT(regions!AG186:AV186,regions!AG$204:AV$204)</f>
        <v>-7.3463626428863744</v>
      </c>
      <c r="AI187" s="1">
        <f t="shared" si="116"/>
        <v>-3.6354439213486067</v>
      </c>
      <c r="AJ187" s="1">
        <f>SartoriRoson!C184</f>
        <v>-0.83</v>
      </c>
      <c r="AK187" s="1">
        <f>Kompas!E184</f>
        <v>-1.54</v>
      </c>
      <c r="AL187" s="1">
        <f>$J187+SUMPRODUCT(regions!EY186:FW186,regions!EY$204:FW$204)</f>
        <v>-3.3615690638009923</v>
      </c>
      <c r="AM187" s="1">
        <f>$J187+SUMPRODUCT(regions!FZ186:GF186,regions!FZ$204:GF$204)</f>
        <v>3.2528700835343312</v>
      </c>
      <c r="AN187" s="1">
        <f t="shared" si="93"/>
        <v>-10.835443921348606</v>
      </c>
      <c r="AO187" s="1">
        <f t="shared" si="93"/>
        <v>-10.135443921348607</v>
      </c>
      <c r="AP187" s="1">
        <f t="shared" si="93"/>
        <v>-5.3354439213486078</v>
      </c>
      <c r="AQ187" s="1">
        <f t="shared" si="92"/>
        <v>3.494083389641828</v>
      </c>
      <c r="AR187" s="1">
        <f t="shared" si="92"/>
        <v>-6.6354439213486067</v>
      </c>
      <c r="AS187" s="1">
        <f t="shared" si="92"/>
        <v>-3.9354439213486057</v>
      </c>
      <c r="AT187" s="1">
        <f t="shared" si="92"/>
        <v>-1.9287772546819397</v>
      </c>
      <c r="AU187" s="1">
        <f t="shared" si="100"/>
        <v>-6.8554439213486065</v>
      </c>
      <c r="AV187" s="1">
        <f t="shared" si="100"/>
        <v>-5.4354439213486057</v>
      </c>
      <c r="AW187" s="1">
        <f>$J187+SUMPRODUCT(regions!BN186:BU186,regions!BN$204:BU$204)</f>
        <v>-1.417049133667831</v>
      </c>
      <c r="AX187" s="1">
        <f t="shared" si="100"/>
        <v>-3.1154439213486071</v>
      </c>
      <c r="AY187" s="1">
        <f t="shared" si="100"/>
        <v>-2.335443921348606</v>
      </c>
      <c r="AZ187" s="1">
        <f t="shared" si="100"/>
        <v>-2.335443921348606</v>
      </c>
      <c r="BB187" t="str">
        <f>Maddison!A83</f>
        <v>Turkey</v>
      </c>
      <c r="BC187">
        <f>-Maddison!B83</f>
        <v>0.2</v>
      </c>
      <c r="BD187" s="1">
        <f>K187-BC187</f>
        <v>-2.9331414117833079</v>
      </c>
      <c r="BE187" t="str">
        <f>RehdanzMaddison!P65</f>
        <v>Turkey</v>
      </c>
      <c r="BF187" s="1">
        <f>-100*RehdanzMaddison!U65</f>
        <v>-3.8081178459687921</v>
      </c>
      <c r="BG187" s="1">
        <f>-100*RehdanzMaddison!V65</f>
        <v>-6.3862663497797847</v>
      </c>
      <c r="BH187" s="1">
        <f>$K187-BF187</f>
        <v>1.0749764341854844</v>
      </c>
      <c r="BI187" s="1">
        <f>$K187-BG187</f>
        <v>3.653124937996477</v>
      </c>
      <c r="BJ187" t="str">
        <f>MaddisonRehdanz!A76</f>
        <v>Turkey</v>
      </c>
      <c r="BK187">
        <f>MaddisonRehdanz!D76</f>
        <v>-2</v>
      </c>
      <c r="BL187" s="1">
        <f>$K187-BK187</f>
        <v>-0.73314141178330772</v>
      </c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</row>
    <row r="188" spans="1:90" x14ac:dyDescent="0.35">
      <c r="A188" t="s">
        <v>414</v>
      </c>
      <c r="B188" s="19">
        <f>regions!B187</f>
        <v>5041995</v>
      </c>
      <c r="C188" s="19">
        <f>regions!C187</f>
        <v>13272686025.408352</v>
      </c>
      <c r="D188" s="8">
        <f>regions!D187</f>
        <v>2632.4274469546981</v>
      </c>
      <c r="E188" s="8">
        <f>regions!E187</f>
        <v>0</v>
      </c>
      <c r="F188" s="8">
        <f>regions!F187</f>
        <v>11.340542556166683</v>
      </c>
      <c r="G188" s="1">
        <f>regions!Z187</f>
        <v>15.1</v>
      </c>
      <c r="J188" s="1">
        <f t="shared" si="106"/>
        <v>8.7435774755044022</v>
      </c>
      <c r="K188" s="1">
        <f t="shared" si="113"/>
        <v>-6.209168812520355</v>
      </c>
      <c r="L188" s="1">
        <f t="shared" si="95"/>
        <v>-7.3586316008872608</v>
      </c>
      <c r="M188" s="1">
        <f t="shared" si="96"/>
        <v>6.3513006750658585</v>
      </c>
      <c r="N188" s="1">
        <f t="shared" si="114"/>
        <v>-5.7079003952082754</v>
      </c>
      <c r="O188" s="1">
        <f t="shared" si="114"/>
        <v>-8.111471322085654</v>
      </c>
      <c r="P188" s="1">
        <f t="shared" si="114"/>
        <v>-6.111471322085654</v>
      </c>
      <c r="Q188" s="1">
        <f t="shared" si="114"/>
        <v>-6.4414713220856541</v>
      </c>
      <c r="R188" s="1">
        <f t="shared" si="114"/>
        <v>-8.7114713220856537</v>
      </c>
      <c r="S188" s="1">
        <f>$J188+SUMPRODUCT(regions!EI187:EN187,regions!EI$204:EN$204)</f>
        <v>-8.1250740094979967</v>
      </c>
      <c r="T188" s="1">
        <f>$J188+SUMPRODUCT(regions!EQ187:EV187,regions!EQ$204:EV$204)</f>
        <v>-8.2250740094979982</v>
      </c>
      <c r="U188" s="1">
        <f>$J188+SUMPRODUCT(regions!CM187:CU187,regions!CM$204:CU$204)</f>
        <v>-5.912429353731687</v>
      </c>
      <c r="V188" s="1">
        <f>$J188+SUMPRODUCT(regions!DH187:DM187,regions!DH$204:DM$204)</f>
        <v>-8.2820740094979968</v>
      </c>
      <c r="W188" s="1">
        <f>$J188+SUMPRODUCT(regions!DP187:DW187,regions!DP$204:DW$204)</f>
        <v>-6.2124293537316877</v>
      </c>
      <c r="X188" s="1">
        <f>$J188+SUMPRODUCT(regions!AB187:AE187,regions!AB$204:AE$204)</f>
        <v>-0.39482768183559713</v>
      </c>
      <c r="Y188" s="1">
        <f>$J188+SUMPRODUCT(regions!BX187:CJ187,regions!BX$204:CJ$204)</f>
        <v>-1.8036946384554078</v>
      </c>
      <c r="Z188" s="1">
        <f>$J188+SUMPRODUCT(regions!CX187:DF187,regions!CX$204:DF$204)</f>
        <v>-4.2124293537316877</v>
      </c>
      <c r="AA188" s="1">
        <f t="shared" si="107"/>
        <v>-3.7044705228461567</v>
      </c>
      <c r="AB188" s="1">
        <f t="shared" si="108"/>
        <v>-5.2645308745307426</v>
      </c>
      <c r="AC188" s="1">
        <f>$J188+SUMPRODUCT(regions!DZ187:EG187,regions!DZ$204:EG$204)</f>
        <v>-5.7819293537316874</v>
      </c>
      <c r="AD188" s="1">
        <f t="shared" si="115"/>
        <v>-6.1014713220856542</v>
      </c>
      <c r="AE188" s="1">
        <f t="shared" si="115"/>
        <v>-7.611471322085654</v>
      </c>
      <c r="AF188" s="1">
        <f t="shared" si="109"/>
        <v>-33.732413557191023</v>
      </c>
      <c r="AG188" s="1">
        <f>$J188+SUMPRODUCT(regions!AX187:BK187,regions!AX$204:BK$204)</f>
        <v>-6.6250740094979967</v>
      </c>
      <c r="AH188" s="1">
        <f>$J188+SUMPRODUCT(regions!AG187:AV187,regions!AG$204:AV$204)</f>
        <v>-5.6612312888182501</v>
      </c>
      <c r="AI188" s="1">
        <f t="shared" si="116"/>
        <v>-7.111471322085654</v>
      </c>
      <c r="AJ188" s="1">
        <f>SartoriRoson!C185</f>
        <v>7.0000000000000007E-2</v>
      </c>
      <c r="AK188" s="1">
        <f>Kompas!E185</f>
        <v>-0.56399999999999995</v>
      </c>
      <c r="AL188" s="1">
        <f>$J188+SUMPRODUCT(regions!EY187:FW187,regions!EY$204:FW$204)</f>
        <v>-3.1333808655779958</v>
      </c>
      <c r="AM188" s="1">
        <f>$J188+SUMPRODUCT(regions!FZ187:GF187,regions!FZ$204:GF$204)</f>
        <v>-6.1489715872783464</v>
      </c>
      <c r="AN188" s="1">
        <f t="shared" si="93"/>
        <v>-14.311471322085653</v>
      </c>
      <c r="AO188" s="1">
        <f t="shared" si="93"/>
        <v>-13.611471322085654</v>
      </c>
      <c r="AP188" s="1">
        <f t="shared" si="93"/>
        <v>-8.8114713220856551</v>
      </c>
      <c r="AQ188" s="1">
        <f t="shared" si="92"/>
        <v>1.8055988904778886E-2</v>
      </c>
      <c r="AR188" s="1">
        <f t="shared" si="92"/>
        <v>-10.111471322085654</v>
      </c>
      <c r="AS188" s="1">
        <f t="shared" si="92"/>
        <v>-7.4114713220856538</v>
      </c>
      <c r="AT188" s="1">
        <f t="shared" si="92"/>
        <v>-5.404804655418987</v>
      </c>
      <c r="AU188" s="1">
        <f t="shared" si="100"/>
        <v>-10.331471322085655</v>
      </c>
      <c r="AV188" s="1">
        <f t="shared" si="100"/>
        <v>-8.911471322085653</v>
      </c>
      <c r="AW188" s="1">
        <f>$J188+SUMPRODUCT(regions!BN187:BU187,regions!BN$204:BU$204)</f>
        <v>-6.3182538678115918</v>
      </c>
      <c r="AX188" s="1">
        <f t="shared" si="100"/>
        <v>-6.5914713220856544</v>
      </c>
      <c r="AY188" s="1">
        <f t="shared" si="100"/>
        <v>-5.8114713220856533</v>
      </c>
      <c r="AZ188" s="1">
        <f t="shared" si="100"/>
        <v>-5.8114713220856533</v>
      </c>
      <c r="BF188" s="1"/>
      <c r="BG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</row>
    <row r="189" spans="1:90" x14ac:dyDescent="0.35">
      <c r="A189" t="s">
        <v>415</v>
      </c>
      <c r="B189" s="19">
        <f>regions!B188</f>
        <v>9827</v>
      </c>
      <c r="C189" s="19">
        <f>regions!C188</f>
        <v>23813390.625238709</v>
      </c>
      <c r="D189" s="8">
        <f>regions!D188</f>
        <v>2423.2614862357495</v>
      </c>
      <c r="E189" s="8">
        <f>regions!E188</f>
        <v>0</v>
      </c>
      <c r="F189" s="8">
        <f>regions!F188</f>
        <v>26.748140888914506</v>
      </c>
      <c r="G189" s="1">
        <f>regions!Z188</f>
        <v>28</v>
      </c>
      <c r="J189" s="1">
        <f t="shared" si="106"/>
        <v>3.7947620167918643</v>
      </c>
      <c r="K189" s="1">
        <f t="shared" si="113"/>
        <v>-11.157984271232893</v>
      </c>
      <c r="L189" s="1">
        <f t="shared" si="95"/>
        <v>-11.093070335990122</v>
      </c>
      <c r="M189" s="1">
        <f t="shared" si="96"/>
        <v>7.9227234971588558</v>
      </c>
      <c r="N189" s="1">
        <f t="shared" ref="N189:R202" si="117">$J189+N$3-$J$3</f>
        <v>-10.656715853920813</v>
      </c>
      <c r="O189" s="1">
        <f t="shared" si="117"/>
        <v>-13.060286780798192</v>
      </c>
      <c r="P189" s="1">
        <f t="shared" si="117"/>
        <v>-11.060286780798192</v>
      </c>
      <c r="Q189" s="1">
        <f t="shared" si="117"/>
        <v>-11.390286780798192</v>
      </c>
      <c r="R189" s="1">
        <f t="shared" si="117"/>
        <v>-13.660286780798192</v>
      </c>
      <c r="S189" s="1">
        <f>$J189+SUMPRODUCT(regions!EI188:EN188,regions!EI$204:EN$204)</f>
        <v>-6.466285285501403</v>
      </c>
      <c r="T189" s="1">
        <f>$J189+SUMPRODUCT(regions!EQ188:EV188,regions!EQ$204:EV$204)</f>
        <v>-5.9652973525166733</v>
      </c>
      <c r="U189" s="1">
        <f>$J189+SUMPRODUCT(regions!CM188:CU188,regions!CM$204:CU$204)</f>
        <v>-12.003243855546128</v>
      </c>
      <c r="V189" s="1">
        <f>$J189+SUMPRODUCT(regions!DH188:DM188,regions!DH$204:DM$204)</f>
        <v>-8.3937287200452371</v>
      </c>
      <c r="W189" s="1">
        <f>$J189+SUMPRODUCT(regions!DP188:DW188,regions!DP$204:DW$204)</f>
        <v>-12.177794021295828</v>
      </c>
      <c r="X189" s="1">
        <f>$J189+SUMPRODUCT(regions!AB188:AE188,regions!AB$204:AE$204)</f>
        <v>-5.3436431405481351</v>
      </c>
      <c r="Y189" s="1">
        <f>$J189+SUMPRODUCT(regions!BX188:CJ188,regions!BX$204:CJ$204)</f>
        <v>-3.5097791880804863</v>
      </c>
      <c r="Z189" s="1">
        <f>$J189+SUMPRODUCT(regions!CX188:DF188,regions!CX$204:DF$204)</f>
        <v>-5.103243855546129</v>
      </c>
      <c r="AA189" s="1">
        <f t="shared" si="107"/>
        <v>-8.6532859815586942</v>
      </c>
      <c r="AB189" s="1">
        <f t="shared" si="108"/>
        <v>-10.213346333243281</v>
      </c>
      <c r="AC189" s="1">
        <f>$J189+SUMPRODUCT(regions!DZ188:EG188,regions!DZ$204:EG$204)</f>
        <v>-6.6727940212958288</v>
      </c>
      <c r="AD189" s="1">
        <f t="shared" si="115"/>
        <v>-11.050286780798192</v>
      </c>
      <c r="AE189" s="1">
        <f t="shared" si="115"/>
        <v>-12.560286780798192</v>
      </c>
      <c r="AF189" s="1">
        <f t="shared" si="109"/>
        <v>-38.681229015903561</v>
      </c>
      <c r="AG189" s="1">
        <f>$J189+SUMPRODUCT(regions!AX188:BK188,regions!AX$204:BK$204)</f>
        <v>-5.1017443599155285</v>
      </c>
      <c r="AH189" s="1">
        <f>$J189+SUMPRODUCT(regions!AG188:AV188,regions!AG$204:AV$204)</f>
        <v>-12.856002684796458</v>
      </c>
      <c r="AI189" s="1">
        <f t="shared" si="116"/>
        <v>-12.060286780798192</v>
      </c>
      <c r="AJ189" s="1">
        <f>SartoriRoson!C186</f>
        <v>-2.02</v>
      </c>
      <c r="AK189" s="1">
        <f>Kompas!E186</f>
        <v>-5.1710000000000003</v>
      </c>
      <c r="AL189" s="1">
        <f>$J189+SUMPRODUCT(regions!EY188:FW188,regions!EY$204:FW$204)</f>
        <v>-6.4583260356887031</v>
      </c>
      <c r="AM189" s="1">
        <f>$J189+SUMPRODUCT(regions!FZ188:GF188,regions!FZ$204:GF$204)</f>
        <v>-2.0664539874253176</v>
      </c>
      <c r="AN189" s="1">
        <f t="shared" si="93"/>
        <v>-19.260286780798189</v>
      </c>
      <c r="AO189" s="1">
        <f t="shared" si="93"/>
        <v>-18.560286780798194</v>
      </c>
      <c r="AP189" s="1">
        <f t="shared" si="93"/>
        <v>-13.760286780798193</v>
      </c>
      <c r="AQ189" s="1">
        <f t="shared" si="92"/>
        <v>-4.930759469807759</v>
      </c>
      <c r="AR189" s="1">
        <f t="shared" si="92"/>
        <v>-15.060286780798192</v>
      </c>
      <c r="AS189" s="1">
        <f t="shared" si="92"/>
        <v>-12.360286780798191</v>
      </c>
      <c r="AT189" s="1">
        <f t="shared" si="92"/>
        <v>-10.353620114131525</v>
      </c>
      <c r="AU189" s="1">
        <f t="shared" si="100"/>
        <v>-15.280286780798193</v>
      </c>
      <c r="AV189" s="1">
        <f t="shared" si="100"/>
        <v>-13.860286780798191</v>
      </c>
      <c r="AW189" s="1">
        <f>$J189+SUMPRODUCT(regions!BN188:BU188,regions!BN$204:BU$204)</f>
        <v>-9.8418919931174162</v>
      </c>
      <c r="AX189" s="1">
        <f t="shared" si="100"/>
        <v>-11.540286780798192</v>
      </c>
      <c r="AY189" s="1">
        <f t="shared" si="100"/>
        <v>-10.760286780798193</v>
      </c>
      <c r="AZ189" s="1">
        <f t="shared" si="100"/>
        <v>-10.760286780798193</v>
      </c>
      <c r="BF189" s="1"/>
      <c r="BG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</row>
    <row r="190" spans="1:90" x14ac:dyDescent="0.35">
      <c r="A190" t="s">
        <v>254</v>
      </c>
      <c r="B190" s="19">
        <f>regions!B189</f>
        <v>33987213</v>
      </c>
      <c r="C190" s="19">
        <f>regions!C189</f>
        <v>13362034649.013441</v>
      </c>
      <c r="D190" s="8">
        <f>regions!D189</f>
        <v>393.14887775627386</v>
      </c>
      <c r="E190" s="8">
        <f>regions!E189</f>
        <v>0</v>
      </c>
      <c r="F190" s="8">
        <f>regions!F189</f>
        <v>26.235537327409642</v>
      </c>
      <c r="G190" s="1">
        <f>regions!Z189</f>
        <v>22.8</v>
      </c>
      <c r="J190" s="1">
        <f t="shared" si="106"/>
        <v>2.4127855355968109</v>
      </c>
      <c r="K190" s="1">
        <f t="shared" si="113"/>
        <v>-12.539960752427946</v>
      </c>
      <c r="L190" s="1">
        <f t="shared" si="95"/>
        <v>-17.413432696254088</v>
      </c>
      <c r="M190" s="1">
        <f t="shared" si="96"/>
        <v>42.041730800181632</v>
      </c>
      <c r="N190" s="1">
        <f t="shared" si="117"/>
        <v>-12.038692335115867</v>
      </c>
      <c r="O190" s="1">
        <f t="shared" si="117"/>
        <v>-14.442263261993245</v>
      </c>
      <c r="P190" s="1">
        <f t="shared" si="117"/>
        <v>-12.442263261993245</v>
      </c>
      <c r="Q190" s="1">
        <f t="shared" si="117"/>
        <v>-12.772263261993245</v>
      </c>
      <c r="R190" s="1">
        <f t="shared" si="117"/>
        <v>-15.042263261993245</v>
      </c>
      <c r="S190" s="1">
        <f>$J190+SUMPRODUCT(regions!EI189:EN189,regions!EI$204:EN$204)</f>
        <v>-7.8482617666964565</v>
      </c>
      <c r="T190" s="1">
        <f>$J190+SUMPRODUCT(regions!EQ189:EV189,regions!EQ$204:EV$204)</f>
        <v>-7.3472738337117267</v>
      </c>
      <c r="U190" s="1">
        <f>$J190+SUMPRODUCT(regions!CM189:CU189,regions!CM$204:CU$204)</f>
        <v>-12.042844957021932</v>
      </c>
      <c r="V190" s="1">
        <f>$J190+SUMPRODUCT(regions!DH189:DM189,regions!DH$204:DM$204)</f>
        <v>-9.7757052012402905</v>
      </c>
      <c r="W190" s="1">
        <f>$J190+SUMPRODUCT(regions!DP189:DW189,regions!DP$204:DW$204)</f>
        <v>-11.615262450630791</v>
      </c>
      <c r="X190" s="1">
        <f>$J190+SUMPRODUCT(regions!AB189:AE189,regions!AB$204:AE$204)</f>
        <v>-1.1037318126186308</v>
      </c>
      <c r="Y190" s="1">
        <f>$J190+SUMPRODUCT(regions!BX189:CJ189,regions!BX$204:CJ$204)</f>
        <v>-4.5392212523450528</v>
      </c>
      <c r="Z190" s="1">
        <f>$J190+SUMPRODUCT(regions!CX189:DF189,regions!CX$204:DF$204)</f>
        <v>-7.4428449570219328</v>
      </c>
      <c r="AA190" s="1">
        <f t="shared" si="107"/>
        <v>-10.035262462753748</v>
      </c>
      <c r="AB190" s="1">
        <f t="shared" si="108"/>
        <v>-11.595322814438335</v>
      </c>
      <c r="AC190" s="1">
        <f>$J190+SUMPRODUCT(regions!DZ189:EG189,regions!DZ$204:EG$204)</f>
        <v>-8.0161624506307909</v>
      </c>
      <c r="AD190" s="1">
        <f t="shared" si="115"/>
        <v>-12.432263261993246</v>
      </c>
      <c r="AE190" s="1">
        <f t="shared" si="115"/>
        <v>-13.942263261993245</v>
      </c>
      <c r="AF190" s="1">
        <f t="shared" si="109"/>
        <v>-246.8</v>
      </c>
      <c r="AG190" s="1">
        <f>$J190+SUMPRODUCT(regions!AX189:BK189,regions!AX$204:BK$204)</f>
        <v>-4.3773038053857167</v>
      </c>
      <c r="AH190" s="1">
        <f>$J190+SUMPRODUCT(regions!AG189:AV189,regions!AG$204:AV$204)</f>
        <v>-11.277303805385717</v>
      </c>
      <c r="AI190" s="1">
        <f t="shared" si="116"/>
        <v>-13.442263261993245</v>
      </c>
      <c r="AJ190" s="1">
        <f>SartoriRoson!C187</f>
        <v>-7.58</v>
      </c>
      <c r="AK190" s="1">
        <f>Kompas!E187</f>
        <v>-6.3280000000000003</v>
      </c>
      <c r="AL190" s="1">
        <f>$J190+SUMPRODUCT(regions!EY189:FW189,regions!EY$204:FW$204)</f>
        <v>-4.8664290711011482</v>
      </c>
      <c r="AM190" s="1">
        <f>$J190+SUMPRODUCT(regions!FZ189:GF189,regions!FZ$204:GF$204)</f>
        <v>-1.7388931431236472</v>
      </c>
      <c r="AN190" s="1">
        <f t="shared" si="93"/>
        <v>-20.642263261993243</v>
      </c>
      <c r="AO190" s="1">
        <f t="shared" si="93"/>
        <v>-19.942263261993247</v>
      </c>
      <c r="AP190" s="1">
        <f t="shared" si="93"/>
        <v>-15.142263261993246</v>
      </c>
      <c r="AQ190" s="1">
        <f t="shared" si="92"/>
        <v>-6.3127359510028116</v>
      </c>
      <c r="AR190" s="1">
        <f t="shared" si="92"/>
        <v>-16.442263261993247</v>
      </c>
      <c r="AS190" s="1">
        <f t="shared" si="92"/>
        <v>-13.742263261993244</v>
      </c>
      <c r="AT190" s="1">
        <f t="shared" si="92"/>
        <v>-11.735596595326578</v>
      </c>
      <c r="AU190" s="1">
        <f t="shared" si="100"/>
        <v>-16.662263261993246</v>
      </c>
      <c r="AV190" s="1">
        <f t="shared" si="100"/>
        <v>-15.242263261993244</v>
      </c>
      <c r="AW190" s="1">
        <f>$J190+SUMPRODUCT(regions!BN189:BU189,regions!BN$204:BU$204)</f>
        <v>-11.22386847431247</v>
      </c>
      <c r="AX190" s="1">
        <f t="shared" si="100"/>
        <v>-12.922263261993246</v>
      </c>
      <c r="AY190" s="1">
        <f t="shared" si="100"/>
        <v>-12.142263261993245</v>
      </c>
      <c r="AZ190" s="1">
        <f t="shared" si="100"/>
        <v>-12.142263261993245</v>
      </c>
      <c r="BF190" s="1"/>
      <c r="BG190" s="1"/>
      <c r="BJ190" t="str">
        <f>MaddisonRehdanz!A77</f>
        <v>Uganda</v>
      </c>
      <c r="BK190">
        <f>MaddisonRehdanz!D77</f>
        <v>-246.8</v>
      </c>
      <c r="BL190" s="1">
        <f>$K190-BK190</f>
        <v>234.26003924757205</v>
      </c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</row>
    <row r="191" spans="1:90" x14ac:dyDescent="0.35">
      <c r="A191" t="s">
        <v>238</v>
      </c>
      <c r="B191" s="19">
        <f>regions!B190</f>
        <v>45870700</v>
      </c>
      <c r="C191" s="19">
        <f>regions!C190</f>
        <v>90577255847.674149</v>
      </c>
      <c r="D191" s="8">
        <f>regions!D190</f>
        <v>1974.6211818802449</v>
      </c>
      <c r="E191" s="8">
        <f>regions!E190</f>
        <v>15.570521408334306</v>
      </c>
      <c r="F191" s="8">
        <f>regions!F190</f>
        <v>7.4475654702013987</v>
      </c>
      <c r="G191" s="1">
        <f>regions!Z190</f>
        <v>8.3000000000000007</v>
      </c>
      <c r="J191" s="1">
        <f t="shared" si="106"/>
        <v>10.748429870025882</v>
      </c>
      <c r="K191" s="1">
        <f t="shared" si="113"/>
        <v>-4.204316417998875</v>
      </c>
      <c r="L191" s="1">
        <f t="shared" si="95"/>
        <v>-4.0242869153501042</v>
      </c>
      <c r="M191" s="1">
        <f t="shared" si="96"/>
        <v>5.2894571220647109</v>
      </c>
      <c r="N191" s="1">
        <f t="shared" si="117"/>
        <v>-3.7030480006867954</v>
      </c>
      <c r="O191" s="1">
        <f t="shared" si="117"/>
        <v>-6.106618927564174</v>
      </c>
      <c r="P191" s="1">
        <f t="shared" si="117"/>
        <v>-4.106618927564174</v>
      </c>
      <c r="Q191" s="1">
        <f t="shared" si="117"/>
        <v>-4.4366189275641741</v>
      </c>
      <c r="R191" s="1">
        <f t="shared" si="117"/>
        <v>-6.7066189275641737</v>
      </c>
      <c r="S191" s="1">
        <f>$J191+SUMPRODUCT(regions!EI190:EN190,regions!EI$204:EN$204)</f>
        <v>-6.1202216149765167</v>
      </c>
      <c r="T191" s="1">
        <f>$J191+SUMPRODUCT(regions!EQ190:EV190,regions!EQ$204:EV$204)</f>
        <v>-6.2202216149765182</v>
      </c>
      <c r="U191" s="1">
        <f>$J191+SUMPRODUCT(regions!CM190:CU190,regions!CM$204:CU$204)</f>
        <v>-3.907576959210207</v>
      </c>
      <c r="V191" s="1">
        <f>$J191+SUMPRODUCT(regions!DH190:DM190,regions!DH$204:DM$204)</f>
        <v>-6.2772216149765168</v>
      </c>
      <c r="W191" s="1">
        <f>$J191+SUMPRODUCT(regions!DP190:DW190,regions!DP$204:DW$204)</f>
        <v>-4.2075769592102077</v>
      </c>
      <c r="X191" s="1">
        <f>$J191+SUMPRODUCT(regions!AB190:AE190,regions!AB$204:AE$204)</f>
        <v>1.6100247126858829</v>
      </c>
      <c r="Y191" s="1">
        <f>$J191+SUMPRODUCT(regions!BX190:CJ190,regions!BX$204:CJ$204)</f>
        <v>-3.3444288094668178</v>
      </c>
      <c r="Z191" s="1">
        <f>$J191+SUMPRODUCT(regions!CX190:DF190,regions!CX$204:DF$204)</f>
        <v>-2.2075769592102077</v>
      </c>
      <c r="AA191" s="1">
        <f t="shared" si="107"/>
        <v>-1.6996181283246767</v>
      </c>
      <c r="AB191" s="1">
        <f t="shared" si="108"/>
        <v>6.7435719429082761</v>
      </c>
      <c r="AC191" s="1">
        <f>$J191+SUMPRODUCT(regions!DZ190:EG190,regions!DZ$204:EG$204)</f>
        <v>-3.7770769592102074</v>
      </c>
      <c r="AD191" s="1">
        <f t="shared" si="115"/>
        <v>-4.0966189275641742</v>
      </c>
      <c r="AE191" s="1">
        <f t="shared" si="115"/>
        <v>-5.606618927564174</v>
      </c>
      <c r="AF191" s="1">
        <f t="shared" si="109"/>
        <v>17.100000000000001</v>
      </c>
      <c r="AG191" s="1">
        <f>$J191+SUMPRODUCT(regions!AX190:BK190,regions!AX$204:BK$204)</f>
        <v>-4.6202216149765167</v>
      </c>
      <c r="AH191" s="1">
        <f>$J191+SUMPRODUCT(regions!AG190:AV190,regions!AG$204:AV$204)</f>
        <v>-3.6563788942967701</v>
      </c>
      <c r="AI191" s="1">
        <f t="shared" si="116"/>
        <v>-5.106618927564174</v>
      </c>
      <c r="AJ191" s="1">
        <f>SartoriRoson!C188</f>
        <v>0.92</v>
      </c>
      <c r="AK191" s="1">
        <f>Kompas!E188</f>
        <v>-0.25</v>
      </c>
      <c r="AL191" s="1">
        <f>$J191+SUMPRODUCT(regions!EY190:FW190,regions!EY$204:FW$204)</f>
        <v>-1.7178493524564917</v>
      </c>
      <c r="AM191" s="1">
        <f>$J191+SUMPRODUCT(regions!FZ190:GF190,regions!FZ$204:GF$204)</f>
        <v>-4.1441191927568664</v>
      </c>
      <c r="AN191" s="1">
        <f t="shared" si="93"/>
        <v>-12.306618927564173</v>
      </c>
      <c r="AO191" s="1">
        <f t="shared" si="93"/>
        <v>-11.606618927564174</v>
      </c>
      <c r="AP191" s="1">
        <f t="shared" si="93"/>
        <v>-6.8066189275641742</v>
      </c>
      <c r="AQ191" s="1">
        <f t="shared" si="92"/>
        <v>2.0229083834262607</v>
      </c>
      <c r="AR191" s="1">
        <f t="shared" si="92"/>
        <v>-8.106618927564174</v>
      </c>
      <c r="AS191" s="1">
        <f t="shared" si="92"/>
        <v>-5.4066189275641729</v>
      </c>
      <c r="AT191" s="1">
        <f t="shared" si="92"/>
        <v>-3.399952260897507</v>
      </c>
      <c r="AU191" s="1">
        <f t="shared" si="100"/>
        <v>-8.3266189275641729</v>
      </c>
      <c r="AV191" s="1">
        <f t="shared" si="100"/>
        <v>-6.9066189275641738</v>
      </c>
      <c r="AW191" s="1">
        <f>$J191+SUMPRODUCT(regions!BN190:BU190,regions!BN$204:BU$204)</f>
        <v>-4.3134014732901118</v>
      </c>
      <c r="AX191" s="1">
        <f t="shared" si="100"/>
        <v>-4.5866189275641744</v>
      </c>
      <c r="AY191" s="1">
        <f t="shared" si="100"/>
        <v>-3.8066189275641733</v>
      </c>
      <c r="AZ191" s="1">
        <f t="shared" si="100"/>
        <v>-3.8066189275641733</v>
      </c>
      <c r="BE191" t="str">
        <f>RehdanzMaddison!P67</f>
        <v>Ukraine</v>
      </c>
      <c r="BF191" s="1">
        <f>-100*RehdanzMaddison!U67</f>
        <v>3.7794591025776856</v>
      </c>
      <c r="BG191" s="1">
        <f>-100*RehdanzMaddison!V67</f>
        <v>6.7435719429082761</v>
      </c>
      <c r="BH191" s="1">
        <f>$K191-BF191</f>
        <v>-7.983775520576561</v>
      </c>
      <c r="BI191" s="1">
        <f>$K191-BG191</f>
        <v>-10.94788836090715</v>
      </c>
      <c r="BJ191" t="str">
        <f>MaddisonRehdanz!A78</f>
        <v>Ukraine</v>
      </c>
      <c r="BK191">
        <f>MaddisonRehdanz!D78</f>
        <v>17.100000000000001</v>
      </c>
      <c r="BL191" s="1">
        <f>$K191-BK191</f>
        <v>-21.304316417998876</v>
      </c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</row>
    <row r="192" spans="1:90" x14ac:dyDescent="0.35">
      <c r="A192" t="s">
        <v>416</v>
      </c>
      <c r="B192" s="19">
        <f>regions!B191</f>
        <v>8441537</v>
      </c>
      <c r="C192" s="19">
        <f>regions!C191</f>
        <v>204448097188.77359</v>
      </c>
      <c r="D192" s="8">
        <f>regions!D191</f>
        <v>24219.297645532275</v>
      </c>
      <c r="E192" s="8">
        <f>regions!E191</f>
        <v>0</v>
      </c>
      <c r="F192" s="8">
        <f>regions!F191</f>
        <v>0.76345274204035918</v>
      </c>
      <c r="G192" s="1">
        <f>regions!Z191</f>
        <v>27</v>
      </c>
      <c r="J192" s="1">
        <f t="shared" si="106"/>
        <v>8.3639857290367434</v>
      </c>
      <c r="K192" s="1">
        <f t="shared" si="113"/>
        <v>-6.5887605589880138</v>
      </c>
      <c r="L192" s="1">
        <f t="shared" si="95"/>
        <v>-7.1964088261064578</v>
      </c>
      <c r="M192" s="1">
        <f t="shared" si="96"/>
        <v>6.6060447325566063</v>
      </c>
      <c r="N192" s="1">
        <f t="shared" si="117"/>
        <v>-6.0874921416759342</v>
      </c>
      <c r="O192" s="1">
        <f t="shared" si="117"/>
        <v>-8.4910630685533128</v>
      </c>
      <c r="P192" s="1">
        <f t="shared" si="117"/>
        <v>-6.4910630685533128</v>
      </c>
      <c r="Q192" s="1">
        <f t="shared" si="117"/>
        <v>-6.8210630685533129</v>
      </c>
      <c r="R192" s="1">
        <f t="shared" si="117"/>
        <v>-9.0910630685533125</v>
      </c>
      <c r="S192" s="1">
        <f>$J192+SUMPRODUCT(regions!EI191:EN191,regions!EI$204:EN$204)</f>
        <v>-1.8970615732565239</v>
      </c>
      <c r="T192" s="1">
        <f>$J192+SUMPRODUCT(regions!EQ191:EV191,regions!EQ$204:EV$204)</f>
        <v>-1.3960736402717941</v>
      </c>
      <c r="U192" s="1">
        <f>$J192+SUMPRODUCT(regions!CM191:CU191,regions!CM$204:CU$204)</f>
        <v>-5.2627608446703622</v>
      </c>
      <c r="V192" s="1">
        <f>$J192+SUMPRODUCT(regions!DH191:DM191,regions!DH$204:DM$204)</f>
        <v>-3.824505007800358</v>
      </c>
      <c r="W192" s="1">
        <f>$J192+SUMPRODUCT(regions!DP191:DW191,regions!DP$204:DW$204)</f>
        <v>-5.6640622571908583</v>
      </c>
      <c r="X192" s="1">
        <f>$J192+SUMPRODUCT(regions!AB191:AE191,regions!AB$204:AE$204)</f>
        <v>-6.9797170125653789</v>
      </c>
      <c r="Y192" s="1">
        <f>$J192+SUMPRODUCT(regions!BX191:CJ191,regions!BX$204:CJ$204)</f>
        <v>-2.2367171744327479</v>
      </c>
      <c r="Z192" s="1">
        <f>$J192+SUMPRODUCT(regions!CX191:DF191,regions!CX$204:DF$204)</f>
        <v>-6.2760844670362914E-2</v>
      </c>
      <c r="AA192" s="1">
        <f t="shared" si="107"/>
        <v>-4.0840622693138151</v>
      </c>
      <c r="AB192" s="1">
        <f t="shared" si="108"/>
        <v>-5.6441226209984015</v>
      </c>
      <c r="AC192" s="1">
        <f>$J192+SUMPRODUCT(regions!DZ191:EG191,regions!DZ$204:EG$204)</f>
        <v>-2.0649622571908584</v>
      </c>
      <c r="AD192" s="1">
        <f t="shared" si="115"/>
        <v>-6.481063068553313</v>
      </c>
      <c r="AE192" s="1">
        <f t="shared" si="115"/>
        <v>-7.9910630685533128</v>
      </c>
      <c r="AF192" s="1">
        <f t="shared" si="109"/>
        <v>-34.112005303658684</v>
      </c>
      <c r="AG192" s="1">
        <f>$J192+SUMPRODUCT(regions!AX191:BK191,regions!AX$204:BK$204)</f>
        <v>-1.8203784160786274</v>
      </c>
      <c r="AH192" s="1">
        <f>$J192+SUMPRODUCT(regions!AG191:AV191,regions!AG$204:AV$204)</f>
        <v>-11.201981790091081</v>
      </c>
      <c r="AI192" s="1">
        <f t="shared" si="116"/>
        <v>-7.4910630685533128</v>
      </c>
      <c r="AJ192" s="1">
        <f>SartoriRoson!C189</f>
        <v>-4.8600000000000003</v>
      </c>
      <c r="AK192" s="1">
        <f>Kompas!E189</f>
        <v>-7.6840000000000002</v>
      </c>
      <c r="AL192" s="1">
        <f>$J192+SUMPRODUCT(regions!EY191:FW191,regions!EY$204:FW$204)</f>
        <v>-3.1750422344200064</v>
      </c>
      <c r="AM192" s="1">
        <f>$J192+SUMPRODUCT(regions!FZ191:GF191,regions!FZ$204:GF$204)</f>
        <v>-0.60274906367037495</v>
      </c>
      <c r="AN192" s="1">
        <f t="shared" si="93"/>
        <v>-14.691063068553312</v>
      </c>
      <c r="AO192" s="1">
        <f t="shared" si="93"/>
        <v>-13.991063068553313</v>
      </c>
      <c r="AP192" s="1">
        <f t="shared" si="93"/>
        <v>-9.1910630685533121</v>
      </c>
      <c r="AQ192" s="1">
        <f t="shared" si="92"/>
        <v>-0.36153575756287815</v>
      </c>
      <c r="AR192" s="1">
        <f t="shared" si="92"/>
        <v>-10.491063068553313</v>
      </c>
      <c r="AS192" s="1">
        <f t="shared" si="92"/>
        <v>-7.7910630685533127</v>
      </c>
      <c r="AT192" s="1">
        <f t="shared" si="92"/>
        <v>-5.7843964018866458</v>
      </c>
      <c r="AU192" s="1">
        <f t="shared" si="100"/>
        <v>-10.711063068553312</v>
      </c>
      <c r="AV192" s="1">
        <f t="shared" si="100"/>
        <v>-9.2910630685533135</v>
      </c>
      <c r="AW192" s="1">
        <f>$J192+SUMPRODUCT(regions!BN191:BU191,regions!BN$204:BU$204)</f>
        <v>-3.5408028811791556</v>
      </c>
      <c r="AX192" s="1">
        <f t="shared" si="100"/>
        <v>-6.9710630685533133</v>
      </c>
      <c r="AY192" s="1">
        <f t="shared" si="100"/>
        <v>-6.191063068553313</v>
      </c>
      <c r="AZ192" s="1">
        <f t="shared" si="100"/>
        <v>-6.191063068553313</v>
      </c>
      <c r="BF192" s="1"/>
      <c r="BG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</row>
    <row r="193" spans="1:90" x14ac:dyDescent="0.35">
      <c r="A193" t="s">
        <v>199</v>
      </c>
      <c r="B193" s="19">
        <f>regions!B192</f>
        <v>62271177</v>
      </c>
      <c r="C193" s="19">
        <f>regions!C192</f>
        <v>2360033739558.0132</v>
      </c>
      <c r="D193" s="8">
        <f>regions!D192</f>
        <v>37899.295520911917</v>
      </c>
      <c r="E193" s="8">
        <f>regions!E192</f>
        <v>25.387609288571198</v>
      </c>
      <c r="F193" s="8">
        <f>regions!F192</f>
        <v>0.65935512701305221</v>
      </c>
      <c r="G193" s="1">
        <f>regions!Z192</f>
        <v>8.4</v>
      </c>
      <c r="J193" s="1">
        <f t="shared" si="106"/>
        <v>16.098273105941917</v>
      </c>
      <c r="K193" s="1">
        <f t="shared" si="113"/>
        <v>1.14552681791716</v>
      </c>
      <c r="L193" s="1">
        <f t="shared" si="95"/>
        <v>-6.1170908006749569E-2</v>
      </c>
      <c r="M193" s="1">
        <f t="shared" si="96"/>
        <v>3.0453049439155295</v>
      </c>
      <c r="N193" s="1">
        <f t="shared" si="117"/>
        <v>1.6467952352292397</v>
      </c>
      <c r="O193" s="1">
        <f t="shared" si="117"/>
        <v>-0.75677569164813896</v>
      </c>
      <c r="P193" s="1">
        <f t="shared" si="117"/>
        <v>1.243224308351861</v>
      </c>
      <c r="Q193" s="1">
        <f t="shared" si="117"/>
        <v>0.91322430835186097</v>
      </c>
      <c r="R193" s="1">
        <f t="shared" si="117"/>
        <v>-1.3567756916481386</v>
      </c>
      <c r="S193" s="1">
        <f>$J193+SUMPRODUCT(regions!EI192:EN192,regions!EI$204:EN$204)</f>
        <v>-0.6837433042512302</v>
      </c>
      <c r="T193" s="1">
        <f>$J193+SUMPRODUCT(regions!EQ192:EV192,regions!EQ$204:EV$204)</f>
        <v>-0.88374330425122949</v>
      </c>
      <c r="U193" s="1">
        <f>$J193+SUMPRODUCT(regions!CM192:CU192,regions!CM$204:CU$204)</f>
        <v>-0.69839197729296032</v>
      </c>
      <c r="V193" s="1">
        <f>$J193+SUMPRODUCT(regions!DH192:DM192,regions!DH$204:DM$204)</f>
        <v>-0.46015627788558788</v>
      </c>
      <c r="W193" s="1">
        <f>$J193+SUMPRODUCT(regions!DP192:DW192,regions!DP$204:DW$204)</f>
        <v>-0.58374330425122878</v>
      </c>
      <c r="X193" s="1">
        <f>$J193+SUMPRODUCT(regions!AB192:AE192,regions!AB$204:AE$204)</f>
        <v>0.75457036433979496</v>
      </c>
      <c r="Y193" s="1">
        <f>$J193+SUMPRODUCT(regions!BX192:CJ192,regions!BX$204:CJ$204)</f>
        <v>-2.2891630911261558</v>
      </c>
      <c r="Z193" s="1">
        <f>$J193+SUMPRODUCT(regions!CX192:DF192,regions!CX$204:DF$204)</f>
        <v>4.3016080227070397</v>
      </c>
      <c r="AA193" s="1">
        <f t="shared" si="107"/>
        <v>4.7</v>
      </c>
      <c r="AB193" s="1">
        <f t="shared" si="108"/>
        <v>0.14132188808218582</v>
      </c>
      <c r="AC193" s="1">
        <f>$J193+SUMPRODUCT(regions!DZ192:EG192,regions!DZ$204:EG$204)</f>
        <v>-0.51374330425122849</v>
      </c>
      <c r="AD193" s="1">
        <f t="shared" si="115"/>
        <v>1.2532243083518608</v>
      </c>
      <c r="AE193" s="1">
        <f t="shared" si="115"/>
        <v>-0.25677569164813896</v>
      </c>
      <c r="AF193" s="1">
        <f t="shared" si="109"/>
        <v>7.4</v>
      </c>
      <c r="AG193" s="1">
        <f>$J193+SUMPRODUCT(regions!AX192:BK192,regions!AX$204:BK$204)</f>
        <v>-0.19577485229192604</v>
      </c>
      <c r="AH193" s="1">
        <f>$J193+SUMPRODUCT(regions!AG192:AV192,regions!AG$204:AV$204)</f>
        <v>1.9494073018011076</v>
      </c>
      <c r="AI193" s="1">
        <f t="shared" si="116"/>
        <v>0.24322430835186104</v>
      </c>
      <c r="AJ193" s="1">
        <f>SartoriRoson!C190</f>
        <v>0.59</v>
      </c>
      <c r="AK193" s="1">
        <f>Kompas!E190</f>
        <v>-0.42199999999999999</v>
      </c>
      <c r="AL193" s="1">
        <f>$J193+SUMPRODUCT(regions!EY192:FW192,regions!EY$204:FW$204)</f>
        <v>0.57890505969985107</v>
      </c>
      <c r="AM193" s="1">
        <f>$J193+SUMPRODUCT(regions!FZ192:GF192,regions!FZ$204:GF$204)</f>
        <v>1.8300427310939291</v>
      </c>
      <c r="AN193" s="1">
        <f t="shared" si="93"/>
        <v>-6.9567756916481382</v>
      </c>
      <c r="AO193" s="1">
        <f t="shared" si="93"/>
        <v>-6.256775691648139</v>
      </c>
      <c r="AP193" s="1">
        <f t="shared" si="93"/>
        <v>-1.4567756916481382</v>
      </c>
      <c r="AQ193" s="1">
        <f t="shared" si="92"/>
        <v>7.3727516193422939</v>
      </c>
      <c r="AR193" s="1">
        <f t="shared" si="92"/>
        <v>-2.756775691648139</v>
      </c>
      <c r="AS193" s="1">
        <f t="shared" si="92"/>
        <v>-5.677569164813967E-2</v>
      </c>
      <c r="AT193" s="1">
        <f t="shared" si="92"/>
        <v>1.949890975018528</v>
      </c>
      <c r="AU193" s="1">
        <f t="shared" si="100"/>
        <v>-2.9767756916481378</v>
      </c>
      <c r="AV193" s="1">
        <f t="shared" si="100"/>
        <v>-1.5567756916481397</v>
      </c>
      <c r="AW193" s="1">
        <f>$J193+SUMPRODUCT(regions!BN192:BU192,regions!BN$204:BU$204)</f>
        <v>1.9593701242033621</v>
      </c>
      <c r="AX193" s="1">
        <f t="shared" si="100"/>
        <v>0.76322430835186061</v>
      </c>
      <c r="AY193" s="1">
        <f t="shared" si="100"/>
        <v>1.5432243083518618</v>
      </c>
      <c r="AZ193" s="1">
        <f t="shared" si="100"/>
        <v>1.5432243083518618</v>
      </c>
      <c r="BB193" t="str">
        <f>Maddison!A84</f>
        <v>United Kingdom</v>
      </c>
      <c r="BC193">
        <f>-Maddison!B84</f>
        <v>4.7</v>
      </c>
      <c r="BD193" s="1">
        <f>K193-BC193</f>
        <v>-3.5544731820828401</v>
      </c>
      <c r="BE193" t="str">
        <f>RehdanzMaddison!P31</f>
        <v>United Kingdom</v>
      </c>
      <c r="BF193" s="1">
        <f>-100*RehdanzMaddison!U31</f>
        <v>7.0898415473643256E-2</v>
      </c>
      <c r="BG193" s="1">
        <f>-100*RehdanzMaddison!V31</f>
        <v>0.14132188808218582</v>
      </c>
      <c r="BH193" s="1">
        <f t="shared" ref="BH193:BI195" si="118">$K193-BF193</f>
        <v>1.0746284024435169</v>
      </c>
      <c r="BI193" s="1">
        <f t="shared" si="118"/>
        <v>1.0042049298349742</v>
      </c>
      <c r="BJ193" t="str">
        <f>MaddisonRehdanz!A32</f>
        <v>Great Britain</v>
      </c>
      <c r="BK193">
        <f>MaddisonRehdanz!D32</f>
        <v>7.4</v>
      </c>
      <c r="BL193" s="1">
        <f>$K193-BK193</f>
        <v>-6.2544731820828403</v>
      </c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</row>
    <row r="194" spans="1:90" x14ac:dyDescent="0.35">
      <c r="A194" t="s">
        <v>200</v>
      </c>
      <c r="B194" s="19">
        <f>regions!B193</f>
        <v>309326225</v>
      </c>
      <c r="C194" s="19">
        <f>regions!C193</f>
        <v>13595644353592.4</v>
      </c>
      <c r="D194" s="8">
        <f>regions!D193</f>
        <v>43952.446494287382</v>
      </c>
      <c r="E194" s="8">
        <f>regions!E193</f>
        <v>8.6108057190772858</v>
      </c>
      <c r="F194" s="8">
        <f>regions!F193</f>
        <v>1.1384117556019056</v>
      </c>
      <c r="G194" s="1">
        <f>regions!Z193</f>
        <v>8.5</v>
      </c>
      <c r="J194" s="1">
        <f t="shared" si="106"/>
        <v>16.331248959916671</v>
      </c>
      <c r="K194" s="1">
        <f t="shared" si="113"/>
        <v>1.3785026718919138</v>
      </c>
      <c r="L194" s="1">
        <f t="shared" si="95"/>
        <v>-0.52500514331389792</v>
      </c>
      <c r="M194" s="1">
        <f t="shared" si="96"/>
        <v>2.4716049766749077</v>
      </c>
      <c r="N194" s="1">
        <f t="shared" si="117"/>
        <v>1.8797710892039934</v>
      </c>
      <c r="O194" s="1">
        <f t="shared" si="117"/>
        <v>-0.52379983767338523</v>
      </c>
      <c r="P194" s="1">
        <f t="shared" si="117"/>
        <v>1.4762001623266148</v>
      </c>
      <c r="Q194" s="1">
        <f t="shared" si="117"/>
        <v>1.1462001623266147</v>
      </c>
      <c r="R194" s="1">
        <f t="shared" si="117"/>
        <v>-1.1237998376733849</v>
      </c>
      <c r="S194" s="1">
        <f>$J194+SUMPRODUCT(regions!EI193:EN193,regions!EI$204:EN$204)</f>
        <v>-1.3000000000000007</v>
      </c>
      <c r="T194" s="1">
        <f>$J194+SUMPRODUCT(regions!EQ193:EV193,regions!EQ$204:EV$204)</f>
        <v>-1.3999999999999986</v>
      </c>
      <c r="U194" s="1">
        <f>$J194+SUMPRODUCT(regions!CM193:CU193,regions!CM$204:CU$204)</f>
        <v>-1.9031271362358666</v>
      </c>
      <c r="V194" s="1">
        <f>$J194+SUMPRODUCT(regions!DH193:DM193,regions!DH$204:DM$204)</f>
        <v>-1.1020000000000003</v>
      </c>
      <c r="W194" s="1">
        <f>$J194+SUMPRODUCT(regions!DP193:DW193,regions!DP$204:DW$204)</f>
        <v>-1.5599999999999987</v>
      </c>
      <c r="X194" s="1">
        <f>$J194+SUMPRODUCT(regions!AB193:AE193,regions!AB$204:AE$204)</f>
        <v>0.9875462183145487</v>
      </c>
      <c r="Y194" s="1">
        <f>$J194+SUMPRODUCT(regions!BX193:CJ193,regions!BX$204:CJ$204)</f>
        <v>-0.44999999999999929</v>
      </c>
      <c r="Z194" s="1">
        <f>$J194+SUMPRODUCT(regions!CX193:DF193,regions!CX$204:DF$204)</f>
        <v>2.9968728637641338</v>
      </c>
      <c r="AA194" s="1">
        <f t="shared" si="107"/>
        <v>0.3</v>
      </c>
      <c r="AB194" s="1">
        <f t="shared" si="108"/>
        <v>-0.13064119196974172</v>
      </c>
      <c r="AC194" s="1">
        <f>$J194+SUMPRODUCT(regions!DZ193:EG193,regions!DZ$204:EG$204)</f>
        <v>-0.30750000000000099</v>
      </c>
      <c r="AD194" s="1">
        <f t="shared" si="115"/>
        <v>1.4862001623266146</v>
      </c>
      <c r="AE194" s="1">
        <f t="shared" si="115"/>
        <v>-2.3799837673385227E-2</v>
      </c>
      <c r="AF194" s="1">
        <f t="shared" si="109"/>
        <v>0.3</v>
      </c>
      <c r="AG194" s="1">
        <f>$J194+SUMPRODUCT(regions!AX193:BK193,regions!AX$204:BK$204)</f>
        <v>0.19999999999999929</v>
      </c>
      <c r="AH194" s="1">
        <f>$J194+SUMPRODUCT(regions!AG193:AV193,regions!AG$204:AV$204)</f>
        <v>-0.69999999999999929</v>
      </c>
      <c r="AI194" s="1">
        <f t="shared" si="116"/>
        <v>0.47620016232661477</v>
      </c>
      <c r="AJ194" s="1">
        <f>SartoriRoson!C191</f>
        <v>-0.16</v>
      </c>
      <c r="AK194" s="1">
        <f>Kompas!E191</f>
        <v>-0.622</v>
      </c>
      <c r="AL194" s="1">
        <f>$J194+SUMPRODUCT(regions!EY193:FW193,regions!EY$204:FW$204)</f>
        <v>-0.45624464744504678</v>
      </c>
      <c r="AM194" s="1">
        <f>$J194+SUMPRODUCT(regions!FZ193:GF193,regions!FZ$204:GF$204)</f>
        <v>1.0633420645688751</v>
      </c>
      <c r="AN194" s="1">
        <f t="shared" si="93"/>
        <v>-6.7237998376733845</v>
      </c>
      <c r="AO194" s="1">
        <f t="shared" si="93"/>
        <v>-6.0237998376733852</v>
      </c>
      <c r="AP194" s="1">
        <f t="shared" si="93"/>
        <v>-1.2237998376733845</v>
      </c>
      <c r="AQ194" s="1">
        <f t="shared" si="92"/>
        <v>7.6057274733170477</v>
      </c>
      <c r="AR194" s="1">
        <f t="shared" si="92"/>
        <v>-2.5237998376733852</v>
      </c>
      <c r="AS194" s="1">
        <f t="shared" si="92"/>
        <v>0.17620016232661406</v>
      </c>
      <c r="AT194" s="1">
        <f t="shared" si="92"/>
        <v>2.1828668289932818</v>
      </c>
      <c r="AU194" s="1">
        <f t="shared" si="100"/>
        <v>-2.7437998376733841</v>
      </c>
      <c r="AV194" s="1">
        <f t="shared" si="100"/>
        <v>-1.3237998376733859</v>
      </c>
      <c r="AW194" s="1">
        <f>$J194+SUMPRODUCT(regions!BN193:BU193,regions!BN$204:BU$204)</f>
        <v>-1.0305343511450396</v>
      </c>
      <c r="AX194" s="1">
        <f t="shared" si="100"/>
        <v>0.99620016232661435</v>
      </c>
      <c r="AY194" s="1">
        <f t="shared" si="100"/>
        <v>1.7762001623266155</v>
      </c>
      <c r="AZ194" s="1">
        <f t="shared" si="100"/>
        <v>1.7762001623266155</v>
      </c>
      <c r="BB194" t="str">
        <f>Maddison!A85</f>
        <v>United States</v>
      </c>
      <c r="BC194">
        <f>-Maddison!B85</f>
        <v>0.3</v>
      </c>
      <c r="BD194" s="1">
        <f>K194-BC194</f>
        <v>1.0785026718919137</v>
      </c>
      <c r="BE194" t="str">
        <f>RehdanzMaddison!P66</f>
        <v>United States</v>
      </c>
      <c r="BF194" s="1">
        <f>-100*RehdanzMaddison!U66</f>
        <v>-5.596958067669186E-2</v>
      </c>
      <c r="BG194" s="1">
        <f>-100*RehdanzMaddison!V66</f>
        <v>-0.13064119196974172</v>
      </c>
      <c r="BH194" s="1">
        <f t="shared" si="118"/>
        <v>1.4344722525686056</v>
      </c>
      <c r="BI194" s="1">
        <f t="shared" si="118"/>
        <v>1.5091438638616554</v>
      </c>
      <c r="BJ194" t="str">
        <f>MaddisonRehdanz!A79</f>
        <v>United States of America</v>
      </c>
      <c r="BK194">
        <f>MaddisonRehdanz!D79</f>
        <v>0.3</v>
      </c>
      <c r="BL194" s="1">
        <f>$K194-BK194</f>
        <v>1.0785026718919137</v>
      </c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</row>
    <row r="195" spans="1:90" x14ac:dyDescent="0.35">
      <c r="A195" t="s">
        <v>201</v>
      </c>
      <c r="B195" s="19">
        <f>regions!B194</f>
        <v>3371982</v>
      </c>
      <c r="C195" s="19">
        <f>regions!C194</f>
        <v>22899299769.575714</v>
      </c>
      <c r="D195" s="8">
        <f>regions!D194</f>
        <v>6791.0504176996537</v>
      </c>
      <c r="E195" s="8">
        <f>regions!E194</f>
        <v>18.886388740712952</v>
      </c>
      <c r="F195" s="8">
        <f>regions!F194</f>
        <v>7.202064503304678</v>
      </c>
      <c r="G195" s="1">
        <f>regions!Z194</f>
        <v>17.5</v>
      </c>
      <c r="J195" s="1">
        <f t="shared" si="106"/>
        <v>9.57889029916835</v>
      </c>
      <c r="K195" s="1">
        <f t="shared" si="113"/>
        <v>-5.3738559888564073</v>
      </c>
      <c r="L195" s="1">
        <f t="shared" si="95"/>
        <v>-4.1462076210419232</v>
      </c>
      <c r="M195" s="1">
        <f t="shared" si="96"/>
        <v>4.939002681424391</v>
      </c>
      <c r="N195" s="1">
        <f t="shared" si="117"/>
        <v>-4.8725875715443276</v>
      </c>
      <c r="O195" s="1">
        <f t="shared" si="117"/>
        <v>-7.2761584984217063</v>
      </c>
      <c r="P195" s="1">
        <f t="shared" si="117"/>
        <v>-5.2761584984217063</v>
      </c>
      <c r="Q195" s="1">
        <f t="shared" si="117"/>
        <v>-5.6061584984217063</v>
      </c>
      <c r="R195" s="1">
        <f t="shared" si="117"/>
        <v>-7.8761584984217059</v>
      </c>
      <c r="S195" s="1">
        <f>$J195+SUMPRODUCT(regions!EI194:EN194,regions!EI$204:EN$204)</f>
        <v>-0.68215700312491734</v>
      </c>
      <c r="T195" s="1">
        <f>$J195+SUMPRODUCT(regions!EQ194:EV194,regions!EQ$204:EV$204)</f>
        <v>-0.18116907014018757</v>
      </c>
      <c r="U195" s="1">
        <f>$J195+SUMPRODUCT(regions!CM194:CU194,regions!CM$204:CU$204)</f>
        <v>-2.5160471786815286</v>
      </c>
      <c r="V195" s="1">
        <f>$J195+SUMPRODUCT(regions!DH194:DM194,regions!DH$204:DM$204)</f>
        <v>-2.6096004376687514</v>
      </c>
      <c r="W195" s="1">
        <f>$J195+SUMPRODUCT(regions!DP194:DW194,regions!DP$204:DW$204)</f>
        <v>-2.506047178681527</v>
      </c>
      <c r="X195" s="1">
        <f>$J195+SUMPRODUCT(regions!AB194:AE194,regions!AB$204:AE$204)</f>
        <v>-0.37474848681094741</v>
      </c>
      <c r="Y195" s="1">
        <f>$J195+SUMPRODUCT(regions!BX194:CJ194,regions!BX$204:CJ$204)</f>
        <v>-0.96838181479146002</v>
      </c>
      <c r="Z195" s="1">
        <f>$J195+SUMPRODUCT(regions!CX194:DF194,regions!CX$204:DF$204)</f>
        <v>1.6839528213184725</v>
      </c>
      <c r="AA195" s="1">
        <f t="shared" si="107"/>
        <v>1.4</v>
      </c>
      <c r="AB195" s="1">
        <f t="shared" si="108"/>
        <v>-3.8306297847825097</v>
      </c>
      <c r="AC195" s="1">
        <f>$J195+SUMPRODUCT(regions!DZ194:EG194,regions!DZ$204:EG$204)</f>
        <v>-0.46694717868152757</v>
      </c>
      <c r="AD195" s="1">
        <f t="shared" si="115"/>
        <v>-5.2661584984217065</v>
      </c>
      <c r="AE195" s="1">
        <f t="shared" si="115"/>
        <v>-6.7761584984217063</v>
      </c>
      <c r="AF195" s="1">
        <f t="shared" si="109"/>
        <v>9.6</v>
      </c>
      <c r="AG195" s="1">
        <f>$J195+SUMPRODUCT(regions!AX194:BK194,regions!AX$204:BK$204)</f>
        <v>1.0947391558464243</v>
      </c>
      <c r="AH195" s="1">
        <f>$J195+SUMPRODUCT(regions!AG194:AV194,regions!AG$204:AV$204)</f>
        <v>-7.0718744024199722</v>
      </c>
      <c r="AI195" s="1">
        <f t="shared" si="116"/>
        <v>-6.2761584984217063</v>
      </c>
      <c r="AJ195" s="1">
        <f>SartoriRoson!C192</f>
        <v>-2.17</v>
      </c>
      <c r="AK195" s="1">
        <f>Kompas!E192</f>
        <v>-1.776</v>
      </c>
      <c r="AL195" s="1">
        <f>$J195+SUMPRODUCT(regions!EY194:FW194,regions!EY$204:FW$204)</f>
        <v>0.26099037783354717</v>
      </c>
      <c r="AM195" s="1">
        <f>$J195+SUMPRODUCT(regions!FZ194:GF194,regions!FZ$204:GF$204)</f>
        <v>3.7176742949511681</v>
      </c>
      <c r="AN195" s="1">
        <f t="shared" si="93"/>
        <v>-13.476158498421706</v>
      </c>
      <c r="AO195" s="1">
        <f t="shared" si="93"/>
        <v>-12.776158498421706</v>
      </c>
      <c r="AP195" s="1">
        <f t="shared" si="93"/>
        <v>-7.9761584984217064</v>
      </c>
      <c r="AQ195" s="1">
        <f t="shared" si="92"/>
        <v>0.85336881256872665</v>
      </c>
      <c r="AR195" s="1">
        <f t="shared" si="92"/>
        <v>-9.2761584984217063</v>
      </c>
      <c r="AS195" s="1">
        <f t="shared" si="92"/>
        <v>-6.5761584984217061</v>
      </c>
      <c r="AT195" s="1">
        <f t="shared" ref="AT195:AZ196" si="119">$J195+AT$3-$J$3</f>
        <v>-4.5694918317550393</v>
      </c>
      <c r="AU195" s="1">
        <f t="shared" si="119"/>
        <v>-9.4961584984217069</v>
      </c>
      <c r="AV195" s="1">
        <f t="shared" si="119"/>
        <v>-8.0761584984217052</v>
      </c>
      <c r="AW195" s="1">
        <f>$J195+SUMPRODUCT(regions!BN194:BU194,regions!BN$204:BU$204)</f>
        <v>-4.0577637107409306</v>
      </c>
      <c r="AX195" s="1">
        <f t="shared" si="119"/>
        <v>-5.7561584984217067</v>
      </c>
      <c r="AY195" s="1">
        <f t="shared" si="119"/>
        <v>-4.9761584984217055</v>
      </c>
      <c r="AZ195" s="1">
        <f t="shared" si="119"/>
        <v>-4.9761584984217055</v>
      </c>
      <c r="BB195" t="str">
        <f>Maddison!A86</f>
        <v>Uruguay</v>
      </c>
      <c r="BC195">
        <f>-Maddison!B86</f>
        <v>1.4</v>
      </c>
      <c r="BD195" s="1">
        <f>K195-BC195</f>
        <v>-6.7738559888564076</v>
      </c>
      <c r="BE195" t="str">
        <f>RehdanzMaddison!P68</f>
        <v>Uruguay</v>
      </c>
      <c r="BF195" s="1">
        <f>-100*RehdanzMaddison!U68</f>
        <v>-2.1652025968879074</v>
      </c>
      <c r="BG195" s="1">
        <f>-100*RehdanzMaddison!V68</f>
        <v>-3.8306297847825097</v>
      </c>
      <c r="BH195" s="1">
        <f t="shared" si="118"/>
        <v>-3.2086533919684999</v>
      </c>
      <c r="BI195" s="1">
        <f t="shared" si="118"/>
        <v>-1.5432262040738975</v>
      </c>
      <c r="BJ195" t="str">
        <f>MaddisonRehdanz!A80</f>
        <v>Uruguay</v>
      </c>
      <c r="BK195">
        <f>MaddisonRehdanz!D80</f>
        <v>9.6</v>
      </c>
      <c r="BL195" s="1">
        <f>$K195-BK195</f>
        <v>-14.973855988856407</v>
      </c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</row>
    <row r="196" spans="1:90" x14ac:dyDescent="0.35">
      <c r="A196" t="s">
        <v>417</v>
      </c>
      <c r="B196" s="19">
        <f>regions!B195</f>
        <v>28562400</v>
      </c>
      <c r="C196" s="19">
        <f>regions!C195</f>
        <v>21491158366.324051</v>
      </c>
      <c r="D196" s="8">
        <f>regions!D195</f>
        <v>752.42831016735465</v>
      </c>
      <c r="E196" s="8">
        <f>regions!E195</f>
        <v>0</v>
      </c>
      <c r="F196" s="8">
        <f>regions!F195</f>
        <v>17.993758445093068</v>
      </c>
      <c r="G196" s="1">
        <f>regions!Z195</f>
        <v>12.1</v>
      </c>
      <c r="J196" s="1">
        <f t="shared" si="106"/>
        <v>7.5759409585065374</v>
      </c>
      <c r="K196" s="1">
        <f t="shared" si="113"/>
        <v>-7.3768053295182199</v>
      </c>
      <c r="L196" s="1">
        <f t="shared" si="95"/>
        <v>-8.1974537065823139</v>
      </c>
      <c r="M196" s="1">
        <f t="shared" si="96"/>
        <v>6.9690319894455337</v>
      </c>
      <c r="N196" s="1">
        <f t="shared" si="117"/>
        <v>-6.8755369122061403</v>
      </c>
      <c r="O196" s="1">
        <f t="shared" si="117"/>
        <v>-9.2791078390835189</v>
      </c>
      <c r="P196" s="1">
        <f t="shared" si="117"/>
        <v>-7.2791078390835189</v>
      </c>
      <c r="Q196" s="1">
        <f t="shared" si="117"/>
        <v>-7.609107839083519</v>
      </c>
      <c r="R196" s="1">
        <f t="shared" si="117"/>
        <v>-9.8791078390835185</v>
      </c>
      <c r="S196" s="1">
        <f>$J196+SUMPRODUCT(regions!EI195:EN195,regions!EI$204:EN$204)</f>
        <v>-9.2927105264958616</v>
      </c>
      <c r="T196" s="1">
        <f>$J196+SUMPRODUCT(regions!EQ195:EV195,regions!EQ$204:EV$204)</f>
        <v>-9.392710526495863</v>
      </c>
      <c r="U196" s="1">
        <f>$J196+SUMPRODUCT(regions!CM195:CU195,regions!CM$204:CU$204)</f>
        <v>-7.0800658707295518</v>
      </c>
      <c r="V196" s="1">
        <f>$J196+SUMPRODUCT(regions!DH195:DM195,regions!DH$204:DM$204)</f>
        <v>-9.4497105264958616</v>
      </c>
      <c r="W196" s="1">
        <f>$J196+SUMPRODUCT(regions!DP195:DW195,regions!DP$204:DW$204)</f>
        <v>-7.3800658707295526</v>
      </c>
      <c r="X196" s="1">
        <f>$J196+SUMPRODUCT(regions!AB195:AE195,regions!AB$204:AE$204)</f>
        <v>4.0594236102910957</v>
      </c>
      <c r="Y196" s="1">
        <f>$J196+SUMPRODUCT(regions!BX195:CJ195,regions!BX$204:CJ$204)</f>
        <v>0.27139975363418678</v>
      </c>
      <c r="Z196" s="1">
        <f>$J196+SUMPRODUCT(regions!CX195:DF195,regions!CX$204:DF$204)</f>
        <v>-5.3800658707295526</v>
      </c>
      <c r="AA196" s="1">
        <f t="shared" si="107"/>
        <v>-4.8721070398440212</v>
      </c>
      <c r="AB196" s="1">
        <f t="shared" si="108"/>
        <v>-6.4321673915286075</v>
      </c>
      <c r="AC196" s="1">
        <f>$J196+SUMPRODUCT(regions!DZ195:EG195,regions!DZ$204:EG$204)</f>
        <v>-6.9495658707295522</v>
      </c>
      <c r="AD196" s="1">
        <f t="shared" si="115"/>
        <v>-7.2691078390835191</v>
      </c>
      <c r="AE196" s="1">
        <f t="shared" si="115"/>
        <v>-8.7791078390835189</v>
      </c>
      <c r="AF196" s="1">
        <f t="shared" si="109"/>
        <v>-34.90005007418889</v>
      </c>
      <c r="AG196" s="1">
        <f>$J196+SUMPRODUCT(regions!AX195:BK195,regions!AX$204:BK$204)</f>
        <v>-7.7927105264958616</v>
      </c>
      <c r="AH196" s="1">
        <f>$J196+SUMPRODUCT(regions!AG195:AV195,regions!AG$204:AV$204)</f>
        <v>-6.828867805816115</v>
      </c>
      <c r="AI196" s="1">
        <f t="shared" si="116"/>
        <v>-8.2791078390835189</v>
      </c>
      <c r="AJ196" s="1">
        <f>SartoriRoson!C193</f>
        <v>7.0000000000000007E-2</v>
      </c>
      <c r="AK196" s="1">
        <f>Kompas!E193</f>
        <v>-0.56399999999999995</v>
      </c>
      <c r="AL196" s="1">
        <f>$J196+SUMPRODUCT(regions!EY195:FW195,regions!EY$204:FW$204)</f>
        <v>-2.6771470939740301</v>
      </c>
      <c r="AM196" s="1">
        <f>$J196+SUMPRODUCT(regions!FZ195:GF195,regions!FZ$204:GF$204)</f>
        <v>-7.3166081042762112</v>
      </c>
      <c r="AN196" s="1">
        <f t="shared" si="93"/>
        <v>-15.479107839083518</v>
      </c>
      <c r="AO196" s="1">
        <f t="shared" si="93"/>
        <v>-14.779107839083519</v>
      </c>
      <c r="AP196" s="1">
        <f t="shared" si="93"/>
        <v>-9.9791078390835182</v>
      </c>
      <c r="AQ196" s="1">
        <f t="shared" si="92"/>
        <v>-1.1495805280930842</v>
      </c>
      <c r="AR196" s="1">
        <f t="shared" si="92"/>
        <v>-11.279107839083519</v>
      </c>
      <c r="AS196" s="1">
        <f t="shared" si="92"/>
        <v>-8.5791078390835196</v>
      </c>
      <c r="AT196" s="1">
        <f t="shared" si="119"/>
        <v>-6.5724411724168519</v>
      </c>
      <c r="AU196" s="1">
        <f t="shared" si="119"/>
        <v>-11.499107839083518</v>
      </c>
      <c r="AV196" s="1">
        <f t="shared" si="119"/>
        <v>-10.07910783908352</v>
      </c>
      <c r="AW196" s="1">
        <f>$J196+SUMPRODUCT(regions!BN195:BU195,regions!BN$204:BU$204)</f>
        <v>-7.4858903848094567</v>
      </c>
      <c r="AX196" s="1">
        <f t="shared" si="119"/>
        <v>-7.7591078390835193</v>
      </c>
      <c r="AY196" s="1">
        <f t="shared" si="119"/>
        <v>-6.9791078390835191</v>
      </c>
      <c r="AZ196" s="1">
        <f t="shared" si="119"/>
        <v>-6.9791078390835191</v>
      </c>
      <c r="BF196" s="1"/>
      <c r="BG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</row>
    <row r="197" spans="1:90" x14ac:dyDescent="0.35">
      <c r="A197" t="s">
        <v>418</v>
      </c>
      <c r="B197" s="19">
        <f>regions!B196</f>
        <v>236299</v>
      </c>
      <c r="C197" s="19">
        <f>regions!C196</f>
        <v>503575271.44056231</v>
      </c>
      <c r="D197" s="8">
        <f>regions!D196</f>
        <v>2131.0935359039281</v>
      </c>
      <c r="E197" s="8">
        <f>regions!E196</f>
        <v>15.499175403463305</v>
      </c>
      <c r="F197" s="8">
        <f>regions!F196</f>
        <v>20.725350453528094</v>
      </c>
      <c r="G197" s="1">
        <f>regions!Z196</f>
        <v>24</v>
      </c>
      <c r="J197" s="1">
        <f t="shared" ref="J197:J202" si="120">I$1+I$2*LN(D197)+I$3*G197</f>
        <v>5.0482151138072808</v>
      </c>
      <c r="K197" s="1">
        <f t="shared" si="113"/>
        <v>-9.9045311742174764</v>
      </c>
      <c r="L197" s="1">
        <f t="shared" si="95"/>
        <v>-10.111895626798901</v>
      </c>
      <c r="M197" s="1">
        <f t="shared" si="96"/>
        <v>7.4114375156873447</v>
      </c>
      <c r="N197" s="1">
        <f t="shared" si="117"/>
        <v>-9.4032627569053968</v>
      </c>
      <c r="O197" s="1">
        <f t="shared" si="117"/>
        <v>-11.806833683782775</v>
      </c>
      <c r="P197" s="1">
        <f t="shared" si="117"/>
        <v>-9.8068336837827754</v>
      </c>
      <c r="Q197" s="1">
        <f t="shared" si="117"/>
        <v>-10.136833683782775</v>
      </c>
      <c r="R197" s="1">
        <f t="shared" si="117"/>
        <v>-12.406833683782775</v>
      </c>
      <c r="S197" s="1">
        <f>$J197+SUMPRODUCT(regions!EI196:EN196,regions!EI$204:EN$204)</f>
        <v>-5.2128321884859865</v>
      </c>
      <c r="T197" s="1">
        <f>$J197+SUMPRODUCT(regions!EQ196:EV196,regions!EQ$204:EV$204)</f>
        <v>-4.7118442555012567</v>
      </c>
      <c r="U197" s="1">
        <f>$J197+SUMPRODUCT(regions!CM196:CU196,regions!CM$204:CU$204)</f>
        <v>-10.749790758530711</v>
      </c>
      <c r="V197" s="1">
        <f>$J197+SUMPRODUCT(regions!DH196:DM196,regions!DH$204:DM$204)</f>
        <v>-7.1402756230298206</v>
      </c>
      <c r="W197" s="1">
        <f>$J197+SUMPRODUCT(regions!DP196:DW196,regions!DP$204:DW$204)</f>
        <v>-10.924340924280411</v>
      </c>
      <c r="X197" s="1">
        <f>$J197+SUMPRODUCT(regions!AB196:AE196,regions!AB$204:AE$204)</f>
        <v>-4.0901900435327185</v>
      </c>
      <c r="Y197" s="1">
        <f>$J197+SUMPRODUCT(regions!BX196:CJ196,regions!BX$204:CJ$204)</f>
        <v>-5.4990570001525292</v>
      </c>
      <c r="Z197" s="1">
        <f>$J197+SUMPRODUCT(regions!CX196:DF196,regions!CX$204:DF$204)</f>
        <v>-3.8497907585307125</v>
      </c>
      <c r="AA197" s="1">
        <f t="shared" ref="AA197:AA202" si="121">IF(ISNUMBER(BC197),BC197,K197-BD$4)</f>
        <v>-7.3998328845432777</v>
      </c>
      <c r="AB197" s="1">
        <f t="shared" ref="AB197:AB202" si="122">IF(ISNUMBER(BG197),BG197,K197-BI$4)</f>
        <v>-8.9598932362278649</v>
      </c>
      <c r="AC197" s="1">
        <f>$J197+SUMPRODUCT(regions!DZ196:EG196,regions!DZ$204:EG$204)</f>
        <v>-5.4193409242804123</v>
      </c>
      <c r="AD197" s="1">
        <f t="shared" si="115"/>
        <v>-9.7968336837827756</v>
      </c>
      <c r="AE197" s="1">
        <f t="shared" si="115"/>
        <v>-11.306833683782775</v>
      </c>
      <c r="AF197" s="1">
        <f t="shared" ref="AF197:AF202" si="123">IF(ISNUMBER(BK197),BK197,K197-BL$4)</f>
        <v>-37.427775918888145</v>
      </c>
      <c r="AG197" s="1">
        <f>$J197+SUMPRODUCT(regions!AX196:BK196,regions!AX$204:BK$204)</f>
        <v>-3.848291262900112</v>
      </c>
      <c r="AH197" s="1">
        <f>$J197+SUMPRODUCT(regions!AG196:AV196,regions!AG$204:AV$204)</f>
        <v>-11.602549587781041</v>
      </c>
      <c r="AI197" s="1">
        <f t="shared" si="116"/>
        <v>-10.806833683782775</v>
      </c>
      <c r="AJ197" s="1">
        <f>SartoriRoson!C194</f>
        <v>-2.02</v>
      </c>
      <c r="AK197" s="1">
        <f>Kompas!E194</f>
        <v>-5.1710000000000003</v>
      </c>
      <c r="AL197" s="1">
        <f>$J197+SUMPRODUCT(regions!EY196:FW196,regions!EY$204:FW$204)</f>
        <v>-5.2048729386732866</v>
      </c>
      <c r="AM197" s="1">
        <f>$J197+SUMPRODUCT(regions!FZ196:GF196,regions!FZ$204:GF$204)</f>
        <v>-5.6822209124351506</v>
      </c>
      <c r="AN197" s="1">
        <f t="shared" si="93"/>
        <v>-18.006833683782773</v>
      </c>
      <c r="AO197" s="1">
        <f t="shared" si="93"/>
        <v>-17.306833683782777</v>
      </c>
      <c r="AP197" s="1">
        <f t="shared" ref="AP197:AZ197" si="124">$J197+AP$3-$J$3</f>
        <v>-12.506833683782776</v>
      </c>
      <c r="AQ197" s="1">
        <f t="shared" si="124"/>
        <v>-3.6773063727923425</v>
      </c>
      <c r="AR197" s="1">
        <f t="shared" si="124"/>
        <v>-13.806833683782775</v>
      </c>
      <c r="AS197" s="1">
        <f t="shared" si="124"/>
        <v>-11.106833683782774</v>
      </c>
      <c r="AT197" s="1">
        <f t="shared" si="124"/>
        <v>-9.1001670171161084</v>
      </c>
      <c r="AU197" s="1">
        <f t="shared" si="124"/>
        <v>-14.026833683782776</v>
      </c>
      <c r="AV197" s="1">
        <f t="shared" si="124"/>
        <v>-12.606833683782774</v>
      </c>
      <c r="AW197" s="1">
        <f>$J197+SUMPRODUCT(regions!BN196:BU196,regions!BN$204:BU$204)</f>
        <v>-8.5884388961019997</v>
      </c>
      <c r="AX197" s="1">
        <f t="shared" si="124"/>
        <v>-10.286833683782776</v>
      </c>
      <c r="AY197" s="1">
        <f t="shared" si="124"/>
        <v>-9.5068336837827765</v>
      </c>
      <c r="AZ197" s="1">
        <f t="shared" si="124"/>
        <v>-9.5068336837827765</v>
      </c>
      <c r="BF197" s="1"/>
      <c r="BG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</row>
    <row r="198" spans="1:90" x14ac:dyDescent="0.35">
      <c r="A198" t="s">
        <v>202</v>
      </c>
      <c r="B198" s="19">
        <f>regions!B197</f>
        <v>29043283</v>
      </c>
      <c r="C198" s="19">
        <f>regions!C197</f>
        <v>174552448164.40952</v>
      </c>
      <c r="D198" s="8">
        <f>regions!D197</f>
        <v>6010.0797889966334</v>
      </c>
      <c r="E198" s="8">
        <f>regions!E197</f>
        <v>0</v>
      </c>
      <c r="F198" s="8">
        <f>regions!F197</f>
        <v>5.3752651655055361</v>
      </c>
      <c r="G198" s="1">
        <f>regions!Z197</f>
        <v>25.3</v>
      </c>
      <c r="J198" s="1">
        <f t="shared" si="120"/>
        <v>6.4551101878493906</v>
      </c>
      <c r="K198" s="1">
        <f t="shared" si="113"/>
        <v>-8.4976361001753666</v>
      </c>
      <c r="L198" s="1">
        <f t="shared" si="95"/>
        <v>-9.7268419707896072</v>
      </c>
      <c r="M198" s="1">
        <f t="shared" si="96"/>
        <v>12.752189032526271</v>
      </c>
      <c r="N198" s="1">
        <f t="shared" si="117"/>
        <v>-7.996367682863287</v>
      </c>
      <c r="O198" s="1">
        <f t="shared" si="117"/>
        <v>-10.399938609740666</v>
      </c>
      <c r="P198" s="1">
        <f t="shared" si="117"/>
        <v>-8.3999386097406656</v>
      </c>
      <c r="Q198" s="1">
        <f t="shared" si="117"/>
        <v>-8.7299386097406657</v>
      </c>
      <c r="R198" s="1">
        <f t="shared" si="117"/>
        <v>-10.999938609740665</v>
      </c>
      <c r="S198" s="1">
        <f>$J198+SUMPRODUCT(regions!EI197:EN197,regions!EI$204:EN$204)</f>
        <v>-3.8059371144438767</v>
      </c>
      <c r="T198" s="1">
        <f>$J198+SUMPRODUCT(regions!EQ197:EV197,regions!EQ$204:EV$204)</f>
        <v>-3.304949181459147</v>
      </c>
      <c r="U198" s="1">
        <f>$J198+SUMPRODUCT(regions!CM197:CU197,regions!CM$204:CU$204)</f>
        <v>-5.639827290000488</v>
      </c>
      <c r="V198" s="1">
        <f>$J198+SUMPRODUCT(regions!DH197:DM197,regions!DH$204:DM$204)</f>
        <v>-5.7333805489877108</v>
      </c>
      <c r="W198" s="1">
        <f>$J198+SUMPRODUCT(regions!DP197:DW197,regions!DP$204:DW$204)</f>
        <v>-5.6298272900004864</v>
      </c>
      <c r="X198" s="1">
        <f>$J198+SUMPRODUCT(regions!AB197:AE197,regions!AB$204:AE$204)</f>
        <v>-3.4985285981299068</v>
      </c>
      <c r="Y198" s="1">
        <f>$J198+SUMPRODUCT(regions!BX197:CJ197,regions!BX$204:CJ$204)</f>
        <v>-4.0921619261104194</v>
      </c>
      <c r="Z198" s="1">
        <f>$J198+SUMPRODUCT(regions!CX197:DF197,regions!CX$204:DF$204)</f>
        <v>-1.4398272900004869</v>
      </c>
      <c r="AA198" s="1">
        <f t="shared" si="121"/>
        <v>-42</v>
      </c>
      <c r="AB198" s="1">
        <f t="shared" si="122"/>
        <v>0.9192889602090264</v>
      </c>
      <c r="AC198" s="1">
        <f>$J198+SUMPRODUCT(regions!DZ197:EG197,regions!DZ$204:EG$204)</f>
        <v>-3.590727290000487</v>
      </c>
      <c r="AD198" s="1">
        <f t="shared" si="115"/>
        <v>-8.3899386097406659</v>
      </c>
      <c r="AE198" s="1">
        <f t="shared" si="115"/>
        <v>-9.8999386097406656</v>
      </c>
      <c r="AF198" s="1">
        <f t="shared" si="123"/>
        <v>-63.1</v>
      </c>
      <c r="AG198" s="1">
        <f>$J198+SUMPRODUCT(regions!AX197:BK197,regions!AX$204:BK$204)</f>
        <v>-2.029040955472535</v>
      </c>
      <c r="AH198" s="1">
        <f>$J198+SUMPRODUCT(regions!AG197:AV197,regions!AG$204:AV$204)</f>
        <v>-10.195654513738932</v>
      </c>
      <c r="AI198" s="1">
        <f t="shared" si="116"/>
        <v>-9.3999386097406656</v>
      </c>
      <c r="AJ198" s="1">
        <f>SartoriRoson!C195</f>
        <v>-2.15</v>
      </c>
      <c r="AK198" s="1">
        <f>Kompas!E195</f>
        <v>-3.6139999999999999</v>
      </c>
      <c r="AL198" s="1">
        <f>$J198+SUMPRODUCT(regions!EY197:FW197,regions!EY$204:FW$204)</f>
        <v>-2.8627897334854122</v>
      </c>
      <c r="AM198" s="1">
        <f>$J198+SUMPRODUCT(regions!FZ197:GF197,regions!FZ$204:GF$204)</f>
        <v>0.59389418363220869</v>
      </c>
      <c r="AN198" s="1">
        <f t="shared" ref="AN198:AZ202" si="125">$J198+AN$3-$J$3</f>
        <v>-16.599938609740665</v>
      </c>
      <c r="AO198" s="1">
        <f t="shared" si="125"/>
        <v>-15.899938609740666</v>
      </c>
      <c r="AP198" s="1">
        <f t="shared" si="125"/>
        <v>-11.099938609740665</v>
      </c>
      <c r="AQ198" s="1">
        <f t="shared" si="125"/>
        <v>-2.270411298750231</v>
      </c>
      <c r="AR198" s="1">
        <f t="shared" si="125"/>
        <v>-12.399938609740666</v>
      </c>
      <c r="AS198" s="1">
        <f t="shared" si="125"/>
        <v>-9.6999386097406664</v>
      </c>
      <c r="AT198" s="1">
        <f t="shared" si="125"/>
        <v>-7.6932719430739986</v>
      </c>
      <c r="AU198" s="1">
        <f t="shared" si="125"/>
        <v>-12.619938609740665</v>
      </c>
      <c r="AV198" s="1">
        <f t="shared" si="125"/>
        <v>-11.199938609740666</v>
      </c>
      <c r="AW198" s="1">
        <f>$J198+SUMPRODUCT(regions!BN197:BU197,regions!BN$204:BU$204)</f>
        <v>-5.4496784223665085</v>
      </c>
      <c r="AX198" s="1">
        <f t="shared" si="125"/>
        <v>-8.8799386097406661</v>
      </c>
      <c r="AY198" s="1">
        <f t="shared" si="125"/>
        <v>-8.0999386097406649</v>
      </c>
      <c r="AZ198" s="1">
        <f t="shared" si="125"/>
        <v>-8.0999386097406649</v>
      </c>
      <c r="BB198" t="str">
        <f>Maddison!A87</f>
        <v>Venezuela</v>
      </c>
      <c r="BC198">
        <f>-Maddison!B87</f>
        <v>-42</v>
      </c>
      <c r="BD198" s="1">
        <f>K198-BC198</f>
        <v>33.50236389982463</v>
      </c>
      <c r="BE198" t="str">
        <f>RehdanzMaddison!P69</f>
        <v>Venezuela</v>
      </c>
      <c r="BF198" s="1">
        <f>-100*RehdanzMaddison!U69</f>
        <v>0.55024227898846156</v>
      </c>
      <c r="BG198" s="1">
        <f>-100*RehdanzMaddison!V69</f>
        <v>0.9192889602090264</v>
      </c>
      <c r="BH198" s="1">
        <f>$K198-BF198</f>
        <v>-9.0478783791638282</v>
      </c>
      <c r="BI198" s="1">
        <f>$K198-BG198</f>
        <v>-9.4169250603843935</v>
      </c>
      <c r="BJ198" t="str">
        <f>MaddisonRehdanz!A81</f>
        <v>Venezuela</v>
      </c>
      <c r="BK198">
        <f>MaddisonRehdanz!D81</f>
        <v>-63.1</v>
      </c>
      <c r="BL198" s="1">
        <f>$K198-BK198</f>
        <v>54.602363899824638</v>
      </c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</row>
    <row r="199" spans="1:90" x14ac:dyDescent="0.35">
      <c r="A199" t="s">
        <v>419</v>
      </c>
      <c r="B199" s="19">
        <f>regions!B198</f>
        <v>86932500</v>
      </c>
      <c r="C199" s="19">
        <f>regions!C198</f>
        <v>78282167937.76619</v>
      </c>
      <c r="D199" s="8">
        <f>regions!D198</f>
        <v>900.49369266691042</v>
      </c>
      <c r="E199" s="8">
        <f>regions!E198</f>
        <v>22.323883089847754</v>
      </c>
      <c r="F199" s="8">
        <f>regions!F198</f>
        <v>18.378480583253161</v>
      </c>
      <c r="G199" s="1">
        <f>regions!Z198</f>
        <v>24.4</v>
      </c>
      <c r="J199" s="1">
        <f t="shared" si="120"/>
        <v>3.3287689783522261</v>
      </c>
      <c r="K199" s="1">
        <f t="shared" si="113"/>
        <v>-11.623977309672531</v>
      </c>
      <c r="L199" s="1">
        <f t="shared" si="95"/>
        <v>-13.035914351007792</v>
      </c>
      <c r="M199" s="1">
        <f t="shared" si="96"/>
        <v>16.712614121099406</v>
      </c>
      <c r="N199" s="1">
        <f t="shared" si="117"/>
        <v>-11.122708892360452</v>
      </c>
      <c r="O199" s="1">
        <f t="shared" si="117"/>
        <v>-13.52627981923783</v>
      </c>
      <c r="P199" s="1">
        <f t="shared" si="117"/>
        <v>-11.52627981923783</v>
      </c>
      <c r="Q199" s="1">
        <f t="shared" si="117"/>
        <v>-11.85627981923783</v>
      </c>
      <c r="R199" s="1">
        <f t="shared" si="117"/>
        <v>-14.12627981923783</v>
      </c>
      <c r="S199" s="1">
        <f>$J199+SUMPRODUCT(regions!EI198:EN198,regions!EI$204:EN$204)</f>
        <v>-6.9322783239410413</v>
      </c>
      <c r="T199" s="1">
        <f>$J199+SUMPRODUCT(regions!EQ198:EV198,regions!EQ$204:EV$204)</f>
        <v>-6.4312903909563115</v>
      </c>
      <c r="U199" s="1">
        <f>$J199+SUMPRODUCT(regions!CM198:CU198,regions!CM$204:CU$204)</f>
        <v>-12.469236893985766</v>
      </c>
      <c r="V199" s="1">
        <f>$J199+SUMPRODUCT(regions!DH198:DM198,regions!DH$204:DM$204)</f>
        <v>-8.8597217584848753</v>
      </c>
      <c r="W199" s="1">
        <f>$J199+SUMPRODUCT(regions!DP198:DW198,regions!DP$204:DW$204)</f>
        <v>-12.643787059735466</v>
      </c>
      <c r="X199" s="1">
        <f>$J199+SUMPRODUCT(regions!AB198:AE198,regions!AB$204:AE$204)</f>
        <v>-0.18774836986321564</v>
      </c>
      <c r="Y199" s="1">
        <f>$J199+SUMPRODUCT(regions!BX198:CJ198,regions!BX$204:CJ$204)</f>
        <v>-3.9757722265201245</v>
      </c>
      <c r="Z199" s="1">
        <f>$J199+SUMPRODUCT(regions!CX198:DF198,regions!CX$204:DF$204)</f>
        <v>-5.5692368939857673</v>
      </c>
      <c r="AA199" s="1">
        <f t="shared" si="121"/>
        <v>-9.1192790199983325</v>
      </c>
      <c r="AB199" s="1">
        <f t="shared" si="122"/>
        <v>-10.67933937168292</v>
      </c>
      <c r="AC199" s="1">
        <f>$J199+SUMPRODUCT(regions!DZ198:EG198,regions!DZ$204:EG$204)</f>
        <v>-7.138787059735467</v>
      </c>
      <c r="AD199" s="1">
        <f t="shared" si="115"/>
        <v>-11.51627981923783</v>
      </c>
      <c r="AE199" s="1">
        <f t="shared" si="115"/>
        <v>-13.02627981923783</v>
      </c>
      <c r="AF199" s="1">
        <f t="shared" si="123"/>
        <v>-98</v>
      </c>
      <c r="AG199" s="1">
        <f>$J199+SUMPRODUCT(regions!AX198:BK198,regions!AX$204:BK$204)</f>
        <v>-5.5677373983551668</v>
      </c>
      <c r="AH199" s="1">
        <f>$J199+SUMPRODUCT(regions!AG198:AV198,regions!AG$204:AV$204)</f>
        <v>-11.076039785970426</v>
      </c>
      <c r="AI199" s="1">
        <f t="shared" si="116"/>
        <v>-12.52627981923783</v>
      </c>
      <c r="AJ199" s="1">
        <f>SartoriRoson!C196</f>
        <v>-7.09</v>
      </c>
      <c r="AK199" s="1">
        <f>Kompas!E196</f>
        <v>-7.9589999999999996</v>
      </c>
      <c r="AL199" s="1">
        <f>$J199+SUMPRODUCT(regions!EY198:FW198,regions!EY$204:FW$204)</f>
        <v>-5.2369056494875252</v>
      </c>
      <c r="AM199" s="1">
        <f>$J199+SUMPRODUCT(regions!FZ198:GF198,regions!FZ$204:GF$204)</f>
        <v>-5.6379658143548923</v>
      </c>
      <c r="AN199" s="1">
        <f t="shared" si="125"/>
        <v>-19.726279819237831</v>
      </c>
      <c r="AO199" s="1">
        <f t="shared" si="125"/>
        <v>-19.026279819237828</v>
      </c>
      <c r="AP199" s="1">
        <f t="shared" si="125"/>
        <v>-14.226279819237831</v>
      </c>
      <c r="AQ199" s="1">
        <f t="shared" si="125"/>
        <v>-5.3967525082473973</v>
      </c>
      <c r="AR199" s="1">
        <f t="shared" si="125"/>
        <v>-15.52627981923783</v>
      </c>
      <c r="AS199" s="1">
        <f t="shared" si="125"/>
        <v>-12.826279819237829</v>
      </c>
      <c r="AT199" s="1">
        <f t="shared" si="125"/>
        <v>-10.819613152571163</v>
      </c>
      <c r="AU199" s="1">
        <f t="shared" si="125"/>
        <v>-15.746279819237831</v>
      </c>
      <c r="AV199" s="1">
        <f t="shared" si="125"/>
        <v>-14.326279819237829</v>
      </c>
      <c r="AW199" s="1">
        <f>$J199+SUMPRODUCT(regions!BN198:BU198,regions!BN$204:BU$204)</f>
        <v>-8.576019631863673</v>
      </c>
      <c r="AX199" s="1">
        <f t="shared" si="125"/>
        <v>-12.006279819237831</v>
      </c>
      <c r="AY199" s="1">
        <f t="shared" si="125"/>
        <v>-11.226279819237831</v>
      </c>
      <c r="AZ199" s="1">
        <f t="shared" si="125"/>
        <v>-11.226279819237831</v>
      </c>
      <c r="BF199" s="11"/>
      <c r="BG199" s="11"/>
      <c r="BJ199" t="str">
        <f>MaddisonRehdanz!A82</f>
        <v>Viet Nam</v>
      </c>
      <c r="BK199">
        <f>MaddisonRehdanz!D82</f>
        <v>-98</v>
      </c>
      <c r="BL199" s="1">
        <f>$K199-BK199</f>
        <v>86.376022690327474</v>
      </c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</row>
    <row r="200" spans="1:90" x14ac:dyDescent="0.35">
      <c r="A200" t="s">
        <v>420</v>
      </c>
      <c r="B200" s="19">
        <f>regions!B199</f>
        <v>22763008</v>
      </c>
      <c r="C200" s="19">
        <f>regions!C199</f>
        <v>19989098341.112953</v>
      </c>
      <c r="D200" s="8">
        <f>regions!D199</f>
        <v>878.13958248017809</v>
      </c>
      <c r="E200" s="8">
        <f>regions!E199</f>
        <v>0</v>
      </c>
      <c r="F200" s="8">
        <f>regions!F199</f>
        <v>8.1621815718217086</v>
      </c>
      <c r="G200" s="1">
        <f>regions!Z199</f>
        <v>23.8</v>
      </c>
      <c r="J200" s="1">
        <f t="shared" si="120"/>
        <v>3.5060919596893871</v>
      </c>
      <c r="K200" s="1">
        <f t="shared" si="113"/>
        <v>-11.44665432833537</v>
      </c>
      <c r="L200" s="1">
        <f t="shared" si="95"/>
        <v>-11.211811963897956</v>
      </c>
      <c r="M200" s="1">
        <f t="shared" si="96"/>
        <v>8.1538162298750692</v>
      </c>
      <c r="N200" s="1">
        <f t="shared" si="117"/>
        <v>-10.945385911023291</v>
      </c>
      <c r="O200" s="1">
        <f t="shared" si="117"/>
        <v>-13.348956837900669</v>
      </c>
      <c r="P200" s="1">
        <f t="shared" si="117"/>
        <v>-11.348956837900669</v>
      </c>
      <c r="Q200" s="1">
        <f t="shared" si="117"/>
        <v>-11.678956837900669</v>
      </c>
      <c r="R200" s="1">
        <f t="shared" si="117"/>
        <v>-13.948956837900669</v>
      </c>
      <c r="S200" s="1">
        <f>$J200+SUMPRODUCT(regions!EI199:EN199,regions!EI$204:EN$204)</f>
        <v>-6.7549553426038802</v>
      </c>
      <c r="T200" s="1">
        <f>$J200+SUMPRODUCT(regions!EQ199:EV199,regions!EQ$204:EV$204)</f>
        <v>-6.2539674096191504</v>
      </c>
      <c r="U200" s="1">
        <f>$J200+SUMPRODUCT(regions!CM199:CU199,regions!CM$204:CU$204)</f>
        <v>-10.120654614017718</v>
      </c>
      <c r="V200" s="1">
        <f>$J200+SUMPRODUCT(regions!DH199:DM199,regions!DH$204:DM$204)</f>
        <v>-8.6823987771477142</v>
      </c>
      <c r="W200" s="1">
        <f>$J200+SUMPRODUCT(regions!DP199:DW199,regions!DP$204:DW$204)</f>
        <v>-10.521956026538215</v>
      </c>
      <c r="X200" s="1">
        <f>$J200+SUMPRODUCT(regions!AB199:AE199,regions!AB$204:AE$204)</f>
        <v>-1.0425388526054569E-2</v>
      </c>
      <c r="Y200" s="1">
        <f>$J200+SUMPRODUCT(regions!BX199:CJ199,regions!BX$204:CJ$204)</f>
        <v>-3.7984492451829635</v>
      </c>
      <c r="Z200" s="1">
        <f>$J200+SUMPRODUCT(regions!CX199:DF199,regions!CX$204:DF$204)</f>
        <v>-4.9206546140177192</v>
      </c>
      <c r="AA200" s="1">
        <f t="shared" si="121"/>
        <v>-8.9419560386611714</v>
      </c>
      <c r="AB200" s="1">
        <f t="shared" si="122"/>
        <v>-10.502016390345759</v>
      </c>
      <c r="AC200" s="1">
        <f>$J200+SUMPRODUCT(regions!DZ199:EG199,regions!DZ$204:EG$204)</f>
        <v>-6.9228560265382146</v>
      </c>
      <c r="AD200" s="1">
        <f t="shared" si="115"/>
        <v>-11.338956837900669</v>
      </c>
      <c r="AE200" s="1">
        <f t="shared" si="115"/>
        <v>-12.848956837900669</v>
      </c>
      <c r="AF200" s="1">
        <f t="shared" si="123"/>
        <v>-38.96989907300604</v>
      </c>
      <c r="AG200" s="1">
        <f>$J200+SUMPRODUCT(regions!AX199:BK199,regions!AX$204:BK$204)</f>
        <v>-6.6782721854259837</v>
      </c>
      <c r="AH200" s="1">
        <f>$J200+SUMPRODUCT(regions!AG199:AV199,regions!AG$204:AV$204)</f>
        <v>-16.059875559438439</v>
      </c>
      <c r="AI200" s="1">
        <f t="shared" si="116"/>
        <v>-12.348956837900669</v>
      </c>
      <c r="AJ200" s="1">
        <f>SartoriRoson!C197</f>
        <v>-1.22</v>
      </c>
      <c r="AK200" s="1">
        <f>Kompas!E197</f>
        <v>-3.306</v>
      </c>
      <c r="AL200" s="1">
        <f>$J200+SUMPRODUCT(regions!EY199:FW199,regions!EY$204:FW$204)</f>
        <v>-8.0329360037673627</v>
      </c>
      <c r="AM200" s="1">
        <f>$J200+SUMPRODUCT(regions!FZ199:GF199,regions!FZ$204:GF$204)</f>
        <v>-5.4606428330177312</v>
      </c>
      <c r="AN200" s="1">
        <f t="shared" si="125"/>
        <v>-19.548956837900668</v>
      </c>
      <c r="AO200" s="1">
        <f t="shared" si="125"/>
        <v>-18.848956837900669</v>
      </c>
      <c r="AP200" s="1">
        <f t="shared" si="125"/>
        <v>-14.048956837900668</v>
      </c>
      <c r="AQ200" s="1">
        <f t="shared" si="125"/>
        <v>-5.2194295269102344</v>
      </c>
      <c r="AR200" s="1">
        <f t="shared" si="125"/>
        <v>-15.348956837900669</v>
      </c>
      <c r="AS200" s="1">
        <f t="shared" si="125"/>
        <v>-12.64895683790067</v>
      </c>
      <c r="AT200" s="1">
        <f t="shared" si="125"/>
        <v>-10.642290171234002</v>
      </c>
      <c r="AU200" s="1">
        <f t="shared" si="125"/>
        <v>-15.568956837900668</v>
      </c>
      <c r="AV200" s="1">
        <f t="shared" si="125"/>
        <v>-14.14895683790067</v>
      </c>
      <c r="AW200" s="1">
        <f>$J200+SUMPRODUCT(regions!BN199:BU199,regions!BN$204:BU$204)</f>
        <v>-8.3986966505265119</v>
      </c>
      <c r="AX200" s="1">
        <f t="shared" si="125"/>
        <v>-11.82895683790067</v>
      </c>
      <c r="AY200" s="1">
        <f t="shared" si="125"/>
        <v>-11.048956837900668</v>
      </c>
      <c r="AZ200" s="1">
        <f t="shared" si="125"/>
        <v>-11.048956837900668</v>
      </c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</row>
    <row r="201" spans="1:90" x14ac:dyDescent="0.35">
      <c r="A201" t="s">
        <v>204</v>
      </c>
      <c r="B201" s="19">
        <f>regions!B200</f>
        <v>13216985</v>
      </c>
      <c r="C201" s="19">
        <f>regions!C200</f>
        <v>9799629000.3266487</v>
      </c>
      <c r="D201" s="8">
        <f>regions!D200</f>
        <v>741.44209139426641</v>
      </c>
      <c r="E201" s="8">
        <f>regions!E200</f>
        <v>13.247623924700589</v>
      </c>
      <c r="F201" s="8">
        <f>regions!F200</f>
        <v>9.4209897763637436</v>
      </c>
      <c r="G201" s="1">
        <f>regions!Z200</f>
        <v>21.4</v>
      </c>
      <c r="J201" s="1">
        <f t="shared" si="120"/>
        <v>4.0901997258766949</v>
      </c>
      <c r="K201" s="1">
        <f t="shared" si="113"/>
        <v>-10.862546562148061</v>
      </c>
      <c r="L201" s="1">
        <f t="shared" si="95"/>
        <v>-14.761669641829741</v>
      </c>
      <c r="M201" s="1">
        <f t="shared" si="96"/>
        <v>35.401716347810058</v>
      </c>
      <c r="N201" s="1">
        <f t="shared" si="117"/>
        <v>-10.361278144835982</v>
      </c>
      <c r="O201" s="1">
        <f t="shared" si="117"/>
        <v>-12.76484907171336</v>
      </c>
      <c r="P201" s="1">
        <f t="shared" si="117"/>
        <v>-10.76484907171336</v>
      </c>
      <c r="Q201" s="1">
        <f t="shared" si="117"/>
        <v>-11.094849071713362</v>
      </c>
      <c r="R201" s="1">
        <f t="shared" si="117"/>
        <v>-13.364849071713362</v>
      </c>
      <c r="S201" s="1">
        <f>$J201+SUMPRODUCT(regions!EI200:EN200,regions!EI$204:EN$204)</f>
        <v>-6.1708475764165724</v>
      </c>
      <c r="T201" s="1">
        <f>$J201+SUMPRODUCT(regions!EQ200:EV200,regions!EQ$204:EV$204)</f>
        <v>-5.6698596434318427</v>
      </c>
      <c r="U201" s="1">
        <f>$J201+SUMPRODUCT(regions!CM200:CU200,regions!CM$204:CU$204)</f>
        <v>-10.365430766742048</v>
      </c>
      <c r="V201" s="1">
        <f>$J201+SUMPRODUCT(regions!DH200:DM200,regions!DH$204:DM$204)</f>
        <v>-8.0982910109604056</v>
      </c>
      <c r="W201" s="1">
        <f>$J201+SUMPRODUCT(regions!DP200:DW200,regions!DP$204:DW$204)</f>
        <v>-9.9378482603509077</v>
      </c>
      <c r="X201" s="1">
        <f>$J201+SUMPRODUCT(regions!AB200:AE200,regions!AB$204:AE$204)</f>
        <v>0.57368237766125318</v>
      </c>
      <c r="Y201" s="1">
        <f>$J201+SUMPRODUCT(regions!BX200:CJ200,regions!BX$204:CJ$204)</f>
        <v>-2.8618070620651688</v>
      </c>
      <c r="Z201" s="1">
        <f>$J201+SUMPRODUCT(regions!CX200:DF200,regions!CX$204:DF$204)</f>
        <v>-5.7654307667420488</v>
      </c>
      <c r="AA201" s="1">
        <f t="shared" si="121"/>
        <v>-9.6</v>
      </c>
      <c r="AB201" s="1">
        <f t="shared" si="122"/>
        <v>-9.91790862415845</v>
      </c>
      <c r="AC201" s="1">
        <f>$J201+SUMPRODUCT(regions!DZ200:EG200,regions!DZ$204:EG$204)</f>
        <v>-6.3387482603509069</v>
      </c>
      <c r="AD201" s="1">
        <f t="shared" si="115"/>
        <v>-10.754849071713362</v>
      </c>
      <c r="AE201" s="1">
        <f t="shared" si="115"/>
        <v>-12.26484907171336</v>
      </c>
      <c r="AF201" s="1">
        <f t="shared" si="123"/>
        <v>-207.4</v>
      </c>
      <c r="AG201" s="1">
        <f>$J201+SUMPRODUCT(regions!AX200:BK200,regions!AX$204:BK$204)</f>
        <v>-2.6998896151058327</v>
      </c>
      <c r="AH201" s="1">
        <f>$J201+SUMPRODUCT(regions!AG200:AV200,regions!AG$204:AV$204)</f>
        <v>-9.5998896151058339</v>
      </c>
      <c r="AI201" s="1">
        <f t="shared" si="116"/>
        <v>-11.76484907171336</v>
      </c>
      <c r="AJ201" s="1">
        <f>SartoriRoson!C198</f>
        <v>-4.62</v>
      </c>
      <c r="AK201" s="1">
        <f>Kompas!E198</f>
        <v>-4.4139999999999997</v>
      </c>
      <c r="AL201" s="1">
        <f>$J201+SUMPRODUCT(regions!EY200:FW200,regions!EY$204:FW$204)</f>
        <v>-3.1890148808212642</v>
      </c>
      <c r="AM201" s="1">
        <f>$J201+SUMPRODUCT(regions!FZ200:GF200,regions!FZ$204:GF$204)</f>
        <v>-6.1478952843763146E-2</v>
      </c>
      <c r="AN201" s="1">
        <f t="shared" si="125"/>
        <v>-18.96484907171336</v>
      </c>
      <c r="AO201" s="1">
        <f t="shared" si="125"/>
        <v>-18.26484907171336</v>
      </c>
      <c r="AP201" s="1">
        <f t="shared" si="125"/>
        <v>-13.464849071713362</v>
      </c>
      <c r="AQ201" s="1">
        <f t="shared" si="125"/>
        <v>-4.6353217607229276</v>
      </c>
      <c r="AR201" s="1">
        <f t="shared" si="125"/>
        <v>-14.76484907171336</v>
      </c>
      <c r="AS201" s="1">
        <f t="shared" si="125"/>
        <v>-12.064849071713361</v>
      </c>
      <c r="AT201" s="1">
        <f t="shared" si="125"/>
        <v>-10.058182405046695</v>
      </c>
      <c r="AU201" s="1">
        <f t="shared" si="125"/>
        <v>-14.984849071713361</v>
      </c>
      <c r="AV201" s="1">
        <f t="shared" si="125"/>
        <v>-13.564849071713361</v>
      </c>
      <c r="AW201" s="1">
        <f>$J201+SUMPRODUCT(regions!BN200:BU200,regions!BN$204:BU$204)</f>
        <v>-9.5464542840325848</v>
      </c>
      <c r="AX201" s="1">
        <f t="shared" si="125"/>
        <v>-11.244849071713361</v>
      </c>
      <c r="AY201" s="1">
        <f t="shared" si="125"/>
        <v>-10.464849071713362</v>
      </c>
      <c r="AZ201" s="1">
        <f t="shared" si="125"/>
        <v>-10.464849071713362</v>
      </c>
      <c r="BB201" t="str">
        <f>Maddison!A89</f>
        <v>Zambia</v>
      </c>
      <c r="BC201">
        <f>-Maddison!B89</f>
        <v>-9.6</v>
      </c>
      <c r="BD201" s="1">
        <f>K201-BC201</f>
        <v>-1.2625465621480618</v>
      </c>
      <c r="BJ201" t="str">
        <f>MaddisonRehdanz!A83</f>
        <v>Zambia</v>
      </c>
      <c r="BK201">
        <f>MaddisonRehdanz!D83</f>
        <v>-207.4</v>
      </c>
      <c r="BL201" s="1">
        <f>$K201-BK201</f>
        <v>196.53745343785195</v>
      </c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</row>
    <row r="202" spans="1:90" x14ac:dyDescent="0.35">
      <c r="A202" t="s">
        <v>205</v>
      </c>
      <c r="B202" s="19">
        <f>regions!B201</f>
        <v>13076978</v>
      </c>
      <c r="C202" s="19">
        <f>regions!C201</f>
        <v>5202304268.4389067</v>
      </c>
      <c r="D202" s="8">
        <f>regions!D201</f>
        <v>397.82159673579832</v>
      </c>
      <c r="E202" s="8">
        <f>regions!E201</f>
        <v>20.70087202675462</v>
      </c>
      <c r="F202" s="8">
        <f>regions!F201</f>
        <v>11.410004025198653</v>
      </c>
      <c r="G202" s="1">
        <f>regions!Z201</f>
        <v>21</v>
      </c>
      <c r="J202" s="1">
        <f t="shared" si="120"/>
        <v>3.1037972928526916</v>
      </c>
      <c r="K202" s="1">
        <f t="shared" si="113"/>
        <v>-11.848948995172066</v>
      </c>
      <c r="L202" s="1">
        <f t="shared" si="95"/>
        <v>-11.333087049411347</v>
      </c>
      <c r="M202" s="1">
        <f t="shared" si="96"/>
        <v>8.2895410785997434</v>
      </c>
      <c r="N202" s="1">
        <f t="shared" si="117"/>
        <v>-11.347680577859986</v>
      </c>
      <c r="O202" s="1">
        <f t="shared" si="117"/>
        <v>-13.751251504737365</v>
      </c>
      <c r="P202" s="1">
        <f t="shared" si="117"/>
        <v>-11.751251504737365</v>
      </c>
      <c r="Q202" s="1">
        <f t="shared" si="117"/>
        <v>-12.081251504737365</v>
      </c>
      <c r="R202" s="1">
        <f t="shared" si="117"/>
        <v>-14.351251504737364</v>
      </c>
      <c r="S202" s="1">
        <f>$J202+SUMPRODUCT(regions!EI201:EN201,regions!EI$204:EN$204)</f>
        <v>-7.1572500094405758</v>
      </c>
      <c r="T202" s="1">
        <f>$J202+SUMPRODUCT(regions!EQ201:EV201,regions!EQ$204:EV$204)</f>
        <v>-6.656262076455846</v>
      </c>
      <c r="U202" s="1">
        <f>$J202+SUMPRODUCT(regions!CM201:CU201,regions!CM$204:CU$204)</f>
        <v>-11.351833199766052</v>
      </c>
      <c r="V202" s="1">
        <f>$J202+SUMPRODUCT(regions!DH201:DM201,regions!DH$204:DM$204)</f>
        <v>-9.0846934439844098</v>
      </c>
      <c r="W202" s="1">
        <f>$J202+SUMPRODUCT(regions!DP201:DW201,regions!DP$204:DW$204)</f>
        <v>-10.92425069337491</v>
      </c>
      <c r="X202" s="1">
        <f>$J202+SUMPRODUCT(regions!AB201:AE201,regions!AB$204:AE$204)</f>
        <v>-0.41272005536275014</v>
      </c>
      <c r="Y202" s="1">
        <f>$J202+SUMPRODUCT(regions!BX201:CJ201,regions!BX$204:CJ$204)</f>
        <v>-3.8482094950891721</v>
      </c>
      <c r="Z202" s="1">
        <f>$J202+SUMPRODUCT(regions!CX201:DF201,regions!CX$204:DF$204)</f>
        <v>-6.7518331997660521</v>
      </c>
      <c r="AA202" s="1">
        <f t="shared" si="121"/>
        <v>-9.6999999999999993</v>
      </c>
      <c r="AB202" s="1">
        <f t="shared" si="122"/>
        <v>-10.904311057182454</v>
      </c>
      <c r="AC202" s="1">
        <f>$J202+SUMPRODUCT(regions!DZ201:EG201,regions!DZ$204:EG$204)</f>
        <v>-7.3251506933749102</v>
      </c>
      <c r="AD202" s="1">
        <f t="shared" si="115"/>
        <v>-11.741251504737365</v>
      </c>
      <c r="AE202" s="1">
        <f t="shared" si="115"/>
        <v>-13.251251504737365</v>
      </c>
      <c r="AF202" s="1">
        <f t="shared" si="123"/>
        <v>-39.372193739842736</v>
      </c>
      <c r="AG202" s="1">
        <f>$J202+SUMPRODUCT(regions!AX201:BK201,regions!AX$204:BK$204)</f>
        <v>-3.686292048129836</v>
      </c>
      <c r="AH202" s="1">
        <f>$J202+SUMPRODUCT(regions!AG201:AV201,regions!AG$204:AV$204)</f>
        <v>-10.586292048129836</v>
      </c>
      <c r="AI202" s="1">
        <f t="shared" si="116"/>
        <v>-12.751251504737365</v>
      </c>
      <c r="AJ202" s="1">
        <f>SartoriRoson!C199</f>
        <v>-4.3</v>
      </c>
      <c r="AK202" s="1">
        <f>Kompas!E199</f>
        <v>-4.423</v>
      </c>
      <c r="AL202" s="1">
        <f>$J202+SUMPRODUCT(regions!EY201:FW201,regions!EY$204:FW$204)</f>
        <v>-4.1754173138452675</v>
      </c>
      <c r="AM202" s="1">
        <f>$J202+SUMPRODUCT(regions!FZ201:GF201,regions!FZ$204:GF$204)</f>
        <v>-1.0478813858677665</v>
      </c>
      <c r="AN202" s="1">
        <f t="shared" si="125"/>
        <v>-19.951251504737364</v>
      </c>
      <c r="AO202" s="1">
        <f t="shared" si="125"/>
        <v>-19.251251504737365</v>
      </c>
      <c r="AP202" s="1">
        <f t="shared" si="125"/>
        <v>-14.451251504737364</v>
      </c>
      <c r="AQ202" s="1">
        <f t="shared" si="125"/>
        <v>-5.62172419374693</v>
      </c>
      <c r="AR202" s="1">
        <f t="shared" si="125"/>
        <v>-15.751251504737365</v>
      </c>
      <c r="AS202" s="1">
        <f t="shared" si="125"/>
        <v>-13.051251504737365</v>
      </c>
      <c r="AT202" s="1">
        <f t="shared" si="125"/>
        <v>-11.044584838070698</v>
      </c>
      <c r="AU202" s="1">
        <f t="shared" si="125"/>
        <v>-15.971251504737364</v>
      </c>
      <c r="AV202" s="1">
        <f t="shared" si="125"/>
        <v>-14.551251504737365</v>
      </c>
      <c r="AW202" s="1">
        <f>$J202+SUMPRODUCT(regions!BN201:BU201,regions!BN$204:BU$204)</f>
        <v>-10.532856717056589</v>
      </c>
      <c r="AX202" s="1">
        <f t="shared" si="125"/>
        <v>-12.231251504737365</v>
      </c>
      <c r="AY202" s="1">
        <f t="shared" si="125"/>
        <v>-11.451251504737364</v>
      </c>
      <c r="AZ202" s="1">
        <f t="shared" si="125"/>
        <v>-11.451251504737364</v>
      </c>
      <c r="BB202" t="str">
        <f>Maddison!A90</f>
        <v>Zimbabwe</v>
      </c>
      <c r="BC202">
        <f>-Maddison!B90</f>
        <v>-9.6999999999999993</v>
      </c>
      <c r="BD202" s="1">
        <f>K202-BC202</f>
        <v>-2.1489489951720664</v>
      </c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</row>
    <row r="204" spans="1:90" ht="15" thickBot="1" x14ac:dyDescent="0.4">
      <c r="B204" s="19">
        <f>SUM(B5:B202)</f>
        <v>6764719725</v>
      </c>
      <c r="C204" s="19">
        <f>SUM(C5:C202)</f>
        <v>51484038465614.75</v>
      </c>
      <c r="D204" s="8">
        <f>C204/B204</f>
        <v>7610.6683733470936</v>
      </c>
      <c r="E204" s="8">
        <f>SUMPRODUCT(E5:E202,$C5:$C202)/$C204</f>
        <v>12.933625008173127</v>
      </c>
      <c r="F204" s="8">
        <f>SUMPRODUCT(F5:F202,$C5:$C202)/$C204</f>
        <v>3.7311630689139492</v>
      </c>
      <c r="G204" s="1">
        <f>SUMPRODUCT(G5:G202,$C5:$C202)/$C204</f>
        <v>11.141925619569783</v>
      </c>
      <c r="N204" s="5">
        <f t="shared" ref="N204:AZ204" si="126">CORREL($K5:$K202,N5:N202)</f>
        <v>1.0000000000000002</v>
      </c>
      <c r="O204" s="5">
        <f t="shared" si="126"/>
        <v>0.99999999999999978</v>
      </c>
      <c r="P204" s="5">
        <f t="shared" si="126"/>
        <v>0.99999999999999989</v>
      </c>
      <c r="Q204" s="5">
        <f t="shared" si="126"/>
        <v>1.0000000000000002</v>
      </c>
      <c r="R204" s="5">
        <f t="shared" si="126"/>
        <v>1.0000000000000002</v>
      </c>
      <c r="S204" s="5">
        <f t="shared" si="126"/>
        <v>0.8344693450443752</v>
      </c>
      <c r="T204" s="5">
        <f t="shared" si="126"/>
        <v>0.79405951054274582</v>
      </c>
      <c r="U204" s="5">
        <f t="shared" si="126"/>
        <v>0.95200373346600198</v>
      </c>
      <c r="V204" s="5">
        <f t="shared" si="126"/>
        <v>0.9391953781737935</v>
      </c>
      <c r="W204" s="5">
        <f t="shared" si="126"/>
        <v>0.94387671612242996</v>
      </c>
      <c r="X204" s="5">
        <f t="shared" si="126"/>
        <v>0.57765075944842648</v>
      </c>
      <c r="Y204" s="5">
        <f t="shared" si="126"/>
        <v>0.60654143388771964</v>
      </c>
      <c r="Z204" s="5">
        <f t="shared" si="126"/>
        <v>0.94033166475236463</v>
      </c>
      <c r="AA204" s="5">
        <f t="shared" si="126"/>
        <v>0.59304449597356557</v>
      </c>
      <c r="AB204" s="5">
        <f t="shared" si="126"/>
        <v>0.77032242418235697</v>
      </c>
      <c r="AC204" s="5">
        <f t="shared" si="126"/>
        <v>0.89840328621588317</v>
      </c>
      <c r="AD204" s="5">
        <f t="shared" si="126"/>
        <v>1</v>
      </c>
      <c r="AE204" s="5">
        <f t="shared" si="126"/>
        <v>1.0000000000000002</v>
      </c>
      <c r="AF204" s="5">
        <f t="shared" si="126"/>
        <v>0.52999953786625742</v>
      </c>
      <c r="AG204" s="5">
        <f t="shared" si="126"/>
        <v>0.76194528151932395</v>
      </c>
      <c r="AH204" s="5">
        <f t="shared" si="126"/>
        <v>0.91761609597455551</v>
      </c>
      <c r="AI204" s="5">
        <f t="shared" si="126"/>
        <v>1.0000000000000002</v>
      </c>
      <c r="AJ204" s="5">
        <f t="shared" si="126"/>
        <v>0.6716855579613934</v>
      </c>
      <c r="AK204" s="5">
        <f t="shared" si="126"/>
        <v>0.72803213648396381</v>
      </c>
      <c r="AL204" s="5">
        <f t="shared" si="126"/>
        <v>0.86824030393212803</v>
      </c>
      <c r="AM204" s="5">
        <f t="shared" si="126"/>
        <v>0.5902401578407579</v>
      </c>
      <c r="AN204" s="5">
        <f t="shared" si="126"/>
        <v>1.0000000000000002</v>
      </c>
      <c r="AO204" s="5">
        <f t="shared" si="126"/>
        <v>0.99999999999999978</v>
      </c>
      <c r="AP204" s="5">
        <f t="shared" si="126"/>
        <v>1.0000000000000002</v>
      </c>
      <c r="AQ204" s="5">
        <f t="shared" si="126"/>
        <v>0.99999999999999989</v>
      </c>
      <c r="AR204" s="5">
        <f t="shared" si="126"/>
        <v>0.99999999999999978</v>
      </c>
      <c r="AS204" s="5">
        <f t="shared" si="126"/>
        <v>1.0000000000000002</v>
      </c>
      <c r="AT204" s="5">
        <f t="shared" si="126"/>
        <v>0.99999999999999989</v>
      </c>
      <c r="AU204" s="5">
        <f t="shared" si="126"/>
        <v>0.99999999999999989</v>
      </c>
      <c r="AV204" s="5">
        <f t="shared" si="126"/>
        <v>0.99999999999999978</v>
      </c>
      <c r="AW204" s="5">
        <f t="shared" si="126"/>
        <v>0.97331248765072631</v>
      </c>
      <c r="AX204" s="5">
        <f t="shared" si="126"/>
        <v>1.0000000000000004</v>
      </c>
      <c r="AY204" s="5">
        <f t="shared" si="126"/>
        <v>1.0000000000000004</v>
      </c>
      <c r="AZ204" s="5">
        <f t="shared" si="126"/>
        <v>1.0000000000000004</v>
      </c>
    </row>
    <row r="205" spans="1:90" x14ac:dyDescent="0.35">
      <c r="K205" s="3"/>
      <c r="L205" s="3"/>
      <c r="M205" s="3"/>
      <c r="N205" s="3"/>
      <c r="X205" s="3"/>
    </row>
    <row r="207" spans="1:90" x14ac:dyDescent="0.35">
      <c r="A207" t="s">
        <v>552</v>
      </c>
      <c r="B207" t="s">
        <v>1047</v>
      </c>
      <c r="C207" t="s">
        <v>1048</v>
      </c>
      <c r="D207" t="s">
        <v>1049</v>
      </c>
      <c r="E207" t="s">
        <v>1050</v>
      </c>
      <c r="F207" t="s">
        <v>1051</v>
      </c>
      <c r="G207" t="s">
        <v>1052</v>
      </c>
      <c r="H207" t="s">
        <v>1053</v>
      </c>
      <c r="I207" t="s">
        <v>1054</v>
      </c>
      <c r="J207" t="s">
        <v>1055</v>
      </c>
      <c r="K207" t="s">
        <v>1056</v>
      </c>
      <c r="L207" t="s">
        <v>33</v>
      </c>
      <c r="M207" t="s">
        <v>285</v>
      </c>
      <c r="N207" t="s">
        <v>492</v>
      </c>
      <c r="O207" t="s">
        <v>13</v>
      </c>
      <c r="P207" t="s">
        <v>1057</v>
      </c>
      <c r="Q207" t="s">
        <v>1058</v>
      </c>
      <c r="R207" t="s">
        <v>1059</v>
      </c>
      <c r="S207" t="s">
        <v>1060</v>
      </c>
      <c r="T207" t="s">
        <v>1061</v>
      </c>
      <c r="U207" t="s">
        <v>1062</v>
      </c>
      <c r="V207" t="s">
        <v>1062</v>
      </c>
      <c r="W207" t="s">
        <v>1063</v>
      </c>
      <c r="X207" t="s">
        <v>1064</v>
      </c>
      <c r="Y207" t="s">
        <v>1065</v>
      </c>
      <c r="Z207" t="s">
        <v>1066</v>
      </c>
      <c r="AJ207" t="s">
        <v>1067</v>
      </c>
      <c r="AU207" t="s">
        <v>1068</v>
      </c>
      <c r="AV207" t="s">
        <v>1069</v>
      </c>
      <c r="AW207" t="s">
        <v>1070</v>
      </c>
      <c r="AX207" t="s">
        <v>1071</v>
      </c>
      <c r="AY207" t="s">
        <v>1072</v>
      </c>
      <c r="AZ207" t="s">
        <v>1073</v>
      </c>
      <c r="BA207" t="s">
        <v>1074</v>
      </c>
      <c r="BB207" t="s">
        <v>1075</v>
      </c>
      <c r="BC207" t="s">
        <v>1076</v>
      </c>
      <c r="BD207" t="s">
        <v>1077</v>
      </c>
      <c r="BE207" t="s">
        <v>1078</v>
      </c>
      <c r="BH207" s="8">
        <f>LN(BH208)</f>
        <v>5.8998973535824915</v>
      </c>
    </row>
    <row r="208" spans="1:90" x14ac:dyDescent="0.35">
      <c r="A208" t="s">
        <v>349</v>
      </c>
      <c r="B208">
        <v>3.6434483505768918</v>
      </c>
      <c r="C208">
        <v>5.756551649423109</v>
      </c>
      <c r="D208">
        <v>6.1939815289892266</v>
      </c>
      <c r="E208">
        <v>7.4160184710107737</v>
      </c>
      <c r="F208">
        <v>7.9992360272033709</v>
      </c>
      <c r="G208">
        <v>9.370763972796631</v>
      </c>
      <c r="H208">
        <v>10.002879719910954</v>
      </c>
      <c r="I208">
        <v>12.137120280089045</v>
      </c>
      <c r="J208">
        <v>12.51237148611292</v>
      </c>
      <c r="K208">
        <v>24.967628513887082</v>
      </c>
      <c r="L208">
        <f t="shared" ref="L208:L271" si="127">LOOKUP(A208,A$5:A$202,G$5:G$202)</f>
        <v>12.6</v>
      </c>
      <c r="M208">
        <f t="shared" ref="M208:M271" si="128">LOOKUP(A208,A$5:A$202,B$5:B$202)</f>
        <v>28397812</v>
      </c>
      <c r="N208">
        <f t="shared" ref="N208:N271" si="129">LOOKUP(A208,A$5:A$202,D$5:D$202)</f>
        <v>360.70561512625665</v>
      </c>
      <c r="O208">
        <f>LOOKUP(A208,A$5:A$202,S$5:S$202)</f>
        <v>-4.21163807103924</v>
      </c>
      <c r="P208" s="8">
        <f t="shared" ref="P208:Y233" si="130">B208*$N208/10</f>
        <v>131.4212278475583</v>
      </c>
      <c r="Q208" s="8">
        <f t="shared" si="130"/>
        <v>207.64205037112296</v>
      </c>
      <c r="R208" s="8">
        <f t="shared" si="130"/>
        <v>223.42039174947308</v>
      </c>
      <c r="S208" s="8">
        <f t="shared" si="130"/>
        <v>267.49995043736226</v>
      </c>
      <c r="T208" s="8">
        <f t="shared" si="130"/>
        <v>288.53693517325053</v>
      </c>
      <c r="U208" s="8">
        <f t="shared" si="130"/>
        <v>338.00871830105734</v>
      </c>
      <c r="V208" s="8">
        <f t="shared" si="130"/>
        <v>360.80948824044384</v>
      </c>
      <c r="W208" s="8">
        <f t="shared" si="130"/>
        <v>437.79274364908832</v>
      </c>
      <c r="X208" s="8">
        <f t="shared" si="130"/>
        <v>451.32826535865951</v>
      </c>
      <c r="Y208" s="8">
        <f t="shared" si="130"/>
        <v>900.59638013455037</v>
      </c>
      <c r="Z208">
        <f t="shared" ref="Z208:AI233" si="131">LN(P208)</f>
        <v>4.8784076443537767</v>
      </c>
      <c r="AA208">
        <f t="shared" si="131"/>
        <v>5.33581568555448</v>
      </c>
      <c r="AB208">
        <f t="shared" si="131"/>
        <v>5.4090551615628515</v>
      </c>
      <c r="AC208">
        <f t="shared" si="131"/>
        <v>5.5891193810551556</v>
      </c>
      <c r="AD208">
        <f t="shared" si="131"/>
        <v>5.6648231026176239</v>
      </c>
      <c r="AE208">
        <f t="shared" si="131"/>
        <v>5.823071688940475</v>
      </c>
      <c r="AF208">
        <f t="shared" si="131"/>
        <v>5.8883500856266231</v>
      </c>
      <c r="AG208">
        <f t="shared" si="131"/>
        <v>6.0817456103718879</v>
      </c>
      <c r="AH208">
        <f t="shared" si="131"/>
        <v>6.1121949358459249</v>
      </c>
      <c r="AI208">
        <f t="shared" si="131"/>
        <v>6.8030571884662674</v>
      </c>
      <c r="AJ208">
        <f>$I$2*Z208</f>
        <v>8.894790901134952</v>
      </c>
      <c r="AK208">
        <f t="shared" ref="AK208:AK271" si="132">$I$2*AA208</f>
        <v>9.7287820678401129</v>
      </c>
      <c r="AL208">
        <f t="shared" ref="AL208:AL271" si="133">$I$2*AB208</f>
        <v>9.8623194579672244</v>
      </c>
      <c r="AM208">
        <f t="shared" ref="AM208:AM271" si="134">$I$2*AC208</f>
        <v>10.190630189239103</v>
      </c>
      <c r="AN208">
        <f t="shared" ref="AN208:AN271" si="135">$I$2*AD208</f>
        <v>10.32866063335651</v>
      </c>
      <c r="AO208">
        <f t="shared" ref="AO208:AO271" si="136">$I$2*AE208</f>
        <v>10.61719496430179</v>
      </c>
      <c r="AP208">
        <f t="shared" ref="AP208:AP271" si="137">$I$2*AF208</f>
        <v>10.736216934422851</v>
      </c>
      <c r="AQ208">
        <f t="shared" ref="AQ208:AQ271" si="138">$I$2*AG208</f>
        <v>11.088834607899843</v>
      </c>
      <c r="AR208">
        <f t="shared" ref="AR208:AR271" si="139">$I$2*AH208</f>
        <v>11.144352802138004</v>
      </c>
      <c r="AS208">
        <f t="shared" ref="AS208:AS271" si="140">$I$2*AI208</f>
        <v>12.404000565616169</v>
      </c>
      <c r="AT208">
        <f t="shared" ref="AT208:AT271" si="141">$I$2*AJ208</f>
        <v>16.217854460457556</v>
      </c>
      <c r="AU208">
        <f>O208-$I$2*SUMPRODUCT(Z208:AI208,P208:Y208)/SUM(P208:Y208)</f>
        <v>-15.194696698709116</v>
      </c>
      <c r="AV208" s="5">
        <f t="shared" ref="AV208:BE233" si="142">AJ208+$AU208</f>
        <v>-6.2999057975741639</v>
      </c>
      <c r="AW208" s="5">
        <f t="shared" si="142"/>
        <v>-5.465914630869003</v>
      </c>
      <c r="AX208" s="5">
        <f t="shared" si="142"/>
        <v>-5.3323772407418915</v>
      </c>
      <c r="AY208" s="5">
        <f t="shared" si="142"/>
        <v>-5.0040665094700127</v>
      </c>
      <c r="AZ208" s="5">
        <f t="shared" si="142"/>
        <v>-4.8660360653526062</v>
      </c>
      <c r="BA208" s="5">
        <f t="shared" si="142"/>
        <v>-4.5775017344073259</v>
      </c>
      <c r="BB208" s="5">
        <f t="shared" si="142"/>
        <v>-4.458479764286265</v>
      </c>
      <c r="BC208" s="5">
        <f t="shared" si="142"/>
        <v>-4.1058620908092731</v>
      </c>
      <c r="BD208" s="5">
        <f t="shared" si="142"/>
        <v>-4.0503438965711123</v>
      </c>
      <c r="BE208" s="5">
        <f t="shared" si="142"/>
        <v>-2.790696133092947</v>
      </c>
      <c r="BG208">
        <v>1</v>
      </c>
      <c r="BH208">
        <v>365</v>
      </c>
      <c r="BI208" s="8">
        <f t="shared" ref="BI208:BR211" si="143">SUMIF(P$208:P$378,"&lt;"&amp;$BH208,$M$208:$M$378)/10</f>
        <v>279098481.80000001</v>
      </c>
      <c r="BJ208" s="8">
        <f t="shared" si="143"/>
        <v>107287153.90000001</v>
      </c>
      <c r="BK208" s="8">
        <f t="shared" si="143"/>
        <v>70678164.400000006</v>
      </c>
      <c r="BL208" s="8">
        <f t="shared" si="143"/>
        <v>65367587.600000001</v>
      </c>
      <c r="BM208" s="8">
        <f t="shared" si="143"/>
        <v>61341809.299999997</v>
      </c>
      <c r="BN208" s="8">
        <f t="shared" si="143"/>
        <v>37548903.100000001</v>
      </c>
      <c r="BO208" s="8">
        <f t="shared" si="143"/>
        <v>27617099.600000001</v>
      </c>
      <c r="BP208" s="8">
        <f t="shared" si="143"/>
        <v>16310972.800000001</v>
      </c>
      <c r="BQ208" s="8">
        <f t="shared" si="143"/>
        <v>11134172.800000001</v>
      </c>
      <c r="BR208" s="8">
        <f t="shared" si="143"/>
        <v>0</v>
      </c>
      <c r="BS208" s="8">
        <f>SUM(BI208:BR208)/1000000</f>
        <v>676.38434529999995</v>
      </c>
      <c r="BT208" s="8">
        <f>BS208</f>
        <v>676.38434529999995</v>
      </c>
      <c r="BU208" s="21">
        <f>BT208/BS$212</f>
        <v>0.10034139390430388</v>
      </c>
    </row>
    <row r="209" spans="1:73" x14ac:dyDescent="0.35">
      <c r="A209" t="s">
        <v>244</v>
      </c>
      <c r="B209">
        <v>3.66</v>
      </c>
      <c r="C209">
        <v>5.19</v>
      </c>
      <c r="D209">
        <v>6.1400000000000006</v>
      </c>
      <c r="E209">
        <v>7.03</v>
      </c>
      <c r="F209">
        <v>8.08</v>
      </c>
      <c r="G209">
        <v>9.26</v>
      </c>
      <c r="H209">
        <v>10.52</v>
      </c>
      <c r="I209">
        <v>12.290000000000001</v>
      </c>
      <c r="J209">
        <v>14.89</v>
      </c>
      <c r="K209">
        <v>22.93</v>
      </c>
      <c r="L209">
        <f t="shared" si="127"/>
        <v>11.4</v>
      </c>
      <c r="M209">
        <f t="shared" si="128"/>
        <v>3150143</v>
      </c>
      <c r="N209">
        <f t="shared" si="129"/>
        <v>3404.6550318859572</v>
      </c>
      <c r="O209">
        <f t="shared" ref="O209:O272" si="144">LOOKUP(A209,A$5:A$202,S$5:S$202)</f>
        <v>0.32768091852110004</v>
      </c>
      <c r="P209" s="8">
        <f t="shared" si="130"/>
        <v>1246.1037416702604</v>
      </c>
      <c r="Q209" s="8">
        <f t="shared" si="130"/>
        <v>1767.0159615488119</v>
      </c>
      <c r="R209" s="8">
        <f t="shared" si="130"/>
        <v>2090.4581895779779</v>
      </c>
      <c r="S209" s="8">
        <f t="shared" si="130"/>
        <v>2393.4724874158283</v>
      </c>
      <c r="T209" s="8">
        <f t="shared" si="130"/>
        <v>2750.9612657638536</v>
      </c>
      <c r="U209" s="8">
        <f t="shared" si="130"/>
        <v>3152.7105595263961</v>
      </c>
      <c r="V209" s="8">
        <f t="shared" si="130"/>
        <v>3581.6970935440268</v>
      </c>
      <c r="W209" s="8">
        <f t="shared" si="130"/>
        <v>4184.3210341878421</v>
      </c>
      <c r="X209" s="8">
        <f t="shared" si="130"/>
        <v>5069.5313424781907</v>
      </c>
      <c r="Y209" s="8">
        <f t="shared" si="130"/>
        <v>7806.8739881144993</v>
      </c>
      <c r="Z209">
        <f t="shared" si="131"/>
        <v>7.1277769556489607</v>
      </c>
      <c r="AA209">
        <f t="shared" si="131"/>
        <v>7.4770475054134833</v>
      </c>
      <c r="AB209">
        <f t="shared" si="131"/>
        <v>7.6451385503947371</v>
      </c>
      <c r="AC209">
        <f t="shared" si="131"/>
        <v>7.780500514058259</v>
      </c>
      <c r="AD209">
        <f t="shared" si="131"/>
        <v>7.9197056807686899</v>
      </c>
      <c r="AE209">
        <f t="shared" si="131"/>
        <v>8.0560178568937744</v>
      </c>
      <c r="AF209">
        <f t="shared" si="131"/>
        <v>8.1835920155452495</v>
      </c>
      <c r="AG209">
        <f t="shared" si="131"/>
        <v>8.3390997318136293</v>
      </c>
      <c r="AH209">
        <f t="shared" si="131"/>
        <v>8.5310036549316042</v>
      </c>
      <c r="AI209">
        <f t="shared" si="131"/>
        <v>8.9627599051054982</v>
      </c>
      <c r="AJ209">
        <f t="shared" ref="AJ209:AJ272" si="145">$I$2*Z209</f>
        <v>12.996061467680839</v>
      </c>
      <c r="AK209">
        <f t="shared" si="132"/>
        <v>13.632885762525394</v>
      </c>
      <c r="AL209">
        <f t="shared" si="133"/>
        <v>13.939365828657625</v>
      </c>
      <c r="AM209">
        <f t="shared" si="134"/>
        <v>14.186171026281396</v>
      </c>
      <c r="AN209">
        <f t="shared" si="135"/>
        <v>14.439983528334192</v>
      </c>
      <c r="AO209">
        <f t="shared" si="136"/>
        <v>14.688521246438706</v>
      </c>
      <c r="AP209">
        <f t="shared" si="137"/>
        <v>14.921126954759623</v>
      </c>
      <c r="AQ209">
        <f t="shared" si="138"/>
        <v>15.204663862816327</v>
      </c>
      <c r="AR209">
        <f t="shared" si="139"/>
        <v>15.554561902029485</v>
      </c>
      <c r="AS209">
        <f t="shared" si="140"/>
        <v>16.341782209459044</v>
      </c>
      <c r="AT209">
        <f t="shared" si="141"/>
        <v>23.695692881899539</v>
      </c>
      <c r="AU209">
        <f t="shared" ref="AU209:AU272" si="146">O209-$I$2*SUMPRODUCT(Z209:AI209,P209:Y209)/SUM(P209:Y209)</f>
        <v>-14.738701634285144</v>
      </c>
      <c r="AV209" s="5">
        <f t="shared" si="142"/>
        <v>-1.7426401666043052</v>
      </c>
      <c r="AW209" s="5">
        <f t="shared" si="142"/>
        <v>-1.1058158717597504</v>
      </c>
      <c r="AX209" s="5">
        <f t="shared" si="142"/>
        <v>-0.79933580562751949</v>
      </c>
      <c r="AY209" s="5">
        <f t="shared" si="142"/>
        <v>-0.55253060800374776</v>
      </c>
      <c r="AZ209" s="5">
        <f t="shared" si="142"/>
        <v>-0.29871810595095205</v>
      </c>
      <c r="BA209" s="5">
        <f t="shared" si="142"/>
        <v>-5.0180387846438634E-2</v>
      </c>
      <c r="BB209" s="5">
        <f t="shared" si="142"/>
        <v>0.18242532047447924</v>
      </c>
      <c r="BC209" s="5">
        <f t="shared" si="142"/>
        <v>0.46596222853118263</v>
      </c>
      <c r="BD209" s="5">
        <f t="shared" si="142"/>
        <v>0.81586026774434117</v>
      </c>
      <c r="BE209" s="5">
        <f t="shared" si="142"/>
        <v>1.6030805751738999</v>
      </c>
      <c r="BG209">
        <v>2</v>
      </c>
      <c r="BH209">
        <f>2*365</f>
        <v>730</v>
      </c>
      <c r="BI209" s="8">
        <f t="shared" si="143"/>
        <v>349590293.10000002</v>
      </c>
      <c r="BJ209" s="8">
        <f t="shared" si="143"/>
        <v>307810041.80000001</v>
      </c>
      <c r="BK209" s="8">
        <f t="shared" si="143"/>
        <v>301395613.30000001</v>
      </c>
      <c r="BL209" s="8">
        <f t="shared" si="143"/>
        <v>276192208.60000002</v>
      </c>
      <c r="BM209" s="8">
        <f t="shared" si="143"/>
        <v>244402428.90000001</v>
      </c>
      <c r="BN209" s="8">
        <f t="shared" si="143"/>
        <v>95493319.099999994</v>
      </c>
      <c r="BO209" s="8">
        <f t="shared" si="143"/>
        <v>69073878.200000003</v>
      </c>
      <c r="BP209" s="8">
        <f t="shared" si="143"/>
        <v>64039561.299999997</v>
      </c>
      <c r="BQ209" s="8">
        <f t="shared" si="143"/>
        <v>39629292</v>
      </c>
      <c r="BR209" s="8">
        <f t="shared" si="143"/>
        <v>10028602.4</v>
      </c>
      <c r="BS209" s="8">
        <f t="shared" ref="BS209:BS272" si="147">SUM(BI209:BR209)/1000000</f>
        <v>1757.6552387000004</v>
      </c>
      <c r="BT209" s="8">
        <f>BS209-BS208</f>
        <v>1081.2708934000004</v>
      </c>
      <c r="BU209" s="21">
        <f t="shared" ref="BU209:BU212" si="148">BT209/BS$212</f>
        <v>0.16040617939462537</v>
      </c>
    </row>
    <row r="210" spans="1:73" x14ac:dyDescent="0.35">
      <c r="A210" t="s">
        <v>245</v>
      </c>
      <c r="B210">
        <v>2.87</v>
      </c>
      <c r="C210">
        <v>4.0999999999999996</v>
      </c>
      <c r="D210">
        <v>5.22</v>
      </c>
      <c r="E210">
        <v>6.33</v>
      </c>
      <c r="F210">
        <v>7.48</v>
      </c>
      <c r="G210">
        <v>8.75</v>
      </c>
      <c r="H210">
        <v>10.290000000000001</v>
      </c>
      <c r="I210">
        <v>12.34</v>
      </c>
      <c r="J210">
        <v>15.73</v>
      </c>
      <c r="K210">
        <v>26.89</v>
      </c>
      <c r="L210">
        <f t="shared" si="127"/>
        <v>22.5</v>
      </c>
      <c r="M210">
        <f t="shared" si="128"/>
        <v>37062820</v>
      </c>
      <c r="N210">
        <f t="shared" si="129"/>
        <v>3143.6291375316246</v>
      </c>
      <c r="O210">
        <f t="shared" si="144"/>
        <v>-3.9461476672602451</v>
      </c>
      <c r="P210" s="8">
        <f t="shared" si="130"/>
        <v>902.22156247157636</v>
      </c>
      <c r="Q210" s="8">
        <f t="shared" si="130"/>
        <v>1288.8879463879659</v>
      </c>
      <c r="R210" s="8">
        <f t="shared" si="130"/>
        <v>1640.9744097915077</v>
      </c>
      <c r="S210" s="8">
        <f t="shared" si="130"/>
        <v>1989.9172440575185</v>
      </c>
      <c r="T210" s="8">
        <f t="shared" si="130"/>
        <v>2351.4345948736554</v>
      </c>
      <c r="U210" s="8">
        <f t="shared" si="130"/>
        <v>2750.6754953401714</v>
      </c>
      <c r="V210" s="8">
        <f t="shared" si="130"/>
        <v>3234.7943825200418</v>
      </c>
      <c r="W210" s="8">
        <f t="shared" si="130"/>
        <v>3879.2383557140247</v>
      </c>
      <c r="X210" s="8">
        <f t="shared" si="130"/>
        <v>4944.9286333372456</v>
      </c>
      <c r="Y210" s="8">
        <f t="shared" si="130"/>
        <v>8453.2187508225379</v>
      </c>
      <c r="Z210">
        <f t="shared" si="131"/>
        <v>6.8048601245685214</v>
      </c>
      <c r="AA210">
        <f t="shared" si="131"/>
        <v>7.161535068507253</v>
      </c>
      <c r="AB210">
        <f t="shared" si="131"/>
        <v>7.4030454966915382</v>
      </c>
      <c r="AC210">
        <f t="shared" si="131"/>
        <v>7.5958483309530758</v>
      </c>
      <c r="AD210">
        <f t="shared" si="131"/>
        <v>7.7627808867833767</v>
      </c>
      <c r="AE210">
        <f t="shared" si="131"/>
        <v>7.9196017951665141</v>
      </c>
      <c r="AF210">
        <f t="shared" si="131"/>
        <v>8.0817206446429495</v>
      </c>
      <c r="AG210">
        <f t="shared" si="131"/>
        <v>8.2633941132742326</v>
      </c>
      <c r="AH210">
        <f t="shared" si="131"/>
        <v>8.5061178118671776</v>
      </c>
      <c r="AI210">
        <f t="shared" si="131"/>
        <v>9.0423025650777635</v>
      </c>
      <c r="AJ210">
        <f t="shared" si="145"/>
        <v>12.407287855405537</v>
      </c>
      <c r="AK210">
        <f t="shared" si="132"/>
        <v>13.057612567339138</v>
      </c>
      <c r="AL210">
        <f t="shared" si="133"/>
        <v>13.497958048026689</v>
      </c>
      <c r="AM210">
        <f t="shared" si="134"/>
        <v>13.849495070130082</v>
      </c>
      <c r="AN210">
        <f t="shared" si="135"/>
        <v>14.153862865310359</v>
      </c>
      <c r="AO210">
        <f t="shared" si="136"/>
        <v>14.439794113923515</v>
      </c>
      <c r="AP210">
        <f t="shared" si="137"/>
        <v>14.735385087936201</v>
      </c>
      <c r="AQ210">
        <f t="shared" si="138"/>
        <v>15.066629959944683</v>
      </c>
      <c r="AR210">
        <f t="shared" si="139"/>
        <v>15.509187594141801</v>
      </c>
      <c r="AS210">
        <f t="shared" si="140"/>
        <v>16.486812182301158</v>
      </c>
      <c r="AT210">
        <f t="shared" si="141"/>
        <v>22.622183132185206</v>
      </c>
      <c r="AU210">
        <f t="shared" si="146"/>
        <v>-18.989448586296135</v>
      </c>
      <c r="AV210" s="5">
        <f t="shared" si="142"/>
        <v>-6.5821607308905978</v>
      </c>
      <c r="AW210" s="5">
        <f t="shared" si="142"/>
        <v>-5.9318360189569965</v>
      </c>
      <c r="AX210" s="5">
        <f t="shared" si="142"/>
        <v>-5.4914905382694457</v>
      </c>
      <c r="AY210" s="5">
        <f t="shared" si="142"/>
        <v>-5.1399535161660523</v>
      </c>
      <c r="AZ210" s="5">
        <f t="shared" si="142"/>
        <v>-4.835585720985776</v>
      </c>
      <c r="BA210" s="5">
        <f t="shared" si="142"/>
        <v>-4.5496544723726196</v>
      </c>
      <c r="BB210" s="5">
        <f t="shared" si="142"/>
        <v>-4.2540634983599332</v>
      </c>
      <c r="BC210" s="5">
        <f t="shared" si="142"/>
        <v>-3.922818626351452</v>
      </c>
      <c r="BD210" s="5">
        <f t="shared" si="142"/>
        <v>-3.4802609921543333</v>
      </c>
      <c r="BE210" s="5">
        <f t="shared" si="142"/>
        <v>-2.5026364039949769</v>
      </c>
      <c r="BG210">
        <v>10</v>
      </c>
      <c r="BH210">
        <f>10*365</f>
        <v>3650</v>
      </c>
      <c r="BI210" s="8">
        <f t="shared" si="143"/>
        <v>574131000.10000002</v>
      </c>
      <c r="BJ210" s="8">
        <f t="shared" si="143"/>
        <v>568530957.5</v>
      </c>
      <c r="BK210" s="8">
        <f t="shared" si="143"/>
        <v>560392499.29999995</v>
      </c>
      <c r="BL210" s="8">
        <f t="shared" si="143"/>
        <v>527713060.69999999</v>
      </c>
      <c r="BM210" s="8">
        <f t="shared" si="143"/>
        <v>515954481.39999998</v>
      </c>
      <c r="BN210" s="8">
        <f t="shared" si="143"/>
        <v>493748998.89999998</v>
      </c>
      <c r="BO210" s="8">
        <f t="shared" si="143"/>
        <v>485503749.60000002</v>
      </c>
      <c r="BP210" s="8">
        <f t="shared" si="143"/>
        <v>456647786.10000002</v>
      </c>
      <c r="BQ210" s="8">
        <f t="shared" si="143"/>
        <v>316869445</v>
      </c>
      <c r="BR210" s="8">
        <f t="shared" si="143"/>
        <v>247602255.09999999</v>
      </c>
      <c r="BS210" s="8">
        <f t="shared" si="147"/>
        <v>4747.0942337000006</v>
      </c>
      <c r="BT210" s="8">
        <f t="shared" ref="BT210:BT212" si="149">BS210-BS209</f>
        <v>2989.4389950000004</v>
      </c>
      <c r="BU210" s="21">
        <f t="shared" si="148"/>
        <v>0.44348228612112056</v>
      </c>
    </row>
    <row r="211" spans="1:73" x14ac:dyDescent="0.35">
      <c r="A211" t="s">
        <v>350</v>
      </c>
      <c r="B211">
        <v>2.0699999999999998</v>
      </c>
      <c r="C211">
        <v>3.36</v>
      </c>
      <c r="D211">
        <v>4.32</v>
      </c>
      <c r="E211">
        <v>5.3</v>
      </c>
      <c r="F211">
        <v>6.54</v>
      </c>
      <c r="G211">
        <v>7.92</v>
      </c>
      <c r="H211">
        <v>9.65</v>
      </c>
      <c r="I211">
        <v>12.290000000000001</v>
      </c>
      <c r="J211">
        <v>16.23</v>
      </c>
      <c r="K211">
        <v>32.31</v>
      </c>
      <c r="L211">
        <f t="shared" si="127"/>
        <v>21.5</v>
      </c>
      <c r="M211">
        <f t="shared" si="128"/>
        <v>19549124</v>
      </c>
      <c r="N211">
        <f t="shared" si="129"/>
        <v>2576.6454096087737</v>
      </c>
      <c r="O211">
        <f t="shared" si="144"/>
        <v>-3.9368554493377497</v>
      </c>
      <c r="P211" s="8">
        <f t="shared" si="130"/>
        <v>533.36559978901619</v>
      </c>
      <c r="Q211" s="8">
        <f t="shared" si="130"/>
        <v>865.75285762854799</v>
      </c>
      <c r="R211" s="8">
        <f t="shared" si="130"/>
        <v>1113.1108169509903</v>
      </c>
      <c r="S211" s="8">
        <f t="shared" si="130"/>
        <v>1365.62206709265</v>
      </c>
      <c r="T211" s="8">
        <f t="shared" si="130"/>
        <v>1685.1260978841378</v>
      </c>
      <c r="U211" s="8">
        <f t="shared" si="130"/>
        <v>2040.7031644101487</v>
      </c>
      <c r="V211" s="8">
        <f t="shared" si="130"/>
        <v>2486.4628202724666</v>
      </c>
      <c r="W211" s="8">
        <f t="shared" si="130"/>
        <v>3166.6972084091831</v>
      </c>
      <c r="X211" s="8">
        <f t="shared" si="130"/>
        <v>4181.8954997950405</v>
      </c>
      <c r="Y211" s="8">
        <f t="shared" si="130"/>
        <v>8325.1413184459489</v>
      </c>
      <c r="Z211">
        <f t="shared" si="131"/>
        <v>6.2792071173341411</v>
      </c>
      <c r="AA211">
        <f t="shared" si="131"/>
        <v>6.7635994840319764</v>
      </c>
      <c r="AB211">
        <f t="shared" si="131"/>
        <v>7.0149139123128821</v>
      </c>
      <c r="AC211">
        <f t="shared" si="131"/>
        <v>7.2193653306149397</v>
      </c>
      <c r="AD211">
        <f t="shared" si="131"/>
        <v>7.4295956755259702</v>
      </c>
      <c r="AE211">
        <f t="shared" si="131"/>
        <v>7.6210497158831974</v>
      </c>
      <c r="AF211">
        <f t="shared" si="131"/>
        <v>7.8186164254077575</v>
      </c>
      <c r="AG211">
        <f t="shared" si="131"/>
        <v>8.0604444336348067</v>
      </c>
      <c r="AH211">
        <f t="shared" si="131"/>
        <v>8.3385198915833634</v>
      </c>
      <c r="AI211">
        <f t="shared" si="131"/>
        <v>9.02703528989327</v>
      </c>
      <c r="AJ211">
        <f t="shared" si="145"/>
        <v>11.448865778621105</v>
      </c>
      <c r="AK211">
        <f t="shared" si="132"/>
        <v>12.332057412036535</v>
      </c>
      <c r="AL211">
        <f t="shared" si="133"/>
        <v>12.790278506492253</v>
      </c>
      <c r="AM211">
        <f t="shared" si="134"/>
        <v>13.163054368579559</v>
      </c>
      <c r="AN211">
        <f t="shared" si="135"/>
        <v>13.546366935995151</v>
      </c>
      <c r="AO211">
        <f t="shared" si="136"/>
        <v>13.895444704870403</v>
      </c>
      <c r="AP211">
        <f t="shared" si="137"/>
        <v>14.255667691213114</v>
      </c>
      <c r="AQ211">
        <f t="shared" si="138"/>
        <v>14.696592214957477</v>
      </c>
      <c r="AR211">
        <f t="shared" si="139"/>
        <v>15.203606641284164</v>
      </c>
      <c r="AS211">
        <f t="shared" si="140"/>
        <v>16.458975389991821</v>
      </c>
      <c r="AT211">
        <f t="shared" si="141"/>
        <v>20.874694076428305</v>
      </c>
      <c r="AU211">
        <f t="shared" si="146"/>
        <v>-18.793646732190034</v>
      </c>
      <c r="AV211" s="5">
        <f t="shared" si="142"/>
        <v>-7.3447809535689288</v>
      </c>
      <c r="AW211" s="5">
        <f t="shared" si="142"/>
        <v>-6.4615893201534984</v>
      </c>
      <c r="AX211" s="5">
        <f t="shared" si="142"/>
        <v>-6.0033682256977805</v>
      </c>
      <c r="AY211" s="5">
        <f t="shared" si="142"/>
        <v>-5.6305923636104751</v>
      </c>
      <c r="AZ211" s="5">
        <f t="shared" si="142"/>
        <v>-5.2472797961948832</v>
      </c>
      <c r="BA211" s="5">
        <f t="shared" si="142"/>
        <v>-4.8982020273196305</v>
      </c>
      <c r="BB211" s="5">
        <f t="shared" si="142"/>
        <v>-4.5379790409769196</v>
      </c>
      <c r="BC211" s="5">
        <f t="shared" si="142"/>
        <v>-4.0970545172325572</v>
      </c>
      <c r="BD211" s="5">
        <f t="shared" si="142"/>
        <v>-3.5900400909058696</v>
      </c>
      <c r="BE211" s="5">
        <f t="shared" si="142"/>
        <v>-2.334671342198213</v>
      </c>
      <c r="BG211">
        <v>100</v>
      </c>
      <c r="BH211">
        <f>100*365</f>
        <v>36500</v>
      </c>
      <c r="BI211" s="8">
        <f t="shared" si="143"/>
        <v>674083066.79999995</v>
      </c>
      <c r="BJ211" s="8">
        <f t="shared" si="143"/>
        <v>673543446.29999995</v>
      </c>
      <c r="BK211" s="8">
        <f t="shared" si="143"/>
        <v>673511642.20000005</v>
      </c>
      <c r="BL211" s="8">
        <f t="shared" si="143"/>
        <v>672729151.29999995</v>
      </c>
      <c r="BM211" s="8">
        <f t="shared" si="143"/>
        <v>671061599.10000002</v>
      </c>
      <c r="BN211" s="8">
        <f t="shared" si="143"/>
        <v>624435978.60000002</v>
      </c>
      <c r="BO211" s="8">
        <f t="shared" si="143"/>
        <v>602278419.39999998</v>
      </c>
      <c r="BP211" s="8">
        <f t="shared" si="143"/>
        <v>595775295.89999998</v>
      </c>
      <c r="BQ211" s="8">
        <f t="shared" si="143"/>
        <v>583608539.5</v>
      </c>
      <c r="BR211" s="8">
        <f t="shared" si="143"/>
        <v>575189592</v>
      </c>
      <c r="BS211" s="8">
        <f t="shared" si="147"/>
        <v>6346.2167310999994</v>
      </c>
      <c r="BT211" s="8">
        <f t="shared" si="149"/>
        <v>1599.1224973999988</v>
      </c>
      <c r="BU211" s="21">
        <f t="shared" si="148"/>
        <v>0.23722929356337877</v>
      </c>
    </row>
    <row r="212" spans="1:73" x14ac:dyDescent="0.35">
      <c r="A212" t="s">
        <v>350</v>
      </c>
      <c r="B212">
        <v>0.98</v>
      </c>
      <c r="C212">
        <v>2.2000000000000002</v>
      </c>
      <c r="D212">
        <v>3.34</v>
      </c>
      <c r="E212">
        <v>4.5</v>
      </c>
      <c r="F212">
        <v>5.66</v>
      </c>
      <c r="G212">
        <v>7.05</v>
      </c>
      <c r="H212">
        <v>8.81</v>
      </c>
      <c r="I212">
        <v>11.35</v>
      </c>
      <c r="J212">
        <v>15.870000000000001</v>
      </c>
      <c r="K212">
        <v>40.25</v>
      </c>
      <c r="L212">
        <f t="shared" si="127"/>
        <v>21.5</v>
      </c>
      <c r="M212">
        <f t="shared" si="128"/>
        <v>19549124</v>
      </c>
      <c r="N212">
        <f t="shared" si="129"/>
        <v>2576.6454096087737</v>
      </c>
      <c r="O212">
        <f t="shared" si="144"/>
        <v>-3.9368554493377497</v>
      </c>
      <c r="P212" s="8">
        <f t="shared" si="130"/>
        <v>252.51125014165981</v>
      </c>
      <c r="Q212" s="8">
        <f t="shared" si="130"/>
        <v>566.86199011393023</v>
      </c>
      <c r="R212" s="8">
        <f t="shared" si="130"/>
        <v>860.59956680933033</v>
      </c>
      <c r="S212" s="8">
        <f t="shared" si="130"/>
        <v>1159.4904343239482</v>
      </c>
      <c r="T212" s="8">
        <f t="shared" si="130"/>
        <v>1458.3813018385658</v>
      </c>
      <c r="U212" s="8">
        <f t="shared" si="130"/>
        <v>1816.5350137741855</v>
      </c>
      <c r="V212" s="8">
        <f t="shared" si="130"/>
        <v>2270.0246058653297</v>
      </c>
      <c r="W212" s="8">
        <f t="shared" si="130"/>
        <v>2924.492539905958</v>
      </c>
      <c r="X212" s="8">
        <f t="shared" si="130"/>
        <v>4089.1362650491237</v>
      </c>
      <c r="Y212" s="8">
        <f t="shared" si="130"/>
        <v>10370.997773675314</v>
      </c>
      <c r="Z212">
        <f t="shared" si="131"/>
        <v>5.5314558027393437</v>
      </c>
      <c r="AA212">
        <f t="shared" si="131"/>
        <v>6.3401158704211333</v>
      </c>
      <c r="AB212">
        <f t="shared" si="131"/>
        <v>6.7576293170454722</v>
      </c>
      <c r="AC212">
        <f t="shared" si="131"/>
        <v>7.0557359068331378</v>
      </c>
      <c r="AD212">
        <f t="shared" si="131"/>
        <v>7.2850824022719545</v>
      </c>
      <c r="AE212">
        <f t="shared" si="131"/>
        <v>7.5046861268810403</v>
      </c>
      <c r="AF212">
        <f t="shared" si="131"/>
        <v>7.7275459500049513</v>
      </c>
      <c r="AG212">
        <f t="shared" si="131"/>
        <v>7.9808762539842748</v>
      </c>
      <c r="AH212">
        <f t="shared" si="131"/>
        <v>8.3160890445951807</v>
      </c>
      <c r="AI212">
        <f t="shared" si="131"/>
        <v>9.2467685139214364</v>
      </c>
      <c r="AJ212">
        <f t="shared" si="145"/>
        <v>10.08549230222304</v>
      </c>
      <c r="AK212">
        <f t="shared" si="132"/>
        <v>11.559920586307111</v>
      </c>
      <c r="AL212">
        <f t="shared" si="133"/>
        <v>12.321172018510376</v>
      </c>
      <c r="AM212">
        <f t="shared" si="134"/>
        <v>12.864709167457047</v>
      </c>
      <c r="AN212">
        <f t="shared" si="135"/>
        <v>13.28287617389765</v>
      </c>
      <c r="AO212">
        <f t="shared" si="136"/>
        <v>13.683279205769947</v>
      </c>
      <c r="AP212">
        <f t="shared" si="137"/>
        <v>14.089619075552129</v>
      </c>
      <c r="AQ212">
        <f t="shared" si="138"/>
        <v>14.551515712137022</v>
      </c>
      <c r="AR212">
        <f t="shared" si="139"/>
        <v>15.162708522832304</v>
      </c>
      <c r="AS212">
        <f t="shared" si="140"/>
        <v>16.859614537895929</v>
      </c>
      <c r="AT212">
        <f t="shared" si="141"/>
        <v>18.388857943658664</v>
      </c>
      <c r="AU212">
        <f t="shared" si="146"/>
        <v>-19.080627350971621</v>
      </c>
      <c r="AV212" s="5">
        <f t="shared" si="142"/>
        <v>-8.9951350487485815</v>
      </c>
      <c r="AW212" s="5">
        <f t="shared" si="142"/>
        <v>-7.52070676466451</v>
      </c>
      <c r="AX212" s="5">
        <f t="shared" si="142"/>
        <v>-6.7594553324612452</v>
      </c>
      <c r="AY212" s="5">
        <f t="shared" si="142"/>
        <v>-6.2159181835145745</v>
      </c>
      <c r="AZ212" s="5">
        <f t="shared" si="142"/>
        <v>-5.7977511770739714</v>
      </c>
      <c r="BA212" s="5">
        <f t="shared" si="142"/>
        <v>-5.3973481452016738</v>
      </c>
      <c r="BB212" s="5">
        <f t="shared" si="142"/>
        <v>-4.9910082754194924</v>
      </c>
      <c r="BC212" s="5">
        <f t="shared" si="142"/>
        <v>-4.5291116388345998</v>
      </c>
      <c r="BD212" s="5">
        <f t="shared" si="142"/>
        <v>-3.9179188281393174</v>
      </c>
      <c r="BE212" s="5">
        <f t="shared" si="142"/>
        <v>-2.2210128130756921</v>
      </c>
      <c r="BI212" s="8">
        <f>SUM($M208:$M378)/10</f>
        <v>674083066.79999995</v>
      </c>
      <c r="BJ212" s="8">
        <f t="shared" ref="BJ212:BR212" si="150">SUM($M208:$M378)/10</f>
        <v>674083066.79999995</v>
      </c>
      <c r="BK212" s="8">
        <f t="shared" si="150"/>
        <v>674083066.79999995</v>
      </c>
      <c r="BL212" s="8">
        <f t="shared" si="150"/>
        <v>674083066.79999995</v>
      </c>
      <c r="BM212" s="8">
        <f t="shared" si="150"/>
        <v>674083066.79999995</v>
      </c>
      <c r="BN212" s="8">
        <f t="shared" si="150"/>
        <v>674083066.79999995</v>
      </c>
      <c r="BO212" s="8">
        <f t="shared" si="150"/>
        <v>674083066.79999995</v>
      </c>
      <c r="BP212" s="8">
        <f t="shared" si="150"/>
        <v>674083066.79999995</v>
      </c>
      <c r="BQ212" s="8">
        <f t="shared" si="150"/>
        <v>674083066.79999995</v>
      </c>
      <c r="BR212" s="8">
        <f t="shared" si="150"/>
        <v>674083066.79999995</v>
      </c>
      <c r="BS212" s="8">
        <f t="shared" si="147"/>
        <v>6740.8306680000005</v>
      </c>
      <c r="BT212" s="8">
        <f t="shared" si="149"/>
        <v>394.61393690000114</v>
      </c>
      <c r="BU212" s="21">
        <f t="shared" si="148"/>
        <v>5.8540847016571446E-2</v>
      </c>
    </row>
    <row r="213" spans="1:73" x14ac:dyDescent="0.35">
      <c r="A213" t="s">
        <v>118</v>
      </c>
      <c r="B213">
        <v>1.62</v>
      </c>
      <c r="C213">
        <v>3.17</v>
      </c>
      <c r="D213">
        <v>4.26</v>
      </c>
      <c r="E213">
        <v>5.38</v>
      </c>
      <c r="F213">
        <v>6.7</v>
      </c>
      <c r="G213">
        <v>8.2200000000000006</v>
      </c>
      <c r="H213">
        <v>10.130000000000001</v>
      </c>
      <c r="I213">
        <v>12.75</v>
      </c>
      <c r="J213">
        <v>17.03</v>
      </c>
      <c r="K213">
        <v>30.75</v>
      </c>
      <c r="L213">
        <f t="shared" si="127"/>
        <v>14.8</v>
      </c>
      <c r="M213">
        <f t="shared" si="128"/>
        <v>40374224</v>
      </c>
      <c r="N213">
        <f t="shared" si="129"/>
        <v>7274.3904532313973</v>
      </c>
      <c r="O213">
        <f t="shared" si="144"/>
        <v>0.44740618367108453</v>
      </c>
      <c r="P213" s="8">
        <f t="shared" si="130"/>
        <v>1178.4512534234864</v>
      </c>
      <c r="Q213" s="8">
        <f t="shared" si="130"/>
        <v>2305.9817736743526</v>
      </c>
      <c r="R213" s="8">
        <f t="shared" si="130"/>
        <v>3098.8903330765752</v>
      </c>
      <c r="S213" s="8">
        <f t="shared" si="130"/>
        <v>3913.6220638384921</v>
      </c>
      <c r="T213" s="8">
        <f t="shared" si="130"/>
        <v>4873.841603665036</v>
      </c>
      <c r="U213" s="8">
        <f t="shared" si="130"/>
        <v>5979.5489525562089</v>
      </c>
      <c r="V213" s="8">
        <f t="shared" si="130"/>
        <v>7368.957529123405</v>
      </c>
      <c r="W213" s="8">
        <f t="shared" si="130"/>
        <v>9274.8478278700313</v>
      </c>
      <c r="X213" s="8">
        <f t="shared" si="130"/>
        <v>12388.286941853072</v>
      </c>
      <c r="Y213" s="8">
        <f t="shared" si="130"/>
        <v>22368.750643686544</v>
      </c>
      <c r="Z213">
        <f t="shared" si="131"/>
        <v>7.0719563582822529</v>
      </c>
      <c r="AA213">
        <f t="shared" si="131"/>
        <v>7.7432617969271496</v>
      </c>
      <c r="AB213">
        <f t="shared" si="131"/>
        <v>8.0387993693192392</v>
      </c>
      <c r="AC213">
        <f t="shared" si="131"/>
        <v>8.2722185832116537</v>
      </c>
      <c r="AD213">
        <f t="shared" si="131"/>
        <v>8.49163773543488</v>
      </c>
      <c r="AE213">
        <f t="shared" si="131"/>
        <v>8.6961004181060488</v>
      </c>
      <c r="AF213">
        <f t="shared" si="131"/>
        <v>8.9050315272985525</v>
      </c>
      <c r="AG213">
        <f t="shared" si="131"/>
        <v>9.1350614806423955</v>
      </c>
      <c r="AH213">
        <f t="shared" si="131"/>
        <v>9.4245067037125576</v>
      </c>
      <c r="AI213">
        <f t="shared" si="131"/>
        <v>10.015420203290487</v>
      </c>
      <c r="AJ213">
        <f t="shared" si="145"/>
        <v>12.894283884143316</v>
      </c>
      <c r="AK213">
        <f t="shared" si="132"/>
        <v>14.118273747813678</v>
      </c>
      <c r="AL213">
        <f t="shared" si="133"/>
        <v>14.657126812481032</v>
      </c>
      <c r="AM213">
        <f t="shared" si="134"/>
        <v>15.082719598332643</v>
      </c>
      <c r="AN213">
        <f t="shared" si="135"/>
        <v>15.482786099742947</v>
      </c>
      <c r="AO213">
        <f t="shared" si="136"/>
        <v>15.855582500131923</v>
      </c>
      <c r="AP213">
        <f t="shared" si="137"/>
        <v>16.236526173660398</v>
      </c>
      <c r="AQ213">
        <f t="shared" si="138"/>
        <v>16.65593932753232</v>
      </c>
      <c r="AR213">
        <f t="shared" si="139"/>
        <v>17.183684223865701</v>
      </c>
      <c r="AS213">
        <f t="shared" si="140"/>
        <v>18.261095625819141</v>
      </c>
      <c r="AT213">
        <f t="shared" si="141"/>
        <v>23.510122017390742</v>
      </c>
      <c r="AU213">
        <f t="shared" si="146"/>
        <v>-16.293936519498907</v>
      </c>
      <c r="AV213" s="5">
        <f t="shared" si="142"/>
        <v>-3.39965263535559</v>
      </c>
      <c r="AW213" s="5">
        <f t="shared" si="142"/>
        <v>-2.1756627716852286</v>
      </c>
      <c r="AX213" s="5">
        <f t="shared" si="142"/>
        <v>-1.6368097070178749</v>
      </c>
      <c r="AY213" s="5">
        <f t="shared" si="142"/>
        <v>-1.2112169211662636</v>
      </c>
      <c r="AZ213" s="5">
        <f t="shared" si="142"/>
        <v>-0.81115041975595936</v>
      </c>
      <c r="BA213" s="5">
        <f t="shared" si="142"/>
        <v>-0.43835401936698304</v>
      </c>
      <c r="BB213" s="5">
        <f t="shared" si="142"/>
        <v>-5.7410345838508903E-2</v>
      </c>
      <c r="BC213" s="5">
        <f t="shared" si="142"/>
        <v>0.362002808033413</v>
      </c>
      <c r="BD213" s="5">
        <f t="shared" si="142"/>
        <v>0.88974770436679407</v>
      </c>
      <c r="BE213" s="5">
        <f t="shared" si="142"/>
        <v>1.9671591063202349</v>
      </c>
    </row>
    <row r="214" spans="1:73" x14ac:dyDescent="0.35">
      <c r="A214" t="s">
        <v>212</v>
      </c>
      <c r="B214">
        <v>3.52</v>
      </c>
      <c r="C214">
        <v>4.93</v>
      </c>
      <c r="D214">
        <v>5.8500000000000005</v>
      </c>
      <c r="E214">
        <v>6.8100000000000005</v>
      </c>
      <c r="F214">
        <v>7.86</v>
      </c>
      <c r="G214">
        <v>9.01</v>
      </c>
      <c r="H214">
        <v>10.19</v>
      </c>
      <c r="I214">
        <v>11.78</v>
      </c>
      <c r="J214">
        <v>14.31</v>
      </c>
      <c r="K214">
        <v>25.740000000000002</v>
      </c>
      <c r="L214">
        <f t="shared" si="127"/>
        <v>7.1</v>
      </c>
      <c r="M214">
        <f t="shared" si="128"/>
        <v>2963496</v>
      </c>
      <c r="N214">
        <f t="shared" si="129"/>
        <v>1997.0389119682286</v>
      </c>
      <c r="O214">
        <f t="shared" si="144"/>
        <v>-5.6533258255861885</v>
      </c>
      <c r="P214" s="8">
        <f t="shared" si="130"/>
        <v>702.95769701281654</v>
      </c>
      <c r="Q214" s="8">
        <f t="shared" si="130"/>
        <v>984.5401836003366</v>
      </c>
      <c r="R214" s="8">
        <f t="shared" si="130"/>
        <v>1168.2677635014138</v>
      </c>
      <c r="S214" s="8">
        <f t="shared" si="130"/>
        <v>1359.9834990503637</v>
      </c>
      <c r="T214" s="8">
        <f t="shared" si="130"/>
        <v>1569.6725848070278</v>
      </c>
      <c r="U214" s="8">
        <f t="shared" si="130"/>
        <v>1799.3320596833739</v>
      </c>
      <c r="V214" s="8">
        <f t="shared" si="130"/>
        <v>2034.9826512956249</v>
      </c>
      <c r="W214" s="8">
        <f t="shared" si="130"/>
        <v>2352.5118382985734</v>
      </c>
      <c r="X214" s="8">
        <f t="shared" si="130"/>
        <v>2857.7626830265353</v>
      </c>
      <c r="Y214" s="8">
        <f t="shared" si="130"/>
        <v>5140.3781594062211</v>
      </c>
      <c r="Z214">
        <f t="shared" si="131"/>
        <v>6.5552967150538732</v>
      </c>
      <c r="AA214">
        <f t="shared" si="131"/>
        <v>6.8921747134984663</v>
      </c>
      <c r="AB214">
        <f t="shared" si="131"/>
        <v>7.0632773866876324</v>
      </c>
      <c r="AC214">
        <f t="shared" si="131"/>
        <v>7.2152278456052885</v>
      </c>
      <c r="AD214">
        <f t="shared" si="131"/>
        <v>7.358622331884983</v>
      </c>
      <c r="AE214">
        <f t="shared" si="131"/>
        <v>7.4951707970641142</v>
      </c>
      <c r="AF214">
        <f t="shared" si="131"/>
        <v>7.6182425726785006</v>
      </c>
      <c r="AG214">
        <f t="shared" si="131"/>
        <v>7.7632389036673084</v>
      </c>
      <c r="AH214">
        <f t="shared" si="131"/>
        <v>7.9577943190122271</v>
      </c>
      <c r="AI214">
        <f t="shared" si="131"/>
        <v>8.5448819276118488</v>
      </c>
      <c r="AJ214">
        <f t="shared" si="145"/>
        <v>11.952259389964297</v>
      </c>
      <c r="AK214">
        <f t="shared" si="132"/>
        <v>12.566488370772328</v>
      </c>
      <c r="AL214">
        <f t="shared" si="133"/>
        <v>12.878459532592787</v>
      </c>
      <c r="AM214">
        <f t="shared" si="134"/>
        <v>13.155510500436431</v>
      </c>
      <c r="AN214">
        <f t="shared" si="135"/>
        <v>13.416961380481226</v>
      </c>
      <c r="AO214">
        <f t="shared" si="136"/>
        <v>13.665929923945406</v>
      </c>
      <c r="AP214">
        <f t="shared" si="137"/>
        <v>13.890326446279566</v>
      </c>
      <c r="AQ214">
        <f t="shared" si="138"/>
        <v>14.154697966578796</v>
      </c>
      <c r="AR214">
        <f t="shared" si="139"/>
        <v>14.509430466266357</v>
      </c>
      <c r="AS214">
        <f t="shared" si="140"/>
        <v>15.57986612885083</v>
      </c>
      <c r="AT214">
        <f t="shared" si="141"/>
        <v>21.792530641203125</v>
      </c>
      <c r="AU214">
        <f t="shared" si="146"/>
        <v>-19.798131557809501</v>
      </c>
      <c r="AV214" s="5">
        <f t="shared" si="142"/>
        <v>-7.8458721678452044</v>
      </c>
      <c r="AW214" s="5">
        <f t="shared" si="142"/>
        <v>-7.2316431870371733</v>
      </c>
      <c r="AX214" s="5">
        <f t="shared" si="142"/>
        <v>-6.9196720252167143</v>
      </c>
      <c r="AY214" s="5">
        <f t="shared" si="142"/>
        <v>-6.64262105737307</v>
      </c>
      <c r="AZ214" s="5">
        <f t="shared" si="142"/>
        <v>-6.3811701773282756</v>
      </c>
      <c r="BA214" s="5">
        <f t="shared" si="142"/>
        <v>-6.1322016338640957</v>
      </c>
      <c r="BB214" s="5">
        <f t="shared" si="142"/>
        <v>-5.9078051115299353</v>
      </c>
      <c r="BC214" s="5">
        <f t="shared" si="142"/>
        <v>-5.6434335912307052</v>
      </c>
      <c r="BD214" s="5">
        <f t="shared" si="142"/>
        <v>-5.2887010915431443</v>
      </c>
      <c r="BE214" s="5">
        <f t="shared" si="142"/>
        <v>-4.2182654289586718</v>
      </c>
      <c r="BG214" s="5"/>
      <c r="BH214" s="5">
        <v>3</v>
      </c>
      <c r="BI214" s="8">
        <f>SUMIF(Z$208:Z$378,"&lt;"&amp;$BH214,$M$208:$M$378)/10</f>
        <v>0</v>
      </c>
      <c r="BJ214" s="8">
        <f t="shared" ref="BJ214:BJ277" si="151">SUMIF(AA$208:AA$378,"&lt;"&amp;$BH214,$M$208:$M$378)/10</f>
        <v>0</v>
      </c>
      <c r="BK214" s="8">
        <f t="shared" ref="BK214:BK277" si="152">SUMIF(AB$208:AB$378,"&lt;"&amp;$BH214,$M$208:$M$378)/10</f>
        <v>0</v>
      </c>
      <c r="BL214" s="8">
        <f t="shared" ref="BL214:BL277" si="153">SUMIF(AC$208:AC$378,"&lt;"&amp;$BH214,$M$208:$M$378)/10</f>
        <v>0</v>
      </c>
      <c r="BM214" s="8">
        <f t="shared" ref="BM214:BM277" si="154">SUMIF(AD$208:AD$378,"&lt;"&amp;$BH214,$M$208:$M$378)/10</f>
        <v>0</v>
      </c>
      <c r="BN214" s="8">
        <f t="shared" ref="BN214:BN277" si="155">SUMIF(AE$208:AE$378,"&lt;"&amp;$BH214,$M$208:$M$378)/10</f>
        <v>0</v>
      </c>
      <c r="BO214" s="8">
        <f t="shared" ref="BO214:BO277" si="156">SUMIF(AF$208:AF$378,"&lt;"&amp;$BH214,$M$208:$M$378)/10</f>
        <v>0</v>
      </c>
      <c r="BP214" s="8">
        <f t="shared" ref="BP214:BP277" si="157">SUMIF(AG$208:AG$378,"&lt;"&amp;$BH214,$M$208:$M$378)/10</f>
        <v>0</v>
      </c>
      <c r="BQ214" s="8">
        <f t="shared" ref="BQ214:BQ277" si="158">SUMIF(AH$208:AH$378,"&lt;"&amp;$BH214,$M$208:$M$378)/10</f>
        <v>0</v>
      </c>
      <c r="BR214" s="8">
        <f t="shared" ref="BR214:BR277" si="159">SUMIF(AI$208:AI$378,"&lt;"&amp;$BH214,$M$208:$M$378)/10</f>
        <v>0</v>
      </c>
      <c r="BS214" s="8">
        <f t="shared" si="147"/>
        <v>0</v>
      </c>
      <c r="BT214" s="8">
        <f>BS214</f>
        <v>0</v>
      </c>
      <c r="BU214" s="8"/>
    </row>
    <row r="215" spans="1:73" x14ac:dyDescent="0.35">
      <c r="A215" t="s">
        <v>119</v>
      </c>
      <c r="B215">
        <v>2.58</v>
      </c>
      <c r="C215">
        <v>4.51</v>
      </c>
      <c r="D215">
        <v>5.48</v>
      </c>
      <c r="E215">
        <v>6.3500000000000005</v>
      </c>
      <c r="F215">
        <v>7.42</v>
      </c>
      <c r="G215">
        <v>8.7200000000000006</v>
      </c>
      <c r="H215">
        <v>10.33</v>
      </c>
      <c r="I215">
        <v>12.46</v>
      </c>
      <c r="J215">
        <v>15.63</v>
      </c>
      <c r="K215">
        <v>26.53</v>
      </c>
      <c r="L215">
        <f t="shared" si="127"/>
        <v>21.6</v>
      </c>
      <c r="M215">
        <f t="shared" si="128"/>
        <v>22065300</v>
      </c>
      <c r="N215">
        <f t="shared" si="129"/>
        <v>36140.105242213795</v>
      </c>
      <c r="O215">
        <f t="shared" si="144"/>
        <v>-6.2567897387263063</v>
      </c>
      <c r="P215" s="8">
        <f t="shared" si="130"/>
        <v>9324.1471524911594</v>
      </c>
      <c r="Q215" s="8">
        <f t="shared" si="130"/>
        <v>16299.187464238421</v>
      </c>
      <c r="R215" s="8">
        <f t="shared" si="130"/>
        <v>19804.777672733158</v>
      </c>
      <c r="S215" s="8">
        <f t="shared" si="130"/>
        <v>22948.966828805762</v>
      </c>
      <c r="T215" s="8">
        <f t="shared" si="130"/>
        <v>26815.958089722633</v>
      </c>
      <c r="U215" s="8">
        <f t="shared" si="130"/>
        <v>31514.171771210433</v>
      </c>
      <c r="V215" s="8">
        <f t="shared" si="130"/>
        <v>37332.728715206853</v>
      </c>
      <c r="W215" s="8">
        <f t="shared" si="130"/>
        <v>45030.571131798395</v>
      </c>
      <c r="X215" s="8">
        <f t="shared" si="130"/>
        <v>56486.984493580167</v>
      </c>
      <c r="Y215" s="8">
        <f t="shared" si="130"/>
        <v>95879.699207593192</v>
      </c>
      <c r="Z215">
        <f t="shared" si="131"/>
        <v>9.1403627821515698</v>
      </c>
      <c r="AA215">
        <f t="shared" si="131"/>
        <v>9.6988705367326311</v>
      </c>
      <c r="AB215">
        <f t="shared" si="131"/>
        <v>9.8936784841779684</v>
      </c>
      <c r="AC215">
        <f t="shared" si="131"/>
        <v>10.041028196122644</v>
      </c>
      <c r="AD215">
        <f t="shared" si="131"/>
        <v>10.196752440397333</v>
      </c>
      <c r="AE215">
        <f t="shared" si="131"/>
        <v>10.358192621138933</v>
      </c>
      <c r="AF215">
        <f t="shared" si="131"/>
        <v>10.527625666349591</v>
      </c>
      <c r="AG215">
        <f t="shared" si="131"/>
        <v>10.715096896577352</v>
      </c>
      <c r="AH215">
        <f t="shared" si="131"/>
        <v>10.94176552765143</v>
      </c>
      <c r="AI215">
        <f t="shared" si="131"/>
        <v>11.470849551367692</v>
      </c>
      <c r="AJ215">
        <f t="shared" si="145"/>
        <v>16.665605179971394</v>
      </c>
      <c r="AK215">
        <f t="shared" si="132"/>
        <v>17.683931251883532</v>
      </c>
      <c r="AL215">
        <f t="shared" si="133"/>
        <v>18.039124192844721</v>
      </c>
      <c r="AM215">
        <f t="shared" si="134"/>
        <v>18.307786627934025</v>
      </c>
      <c r="AN215">
        <f t="shared" si="135"/>
        <v>18.591718331071576</v>
      </c>
      <c r="AO215">
        <f t="shared" si="136"/>
        <v>18.886071889737376</v>
      </c>
      <c r="AP215">
        <f t="shared" si="137"/>
        <v>19.194998822203878</v>
      </c>
      <c r="AQ215">
        <f t="shared" si="138"/>
        <v>19.536814741335693</v>
      </c>
      <c r="AR215">
        <f t="shared" si="139"/>
        <v>19.950099203035798</v>
      </c>
      <c r="AS215">
        <f t="shared" si="140"/>
        <v>20.914777045309613</v>
      </c>
      <c r="AT215">
        <f t="shared" si="141"/>
        <v>30.386364593431484</v>
      </c>
      <c r="AU215">
        <f t="shared" si="146"/>
        <v>-25.743839723082615</v>
      </c>
      <c r="AV215" s="5">
        <f t="shared" si="142"/>
        <v>-9.0782345431112219</v>
      </c>
      <c r="AW215" s="5">
        <f t="shared" si="142"/>
        <v>-8.0599084711990834</v>
      </c>
      <c r="AX215" s="5">
        <f t="shared" si="142"/>
        <v>-7.7047155302378947</v>
      </c>
      <c r="AY215" s="5">
        <f t="shared" si="142"/>
        <v>-7.4360530951485906</v>
      </c>
      <c r="AZ215" s="5">
        <f t="shared" si="142"/>
        <v>-7.1521213920110398</v>
      </c>
      <c r="BA215" s="5">
        <f t="shared" si="142"/>
        <v>-6.857767833345239</v>
      </c>
      <c r="BB215" s="5">
        <f t="shared" si="142"/>
        <v>-6.5488409008787372</v>
      </c>
      <c r="BC215" s="5">
        <f t="shared" si="142"/>
        <v>-6.2070249817469225</v>
      </c>
      <c r="BD215" s="5">
        <f t="shared" si="142"/>
        <v>-5.7937405200468177</v>
      </c>
      <c r="BE215" s="5">
        <f t="shared" si="142"/>
        <v>-4.8290626777730026</v>
      </c>
      <c r="BG215" s="1"/>
      <c r="BH215" s="1">
        <f>0.1+BH214</f>
        <v>3.1</v>
      </c>
      <c r="BI215" s="8">
        <f t="shared" ref="BI215:BI278" si="160">SUMIF(Z$208:Z$378,"&lt;"&amp;$BH215,$M$208:$M$378)/10</f>
        <v>0</v>
      </c>
      <c r="BJ215" s="8">
        <f t="shared" si="151"/>
        <v>0</v>
      </c>
      <c r="BK215" s="8">
        <f t="shared" si="152"/>
        <v>0</v>
      </c>
      <c r="BL215" s="8">
        <f t="shared" si="153"/>
        <v>0</v>
      </c>
      <c r="BM215" s="8">
        <f t="shared" si="154"/>
        <v>0</v>
      </c>
      <c r="BN215" s="8">
        <f t="shared" si="155"/>
        <v>0</v>
      </c>
      <c r="BO215" s="8">
        <f t="shared" si="156"/>
        <v>0</v>
      </c>
      <c r="BP215" s="8">
        <f t="shared" si="157"/>
        <v>0</v>
      </c>
      <c r="BQ215" s="8">
        <f t="shared" si="158"/>
        <v>0</v>
      </c>
      <c r="BR215" s="8">
        <f t="shared" si="159"/>
        <v>0</v>
      </c>
      <c r="BS215" s="8">
        <f t="shared" si="147"/>
        <v>0</v>
      </c>
      <c r="BT215" s="8">
        <f>BS215-BS214</f>
        <v>0</v>
      </c>
      <c r="BU215" s="8"/>
    </row>
    <row r="216" spans="1:73" x14ac:dyDescent="0.35">
      <c r="A216" t="s">
        <v>120</v>
      </c>
      <c r="B216">
        <v>3.5</v>
      </c>
      <c r="C216">
        <v>5.5</v>
      </c>
      <c r="D216">
        <v>6.5</v>
      </c>
      <c r="E216">
        <v>7.6000000000000005</v>
      </c>
      <c r="F216">
        <v>8.6</v>
      </c>
      <c r="G216">
        <v>9.5</v>
      </c>
      <c r="H216">
        <v>10.5</v>
      </c>
      <c r="I216">
        <v>12</v>
      </c>
      <c r="J216">
        <v>14</v>
      </c>
      <c r="K216">
        <v>22.3</v>
      </c>
      <c r="L216">
        <f t="shared" si="127"/>
        <v>6.3</v>
      </c>
      <c r="M216">
        <f t="shared" si="128"/>
        <v>8389771</v>
      </c>
      <c r="N216">
        <f t="shared" si="129"/>
        <v>38803.235792365253</v>
      </c>
      <c r="O216">
        <f t="shared" si="144"/>
        <v>0.14028098401818667</v>
      </c>
      <c r="P216" s="8">
        <f t="shared" si="130"/>
        <v>13581.132527327838</v>
      </c>
      <c r="Q216" s="8">
        <f t="shared" si="130"/>
        <v>21341.779685800888</v>
      </c>
      <c r="R216" s="8">
        <f t="shared" si="130"/>
        <v>25222.103265037415</v>
      </c>
      <c r="S216" s="8">
        <f t="shared" si="130"/>
        <v>29490.459202197595</v>
      </c>
      <c r="T216" s="8">
        <f t="shared" si="130"/>
        <v>33370.782781434114</v>
      </c>
      <c r="U216" s="8">
        <f t="shared" si="130"/>
        <v>36863.074002746987</v>
      </c>
      <c r="V216" s="8">
        <f t="shared" si="130"/>
        <v>40743.397581983518</v>
      </c>
      <c r="W216" s="8">
        <f t="shared" si="130"/>
        <v>46563.882950838306</v>
      </c>
      <c r="X216" s="8">
        <f t="shared" si="130"/>
        <v>54324.530109311352</v>
      </c>
      <c r="Y216" s="8">
        <f t="shared" si="130"/>
        <v>86531.215816974509</v>
      </c>
      <c r="Z216">
        <f t="shared" si="131"/>
        <v>9.5164367943458199</v>
      </c>
      <c r="AA216">
        <f t="shared" si="131"/>
        <v>9.9684219180888771</v>
      </c>
      <c r="AB216">
        <f t="shared" si="131"/>
        <v>10.135476002752043</v>
      </c>
      <c r="AC216">
        <f t="shared" si="131"/>
        <v>10.291822073142736</v>
      </c>
      <c r="AD216">
        <f t="shared" si="131"/>
        <v>10.415436029109914</v>
      </c>
      <c r="AE216">
        <f t="shared" si="131"/>
        <v>10.514965624456947</v>
      </c>
      <c r="AF216">
        <f t="shared" si="131"/>
        <v>10.615049083013929</v>
      </c>
      <c r="AG216">
        <f t="shared" si="131"/>
        <v>10.748580475638452</v>
      </c>
      <c r="AH216">
        <f t="shared" si="131"/>
        <v>10.902731155465711</v>
      </c>
      <c r="AI216">
        <f t="shared" si="131"/>
        <v>11.368260504316524</v>
      </c>
      <c r="AJ216">
        <f t="shared" si="145"/>
        <v>17.351300174257144</v>
      </c>
      <c r="AK216">
        <f t="shared" si="132"/>
        <v>18.175403746407614</v>
      </c>
      <c r="AL216">
        <f t="shared" si="133"/>
        <v>18.479993124865796</v>
      </c>
      <c r="AM216">
        <f t="shared" si="134"/>
        <v>18.765058602317005</v>
      </c>
      <c r="AN216">
        <f t="shared" si="135"/>
        <v>18.990443681004049</v>
      </c>
      <c r="AO216">
        <f t="shared" si="136"/>
        <v>19.171915793141103</v>
      </c>
      <c r="AP216">
        <f t="shared" si="137"/>
        <v>19.354397762961131</v>
      </c>
      <c r="AQ216">
        <f t="shared" si="138"/>
        <v>19.59786528407064</v>
      </c>
      <c r="AR216">
        <f t="shared" si="139"/>
        <v>19.878927910298319</v>
      </c>
      <c r="AS216">
        <f t="shared" si="140"/>
        <v>20.727726640999311</v>
      </c>
      <c r="AT216">
        <f t="shared" si="141"/>
        <v>31.636590905122702</v>
      </c>
      <c r="AU216">
        <f t="shared" si="146"/>
        <v>-19.337804439524366</v>
      </c>
      <c r="AV216" s="5">
        <f t="shared" si="142"/>
        <v>-1.9865042652672216</v>
      </c>
      <c r="AW216" s="5">
        <f t="shared" si="142"/>
        <v>-1.1624006931167514</v>
      </c>
      <c r="AX216" s="5">
        <f t="shared" si="142"/>
        <v>-0.8578113146585693</v>
      </c>
      <c r="AY216" s="5">
        <f t="shared" si="142"/>
        <v>-0.57274583720736061</v>
      </c>
      <c r="AZ216" s="5">
        <f t="shared" si="142"/>
        <v>-0.34736075852031689</v>
      </c>
      <c r="BA216" s="5">
        <f t="shared" si="142"/>
        <v>-0.16588864638326228</v>
      </c>
      <c r="BB216" s="5">
        <f t="shared" si="142"/>
        <v>1.6593323436765672E-2</v>
      </c>
      <c r="BC216" s="5">
        <f t="shared" si="142"/>
        <v>0.26006084454627398</v>
      </c>
      <c r="BD216" s="5">
        <f t="shared" si="142"/>
        <v>0.54112347077395384</v>
      </c>
      <c r="BE216" s="5">
        <f t="shared" si="142"/>
        <v>1.3899222014749455</v>
      </c>
      <c r="BG216" s="1"/>
      <c r="BH216" s="1">
        <f t="shared" ref="BH216:BH279" si="161">0.1+BH215</f>
        <v>3.2</v>
      </c>
      <c r="BI216" s="8">
        <f t="shared" si="160"/>
        <v>989640</v>
      </c>
      <c r="BJ216" s="8">
        <f t="shared" si="151"/>
        <v>0</v>
      </c>
      <c r="BK216" s="8">
        <f t="shared" si="152"/>
        <v>0</v>
      </c>
      <c r="BL216" s="8">
        <f t="shared" si="153"/>
        <v>0</v>
      </c>
      <c r="BM216" s="8">
        <f t="shared" si="154"/>
        <v>0</v>
      </c>
      <c r="BN216" s="8">
        <f t="shared" si="155"/>
        <v>0</v>
      </c>
      <c r="BO216" s="8">
        <f t="shared" si="156"/>
        <v>0</v>
      </c>
      <c r="BP216" s="8">
        <f t="shared" si="157"/>
        <v>0</v>
      </c>
      <c r="BQ216" s="8">
        <f t="shared" si="158"/>
        <v>0</v>
      </c>
      <c r="BR216" s="8">
        <f t="shared" si="159"/>
        <v>0</v>
      </c>
      <c r="BS216" s="8">
        <f t="shared" si="147"/>
        <v>0.98963999999999996</v>
      </c>
      <c r="BT216" s="8">
        <f t="shared" ref="BT216:BT279" si="162">BS216-BS215</f>
        <v>0.98963999999999996</v>
      </c>
      <c r="BU216" s="8"/>
    </row>
    <row r="217" spans="1:73" x14ac:dyDescent="0.35">
      <c r="A217" t="s">
        <v>213</v>
      </c>
      <c r="B217">
        <v>3.45</v>
      </c>
      <c r="C217">
        <v>4.97</v>
      </c>
      <c r="D217">
        <v>5.88</v>
      </c>
      <c r="E217">
        <v>6.75</v>
      </c>
      <c r="F217">
        <v>7.7</v>
      </c>
      <c r="G217">
        <v>8.81</v>
      </c>
      <c r="H217">
        <v>10.08</v>
      </c>
      <c r="I217">
        <v>11.92</v>
      </c>
      <c r="J217">
        <v>14.71</v>
      </c>
      <c r="K217">
        <v>25.740000000000002</v>
      </c>
      <c r="L217">
        <f t="shared" si="127"/>
        <v>11.9</v>
      </c>
      <c r="M217">
        <f t="shared" si="128"/>
        <v>9054332</v>
      </c>
      <c r="N217">
        <f t="shared" si="129"/>
        <v>3126.7240594662121</v>
      </c>
      <c r="O217">
        <f t="shared" si="144"/>
        <v>-6.6211548963177762</v>
      </c>
      <c r="P217" s="8">
        <f t="shared" si="130"/>
        <v>1078.7198005158432</v>
      </c>
      <c r="Q217" s="8">
        <f t="shared" si="130"/>
        <v>1553.9818575547074</v>
      </c>
      <c r="R217" s="8">
        <f t="shared" si="130"/>
        <v>1838.5137469661327</v>
      </c>
      <c r="S217" s="8">
        <f t="shared" si="130"/>
        <v>2110.5387401396933</v>
      </c>
      <c r="T217" s="8">
        <f t="shared" si="130"/>
        <v>2407.5775257889832</v>
      </c>
      <c r="U217" s="8">
        <f t="shared" si="130"/>
        <v>2754.6438963897331</v>
      </c>
      <c r="V217" s="8">
        <f t="shared" si="130"/>
        <v>3151.7378519419417</v>
      </c>
      <c r="W217" s="8">
        <f t="shared" si="130"/>
        <v>3727.0550788837245</v>
      </c>
      <c r="X217" s="8">
        <f t="shared" si="130"/>
        <v>4599.411091474798</v>
      </c>
      <c r="Y217" s="8">
        <f t="shared" si="130"/>
        <v>8048.1877290660314</v>
      </c>
      <c r="Z217">
        <f t="shared" si="131"/>
        <v>6.9835302471189538</v>
      </c>
      <c r="AA217">
        <f t="shared" si="131"/>
        <v>7.3485758561842225</v>
      </c>
      <c r="AB217">
        <f t="shared" si="131"/>
        <v>7.5167127779862213</v>
      </c>
      <c r="AC217">
        <f t="shared" si="131"/>
        <v>7.6546985209601237</v>
      </c>
      <c r="AD217">
        <f t="shared" si="131"/>
        <v>7.7863763449353236</v>
      </c>
      <c r="AE217">
        <f t="shared" si="131"/>
        <v>7.9210434560237735</v>
      </c>
      <c r="AF217">
        <f t="shared" si="131"/>
        <v>8.0557092787189077</v>
      </c>
      <c r="AG217">
        <f t="shared" si="131"/>
        <v>8.223373677712889</v>
      </c>
      <c r="AH217">
        <f t="shared" si="131"/>
        <v>8.4336835506890324</v>
      </c>
      <c r="AI217">
        <f t="shared" si="131"/>
        <v>8.9932022182436668</v>
      </c>
      <c r="AJ217">
        <f t="shared" si="145"/>
        <v>12.733056732511495</v>
      </c>
      <c r="AK217">
        <f t="shared" si="132"/>
        <v>13.398643661428981</v>
      </c>
      <c r="AL217">
        <f t="shared" si="133"/>
        <v>13.705207374676721</v>
      </c>
      <c r="AM217">
        <f t="shared" si="134"/>
        <v>13.956796503869553</v>
      </c>
      <c r="AN217">
        <f t="shared" si="135"/>
        <v>14.196884416967887</v>
      </c>
      <c r="AO217">
        <f t="shared" si="136"/>
        <v>14.442422691281235</v>
      </c>
      <c r="AP217">
        <f t="shared" si="137"/>
        <v>14.687958616469627</v>
      </c>
      <c r="AQ217">
        <f t="shared" si="138"/>
        <v>14.993660779826556</v>
      </c>
      <c r="AR217">
        <f t="shared" si="139"/>
        <v>15.377118350604212</v>
      </c>
      <c r="AS217">
        <f t="shared" si="140"/>
        <v>16.397287618119243</v>
      </c>
      <c r="AT217">
        <f t="shared" si="141"/>
        <v>23.216156874274745</v>
      </c>
      <c r="AU217">
        <f t="shared" si="146"/>
        <v>-21.588775214154488</v>
      </c>
      <c r="AV217" s="5">
        <f t="shared" si="142"/>
        <v>-8.8557184816429935</v>
      </c>
      <c r="AW217" s="5">
        <f t="shared" si="142"/>
        <v>-8.1901315527255072</v>
      </c>
      <c r="AX217" s="5">
        <f t="shared" si="142"/>
        <v>-7.8835678394777666</v>
      </c>
      <c r="AY217" s="5">
        <f t="shared" si="142"/>
        <v>-7.631978710284935</v>
      </c>
      <c r="AZ217" s="5">
        <f t="shared" si="142"/>
        <v>-7.3918907971866012</v>
      </c>
      <c r="BA217" s="5">
        <f t="shared" si="142"/>
        <v>-7.1463525228732525</v>
      </c>
      <c r="BB217" s="5">
        <f t="shared" si="142"/>
        <v>-6.9008165976848606</v>
      </c>
      <c r="BC217" s="5">
        <f t="shared" si="142"/>
        <v>-6.5951144343279324</v>
      </c>
      <c r="BD217" s="5">
        <f t="shared" si="142"/>
        <v>-6.2116568635502762</v>
      </c>
      <c r="BE217" s="5">
        <f t="shared" si="142"/>
        <v>-5.1914875960352447</v>
      </c>
      <c r="BG217" s="1"/>
      <c r="BH217" s="1">
        <f t="shared" si="161"/>
        <v>3.3000000000000003</v>
      </c>
      <c r="BI217" s="8">
        <f t="shared" si="160"/>
        <v>989640</v>
      </c>
      <c r="BJ217" s="8">
        <f t="shared" si="151"/>
        <v>0</v>
      </c>
      <c r="BK217" s="8">
        <f t="shared" si="152"/>
        <v>0</v>
      </c>
      <c r="BL217" s="8">
        <f t="shared" si="153"/>
        <v>0</v>
      </c>
      <c r="BM217" s="8">
        <f t="shared" si="154"/>
        <v>0</v>
      </c>
      <c r="BN217" s="8">
        <f t="shared" si="155"/>
        <v>0</v>
      </c>
      <c r="BO217" s="8">
        <f t="shared" si="156"/>
        <v>0</v>
      </c>
      <c r="BP217" s="8">
        <f t="shared" si="157"/>
        <v>0</v>
      </c>
      <c r="BQ217" s="8">
        <f t="shared" si="158"/>
        <v>0</v>
      </c>
      <c r="BR217" s="8">
        <f t="shared" si="159"/>
        <v>0</v>
      </c>
      <c r="BS217" s="8">
        <f t="shared" si="147"/>
        <v>0.98963999999999996</v>
      </c>
      <c r="BT217" s="8">
        <f t="shared" si="162"/>
        <v>0</v>
      </c>
      <c r="BU217" s="8"/>
    </row>
    <row r="218" spans="1:73" x14ac:dyDescent="0.35">
      <c r="A218" t="s">
        <v>121</v>
      </c>
      <c r="B218">
        <v>1.5891636422728994</v>
      </c>
      <c r="C218">
        <v>2.5108363577271002</v>
      </c>
      <c r="D218">
        <v>5.6888147768086217</v>
      </c>
      <c r="E218">
        <v>6.8111852231913792</v>
      </c>
      <c r="F218">
        <v>6.9999071740639742</v>
      </c>
      <c r="G218">
        <v>8.2000928259360268</v>
      </c>
      <c r="H218">
        <v>11.15949092510391</v>
      </c>
      <c r="I218">
        <v>13.540509074896089</v>
      </c>
      <c r="J218">
        <v>14.355175397621545</v>
      </c>
      <c r="K218">
        <v>28.644824602378453</v>
      </c>
      <c r="L218">
        <f t="shared" si="127"/>
        <v>24.8</v>
      </c>
      <c r="M218">
        <f t="shared" si="128"/>
        <v>360498</v>
      </c>
      <c r="N218">
        <f t="shared" si="129"/>
        <v>21013.899093651864</v>
      </c>
      <c r="O218">
        <f t="shared" si="144"/>
        <v>-1.3376674342249419</v>
      </c>
      <c r="P218" s="8">
        <f t="shared" si="130"/>
        <v>3339.4524422022973</v>
      </c>
      <c r="Q218" s="8">
        <f t="shared" si="130"/>
        <v>5276.246186194966</v>
      </c>
      <c r="R218" s="8">
        <f t="shared" si="130"/>
        <v>11954.417968233203</v>
      </c>
      <c r="S218" s="8">
        <f t="shared" si="130"/>
        <v>14312.955898831631</v>
      </c>
      <c r="T218" s="8">
        <f t="shared" si="130"/>
        <v>14709.534302071013</v>
      </c>
      <c r="U218" s="8">
        <f t="shared" si="130"/>
        <v>17231.592320279822</v>
      </c>
      <c r="V218" s="8">
        <f t="shared" si="130"/>
        <v>23450.441623665723</v>
      </c>
      <c r="W218" s="8">
        <f t="shared" si="130"/>
        <v>28453.88913765438</v>
      </c>
      <c r="X218" s="8">
        <f t="shared" si="130"/>
        <v>30165.82072772929</v>
      </c>
      <c r="Y218" s="8">
        <f t="shared" si="130"/>
        <v>60193.945374973722</v>
      </c>
      <c r="Z218">
        <f t="shared" si="131"/>
        <v>8.1135621330708148</v>
      </c>
      <c r="AA218">
        <f t="shared" si="131"/>
        <v>8.5709701742715172</v>
      </c>
      <c r="AB218">
        <f t="shared" si="131"/>
        <v>9.3888561934904651</v>
      </c>
      <c r="AC218">
        <f t="shared" si="131"/>
        <v>9.5689204129827701</v>
      </c>
      <c r="AD218">
        <f t="shared" si="131"/>
        <v>9.5962511544995746</v>
      </c>
      <c r="AE218">
        <f t="shared" si="131"/>
        <v>9.7544997408224265</v>
      </c>
      <c r="AF218">
        <f t="shared" si="131"/>
        <v>10.062644606262797</v>
      </c>
      <c r="AG218">
        <f t="shared" si="131"/>
        <v>10.256040131008062</v>
      </c>
      <c r="AH218">
        <f t="shared" si="131"/>
        <v>10.314464798451999</v>
      </c>
      <c r="AI218">
        <f t="shared" si="131"/>
        <v>11.005327051072342</v>
      </c>
      <c r="AJ218">
        <f t="shared" si="145"/>
        <v>14.79344161010375</v>
      </c>
      <c r="AK218">
        <f t="shared" si="132"/>
        <v>15.627432776808909</v>
      </c>
      <c r="AL218">
        <f t="shared" si="133"/>
        <v>17.11868271987878</v>
      </c>
      <c r="AM218">
        <f t="shared" si="134"/>
        <v>17.446993451150661</v>
      </c>
      <c r="AN218">
        <f t="shared" si="135"/>
        <v>17.496825537496765</v>
      </c>
      <c r="AO218">
        <f t="shared" si="136"/>
        <v>17.78535986844205</v>
      </c>
      <c r="AP218">
        <f t="shared" si="137"/>
        <v>18.347199785309748</v>
      </c>
      <c r="AQ218">
        <f t="shared" si="138"/>
        <v>18.69981745878674</v>
      </c>
      <c r="AR218">
        <f t="shared" si="139"/>
        <v>18.806343038087935</v>
      </c>
      <c r="AS218">
        <f t="shared" si="140"/>
        <v>20.065990801566102</v>
      </c>
      <c r="AT218">
        <f t="shared" si="141"/>
        <v>26.972852500818949</v>
      </c>
      <c r="AU218">
        <f t="shared" si="146"/>
        <v>-19.930533755834475</v>
      </c>
      <c r="AV218" s="5">
        <f t="shared" si="142"/>
        <v>-5.1370921457307244</v>
      </c>
      <c r="AW218" s="5">
        <f t="shared" si="142"/>
        <v>-4.3031009790255652</v>
      </c>
      <c r="AX218" s="5">
        <f t="shared" si="142"/>
        <v>-2.8118510359556943</v>
      </c>
      <c r="AY218" s="5">
        <f t="shared" si="142"/>
        <v>-2.4835403046838138</v>
      </c>
      <c r="AZ218" s="5">
        <f t="shared" si="142"/>
        <v>-2.4337082183377099</v>
      </c>
      <c r="BA218" s="5">
        <f t="shared" si="142"/>
        <v>-2.1451738873924242</v>
      </c>
      <c r="BB218" s="5">
        <f t="shared" si="142"/>
        <v>-1.5833339705247269</v>
      </c>
      <c r="BC218" s="5">
        <f t="shared" si="142"/>
        <v>-1.230716297047735</v>
      </c>
      <c r="BD218" s="5">
        <f t="shared" si="142"/>
        <v>-1.12419071774654</v>
      </c>
      <c r="BE218" s="5">
        <f t="shared" si="142"/>
        <v>0.13545704573162709</v>
      </c>
      <c r="BG218" s="1"/>
      <c r="BH218" s="1">
        <f t="shared" si="161"/>
        <v>3.4000000000000004</v>
      </c>
      <c r="BI218" s="8">
        <f t="shared" si="160"/>
        <v>989640</v>
      </c>
      <c r="BJ218" s="8">
        <f t="shared" si="151"/>
        <v>0</v>
      </c>
      <c r="BK218" s="8">
        <f t="shared" si="152"/>
        <v>0</v>
      </c>
      <c r="BL218" s="8">
        <f t="shared" si="153"/>
        <v>0</v>
      </c>
      <c r="BM218" s="8">
        <f t="shared" si="154"/>
        <v>0</v>
      </c>
      <c r="BN218" s="8">
        <f t="shared" si="155"/>
        <v>0</v>
      </c>
      <c r="BO218" s="8">
        <f t="shared" si="156"/>
        <v>0</v>
      </c>
      <c r="BP218" s="8">
        <f t="shared" si="157"/>
        <v>0</v>
      </c>
      <c r="BQ218" s="8">
        <f t="shared" si="158"/>
        <v>0</v>
      </c>
      <c r="BR218" s="8">
        <f t="shared" si="159"/>
        <v>0</v>
      </c>
      <c r="BS218" s="8">
        <f t="shared" si="147"/>
        <v>0.98963999999999996</v>
      </c>
      <c r="BT218" s="8">
        <f t="shared" si="162"/>
        <v>0</v>
      </c>
      <c r="BU218" s="8"/>
    </row>
    <row r="219" spans="1:73" x14ac:dyDescent="0.35">
      <c r="A219" t="s">
        <v>122</v>
      </c>
      <c r="B219">
        <v>2.23</v>
      </c>
      <c r="C219">
        <v>3.5300000000000002</v>
      </c>
      <c r="D219">
        <v>4.49</v>
      </c>
      <c r="E219">
        <v>5.43</v>
      </c>
      <c r="F219">
        <v>6.43</v>
      </c>
      <c r="G219">
        <v>7.65</v>
      </c>
      <c r="H219">
        <v>9.31</v>
      </c>
      <c r="I219">
        <v>11.5</v>
      </c>
      <c r="J219">
        <v>15.540000000000001</v>
      </c>
      <c r="K219">
        <v>33.89</v>
      </c>
      <c r="L219">
        <f t="shared" si="127"/>
        <v>25</v>
      </c>
      <c r="M219">
        <f t="shared" si="128"/>
        <v>151125475</v>
      </c>
      <c r="N219">
        <f t="shared" si="129"/>
        <v>539.09993134762863</v>
      </c>
      <c r="O219">
        <f t="shared" si="144"/>
        <v>-8.0908634706406524</v>
      </c>
      <c r="P219" s="8">
        <f t="shared" si="130"/>
        <v>120.21928469052118</v>
      </c>
      <c r="Q219" s="8">
        <f t="shared" si="130"/>
        <v>190.30227576571292</v>
      </c>
      <c r="R219" s="8">
        <f t="shared" si="130"/>
        <v>242.05586917508526</v>
      </c>
      <c r="S219" s="8">
        <f t="shared" si="130"/>
        <v>292.73126272176233</v>
      </c>
      <c r="T219" s="8">
        <f t="shared" si="130"/>
        <v>346.64125585652516</v>
      </c>
      <c r="U219" s="8">
        <f t="shared" si="130"/>
        <v>412.41144748093592</v>
      </c>
      <c r="V219" s="8">
        <f t="shared" si="130"/>
        <v>501.90203608464225</v>
      </c>
      <c r="W219" s="8">
        <f t="shared" si="130"/>
        <v>619.96492104977301</v>
      </c>
      <c r="X219" s="8">
        <f t="shared" si="130"/>
        <v>837.76129331421487</v>
      </c>
      <c r="Y219" s="8">
        <f t="shared" si="130"/>
        <v>1827.0096673371136</v>
      </c>
      <c r="Z219">
        <f t="shared" si="131"/>
        <v>4.7893174475893314</v>
      </c>
      <c r="AA219">
        <f t="shared" si="131"/>
        <v>5.24861373306251</v>
      </c>
      <c r="AB219">
        <f t="shared" si="131"/>
        <v>5.4891685638714671</v>
      </c>
      <c r="AC219">
        <f t="shared" si="131"/>
        <v>5.6792549960631487</v>
      </c>
      <c r="AD219">
        <f t="shared" si="131"/>
        <v>5.8482904003668326</v>
      </c>
      <c r="AE219">
        <f t="shared" si="131"/>
        <v>6.0220215099557493</v>
      </c>
      <c r="AF219">
        <f t="shared" si="131"/>
        <v>6.2184049534062797</v>
      </c>
      <c r="AG219">
        <f t="shared" si="131"/>
        <v>6.4296628974865087</v>
      </c>
      <c r="AH219">
        <f t="shared" si="131"/>
        <v>6.7307332070568062</v>
      </c>
      <c r="AI219">
        <f t="shared" si="131"/>
        <v>7.5104358477362645</v>
      </c>
      <c r="AJ219">
        <f t="shared" si="145"/>
        <v>8.7323529235547337</v>
      </c>
      <c r="AK219">
        <f t="shared" si="132"/>
        <v>9.5697869222654095</v>
      </c>
      <c r="AL219">
        <f t="shared" si="133"/>
        <v>10.008390064169719</v>
      </c>
      <c r="AM219">
        <f t="shared" si="134"/>
        <v>10.354974275811948</v>
      </c>
      <c r="AN219">
        <f t="shared" si="135"/>
        <v>10.663176190408045</v>
      </c>
      <c r="AO219">
        <f t="shared" si="136"/>
        <v>10.979939775059298</v>
      </c>
      <c r="AP219">
        <f t="shared" si="137"/>
        <v>11.338005314735764</v>
      </c>
      <c r="AQ219">
        <f t="shared" si="138"/>
        <v>11.723191501661356</v>
      </c>
      <c r="AR219">
        <f t="shared" si="139"/>
        <v>12.272132394960261</v>
      </c>
      <c r="AS219">
        <f t="shared" si="140"/>
        <v>13.693762660305836</v>
      </c>
      <c r="AT219">
        <f t="shared" si="141"/>
        <v>15.9216816208115</v>
      </c>
      <c r="AU219">
        <f t="shared" si="146"/>
        <v>-20.112308715332404</v>
      </c>
      <c r="AV219" s="5">
        <f t="shared" si="142"/>
        <v>-11.37995579177767</v>
      </c>
      <c r="AW219" s="5">
        <f t="shared" si="142"/>
        <v>-10.542521793066994</v>
      </c>
      <c r="AX219" s="5">
        <f t="shared" si="142"/>
        <v>-10.103918651162685</v>
      </c>
      <c r="AY219" s="5">
        <f t="shared" si="142"/>
        <v>-9.7573344395204558</v>
      </c>
      <c r="AZ219" s="5">
        <f t="shared" si="142"/>
        <v>-9.4491325249243587</v>
      </c>
      <c r="BA219" s="5">
        <f t="shared" si="142"/>
        <v>-9.1323689402731052</v>
      </c>
      <c r="BB219" s="5">
        <f t="shared" si="142"/>
        <v>-8.77430340059664</v>
      </c>
      <c r="BC219" s="5">
        <f t="shared" si="142"/>
        <v>-8.3891172136710477</v>
      </c>
      <c r="BD219" s="5">
        <f t="shared" si="142"/>
        <v>-7.8401763203721426</v>
      </c>
      <c r="BE219" s="5">
        <f t="shared" si="142"/>
        <v>-6.4185460550265674</v>
      </c>
      <c r="BG219" s="1"/>
      <c r="BH219" s="1">
        <f t="shared" si="161"/>
        <v>3.5000000000000004</v>
      </c>
      <c r="BI219" s="8">
        <f t="shared" si="160"/>
        <v>989640</v>
      </c>
      <c r="BJ219" s="8">
        <f t="shared" si="151"/>
        <v>0</v>
      </c>
      <c r="BK219" s="8">
        <f t="shared" si="152"/>
        <v>0</v>
      </c>
      <c r="BL219" s="8">
        <f t="shared" si="153"/>
        <v>0</v>
      </c>
      <c r="BM219" s="8">
        <f t="shared" si="154"/>
        <v>0</v>
      </c>
      <c r="BN219" s="8">
        <f t="shared" si="155"/>
        <v>0</v>
      </c>
      <c r="BO219" s="8">
        <f t="shared" si="156"/>
        <v>0</v>
      </c>
      <c r="BP219" s="8">
        <f t="shared" si="157"/>
        <v>0</v>
      </c>
      <c r="BQ219" s="8">
        <f t="shared" si="158"/>
        <v>0</v>
      </c>
      <c r="BR219" s="8">
        <f t="shared" si="159"/>
        <v>0</v>
      </c>
      <c r="BS219" s="8">
        <f t="shared" si="147"/>
        <v>0.98963999999999996</v>
      </c>
      <c r="BT219" s="8">
        <f t="shared" si="162"/>
        <v>0</v>
      </c>
      <c r="BU219" s="8"/>
    </row>
    <row r="220" spans="1:73" x14ac:dyDescent="0.35">
      <c r="A220" t="s">
        <v>123</v>
      </c>
      <c r="B220">
        <v>1.4000000000000001</v>
      </c>
      <c r="C220">
        <v>2.9</v>
      </c>
      <c r="D220">
        <v>3.9</v>
      </c>
      <c r="E220">
        <v>4.8</v>
      </c>
      <c r="F220">
        <v>5.7</v>
      </c>
      <c r="G220">
        <v>6.9</v>
      </c>
      <c r="H220">
        <v>8.4</v>
      </c>
      <c r="I220">
        <v>11</v>
      </c>
      <c r="J220">
        <v>15</v>
      </c>
      <c r="K220">
        <v>39.9</v>
      </c>
      <c r="L220">
        <f t="shared" si="127"/>
        <v>26</v>
      </c>
      <c r="M220">
        <f t="shared" si="128"/>
        <v>280396</v>
      </c>
      <c r="N220">
        <f t="shared" si="129"/>
        <v>14383.678172735552</v>
      </c>
      <c r="O220">
        <f t="shared" si="144"/>
        <v>-2.4751740709061458</v>
      </c>
      <c r="P220" s="8">
        <f t="shared" si="130"/>
        <v>2013.7149441829774</v>
      </c>
      <c r="Q220" s="8">
        <f t="shared" si="130"/>
        <v>4171.2666700933096</v>
      </c>
      <c r="R220" s="8">
        <f t="shared" si="130"/>
        <v>5609.634487366865</v>
      </c>
      <c r="S220" s="8">
        <f t="shared" si="130"/>
        <v>6904.1655229130647</v>
      </c>
      <c r="T220" s="8">
        <f t="shared" si="130"/>
        <v>8198.6965584592654</v>
      </c>
      <c r="U220" s="8">
        <f t="shared" si="130"/>
        <v>9924.7379391875311</v>
      </c>
      <c r="V220" s="8">
        <f t="shared" si="130"/>
        <v>12082.289665097864</v>
      </c>
      <c r="W220" s="8">
        <f t="shared" si="130"/>
        <v>15822.045990009108</v>
      </c>
      <c r="X220" s="8">
        <f t="shared" si="130"/>
        <v>21575.517259103326</v>
      </c>
      <c r="Y220" s="8">
        <f t="shared" si="130"/>
        <v>57390.875909214854</v>
      </c>
      <c r="Z220">
        <f t="shared" si="131"/>
        <v>7.6077365261127081</v>
      </c>
      <c r="AA220">
        <f t="shared" si="131"/>
        <v>8.3359750264839239</v>
      </c>
      <c r="AB220">
        <f t="shared" si="131"/>
        <v>8.6322408426270965</v>
      </c>
      <c r="AC220">
        <f t="shared" si="131"/>
        <v>8.83988020740534</v>
      </c>
      <c r="AD220">
        <f t="shared" si="131"/>
        <v>9.0117304643320004</v>
      </c>
      <c r="AE220">
        <f t="shared" si="131"/>
        <v>9.2027857010947081</v>
      </c>
      <c r="AF220">
        <f t="shared" si="131"/>
        <v>9.3994959953407626</v>
      </c>
      <c r="AG220">
        <f t="shared" si="131"/>
        <v>9.669159562289865</v>
      </c>
      <c r="AH220">
        <f t="shared" si="131"/>
        <v>9.9793144905937048</v>
      </c>
      <c r="AI220">
        <f t="shared" si="131"/>
        <v>10.957640613387312</v>
      </c>
      <c r="AJ220">
        <f t="shared" si="145"/>
        <v>13.871170792588249</v>
      </c>
      <c r="AK220">
        <f t="shared" si="132"/>
        <v>15.198966593838087</v>
      </c>
      <c r="AL220">
        <f t="shared" si="133"/>
        <v>15.7391474638803</v>
      </c>
      <c r="AM220">
        <f t="shared" si="134"/>
        <v>16.117735902401741</v>
      </c>
      <c r="AN220">
        <f t="shared" si="135"/>
        <v>16.431070132155607</v>
      </c>
      <c r="AO220">
        <f t="shared" si="136"/>
        <v>16.77942076323458</v>
      </c>
      <c r="AP220">
        <f t="shared" si="137"/>
        <v>17.138082249312824</v>
      </c>
      <c r="AQ220">
        <f t="shared" si="138"/>
        <v>17.629759291603985</v>
      </c>
      <c r="AR220">
        <f t="shared" si="139"/>
        <v>18.195264152070521</v>
      </c>
      <c r="AS220">
        <f t="shared" si="140"/>
        <v>19.979044215107859</v>
      </c>
      <c r="AT220">
        <f t="shared" si="141"/>
        <v>25.291277963784569</v>
      </c>
      <c r="AU220">
        <f t="shared" si="146"/>
        <v>-20.689985104517298</v>
      </c>
      <c r="AV220" s="5">
        <f t="shared" si="142"/>
        <v>-6.8188143119290494</v>
      </c>
      <c r="AW220" s="5">
        <f t="shared" si="142"/>
        <v>-5.4910185106792113</v>
      </c>
      <c r="AX220" s="5">
        <f t="shared" si="142"/>
        <v>-4.9508376406369976</v>
      </c>
      <c r="AY220" s="5">
        <f t="shared" si="142"/>
        <v>-4.5722492021155574</v>
      </c>
      <c r="AZ220" s="5">
        <f t="shared" si="142"/>
        <v>-4.2589149723616906</v>
      </c>
      <c r="BA220" s="5">
        <f t="shared" si="142"/>
        <v>-3.9105643412827185</v>
      </c>
      <c r="BB220" s="5">
        <f t="shared" si="142"/>
        <v>-3.5519028552044745</v>
      </c>
      <c r="BC220" s="5">
        <f t="shared" si="142"/>
        <v>-3.0602258129133126</v>
      </c>
      <c r="BD220" s="5">
        <f t="shared" si="142"/>
        <v>-2.4947209524467766</v>
      </c>
      <c r="BE220" s="5">
        <f t="shared" si="142"/>
        <v>-0.71094088940943934</v>
      </c>
      <c r="BG220" s="1"/>
      <c r="BH220" s="1">
        <f t="shared" si="161"/>
        <v>3.6000000000000005</v>
      </c>
      <c r="BI220" s="8">
        <f t="shared" si="160"/>
        <v>989640</v>
      </c>
      <c r="BJ220" s="8">
        <f t="shared" si="151"/>
        <v>0</v>
      </c>
      <c r="BK220" s="8">
        <f t="shared" si="152"/>
        <v>0</v>
      </c>
      <c r="BL220" s="8">
        <f t="shared" si="153"/>
        <v>0</v>
      </c>
      <c r="BM220" s="8">
        <f t="shared" si="154"/>
        <v>0</v>
      </c>
      <c r="BN220" s="8">
        <f t="shared" si="155"/>
        <v>0</v>
      </c>
      <c r="BO220" s="8">
        <f t="shared" si="156"/>
        <v>0</v>
      </c>
      <c r="BP220" s="8">
        <f t="shared" si="157"/>
        <v>0</v>
      </c>
      <c r="BQ220" s="8">
        <f t="shared" si="158"/>
        <v>0</v>
      </c>
      <c r="BR220" s="8">
        <f t="shared" si="159"/>
        <v>0</v>
      </c>
      <c r="BS220" s="8">
        <f t="shared" si="147"/>
        <v>0.98963999999999996</v>
      </c>
      <c r="BT220" s="8">
        <f t="shared" si="162"/>
        <v>0</v>
      </c>
      <c r="BU220" s="8"/>
    </row>
    <row r="221" spans="1:73" x14ac:dyDescent="0.35">
      <c r="A221" t="s">
        <v>214</v>
      </c>
      <c r="B221">
        <v>3.92</v>
      </c>
      <c r="C221">
        <v>5.41</v>
      </c>
      <c r="D221">
        <v>6.48</v>
      </c>
      <c r="E221">
        <v>7.5</v>
      </c>
      <c r="F221">
        <v>8.36</v>
      </c>
      <c r="G221">
        <v>9.3000000000000007</v>
      </c>
      <c r="H221">
        <v>10.49</v>
      </c>
      <c r="I221">
        <v>11.870000000000001</v>
      </c>
      <c r="J221">
        <v>14.120000000000001</v>
      </c>
      <c r="K221">
        <v>22.56</v>
      </c>
      <c r="L221">
        <f t="shared" si="127"/>
        <v>6.2</v>
      </c>
      <c r="M221">
        <f t="shared" si="128"/>
        <v>9490000</v>
      </c>
      <c r="N221">
        <f t="shared" si="129"/>
        <v>4526.3801215876556</v>
      </c>
      <c r="O221">
        <f t="shared" si="144"/>
        <v>-3.826665011432393</v>
      </c>
      <c r="P221" s="8">
        <f t="shared" si="130"/>
        <v>1774.3410076623609</v>
      </c>
      <c r="Q221" s="8">
        <f t="shared" si="130"/>
        <v>2448.771645778922</v>
      </c>
      <c r="R221" s="8">
        <f t="shared" si="130"/>
        <v>2933.094318788801</v>
      </c>
      <c r="S221" s="8">
        <f t="shared" si="130"/>
        <v>3394.7850911907417</v>
      </c>
      <c r="T221" s="8">
        <f t="shared" si="130"/>
        <v>3784.0537816472797</v>
      </c>
      <c r="U221" s="8">
        <f t="shared" si="130"/>
        <v>4209.5335130765197</v>
      </c>
      <c r="V221" s="8">
        <f t="shared" si="130"/>
        <v>4748.1727475454509</v>
      </c>
      <c r="W221" s="8">
        <f t="shared" si="130"/>
        <v>5372.8132043245478</v>
      </c>
      <c r="X221" s="8">
        <f t="shared" si="130"/>
        <v>6391.2487316817696</v>
      </c>
      <c r="Y221" s="8">
        <f t="shared" si="130"/>
        <v>10211.51355430175</v>
      </c>
      <c r="Z221">
        <f t="shared" si="131"/>
        <v>7.4811843696854279</v>
      </c>
      <c r="AA221">
        <f t="shared" si="131"/>
        <v>7.8033418087414468</v>
      </c>
      <c r="AB221">
        <f t="shared" si="131"/>
        <v>7.9838132262472401</v>
      </c>
      <c r="AC221">
        <f t="shared" si="131"/>
        <v>8.1299957364253217</v>
      </c>
      <c r="AD221">
        <f t="shared" si="131"/>
        <v>8.2385511429796665</v>
      </c>
      <c r="AE221">
        <f t="shared" si="131"/>
        <v>8.3451071160422678</v>
      </c>
      <c r="AF221">
        <f t="shared" si="131"/>
        <v>8.4655151382912628</v>
      </c>
      <c r="AG221">
        <f t="shared" si="131"/>
        <v>8.5891069245046339</v>
      </c>
      <c r="AH221">
        <f t="shared" si="131"/>
        <v>8.7626849479481521</v>
      </c>
      <c r="AI221">
        <f t="shared" si="131"/>
        <v>9.2312711425129148</v>
      </c>
      <c r="AJ221">
        <f t="shared" si="145"/>
        <v>13.640428498878702</v>
      </c>
      <c r="AK221">
        <f t="shared" si="132"/>
        <v>14.227817513194664</v>
      </c>
      <c r="AL221">
        <f t="shared" si="133"/>
        <v>14.556870687790141</v>
      </c>
      <c r="AM221">
        <f t="shared" si="134"/>
        <v>14.823404966232816</v>
      </c>
      <c r="AN221">
        <f t="shared" si="135"/>
        <v>15.02133382189254</v>
      </c>
      <c r="AO221">
        <f t="shared" si="136"/>
        <v>15.215617114465635</v>
      </c>
      <c r="AP221">
        <f t="shared" si="137"/>
        <v>15.435156820616184</v>
      </c>
      <c r="AQ221">
        <f t="shared" si="138"/>
        <v>15.660501477235451</v>
      </c>
      <c r="AR221">
        <f t="shared" si="139"/>
        <v>15.976985940223971</v>
      </c>
      <c r="AS221">
        <f t="shared" si="140"/>
        <v>16.831358211601515</v>
      </c>
      <c r="AT221">
        <f t="shared" si="141"/>
        <v>24.870566001148539</v>
      </c>
      <c r="AU221">
        <f t="shared" si="146"/>
        <v>-19.386569540918519</v>
      </c>
      <c r="AV221" s="5">
        <f t="shared" si="142"/>
        <v>-5.7461410420398167</v>
      </c>
      <c r="AW221" s="5">
        <f t="shared" si="142"/>
        <v>-5.158752027723855</v>
      </c>
      <c r="AX221" s="5">
        <f t="shared" si="142"/>
        <v>-4.8296988531283773</v>
      </c>
      <c r="AY221" s="5">
        <f t="shared" si="142"/>
        <v>-4.5631645746857021</v>
      </c>
      <c r="AZ221" s="5">
        <f t="shared" si="142"/>
        <v>-4.3652357190259785</v>
      </c>
      <c r="BA221" s="5">
        <f t="shared" si="142"/>
        <v>-4.1709524264528834</v>
      </c>
      <c r="BB221" s="5">
        <f t="shared" si="142"/>
        <v>-3.9514127203023346</v>
      </c>
      <c r="BC221" s="5">
        <f t="shared" si="142"/>
        <v>-3.7260680636830674</v>
      </c>
      <c r="BD221" s="5">
        <f t="shared" si="142"/>
        <v>-3.4095836006945479</v>
      </c>
      <c r="BE221" s="5">
        <f t="shared" si="142"/>
        <v>-2.5552113293170038</v>
      </c>
      <c r="BG221" s="1"/>
      <c r="BH221" s="1">
        <f t="shared" si="161"/>
        <v>3.7000000000000006</v>
      </c>
      <c r="BI221" s="8">
        <f t="shared" si="160"/>
        <v>989640</v>
      </c>
      <c r="BJ221" s="8">
        <f t="shared" si="151"/>
        <v>0</v>
      </c>
      <c r="BK221" s="8">
        <f t="shared" si="152"/>
        <v>0</v>
      </c>
      <c r="BL221" s="8">
        <f t="shared" si="153"/>
        <v>0</v>
      </c>
      <c r="BM221" s="8">
        <f t="shared" si="154"/>
        <v>0</v>
      </c>
      <c r="BN221" s="8">
        <f t="shared" si="155"/>
        <v>0</v>
      </c>
      <c r="BO221" s="8">
        <f t="shared" si="156"/>
        <v>0</v>
      </c>
      <c r="BP221" s="8">
        <f t="shared" si="157"/>
        <v>0</v>
      </c>
      <c r="BQ221" s="8">
        <f t="shared" si="158"/>
        <v>0</v>
      </c>
      <c r="BR221" s="8">
        <f t="shared" si="159"/>
        <v>0</v>
      </c>
      <c r="BS221" s="8">
        <f t="shared" si="147"/>
        <v>0.98963999999999996</v>
      </c>
      <c r="BT221" s="8">
        <f t="shared" si="162"/>
        <v>0</v>
      </c>
      <c r="BU221" s="8"/>
    </row>
    <row r="222" spans="1:73" x14ac:dyDescent="0.35">
      <c r="A222" t="s">
        <v>124</v>
      </c>
      <c r="B222">
        <v>3.7</v>
      </c>
      <c r="C222">
        <v>5.5</v>
      </c>
      <c r="D222">
        <v>6.5</v>
      </c>
      <c r="E222">
        <v>7.6000000000000005</v>
      </c>
      <c r="F222">
        <v>8.6</v>
      </c>
      <c r="G222">
        <v>9.8000000000000007</v>
      </c>
      <c r="H222">
        <v>10.9</v>
      </c>
      <c r="I222">
        <v>12.3</v>
      </c>
      <c r="J222">
        <v>14.4</v>
      </c>
      <c r="K222">
        <v>20.8</v>
      </c>
      <c r="L222">
        <f t="shared" si="127"/>
        <v>9.6</v>
      </c>
      <c r="M222">
        <f t="shared" si="128"/>
        <v>10895586</v>
      </c>
      <c r="N222">
        <f t="shared" si="129"/>
        <v>36747.279047091397</v>
      </c>
      <c r="O222">
        <f t="shared" si="144"/>
        <v>-1.1863381281019798</v>
      </c>
      <c r="P222" s="8">
        <f t="shared" si="130"/>
        <v>13596.493247423819</v>
      </c>
      <c r="Q222" s="8">
        <f t="shared" si="130"/>
        <v>20211.003475900266</v>
      </c>
      <c r="R222" s="8">
        <f t="shared" si="130"/>
        <v>23885.73138060941</v>
      </c>
      <c r="S222" s="8">
        <f t="shared" si="130"/>
        <v>27927.932075789467</v>
      </c>
      <c r="T222" s="8">
        <f t="shared" si="130"/>
        <v>31602.659980498596</v>
      </c>
      <c r="U222" s="8">
        <f t="shared" si="130"/>
        <v>36012.333466149568</v>
      </c>
      <c r="V222" s="8">
        <f t="shared" si="130"/>
        <v>40054.534161329626</v>
      </c>
      <c r="W222" s="8">
        <f t="shared" si="130"/>
        <v>45199.153227922419</v>
      </c>
      <c r="X222" s="8">
        <f t="shared" si="130"/>
        <v>52916.08182781162</v>
      </c>
      <c r="Y222" s="8">
        <f t="shared" si="130"/>
        <v>76434.340417950109</v>
      </c>
      <c r="Z222">
        <f t="shared" si="131"/>
        <v>9.5175671890211255</v>
      </c>
      <c r="AA222">
        <f t="shared" si="131"/>
        <v>9.9139824616093719</v>
      </c>
      <c r="AB222">
        <f t="shared" si="131"/>
        <v>10.081036546272539</v>
      </c>
      <c r="AC222">
        <f t="shared" si="131"/>
        <v>10.237382616663233</v>
      </c>
      <c r="AD222">
        <f t="shared" si="131"/>
        <v>10.360996572630409</v>
      </c>
      <c r="AE222">
        <f t="shared" si="131"/>
        <v>10.491616755047474</v>
      </c>
      <c r="AF222">
        <f t="shared" si="131"/>
        <v>10.597997158606045</v>
      </c>
      <c r="AG222">
        <f t="shared" si="131"/>
        <v>10.71883363174932</v>
      </c>
      <c r="AH222">
        <f t="shared" si="131"/>
        <v>10.876462575952903</v>
      </c>
      <c r="AI222">
        <f t="shared" si="131"/>
        <v>11.24418735607822</v>
      </c>
      <c r="AJ222">
        <f t="shared" si="145"/>
        <v>17.353361220607841</v>
      </c>
      <c r="AK222">
        <f t="shared" si="132"/>
        <v>18.076144394287446</v>
      </c>
      <c r="AL222">
        <f t="shared" si="133"/>
        <v>18.380733772745629</v>
      </c>
      <c r="AM222">
        <f t="shared" si="134"/>
        <v>18.665799250196841</v>
      </c>
      <c r="AN222">
        <f t="shared" si="135"/>
        <v>18.891184328883881</v>
      </c>
      <c r="AO222">
        <f t="shared" si="136"/>
        <v>19.129343846244549</v>
      </c>
      <c r="AP222">
        <f t="shared" si="137"/>
        <v>19.323307023292084</v>
      </c>
      <c r="AQ222">
        <f t="shared" si="138"/>
        <v>19.543627923101273</v>
      </c>
      <c r="AR222">
        <f t="shared" si="139"/>
        <v>19.831032461809777</v>
      </c>
      <c r="AS222">
        <f t="shared" si="140"/>
        <v>20.501504317962706</v>
      </c>
      <c r="AT222">
        <f t="shared" si="141"/>
        <v>31.640348806811836</v>
      </c>
      <c r="AU222">
        <f t="shared" si="146"/>
        <v>-20.545995038216713</v>
      </c>
      <c r="AV222" s="5">
        <f t="shared" si="142"/>
        <v>-3.192633817608872</v>
      </c>
      <c r="AW222" s="5">
        <f t="shared" si="142"/>
        <v>-2.4698506439292665</v>
      </c>
      <c r="AX222" s="5">
        <f t="shared" si="142"/>
        <v>-2.1652612654710843</v>
      </c>
      <c r="AY222" s="5">
        <f t="shared" si="142"/>
        <v>-1.8801957880198721</v>
      </c>
      <c r="AZ222" s="5">
        <f t="shared" si="142"/>
        <v>-1.6548107093328319</v>
      </c>
      <c r="BA222" s="5">
        <f t="shared" si="142"/>
        <v>-1.4166511919721643</v>
      </c>
      <c r="BB222" s="5">
        <f t="shared" si="142"/>
        <v>-1.2226880149246284</v>
      </c>
      <c r="BC222" s="5">
        <f t="shared" si="142"/>
        <v>-1.0023671151154403</v>
      </c>
      <c r="BD222" s="5">
        <f t="shared" si="142"/>
        <v>-0.71496257640693628</v>
      </c>
      <c r="BE222" s="5">
        <f t="shared" si="142"/>
        <v>-4.4490720254007243E-2</v>
      </c>
      <c r="BG222" s="1"/>
      <c r="BH222" s="1">
        <f t="shared" si="161"/>
        <v>3.8000000000000007</v>
      </c>
      <c r="BI222" s="8">
        <f t="shared" si="160"/>
        <v>989640</v>
      </c>
      <c r="BJ222" s="8">
        <f t="shared" si="151"/>
        <v>0</v>
      </c>
      <c r="BK222" s="8">
        <f t="shared" si="152"/>
        <v>0</v>
      </c>
      <c r="BL222" s="8">
        <f t="shared" si="153"/>
        <v>0</v>
      </c>
      <c r="BM222" s="8">
        <f t="shared" si="154"/>
        <v>0</v>
      </c>
      <c r="BN222" s="8">
        <f t="shared" si="155"/>
        <v>0</v>
      </c>
      <c r="BO222" s="8">
        <f t="shared" si="156"/>
        <v>0</v>
      </c>
      <c r="BP222" s="8">
        <f t="shared" si="157"/>
        <v>0</v>
      </c>
      <c r="BQ222" s="8">
        <f t="shared" si="158"/>
        <v>0</v>
      </c>
      <c r="BR222" s="8">
        <f t="shared" si="159"/>
        <v>0</v>
      </c>
      <c r="BS222" s="8">
        <f t="shared" si="147"/>
        <v>0.98963999999999996</v>
      </c>
      <c r="BT222" s="8">
        <f t="shared" si="162"/>
        <v>0</v>
      </c>
      <c r="BU222" s="8"/>
    </row>
    <row r="223" spans="1:73" x14ac:dyDescent="0.35">
      <c r="A223" t="s">
        <v>353</v>
      </c>
      <c r="B223">
        <v>0.93</v>
      </c>
      <c r="C223">
        <v>2.2800000000000002</v>
      </c>
      <c r="D223">
        <v>3.4</v>
      </c>
      <c r="E223">
        <v>4.28</v>
      </c>
      <c r="F223">
        <v>5.34</v>
      </c>
      <c r="G223">
        <v>6.67</v>
      </c>
      <c r="H223">
        <v>8.48</v>
      </c>
      <c r="I223">
        <v>10.92</v>
      </c>
      <c r="J223">
        <v>15.26</v>
      </c>
      <c r="K223">
        <v>42.43</v>
      </c>
      <c r="L223">
        <f t="shared" si="127"/>
        <v>25.3</v>
      </c>
      <c r="M223">
        <f t="shared" si="128"/>
        <v>308595</v>
      </c>
      <c r="N223">
        <f t="shared" si="129"/>
        <v>4138.971633498445</v>
      </c>
      <c r="O223">
        <f t="shared" si="144"/>
        <v>-4.4860102483630033</v>
      </c>
      <c r="P223" s="8">
        <f t="shared" si="130"/>
        <v>384.92436191535541</v>
      </c>
      <c r="Q223" s="8">
        <f t="shared" si="130"/>
        <v>943.68553243764563</v>
      </c>
      <c r="R223" s="8">
        <f t="shared" si="130"/>
        <v>1407.2503553894712</v>
      </c>
      <c r="S223" s="8">
        <f t="shared" si="130"/>
        <v>1771.4798591373346</v>
      </c>
      <c r="T223" s="8">
        <f t="shared" si="130"/>
        <v>2210.2108522881695</v>
      </c>
      <c r="U223" s="8">
        <f t="shared" si="130"/>
        <v>2760.694079543463</v>
      </c>
      <c r="V223" s="8">
        <f t="shared" si="130"/>
        <v>3509.8479452066813</v>
      </c>
      <c r="W223" s="8">
        <f t="shared" si="130"/>
        <v>4519.757023780302</v>
      </c>
      <c r="X223" s="8">
        <f t="shared" si="130"/>
        <v>6316.070712718627</v>
      </c>
      <c r="Y223" s="8">
        <f t="shared" si="130"/>
        <v>17561.656640933903</v>
      </c>
      <c r="Z223">
        <f t="shared" si="131"/>
        <v>5.9530468524289697</v>
      </c>
      <c r="AA223">
        <f t="shared" si="131"/>
        <v>6.8497929882301545</v>
      </c>
      <c r="AB223">
        <f t="shared" si="131"/>
        <v>7.2493929768859209</v>
      </c>
      <c r="AC223">
        <f t="shared" si="131"/>
        <v>7.47957055485751</v>
      </c>
      <c r="AD223">
        <f t="shared" si="131"/>
        <v>7.7008431982359085</v>
      </c>
      <c r="AE223">
        <f t="shared" si="131"/>
        <v>7.9232374051913377</v>
      </c>
      <c r="AF223">
        <f t="shared" si="131"/>
        <v>8.1633279950676165</v>
      </c>
      <c r="AG223">
        <f t="shared" si="131"/>
        <v>8.416213515580564</v>
      </c>
      <c r="AH223">
        <f t="shared" si="131"/>
        <v>8.7508525711201166</v>
      </c>
      <c r="AI223">
        <f t="shared" si="131"/>
        <v>9.773473204478039</v>
      </c>
      <c r="AJ223">
        <f t="shared" si="145"/>
        <v>10.854178419940036</v>
      </c>
      <c r="AK223">
        <f t="shared" si="132"/>
        <v>12.489213855854064</v>
      </c>
      <c r="AL223">
        <f t="shared" si="133"/>
        <v>13.217803715970147</v>
      </c>
      <c r="AM223">
        <f t="shared" si="134"/>
        <v>13.637486033530589</v>
      </c>
      <c r="AN223">
        <f t="shared" si="135"/>
        <v>14.040932001657136</v>
      </c>
      <c r="AO223">
        <f t="shared" si="136"/>
        <v>14.446422914410556</v>
      </c>
      <c r="AP223">
        <f t="shared" si="137"/>
        <v>14.884179606750795</v>
      </c>
      <c r="AQ223">
        <f t="shared" si="138"/>
        <v>15.345265270531012</v>
      </c>
      <c r="AR223">
        <f t="shared" si="139"/>
        <v>15.955411991218167</v>
      </c>
      <c r="AS223">
        <f t="shared" si="140"/>
        <v>17.8199541467784</v>
      </c>
      <c r="AT223">
        <f t="shared" si="141"/>
        <v>19.790401804719828</v>
      </c>
      <c r="AU223">
        <f t="shared" si="146"/>
        <v>-20.553450646011875</v>
      </c>
      <c r="AV223" s="5">
        <f t="shared" si="142"/>
        <v>-9.6992722260718391</v>
      </c>
      <c r="AW223" s="5">
        <f t="shared" si="142"/>
        <v>-8.0642367901578105</v>
      </c>
      <c r="AX223" s="5">
        <f t="shared" si="142"/>
        <v>-7.3356469300417277</v>
      </c>
      <c r="AY223" s="5">
        <f t="shared" si="142"/>
        <v>-6.9159646124812859</v>
      </c>
      <c r="AZ223" s="5">
        <f t="shared" si="142"/>
        <v>-6.5125186443547385</v>
      </c>
      <c r="BA223" s="5">
        <f t="shared" si="142"/>
        <v>-6.1070277316013186</v>
      </c>
      <c r="BB223" s="5">
        <f t="shared" si="142"/>
        <v>-5.6692710392610799</v>
      </c>
      <c r="BC223" s="5">
        <f t="shared" si="142"/>
        <v>-5.2081853754808627</v>
      </c>
      <c r="BD223" s="5">
        <f t="shared" si="142"/>
        <v>-4.598038654793708</v>
      </c>
      <c r="BE223" s="5">
        <f t="shared" si="142"/>
        <v>-2.7334964992334747</v>
      </c>
      <c r="BG223" s="1"/>
      <c r="BH223" s="1">
        <f t="shared" si="161"/>
        <v>3.9000000000000008</v>
      </c>
      <c r="BI223" s="8">
        <f t="shared" si="160"/>
        <v>2491009.4</v>
      </c>
      <c r="BJ223" s="8">
        <f t="shared" si="151"/>
        <v>0</v>
      </c>
      <c r="BK223" s="8">
        <f t="shared" si="152"/>
        <v>0</v>
      </c>
      <c r="BL223" s="8">
        <f t="shared" si="153"/>
        <v>0</v>
      </c>
      <c r="BM223" s="8">
        <f t="shared" si="154"/>
        <v>0</v>
      </c>
      <c r="BN223" s="8">
        <f t="shared" si="155"/>
        <v>0</v>
      </c>
      <c r="BO223" s="8">
        <f t="shared" si="156"/>
        <v>0</v>
      </c>
      <c r="BP223" s="8">
        <f t="shared" si="157"/>
        <v>0</v>
      </c>
      <c r="BQ223" s="8">
        <f t="shared" si="158"/>
        <v>0</v>
      </c>
      <c r="BR223" s="8">
        <f t="shared" si="159"/>
        <v>0</v>
      </c>
      <c r="BS223" s="8">
        <f t="shared" si="147"/>
        <v>2.4910093999999998</v>
      </c>
      <c r="BT223" s="8">
        <f t="shared" si="162"/>
        <v>1.5013693999999997</v>
      </c>
      <c r="BU223" s="8"/>
    </row>
    <row r="224" spans="1:73" x14ac:dyDescent="0.35">
      <c r="A224" t="s">
        <v>125</v>
      </c>
      <c r="B224">
        <v>2.46</v>
      </c>
      <c r="C224">
        <v>3.6</v>
      </c>
      <c r="D224">
        <v>4.42</v>
      </c>
      <c r="E224">
        <v>5.21</v>
      </c>
      <c r="F224">
        <v>6.12</v>
      </c>
      <c r="G224">
        <v>7.2700000000000005</v>
      </c>
      <c r="H224">
        <v>8.86</v>
      </c>
      <c r="I224">
        <v>11.35</v>
      </c>
      <c r="J224">
        <v>16.240000000000002</v>
      </c>
      <c r="K224">
        <v>34.480000000000004</v>
      </c>
      <c r="L224">
        <f t="shared" si="127"/>
        <v>27.5</v>
      </c>
      <c r="M224">
        <f t="shared" si="128"/>
        <v>9509798</v>
      </c>
      <c r="N224">
        <f t="shared" si="129"/>
        <v>550.04454433952765</v>
      </c>
      <c r="O224">
        <f t="shared" si="144"/>
        <v>-8.9840362630458621</v>
      </c>
      <c r="P224" s="8">
        <f t="shared" si="130"/>
        <v>135.3109579075238</v>
      </c>
      <c r="Q224" s="8">
        <f t="shared" si="130"/>
        <v>198.01603596222998</v>
      </c>
      <c r="R224" s="8">
        <f t="shared" si="130"/>
        <v>243.11968859807121</v>
      </c>
      <c r="S224" s="8">
        <f t="shared" si="130"/>
        <v>286.57320760089391</v>
      </c>
      <c r="T224" s="8">
        <f t="shared" si="130"/>
        <v>336.62726113579095</v>
      </c>
      <c r="U224" s="8">
        <f t="shared" si="130"/>
        <v>399.88238373483665</v>
      </c>
      <c r="V224" s="8">
        <f t="shared" si="130"/>
        <v>487.33946628482147</v>
      </c>
      <c r="W224" s="8">
        <f t="shared" si="130"/>
        <v>624.30055782536385</v>
      </c>
      <c r="X224" s="8">
        <f t="shared" si="130"/>
        <v>893.27234000739304</v>
      </c>
      <c r="Y224" s="8">
        <f t="shared" si="130"/>
        <v>1896.5535888826914</v>
      </c>
      <c r="Z224">
        <f t="shared" si="131"/>
        <v>4.9075755216054855</v>
      </c>
      <c r="AA224">
        <f t="shared" si="131"/>
        <v>5.288348017123278</v>
      </c>
      <c r="AB224">
        <f t="shared" si="131"/>
        <v>5.49355386775082</v>
      </c>
      <c r="AC224">
        <f t="shared" si="131"/>
        <v>5.657994027426489</v>
      </c>
      <c r="AD224">
        <f t="shared" si="131"/>
        <v>5.8189762681854482</v>
      </c>
      <c r="AE224">
        <f t="shared" si="131"/>
        <v>5.9911704632066414</v>
      </c>
      <c r="AF224">
        <f t="shared" si="131"/>
        <v>6.1889609362782032</v>
      </c>
      <c r="AG224">
        <f t="shared" si="131"/>
        <v>6.4366319155886256</v>
      </c>
      <c r="AH224">
        <f t="shared" si="131"/>
        <v>6.7948915063947455</v>
      </c>
      <c r="AI224">
        <f t="shared" si="131"/>
        <v>7.5477936174567057</v>
      </c>
      <c r="AJ224">
        <f t="shared" si="145"/>
        <v>8.9479726333922383</v>
      </c>
      <c r="AK224">
        <f t="shared" si="132"/>
        <v>9.6422343629248388</v>
      </c>
      <c r="AL224">
        <f t="shared" si="133"/>
        <v>10.016385779962334</v>
      </c>
      <c r="AM224">
        <f t="shared" si="134"/>
        <v>10.316209194218663</v>
      </c>
      <c r="AN224">
        <f t="shared" si="135"/>
        <v>10.609727791829991</v>
      </c>
      <c r="AO224">
        <f t="shared" si="136"/>
        <v>10.923689123223744</v>
      </c>
      <c r="AP224">
        <f t="shared" si="137"/>
        <v>11.284320097194176</v>
      </c>
      <c r="AQ224">
        <f t="shared" si="138"/>
        <v>11.73589809842891</v>
      </c>
      <c r="AR224">
        <f t="shared" si="139"/>
        <v>12.389112093826528</v>
      </c>
      <c r="AS224">
        <f t="shared" si="140"/>
        <v>13.761877007121578</v>
      </c>
      <c r="AT224">
        <f t="shared" si="141"/>
        <v>16.314820606518801</v>
      </c>
      <c r="AU224">
        <f t="shared" si="146"/>
        <v>-21.062637448261604</v>
      </c>
      <c r="AV224" s="5">
        <f t="shared" si="142"/>
        <v>-12.114664814869366</v>
      </c>
      <c r="AW224" s="5">
        <f t="shared" si="142"/>
        <v>-11.420403085336766</v>
      </c>
      <c r="AX224" s="5">
        <f t="shared" si="142"/>
        <v>-11.04625166829927</v>
      </c>
      <c r="AY224" s="5">
        <f t="shared" si="142"/>
        <v>-10.746428254042941</v>
      </c>
      <c r="AZ224" s="5">
        <f t="shared" si="142"/>
        <v>-10.452909656431613</v>
      </c>
      <c r="BA224" s="5">
        <f t="shared" si="142"/>
        <v>-10.138948325037861</v>
      </c>
      <c r="BB224" s="5">
        <f t="shared" si="142"/>
        <v>-9.7783173510674288</v>
      </c>
      <c r="BC224" s="5">
        <f t="shared" si="142"/>
        <v>-9.3267393498326943</v>
      </c>
      <c r="BD224" s="5">
        <f t="shared" si="142"/>
        <v>-8.6735253544350766</v>
      </c>
      <c r="BE224" s="5">
        <f t="shared" si="142"/>
        <v>-7.3007604411400262</v>
      </c>
      <c r="BG224" s="1"/>
      <c r="BH224" s="1">
        <f t="shared" si="161"/>
        <v>4.0000000000000009</v>
      </c>
      <c r="BI224" s="8">
        <f t="shared" si="160"/>
        <v>2926001.5</v>
      </c>
      <c r="BJ224" s="8">
        <f t="shared" si="151"/>
        <v>0</v>
      </c>
      <c r="BK224" s="8">
        <f t="shared" si="152"/>
        <v>0</v>
      </c>
      <c r="BL224" s="8">
        <f t="shared" si="153"/>
        <v>0</v>
      </c>
      <c r="BM224" s="8">
        <f t="shared" si="154"/>
        <v>0</v>
      </c>
      <c r="BN224" s="8">
        <f t="shared" si="155"/>
        <v>0</v>
      </c>
      <c r="BO224" s="8">
        <f t="shared" si="156"/>
        <v>0</v>
      </c>
      <c r="BP224" s="8">
        <f t="shared" si="157"/>
        <v>0</v>
      </c>
      <c r="BQ224" s="8">
        <f t="shared" si="158"/>
        <v>0</v>
      </c>
      <c r="BR224" s="8">
        <f t="shared" si="159"/>
        <v>0</v>
      </c>
      <c r="BS224" s="8">
        <f t="shared" si="147"/>
        <v>2.9260014999999999</v>
      </c>
      <c r="BT224" s="8">
        <f t="shared" si="162"/>
        <v>0.4349921000000001</v>
      </c>
      <c r="BU224" s="8"/>
    </row>
    <row r="225" spans="1:73" x14ac:dyDescent="0.35">
      <c r="A225" t="s">
        <v>355</v>
      </c>
      <c r="B225">
        <v>2.75</v>
      </c>
      <c r="C225">
        <v>3.98</v>
      </c>
      <c r="D225">
        <v>4.92</v>
      </c>
      <c r="E225">
        <v>5.86</v>
      </c>
      <c r="F225">
        <v>6.92</v>
      </c>
      <c r="G225">
        <v>8.120000000000001</v>
      </c>
      <c r="H225">
        <v>9.69</v>
      </c>
      <c r="I225">
        <v>11.72</v>
      </c>
      <c r="J225">
        <v>15.31</v>
      </c>
      <c r="K225">
        <v>30.740000000000002</v>
      </c>
      <c r="L225">
        <f t="shared" si="127"/>
        <v>7.4</v>
      </c>
      <c r="M225">
        <f t="shared" si="128"/>
        <v>716939</v>
      </c>
      <c r="N225">
        <f t="shared" si="129"/>
        <v>1796.8287601287193</v>
      </c>
      <c r="O225">
        <f t="shared" si="144"/>
        <v>0.65008293359014147</v>
      </c>
      <c r="P225" s="8">
        <f t="shared" si="130"/>
        <v>494.12790903539781</v>
      </c>
      <c r="Q225" s="8">
        <f t="shared" si="130"/>
        <v>715.13784653123025</v>
      </c>
      <c r="R225" s="8">
        <f t="shared" si="130"/>
        <v>884.03974998333001</v>
      </c>
      <c r="S225" s="8">
        <f t="shared" si="130"/>
        <v>1052.9416534354295</v>
      </c>
      <c r="T225" s="8">
        <f t="shared" si="130"/>
        <v>1243.4055020090739</v>
      </c>
      <c r="U225" s="8">
        <f t="shared" si="130"/>
        <v>1459.0249532245202</v>
      </c>
      <c r="V225" s="8">
        <f t="shared" si="130"/>
        <v>1741.1270685647291</v>
      </c>
      <c r="W225" s="8">
        <f t="shared" si="130"/>
        <v>2105.8833068708591</v>
      </c>
      <c r="X225" s="8">
        <f t="shared" si="130"/>
        <v>2750.9448317570691</v>
      </c>
      <c r="Y225" s="8">
        <f t="shared" si="130"/>
        <v>5523.4516086356834</v>
      </c>
      <c r="Z225">
        <f t="shared" si="131"/>
        <v>6.2027944088454552</v>
      </c>
      <c r="AA225">
        <f t="shared" si="131"/>
        <v>6.5724753164633212</v>
      </c>
      <c r="AB225">
        <f t="shared" si="131"/>
        <v>6.7845020276711923</v>
      </c>
      <c r="AC225">
        <f t="shared" si="131"/>
        <v>6.9593431007558966</v>
      </c>
      <c r="AD225">
        <f t="shared" si="131"/>
        <v>7.1256092667965536</v>
      </c>
      <c r="AE225">
        <f t="shared" si="131"/>
        <v>7.2855236513405623</v>
      </c>
      <c r="AF225">
        <f t="shared" si="131"/>
        <v>7.4622879230696499</v>
      </c>
      <c r="AG225">
        <f t="shared" si="131"/>
        <v>7.652490281315842</v>
      </c>
      <c r="AH225">
        <f t="shared" si="131"/>
        <v>7.9196997068365675</v>
      </c>
      <c r="AI225">
        <f t="shared" si="131"/>
        <v>8.616758235277425</v>
      </c>
      <c r="AJ225">
        <f t="shared" si="145"/>
        <v>11.309542640059101</v>
      </c>
      <c r="AK225">
        <f t="shared" si="132"/>
        <v>11.983581099556941</v>
      </c>
      <c r="AL225">
        <f t="shared" si="133"/>
        <v>12.370168978048831</v>
      </c>
      <c r="AM225">
        <f t="shared" si="134"/>
        <v>12.688956356922025</v>
      </c>
      <c r="AN225">
        <f t="shared" si="135"/>
        <v>12.992109124931623</v>
      </c>
      <c r="AO225">
        <f t="shared" si="136"/>
        <v>13.283680702441945</v>
      </c>
      <c r="AP225">
        <f t="shared" si="137"/>
        <v>13.605974645557048</v>
      </c>
      <c r="AQ225">
        <f t="shared" si="138"/>
        <v>13.952770224942613</v>
      </c>
      <c r="AR225">
        <f t="shared" si="139"/>
        <v>14.439972636075701</v>
      </c>
      <c r="AS225">
        <f t="shared" si="140"/>
        <v>15.710918056864859</v>
      </c>
      <c r="AT225">
        <f t="shared" si="141"/>
        <v>20.620666476534481</v>
      </c>
      <c r="AU225">
        <f t="shared" si="146"/>
        <v>-13.460318592121665</v>
      </c>
      <c r="AV225" s="5">
        <f t="shared" si="142"/>
        <v>-2.1507759520625633</v>
      </c>
      <c r="AW225" s="5">
        <f t="shared" si="142"/>
        <v>-1.4767374925647232</v>
      </c>
      <c r="AX225" s="5">
        <f t="shared" si="142"/>
        <v>-1.0901496140728337</v>
      </c>
      <c r="AY225" s="5">
        <f t="shared" si="142"/>
        <v>-0.7713622351996392</v>
      </c>
      <c r="AZ225" s="5">
        <f t="shared" si="142"/>
        <v>-0.4682094671900412</v>
      </c>
      <c r="BA225" s="5">
        <f t="shared" si="142"/>
        <v>-0.17663788967971961</v>
      </c>
      <c r="BB225" s="5">
        <f t="shared" si="142"/>
        <v>0.14565605343538301</v>
      </c>
      <c r="BC225" s="5">
        <f t="shared" si="142"/>
        <v>0.4924516328209485</v>
      </c>
      <c r="BD225" s="5">
        <f t="shared" si="142"/>
        <v>0.97965404395403688</v>
      </c>
      <c r="BE225" s="5">
        <f t="shared" si="142"/>
        <v>2.2505994647431944</v>
      </c>
      <c r="BG225" s="1"/>
      <c r="BH225" s="1">
        <f t="shared" si="161"/>
        <v>4.1000000000000005</v>
      </c>
      <c r="BI225" s="8">
        <f t="shared" si="160"/>
        <v>5429753.7000000002</v>
      </c>
      <c r="BJ225" s="8">
        <f t="shared" si="151"/>
        <v>0</v>
      </c>
      <c r="BK225" s="8">
        <f t="shared" si="152"/>
        <v>0</v>
      </c>
      <c r="BL225" s="8">
        <f t="shared" si="153"/>
        <v>0</v>
      </c>
      <c r="BM225" s="8">
        <f t="shared" si="154"/>
        <v>0</v>
      </c>
      <c r="BN225" s="8">
        <f t="shared" si="155"/>
        <v>0</v>
      </c>
      <c r="BO225" s="8">
        <f t="shared" si="156"/>
        <v>0</v>
      </c>
      <c r="BP225" s="8">
        <f t="shared" si="157"/>
        <v>0</v>
      </c>
      <c r="BQ225" s="8">
        <f t="shared" si="158"/>
        <v>0</v>
      </c>
      <c r="BR225" s="8">
        <f t="shared" si="159"/>
        <v>0</v>
      </c>
      <c r="BS225" s="8">
        <f t="shared" si="147"/>
        <v>5.4297537</v>
      </c>
      <c r="BT225" s="8">
        <f t="shared" si="162"/>
        <v>2.5037522000000001</v>
      </c>
      <c r="BU225" s="8"/>
    </row>
    <row r="226" spans="1:73" x14ac:dyDescent="0.35">
      <c r="A226" t="s">
        <v>126</v>
      </c>
      <c r="B226">
        <v>1.01</v>
      </c>
      <c r="C226">
        <v>2.58</v>
      </c>
      <c r="D226">
        <v>3.8000000000000003</v>
      </c>
      <c r="E226">
        <v>4.9000000000000004</v>
      </c>
      <c r="F226">
        <v>6.15</v>
      </c>
      <c r="G226">
        <v>7.58</v>
      </c>
      <c r="H226">
        <v>9.36</v>
      </c>
      <c r="I226">
        <v>11.91</v>
      </c>
      <c r="J226">
        <v>16.3</v>
      </c>
      <c r="K226">
        <v>36.410000000000004</v>
      </c>
      <c r="L226">
        <f t="shared" si="127"/>
        <v>21.5</v>
      </c>
      <c r="M226">
        <f t="shared" si="128"/>
        <v>10156601</v>
      </c>
      <c r="N226">
        <f t="shared" si="129"/>
        <v>1176.9744750324021</v>
      </c>
      <c r="O226">
        <f t="shared" si="144"/>
        <v>-5.3654845202881942</v>
      </c>
      <c r="P226" s="8">
        <f t="shared" si="130"/>
        <v>118.87442197827261</v>
      </c>
      <c r="Q226" s="8">
        <f t="shared" si="130"/>
        <v>303.65941455835974</v>
      </c>
      <c r="R226" s="8">
        <f t="shared" si="130"/>
        <v>447.25030051231278</v>
      </c>
      <c r="S226" s="8">
        <f t="shared" si="130"/>
        <v>576.71749276587707</v>
      </c>
      <c r="T226" s="8">
        <f t="shared" si="130"/>
        <v>723.83930214492727</v>
      </c>
      <c r="U226" s="8">
        <f t="shared" si="130"/>
        <v>892.14665207456073</v>
      </c>
      <c r="V226" s="8">
        <f t="shared" si="130"/>
        <v>1101.6481086303284</v>
      </c>
      <c r="W226" s="8">
        <f t="shared" si="130"/>
        <v>1401.7765997635911</v>
      </c>
      <c r="X226" s="8">
        <f t="shared" si="130"/>
        <v>1918.4683943028153</v>
      </c>
      <c r="Y226" s="8">
        <f t="shared" si="130"/>
        <v>4285.364063592976</v>
      </c>
      <c r="Z226">
        <f t="shared" si="131"/>
        <v>4.7780676584206949</v>
      </c>
      <c r="AA226">
        <f t="shared" si="131"/>
        <v>5.7159067265010526</v>
      </c>
      <c r="AB226">
        <f t="shared" si="131"/>
        <v>6.1031183942998668</v>
      </c>
      <c r="AC226">
        <f t="shared" si="131"/>
        <v>6.357352532684108</v>
      </c>
      <c r="AD226">
        <f t="shared" si="131"/>
        <v>6.5845694093859528</v>
      </c>
      <c r="AE226">
        <f t="shared" si="131"/>
        <v>6.7936305272218069</v>
      </c>
      <c r="AF226">
        <f t="shared" si="131"/>
        <v>7.0045626180570277</v>
      </c>
      <c r="AG226">
        <f t="shared" si="131"/>
        <v>7.2454957109347351</v>
      </c>
      <c r="AH226">
        <f t="shared" si="131"/>
        <v>7.5592824353802435</v>
      </c>
      <c r="AI226">
        <f t="shared" si="131"/>
        <v>8.3629607897548688</v>
      </c>
      <c r="AJ226">
        <f t="shared" si="145"/>
        <v>8.711841205463136</v>
      </c>
      <c r="AK226">
        <f t="shared" si="132"/>
        <v>10.421801302615917</v>
      </c>
      <c r="AL226">
        <f t="shared" si="133"/>
        <v>11.127803562090159</v>
      </c>
      <c r="AM226">
        <f t="shared" si="134"/>
        <v>11.591348158137869</v>
      </c>
      <c r="AN226">
        <f t="shared" si="135"/>
        <v>12.005632234994589</v>
      </c>
      <c r="AO226">
        <f t="shared" si="136"/>
        <v>12.386812953022467</v>
      </c>
      <c r="AP226">
        <f t="shared" si="137"/>
        <v>12.771405012378143</v>
      </c>
      <c r="AQ226">
        <f t="shared" si="138"/>
        <v>13.21069783875588</v>
      </c>
      <c r="AR226">
        <f t="shared" si="139"/>
        <v>13.782824545863928</v>
      </c>
      <c r="AS226">
        <f t="shared" si="140"/>
        <v>15.248169682038473</v>
      </c>
      <c r="AT226">
        <f t="shared" si="141"/>
        <v>15.884282646238526</v>
      </c>
      <c r="AU226">
        <f t="shared" si="146"/>
        <v>-18.957712593430763</v>
      </c>
      <c r="AV226" s="5">
        <f t="shared" si="142"/>
        <v>-10.245871387967627</v>
      </c>
      <c r="AW226" s="5">
        <f t="shared" si="142"/>
        <v>-8.5359112908148465</v>
      </c>
      <c r="AX226" s="5">
        <f t="shared" si="142"/>
        <v>-7.8299090313406037</v>
      </c>
      <c r="AY226" s="5">
        <f t="shared" si="142"/>
        <v>-7.3663644352928941</v>
      </c>
      <c r="AZ226" s="5">
        <f t="shared" si="142"/>
        <v>-6.9520803584361737</v>
      </c>
      <c r="BA226" s="5">
        <f t="shared" si="142"/>
        <v>-6.570899640408296</v>
      </c>
      <c r="BB226" s="5">
        <f t="shared" si="142"/>
        <v>-6.1863075810526205</v>
      </c>
      <c r="BC226" s="5">
        <f t="shared" si="142"/>
        <v>-5.7470147546748827</v>
      </c>
      <c r="BD226" s="5">
        <f t="shared" si="142"/>
        <v>-5.1748880475668351</v>
      </c>
      <c r="BE226" s="5">
        <f t="shared" si="142"/>
        <v>-3.7095429113922904</v>
      </c>
      <c r="BG226" s="1"/>
      <c r="BH226" s="1">
        <f t="shared" si="161"/>
        <v>4.2</v>
      </c>
      <c r="BI226" s="8">
        <f t="shared" si="160"/>
        <v>6353029</v>
      </c>
      <c r="BJ226" s="8">
        <f t="shared" si="151"/>
        <v>989640</v>
      </c>
      <c r="BK226" s="8">
        <f t="shared" si="152"/>
        <v>0</v>
      </c>
      <c r="BL226" s="8">
        <f t="shared" si="153"/>
        <v>0</v>
      </c>
      <c r="BM226" s="8">
        <f t="shared" si="154"/>
        <v>0</v>
      </c>
      <c r="BN226" s="8">
        <f t="shared" si="155"/>
        <v>0</v>
      </c>
      <c r="BO226" s="8">
        <f t="shared" si="156"/>
        <v>0</v>
      </c>
      <c r="BP226" s="8">
        <f t="shared" si="157"/>
        <v>0</v>
      </c>
      <c r="BQ226" s="8">
        <f t="shared" si="158"/>
        <v>0</v>
      </c>
      <c r="BR226" s="8">
        <f t="shared" si="159"/>
        <v>0</v>
      </c>
      <c r="BS226" s="8">
        <f t="shared" si="147"/>
        <v>7.3426689999999999</v>
      </c>
      <c r="BT226" s="8">
        <f t="shared" si="162"/>
        <v>1.9129152999999999</v>
      </c>
      <c r="BU226" s="8"/>
    </row>
    <row r="227" spans="1:73" x14ac:dyDescent="0.35">
      <c r="A227" t="s">
        <v>246</v>
      </c>
      <c r="B227">
        <v>2.89</v>
      </c>
      <c r="C227">
        <v>4.3899999999999997</v>
      </c>
      <c r="D227">
        <v>5.51</v>
      </c>
      <c r="E227">
        <v>6.55</v>
      </c>
      <c r="F227">
        <v>7.6400000000000006</v>
      </c>
      <c r="G227">
        <v>8.93</v>
      </c>
      <c r="H227">
        <v>10.38</v>
      </c>
      <c r="I227">
        <v>12.39</v>
      </c>
      <c r="J227">
        <v>15.6</v>
      </c>
      <c r="K227">
        <v>25.75</v>
      </c>
      <c r="L227">
        <f t="shared" si="127"/>
        <v>9.8000000000000007</v>
      </c>
      <c r="M227">
        <f t="shared" si="128"/>
        <v>3845929</v>
      </c>
      <c r="N227">
        <f t="shared" si="129"/>
        <v>3328.9924023780331</v>
      </c>
      <c r="O227">
        <f t="shared" si="144"/>
        <v>0.88178773788977516</v>
      </c>
      <c r="P227" s="8">
        <f t="shared" si="130"/>
        <v>962.07880428725161</v>
      </c>
      <c r="Q227" s="8">
        <f t="shared" si="130"/>
        <v>1461.4276646439564</v>
      </c>
      <c r="R227" s="8">
        <f t="shared" si="130"/>
        <v>1834.274813710296</v>
      </c>
      <c r="S227" s="8">
        <f t="shared" si="130"/>
        <v>2180.4900235576115</v>
      </c>
      <c r="T227" s="8">
        <f t="shared" si="130"/>
        <v>2543.3501954168178</v>
      </c>
      <c r="U227" s="8">
        <f t="shared" si="130"/>
        <v>2972.7902153235837</v>
      </c>
      <c r="V227" s="8">
        <f t="shared" si="130"/>
        <v>3455.4941136683983</v>
      </c>
      <c r="W227" s="8">
        <f t="shared" si="130"/>
        <v>4124.6215865463837</v>
      </c>
      <c r="X227" s="8">
        <f t="shared" si="130"/>
        <v>5193.2281477097313</v>
      </c>
      <c r="Y227" s="8">
        <f t="shared" si="130"/>
        <v>8572.1554361234357</v>
      </c>
      <c r="Z227">
        <f t="shared" si="131"/>
        <v>6.869096364449196</v>
      </c>
      <c r="AA227">
        <f t="shared" si="131"/>
        <v>7.2871690894119352</v>
      </c>
      <c r="AB227">
        <f t="shared" si="131"/>
        <v>7.5144044854896785</v>
      </c>
      <c r="AC227">
        <f t="shared" si="131"/>
        <v>7.6873049119720154</v>
      </c>
      <c r="AD227">
        <f t="shared" si="131"/>
        <v>7.8412374655032844</v>
      </c>
      <c r="AE227">
        <f t="shared" si="131"/>
        <v>7.9972562572132633</v>
      </c>
      <c r="AF227">
        <f t="shared" si="131"/>
        <v>8.1477207400625975</v>
      </c>
      <c r="AG227">
        <f t="shared" si="131"/>
        <v>8.324729557965906</v>
      </c>
      <c r="AH227">
        <f t="shared" si="131"/>
        <v>8.5551107765803458</v>
      </c>
      <c r="AI227">
        <f t="shared" si="131"/>
        <v>9.0562744894345997</v>
      </c>
      <c r="AJ227">
        <f t="shared" si="145"/>
        <v>12.524409663107491</v>
      </c>
      <c r="AK227">
        <f t="shared" si="132"/>
        <v>13.286680826386604</v>
      </c>
      <c r="AL227">
        <f t="shared" si="133"/>
        <v>13.70099866958436</v>
      </c>
      <c r="AM227">
        <f t="shared" si="134"/>
        <v>14.016247671388752</v>
      </c>
      <c r="AN227">
        <f t="shared" si="135"/>
        <v>14.296912588377207</v>
      </c>
      <c r="AO227">
        <f t="shared" si="136"/>
        <v>14.581381339264428</v>
      </c>
      <c r="AP227">
        <f t="shared" si="137"/>
        <v>14.855722929914654</v>
      </c>
      <c r="AQ227">
        <f t="shared" si="138"/>
        <v>15.178462753580121</v>
      </c>
      <c r="AR227">
        <f t="shared" si="139"/>
        <v>15.598516368717393</v>
      </c>
      <c r="AS227">
        <f t="shared" si="140"/>
        <v>16.512287164037126</v>
      </c>
      <c r="AT227">
        <f t="shared" si="141"/>
        <v>22.835731089924565</v>
      </c>
      <c r="AU227">
        <f t="shared" si="146"/>
        <v>-14.23422698330763</v>
      </c>
      <c r="AV227" s="5">
        <f t="shared" si="142"/>
        <v>-1.7098173202001394</v>
      </c>
      <c r="AW227" s="5">
        <f t="shared" si="142"/>
        <v>-0.94754615692102639</v>
      </c>
      <c r="AX227" s="5">
        <f t="shared" si="142"/>
        <v>-0.53322831372327073</v>
      </c>
      <c r="AY227" s="5">
        <f t="shared" si="142"/>
        <v>-0.21797931191887798</v>
      </c>
      <c r="AZ227" s="5">
        <f t="shared" si="142"/>
        <v>6.2685605069576766E-2</v>
      </c>
      <c r="BA227" s="5">
        <f t="shared" si="142"/>
        <v>0.347154355956798</v>
      </c>
      <c r="BB227" s="5">
        <f t="shared" si="142"/>
        <v>0.62149594660702334</v>
      </c>
      <c r="BC227" s="5">
        <f t="shared" si="142"/>
        <v>0.94423577027249017</v>
      </c>
      <c r="BD227" s="5">
        <f t="shared" si="142"/>
        <v>1.3642893854097622</v>
      </c>
      <c r="BE227" s="5">
        <f t="shared" si="142"/>
        <v>2.2780601807294953</v>
      </c>
      <c r="BG227" s="1"/>
      <c r="BH227" s="1">
        <f t="shared" si="161"/>
        <v>4.3</v>
      </c>
      <c r="BI227" s="8">
        <f t="shared" si="160"/>
        <v>7595364.5999999996</v>
      </c>
      <c r="BJ227" s="8">
        <f t="shared" si="151"/>
        <v>2491009.4</v>
      </c>
      <c r="BK227" s="8">
        <f t="shared" si="152"/>
        <v>0</v>
      </c>
      <c r="BL227" s="8">
        <f t="shared" si="153"/>
        <v>0</v>
      </c>
      <c r="BM227" s="8">
        <f t="shared" si="154"/>
        <v>0</v>
      </c>
      <c r="BN227" s="8">
        <f t="shared" si="155"/>
        <v>0</v>
      </c>
      <c r="BO227" s="8">
        <f t="shared" si="156"/>
        <v>0</v>
      </c>
      <c r="BP227" s="8">
        <f t="shared" si="157"/>
        <v>0</v>
      </c>
      <c r="BQ227" s="8">
        <f t="shared" si="158"/>
        <v>0</v>
      </c>
      <c r="BR227" s="8">
        <f t="shared" si="159"/>
        <v>0</v>
      </c>
      <c r="BS227" s="8">
        <f t="shared" si="147"/>
        <v>10.086373999999999</v>
      </c>
      <c r="BT227" s="8">
        <f t="shared" si="162"/>
        <v>2.7437049999999994</v>
      </c>
      <c r="BU227" s="8"/>
    </row>
    <row r="228" spans="1:73" x14ac:dyDescent="0.35">
      <c r="A228" t="s">
        <v>128</v>
      </c>
      <c r="B228">
        <v>1.05</v>
      </c>
      <c r="C228">
        <v>1.79</v>
      </c>
      <c r="D228">
        <v>2.5</v>
      </c>
      <c r="E228">
        <v>3.19</v>
      </c>
      <c r="F228">
        <v>4.13</v>
      </c>
      <c r="G228">
        <v>5.41</v>
      </c>
      <c r="H228">
        <v>7.13</v>
      </c>
      <c r="I228">
        <v>9.76</v>
      </c>
      <c r="J228">
        <v>15.43</v>
      </c>
      <c r="K228">
        <v>49.61</v>
      </c>
      <c r="L228">
        <f t="shared" si="127"/>
        <v>21.5</v>
      </c>
      <c r="M228">
        <f t="shared" si="128"/>
        <v>1969341</v>
      </c>
      <c r="N228">
        <f t="shared" si="129"/>
        <v>6152.7263733715708</v>
      </c>
      <c r="O228">
        <f t="shared" si="144"/>
        <v>-2.3498441576319768</v>
      </c>
      <c r="P228" s="8">
        <f t="shared" si="130"/>
        <v>646.03626920401496</v>
      </c>
      <c r="Q228" s="8">
        <f t="shared" si="130"/>
        <v>1101.3380208335113</v>
      </c>
      <c r="R228" s="8">
        <f t="shared" si="130"/>
        <v>1538.1815933428927</v>
      </c>
      <c r="S228" s="8">
        <f t="shared" si="130"/>
        <v>1962.7197131055309</v>
      </c>
      <c r="T228" s="8">
        <f t="shared" si="130"/>
        <v>2541.0759922024586</v>
      </c>
      <c r="U228" s="8">
        <f t="shared" si="130"/>
        <v>3328.6249679940202</v>
      </c>
      <c r="V228" s="8">
        <f t="shared" si="130"/>
        <v>4386.89390421393</v>
      </c>
      <c r="W228" s="8">
        <f t="shared" si="130"/>
        <v>6005.0609404106526</v>
      </c>
      <c r="X228" s="8">
        <f t="shared" si="130"/>
        <v>9493.656794112334</v>
      </c>
      <c r="Y228" s="8">
        <f t="shared" si="130"/>
        <v>30523.675538296364</v>
      </c>
      <c r="Z228">
        <f t="shared" si="131"/>
        <v>6.4708556464852318</v>
      </c>
      <c r="AA228">
        <f t="shared" si="131"/>
        <v>7.0042811021684637</v>
      </c>
      <c r="AB228">
        <f t="shared" si="131"/>
        <v>7.3383562141899548</v>
      </c>
      <c r="AC228">
        <f t="shared" si="131"/>
        <v>7.5820863991125531</v>
      </c>
      <c r="AD228">
        <f t="shared" si="131"/>
        <v>7.840342889288741</v>
      </c>
      <c r="AE228">
        <f t="shared" si="131"/>
        <v>8.1103145751741899</v>
      </c>
      <c r="AF228">
        <f t="shared" si="131"/>
        <v>8.3863767167420047</v>
      </c>
      <c r="AG228">
        <f t="shared" si="131"/>
        <v>8.7003578827407999</v>
      </c>
      <c r="AH228">
        <f t="shared" si="131"/>
        <v>9.1583791486908694</v>
      </c>
      <c r="AI228">
        <f t="shared" si="131"/>
        <v>10.326257908628758</v>
      </c>
      <c r="AJ228">
        <f t="shared" si="145"/>
        <v>11.798298158525231</v>
      </c>
      <c r="AK228">
        <f t="shared" si="132"/>
        <v>12.770891725021556</v>
      </c>
      <c r="AL228">
        <f t="shared" si="133"/>
        <v>13.380010208620117</v>
      </c>
      <c r="AM228">
        <f t="shared" si="134"/>
        <v>13.824402967329121</v>
      </c>
      <c r="AN228">
        <f t="shared" si="135"/>
        <v>14.295281509354384</v>
      </c>
      <c r="AO228">
        <f t="shared" si="136"/>
        <v>14.787520344285952</v>
      </c>
      <c r="AP228">
        <f t="shared" si="137"/>
        <v>15.290863894882264</v>
      </c>
      <c r="AQ228">
        <f t="shared" si="138"/>
        <v>15.863345126885536</v>
      </c>
      <c r="AR228">
        <f t="shared" si="139"/>
        <v>16.698454385049764</v>
      </c>
      <c r="AS228">
        <f t="shared" si="140"/>
        <v>18.827845392286999</v>
      </c>
      <c r="AT228">
        <f t="shared" si="141"/>
        <v>21.511813435842736</v>
      </c>
      <c r="AU228">
        <f t="shared" si="146"/>
        <v>-19.423790627825781</v>
      </c>
      <c r="AV228" s="5">
        <f t="shared" si="142"/>
        <v>-7.6254924693005499</v>
      </c>
      <c r="AW228" s="5">
        <f t="shared" si="142"/>
        <v>-6.6528989028042247</v>
      </c>
      <c r="AX228" s="5">
        <f t="shared" si="142"/>
        <v>-6.0437804192056639</v>
      </c>
      <c r="AY228" s="5">
        <f t="shared" si="142"/>
        <v>-5.5993876604966601</v>
      </c>
      <c r="AZ228" s="5">
        <f t="shared" si="142"/>
        <v>-5.1285091184713973</v>
      </c>
      <c r="BA228" s="5">
        <f t="shared" si="142"/>
        <v>-4.6362702835398295</v>
      </c>
      <c r="BB228" s="5">
        <f t="shared" si="142"/>
        <v>-4.1329267329435169</v>
      </c>
      <c r="BC228" s="5">
        <f t="shared" si="142"/>
        <v>-3.5604455009402454</v>
      </c>
      <c r="BD228" s="5">
        <f t="shared" si="142"/>
        <v>-2.7253362427760166</v>
      </c>
      <c r="BE228" s="5">
        <f t="shared" si="142"/>
        <v>-0.59594523553878176</v>
      </c>
      <c r="BG228" s="1"/>
      <c r="BH228" s="1">
        <f t="shared" si="161"/>
        <v>4.3999999999999995</v>
      </c>
      <c r="BI228" s="8">
        <f t="shared" si="160"/>
        <v>19533112.699999999</v>
      </c>
      <c r="BJ228" s="8">
        <f t="shared" si="151"/>
        <v>3414284.7</v>
      </c>
      <c r="BK228" s="8">
        <f t="shared" si="152"/>
        <v>0</v>
      </c>
      <c r="BL228" s="8">
        <f t="shared" si="153"/>
        <v>0</v>
      </c>
      <c r="BM228" s="8">
        <f t="shared" si="154"/>
        <v>0</v>
      </c>
      <c r="BN228" s="8">
        <f t="shared" si="155"/>
        <v>0</v>
      </c>
      <c r="BO228" s="8">
        <f t="shared" si="156"/>
        <v>0</v>
      </c>
      <c r="BP228" s="8">
        <f t="shared" si="157"/>
        <v>0</v>
      </c>
      <c r="BQ228" s="8">
        <f t="shared" si="158"/>
        <v>0</v>
      </c>
      <c r="BR228" s="8">
        <f t="shared" si="159"/>
        <v>0</v>
      </c>
      <c r="BS228" s="8">
        <f t="shared" si="147"/>
        <v>22.9473974</v>
      </c>
      <c r="BT228" s="8">
        <f t="shared" si="162"/>
        <v>12.861023400000001</v>
      </c>
      <c r="BU228" s="8"/>
    </row>
    <row r="229" spans="1:73" x14ac:dyDescent="0.35">
      <c r="A229" t="s">
        <v>129</v>
      </c>
      <c r="B229">
        <v>1.18</v>
      </c>
      <c r="C229">
        <v>2.44</v>
      </c>
      <c r="D229">
        <v>3.44</v>
      </c>
      <c r="E229">
        <v>4.46</v>
      </c>
      <c r="F229">
        <v>5.65</v>
      </c>
      <c r="G229">
        <v>6.99</v>
      </c>
      <c r="H229">
        <v>8.5500000000000007</v>
      </c>
      <c r="I229">
        <v>11.03</v>
      </c>
      <c r="J229">
        <v>15.59</v>
      </c>
      <c r="K229">
        <v>40.660000000000004</v>
      </c>
      <c r="L229">
        <f t="shared" si="127"/>
        <v>24.9</v>
      </c>
      <c r="M229">
        <f t="shared" si="128"/>
        <v>195210154</v>
      </c>
      <c r="N229">
        <f t="shared" si="129"/>
        <v>5618.3246002281494</v>
      </c>
      <c r="O229">
        <f t="shared" si="144"/>
        <v>-3.7800647589013323</v>
      </c>
      <c r="P229" s="8">
        <f t="shared" si="130"/>
        <v>662.96230282692159</v>
      </c>
      <c r="Q229" s="8">
        <f t="shared" si="130"/>
        <v>1370.8712024556685</v>
      </c>
      <c r="R229" s="8">
        <f t="shared" si="130"/>
        <v>1932.7036624784832</v>
      </c>
      <c r="S229" s="8">
        <f t="shared" si="130"/>
        <v>2505.7727717017547</v>
      </c>
      <c r="T229" s="8">
        <f t="shared" si="130"/>
        <v>3174.3533991289046</v>
      </c>
      <c r="U229" s="8">
        <f t="shared" si="130"/>
        <v>3927.2088955594763</v>
      </c>
      <c r="V229" s="8">
        <f t="shared" si="130"/>
        <v>4803.6675331950682</v>
      </c>
      <c r="W229" s="8">
        <f t="shared" si="130"/>
        <v>6197.0120340516487</v>
      </c>
      <c r="X229" s="8">
        <f t="shared" si="130"/>
        <v>8758.9680517556844</v>
      </c>
      <c r="Y229" s="8">
        <f t="shared" si="130"/>
        <v>22844.107824527659</v>
      </c>
      <c r="Z229">
        <f t="shared" si="131"/>
        <v>6.4967181300880936</v>
      </c>
      <c r="AA229">
        <f t="shared" si="131"/>
        <v>7.2232017309156307</v>
      </c>
      <c r="AB229">
        <f t="shared" si="131"/>
        <v>7.5666751629958267</v>
      </c>
      <c r="AC229">
        <f t="shared" si="131"/>
        <v>7.8263524576424928</v>
      </c>
      <c r="AD229">
        <f t="shared" si="131"/>
        <v>8.062859236768869</v>
      </c>
      <c r="AE229">
        <f t="shared" si="131"/>
        <v>8.2756842478562387</v>
      </c>
      <c r="AF229">
        <f t="shared" si="131"/>
        <v>8.4771349745591884</v>
      </c>
      <c r="AG229">
        <f t="shared" si="131"/>
        <v>8.7318225248759305</v>
      </c>
      <c r="AH229">
        <f t="shared" si="131"/>
        <v>9.0778333746802051</v>
      </c>
      <c r="AI229">
        <f t="shared" si="131"/>
        <v>10.036448499810721</v>
      </c>
      <c r="AJ229">
        <f t="shared" si="145"/>
        <v>11.845453173153361</v>
      </c>
      <c r="AK229">
        <f t="shared" si="132"/>
        <v>13.170049269575008</v>
      </c>
      <c r="AL229">
        <f t="shared" si="133"/>
        <v>13.796303691339965</v>
      </c>
      <c r="AM229">
        <f t="shared" si="134"/>
        <v>14.269772783314643</v>
      </c>
      <c r="AN229">
        <f t="shared" si="135"/>
        <v>14.700995120682206</v>
      </c>
      <c r="AO229">
        <f t="shared" si="136"/>
        <v>15.089038537747784</v>
      </c>
      <c r="AP229">
        <f t="shared" si="137"/>
        <v>15.45634324484382</v>
      </c>
      <c r="AQ229">
        <f t="shared" si="138"/>
        <v>15.920714545961236</v>
      </c>
      <c r="AR229">
        <f t="shared" si="139"/>
        <v>16.551595436387668</v>
      </c>
      <c r="AS229">
        <f t="shared" si="140"/>
        <v>18.299436476807887</v>
      </c>
      <c r="AT229">
        <f t="shared" si="141"/>
        <v>21.597791079704177</v>
      </c>
      <c r="AU229">
        <f t="shared" si="146"/>
        <v>-20.33771756688461</v>
      </c>
      <c r="AV229" s="5">
        <f t="shared" si="142"/>
        <v>-8.492264393731249</v>
      </c>
      <c r="AW229" s="5">
        <f t="shared" si="142"/>
        <v>-7.1676682973096018</v>
      </c>
      <c r="AX229" s="5">
        <f t="shared" si="142"/>
        <v>-6.5414138755446452</v>
      </c>
      <c r="AY229" s="5">
        <f t="shared" si="142"/>
        <v>-6.0679447835699669</v>
      </c>
      <c r="AZ229" s="5">
        <f t="shared" si="142"/>
        <v>-5.6367224462024037</v>
      </c>
      <c r="BA229" s="5">
        <f t="shared" si="142"/>
        <v>-5.2486790291368255</v>
      </c>
      <c r="BB229" s="5">
        <f t="shared" si="142"/>
        <v>-4.8813743220407897</v>
      </c>
      <c r="BC229" s="5">
        <f t="shared" si="142"/>
        <v>-4.4170030209233744</v>
      </c>
      <c r="BD229" s="5">
        <f t="shared" si="142"/>
        <v>-3.7861221304969419</v>
      </c>
      <c r="BE229" s="5">
        <f t="shared" si="142"/>
        <v>-2.0382810900767225</v>
      </c>
      <c r="BG229" s="1"/>
      <c r="BH229" s="1">
        <f t="shared" si="161"/>
        <v>4.4999999999999991</v>
      </c>
      <c r="BI229" s="8">
        <f t="shared" si="160"/>
        <v>21290551.300000001</v>
      </c>
      <c r="BJ229" s="8">
        <f t="shared" si="151"/>
        <v>3414284.7</v>
      </c>
      <c r="BK229" s="8">
        <f t="shared" si="152"/>
        <v>923275.3</v>
      </c>
      <c r="BL229" s="8">
        <f t="shared" si="153"/>
        <v>0</v>
      </c>
      <c r="BM229" s="8">
        <f t="shared" si="154"/>
        <v>0</v>
      </c>
      <c r="BN229" s="8">
        <f t="shared" si="155"/>
        <v>0</v>
      </c>
      <c r="BO229" s="8">
        <f t="shared" si="156"/>
        <v>0</v>
      </c>
      <c r="BP229" s="8">
        <f t="shared" si="157"/>
        <v>0</v>
      </c>
      <c r="BQ229" s="8">
        <f t="shared" si="158"/>
        <v>0</v>
      </c>
      <c r="BR229" s="8">
        <f t="shared" si="159"/>
        <v>0</v>
      </c>
      <c r="BS229" s="8">
        <f t="shared" si="147"/>
        <v>25.6281113</v>
      </c>
      <c r="BT229" s="8">
        <f t="shared" si="162"/>
        <v>2.6807139000000006</v>
      </c>
      <c r="BU229" s="8"/>
    </row>
    <row r="230" spans="1:73" x14ac:dyDescent="0.35">
      <c r="A230" t="s">
        <v>216</v>
      </c>
      <c r="B230">
        <v>2.2000000000000002</v>
      </c>
      <c r="C230">
        <v>4</v>
      </c>
      <c r="D230">
        <v>5.3</v>
      </c>
      <c r="E230">
        <v>6.4</v>
      </c>
      <c r="F230">
        <v>7.6000000000000005</v>
      </c>
      <c r="G230">
        <v>8.8000000000000007</v>
      </c>
      <c r="H230">
        <v>10.200000000000001</v>
      </c>
      <c r="I230">
        <v>12.1</v>
      </c>
      <c r="J230">
        <v>15.200000000000001</v>
      </c>
      <c r="K230">
        <v>28.400000000000002</v>
      </c>
      <c r="L230">
        <f t="shared" si="127"/>
        <v>10.5</v>
      </c>
      <c r="M230">
        <f t="shared" si="128"/>
        <v>7534289</v>
      </c>
      <c r="N230">
        <f t="shared" si="129"/>
        <v>4378.8790878779682</v>
      </c>
      <c r="O230">
        <f t="shared" si="144"/>
        <v>1.1212467965788591</v>
      </c>
      <c r="P230" s="8">
        <f t="shared" si="130"/>
        <v>963.35339933315322</v>
      </c>
      <c r="Q230" s="8">
        <f t="shared" si="130"/>
        <v>1751.5516351511874</v>
      </c>
      <c r="R230" s="8">
        <f t="shared" si="130"/>
        <v>2320.805916575323</v>
      </c>
      <c r="S230" s="8">
        <f t="shared" si="130"/>
        <v>2802.4826162418999</v>
      </c>
      <c r="T230" s="8">
        <f t="shared" si="130"/>
        <v>3327.9481067872562</v>
      </c>
      <c r="U230" s="8">
        <f t="shared" si="130"/>
        <v>3853.4135973326129</v>
      </c>
      <c r="V230" s="8">
        <f t="shared" si="130"/>
        <v>4466.4566696355278</v>
      </c>
      <c r="W230" s="8">
        <f t="shared" si="130"/>
        <v>5298.4436963323415</v>
      </c>
      <c r="X230" s="8">
        <f t="shared" si="130"/>
        <v>6655.8962135745123</v>
      </c>
      <c r="Y230" s="8">
        <f t="shared" si="130"/>
        <v>12436.016609573431</v>
      </c>
      <c r="Z230">
        <f t="shared" si="131"/>
        <v>6.8704203219790303</v>
      </c>
      <c r="AA230">
        <f t="shared" si="131"/>
        <v>7.4682573227346509</v>
      </c>
      <c r="AB230">
        <f t="shared" si="131"/>
        <v>7.7496697821728358</v>
      </c>
      <c r="AC230">
        <f t="shared" si="131"/>
        <v>7.9382609519803857</v>
      </c>
      <c r="AD230">
        <f t="shared" si="131"/>
        <v>8.1101112089070462</v>
      </c>
      <c r="AE230">
        <f t="shared" si="131"/>
        <v>8.2567146830989202</v>
      </c>
      <c r="AF230">
        <f t="shared" si="131"/>
        <v>8.4043506819049849</v>
      </c>
      <c r="AG230">
        <f t="shared" si="131"/>
        <v>8.5751684142174547</v>
      </c>
      <c r="AH230">
        <f t="shared" si="131"/>
        <v>8.8032583894669898</v>
      </c>
      <c r="AI230">
        <f t="shared" si="131"/>
        <v>9.4283521067819205</v>
      </c>
      <c r="AJ230">
        <f t="shared" si="145"/>
        <v>12.526823632223723</v>
      </c>
      <c r="AK230">
        <f t="shared" si="132"/>
        <v>13.616858640027445</v>
      </c>
      <c r="AL230">
        <f t="shared" si="133"/>
        <v>14.129957414496168</v>
      </c>
      <c r="AM230">
        <f t="shared" si="134"/>
        <v>14.473815317223934</v>
      </c>
      <c r="AN230">
        <f t="shared" si="135"/>
        <v>14.787149546977799</v>
      </c>
      <c r="AO230">
        <f t="shared" si="136"/>
        <v>15.054451368264896</v>
      </c>
      <c r="AP230">
        <f t="shared" si="137"/>
        <v>15.323635789615995</v>
      </c>
      <c r="AQ230">
        <f t="shared" si="138"/>
        <v>15.635087419305858</v>
      </c>
      <c r="AR230">
        <f t="shared" si="139"/>
        <v>16.050963414998385</v>
      </c>
      <c r="AS230">
        <f t="shared" si="140"/>
        <v>17.190695539591264</v>
      </c>
      <c r="AT230">
        <f t="shared" si="141"/>
        <v>22.840132474986248</v>
      </c>
      <c r="AU230">
        <f t="shared" si="146"/>
        <v>-14.568226132920927</v>
      </c>
      <c r="AV230" s="5">
        <f t="shared" si="142"/>
        <v>-2.0414025006972043</v>
      </c>
      <c r="AW230" s="5">
        <f t="shared" si="142"/>
        <v>-0.95136749289348188</v>
      </c>
      <c r="AX230" s="5">
        <f t="shared" si="142"/>
        <v>-0.43826871842475867</v>
      </c>
      <c r="AY230" s="5">
        <f t="shared" si="142"/>
        <v>-9.4410815696992501E-2</v>
      </c>
      <c r="AZ230" s="5">
        <f t="shared" si="142"/>
        <v>0.21892341405687255</v>
      </c>
      <c r="BA230" s="5">
        <f t="shared" si="142"/>
        <v>0.48622523534396933</v>
      </c>
      <c r="BB230" s="5">
        <f t="shared" si="142"/>
        <v>0.75540965669506832</v>
      </c>
      <c r="BC230" s="5">
        <f t="shared" si="142"/>
        <v>1.0668612863849312</v>
      </c>
      <c r="BD230" s="5">
        <f t="shared" si="142"/>
        <v>1.4827372820774585</v>
      </c>
      <c r="BE230" s="5">
        <f t="shared" si="142"/>
        <v>2.6224694066703371</v>
      </c>
      <c r="BG230" s="1"/>
      <c r="BH230" s="1">
        <f t="shared" si="161"/>
        <v>4.5999999999999988</v>
      </c>
      <c r="BI230" s="8">
        <f t="shared" si="160"/>
        <v>27152881.800000001</v>
      </c>
      <c r="BJ230" s="8">
        <f t="shared" si="151"/>
        <v>5957230</v>
      </c>
      <c r="BK230" s="8">
        <f t="shared" si="152"/>
        <v>3414284.7</v>
      </c>
      <c r="BL230" s="8">
        <f t="shared" si="153"/>
        <v>923275.3</v>
      </c>
      <c r="BM230" s="8">
        <f t="shared" si="154"/>
        <v>0</v>
      </c>
      <c r="BN230" s="8">
        <f t="shared" si="155"/>
        <v>0</v>
      </c>
      <c r="BO230" s="8">
        <f t="shared" si="156"/>
        <v>0</v>
      </c>
      <c r="BP230" s="8">
        <f t="shared" si="157"/>
        <v>0</v>
      </c>
      <c r="BQ230" s="8">
        <f t="shared" si="158"/>
        <v>0</v>
      </c>
      <c r="BR230" s="8">
        <f t="shared" si="159"/>
        <v>0</v>
      </c>
      <c r="BS230" s="8">
        <f t="shared" si="147"/>
        <v>37.447671799999995</v>
      </c>
      <c r="BT230" s="8">
        <f t="shared" si="162"/>
        <v>11.819560499999994</v>
      </c>
      <c r="BU230" s="8"/>
    </row>
    <row r="231" spans="1:73" x14ac:dyDescent="0.35">
      <c r="A231" t="s">
        <v>247</v>
      </c>
      <c r="B231">
        <v>3.6</v>
      </c>
      <c r="C231">
        <v>4.71</v>
      </c>
      <c r="D231">
        <v>5.48</v>
      </c>
      <c r="E231">
        <v>6.21</v>
      </c>
      <c r="F231">
        <v>7.0200000000000005</v>
      </c>
      <c r="G231">
        <v>8.0299999999999994</v>
      </c>
      <c r="H231">
        <v>9.34</v>
      </c>
      <c r="I231">
        <v>11.3</v>
      </c>
      <c r="J231">
        <v>14.72</v>
      </c>
      <c r="K231">
        <v>29.6</v>
      </c>
      <c r="L231">
        <f t="shared" si="127"/>
        <v>28.2</v>
      </c>
      <c r="M231">
        <f t="shared" si="128"/>
        <v>15540284</v>
      </c>
      <c r="N231">
        <f t="shared" si="129"/>
        <v>457.22881322240346</v>
      </c>
      <c r="O231">
        <f t="shared" si="144"/>
        <v>-9.5813586948369842</v>
      </c>
      <c r="P231" s="8">
        <f t="shared" si="130"/>
        <v>164.60237276006526</v>
      </c>
      <c r="Q231" s="8">
        <f t="shared" si="130"/>
        <v>215.35477102775204</v>
      </c>
      <c r="R231" s="8">
        <f t="shared" si="130"/>
        <v>250.56138964587711</v>
      </c>
      <c r="S231" s="8">
        <f t="shared" si="130"/>
        <v>283.9390930111125</v>
      </c>
      <c r="T231" s="8">
        <f t="shared" si="130"/>
        <v>320.97462688212727</v>
      </c>
      <c r="U231" s="8">
        <f t="shared" si="130"/>
        <v>367.15473701758998</v>
      </c>
      <c r="V231" s="8">
        <f t="shared" si="130"/>
        <v>427.05171154972487</v>
      </c>
      <c r="W231" s="8">
        <f t="shared" si="130"/>
        <v>516.66855894131595</v>
      </c>
      <c r="X231" s="8">
        <f t="shared" si="130"/>
        <v>673.04081306337798</v>
      </c>
      <c r="Y231" s="8">
        <f t="shared" si="130"/>
        <v>1353.3972871383144</v>
      </c>
      <c r="Z231">
        <f t="shared" si="131"/>
        <v>5.1035327034493081</v>
      </c>
      <c r="AA231">
        <f t="shared" si="131"/>
        <v>5.37228676601557</v>
      </c>
      <c r="AB231">
        <f t="shared" si="131"/>
        <v>5.5237039589471681</v>
      </c>
      <c r="AC231">
        <f t="shared" si="131"/>
        <v>5.6487597539326311</v>
      </c>
      <c r="AD231">
        <f t="shared" si="131"/>
        <v>5.771362076024964</v>
      </c>
      <c r="AE231">
        <f t="shared" si="131"/>
        <v>5.9057833859459139</v>
      </c>
      <c r="AF231">
        <f t="shared" si="131"/>
        <v>6.0569051102279952</v>
      </c>
      <c r="AG231">
        <f t="shared" si="131"/>
        <v>6.247401583705539</v>
      </c>
      <c r="AH231">
        <f t="shared" si="131"/>
        <v>6.5118059712879743</v>
      </c>
      <c r="AI231">
        <f t="shared" si="131"/>
        <v>7.2103732193172592</v>
      </c>
      <c r="AJ231">
        <f t="shared" si="145"/>
        <v>9.3052609711337162</v>
      </c>
      <c r="AK231">
        <f t="shared" si="132"/>
        <v>9.795279715902657</v>
      </c>
      <c r="AL231">
        <f t="shared" si="133"/>
        <v>10.071358380940454</v>
      </c>
      <c r="AM231">
        <f t="shared" si="134"/>
        <v>10.299372361825858</v>
      </c>
      <c r="AN231">
        <f t="shared" si="135"/>
        <v>10.522912930492165</v>
      </c>
      <c r="AO231">
        <f t="shared" si="136"/>
        <v>10.768003036028414</v>
      </c>
      <c r="AP231">
        <f t="shared" si="137"/>
        <v>11.043542973668483</v>
      </c>
      <c r="AQ231">
        <f t="shared" si="138"/>
        <v>11.390874812767143</v>
      </c>
      <c r="AR231">
        <f t="shared" si="139"/>
        <v>11.872962803837421</v>
      </c>
      <c r="AS231">
        <f t="shared" si="140"/>
        <v>13.146659070034721</v>
      </c>
      <c r="AT231">
        <f t="shared" si="141"/>
        <v>16.966263718146163</v>
      </c>
      <c r="AU231">
        <f t="shared" si="146"/>
        <v>-21.129178553927925</v>
      </c>
      <c r="AV231" s="5">
        <f t="shared" si="142"/>
        <v>-11.823917582794209</v>
      </c>
      <c r="AW231" s="5">
        <f t="shared" si="142"/>
        <v>-11.333898838025268</v>
      </c>
      <c r="AX231" s="5">
        <f t="shared" si="142"/>
        <v>-11.057820172987471</v>
      </c>
      <c r="AY231" s="5">
        <f t="shared" si="142"/>
        <v>-10.829806192102067</v>
      </c>
      <c r="AZ231" s="5">
        <f t="shared" si="142"/>
        <v>-10.60626562343576</v>
      </c>
      <c r="BA231" s="5">
        <f t="shared" si="142"/>
        <v>-10.361175517899511</v>
      </c>
      <c r="BB231" s="5">
        <f t="shared" si="142"/>
        <v>-10.085635580259442</v>
      </c>
      <c r="BC231" s="5">
        <f t="shared" si="142"/>
        <v>-9.7383037411607827</v>
      </c>
      <c r="BD231" s="5">
        <f t="shared" si="142"/>
        <v>-9.2562157500905045</v>
      </c>
      <c r="BE231" s="5">
        <f t="shared" si="142"/>
        <v>-7.9825194838932045</v>
      </c>
      <c r="BG231" s="1"/>
      <c r="BH231" s="1">
        <f t="shared" si="161"/>
        <v>4.6999999999999984</v>
      </c>
      <c r="BI231" s="8">
        <f t="shared" si="160"/>
        <v>27152881.800000001</v>
      </c>
      <c r="BJ231" s="8">
        <f t="shared" si="151"/>
        <v>7436702.2000000002</v>
      </c>
      <c r="BK231" s="8">
        <f t="shared" si="152"/>
        <v>3414284.7</v>
      </c>
      <c r="BL231" s="8">
        <f t="shared" si="153"/>
        <v>923275.3</v>
      </c>
      <c r="BM231" s="8">
        <f t="shared" si="154"/>
        <v>923275.3</v>
      </c>
      <c r="BN231" s="8">
        <f t="shared" si="155"/>
        <v>0</v>
      </c>
      <c r="BO231" s="8">
        <f t="shared" si="156"/>
        <v>0</v>
      </c>
      <c r="BP231" s="8">
        <f t="shared" si="157"/>
        <v>0</v>
      </c>
      <c r="BQ231" s="8">
        <f t="shared" si="158"/>
        <v>0</v>
      </c>
      <c r="BR231" s="8">
        <f t="shared" si="159"/>
        <v>0</v>
      </c>
      <c r="BS231" s="8">
        <f t="shared" si="147"/>
        <v>39.850419299999999</v>
      </c>
      <c r="BT231" s="8">
        <f t="shared" si="162"/>
        <v>2.4027475000000038</v>
      </c>
      <c r="BU231" s="8"/>
    </row>
    <row r="232" spans="1:73" x14ac:dyDescent="0.35">
      <c r="A232" t="s">
        <v>357</v>
      </c>
      <c r="B232">
        <v>4.01</v>
      </c>
      <c r="C232">
        <v>4.91</v>
      </c>
      <c r="D232">
        <v>5.61</v>
      </c>
      <c r="E232">
        <v>6.32</v>
      </c>
      <c r="F232">
        <v>7.15</v>
      </c>
      <c r="G232">
        <v>8.16</v>
      </c>
      <c r="H232">
        <v>9.51</v>
      </c>
      <c r="I232">
        <v>11.46</v>
      </c>
      <c r="J232">
        <v>14.91</v>
      </c>
      <c r="K232">
        <v>27.97</v>
      </c>
      <c r="L232">
        <f t="shared" si="127"/>
        <v>19.7</v>
      </c>
      <c r="M232">
        <f t="shared" si="128"/>
        <v>9232753</v>
      </c>
      <c r="N232">
        <f t="shared" si="129"/>
        <v>150.74235337478757</v>
      </c>
      <c r="O232">
        <f t="shared" si="144"/>
        <v>-8.4431305444744424</v>
      </c>
      <c r="P232" s="8">
        <f t="shared" si="130"/>
        <v>60.447683703289819</v>
      </c>
      <c r="Q232" s="8">
        <f t="shared" si="130"/>
        <v>74.014495507020698</v>
      </c>
      <c r="R232" s="8">
        <f t="shared" si="130"/>
        <v>84.566460243255833</v>
      </c>
      <c r="S232" s="8">
        <f t="shared" si="130"/>
        <v>95.269167332865749</v>
      </c>
      <c r="T232" s="8">
        <f t="shared" si="130"/>
        <v>107.78078266297311</v>
      </c>
      <c r="U232" s="8">
        <f t="shared" si="130"/>
        <v>123.00576035382667</v>
      </c>
      <c r="V232" s="8">
        <f t="shared" si="130"/>
        <v>143.35597805942297</v>
      </c>
      <c r="W232" s="8">
        <f t="shared" si="130"/>
        <v>172.75073696750658</v>
      </c>
      <c r="X232" s="8">
        <f t="shared" si="130"/>
        <v>224.75684888180825</v>
      </c>
      <c r="Y232" s="8">
        <f t="shared" si="130"/>
        <v>421.62636238928081</v>
      </c>
      <c r="Z232">
        <f t="shared" si="131"/>
        <v>4.101778258763221</v>
      </c>
      <c r="AA232">
        <f t="shared" si="131"/>
        <v>4.3042609592511729</v>
      </c>
      <c r="AB232">
        <f t="shared" si="131"/>
        <v>4.4375377369793485</v>
      </c>
      <c r="AC232">
        <f t="shared" si="131"/>
        <v>4.5567062256035094</v>
      </c>
      <c r="AD232">
        <f t="shared" si="131"/>
        <v>4.68009937415066</v>
      </c>
      <c r="AE232">
        <f t="shared" si="131"/>
        <v>4.8122311864207594</v>
      </c>
      <c r="AF232">
        <f t="shared" si="131"/>
        <v>4.965330894002042</v>
      </c>
      <c r="AG232">
        <f t="shared" si="131"/>
        <v>5.151849728731337</v>
      </c>
      <c r="AH232">
        <f t="shared" si="131"/>
        <v>5.4150191462213906</v>
      </c>
      <c r="AI232">
        <f t="shared" si="131"/>
        <v>6.0441195246586119</v>
      </c>
      <c r="AJ232">
        <f t="shared" si="145"/>
        <v>7.478764095646464</v>
      </c>
      <c r="AK232">
        <f t="shared" si="132"/>
        <v>7.8479503984807453</v>
      </c>
      <c r="AL232">
        <f t="shared" si="133"/>
        <v>8.0909536807589717</v>
      </c>
      <c r="AM232">
        <f t="shared" si="134"/>
        <v>8.3082333477304271</v>
      </c>
      <c r="AN232">
        <f t="shared" si="135"/>
        <v>8.5332158286901514</v>
      </c>
      <c r="AO232">
        <f t="shared" si="136"/>
        <v>8.7741314977385976</v>
      </c>
      <c r="AP232">
        <f t="shared" si="137"/>
        <v>9.0532778883721363</v>
      </c>
      <c r="AQ232">
        <f t="shared" si="138"/>
        <v>9.3933573066963891</v>
      </c>
      <c r="AR232">
        <f t="shared" si="139"/>
        <v>9.8731935792671699</v>
      </c>
      <c r="AS232">
        <f t="shared" si="140"/>
        <v>11.020231041070998</v>
      </c>
      <c r="AT232">
        <f t="shared" si="141"/>
        <v>13.636015618064008</v>
      </c>
      <c r="AU232">
        <f t="shared" si="146"/>
        <v>-17.924389393812184</v>
      </c>
      <c r="AV232" s="5">
        <f t="shared" si="142"/>
        <v>-10.445625298165719</v>
      </c>
      <c r="AW232" s="5">
        <f t="shared" si="142"/>
        <v>-10.07643899533144</v>
      </c>
      <c r="AX232" s="5">
        <f t="shared" si="142"/>
        <v>-9.8334357130532126</v>
      </c>
      <c r="AY232" s="5">
        <f t="shared" si="142"/>
        <v>-9.6161560460817572</v>
      </c>
      <c r="AZ232" s="5">
        <f t="shared" si="142"/>
        <v>-9.3911735651220329</v>
      </c>
      <c r="BA232" s="5">
        <f t="shared" si="142"/>
        <v>-9.1502578960735867</v>
      </c>
      <c r="BB232" s="5">
        <f t="shared" si="142"/>
        <v>-8.871111505440048</v>
      </c>
      <c r="BC232" s="5">
        <f t="shared" si="142"/>
        <v>-8.5310320871157952</v>
      </c>
      <c r="BD232" s="5">
        <f t="shared" si="142"/>
        <v>-8.0511958145450144</v>
      </c>
      <c r="BE232" s="5">
        <f t="shared" si="142"/>
        <v>-6.9041583527411863</v>
      </c>
      <c r="BG232" s="1"/>
      <c r="BH232" s="1">
        <f t="shared" si="161"/>
        <v>4.799999999999998</v>
      </c>
      <c r="BI232" s="8">
        <f t="shared" si="160"/>
        <v>51695195</v>
      </c>
      <c r="BJ232" s="8">
        <f t="shared" si="151"/>
        <v>16935494.100000001</v>
      </c>
      <c r="BK232" s="8">
        <f t="shared" si="152"/>
        <v>3414284.7</v>
      </c>
      <c r="BL232" s="8">
        <f t="shared" si="153"/>
        <v>2424644.7000000002</v>
      </c>
      <c r="BM232" s="8">
        <f t="shared" si="154"/>
        <v>923275.3</v>
      </c>
      <c r="BN232" s="8">
        <f t="shared" si="155"/>
        <v>0</v>
      </c>
      <c r="BO232" s="8">
        <f t="shared" si="156"/>
        <v>0</v>
      </c>
      <c r="BP232" s="8">
        <f t="shared" si="157"/>
        <v>0</v>
      </c>
      <c r="BQ232" s="8">
        <f t="shared" si="158"/>
        <v>0</v>
      </c>
      <c r="BR232" s="8">
        <f t="shared" si="159"/>
        <v>0</v>
      </c>
      <c r="BS232" s="8">
        <f t="shared" si="147"/>
        <v>75.392893799999996</v>
      </c>
      <c r="BT232" s="8">
        <f t="shared" si="162"/>
        <v>35.542474499999997</v>
      </c>
      <c r="BU232" s="8"/>
    </row>
    <row r="233" spans="1:73" x14ac:dyDescent="0.35">
      <c r="A233" t="s">
        <v>359</v>
      </c>
      <c r="B233">
        <v>3.93</v>
      </c>
      <c r="C233">
        <v>5.12</v>
      </c>
      <c r="D233">
        <v>5.91</v>
      </c>
      <c r="E233">
        <v>6.75</v>
      </c>
      <c r="F233">
        <v>7.62</v>
      </c>
      <c r="G233">
        <v>8.68</v>
      </c>
      <c r="H233">
        <v>9.9700000000000006</v>
      </c>
      <c r="I233">
        <v>11.81</v>
      </c>
      <c r="J233">
        <v>14.98</v>
      </c>
      <c r="K233">
        <v>25.23</v>
      </c>
      <c r="L233">
        <f t="shared" si="127"/>
        <v>26.8</v>
      </c>
      <c r="M233">
        <f t="shared" si="128"/>
        <v>14364931</v>
      </c>
      <c r="N233">
        <f t="shared" si="129"/>
        <v>605.16804679176505</v>
      </c>
      <c r="O233">
        <f t="shared" si="144"/>
        <v>-8.5495496502903858</v>
      </c>
      <c r="P233" s="8">
        <f t="shared" si="130"/>
        <v>237.83104238916366</v>
      </c>
      <c r="Q233" s="8">
        <f t="shared" si="130"/>
        <v>309.84603995738371</v>
      </c>
      <c r="R233" s="8">
        <f t="shared" si="130"/>
        <v>357.65431565393317</v>
      </c>
      <c r="S233" s="8">
        <f t="shared" si="130"/>
        <v>408.4884315844414</v>
      </c>
      <c r="T233" s="8">
        <f t="shared" si="130"/>
        <v>461.13805165532494</v>
      </c>
      <c r="U233" s="8">
        <f t="shared" ref="U233:Y264" si="163">G233*$N233/10</f>
        <v>525.28586461525197</v>
      </c>
      <c r="V233" s="8">
        <f t="shared" si="163"/>
        <v>603.35254265138985</v>
      </c>
      <c r="W233" s="8">
        <f t="shared" si="163"/>
        <v>714.7034632610746</v>
      </c>
      <c r="X233" s="8">
        <f t="shared" si="163"/>
        <v>906.54173409406417</v>
      </c>
      <c r="Y233" s="8">
        <f t="shared" si="163"/>
        <v>1526.8389820556233</v>
      </c>
      <c r="Z233">
        <f t="shared" si="131"/>
        <v>5.4715605156410581</v>
      </c>
      <c r="AA233">
        <f t="shared" si="131"/>
        <v>5.7360755288113046</v>
      </c>
      <c r="AB233">
        <f t="shared" si="131"/>
        <v>5.8795669211778954</v>
      </c>
      <c r="AC233">
        <f t="shared" si="131"/>
        <v>6.0124635946443261</v>
      </c>
      <c r="AD233">
        <f t="shared" si="131"/>
        <v>6.1336974594584426</v>
      </c>
      <c r="AE233">
        <f t="shared" ref="AE233:AI283" si="164">LN(U233)</f>
        <v>6.2639426184321465</v>
      </c>
      <c r="AF233">
        <f t="shared" si="164"/>
        <v>6.4025016737336351</v>
      </c>
      <c r="AG233">
        <f t="shared" si="164"/>
        <v>6.5718677199691591</v>
      </c>
      <c r="AH233">
        <f t="shared" si="164"/>
        <v>6.8096370678489615</v>
      </c>
      <c r="AI233">
        <f t="shared" si="164"/>
        <v>7.3309548524128543</v>
      </c>
      <c r="AJ233">
        <f t="shared" si="145"/>
        <v>9.9762853450473106</v>
      </c>
      <c r="AK233">
        <f t="shared" si="132"/>
        <v>10.458575039530594</v>
      </c>
      <c r="AL233">
        <f t="shared" si="133"/>
        <v>10.720202608249815</v>
      </c>
      <c r="AM233">
        <f t="shared" si="134"/>
        <v>10.962512847187812</v>
      </c>
      <c r="AN233">
        <f t="shared" si="135"/>
        <v>11.183558310435661</v>
      </c>
      <c r="AO233">
        <f t="shared" si="136"/>
        <v>11.421034048302097</v>
      </c>
      <c r="AP233">
        <f t="shared" si="137"/>
        <v>11.673668496715189</v>
      </c>
      <c r="AQ233">
        <f t="shared" si="138"/>
        <v>11.982473270084329</v>
      </c>
      <c r="AR233">
        <f t="shared" si="139"/>
        <v>12.415997646534876</v>
      </c>
      <c r="AS233">
        <f t="shared" si="140"/>
        <v>13.366515320494653</v>
      </c>
      <c r="AT233">
        <f t="shared" si="141"/>
        <v>18.189741117054073</v>
      </c>
      <c r="AU233">
        <f t="shared" si="146"/>
        <v>-20.505446301486462</v>
      </c>
      <c r="AV233" s="5">
        <f t="shared" si="142"/>
        <v>-10.529160956439151</v>
      </c>
      <c r="AW233" s="5">
        <f t="shared" si="142"/>
        <v>-10.046871261955868</v>
      </c>
      <c r="AX233" s="5">
        <f t="shared" si="142"/>
        <v>-9.7852436932366462</v>
      </c>
      <c r="AY233" s="5">
        <f t="shared" si="142"/>
        <v>-9.5429334542986499</v>
      </c>
      <c r="AZ233" s="5">
        <f t="shared" si="142"/>
        <v>-9.3218879910508008</v>
      </c>
      <c r="BA233" s="5">
        <f t="shared" ref="BA233:BE264" si="165">AO233+$AU233</f>
        <v>-9.0844122531843645</v>
      </c>
      <c r="BB233" s="5">
        <f t="shared" si="165"/>
        <v>-8.8317778047712725</v>
      </c>
      <c r="BC233" s="5">
        <f t="shared" si="165"/>
        <v>-8.5229730314021328</v>
      </c>
      <c r="BD233" s="5">
        <f t="shared" si="165"/>
        <v>-8.0894486549515854</v>
      </c>
      <c r="BE233" s="5">
        <f t="shared" si="165"/>
        <v>-7.1389309809918089</v>
      </c>
      <c r="BG233" s="1"/>
      <c r="BH233" s="1">
        <f t="shared" si="161"/>
        <v>4.8999999999999977</v>
      </c>
      <c r="BI233" s="8">
        <f t="shared" si="160"/>
        <v>58391655.899999999</v>
      </c>
      <c r="BJ233" s="8">
        <f t="shared" si="151"/>
        <v>22229293</v>
      </c>
      <c r="BK233" s="8">
        <f t="shared" si="152"/>
        <v>7436702.2000000002</v>
      </c>
      <c r="BL233" s="8">
        <f t="shared" si="153"/>
        <v>2424644.7000000002</v>
      </c>
      <c r="BM233" s="8">
        <f t="shared" si="154"/>
        <v>2424644.7000000002</v>
      </c>
      <c r="BN233" s="8">
        <f t="shared" si="155"/>
        <v>923275.3</v>
      </c>
      <c r="BO233" s="8">
        <f t="shared" si="156"/>
        <v>0</v>
      </c>
      <c r="BP233" s="8">
        <f t="shared" si="157"/>
        <v>0</v>
      </c>
      <c r="BQ233" s="8">
        <f t="shared" si="158"/>
        <v>0</v>
      </c>
      <c r="BR233" s="8">
        <f t="shared" si="159"/>
        <v>0</v>
      </c>
      <c r="BS233" s="8">
        <f t="shared" si="147"/>
        <v>93.830215800000005</v>
      </c>
      <c r="BT233" s="8">
        <f t="shared" si="162"/>
        <v>18.437322000000009</v>
      </c>
      <c r="BU233" s="8"/>
    </row>
    <row r="234" spans="1:73" x14ac:dyDescent="0.35">
      <c r="A234" t="s">
        <v>130</v>
      </c>
      <c r="B234">
        <v>1.73</v>
      </c>
      <c r="C234">
        <v>2.8000000000000003</v>
      </c>
      <c r="D234">
        <v>3.7</v>
      </c>
      <c r="E234">
        <v>4.79</v>
      </c>
      <c r="F234">
        <v>6.1000000000000005</v>
      </c>
      <c r="G234">
        <v>7.62</v>
      </c>
      <c r="H234">
        <v>9.5400000000000009</v>
      </c>
      <c r="I234">
        <v>12.09</v>
      </c>
      <c r="J234">
        <v>16.670000000000002</v>
      </c>
      <c r="K234">
        <v>34.96</v>
      </c>
      <c r="L234">
        <f t="shared" si="127"/>
        <v>24.6</v>
      </c>
      <c r="M234">
        <f t="shared" si="128"/>
        <v>20624343</v>
      </c>
      <c r="N234">
        <f t="shared" si="129"/>
        <v>931.41534703166633</v>
      </c>
      <c r="O234">
        <f t="shared" si="144"/>
        <v>-6.9451053080058998</v>
      </c>
      <c r="P234" s="8">
        <f t="shared" ref="P234:Y265" si="166">B234*$N234/10</f>
        <v>161.13485503647829</v>
      </c>
      <c r="Q234" s="8">
        <f t="shared" si="166"/>
        <v>260.7962971688666</v>
      </c>
      <c r="R234" s="8">
        <f t="shared" si="166"/>
        <v>344.62367840171657</v>
      </c>
      <c r="S234" s="8">
        <f t="shared" si="166"/>
        <v>446.14795122816815</v>
      </c>
      <c r="T234" s="8">
        <f t="shared" si="166"/>
        <v>568.1633616893165</v>
      </c>
      <c r="U234" s="8">
        <f t="shared" si="163"/>
        <v>709.73849443812981</v>
      </c>
      <c r="V234" s="8">
        <f t="shared" si="163"/>
        <v>888.57024106820973</v>
      </c>
      <c r="W234" s="8">
        <f t="shared" si="163"/>
        <v>1126.0811545612846</v>
      </c>
      <c r="X234" s="8">
        <f t="shared" si="163"/>
        <v>1552.6693835017879</v>
      </c>
      <c r="Y234" s="8">
        <f t="shared" si="163"/>
        <v>3256.2280532227055</v>
      </c>
      <c r="Z234">
        <f t="shared" ref="Z234:AD265" si="167">LN(P234)</f>
        <v>5.0822416233080974</v>
      </c>
      <c r="AA234">
        <f t="shared" si="167"/>
        <v>5.5637396319795682</v>
      </c>
      <c r="AB234">
        <f t="shared" si="167"/>
        <v>5.8424530344485888</v>
      </c>
      <c r="AC234">
        <f t="shared" si="167"/>
        <v>6.1006506262212339</v>
      </c>
      <c r="AD234">
        <f t="shared" si="167"/>
        <v>6.3424089859776753</v>
      </c>
      <c r="AE234">
        <f t="shared" si="164"/>
        <v>6.5648965844969647</v>
      </c>
      <c r="AF234">
        <f t="shared" si="164"/>
        <v>6.789613700258605</v>
      </c>
      <c r="AG234">
        <f t="shared" si="164"/>
        <v>7.0264988794251115</v>
      </c>
      <c r="AH234">
        <f t="shared" si="164"/>
        <v>7.3477309115611131</v>
      </c>
      <c r="AI234">
        <f t="shared" si="164"/>
        <v>8.0883247655857442</v>
      </c>
      <c r="AJ234">
        <f t="shared" si="145"/>
        <v>9.2664409872944073</v>
      </c>
      <c r="AK234">
        <f t="shared" si="132"/>
        <v>10.144355343509083</v>
      </c>
      <c r="AL234">
        <f t="shared" si="133"/>
        <v>10.652532932804043</v>
      </c>
      <c r="AM234">
        <f t="shared" si="134"/>
        <v>11.123304085487923</v>
      </c>
      <c r="AN234">
        <f t="shared" si="135"/>
        <v>11.564101619315124</v>
      </c>
      <c r="AO234">
        <f t="shared" si="136"/>
        <v>11.969762812720147</v>
      </c>
      <c r="AP234">
        <f t="shared" si="137"/>
        <v>12.379489080454114</v>
      </c>
      <c r="AQ234">
        <f t="shared" si="138"/>
        <v>12.811401353858047</v>
      </c>
      <c r="AR234">
        <f t="shared" si="139"/>
        <v>13.397103075587555</v>
      </c>
      <c r="AS234">
        <f t="shared" si="140"/>
        <v>14.747426368442957</v>
      </c>
      <c r="AT234">
        <f t="shared" si="141"/>
        <v>16.89548331925192</v>
      </c>
      <c r="AU234">
        <f t="shared" si="146"/>
        <v>-20.052811819085335</v>
      </c>
      <c r="AV234" s="5">
        <f t="shared" ref="AV234:BE265" si="168">AJ234+$AU234</f>
        <v>-10.786370831790927</v>
      </c>
      <c r="AW234" s="5">
        <f t="shared" si="168"/>
        <v>-9.9084564755762514</v>
      </c>
      <c r="AX234" s="5">
        <f t="shared" si="168"/>
        <v>-9.400278886281292</v>
      </c>
      <c r="AY234" s="5">
        <f t="shared" si="168"/>
        <v>-8.9295077335974113</v>
      </c>
      <c r="AZ234" s="5">
        <f t="shared" si="168"/>
        <v>-8.4887101997702104</v>
      </c>
      <c r="BA234" s="5">
        <f t="shared" si="165"/>
        <v>-8.0830490063651883</v>
      </c>
      <c r="BB234" s="5">
        <f t="shared" si="165"/>
        <v>-7.6733227386312208</v>
      </c>
      <c r="BC234" s="5">
        <f t="shared" si="165"/>
        <v>-7.2414104652272879</v>
      </c>
      <c r="BD234" s="5">
        <f t="shared" si="165"/>
        <v>-6.6557087434977795</v>
      </c>
      <c r="BE234" s="5">
        <f t="shared" si="165"/>
        <v>-5.3053854506423779</v>
      </c>
      <c r="BG234" s="1"/>
      <c r="BH234" s="1">
        <f t="shared" si="161"/>
        <v>4.9999999999999973</v>
      </c>
      <c r="BI234" s="8">
        <f t="shared" si="160"/>
        <v>63839968.700000003</v>
      </c>
      <c r="BJ234" s="8">
        <f t="shared" si="151"/>
        <v>23484960.300000001</v>
      </c>
      <c r="BK234" s="8">
        <f t="shared" si="152"/>
        <v>16146230.300000001</v>
      </c>
      <c r="BL234" s="8">
        <f t="shared" si="153"/>
        <v>3414284.7</v>
      </c>
      <c r="BM234" s="8">
        <f t="shared" si="154"/>
        <v>2424644.7000000002</v>
      </c>
      <c r="BN234" s="8">
        <f t="shared" si="155"/>
        <v>923275.3</v>
      </c>
      <c r="BO234" s="8">
        <f t="shared" si="156"/>
        <v>923275.3</v>
      </c>
      <c r="BP234" s="8">
        <f t="shared" si="157"/>
        <v>0</v>
      </c>
      <c r="BQ234" s="8">
        <f t="shared" si="158"/>
        <v>0</v>
      </c>
      <c r="BR234" s="8">
        <f t="shared" si="159"/>
        <v>0</v>
      </c>
      <c r="BS234" s="8">
        <f t="shared" si="147"/>
        <v>111.15663929999999</v>
      </c>
      <c r="BT234" s="8">
        <f t="shared" si="162"/>
        <v>17.32642349999999</v>
      </c>
      <c r="BU234" s="8"/>
    </row>
    <row r="235" spans="1:73" x14ac:dyDescent="0.35">
      <c r="A235" t="s">
        <v>131</v>
      </c>
      <c r="B235">
        <v>2.68</v>
      </c>
      <c r="C235">
        <v>4.42</v>
      </c>
      <c r="D235">
        <v>5.66</v>
      </c>
      <c r="E235">
        <v>6.73</v>
      </c>
      <c r="F235">
        <v>7.82</v>
      </c>
      <c r="G235">
        <v>8.9700000000000006</v>
      </c>
      <c r="H235">
        <v>10.44</v>
      </c>
      <c r="I235">
        <v>12.31</v>
      </c>
      <c r="J235">
        <v>15.23</v>
      </c>
      <c r="K235">
        <v>25.740000000000002</v>
      </c>
      <c r="L235">
        <f t="shared" si="127"/>
        <v>-5.4</v>
      </c>
      <c r="M235">
        <f t="shared" si="128"/>
        <v>34126547</v>
      </c>
      <c r="N235">
        <f t="shared" si="129"/>
        <v>36337.22567382102</v>
      </c>
      <c r="O235">
        <f t="shared" si="144"/>
        <v>3.7951625258076156</v>
      </c>
      <c r="P235" s="8">
        <f t="shared" si="166"/>
        <v>9738.3764805840347</v>
      </c>
      <c r="Q235" s="8">
        <f t="shared" si="166"/>
        <v>16061.05374782889</v>
      </c>
      <c r="R235" s="8">
        <f t="shared" si="166"/>
        <v>20566.869731382696</v>
      </c>
      <c r="S235" s="8">
        <f t="shared" si="166"/>
        <v>24454.952878481548</v>
      </c>
      <c r="T235" s="8">
        <f t="shared" si="166"/>
        <v>28415.710476928041</v>
      </c>
      <c r="U235" s="8">
        <f t="shared" si="163"/>
        <v>32594.49142941746</v>
      </c>
      <c r="V235" s="8">
        <f t="shared" si="163"/>
        <v>37936.063603469142</v>
      </c>
      <c r="W235" s="8">
        <f t="shared" si="163"/>
        <v>44731.124804473679</v>
      </c>
      <c r="X235" s="8">
        <f t="shared" si="163"/>
        <v>55341.59470122942</v>
      </c>
      <c r="Y235" s="8">
        <f t="shared" si="163"/>
        <v>93532.018884415302</v>
      </c>
      <c r="Z235">
        <f t="shared" si="167"/>
        <v>9.1838296969713031</v>
      </c>
      <c r="AA235">
        <f t="shared" si="167"/>
        <v>9.6841525985381445</v>
      </c>
      <c r="AB235">
        <f t="shared" si="167"/>
        <v>9.9314367946636306</v>
      </c>
      <c r="AC235">
        <f t="shared" si="167"/>
        <v>10.104588046105174</v>
      </c>
      <c r="AD235">
        <f t="shared" si="167"/>
        <v>10.254697457005758</v>
      </c>
      <c r="AE235">
        <f t="shared" si="164"/>
        <v>10.391898578519243</v>
      </c>
      <c r="AF235">
        <f t="shared" si="164"/>
        <v>10.543657484903031</v>
      </c>
      <c r="AG235">
        <f t="shared" si="164"/>
        <v>10.7084248426449</v>
      </c>
      <c r="AH235">
        <f t="shared" si="164"/>
        <v>10.921280069355609</v>
      </c>
      <c r="AI235">
        <f t="shared" si="164"/>
        <v>11.44605910461652</v>
      </c>
      <c r="AJ235">
        <f t="shared" si="145"/>
        <v>16.744858318828385</v>
      </c>
      <c r="AK235">
        <f t="shared" si="132"/>
        <v>17.657096064609402</v>
      </c>
      <c r="AL235">
        <f t="shared" si="133"/>
        <v>18.107968844836609</v>
      </c>
      <c r="AM235">
        <f t="shared" si="134"/>
        <v>18.423675175287475</v>
      </c>
      <c r="AN235">
        <f t="shared" si="135"/>
        <v>18.697369363963684</v>
      </c>
      <c r="AO235">
        <f t="shared" si="136"/>
        <v>18.947527894416979</v>
      </c>
      <c r="AP235">
        <f t="shared" si="137"/>
        <v>19.224229604908729</v>
      </c>
      <c r="AQ235">
        <f t="shared" si="138"/>
        <v>19.524649598744762</v>
      </c>
      <c r="AR235">
        <f t="shared" si="139"/>
        <v>19.912748107895943</v>
      </c>
      <c r="AS235">
        <f t="shared" si="140"/>
        <v>20.869576673329092</v>
      </c>
      <c r="AT235">
        <f t="shared" si="141"/>
        <v>30.530866683003158</v>
      </c>
      <c r="AU235">
        <f t="shared" si="146"/>
        <v>-15.675629744403896</v>
      </c>
      <c r="AV235" s="5">
        <f t="shared" si="168"/>
        <v>1.0692285744244892</v>
      </c>
      <c r="AW235" s="5">
        <f t="shared" si="168"/>
        <v>1.9814663202055058</v>
      </c>
      <c r="AX235" s="5">
        <f t="shared" si="168"/>
        <v>2.4323391004327135</v>
      </c>
      <c r="AY235" s="5">
        <f t="shared" si="168"/>
        <v>2.7480454308835789</v>
      </c>
      <c r="AZ235" s="5">
        <f t="shared" si="168"/>
        <v>3.0217396195597885</v>
      </c>
      <c r="BA235" s="5">
        <f t="shared" si="165"/>
        <v>3.271898150013083</v>
      </c>
      <c r="BB235" s="5">
        <f t="shared" si="165"/>
        <v>3.548599860504833</v>
      </c>
      <c r="BC235" s="5">
        <f t="shared" si="165"/>
        <v>3.8490198543408667</v>
      </c>
      <c r="BD235" s="5">
        <f t="shared" si="165"/>
        <v>4.2371183634920477</v>
      </c>
      <c r="BE235" s="5">
        <f t="shared" si="165"/>
        <v>5.1939469289251967</v>
      </c>
      <c r="BG235" s="1"/>
      <c r="BH235" s="1">
        <f t="shared" si="161"/>
        <v>5.099999999999997</v>
      </c>
      <c r="BI235" s="8">
        <f t="shared" si="160"/>
        <v>67351030.099999994</v>
      </c>
      <c r="BJ235" s="8">
        <f t="shared" si="151"/>
        <v>26951989.699999999</v>
      </c>
      <c r="BK235" s="8">
        <f t="shared" si="152"/>
        <v>20921595.199999999</v>
      </c>
      <c r="BL235" s="8">
        <f t="shared" si="153"/>
        <v>15711238.199999999</v>
      </c>
      <c r="BM235" s="8">
        <f t="shared" si="154"/>
        <v>2424644.7000000002</v>
      </c>
      <c r="BN235" s="8">
        <f t="shared" si="155"/>
        <v>2424644.7000000002</v>
      </c>
      <c r="BO235" s="8">
        <f t="shared" si="156"/>
        <v>923275.3</v>
      </c>
      <c r="BP235" s="8">
        <f t="shared" si="157"/>
        <v>0</v>
      </c>
      <c r="BQ235" s="8">
        <f t="shared" si="158"/>
        <v>0</v>
      </c>
      <c r="BR235" s="8">
        <f t="shared" si="159"/>
        <v>0</v>
      </c>
      <c r="BS235" s="8">
        <f t="shared" si="147"/>
        <v>136.7084179</v>
      </c>
      <c r="BT235" s="8">
        <f t="shared" si="162"/>
        <v>25.551778600000006</v>
      </c>
      <c r="BU235" s="8"/>
    </row>
    <row r="236" spans="1:73" x14ac:dyDescent="0.35">
      <c r="A236" t="s">
        <v>360</v>
      </c>
      <c r="B236">
        <v>1.95</v>
      </c>
      <c r="C236">
        <v>3.02</v>
      </c>
      <c r="D236">
        <v>3.87</v>
      </c>
      <c r="E236">
        <v>4.87</v>
      </c>
      <c r="F236">
        <v>5.91</v>
      </c>
      <c r="G236">
        <v>7.13</v>
      </c>
      <c r="H236">
        <v>8.7100000000000009</v>
      </c>
      <c r="I236">
        <v>11.26</v>
      </c>
      <c r="J236">
        <v>16.13</v>
      </c>
      <c r="K236">
        <v>37.14</v>
      </c>
      <c r="L236">
        <f t="shared" si="127"/>
        <v>23.3</v>
      </c>
      <c r="M236">
        <f t="shared" si="128"/>
        <v>487601</v>
      </c>
      <c r="N236">
        <f t="shared" si="129"/>
        <v>2648.6619630548216</v>
      </c>
      <c r="O236">
        <f t="shared" si="144"/>
        <v>-4.556062886544316</v>
      </c>
      <c r="P236" s="8">
        <f t="shared" si="166"/>
        <v>516.48908279569025</v>
      </c>
      <c r="Q236" s="8">
        <f t="shared" si="166"/>
        <v>799.89591284255607</v>
      </c>
      <c r="R236" s="8">
        <f t="shared" si="166"/>
        <v>1025.0321797022159</v>
      </c>
      <c r="S236" s="8">
        <f t="shared" si="166"/>
        <v>1289.8983760076983</v>
      </c>
      <c r="T236" s="8">
        <f t="shared" si="166"/>
        <v>1565.3592201653996</v>
      </c>
      <c r="U236" s="8">
        <f t="shared" si="163"/>
        <v>1888.4959796580879</v>
      </c>
      <c r="V236" s="8">
        <f t="shared" si="163"/>
        <v>2306.98456982075</v>
      </c>
      <c r="W236" s="8">
        <f t="shared" si="163"/>
        <v>2982.3933703997291</v>
      </c>
      <c r="X236" s="8">
        <f t="shared" si="163"/>
        <v>4272.2917464074271</v>
      </c>
      <c r="Y236" s="8">
        <f t="shared" si="163"/>
        <v>9837.1305307856073</v>
      </c>
      <c r="Z236">
        <f t="shared" si="167"/>
        <v>6.2470541514450968</v>
      </c>
      <c r="AA236">
        <f t="shared" si="167"/>
        <v>6.6844816102562188</v>
      </c>
      <c r="AB236">
        <f t="shared" si="167"/>
        <v>6.9324792859111311</v>
      </c>
      <c r="AC236">
        <f t="shared" si="167"/>
        <v>7.1623187159639397</v>
      </c>
      <c r="AD236">
        <f t="shared" si="167"/>
        <v>7.3558706102874476</v>
      </c>
      <c r="AE236">
        <f t="shared" si="164"/>
        <v>7.5435360132956459</v>
      </c>
      <c r="AF236">
        <f t="shared" si="164"/>
        <v>7.7436965697338529</v>
      </c>
      <c r="AG236">
        <f t="shared" si="164"/>
        <v>8.000481401580986</v>
      </c>
      <c r="AH236">
        <f t="shared" si="164"/>
        <v>8.3599056710065582</v>
      </c>
      <c r="AI236">
        <f t="shared" si="164"/>
        <v>9.1939193347939998</v>
      </c>
      <c r="AJ236">
        <f t="shared" si="145"/>
        <v>11.390241340221543</v>
      </c>
      <c r="AK236">
        <f t="shared" si="132"/>
        <v>12.187801951016944</v>
      </c>
      <c r="AL236">
        <f t="shared" si="133"/>
        <v>12.639975617043193</v>
      </c>
      <c r="AM236">
        <f t="shared" si="134"/>
        <v>13.059041390179621</v>
      </c>
      <c r="AN236">
        <f t="shared" si="135"/>
        <v>13.411944171995883</v>
      </c>
      <c r="AO236">
        <f t="shared" si="136"/>
        <v>13.754114125969926</v>
      </c>
      <c r="AP236">
        <f t="shared" si="137"/>
        <v>14.119066468202595</v>
      </c>
      <c r="AQ236">
        <f t="shared" si="138"/>
        <v>14.587261738539809</v>
      </c>
      <c r="AR236">
        <f t="shared" si="139"/>
        <v>15.242599290134917</v>
      </c>
      <c r="AS236">
        <f t="shared" si="140"/>
        <v>16.76325473529123</v>
      </c>
      <c r="AT236">
        <f t="shared" si="141"/>
        <v>20.767804255143261</v>
      </c>
      <c r="AU236">
        <f t="shared" si="146"/>
        <v>-19.603005951059686</v>
      </c>
      <c r="AV236" s="5">
        <f t="shared" si="168"/>
        <v>-8.2127646108381427</v>
      </c>
      <c r="AW236" s="5">
        <f t="shared" si="168"/>
        <v>-7.4152040000427419</v>
      </c>
      <c r="AX236" s="5">
        <f t="shared" si="168"/>
        <v>-6.9630303340164925</v>
      </c>
      <c r="AY236" s="5">
        <f t="shared" si="168"/>
        <v>-6.543964560880065</v>
      </c>
      <c r="AZ236" s="5">
        <f t="shared" si="168"/>
        <v>-6.1910617790638032</v>
      </c>
      <c r="BA236" s="5">
        <f t="shared" si="165"/>
        <v>-5.8488918250897601</v>
      </c>
      <c r="BB236" s="5">
        <f t="shared" si="165"/>
        <v>-5.4839394828570907</v>
      </c>
      <c r="BC236" s="5">
        <f t="shared" si="165"/>
        <v>-5.015744212519877</v>
      </c>
      <c r="BD236" s="5">
        <f t="shared" si="165"/>
        <v>-4.3604066609247685</v>
      </c>
      <c r="BE236" s="5">
        <f t="shared" si="165"/>
        <v>-2.8397512157684552</v>
      </c>
      <c r="BG236" s="1"/>
      <c r="BH236" s="1">
        <f t="shared" si="161"/>
        <v>5.1999999999999966</v>
      </c>
      <c r="BI236" s="8">
        <f t="shared" si="160"/>
        <v>72963433.799999997</v>
      </c>
      <c r="BJ236" s="8">
        <f t="shared" si="151"/>
        <v>33140697.300000001</v>
      </c>
      <c r="BK236" s="8">
        <f t="shared" si="152"/>
        <v>23316896.300000001</v>
      </c>
      <c r="BL236" s="8">
        <f t="shared" si="153"/>
        <v>17735604.899999999</v>
      </c>
      <c r="BM236" s="8">
        <f t="shared" si="154"/>
        <v>13242126</v>
      </c>
      <c r="BN236" s="8">
        <f t="shared" si="155"/>
        <v>2424644.7000000002</v>
      </c>
      <c r="BO236" s="8">
        <f t="shared" si="156"/>
        <v>923275.3</v>
      </c>
      <c r="BP236" s="8">
        <f t="shared" si="157"/>
        <v>923275.3</v>
      </c>
      <c r="BQ236" s="8">
        <f t="shared" si="158"/>
        <v>0</v>
      </c>
      <c r="BR236" s="8">
        <f t="shared" si="159"/>
        <v>0</v>
      </c>
      <c r="BS236" s="8">
        <f t="shared" si="147"/>
        <v>164.66995359999999</v>
      </c>
      <c r="BT236" s="8">
        <f t="shared" si="162"/>
        <v>27.961535699999985</v>
      </c>
      <c r="BU236" s="8"/>
    </row>
    <row r="237" spans="1:73" x14ac:dyDescent="0.35">
      <c r="A237" t="s">
        <v>361</v>
      </c>
      <c r="B237">
        <v>1.21</v>
      </c>
      <c r="C237">
        <v>2.12</v>
      </c>
      <c r="D237">
        <v>3.02</v>
      </c>
      <c r="E237">
        <v>3.97</v>
      </c>
      <c r="F237">
        <v>5.01</v>
      </c>
      <c r="G237">
        <v>6.11</v>
      </c>
      <c r="H237">
        <v>7.65</v>
      </c>
      <c r="I237">
        <v>10.06</v>
      </c>
      <c r="J237">
        <v>14.63</v>
      </c>
      <c r="K237">
        <v>46.22</v>
      </c>
      <c r="L237">
        <f t="shared" si="127"/>
        <v>24.9</v>
      </c>
      <c r="M237">
        <f t="shared" si="128"/>
        <v>4349921</v>
      </c>
      <c r="N237">
        <f t="shared" si="129"/>
        <v>435.73292134870741</v>
      </c>
      <c r="O237">
        <f t="shared" si="144"/>
        <v>-8.4417988673445912</v>
      </c>
      <c r="P237" s="8">
        <f t="shared" si="166"/>
        <v>52.723683483193597</v>
      </c>
      <c r="Q237" s="8">
        <f t="shared" si="166"/>
        <v>92.375379325925977</v>
      </c>
      <c r="R237" s="8">
        <f t="shared" si="166"/>
        <v>131.59134224730965</v>
      </c>
      <c r="S237" s="8">
        <f t="shared" si="166"/>
        <v>172.98596977543684</v>
      </c>
      <c r="T237" s="8">
        <f t="shared" si="166"/>
        <v>218.30219359570242</v>
      </c>
      <c r="U237" s="8">
        <f t="shared" si="163"/>
        <v>266.23281494406024</v>
      </c>
      <c r="V237" s="8">
        <f t="shared" si="163"/>
        <v>333.33568483176117</v>
      </c>
      <c r="W237" s="8">
        <f t="shared" si="163"/>
        <v>438.34731887679965</v>
      </c>
      <c r="X237" s="8">
        <f t="shared" si="163"/>
        <v>637.47726393315895</v>
      </c>
      <c r="Y237" s="8">
        <f t="shared" si="163"/>
        <v>2013.9575624737256</v>
      </c>
      <c r="Z237">
        <f t="shared" si="167"/>
        <v>3.9650647565546331</v>
      </c>
      <c r="AA237">
        <f t="shared" si="167"/>
        <v>4.525860485629905</v>
      </c>
      <c r="AB237">
        <f t="shared" si="167"/>
        <v>4.8797012283327623</v>
      </c>
      <c r="AC237">
        <f t="shared" si="167"/>
        <v>5.1532104916450825</v>
      </c>
      <c r="AD237">
        <f t="shared" si="167"/>
        <v>5.3858803120427572</v>
      </c>
      <c r="AE237">
        <f t="shared" si="164"/>
        <v>5.5843711701294874</v>
      </c>
      <c r="AF237">
        <f t="shared" si="164"/>
        <v>5.8091500447844284</v>
      </c>
      <c r="AG237">
        <f t="shared" si="164"/>
        <v>6.0830115616175764</v>
      </c>
      <c r="AH237">
        <f t="shared" si="164"/>
        <v>6.4575186119780161</v>
      </c>
      <c r="AI237">
        <f t="shared" si="164"/>
        <v>7.607857001792218</v>
      </c>
      <c r="AJ237">
        <f t="shared" si="145"/>
        <v>7.2294946404965499</v>
      </c>
      <c r="AK237">
        <f t="shared" si="132"/>
        <v>8.2519923717280346</v>
      </c>
      <c r="AL237">
        <f t="shared" si="133"/>
        <v>8.8971494902166697</v>
      </c>
      <c r="AM237">
        <f t="shared" si="134"/>
        <v>9.3958383829954961</v>
      </c>
      <c r="AN237">
        <f t="shared" si="135"/>
        <v>9.8200648011869358</v>
      </c>
      <c r="AO237">
        <f t="shared" si="136"/>
        <v>10.181972785754754</v>
      </c>
      <c r="AP237">
        <f t="shared" si="137"/>
        <v>10.591811658355359</v>
      </c>
      <c r="AQ237">
        <f t="shared" si="138"/>
        <v>11.091142814274205</v>
      </c>
      <c r="AR237">
        <f t="shared" si="139"/>
        <v>11.773980770182293</v>
      </c>
      <c r="AS237">
        <f t="shared" si="140"/>
        <v>13.871390455653748</v>
      </c>
      <c r="AT237">
        <f t="shared" si="141"/>
        <v>13.181523119028078</v>
      </c>
      <c r="AU237">
        <f t="shared" si="146"/>
        <v>-20.519963087194782</v>
      </c>
      <c r="AV237" s="5">
        <f t="shared" si="168"/>
        <v>-13.290468446698231</v>
      </c>
      <c r="AW237" s="5">
        <f t="shared" si="168"/>
        <v>-12.267970715466747</v>
      </c>
      <c r="AX237" s="5">
        <f t="shared" si="168"/>
        <v>-11.622813596978112</v>
      </c>
      <c r="AY237" s="5">
        <f t="shared" si="168"/>
        <v>-11.124124704199286</v>
      </c>
      <c r="AZ237" s="5">
        <f t="shared" si="168"/>
        <v>-10.699898286007846</v>
      </c>
      <c r="BA237" s="5">
        <f t="shared" si="165"/>
        <v>-10.337990301440028</v>
      </c>
      <c r="BB237" s="5">
        <f t="shared" si="165"/>
        <v>-9.9281514288394224</v>
      </c>
      <c r="BC237" s="5">
        <f t="shared" si="165"/>
        <v>-9.4288202729205768</v>
      </c>
      <c r="BD237" s="5">
        <f t="shared" si="165"/>
        <v>-8.7459823170124888</v>
      </c>
      <c r="BE237" s="5">
        <f t="shared" si="165"/>
        <v>-6.6485726315410343</v>
      </c>
      <c r="BG237" s="1"/>
      <c r="BH237" s="1">
        <f t="shared" si="161"/>
        <v>5.2999999999999963</v>
      </c>
      <c r="BI237" s="8">
        <f t="shared" si="160"/>
        <v>75034109.799999997</v>
      </c>
      <c r="BJ237" s="8">
        <f t="shared" si="151"/>
        <v>56386159.200000003</v>
      </c>
      <c r="BK237" s="8">
        <f t="shared" si="152"/>
        <v>26951989.699999999</v>
      </c>
      <c r="BL237" s="8">
        <f t="shared" si="153"/>
        <v>22009198.5</v>
      </c>
      <c r="BM237" s="8">
        <f t="shared" si="154"/>
        <v>15711238.199999999</v>
      </c>
      <c r="BN237" s="8">
        <f t="shared" si="155"/>
        <v>2424644.7000000002</v>
      </c>
      <c r="BO237" s="8">
        <f t="shared" si="156"/>
        <v>2424644.7000000002</v>
      </c>
      <c r="BP237" s="8">
        <f t="shared" si="157"/>
        <v>923275.3</v>
      </c>
      <c r="BQ237" s="8">
        <f t="shared" si="158"/>
        <v>0</v>
      </c>
      <c r="BR237" s="8">
        <f t="shared" si="159"/>
        <v>0</v>
      </c>
      <c r="BS237" s="8">
        <f t="shared" si="147"/>
        <v>201.86526009999997</v>
      </c>
      <c r="BT237" s="8">
        <f t="shared" si="162"/>
        <v>37.195306499999987</v>
      </c>
      <c r="BU237" s="8"/>
    </row>
    <row r="238" spans="1:73" x14ac:dyDescent="0.35">
      <c r="A238" t="s">
        <v>362</v>
      </c>
      <c r="B238">
        <v>1.78</v>
      </c>
      <c r="C238">
        <v>3.08</v>
      </c>
      <c r="D238">
        <v>4.25</v>
      </c>
      <c r="E238">
        <v>5.46</v>
      </c>
      <c r="F238">
        <v>6.72</v>
      </c>
      <c r="G238">
        <v>8.08</v>
      </c>
      <c r="H238">
        <v>9.66</v>
      </c>
      <c r="I238">
        <v>12.17</v>
      </c>
      <c r="J238">
        <v>16.37</v>
      </c>
      <c r="K238">
        <v>32.44</v>
      </c>
      <c r="L238">
        <f t="shared" si="127"/>
        <v>26.5</v>
      </c>
      <c r="M238">
        <f t="shared" si="128"/>
        <v>11720781</v>
      </c>
      <c r="N238">
        <f t="shared" si="129"/>
        <v>718.82339344639706</v>
      </c>
      <c r="O238">
        <f t="shared" si="144"/>
        <v>-8.1241645525907717</v>
      </c>
      <c r="P238" s="8">
        <f t="shared" si="166"/>
        <v>127.95056403345868</v>
      </c>
      <c r="Q238" s="8">
        <f t="shared" si="166"/>
        <v>221.39760518149029</v>
      </c>
      <c r="R238" s="8">
        <f t="shared" si="166"/>
        <v>305.49994221471877</v>
      </c>
      <c r="S238" s="8">
        <f t="shared" si="166"/>
        <v>392.47757282173279</v>
      </c>
      <c r="T238" s="8">
        <f t="shared" si="166"/>
        <v>483.04932039597878</v>
      </c>
      <c r="U238" s="8">
        <f t="shared" si="163"/>
        <v>580.80930190468882</v>
      </c>
      <c r="V238" s="8">
        <f t="shared" si="163"/>
        <v>694.38339806921954</v>
      </c>
      <c r="W238" s="8">
        <f t="shared" si="163"/>
        <v>874.80806982426532</v>
      </c>
      <c r="X238" s="8">
        <f t="shared" si="163"/>
        <v>1176.7138950717522</v>
      </c>
      <c r="Y238" s="8">
        <f t="shared" si="163"/>
        <v>2331.863088340112</v>
      </c>
      <c r="Z238">
        <f t="shared" si="167"/>
        <v>4.8516439708294437</v>
      </c>
      <c r="AA238">
        <f t="shared" si="167"/>
        <v>5.3999602035109326</v>
      </c>
      <c r="AB238">
        <f t="shared" si="167"/>
        <v>5.7219495894617758</v>
      </c>
      <c r="AC238">
        <f t="shared" si="167"/>
        <v>5.9724793962822638</v>
      </c>
      <c r="AD238">
        <f t="shared" si="167"/>
        <v>6.1801187610605082</v>
      </c>
      <c r="AE238">
        <f t="shared" si="164"/>
        <v>6.3644224790584536</v>
      </c>
      <c r="AF238">
        <f t="shared" si="164"/>
        <v>6.5430242547498763</v>
      </c>
      <c r="AG238">
        <f t="shared" si="164"/>
        <v>6.7740045135248854</v>
      </c>
      <c r="AH238">
        <f t="shared" si="164"/>
        <v>7.0704809979084935</v>
      </c>
      <c r="AI238">
        <f t="shared" si="164"/>
        <v>7.7544228357726617</v>
      </c>
      <c r="AJ238">
        <f t="shared" si="145"/>
        <v>8.8459927487253829</v>
      </c>
      <c r="AK238">
        <f t="shared" si="132"/>
        <v>9.8457366391410766</v>
      </c>
      <c r="AL238">
        <f t="shared" si="133"/>
        <v>10.432819242566477</v>
      </c>
      <c r="AM238">
        <f t="shared" si="134"/>
        <v>10.88960973828266</v>
      </c>
      <c r="AN238">
        <f t="shared" si="135"/>
        <v>11.268198176804104</v>
      </c>
      <c r="AO238">
        <f t="shared" si="136"/>
        <v>11.604238777222321</v>
      </c>
      <c r="AP238">
        <f t="shared" si="137"/>
        <v>11.929883037636941</v>
      </c>
      <c r="AQ238">
        <f t="shared" si="138"/>
        <v>12.351028881500897</v>
      </c>
      <c r="AR238">
        <f t="shared" si="139"/>
        <v>12.891593862524561</v>
      </c>
      <c r="AS238">
        <f t="shared" si="140"/>
        <v>14.138623647618623</v>
      </c>
      <c r="AT238">
        <f t="shared" si="141"/>
        <v>16.128880886765494</v>
      </c>
      <c r="AU238">
        <f t="shared" si="146"/>
        <v>-20.668900701485988</v>
      </c>
      <c r="AV238" s="5">
        <f t="shared" si="168"/>
        <v>-11.822907952760605</v>
      </c>
      <c r="AW238" s="5">
        <f t="shared" si="168"/>
        <v>-10.823164062344912</v>
      </c>
      <c r="AX238" s="5">
        <f t="shared" si="168"/>
        <v>-10.236081458919511</v>
      </c>
      <c r="AY238" s="5">
        <f t="shared" si="168"/>
        <v>-9.7792909632033282</v>
      </c>
      <c r="AZ238" s="5">
        <f t="shared" si="168"/>
        <v>-9.4007025246818845</v>
      </c>
      <c r="BA238" s="5">
        <f t="shared" si="165"/>
        <v>-9.0646619242636675</v>
      </c>
      <c r="BB238" s="5">
        <f t="shared" si="165"/>
        <v>-8.7390176638490473</v>
      </c>
      <c r="BC238" s="5">
        <f t="shared" si="165"/>
        <v>-8.3178718199850916</v>
      </c>
      <c r="BD238" s="5">
        <f t="shared" si="165"/>
        <v>-7.7773068389614277</v>
      </c>
      <c r="BE238" s="5">
        <f t="shared" si="165"/>
        <v>-6.5302770538673656</v>
      </c>
      <c r="BG238" s="1"/>
      <c r="BH238" s="1">
        <f t="shared" si="161"/>
        <v>5.3999999999999959</v>
      </c>
      <c r="BI238" s="8">
        <f t="shared" si="160"/>
        <v>103944999.09999999</v>
      </c>
      <c r="BJ238" s="8">
        <f t="shared" si="151"/>
        <v>65141069.600000001</v>
      </c>
      <c r="BK238" s="8">
        <f t="shared" si="152"/>
        <v>30211788.899999999</v>
      </c>
      <c r="BL238" s="8">
        <f t="shared" si="153"/>
        <v>23316896.300000001</v>
      </c>
      <c r="BM238" s="8">
        <f t="shared" si="154"/>
        <v>17735604.899999999</v>
      </c>
      <c r="BN238" s="8">
        <f t="shared" si="155"/>
        <v>13637925</v>
      </c>
      <c r="BO238" s="8">
        <f t="shared" si="156"/>
        <v>2424644.7000000002</v>
      </c>
      <c r="BP238" s="8">
        <f t="shared" si="157"/>
        <v>923275.3</v>
      </c>
      <c r="BQ238" s="8">
        <f t="shared" si="158"/>
        <v>0</v>
      </c>
      <c r="BR238" s="8">
        <f t="shared" si="159"/>
        <v>0</v>
      </c>
      <c r="BS238" s="8">
        <f t="shared" si="147"/>
        <v>257.33620380000002</v>
      </c>
      <c r="BT238" s="8">
        <f t="shared" si="162"/>
        <v>55.470943700000049</v>
      </c>
      <c r="BU238" s="8"/>
    </row>
    <row r="239" spans="1:73" x14ac:dyDescent="0.35">
      <c r="A239" t="s">
        <v>132</v>
      </c>
      <c r="B239">
        <v>1.72</v>
      </c>
      <c r="C239">
        <v>2.91</v>
      </c>
      <c r="D239">
        <v>3.74</v>
      </c>
      <c r="E239">
        <v>4.55</v>
      </c>
      <c r="F239">
        <v>5.46</v>
      </c>
      <c r="G239">
        <v>6.59</v>
      </c>
      <c r="H239">
        <v>8</v>
      </c>
      <c r="I239">
        <v>10.33</v>
      </c>
      <c r="J239">
        <v>15.22</v>
      </c>
      <c r="K239">
        <v>41.47</v>
      </c>
      <c r="L239">
        <f t="shared" si="127"/>
        <v>8.5</v>
      </c>
      <c r="M239">
        <f t="shared" si="128"/>
        <v>17150760</v>
      </c>
      <c r="N239">
        <f t="shared" si="129"/>
        <v>8610.0220425441075</v>
      </c>
      <c r="O239">
        <f t="shared" si="144"/>
        <v>3.0978951541634956</v>
      </c>
      <c r="P239" s="8">
        <f t="shared" si="166"/>
        <v>1480.9237913175864</v>
      </c>
      <c r="Q239" s="8">
        <f t="shared" si="166"/>
        <v>2505.5164143803354</v>
      </c>
      <c r="R239" s="8">
        <f t="shared" si="166"/>
        <v>3220.1482439114961</v>
      </c>
      <c r="S239" s="8">
        <f t="shared" si="166"/>
        <v>3917.5600293575685</v>
      </c>
      <c r="T239" s="8">
        <f t="shared" si="166"/>
        <v>4701.0720352290828</v>
      </c>
      <c r="U239" s="8">
        <f t="shared" si="163"/>
        <v>5674.0045260365669</v>
      </c>
      <c r="V239" s="8">
        <f t="shared" si="163"/>
        <v>6888.0176340352864</v>
      </c>
      <c r="W239" s="8">
        <f t="shared" si="163"/>
        <v>8894.152769948063</v>
      </c>
      <c r="X239" s="8">
        <f t="shared" si="163"/>
        <v>13104.453548752132</v>
      </c>
      <c r="Y239" s="8">
        <f t="shared" si="163"/>
        <v>35705.761410430408</v>
      </c>
      <c r="Z239">
        <f t="shared" si="167"/>
        <v>7.3004213553594681</v>
      </c>
      <c r="AA239">
        <f t="shared" si="167"/>
        <v>7.8262501457175073</v>
      </c>
      <c r="AB239">
        <f t="shared" si="167"/>
        <v>8.0771826759605467</v>
      </c>
      <c r="AC239">
        <f t="shared" si="167"/>
        <v>8.2732242974969648</v>
      </c>
      <c r="AD239">
        <f t="shared" si="167"/>
        <v>8.4555458542909196</v>
      </c>
      <c r="AE239">
        <f t="shared" si="164"/>
        <v>8.6436504130485226</v>
      </c>
      <c r="AF239">
        <f t="shared" si="164"/>
        <v>8.8375386062139416</v>
      </c>
      <c r="AG239">
        <f t="shared" si="164"/>
        <v>9.0931493476656531</v>
      </c>
      <c r="AH239">
        <f t="shared" si="164"/>
        <v>9.4807074169676451</v>
      </c>
      <c r="AI239">
        <f t="shared" si="164"/>
        <v>10.483067338792395</v>
      </c>
      <c r="AJ239">
        <f t="shared" si="145"/>
        <v>13.310843656384208</v>
      </c>
      <c r="AK239">
        <f t="shared" si="132"/>
        <v>14.26958623818644</v>
      </c>
      <c r="AL239">
        <f t="shared" si="133"/>
        <v>14.727111018713513</v>
      </c>
      <c r="AM239">
        <f t="shared" si="134"/>
        <v>15.084553315177622</v>
      </c>
      <c r="AN239">
        <f t="shared" si="135"/>
        <v>15.416979845036925</v>
      </c>
      <c r="AO239">
        <f t="shared" si="136"/>
        <v>15.759950510810546</v>
      </c>
      <c r="AP239">
        <f t="shared" si="137"/>
        <v>16.113466465632669</v>
      </c>
      <c r="AQ239">
        <f t="shared" si="138"/>
        <v>16.579521019300092</v>
      </c>
      <c r="AR239">
        <f t="shared" si="139"/>
        <v>17.286154871942273</v>
      </c>
      <c r="AS239">
        <f t="shared" si="140"/>
        <v>19.113755712685496</v>
      </c>
      <c r="AT239">
        <f t="shared" si="141"/>
        <v>24.269634616998015</v>
      </c>
      <c r="AU239">
        <f t="shared" si="146"/>
        <v>-14.224686644683924</v>
      </c>
      <c r="AV239" s="5">
        <f t="shared" si="168"/>
        <v>-0.91384298829971655</v>
      </c>
      <c r="AW239" s="5">
        <f t="shared" si="168"/>
        <v>4.48995935025156E-2</v>
      </c>
      <c r="AX239" s="5">
        <f t="shared" si="168"/>
        <v>0.50242437402958906</v>
      </c>
      <c r="AY239" s="5">
        <f t="shared" si="168"/>
        <v>0.85986667049369814</v>
      </c>
      <c r="AZ239" s="5">
        <f t="shared" si="168"/>
        <v>1.1922932003530011</v>
      </c>
      <c r="BA239" s="5">
        <f t="shared" si="165"/>
        <v>1.5352638661266216</v>
      </c>
      <c r="BB239" s="5">
        <f t="shared" si="165"/>
        <v>1.888779820948745</v>
      </c>
      <c r="BC239" s="5">
        <f t="shared" si="165"/>
        <v>2.3548343746161677</v>
      </c>
      <c r="BD239" s="5">
        <f t="shared" si="165"/>
        <v>3.0614682272583487</v>
      </c>
      <c r="BE239" s="5">
        <f t="shared" si="165"/>
        <v>4.8890690680015716</v>
      </c>
      <c r="BG239" s="1"/>
      <c r="BH239" s="1">
        <f t="shared" si="161"/>
        <v>5.4999999999999956</v>
      </c>
      <c r="BI239" s="8">
        <f t="shared" si="160"/>
        <v>115663877.2</v>
      </c>
      <c r="BJ239" s="8">
        <f t="shared" si="151"/>
        <v>66539665.700000003</v>
      </c>
      <c r="BK239" s="8">
        <f t="shared" si="152"/>
        <v>59025048.299999997</v>
      </c>
      <c r="BL239" s="8">
        <f t="shared" si="153"/>
        <v>27527187.300000001</v>
      </c>
      <c r="BM239" s="8">
        <f t="shared" si="154"/>
        <v>22009198.5</v>
      </c>
      <c r="BN239" s="8">
        <f t="shared" si="155"/>
        <v>16310972.800000001</v>
      </c>
      <c r="BO239" s="8">
        <f t="shared" si="156"/>
        <v>11529971.800000001</v>
      </c>
      <c r="BP239" s="8">
        <f t="shared" si="157"/>
        <v>2424644.7000000002</v>
      </c>
      <c r="BQ239" s="8">
        <f t="shared" si="158"/>
        <v>923275.3</v>
      </c>
      <c r="BR239" s="8">
        <f t="shared" si="159"/>
        <v>0</v>
      </c>
      <c r="BS239" s="8">
        <f t="shared" si="147"/>
        <v>321.95384160000003</v>
      </c>
      <c r="BT239" s="8">
        <f t="shared" si="162"/>
        <v>64.617637800000011</v>
      </c>
      <c r="BU239" s="8"/>
    </row>
    <row r="240" spans="1:73" x14ac:dyDescent="0.35">
      <c r="A240" t="s">
        <v>65</v>
      </c>
      <c r="B240">
        <v>3.25</v>
      </c>
      <c r="C240">
        <v>4.43</v>
      </c>
      <c r="D240">
        <v>5.49</v>
      </c>
      <c r="E240">
        <v>6.51</v>
      </c>
      <c r="F240">
        <v>7.5600000000000005</v>
      </c>
      <c r="G240">
        <v>8.7100000000000009</v>
      </c>
      <c r="H240">
        <v>10.09</v>
      </c>
      <c r="I240">
        <v>11.94</v>
      </c>
      <c r="J240">
        <v>15.02</v>
      </c>
      <c r="K240">
        <v>27</v>
      </c>
      <c r="L240">
        <f t="shared" si="127"/>
        <v>6.9</v>
      </c>
      <c r="M240">
        <f t="shared" si="128"/>
        <v>1337705000</v>
      </c>
      <c r="N240">
        <f t="shared" si="129"/>
        <v>2870.0529334764196</v>
      </c>
      <c r="O240">
        <f t="shared" si="144"/>
        <v>-4.7000000000000011</v>
      </c>
      <c r="P240" s="8">
        <f t="shared" si="166"/>
        <v>932.76720337983647</v>
      </c>
      <c r="Q240" s="8">
        <f t="shared" si="166"/>
        <v>1271.4334495300538</v>
      </c>
      <c r="R240" s="8">
        <f t="shared" si="166"/>
        <v>1575.6590604785545</v>
      </c>
      <c r="S240" s="8">
        <f t="shared" si="166"/>
        <v>1868.404459693149</v>
      </c>
      <c r="T240" s="8">
        <f t="shared" si="166"/>
        <v>2169.7600177081736</v>
      </c>
      <c r="U240" s="8">
        <f t="shared" si="163"/>
        <v>2499.8161050579615</v>
      </c>
      <c r="V240" s="8">
        <f t="shared" si="163"/>
        <v>2895.8834098777074</v>
      </c>
      <c r="W240" s="8">
        <f t="shared" si="163"/>
        <v>3426.8432025708448</v>
      </c>
      <c r="X240" s="8">
        <f t="shared" si="163"/>
        <v>4310.8195060815824</v>
      </c>
      <c r="Y240" s="8">
        <f t="shared" si="163"/>
        <v>7749.1429203863327</v>
      </c>
      <c r="Z240">
        <f t="shared" si="167"/>
        <v>6.8381556556511907</v>
      </c>
      <c r="AA240">
        <f t="shared" si="167"/>
        <v>7.147900243366589</v>
      </c>
      <c r="AB240">
        <f t="shared" si="167"/>
        <v>7.3624289148309838</v>
      </c>
      <c r="AC240">
        <f t="shared" si="167"/>
        <v>7.5328401155300222</v>
      </c>
      <c r="AD240">
        <f t="shared" si="167"/>
        <v>7.6823718495009867</v>
      </c>
      <c r="AE240">
        <f t="shared" si="164"/>
        <v>7.8239724501739563</v>
      </c>
      <c r="AF240">
        <f t="shared" si="164"/>
        <v>7.9710454936750619</v>
      </c>
      <c r="AG240">
        <f t="shared" si="164"/>
        <v>8.1393947672740001</v>
      </c>
      <c r="AH240">
        <f t="shared" si="164"/>
        <v>8.3688833056455341</v>
      </c>
      <c r="AI240">
        <f t="shared" si="164"/>
        <v>8.9553375253138743</v>
      </c>
      <c r="AJ240">
        <f t="shared" si="145"/>
        <v>12.467995530637506</v>
      </c>
      <c r="AK240">
        <f t="shared" si="132"/>
        <v>13.032752217929815</v>
      </c>
      <c r="AL240">
        <f t="shared" si="133"/>
        <v>13.423901915553504</v>
      </c>
      <c r="AM240">
        <f t="shared" si="134"/>
        <v>13.734612316965659</v>
      </c>
      <c r="AN240">
        <f t="shared" si="135"/>
        <v>14.00725322845145</v>
      </c>
      <c r="AO240">
        <f t="shared" si="136"/>
        <v>14.265433320457275</v>
      </c>
      <c r="AP240">
        <f t="shared" si="137"/>
        <v>14.533591306526754</v>
      </c>
      <c r="AQ240">
        <f t="shared" si="138"/>
        <v>14.840542200381151</v>
      </c>
      <c r="AR240">
        <f t="shared" si="139"/>
        <v>15.258968193416891</v>
      </c>
      <c r="AS240">
        <f t="shared" si="140"/>
        <v>16.328248999229736</v>
      </c>
      <c r="AT240">
        <f t="shared" si="141"/>
        <v>22.732871315020304</v>
      </c>
      <c r="AU240">
        <f t="shared" si="146"/>
        <v>-19.554048195278426</v>
      </c>
      <c r="AV240" s="5">
        <f t="shared" si="168"/>
        <v>-7.0860526646409205</v>
      </c>
      <c r="AW240" s="5">
        <f t="shared" si="168"/>
        <v>-6.5212959773486112</v>
      </c>
      <c r="AX240" s="5">
        <f t="shared" si="168"/>
        <v>-6.1301462797249222</v>
      </c>
      <c r="AY240" s="5">
        <f t="shared" si="168"/>
        <v>-5.8194358783127669</v>
      </c>
      <c r="AZ240" s="5">
        <f t="shared" si="168"/>
        <v>-5.546794966826976</v>
      </c>
      <c r="BA240" s="5">
        <f t="shared" si="165"/>
        <v>-5.2886148748211514</v>
      </c>
      <c r="BB240" s="5">
        <f t="shared" si="165"/>
        <v>-5.0204568887516725</v>
      </c>
      <c r="BC240" s="5">
        <f t="shared" si="165"/>
        <v>-4.7135059948972753</v>
      </c>
      <c r="BD240" s="5">
        <f t="shared" si="165"/>
        <v>-4.2950800018615354</v>
      </c>
      <c r="BE240" s="5">
        <f t="shared" si="165"/>
        <v>-3.2257991960486905</v>
      </c>
      <c r="BG240" s="1"/>
      <c r="BH240" s="1">
        <f t="shared" si="161"/>
        <v>5.5999999999999952</v>
      </c>
      <c r="BI240" s="8">
        <f t="shared" si="160"/>
        <v>121852804.3</v>
      </c>
      <c r="BJ240" s="8">
        <f t="shared" si="151"/>
        <v>69241671.299999997</v>
      </c>
      <c r="BK240" s="8">
        <f t="shared" si="152"/>
        <v>63968991.5</v>
      </c>
      <c r="BL240" s="8">
        <f t="shared" si="153"/>
        <v>37548903.100000001</v>
      </c>
      <c r="BM240" s="8">
        <f t="shared" si="154"/>
        <v>26715617.600000001</v>
      </c>
      <c r="BN240" s="8">
        <f t="shared" si="155"/>
        <v>18823208.199999999</v>
      </c>
      <c r="BO240" s="8">
        <f t="shared" si="156"/>
        <v>14721598.199999999</v>
      </c>
      <c r="BP240" s="8">
        <f t="shared" si="157"/>
        <v>11134172.800000001</v>
      </c>
      <c r="BQ240" s="8">
        <f t="shared" si="158"/>
        <v>923275.3</v>
      </c>
      <c r="BR240" s="8">
        <f t="shared" si="159"/>
        <v>0</v>
      </c>
      <c r="BS240" s="8">
        <f t="shared" si="147"/>
        <v>364.93024230000003</v>
      </c>
      <c r="BT240" s="8">
        <f t="shared" si="162"/>
        <v>42.976400699999999</v>
      </c>
      <c r="BU240" s="8"/>
    </row>
    <row r="241" spans="1:73" x14ac:dyDescent="0.35">
      <c r="A241" t="s">
        <v>133</v>
      </c>
      <c r="B241">
        <v>1.1000000000000001</v>
      </c>
      <c r="C241">
        <v>2.2600000000000002</v>
      </c>
      <c r="D241">
        <v>3.21</v>
      </c>
      <c r="E241">
        <v>4.17</v>
      </c>
      <c r="F241">
        <v>5.2700000000000005</v>
      </c>
      <c r="G241">
        <v>6.57</v>
      </c>
      <c r="H241">
        <v>8.31</v>
      </c>
      <c r="I241">
        <v>11</v>
      </c>
      <c r="J241">
        <v>15.950000000000001</v>
      </c>
      <c r="K241">
        <v>42.160000000000004</v>
      </c>
      <c r="L241">
        <f t="shared" si="127"/>
        <v>24.5</v>
      </c>
      <c r="M241">
        <f t="shared" si="128"/>
        <v>46444798</v>
      </c>
      <c r="N241">
        <f t="shared" si="129"/>
        <v>3937.8672013546661</v>
      </c>
      <c r="O241">
        <f t="shared" si="144"/>
        <v>-4.2792835010965469</v>
      </c>
      <c r="P241" s="8">
        <f t="shared" si="166"/>
        <v>433.16539214901331</v>
      </c>
      <c r="Q241" s="8">
        <f t="shared" si="166"/>
        <v>889.95798750615472</v>
      </c>
      <c r="R241" s="8">
        <f t="shared" si="166"/>
        <v>1264.0553716348479</v>
      </c>
      <c r="S241" s="8">
        <f t="shared" si="166"/>
        <v>1642.0906229648958</v>
      </c>
      <c r="T241" s="8">
        <f t="shared" si="166"/>
        <v>2075.2560151139091</v>
      </c>
      <c r="U241" s="8">
        <f t="shared" si="163"/>
        <v>2587.178751290016</v>
      </c>
      <c r="V241" s="8">
        <f t="shared" si="163"/>
        <v>3272.3676443257277</v>
      </c>
      <c r="W241" s="8">
        <f t="shared" si="163"/>
        <v>4331.6539214901331</v>
      </c>
      <c r="X241" s="8">
        <f t="shared" si="163"/>
        <v>6280.8981861606935</v>
      </c>
      <c r="Y241" s="8">
        <f t="shared" si="163"/>
        <v>16602.048120911273</v>
      </c>
      <c r="Z241">
        <f t="shared" si="167"/>
        <v>6.0711196230828577</v>
      </c>
      <c r="AA241">
        <f t="shared" si="167"/>
        <v>6.7911742565627273</v>
      </c>
      <c r="AB241">
        <f t="shared" si="167"/>
        <v>7.1420803804204578</v>
      </c>
      <c r="AC241">
        <f t="shared" si="167"/>
        <v>7.4037254790892435</v>
      </c>
      <c r="AD241">
        <f t="shared" si="167"/>
        <v>7.6378398058318044</v>
      </c>
      <c r="AE241">
        <f t="shared" si="164"/>
        <v>7.8583232757750521</v>
      </c>
      <c r="AF241">
        <f t="shared" si="164"/>
        <v>8.0932690521458905</v>
      </c>
      <c r="AG241">
        <f t="shared" si="164"/>
        <v>8.3737047160769045</v>
      </c>
      <c r="AH241">
        <f t="shared" si="164"/>
        <v>8.7452682725093869</v>
      </c>
      <c r="AI241">
        <f t="shared" si="164"/>
        <v>9.7172813475116406</v>
      </c>
      <c r="AJ241">
        <f t="shared" si="145"/>
        <v>11.069460266527729</v>
      </c>
      <c r="AK241">
        <f t="shared" si="132"/>
        <v>12.382334439642309</v>
      </c>
      <c r="AL241">
        <f t="shared" si="133"/>
        <v>13.022140873459861</v>
      </c>
      <c r="AM241">
        <f t="shared" si="134"/>
        <v>13.49919785857246</v>
      </c>
      <c r="AN241">
        <f t="shared" si="135"/>
        <v>13.926058042293517</v>
      </c>
      <c r="AO241">
        <f t="shared" si="136"/>
        <v>14.328065112074102</v>
      </c>
      <c r="AP241">
        <f t="shared" si="137"/>
        <v>14.756441276239499</v>
      </c>
      <c r="AQ241">
        <f t="shared" si="138"/>
        <v>15.267759061413589</v>
      </c>
      <c r="AR241">
        <f t="shared" si="139"/>
        <v>15.94523015072982</v>
      </c>
      <c r="AS241">
        <f t="shared" si="140"/>
        <v>17.717499646355279</v>
      </c>
      <c r="AT241">
        <f t="shared" si="141"/>
        <v>20.182924765039477</v>
      </c>
      <c r="AU241">
        <f t="shared" si="146"/>
        <v>-20.255748558552732</v>
      </c>
      <c r="AV241" s="5">
        <f t="shared" si="168"/>
        <v>-9.1862882920250026</v>
      </c>
      <c r="AW241" s="5">
        <f t="shared" si="168"/>
        <v>-7.8734141189104232</v>
      </c>
      <c r="AX241" s="5">
        <f t="shared" si="168"/>
        <v>-7.2336076850928706</v>
      </c>
      <c r="AY241" s="5">
        <f t="shared" si="168"/>
        <v>-6.7565506999802718</v>
      </c>
      <c r="AZ241" s="5">
        <f t="shared" si="168"/>
        <v>-6.3296905162592143</v>
      </c>
      <c r="BA241" s="5">
        <f t="shared" si="165"/>
        <v>-5.9276834464786301</v>
      </c>
      <c r="BB241" s="5">
        <f t="shared" si="165"/>
        <v>-5.4993072823132323</v>
      </c>
      <c r="BC241" s="5">
        <f t="shared" si="165"/>
        <v>-4.987989497139143</v>
      </c>
      <c r="BD241" s="5">
        <f t="shared" si="165"/>
        <v>-4.3105184078229115</v>
      </c>
      <c r="BE241" s="5">
        <f t="shared" si="165"/>
        <v>-2.538248912197453</v>
      </c>
      <c r="BG241" s="1"/>
      <c r="BH241" s="1">
        <f t="shared" si="161"/>
        <v>5.6999999999999948</v>
      </c>
      <c r="BI241" s="8">
        <f t="shared" si="160"/>
        <v>131608408</v>
      </c>
      <c r="BJ241" s="8">
        <f t="shared" si="151"/>
        <v>69927565.799999997</v>
      </c>
      <c r="BK241" s="8">
        <f t="shared" si="152"/>
        <v>65367587.600000001</v>
      </c>
      <c r="BL241" s="8">
        <f t="shared" si="153"/>
        <v>61341809.299999997</v>
      </c>
      <c r="BM241" s="8">
        <f t="shared" si="154"/>
        <v>33051570.100000001</v>
      </c>
      <c r="BN241" s="8">
        <f t="shared" si="155"/>
        <v>22009198.5</v>
      </c>
      <c r="BO241" s="8">
        <f t="shared" si="156"/>
        <v>16310972.800000001</v>
      </c>
      <c r="BP241" s="8">
        <f t="shared" si="157"/>
        <v>11529971.800000001</v>
      </c>
      <c r="BQ241" s="8">
        <f t="shared" si="158"/>
        <v>923275.3</v>
      </c>
      <c r="BR241" s="8">
        <f t="shared" si="159"/>
        <v>0</v>
      </c>
      <c r="BS241" s="8">
        <f t="shared" si="147"/>
        <v>412.07035920000004</v>
      </c>
      <c r="BT241" s="8">
        <f t="shared" si="162"/>
        <v>47.14011690000001</v>
      </c>
      <c r="BU241" s="8"/>
    </row>
    <row r="242" spans="1:73" x14ac:dyDescent="0.35">
      <c r="A242" t="s">
        <v>363</v>
      </c>
      <c r="B242">
        <v>1.54</v>
      </c>
      <c r="C242">
        <v>2.4700000000000002</v>
      </c>
      <c r="D242">
        <v>3.24</v>
      </c>
      <c r="E242">
        <v>4.03</v>
      </c>
      <c r="F242">
        <v>4.83</v>
      </c>
      <c r="G242">
        <v>5.94</v>
      </c>
      <c r="H242">
        <v>7.3100000000000005</v>
      </c>
      <c r="I242">
        <v>9.25</v>
      </c>
      <c r="J242">
        <v>13.31</v>
      </c>
      <c r="K242">
        <v>48.1</v>
      </c>
      <c r="L242">
        <f t="shared" si="127"/>
        <v>25.6</v>
      </c>
      <c r="M242">
        <f t="shared" si="128"/>
        <v>683081</v>
      </c>
      <c r="N242">
        <f t="shared" si="129"/>
        <v>604.77099500559018</v>
      </c>
      <c r="O242">
        <f t="shared" si="144"/>
        <v>-8.1044336718222603</v>
      </c>
      <c r="P242" s="8">
        <f t="shared" si="166"/>
        <v>93.134733230860888</v>
      </c>
      <c r="Q242" s="8">
        <f t="shared" si="166"/>
        <v>149.37843576638079</v>
      </c>
      <c r="R242" s="8">
        <f t="shared" si="166"/>
        <v>195.94580238181123</v>
      </c>
      <c r="S242" s="8">
        <f t="shared" si="166"/>
        <v>243.72271098725287</v>
      </c>
      <c r="T242" s="8">
        <f t="shared" si="166"/>
        <v>292.1043905877001</v>
      </c>
      <c r="U242" s="8">
        <f t="shared" si="163"/>
        <v>359.23397103332059</v>
      </c>
      <c r="V242" s="8">
        <f t="shared" si="163"/>
        <v>442.08759734908642</v>
      </c>
      <c r="W242" s="8">
        <f t="shared" si="163"/>
        <v>559.41317038017098</v>
      </c>
      <c r="X242" s="8">
        <f t="shared" si="163"/>
        <v>804.95019435244058</v>
      </c>
      <c r="Y242" s="8">
        <f t="shared" si="163"/>
        <v>2908.9484859768886</v>
      </c>
      <c r="Z242">
        <f t="shared" si="167"/>
        <v>4.5340471891533918</v>
      </c>
      <c r="AA242">
        <f t="shared" si="167"/>
        <v>5.0064829233677397</v>
      </c>
      <c r="AB242">
        <f t="shared" si="167"/>
        <v>5.2778381025320922</v>
      </c>
      <c r="AC242">
        <f t="shared" si="167"/>
        <v>5.4960311486864457</v>
      </c>
      <c r="AD242">
        <f t="shared" si="167"/>
        <v>5.6771112403923354</v>
      </c>
      <c r="AE242">
        <f t="shared" si="164"/>
        <v>5.8839739061024074</v>
      </c>
      <c r="AF242">
        <f t="shared" si="164"/>
        <v>6.0915080464895413</v>
      </c>
      <c r="AG242">
        <f t="shared" si="164"/>
        <v>6.3268883242521881</v>
      </c>
      <c r="AH242">
        <f t="shared" si="164"/>
        <v>6.6907804051348743</v>
      </c>
      <c r="AI242">
        <f t="shared" si="164"/>
        <v>7.9755469498395692</v>
      </c>
      <c r="AJ242">
        <f t="shared" si="145"/>
        <v>8.2669191718890005</v>
      </c>
      <c r="AK242">
        <f t="shared" si="132"/>
        <v>9.1283103012105542</v>
      </c>
      <c r="AL242">
        <f t="shared" si="133"/>
        <v>9.6230716566705592</v>
      </c>
      <c r="AM242">
        <f t="shared" si="134"/>
        <v>10.020902601337699</v>
      </c>
      <c r="AN242">
        <f t="shared" si="135"/>
        <v>10.351065570384865</v>
      </c>
      <c r="AO242">
        <f t="shared" si="136"/>
        <v>10.728237855048707</v>
      </c>
      <c r="AP242">
        <f t="shared" si="137"/>
        <v>11.106634438148289</v>
      </c>
      <c r="AQ242">
        <f t="shared" si="138"/>
        <v>11.535802827832367</v>
      </c>
      <c r="AR242">
        <f t="shared" si="139"/>
        <v>12.199286531121606</v>
      </c>
      <c r="AS242">
        <f t="shared" si="140"/>
        <v>14.541798802548588</v>
      </c>
      <c r="AT242">
        <f t="shared" si="141"/>
        <v>15.073057192266871</v>
      </c>
      <c r="AU242">
        <f t="shared" si="146"/>
        <v>-20.804804109892444</v>
      </c>
      <c r="AV242" s="5">
        <f t="shared" si="168"/>
        <v>-12.537884938003444</v>
      </c>
      <c r="AW242" s="5">
        <f t="shared" si="168"/>
        <v>-11.67649380868189</v>
      </c>
      <c r="AX242" s="5">
        <f t="shared" si="168"/>
        <v>-11.181732453221885</v>
      </c>
      <c r="AY242" s="5">
        <f t="shared" si="168"/>
        <v>-10.783901508554745</v>
      </c>
      <c r="AZ242" s="5">
        <f t="shared" si="168"/>
        <v>-10.453738539507579</v>
      </c>
      <c r="BA242" s="5">
        <f t="shared" si="165"/>
        <v>-10.076566254843737</v>
      </c>
      <c r="BB242" s="5">
        <f t="shared" si="165"/>
        <v>-9.6981696717441555</v>
      </c>
      <c r="BC242" s="5">
        <f t="shared" si="165"/>
        <v>-9.2690012820600778</v>
      </c>
      <c r="BD242" s="5">
        <f t="shared" si="165"/>
        <v>-8.6055175787708382</v>
      </c>
      <c r="BE242" s="5">
        <f t="shared" si="165"/>
        <v>-6.2630053073438567</v>
      </c>
      <c r="BG242" s="1"/>
      <c r="BH242" s="1">
        <f t="shared" si="161"/>
        <v>5.7999999999999945</v>
      </c>
      <c r="BI242" s="8">
        <f t="shared" si="160"/>
        <v>269582238.80000001</v>
      </c>
      <c r="BJ242" s="8">
        <f t="shared" si="151"/>
        <v>78560419.900000006</v>
      </c>
      <c r="BK242" s="8">
        <f t="shared" si="152"/>
        <v>67179237</v>
      </c>
      <c r="BL242" s="8">
        <f t="shared" si="153"/>
        <v>62740405.399999999</v>
      </c>
      <c r="BM242" s="8">
        <f t="shared" si="154"/>
        <v>39865664.100000001</v>
      </c>
      <c r="BN242" s="8">
        <f t="shared" si="155"/>
        <v>29975416.800000001</v>
      </c>
      <c r="BO242" s="8">
        <f t="shared" si="156"/>
        <v>17398576.100000001</v>
      </c>
      <c r="BP242" s="8">
        <f t="shared" si="157"/>
        <v>13637925</v>
      </c>
      <c r="BQ242" s="8">
        <f t="shared" si="158"/>
        <v>2424644.7000000002</v>
      </c>
      <c r="BR242" s="8">
        <f t="shared" si="159"/>
        <v>0</v>
      </c>
      <c r="BS242" s="8">
        <f t="shared" si="147"/>
        <v>581.36452780000002</v>
      </c>
      <c r="BT242" s="8">
        <f t="shared" si="162"/>
        <v>169.29416859999998</v>
      </c>
      <c r="BU242" s="8"/>
    </row>
    <row r="243" spans="1:73" x14ac:dyDescent="0.35">
      <c r="A243" t="s">
        <v>365</v>
      </c>
      <c r="B243">
        <v>1.56</v>
      </c>
      <c r="C243">
        <v>2.64</v>
      </c>
      <c r="D243">
        <v>3.5700000000000003</v>
      </c>
      <c r="E243">
        <v>4.6500000000000004</v>
      </c>
      <c r="F243">
        <v>5.9</v>
      </c>
      <c r="G243">
        <v>7.2700000000000005</v>
      </c>
      <c r="H243">
        <v>9.01</v>
      </c>
      <c r="I243">
        <v>11.66</v>
      </c>
      <c r="J243">
        <v>15.81</v>
      </c>
      <c r="K243">
        <v>37.93</v>
      </c>
      <c r="L243">
        <f t="shared" si="127"/>
        <v>24.5</v>
      </c>
      <c r="M243">
        <f t="shared" si="128"/>
        <v>4111715</v>
      </c>
      <c r="N243">
        <f t="shared" si="129"/>
        <v>1909.827611710635</v>
      </c>
      <c r="O243">
        <f t="shared" si="144"/>
        <v>-5.5986698409677551</v>
      </c>
      <c r="P243" s="8">
        <f t="shared" si="166"/>
        <v>297.93310742685907</v>
      </c>
      <c r="Q243" s="8">
        <f t="shared" si="166"/>
        <v>504.19448949160767</v>
      </c>
      <c r="R243" s="8">
        <f t="shared" si="166"/>
        <v>681.80845738069672</v>
      </c>
      <c r="S243" s="8">
        <f t="shared" si="166"/>
        <v>888.06983944544538</v>
      </c>
      <c r="T243" s="8">
        <f t="shared" si="166"/>
        <v>1126.7982909092748</v>
      </c>
      <c r="U243" s="8">
        <f t="shared" si="163"/>
        <v>1388.4446737136318</v>
      </c>
      <c r="V243" s="8">
        <f t="shared" si="163"/>
        <v>1720.7546781512822</v>
      </c>
      <c r="W243" s="8">
        <f t="shared" si="163"/>
        <v>2226.8589952546004</v>
      </c>
      <c r="X243" s="8">
        <f t="shared" si="163"/>
        <v>3019.4374541145144</v>
      </c>
      <c r="Y243" s="8">
        <f t="shared" si="163"/>
        <v>7243.9761312184391</v>
      </c>
      <c r="Z243">
        <f t="shared" si="167"/>
        <v>5.6968689895859068</v>
      </c>
      <c r="AA243">
        <f t="shared" si="167"/>
        <v>6.2229620854826866</v>
      </c>
      <c r="AB243">
        <f t="shared" si="167"/>
        <v>6.5247487641160093</v>
      </c>
      <c r="AC243">
        <f t="shared" si="167"/>
        <v>6.7890503879237265</v>
      </c>
      <c r="AD243">
        <f t="shared" si="167"/>
        <v>7.0271355192361353</v>
      </c>
      <c r="AE243">
        <f t="shared" si="164"/>
        <v>7.2359394598698898</v>
      </c>
      <c r="AF243">
        <f t="shared" si="164"/>
        <v>7.4505182399447083</v>
      </c>
      <c r="AG243">
        <f t="shared" si="164"/>
        <v>7.7083473492468082</v>
      </c>
      <c r="AH243">
        <f t="shared" si="164"/>
        <v>8.0128258195458422</v>
      </c>
      <c r="AI243">
        <f t="shared" si="164"/>
        <v>8.8879255240252686</v>
      </c>
      <c r="AJ243">
        <f t="shared" si="145"/>
        <v>10.387089834974006</v>
      </c>
      <c r="AK243">
        <f t="shared" si="132"/>
        <v>11.346314324536412</v>
      </c>
      <c r="AL243">
        <f t="shared" si="133"/>
        <v>11.896561372115192</v>
      </c>
      <c r="AM243">
        <f t="shared" si="134"/>
        <v>12.378461994200554</v>
      </c>
      <c r="AN243">
        <f t="shared" si="135"/>
        <v>12.812562137952208</v>
      </c>
      <c r="AO243">
        <f t="shared" si="136"/>
        <v>13.193273945301851</v>
      </c>
      <c r="AP243">
        <f t="shared" si="137"/>
        <v>13.584515005854707</v>
      </c>
      <c r="AQ243">
        <f t="shared" si="138"/>
        <v>14.054614305187007</v>
      </c>
      <c r="AR243">
        <f t="shared" si="139"/>
        <v>14.609769291126296</v>
      </c>
      <c r="AS243">
        <f t="shared" si="140"/>
        <v>16.205336832104226</v>
      </c>
      <c r="AT243">
        <f t="shared" si="141"/>
        <v>18.938760121928436</v>
      </c>
      <c r="AU243">
        <f t="shared" si="146"/>
        <v>-20.094870661595088</v>
      </c>
      <c r="AV243" s="5">
        <f t="shared" si="168"/>
        <v>-9.7077808266210823</v>
      </c>
      <c r="AW243" s="5">
        <f t="shared" si="168"/>
        <v>-8.7485563370586767</v>
      </c>
      <c r="AX243" s="5">
        <f t="shared" si="168"/>
        <v>-8.1983092894798961</v>
      </c>
      <c r="AY243" s="5">
        <f t="shared" si="168"/>
        <v>-7.7164086673945338</v>
      </c>
      <c r="AZ243" s="5">
        <f t="shared" si="168"/>
        <v>-7.2823085236428806</v>
      </c>
      <c r="BA243" s="5">
        <f t="shared" si="165"/>
        <v>-6.9015967162932377</v>
      </c>
      <c r="BB243" s="5">
        <f t="shared" si="165"/>
        <v>-6.5103556557403817</v>
      </c>
      <c r="BC243" s="5">
        <f t="shared" si="165"/>
        <v>-6.0402563564080811</v>
      </c>
      <c r="BD243" s="5">
        <f t="shared" si="165"/>
        <v>-5.4851013704687919</v>
      </c>
      <c r="BE243" s="5">
        <f t="shared" si="165"/>
        <v>-3.8895338294908619</v>
      </c>
      <c r="BG243" s="1"/>
      <c r="BH243" s="1">
        <f t="shared" si="161"/>
        <v>5.8999999999999941</v>
      </c>
      <c r="BI243" s="8">
        <f t="shared" si="160"/>
        <v>279098481.80000001</v>
      </c>
      <c r="BJ243" s="8">
        <f t="shared" si="151"/>
        <v>107287153.90000001</v>
      </c>
      <c r="BK243" s="8">
        <f t="shared" si="152"/>
        <v>70678164.400000006</v>
      </c>
      <c r="BL243" s="8">
        <f t="shared" si="153"/>
        <v>65367587.600000001</v>
      </c>
      <c r="BM243" s="8">
        <f t="shared" si="154"/>
        <v>61341809.299999997</v>
      </c>
      <c r="BN243" s="8">
        <f t="shared" si="155"/>
        <v>37548903.100000001</v>
      </c>
      <c r="BO243" s="8">
        <f t="shared" si="156"/>
        <v>27617099.600000001</v>
      </c>
      <c r="BP243" s="8">
        <f t="shared" si="157"/>
        <v>16310972.800000001</v>
      </c>
      <c r="BQ243" s="8">
        <f t="shared" si="158"/>
        <v>11134172.800000001</v>
      </c>
      <c r="BR243" s="8">
        <f t="shared" si="159"/>
        <v>0</v>
      </c>
      <c r="BS243" s="8">
        <f t="shared" si="147"/>
        <v>676.38434529999995</v>
      </c>
      <c r="BT243" s="8">
        <f t="shared" si="162"/>
        <v>95.019817499999931</v>
      </c>
      <c r="BU243" s="8"/>
    </row>
    <row r="244" spans="1:73" x14ac:dyDescent="0.35">
      <c r="A244" t="s">
        <v>135</v>
      </c>
      <c r="B244">
        <v>1.47</v>
      </c>
      <c r="C244">
        <v>2.73</v>
      </c>
      <c r="D244">
        <v>3.69</v>
      </c>
      <c r="E244">
        <v>4.62</v>
      </c>
      <c r="F244">
        <v>5.71</v>
      </c>
      <c r="G244">
        <v>7.16</v>
      </c>
      <c r="H244">
        <v>9.07</v>
      </c>
      <c r="I244">
        <v>11.76</v>
      </c>
      <c r="J244">
        <v>16.95</v>
      </c>
      <c r="K244">
        <v>36.85</v>
      </c>
      <c r="L244">
        <f t="shared" si="127"/>
        <v>24.8</v>
      </c>
      <c r="M244">
        <f t="shared" si="128"/>
        <v>4669685</v>
      </c>
      <c r="N244">
        <f t="shared" si="129"/>
        <v>5357.4903708933716</v>
      </c>
      <c r="O244">
        <f t="shared" si="144"/>
        <v>-3.8295477140665017</v>
      </c>
      <c r="P244" s="8">
        <f t="shared" si="166"/>
        <v>787.55108452132561</v>
      </c>
      <c r="Q244" s="8">
        <f t="shared" si="166"/>
        <v>1462.5948712538905</v>
      </c>
      <c r="R244" s="8">
        <f t="shared" si="166"/>
        <v>1976.9139468596543</v>
      </c>
      <c r="S244" s="8">
        <f t="shared" si="166"/>
        <v>2475.1605513527379</v>
      </c>
      <c r="T244" s="8">
        <f t="shared" si="166"/>
        <v>3059.1270017801153</v>
      </c>
      <c r="U244" s="8">
        <f t="shared" si="163"/>
        <v>3835.9631055596537</v>
      </c>
      <c r="V244" s="8">
        <f t="shared" si="163"/>
        <v>4859.2437664002882</v>
      </c>
      <c r="W244" s="8">
        <f t="shared" si="163"/>
        <v>6300.4086761706048</v>
      </c>
      <c r="X244" s="8">
        <f t="shared" si="163"/>
        <v>9080.9461786642642</v>
      </c>
      <c r="Y244" s="8">
        <f t="shared" si="163"/>
        <v>19742.352016742076</v>
      </c>
      <c r="Z244">
        <f t="shared" si="167"/>
        <v>6.6689282378292996</v>
      </c>
      <c r="AA244">
        <f t="shared" si="167"/>
        <v>7.2879674462355233</v>
      </c>
      <c r="AB244">
        <f t="shared" si="167"/>
        <v>7.5892922950910906</v>
      </c>
      <c r="AC244">
        <f t="shared" si="167"/>
        <v>7.8140605421323022</v>
      </c>
      <c r="AD244">
        <f t="shared" si="167"/>
        <v>8.025884860706574</v>
      </c>
      <c r="AE244">
        <f t="shared" si="164"/>
        <v>8.2521758180112084</v>
      </c>
      <c r="AF244">
        <f t="shared" si="164"/>
        <v>8.4886381011656997</v>
      </c>
      <c r="AG244">
        <f t="shared" si="164"/>
        <v>8.7483697795091349</v>
      </c>
      <c r="AH244">
        <f t="shared" si="164"/>
        <v>9.113933670865114</v>
      </c>
      <c r="AI244">
        <f t="shared" si="164"/>
        <v>9.8905214556740013</v>
      </c>
      <c r="AJ244">
        <f t="shared" si="145"/>
        <v>12.159443518177687</v>
      </c>
      <c r="AK244">
        <f t="shared" si="132"/>
        <v>13.288136468786337</v>
      </c>
      <c r="AL244">
        <f t="shared" si="133"/>
        <v>13.837541463054995</v>
      </c>
      <c r="AM244">
        <f t="shared" si="134"/>
        <v>14.247360958348743</v>
      </c>
      <c r="AN244">
        <f t="shared" si="135"/>
        <v>14.633579814756576</v>
      </c>
      <c r="AO244">
        <f t="shared" si="136"/>
        <v>15.046175664628201</v>
      </c>
      <c r="AP244">
        <f t="shared" si="137"/>
        <v>15.477316872579218</v>
      </c>
      <c r="AQ244">
        <f t="shared" si="138"/>
        <v>15.950885122239447</v>
      </c>
      <c r="AR244">
        <f t="shared" si="139"/>
        <v>16.61741703422102</v>
      </c>
      <c r="AS244">
        <f t="shared" si="140"/>
        <v>18.033367989087495</v>
      </c>
      <c r="AT244">
        <f t="shared" si="141"/>
        <v>22.170289047806342</v>
      </c>
      <c r="AU244">
        <f t="shared" si="146"/>
        <v>-20.192703307092202</v>
      </c>
      <c r="AV244" s="5">
        <f t="shared" si="168"/>
        <v>-8.0332597889145152</v>
      </c>
      <c r="AW244" s="5">
        <f t="shared" si="168"/>
        <v>-6.9045668383058647</v>
      </c>
      <c r="AX244" s="5">
        <f t="shared" si="168"/>
        <v>-6.3551618440372071</v>
      </c>
      <c r="AY244" s="5">
        <f t="shared" si="168"/>
        <v>-5.9453423487434591</v>
      </c>
      <c r="AZ244" s="5">
        <f t="shared" si="168"/>
        <v>-5.5591234923356261</v>
      </c>
      <c r="BA244" s="5">
        <f t="shared" si="165"/>
        <v>-5.146527642464001</v>
      </c>
      <c r="BB244" s="5">
        <f t="shared" si="165"/>
        <v>-4.7153864345129843</v>
      </c>
      <c r="BC244" s="5">
        <f t="shared" si="165"/>
        <v>-4.2418181848527556</v>
      </c>
      <c r="BD244" s="5">
        <f t="shared" si="165"/>
        <v>-3.5752862728711818</v>
      </c>
      <c r="BE244" s="5">
        <f t="shared" si="165"/>
        <v>-2.1593353180047075</v>
      </c>
      <c r="BG244" s="1"/>
      <c r="BH244" s="1">
        <f t="shared" si="161"/>
        <v>5.9999999999999938</v>
      </c>
      <c r="BI244" s="8">
        <f t="shared" si="160"/>
        <v>281019140.80000001</v>
      </c>
      <c r="BJ244" s="8">
        <f t="shared" si="151"/>
        <v>125184305.40000001</v>
      </c>
      <c r="BK244" s="8">
        <f t="shared" si="152"/>
        <v>73370800.200000003</v>
      </c>
      <c r="BL244" s="8">
        <f t="shared" si="153"/>
        <v>67179237</v>
      </c>
      <c r="BM244" s="8">
        <f t="shared" si="154"/>
        <v>62740405.399999999</v>
      </c>
      <c r="BN244" s="8">
        <f t="shared" si="155"/>
        <v>44907563.299999997</v>
      </c>
      <c r="BO244" s="8">
        <f t="shared" si="156"/>
        <v>32815198</v>
      </c>
      <c r="BP244" s="8">
        <f t="shared" si="157"/>
        <v>17398576.100000001</v>
      </c>
      <c r="BQ244" s="8">
        <f t="shared" si="158"/>
        <v>11529971.800000001</v>
      </c>
      <c r="BR244" s="8">
        <f t="shared" si="159"/>
        <v>0</v>
      </c>
      <c r="BS244" s="8">
        <f t="shared" si="147"/>
        <v>716.14519800000005</v>
      </c>
      <c r="BT244" s="8">
        <f t="shared" si="162"/>
        <v>39.7608527000001</v>
      </c>
      <c r="BU244" s="8"/>
    </row>
    <row r="245" spans="1:73" x14ac:dyDescent="0.35">
      <c r="A245" t="s">
        <v>358</v>
      </c>
      <c r="B245">
        <v>1.84</v>
      </c>
      <c r="C245">
        <v>3.27</v>
      </c>
      <c r="D245">
        <v>4.43</v>
      </c>
      <c r="E245">
        <v>5.4</v>
      </c>
      <c r="F245">
        <v>6.46</v>
      </c>
      <c r="G245">
        <v>7.86</v>
      </c>
      <c r="H245">
        <v>9.6</v>
      </c>
      <c r="I245">
        <v>12.120000000000001</v>
      </c>
      <c r="J245">
        <v>16.37</v>
      </c>
      <c r="K245">
        <v>32.64</v>
      </c>
      <c r="L245">
        <f t="shared" si="127"/>
        <v>26.3</v>
      </c>
      <c r="M245">
        <f t="shared" si="128"/>
        <v>18976588</v>
      </c>
      <c r="N245">
        <f t="shared" si="129"/>
        <v>957.65895361709386</v>
      </c>
      <c r="O245">
        <f t="shared" si="144"/>
        <v>-7.5267186449899253</v>
      </c>
      <c r="P245" s="8">
        <f t="shared" si="166"/>
        <v>176.20924746554527</v>
      </c>
      <c r="Q245" s="8">
        <f t="shared" si="166"/>
        <v>313.15447783278967</v>
      </c>
      <c r="R245" s="8">
        <f t="shared" si="166"/>
        <v>424.24291645237253</v>
      </c>
      <c r="S245" s="8">
        <f t="shared" si="166"/>
        <v>517.13583495323076</v>
      </c>
      <c r="T245" s="8">
        <f t="shared" si="166"/>
        <v>618.64768403664266</v>
      </c>
      <c r="U245" s="8">
        <f t="shared" si="163"/>
        <v>752.71993754303571</v>
      </c>
      <c r="V245" s="8">
        <f t="shared" si="163"/>
        <v>919.35259547241003</v>
      </c>
      <c r="W245" s="8">
        <f t="shared" si="163"/>
        <v>1160.6826517839179</v>
      </c>
      <c r="X245" s="8">
        <f t="shared" si="163"/>
        <v>1567.6877070711828</v>
      </c>
      <c r="Y245" s="8">
        <f t="shared" si="163"/>
        <v>3125.7988246061946</v>
      </c>
      <c r="Z245">
        <f t="shared" si="167"/>
        <v>5.1716721949032562</v>
      </c>
      <c r="AA245">
        <f t="shared" si="167"/>
        <v>5.7466966081915238</v>
      </c>
      <c r="AB245">
        <f t="shared" si="167"/>
        <v>6.0503062073394061</v>
      </c>
      <c r="AC245">
        <f t="shared" si="167"/>
        <v>6.2483055768525908</v>
      </c>
      <c r="AD245">
        <f t="shared" si="167"/>
        <v>6.4275359410768722</v>
      </c>
      <c r="AE245">
        <f t="shared" si="164"/>
        <v>6.623693229723477</v>
      </c>
      <c r="AF245">
        <f t="shared" si="164"/>
        <v>6.8236697217561524</v>
      </c>
      <c r="AG245">
        <f t="shared" si="164"/>
        <v>7.0567636039235309</v>
      </c>
      <c r="AH245">
        <f t="shared" si="164"/>
        <v>7.3573570146654053</v>
      </c>
      <c r="AI245">
        <f t="shared" si="164"/>
        <v>8.047445153378268</v>
      </c>
      <c r="AJ245">
        <f t="shared" si="145"/>
        <v>9.4294995696227186</v>
      </c>
      <c r="AK245">
        <f t="shared" si="132"/>
        <v>10.47794043232239</v>
      </c>
      <c r="AL245">
        <f t="shared" si="133"/>
        <v>11.031511207229524</v>
      </c>
      <c r="AM245">
        <f t="shared" si="134"/>
        <v>11.392523061664175</v>
      </c>
      <c r="AN245">
        <f t="shared" si="135"/>
        <v>11.71931342629358</v>
      </c>
      <c r="AO245">
        <f t="shared" si="136"/>
        <v>12.076966618368356</v>
      </c>
      <c r="AP245">
        <f t="shared" si="137"/>
        <v>12.441583356338549</v>
      </c>
      <c r="AQ245">
        <f t="shared" si="138"/>
        <v>12.866582965506566</v>
      </c>
      <c r="AR245">
        <f t="shared" si="139"/>
        <v>13.414654330125405</v>
      </c>
      <c r="AS245">
        <f t="shared" si="140"/>
        <v>14.67289065326429</v>
      </c>
      <c r="AT245">
        <f t="shared" si="141"/>
        <v>17.192787706293963</v>
      </c>
      <c r="AU245">
        <f t="shared" si="146"/>
        <v>-20.593398453236091</v>
      </c>
      <c r="AV245" s="5">
        <f t="shared" si="168"/>
        <v>-11.163898883613372</v>
      </c>
      <c r="AW245" s="5">
        <f t="shared" si="168"/>
        <v>-10.115458020913701</v>
      </c>
      <c r="AX245" s="5">
        <f t="shared" si="168"/>
        <v>-9.5618872460065667</v>
      </c>
      <c r="AY245" s="5">
        <f t="shared" si="168"/>
        <v>-9.2008753915719161</v>
      </c>
      <c r="AZ245" s="5">
        <f t="shared" si="168"/>
        <v>-8.8740850269425113</v>
      </c>
      <c r="BA245" s="5">
        <f t="shared" si="165"/>
        <v>-8.5164318348677348</v>
      </c>
      <c r="BB245" s="5">
        <f t="shared" si="165"/>
        <v>-8.1518150968975416</v>
      </c>
      <c r="BC245" s="5">
        <f t="shared" si="165"/>
        <v>-7.7268154877295245</v>
      </c>
      <c r="BD245" s="5">
        <f t="shared" si="165"/>
        <v>-7.1787441231106861</v>
      </c>
      <c r="BE245" s="5">
        <f t="shared" si="165"/>
        <v>-5.9205077999718014</v>
      </c>
      <c r="BG245" s="1"/>
      <c r="BH245" s="1">
        <f t="shared" si="161"/>
        <v>6.0999999999999934</v>
      </c>
      <c r="BI245" s="8">
        <f t="shared" si="160"/>
        <v>310358749.10000002</v>
      </c>
      <c r="BJ245" s="8">
        <f t="shared" si="151"/>
        <v>267109945.19999999</v>
      </c>
      <c r="BK245" s="8">
        <f t="shared" si="152"/>
        <v>96732719.799999997</v>
      </c>
      <c r="BL245" s="8">
        <f t="shared" si="153"/>
        <v>69274770.299999997</v>
      </c>
      <c r="BM245" s="8">
        <f t="shared" si="154"/>
        <v>65806266.799999997</v>
      </c>
      <c r="BN245" s="8">
        <f t="shared" si="155"/>
        <v>62740405.399999999</v>
      </c>
      <c r="BO245" s="8">
        <f t="shared" si="156"/>
        <v>39865664.100000001</v>
      </c>
      <c r="BP245" s="8">
        <f t="shared" si="157"/>
        <v>25913339.899999999</v>
      </c>
      <c r="BQ245" s="8">
        <f t="shared" si="158"/>
        <v>15227299.6</v>
      </c>
      <c r="BR245" s="8">
        <f t="shared" si="159"/>
        <v>923275.3</v>
      </c>
      <c r="BS245" s="8">
        <f t="shared" si="147"/>
        <v>953.95243549999975</v>
      </c>
      <c r="BT245" s="8">
        <f t="shared" si="162"/>
        <v>237.8072374999997</v>
      </c>
      <c r="BU245" s="8"/>
    </row>
    <row r="246" spans="1:73" x14ac:dyDescent="0.35">
      <c r="A246" t="s">
        <v>217</v>
      </c>
      <c r="B246">
        <v>2.6</v>
      </c>
      <c r="C246">
        <v>4.7</v>
      </c>
      <c r="D246">
        <v>6</v>
      </c>
      <c r="E246">
        <v>6.9</v>
      </c>
      <c r="F246">
        <v>8.7000000000000011</v>
      </c>
      <c r="G246">
        <v>9.6</v>
      </c>
      <c r="H246">
        <v>11</v>
      </c>
      <c r="I246">
        <v>12.5</v>
      </c>
      <c r="J246">
        <v>15.3</v>
      </c>
      <c r="K246">
        <v>22.8</v>
      </c>
      <c r="L246">
        <f t="shared" si="127"/>
        <v>10.9</v>
      </c>
      <c r="M246">
        <f t="shared" si="128"/>
        <v>4417800</v>
      </c>
      <c r="N246">
        <f t="shared" si="129"/>
        <v>10383.506161918598</v>
      </c>
      <c r="O246">
        <f t="shared" si="144"/>
        <v>2.5467584975577839</v>
      </c>
      <c r="P246" s="8">
        <f t="shared" si="166"/>
        <v>2699.7116020988356</v>
      </c>
      <c r="Q246" s="8">
        <f t="shared" si="166"/>
        <v>4880.2478961017414</v>
      </c>
      <c r="R246" s="8">
        <f t="shared" si="166"/>
        <v>6230.1036971511585</v>
      </c>
      <c r="S246" s="8">
        <f t="shared" si="166"/>
        <v>7164.6192517238333</v>
      </c>
      <c r="T246" s="8">
        <f t="shared" si="166"/>
        <v>9033.6503608691819</v>
      </c>
      <c r="U246" s="8">
        <f t="shared" si="163"/>
        <v>9968.1659154418539</v>
      </c>
      <c r="V246" s="8">
        <f t="shared" si="163"/>
        <v>11421.856778110458</v>
      </c>
      <c r="W246" s="8">
        <f t="shared" si="163"/>
        <v>12979.382702398249</v>
      </c>
      <c r="X246" s="8">
        <f t="shared" si="163"/>
        <v>15886.764427735456</v>
      </c>
      <c r="Y246" s="8">
        <f t="shared" si="163"/>
        <v>23674.394049174407</v>
      </c>
      <c r="Z246">
        <f t="shared" si="167"/>
        <v>7.9009002322499269</v>
      </c>
      <c r="AA246">
        <f t="shared" si="167"/>
        <v>8.4929512959385036</v>
      </c>
      <c r="AB246">
        <f t="shared" si="167"/>
        <v>8.7371482564505456</v>
      </c>
      <c r="AC246">
        <f t="shared" si="167"/>
        <v>8.8769101988257031</v>
      </c>
      <c r="AD246">
        <f t="shared" si="167"/>
        <v>9.108711812883028</v>
      </c>
      <c r="AE246">
        <f t="shared" si="164"/>
        <v>9.2071518856962804</v>
      </c>
      <c r="AF246">
        <f t="shared" si="164"/>
        <v>9.34328406002086</v>
      </c>
      <c r="AG246">
        <f t="shared" si="164"/>
        <v>9.4711174315307449</v>
      </c>
      <c r="AH246">
        <f t="shared" si="164"/>
        <v>9.6732416156208796</v>
      </c>
      <c r="AI246">
        <f t="shared" si="164"/>
        <v>10.072149323182886</v>
      </c>
      <c r="AJ246">
        <f t="shared" si="145"/>
        <v>14.405695591660828</v>
      </c>
      <c r="AK246">
        <f t="shared" si="132"/>
        <v>15.485181111982083</v>
      </c>
      <c r="AL246">
        <f t="shared" si="133"/>
        <v>15.930424941689768</v>
      </c>
      <c r="AM246">
        <f t="shared" si="134"/>
        <v>16.185252611698509</v>
      </c>
      <c r="AN246">
        <f t="shared" si="135"/>
        <v>16.607896031006</v>
      </c>
      <c r="AO246">
        <f t="shared" si="136"/>
        <v>16.787381618886258</v>
      </c>
      <c r="AP246">
        <f t="shared" si="137"/>
        <v>17.035591140067915</v>
      </c>
      <c r="AQ246">
        <f t="shared" si="138"/>
        <v>17.268669470675146</v>
      </c>
      <c r="AR246">
        <f t="shared" si="139"/>
        <v>17.637202091278319</v>
      </c>
      <c r="AS246">
        <f t="shared" si="140"/>
        <v>18.364529716660712</v>
      </c>
      <c r="AT246">
        <f t="shared" si="141"/>
        <v>26.265875960884006</v>
      </c>
      <c r="AU246">
        <f t="shared" si="146"/>
        <v>-14.585647615400871</v>
      </c>
      <c r="AV246" s="5">
        <f t="shared" si="168"/>
        <v>-0.17995202374004293</v>
      </c>
      <c r="AW246" s="5">
        <f t="shared" si="168"/>
        <v>0.89953349658121162</v>
      </c>
      <c r="AX246" s="5">
        <f t="shared" si="168"/>
        <v>1.3447773262888969</v>
      </c>
      <c r="AY246" s="5">
        <f t="shared" si="168"/>
        <v>1.5996049962976375</v>
      </c>
      <c r="AZ246" s="5">
        <f t="shared" si="168"/>
        <v>2.0222484156051284</v>
      </c>
      <c r="BA246" s="5">
        <f t="shared" si="165"/>
        <v>2.2017340034853863</v>
      </c>
      <c r="BB246" s="5">
        <f t="shared" si="165"/>
        <v>2.4499435246670433</v>
      </c>
      <c r="BC246" s="5">
        <f t="shared" si="165"/>
        <v>2.6830218552742746</v>
      </c>
      <c r="BD246" s="5">
        <f t="shared" si="165"/>
        <v>3.0515544758774471</v>
      </c>
      <c r="BE246" s="5">
        <f t="shared" si="165"/>
        <v>3.7788821012598408</v>
      </c>
      <c r="BG246" s="1"/>
      <c r="BH246" s="1">
        <f t="shared" si="161"/>
        <v>6.1999999999999931</v>
      </c>
      <c r="BI246" s="8">
        <f t="shared" si="160"/>
        <v>318152322.69999999</v>
      </c>
      <c r="BJ246" s="8">
        <f t="shared" si="151"/>
        <v>276481974.5</v>
      </c>
      <c r="BK246" s="8">
        <f t="shared" si="152"/>
        <v>123839964.09999999</v>
      </c>
      <c r="BL246" s="8">
        <f t="shared" si="153"/>
        <v>75488501</v>
      </c>
      <c r="BM246" s="8">
        <f t="shared" si="154"/>
        <v>69274770.299999997</v>
      </c>
      <c r="BN246" s="8">
        <f t="shared" si="155"/>
        <v>65166695.5</v>
      </c>
      <c r="BO246" s="8">
        <f t="shared" si="156"/>
        <v>40816643.899999999</v>
      </c>
      <c r="BP246" s="8">
        <f t="shared" si="157"/>
        <v>33577930.600000001</v>
      </c>
      <c r="BQ246" s="8">
        <f t="shared" si="158"/>
        <v>20238357.300000001</v>
      </c>
      <c r="BR246" s="8">
        <f t="shared" si="159"/>
        <v>923275.3</v>
      </c>
      <c r="BS246" s="8">
        <f t="shared" si="147"/>
        <v>1023.9604351999999</v>
      </c>
      <c r="BT246" s="8">
        <f t="shared" si="162"/>
        <v>70.007999700000141</v>
      </c>
      <c r="BU246" s="8"/>
    </row>
    <row r="247" spans="1:73" x14ac:dyDescent="0.35">
      <c r="A247" t="s">
        <v>366</v>
      </c>
      <c r="B247">
        <v>3.4</v>
      </c>
      <c r="C247">
        <v>4.4000000000000004</v>
      </c>
      <c r="D247">
        <v>5.3</v>
      </c>
      <c r="E247">
        <v>7.1000000000000005</v>
      </c>
      <c r="F247">
        <v>9.3000000000000007</v>
      </c>
      <c r="G247">
        <v>10.4</v>
      </c>
      <c r="H247">
        <v>12.6</v>
      </c>
      <c r="I247">
        <v>14.1</v>
      </c>
      <c r="J247">
        <v>15.3</v>
      </c>
      <c r="K247">
        <v>18.100000000000001</v>
      </c>
      <c r="L247">
        <f t="shared" si="127"/>
        <v>25.2</v>
      </c>
      <c r="M247">
        <f t="shared" si="128"/>
        <v>11281768</v>
      </c>
      <c r="N247">
        <f t="shared" si="129"/>
        <v>4913.8475131462556</v>
      </c>
      <c r="O247">
        <f t="shared" si="144"/>
        <v>-4.1359215714785158</v>
      </c>
      <c r="P247" s="8">
        <f t="shared" si="166"/>
        <v>1670.7081544697271</v>
      </c>
      <c r="Q247" s="8">
        <f t="shared" si="166"/>
        <v>2162.0929057843523</v>
      </c>
      <c r="R247" s="8">
        <f t="shared" si="166"/>
        <v>2604.3391819675153</v>
      </c>
      <c r="S247" s="8">
        <f t="shared" si="166"/>
        <v>3488.8317343338413</v>
      </c>
      <c r="T247" s="8">
        <f t="shared" si="166"/>
        <v>4569.8781872260179</v>
      </c>
      <c r="U247" s="8">
        <f t="shared" si="163"/>
        <v>5110.4014136721062</v>
      </c>
      <c r="V247" s="8">
        <f t="shared" si="163"/>
        <v>6191.4478665642819</v>
      </c>
      <c r="W247" s="8">
        <f t="shared" si="163"/>
        <v>6928.5249935362199</v>
      </c>
      <c r="X247" s="8">
        <f t="shared" si="163"/>
        <v>7518.1866951137708</v>
      </c>
      <c r="Y247" s="8">
        <f t="shared" si="163"/>
        <v>8894.0639987947234</v>
      </c>
      <c r="Z247">
        <f t="shared" si="167"/>
        <v>7.421002860121952</v>
      </c>
      <c r="AA247">
        <f t="shared" si="167"/>
        <v>7.678831969424051</v>
      </c>
      <c r="AB247">
        <f t="shared" si="167"/>
        <v>7.8649342490579119</v>
      </c>
      <c r="AC247">
        <f t="shared" si="167"/>
        <v>8.1573222125471059</v>
      </c>
      <c r="AD247">
        <f t="shared" si="167"/>
        <v>8.4272418286590458</v>
      </c>
      <c r="AE247">
        <f t="shared" si="164"/>
        <v>8.5390332346471638</v>
      </c>
      <c r="AF247">
        <f t="shared" si="164"/>
        <v>8.7309242424572684</v>
      </c>
      <c r="AG247">
        <f t="shared" si="164"/>
        <v>8.843402225883958</v>
      </c>
      <c r="AH247">
        <f t="shared" si="164"/>
        <v>8.9250802568982248</v>
      </c>
      <c r="AI247">
        <f t="shared" si="164"/>
        <v>9.0931393667716165</v>
      </c>
      <c r="AJ247">
        <f t="shared" si="145"/>
        <v>13.530699672854636</v>
      </c>
      <c r="AK247">
        <f t="shared" si="132"/>
        <v>14.000798972186933</v>
      </c>
      <c r="AL247">
        <f t="shared" si="133"/>
        <v>14.340118886438793</v>
      </c>
      <c r="AM247">
        <f t="shared" si="134"/>
        <v>14.873229275492713</v>
      </c>
      <c r="AN247">
        <f t="shared" si="135"/>
        <v>15.365373171710381</v>
      </c>
      <c r="AO247">
        <f t="shared" si="136"/>
        <v>15.569202218665705</v>
      </c>
      <c r="AP247">
        <f t="shared" si="137"/>
        <v>15.919076709423853</v>
      </c>
      <c r="AQ247">
        <f t="shared" si="138"/>
        <v>16.124157591649769</v>
      </c>
      <c r="AR247">
        <f t="shared" si="139"/>
        <v>16.273080982242021</v>
      </c>
      <c r="AS247">
        <f t="shared" si="140"/>
        <v>16.579502821155955</v>
      </c>
      <c r="AT247">
        <f t="shared" si="141"/>
        <v>24.670497652116513</v>
      </c>
      <c r="AU247">
        <f t="shared" si="146"/>
        <v>-19.846184117105615</v>
      </c>
      <c r="AV247" s="5">
        <f t="shared" si="168"/>
        <v>-6.3154844442509788</v>
      </c>
      <c r="AW247" s="5">
        <f t="shared" si="168"/>
        <v>-5.8453851449186818</v>
      </c>
      <c r="AX247" s="5">
        <f t="shared" si="168"/>
        <v>-5.5060652306668221</v>
      </c>
      <c r="AY247" s="5">
        <f t="shared" si="168"/>
        <v>-4.9729548416129017</v>
      </c>
      <c r="AZ247" s="5">
        <f t="shared" si="168"/>
        <v>-4.4808109453952341</v>
      </c>
      <c r="BA247" s="5">
        <f t="shared" si="165"/>
        <v>-4.2769818984399102</v>
      </c>
      <c r="BB247" s="5">
        <f t="shared" si="165"/>
        <v>-3.9271074076817616</v>
      </c>
      <c r="BC247" s="5">
        <f t="shared" si="165"/>
        <v>-3.7220265254558456</v>
      </c>
      <c r="BD247" s="5">
        <f t="shared" si="165"/>
        <v>-3.5731031348635938</v>
      </c>
      <c r="BE247" s="5">
        <f t="shared" si="165"/>
        <v>-3.2666812959496596</v>
      </c>
      <c r="BG247" s="1"/>
      <c r="BH247" s="1">
        <f t="shared" si="161"/>
        <v>6.2999999999999927</v>
      </c>
      <c r="BI247" s="8">
        <f t="shared" si="160"/>
        <v>320227689.10000002</v>
      </c>
      <c r="BJ247" s="8">
        <f t="shared" si="151"/>
        <v>277327964.80000001</v>
      </c>
      <c r="BK247" s="8">
        <f t="shared" si="152"/>
        <v>249311970.40000001</v>
      </c>
      <c r="BL247" s="8">
        <f t="shared" si="153"/>
        <v>114047650.40000001</v>
      </c>
      <c r="BM247" s="8">
        <f t="shared" si="154"/>
        <v>69274770.299999997</v>
      </c>
      <c r="BN247" s="8">
        <f t="shared" si="155"/>
        <v>67787549.900000006</v>
      </c>
      <c r="BO247" s="8">
        <f t="shared" si="156"/>
        <v>61418706.899999999</v>
      </c>
      <c r="BP247" s="8">
        <f t="shared" si="157"/>
        <v>39797356</v>
      </c>
      <c r="BQ247" s="8">
        <f t="shared" si="158"/>
        <v>20238357.300000001</v>
      </c>
      <c r="BR247" s="8">
        <f t="shared" si="159"/>
        <v>923275.3</v>
      </c>
      <c r="BS247" s="8">
        <f t="shared" si="147"/>
        <v>1220.3552904000001</v>
      </c>
      <c r="BT247" s="8">
        <f t="shared" si="162"/>
        <v>196.39485520000017</v>
      </c>
      <c r="BU247" s="8"/>
    </row>
    <row r="248" spans="1:73" x14ac:dyDescent="0.35">
      <c r="A248" t="s">
        <v>248</v>
      </c>
      <c r="B248">
        <v>3.3000000000000003</v>
      </c>
      <c r="C248">
        <v>4.7</v>
      </c>
      <c r="D248">
        <v>5.6000000000000005</v>
      </c>
      <c r="E248">
        <v>6.5</v>
      </c>
      <c r="F248">
        <v>7.5</v>
      </c>
      <c r="G248">
        <v>8.8000000000000007</v>
      </c>
      <c r="H248">
        <v>10.1</v>
      </c>
      <c r="I248">
        <v>11.8</v>
      </c>
      <c r="J248">
        <v>14.5</v>
      </c>
      <c r="K248">
        <v>27.2</v>
      </c>
      <c r="L248">
        <f t="shared" si="127"/>
        <v>18.399999999999999</v>
      </c>
      <c r="M248">
        <f t="shared" si="128"/>
        <v>1103685</v>
      </c>
      <c r="N248">
        <f t="shared" si="129"/>
        <v>17402.698674388368</v>
      </c>
      <c r="O248">
        <f t="shared" si="144"/>
        <v>-6.3990485946506581</v>
      </c>
      <c r="P248" s="8">
        <f t="shared" si="166"/>
        <v>5742.8905625481621</v>
      </c>
      <c r="Q248" s="8">
        <f t="shared" si="166"/>
        <v>8179.2683769625337</v>
      </c>
      <c r="R248" s="8">
        <f t="shared" si="166"/>
        <v>9745.5112576574866</v>
      </c>
      <c r="S248" s="8">
        <f t="shared" si="166"/>
        <v>11311.75413835244</v>
      </c>
      <c r="T248" s="8">
        <f t="shared" si="166"/>
        <v>13052.024005791276</v>
      </c>
      <c r="U248" s="8">
        <f t="shared" si="163"/>
        <v>15314.374833461765</v>
      </c>
      <c r="V248" s="8">
        <f t="shared" si="163"/>
        <v>17576.725661132252</v>
      </c>
      <c r="W248" s="8">
        <f t="shared" si="163"/>
        <v>20535.184435778276</v>
      </c>
      <c r="X248" s="8">
        <f t="shared" si="163"/>
        <v>25233.913077863133</v>
      </c>
      <c r="Y248" s="8">
        <f t="shared" si="163"/>
        <v>47335.340394336359</v>
      </c>
      <c r="Z248">
        <f t="shared" si="167"/>
        <v>8.6557179448840493</v>
      </c>
      <c r="AA248">
        <f t="shared" si="167"/>
        <v>9.0093579851276271</v>
      </c>
      <c r="AB248">
        <f t="shared" si="167"/>
        <v>9.1845620741527174</v>
      </c>
      <c r="AC248">
        <f t="shared" si="167"/>
        <v>9.3335976533132055</v>
      </c>
      <c r="AD248">
        <f t="shared" si="167"/>
        <v>9.4766984969538797</v>
      </c>
      <c r="AE248">
        <f t="shared" si="164"/>
        <v>9.6365471978957746</v>
      </c>
      <c r="AF248">
        <f t="shared" si="164"/>
        <v>9.7743309002588283</v>
      </c>
      <c r="AG248">
        <f t="shared" si="164"/>
        <v>9.9298950078832338</v>
      </c>
      <c r="AH248">
        <f t="shared" si="164"/>
        <v>10.135944125838144</v>
      </c>
      <c r="AI248">
        <f t="shared" si="164"/>
        <v>10.765012449713566</v>
      </c>
      <c r="AJ248">
        <f t="shared" si="145"/>
        <v>15.781953217471198</v>
      </c>
      <c r="AK248">
        <f t="shared" si="132"/>
        <v>16.426744395567233</v>
      </c>
      <c r="AL248">
        <f t="shared" si="133"/>
        <v>16.746193660678504</v>
      </c>
      <c r="AM248">
        <f t="shared" si="134"/>
        <v>17.017929934090663</v>
      </c>
      <c r="AN248">
        <f t="shared" si="135"/>
        <v>17.278845416099017</v>
      </c>
      <c r="AO248">
        <f t="shared" si="136"/>
        <v>17.57029723282897</v>
      </c>
      <c r="AP248">
        <f t="shared" si="137"/>
        <v>17.821517981780122</v>
      </c>
      <c r="AQ248">
        <f t="shared" si="138"/>
        <v>18.105157708083485</v>
      </c>
      <c r="AR248">
        <f t="shared" si="139"/>
        <v>18.480846652752437</v>
      </c>
      <c r="AS248">
        <f t="shared" si="140"/>
        <v>19.627825669537849</v>
      </c>
      <c r="AT248">
        <f t="shared" si="141"/>
        <v>28.7752037375088</v>
      </c>
      <c r="AU248">
        <f t="shared" si="146"/>
        <v>-24.532835163306171</v>
      </c>
      <c r="AV248" s="5">
        <f t="shared" si="168"/>
        <v>-8.7508819458349727</v>
      </c>
      <c r="AW248" s="5">
        <f t="shared" si="168"/>
        <v>-8.1060907677389373</v>
      </c>
      <c r="AX248" s="5">
        <f t="shared" si="168"/>
        <v>-7.786641502627667</v>
      </c>
      <c r="AY248" s="5">
        <f t="shared" si="168"/>
        <v>-7.5149052292155076</v>
      </c>
      <c r="AZ248" s="5">
        <f t="shared" si="168"/>
        <v>-7.2539897472071537</v>
      </c>
      <c r="BA248" s="5">
        <f t="shared" si="165"/>
        <v>-6.9625379304772004</v>
      </c>
      <c r="BB248" s="5">
        <f t="shared" si="165"/>
        <v>-6.7113171815260486</v>
      </c>
      <c r="BC248" s="5">
        <f t="shared" si="165"/>
        <v>-6.4276774552226854</v>
      </c>
      <c r="BD248" s="5">
        <f t="shared" si="165"/>
        <v>-6.0519885105537341</v>
      </c>
      <c r="BE248" s="5">
        <f t="shared" si="165"/>
        <v>-4.905009493768322</v>
      </c>
      <c r="BG248" s="1"/>
      <c r="BH248" s="1">
        <f t="shared" si="161"/>
        <v>6.3999999999999924</v>
      </c>
      <c r="BI248" s="8">
        <f t="shared" si="160"/>
        <v>324906533.69999999</v>
      </c>
      <c r="BJ248" s="8">
        <f t="shared" si="151"/>
        <v>303350525.69999999</v>
      </c>
      <c r="BK248" s="8">
        <f t="shared" si="152"/>
        <v>275836002.39999998</v>
      </c>
      <c r="BL248" s="8">
        <f t="shared" si="153"/>
        <v>244402428.90000001</v>
      </c>
      <c r="BM248" s="8">
        <f t="shared" si="154"/>
        <v>92856076.299999997</v>
      </c>
      <c r="BN248" s="8">
        <f t="shared" si="155"/>
        <v>69274770.299999997</v>
      </c>
      <c r="BO248" s="8">
        <f t="shared" si="156"/>
        <v>66351056.799999997</v>
      </c>
      <c r="BP248" s="8">
        <f t="shared" si="157"/>
        <v>43956583.5</v>
      </c>
      <c r="BQ248" s="8">
        <f t="shared" si="158"/>
        <v>26657615.600000001</v>
      </c>
      <c r="BR248" s="8">
        <f t="shared" si="159"/>
        <v>923275.3</v>
      </c>
      <c r="BS248" s="8">
        <f t="shared" si="147"/>
        <v>1448.5148684999997</v>
      </c>
      <c r="BT248" s="8">
        <f t="shared" si="162"/>
        <v>228.15957809999964</v>
      </c>
      <c r="BU248" s="8"/>
    </row>
    <row r="249" spans="1:73" x14ac:dyDescent="0.35">
      <c r="A249" t="s">
        <v>249</v>
      </c>
      <c r="B249">
        <v>4.0999999999999996</v>
      </c>
      <c r="C249">
        <v>6</v>
      </c>
      <c r="D249">
        <v>6.9</v>
      </c>
      <c r="E249">
        <v>7.7</v>
      </c>
      <c r="F249">
        <v>8.4</v>
      </c>
      <c r="G249">
        <v>9.3000000000000007</v>
      </c>
      <c r="H249">
        <v>10.3</v>
      </c>
      <c r="I249">
        <v>11.700000000000001</v>
      </c>
      <c r="J249">
        <v>13.700000000000001</v>
      </c>
      <c r="K249">
        <v>21.7</v>
      </c>
      <c r="L249">
        <f t="shared" si="127"/>
        <v>7.5</v>
      </c>
      <c r="M249">
        <f t="shared" si="128"/>
        <v>10519792</v>
      </c>
      <c r="N249">
        <f t="shared" si="129"/>
        <v>14114.421997373165</v>
      </c>
      <c r="O249">
        <f t="shared" si="144"/>
        <v>4.3710242810694275</v>
      </c>
      <c r="P249" s="8">
        <f t="shared" si="166"/>
        <v>5786.9130189229973</v>
      </c>
      <c r="Q249" s="8">
        <f t="shared" si="166"/>
        <v>8468.6531984238991</v>
      </c>
      <c r="R249" s="8">
        <f t="shared" si="166"/>
        <v>9738.9511781874844</v>
      </c>
      <c r="S249" s="8">
        <f t="shared" si="166"/>
        <v>10868.104937977338</v>
      </c>
      <c r="T249" s="8">
        <f t="shared" si="166"/>
        <v>11856.114477793459</v>
      </c>
      <c r="U249" s="8">
        <f t="shared" si="163"/>
        <v>13126.412457557046</v>
      </c>
      <c r="V249" s="8">
        <f t="shared" si="163"/>
        <v>14537.854657294363</v>
      </c>
      <c r="W249" s="8">
        <f t="shared" si="163"/>
        <v>16513.873736926605</v>
      </c>
      <c r="X249" s="8">
        <f t="shared" si="163"/>
        <v>19336.758136401237</v>
      </c>
      <c r="Y249" s="8">
        <f t="shared" si="163"/>
        <v>30628.295734299765</v>
      </c>
      <c r="Z249">
        <f t="shared" si="167"/>
        <v>8.6633542710345797</v>
      </c>
      <c r="AA249">
        <f t="shared" si="167"/>
        <v>9.0441267665523721</v>
      </c>
      <c r="AB249">
        <f t="shared" si="167"/>
        <v>9.1838887089275314</v>
      </c>
      <c r="AC249">
        <f t="shared" si="167"/>
        <v>9.2935876261839567</v>
      </c>
      <c r="AD249">
        <f t="shared" si="167"/>
        <v>9.380599003173586</v>
      </c>
      <c r="AE249">
        <f t="shared" si="164"/>
        <v>9.4823816974835289</v>
      </c>
      <c r="AF249">
        <f t="shared" si="164"/>
        <v>9.5845111925599085</v>
      </c>
      <c r="AG249">
        <f t="shared" si="164"/>
        <v>9.7119561391280289</v>
      </c>
      <c r="AH249">
        <f t="shared" si="164"/>
        <v>9.8697631301583968</v>
      </c>
      <c r="AI249">
        <f t="shared" si="164"/>
        <v>10.329679557870731</v>
      </c>
      <c r="AJ249">
        <f t="shared" si="145"/>
        <v>15.795876515668807</v>
      </c>
      <c r="AK249">
        <f t="shared" si="132"/>
        <v>16.490138245201408</v>
      </c>
      <c r="AL249">
        <f t="shared" si="133"/>
        <v>16.744965915210152</v>
      </c>
      <c r="AM249">
        <f t="shared" si="134"/>
        <v>16.944979731645958</v>
      </c>
      <c r="AN249">
        <f t="shared" si="135"/>
        <v>17.103627401288392</v>
      </c>
      <c r="AO249">
        <f t="shared" si="136"/>
        <v>17.289207584258325</v>
      </c>
      <c r="AP249">
        <f t="shared" si="137"/>
        <v>17.475420088372097</v>
      </c>
      <c r="AQ249">
        <f t="shared" si="138"/>
        <v>17.707790204559856</v>
      </c>
      <c r="AR249">
        <f t="shared" si="139"/>
        <v>17.995519375691547</v>
      </c>
      <c r="AS249">
        <f t="shared" si="140"/>
        <v>18.834084078506589</v>
      </c>
      <c r="AT249">
        <f t="shared" si="141"/>
        <v>28.800590059265907</v>
      </c>
      <c r="AU249">
        <f t="shared" si="146"/>
        <v>-13.230146509438086</v>
      </c>
      <c r="AV249" s="5">
        <f t="shared" si="168"/>
        <v>2.5657300062307211</v>
      </c>
      <c r="AW249" s="5">
        <f t="shared" si="168"/>
        <v>3.2599917357633217</v>
      </c>
      <c r="AX249" s="5">
        <f t="shared" si="168"/>
        <v>3.5148194057720659</v>
      </c>
      <c r="AY249" s="5">
        <f t="shared" si="168"/>
        <v>3.7148332222078722</v>
      </c>
      <c r="AZ249" s="5">
        <f t="shared" si="168"/>
        <v>3.8734808918503063</v>
      </c>
      <c r="BA249" s="5">
        <f t="shared" si="165"/>
        <v>4.0590610748202387</v>
      </c>
      <c r="BB249" s="5">
        <f t="shared" si="165"/>
        <v>4.245273578934011</v>
      </c>
      <c r="BC249" s="5">
        <f t="shared" si="165"/>
        <v>4.4776436951217704</v>
      </c>
      <c r="BD249" s="5">
        <f t="shared" si="165"/>
        <v>4.7653728662534611</v>
      </c>
      <c r="BE249" s="5">
        <f t="shared" si="165"/>
        <v>5.6039375690685027</v>
      </c>
      <c r="BG249" s="1"/>
      <c r="BH249" s="1">
        <f t="shared" si="161"/>
        <v>6.499999999999992</v>
      </c>
      <c r="BI249" s="8">
        <f t="shared" si="160"/>
        <v>348779334.19999999</v>
      </c>
      <c r="BJ249" s="8">
        <f t="shared" si="151"/>
        <v>305620551.89999998</v>
      </c>
      <c r="BK249" s="8">
        <f t="shared" si="152"/>
        <v>276916793.30000001</v>
      </c>
      <c r="BL249" s="8">
        <f t="shared" si="153"/>
        <v>248567672.80000001</v>
      </c>
      <c r="BM249" s="8">
        <f t="shared" si="154"/>
        <v>122740900.40000001</v>
      </c>
      <c r="BN249" s="8">
        <f t="shared" si="155"/>
        <v>90740997.299999997</v>
      </c>
      <c r="BO249" s="8">
        <f t="shared" si="156"/>
        <v>67901800.099999994</v>
      </c>
      <c r="BP249" s="8">
        <f t="shared" si="157"/>
        <v>61963496.899999999</v>
      </c>
      <c r="BQ249" s="8">
        <f t="shared" si="158"/>
        <v>36455022.200000003</v>
      </c>
      <c r="BR249" s="8">
        <f t="shared" si="159"/>
        <v>9632803.4000000004</v>
      </c>
      <c r="BS249" s="8">
        <f t="shared" si="147"/>
        <v>1569.3193725000001</v>
      </c>
      <c r="BT249" s="8">
        <f t="shared" si="162"/>
        <v>120.80450400000041</v>
      </c>
      <c r="BU249" s="8"/>
    </row>
    <row r="250" spans="1:73" x14ac:dyDescent="0.35">
      <c r="A250" t="s">
        <v>136</v>
      </c>
      <c r="B250">
        <v>3.2</v>
      </c>
      <c r="C250">
        <v>5.7</v>
      </c>
      <c r="D250">
        <v>6.7</v>
      </c>
      <c r="E250">
        <v>7.6000000000000005</v>
      </c>
      <c r="F250">
        <v>8.5</v>
      </c>
      <c r="G250">
        <v>9.5</v>
      </c>
      <c r="H250">
        <v>10.5</v>
      </c>
      <c r="I250">
        <v>11.8</v>
      </c>
      <c r="J250">
        <v>13.8</v>
      </c>
      <c r="K250">
        <v>22.6</v>
      </c>
      <c r="L250">
        <f t="shared" si="127"/>
        <v>7.5</v>
      </c>
      <c r="M250">
        <f t="shared" si="128"/>
        <v>5547683</v>
      </c>
      <c r="N250">
        <f t="shared" si="129"/>
        <v>46292.736560813282</v>
      </c>
      <c r="O250">
        <f t="shared" si="144"/>
        <v>1.574658453861133E-2</v>
      </c>
      <c r="P250" s="8">
        <f t="shared" si="166"/>
        <v>14813.675699460251</v>
      </c>
      <c r="Q250" s="8">
        <f t="shared" si="166"/>
        <v>26386.859839663572</v>
      </c>
      <c r="R250" s="8">
        <f t="shared" si="166"/>
        <v>31016.1334957449</v>
      </c>
      <c r="S250" s="8">
        <f t="shared" si="166"/>
        <v>35182.4797862181</v>
      </c>
      <c r="T250" s="8">
        <f t="shared" si="166"/>
        <v>39348.826076691286</v>
      </c>
      <c r="U250" s="8">
        <f t="shared" si="163"/>
        <v>43978.099732772615</v>
      </c>
      <c r="V250" s="8">
        <f t="shared" si="163"/>
        <v>48607.37338885395</v>
      </c>
      <c r="W250" s="8">
        <f t="shared" si="163"/>
        <v>54625.429141759676</v>
      </c>
      <c r="X250" s="8">
        <f t="shared" si="163"/>
        <v>63883.976453922325</v>
      </c>
      <c r="Y250" s="8">
        <f t="shared" si="163"/>
        <v>104621.58462743802</v>
      </c>
      <c r="Z250">
        <f t="shared" si="167"/>
        <v>9.6033060668431478</v>
      </c>
      <c r="AA250">
        <f t="shared" si="167"/>
        <v>10.18062143187797</v>
      </c>
      <c r="AB250">
        <f t="shared" si="167"/>
        <v>10.342262783434387</v>
      </c>
      <c r="AC250">
        <f t="shared" si="167"/>
        <v>10.468303504329752</v>
      </c>
      <c r="AD250">
        <f t="shared" si="167"/>
        <v>10.580221420533737</v>
      </c>
      <c r="AE250">
        <f t="shared" si="164"/>
        <v>10.691447055643961</v>
      </c>
      <c r="AF250">
        <f t="shared" si="164"/>
        <v>10.791530514200945</v>
      </c>
      <c r="AG250">
        <f t="shared" si="164"/>
        <v>10.908254788509085</v>
      </c>
      <c r="AH250">
        <f t="shared" si="164"/>
        <v>11.064823849200625</v>
      </c>
      <c r="AI250">
        <f t="shared" si="164"/>
        <v>11.558105163315707</v>
      </c>
      <c r="AJ250">
        <f t="shared" si="145"/>
        <v>17.509688745062977</v>
      </c>
      <c r="AK250">
        <f t="shared" si="132"/>
        <v>18.56230669550024</v>
      </c>
      <c r="AL250">
        <f t="shared" si="133"/>
        <v>18.857027048510353</v>
      </c>
      <c r="AM250">
        <f t="shared" si="134"/>
        <v>19.086836842837428</v>
      </c>
      <c r="AN250">
        <f t="shared" si="135"/>
        <v>19.290896555616325</v>
      </c>
      <c r="AO250">
        <f t="shared" si="136"/>
        <v>19.493694033661523</v>
      </c>
      <c r="AP250">
        <f t="shared" si="137"/>
        <v>19.676176003481554</v>
      </c>
      <c r="AQ250">
        <f t="shared" si="138"/>
        <v>19.888999139379038</v>
      </c>
      <c r="AR250">
        <f t="shared" si="139"/>
        <v>20.174471194599803</v>
      </c>
      <c r="AS250">
        <f t="shared" si="140"/>
        <v>21.073870028063205</v>
      </c>
      <c r="AT250">
        <f t="shared" si="141"/>
        <v>31.925380469495838</v>
      </c>
      <c r="AU250">
        <f t="shared" si="146"/>
        <v>-19.787738004276147</v>
      </c>
      <c r="AV250" s="5">
        <f t="shared" si="168"/>
        <v>-2.2780492592131694</v>
      </c>
      <c r="AW250" s="5">
        <f t="shared" si="168"/>
        <v>-1.2254313087759066</v>
      </c>
      <c r="AX250" s="5">
        <f t="shared" si="168"/>
        <v>-0.9307109557657931</v>
      </c>
      <c r="AY250" s="5">
        <f t="shared" si="168"/>
        <v>-0.70090116143871839</v>
      </c>
      <c r="AZ250" s="5">
        <f t="shared" si="168"/>
        <v>-0.49684144865982205</v>
      </c>
      <c r="BA250" s="5">
        <f t="shared" si="165"/>
        <v>-0.29404397061462362</v>
      </c>
      <c r="BB250" s="5">
        <f t="shared" si="165"/>
        <v>-0.11156200079459211</v>
      </c>
      <c r="BC250" s="5">
        <f t="shared" si="165"/>
        <v>0.10126113510289159</v>
      </c>
      <c r="BD250" s="5">
        <f t="shared" si="165"/>
        <v>0.38673319032365683</v>
      </c>
      <c r="BE250" s="5">
        <f t="shared" si="165"/>
        <v>1.2861320237870579</v>
      </c>
      <c r="BG250" s="1"/>
      <c r="BH250" s="1">
        <f t="shared" si="161"/>
        <v>6.5999999999999917</v>
      </c>
      <c r="BI250" s="8">
        <f t="shared" si="160"/>
        <v>352686531.10000002</v>
      </c>
      <c r="BJ250" s="8">
        <f t="shared" si="151"/>
        <v>307810041.80000001</v>
      </c>
      <c r="BK250" s="8">
        <f t="shared" si="152"/>
        <v>301395613.30000001</v>
      </c>
      <c r="BL250" s="8">
        <f t="shared" si="153"/>
        <v>276192208.60000002</v>
      </c>
      <c r="BM250" s="8">
        <f t="shared" si="154"/>
        <v>244402428.90000001</v>
      </c>
      <c r="BN250" s="8">
        <f t="shared" si="155"/>
        <v>95493319.099999994</v>
      </c>
      <c r="BO250" s="8">
        <f t="shared" si="156"/>
        <v>89245048.799999997</v>
      </c>
      <c r="BP250" s="8">
        <f t="shared" si="157"/>
        <v>66465851.399999999</v>
      </c>
      <c r="BQ250" s="8">
        <f t="shared" si="158"/>
        <v>39629292</v>
      </c>
      <c r="BR250" s="8">
        <f t="shared" si="159"/>
        <v>10028602.4</v>
      </c>
      <c r="BS250" s="8">
        <f t="shared" si="147"/>
        <v>1783.3489374000003</v>
      </c>
      <c r="BT250" s="8">
        <f t="shared" si="162"/>
        <v>214.0295649000002</v>
      </c>
      <c r="BU250" s="8"/>
    </row>
    <row r="251" spans="1:73" x14ac:dyDescent="0.35">
      <c r="A251" t="s">
        <v>367</v>
      </c>
      <c r="B251">
        <v>1.71</v>
      </c>
      <c r="C251">
        <v>3.21</v>
      </c>
      <c r="D251">
        <v>4.21</v>
      </c>
      <c r="E251">
        <v>5.47</v>
      </c>
      <c r="F251">
        <v>6.6400000000000006</v>
      </c>
      <c r="G251">
        <v>7.91</v>
      </c>
      <c r="H251">
        <v>9.42</v>
      </c>
      <c r="I251">
        <v>11.46</v>
      </c>
      <c r="J251">
        <v>15.870000000000001</v>
      </c>
      <c r="K251">
        <v>34.1</v>
      </c>
      <c r="L251">
        <f t="shared" si="127"/>
        <v>28</v>
      </c>
      <c r="M251">
        <f t="shared" si="128"/>
        <v>834036</v>
      </c>
      <c r="N251">
        <f t="shared" si="129"/>
        <v>1085.8813944409201</v>
      </c>
      <c r="O251">
        <f t="shared" si="144"/>
        <v>-7.9298873445795106</v>
      </c>
      <c r="P251" s="8">
        <f t="shared" si="166"/>
        <v>185.68571844939734</v>
      </c>
      <c r="Q251" s="8">
        <f t="shared" si="166"/>
        <v>348.56792761553533</v>
      </c>
      <c r="R251" s="8">
        <f t="shared" si="166"/>
        <v>457.15606705962739</v>
      </c>
      <c r="S251" s="8">
        <f t="shared" si="166"/>
        <v>593.97712275918332</v>
      </c>
      <c r="T251" s="8">
        <f t="shared" si="166"/>
        <v>721.02524590877101</v>
      </c>
      <c r="U251" s="8">
        <f t="shared" si="163"/>
        <v>858.93218300276783</v>
      </c>
      <c r="V251" s="8">
        <f t="shared" si="163"/>
        <v>1022.9002735633467</v>
      </c>
      <c r="W251" s="8">
        <f t="shared" si="163"/>
        <v>1244.4200780292945</v>
      </c>
      <c r="X251" s="8">
        <f t="shared" si="163"/>
        <v>1723.2937729777404</v>
      </c>
      <c r="Y251" s="8">
        <f t="shared" si="163"/>
        <v>3702.8555550435376</v>
      </c>
      <c r="Z251">
        <f t="shared" si="167"/>
        <v>5.2240555588282165</v>
      </c>
      <c r="AA251">
        <f t="shared" si="167"/>
        <v>5.8538331254555729</v>
      </c>
      <c r="AB251">
        <f t="shared" si="167"/>
        <v>6.1250248360079382</v>
      </c>
      <c r="AC251">
        <f t="shared" si="167"/>
        <v>6.3868408047475382</v>
      </c>
      <c r="AD251">
        <f t="shared" si="167"/>
        <v>6.5806741518019907</v>
      </c>
      <c r="AE251">
        <f t="shared" si="164"/>
        <v>6.7556899700932105</v>
      </c>
      <c r="AF251">
        <f t="shared" si="164"/>
        <v>6.9303972769019193</v>
      </c>
      <c r="AG251">
        <f t="shared" si="164"/>
        <v>7.1264248996002415</v>
      </c>
      <c r="AH251">
        <f t="shared" si="164"/>
        <v>7.4519927228519656</v>
      </c>
      <c r="AI251">
        <f t="shared" si="164"/>
        <v>8.2168595726031199</v>
      </c>
      <c r="AJ251">
        <f t="shared" si="145"/>
        <v>9.5250100523003702</v>
      </c>
      <c r="AK251">
        <f t="shared" si="132"/>
        <v>10.673282229976895</v>
      </c>
      <c r="AL251">
        <f t="shared" si="133"/>
        <v>11.167745533443602</v>
      </c>
      <c r="AM251">
        <f t="shared" si="134"/>
        <v>11.645114065614578</v>
      </c>
      <c r="AN251">
        <f t="shared" si="135"/>
        <v>11.998530019632266</v>
      </c>
      <c r="AO251">
        <f t="shared" si="136"/>
        <v>12.317636011091011</v>
      </c>
      <c r="AP251">
        <f t="shared" si="137"/>
        <v>12.636179494180716</v>
      </c>
      <c r="AQ251">
        <f t="shared" si="138"/>
        <v>12.993596266591322</v>
      </c>
      <c r="AR251">
        <f t="shared" si="139"/>
        <v>13.587203427590543</v>
      </c>
      <c r="AS251">
        <f t="shared" si="140"/>
        <v>14.981783625008124</v>
      </c>
      <c r="AT251">
        <f t="shared" si="141"/>
        <v>17.366931778339161</v>
      </c>
      <c r="AU251">
        <f t="shared" si="146"/>
        <v>-21.258026244773657</v>
      </c>
      <c r="AV251" s="5">
        <f t="shared" si="168"/>
        <v>-11.733016192473286</v>
      </c>
      <c r="AW251" s="5">
        <f t="shared" si="168"/>
        <v>-10.584744014796762</v>
      </c>
      <c r="AX251" s="5">
        <f t="shared" si="168"/>
        <v>-10.090280711330054</v>
      </c>
      <c r="AY251" s="5">
        <f t="shared" si="168"/>
        <v>-9.6129121791590784</v>
      </c>
      <c r="AZ251" s="5">
        <f t="shared" si="168"/>
        <v>-9.2594962251413904</v>
      </c>
      <c r="BA251" s="5">
        <f t="shared" si="165"/>
        <v>-8.9403902336826455</v>
      </c>
      <c r="BB251" s="5">
        <f t="shared" si="165"/>
        <v>-8.6218467505929404</v>
      </c>
      <c r="BC251" s="5">
        <f t="shared" si="165"/>
        <v>-8.2644299781823349</v>
      </c>
      <c r="BD251" s="5">
        <f t="shared" si="165"/>
        <v>-7.6708228171831134</v>
      </c>
      <c r="BE251" s="5">
        <f t="shared" si="165"/>
        <v>-6.276242619765533</v>
      </c>
      <c r="BG251" s="1"/>
      <c r="BH251" s="1">
        <f t="shared" si="161"/>
        <v>6.6999999999999913</v>
      </c>
      <c r="BI251" s="8">
        <f t="shared" si="160"/>
        <v>355297299.69999999</v>
      </c>
      <c r="BJ251" s="8">
        <f t="shared" si="151"/>
        <v>307869163.80000001</v>
      </c>
      <c r="BK251" s="8">
        <f t="shared" si="152"/>
        <v>303732187.10000002</v>
      </c>
      <c r="BL251" s="8">
        <f t="shared" si="153"/>
        <v>300984441.80000001</v>
      </c>
      <c r="BM251" s="8">
        <f t="shared" si="154"/>
        <v>248923879</v>
      </c>
      <c r="BN251" s="8">
        <f t="shared" si="155"/>
        <v>122740900.40000001</v>
      </c>
      <c r="BO251" s="8">
        <f t="shared" si="156"/>
        <v>90740997.299999997</v>
      </c>
      <c r="BP251" s="8">
        <f t="shared" si="157"/>
        <v>67901800.099999994</v>
      </c>
      <c r="BQ251" s="8">
        <f t="shared" si="158"/>
        <v>45899969.600000001</v>
      </c>
      <c r="BR251" s="8">
        <f t="shared" si="159"/>
        <v>12705580.300000001</v>
      </c>
      <c r="BS251" s="8">
        <f t="shared" si="147"/>
        <v>1856.7962190999999</v>
      </c>
      <c r="BT251" s="8">
        <f t="shared" si="162"/>
        <v>73.447281699999621</v>
      </c>
      <c r="BU251" s="8"/>
    </row>
    <row r="252" spans="1:73" x14ac:dyDescent="0.35">
      <c r="A252" t="s">
        <v>220</v>
      </c>
      <c r="B252">
        <v>2.2000000000000002</v>
      </c>
      <c r="C252">
        <v>3.5</v>
      </c>
      <c r="D252">
        <v>4.5</v>
      </c>
      <c r="E252">
        <v>5.4</v>
      </c>
      <c r="F252">
        <v>6.5</v>
      </c>
      <c r="G252">
        <v>7.8</v>
      </c>
      <c r="H252">
        <v>9.5</v>
      </c>
      <c r="I252">
        <v>11.9</v>
      </c>
      <c r="J252">
        <v>16.3</v>
      </c>
      <c r="K252">
        <v>32.4</v>
      </c>
      <c r="L252">
        <f t="shared" si="127"/>
        <v>24.5</v>
      </c>
      <c r="M252">
        <f t="shared" si="128"/>
        <v>10016797</v>
      </c>
      <c r="N252">
        <f t="shared" si="129"/>
        <v>4776.8421015330105</v>
      </c>
      <c r="O252">
        <f t="shared" si="144"/>
        <v>-3.9271309547161106</v>
      </c>
      <c r="P252" s="8">
        <f t="shared" si="166"/>
        <v>1050.9052623372622</v>
      </c>
      <c r="Q252" s="8">
        <f t="shared" si="166"/>
        <v>1671.8947355365538</v>
      </c>
      <c r="R252" s="8">
        <f t="shared" si="166"/>
        <v>2149.5789456898547</v>
      </c>
      <c r="S252" s="8">
        <f t="shared" si="166"/>
        <v>2579.4947348278261</v>
      </c>
      <c r="T252" s="8">
        <f t="shared" si="166"/>
        <v>3104.9473659964569</v>
      </c>
      <c r="U252" s="8">
        <f t="shared" si="163"/>
        <v>3725.9368391957482</v>
      </c>
      <c r="V252" s="8">
        <f t="shared" si="163"/>
        <v>4537.9999964563594</v>
      </c>
      <c r="W252" s="8">
        <f t="shared" si="163"/>
        <v>5684.4421008242825</v>
      </c>
      <c r="X252" s="8">
        <f t="shared" si="163"/>
        <v>7786.252625498807</v>
      </c>
      <c r="Y252" s="8">
        <f t="shared" si="163"/>
        <v>15476.968408966952</v>
      </c>
      <c r="Z252">
        <f t="shared" si="167"/>
        <v>6.9574072263166808</v>
      </c>
      <c r="AA252">
        <f t="shared" si="167"/>
        <v>7.4217128344477787</v>
      </c>
      <c r="AB252">
        <f t="shared" si="167"/>
        <v>7.6730272627286844</v>
      </c>
      <c r="AC252">
        <f t="shared" si="167"/>
        <v>7.8553488195226393</v>
      </c>
      <c r="AD252">
        <f t="shared" si="167"/>
        <v>8.0407520428540025</v>
      </c>
      <c r="AE252">
        <f t="shared" si="164"/>
        <v>8.2230735996479574</v>
      </c>
      <c r="AF252">
        <f t="shared" si="164"/>
        <v>8.4202416645589047</v>
      </c>
      <c r="AG252">
        <f t="shared" si="164"/>
        <v>8.6454882660698935</v>
      </c>
      <c r="AH252">
        <f t="shared" si="164"/>
        <v>8.9601149737651262</v>
      </c>
      <c r="AI252">
        <f t="shared" si="164"/>
        <v>9.6471082887506938</v>
      </c>
      <c r="AJ252">
        <f t="shared" si="145"/>
        <v>12.685426680928753</v>
      </c>
      <c r="AK252">
        <f t="shared" si="132"/>
        <v>13.531994167622967</v>
      </c>
      <c r="AL252">
        <f t="shared" si="133"/>
        <v>13.990215262078685</v>
      </c>
      <c r="AM252">
        <f t="shared" si="134"/>
        <v>14.32264179193799</v>
      </c>
      <c r="AN252">
        <f t="shared" si="135"/>
        <v>14.660687118231618</v>
      </c>
      <c r="AO252">
        <f t="shared" si="136"/>
        <v>14.993113648090922</v>
      </c>
      <c r="AP252">
        <f t="shared" si="137"/>
        <v>15.352609786506923</v>
      </c>
      <c r="AQ252">
        <f t="shared" si="138"/>
        <v>15.763301464548706</v>
      </c>
      <c r="AR252">
        <f t="shared" si="139"/>
        <v>16.336959711436009</v>
      </c>
      <c r="AS252">
        <f t="shared" si="140"/>
        <v>17.589553248662565</v>
      </c>
      <c r="AT252">
        <f t="shared" si="141"/>
        <v>23.129313096484033</v>
      </c>
      <c r="AU252">
        <f t="shared" si="146"/>
        <v>-19.901490497887877</v>
      </c>
      <c r="AV252" s="5">
        <f t="shared" si="168"/>
        <v>-7.2160638169591245</v>
      </c>
      <c r="AW252" s="5">
        <f t="shared" si="168"/>
        <v>-6.3694963302649104</v>
      </c>
      <c r="AX252" s="5">
        <f t="shared" si="168"/>
        <v>-5.9112752358091925</v>
      </c>
      <c r="AY252" s="5">
        <f t="shared" si="168"/>
        <v>-5.5788487059498877</v>
      </c>
      <c r="AZ252" s="5">
        <f t="shared" si="168"/>
        <v>-5.2408033796562599</v>
      </c>
      <c r="BA252" s="5">
        <f t="shared" si="165"/>
        <v>-4.9083768497969551</v>
      </c>
      <c r="BB252" s="5">
        <f t="shared" si="165"/>
        <v>-4.5488807113809546</v>
      </c>
      <c r="BC252" s="5">
        <f t="shared" si="165"/>
        <v>-4.138189033339172</v>
      </c>
      <c r="BD252" s="5">
        <f t="shared" si="165"/>
        <v>-3.5645307864518685</v>
      </c>
      <c r="BE252" s="5">
        <f t="shared" si="165"/>
        <v>-2.3119372492253127</v>
      </c>
      <c r="BG252" s="1"/>
      <c r="BH252" s="1">
        <f t="shared" si="161"/>
        <v>6.7999999999999909</v>
      </c>
      <c r="BI252" s="8">
        <f t="shared" si="160"/>
        <v>359970425.60000002</v>
      </c>
      <c r="BJ252" s="8">
        <f t="shared" si="151"/>
        <v>314510788.80000001</v>
      </c>
      <c r="BK252" s="8">
        <f t="shared" si="152"/>
        <v>307757545.80000001</v>
      </c>
      <c r="BL252" s="8">
        <f t="shared" si="153"/>
        <v>301666887.10000002</v>
      </c>
      <c r="BM252" s="8">
        <f t="shared" si="154"/>
        <v>276270821.19999999</v>
      </c>
      <c r="BN252" s="8">
        <f t="shared" si="155"/>
        <v>247985451.90000001</v>
      </c>
      <c r="BO252" s="8">
        <f t="shared" si="156"/>
        <v>95493319.099999994</v>
      </c>
      <c r="BP252" s="8">
        <f t="shared" si="157"/>
        <v>89245048.799999997</v>
      </c>
      <c r="BQ252" s="8">
        <f t="shared" si="158"/>
        <v>61963496.899999999</v>
      </c>
      <c r="BR252" s="8">
        <f t="shared" si="159"/>
        <v>14206949.699999999</v>
      </c>
      <c r="BS252" s="8">
        <f t="shared" si="147"/>
        <v>2069.0707349000004</v>
      </c>
      <c r="BT252" s="8">
        <f t="shared" si="162"/>
        <v>212.27451580000047</v>
      </c>
      <c r="BU252" s="8"/>
    </row>
    <row r="253" spans="1:73" x14ac:dyDescent="0.35">
      <c r="A253" t="s">
        <v>138</v>
      </c>
      <c r="B253">
        <v>1.7</v>
      </c>
      <c r="C253">
        <v>3.14</v>
      </c>
      <c r="D253">
        <v>4.18</v>
      </c>
      <c r="E253">
        <v>5.21</v>
      </c>
      <c r="F253">
        <v>6.29</v>
      </c>
      <c r="G253">
        <v>7.57</v>
      </c>
      <c r="H253">
        <v>9.3000000000000007</v>
      </c>
      <c r="I253">
        <v>11.61</v>
      </c>
      <c r="J253">
        <v>15.76</v>
      </c>
      <c r="K253">
        <v>35.24</v>
      </c>
      <c r="L253">
        <f t="shared" si="127"/>
        <v>21.8</v>
      </c>
      <c r="M253">
        <f t="shared" si="128"/>
        <v>15001072</v>
      </c>
      <c r="N253">
        <f t="shared" si="129"/>
        <v>3250.7458870185928</v>
      </c>
      <c r="O253">
        <f t="shared" si="144"/>
        <v>-3.6247061744933369</v>
      </c>
      <c r="P253" s="8">
        <f t="shared" si="166"/>
        <v>552.62680079316078</v>
      </c>
      <c r="Q253" s="8">
        <f t="shared" si="166"/>
        <v>1020.7342085238382</v>
      </c>
      <c r="R253" s="8">
        <f t="shared" si="166"/>
        <v>1358.8117807737717</v>
      </c>
      <c r="S253" s="8">
        <f t="shared" si="166"/>
        <v>1693.6386071366869</v>
      </c>
      <c r="T253" s="8">
        <f t="shared" si="166"/>
        <v>2044.7191629346949</v>
      </c>
      <c r="U253" s="8">
        <f t="shared" si="163"/>
        <v>2460.8146364730751</v>
      </c>
      <c r="V253" s="8">
        <f t="shared" si="163"/>
        <v>3023.1936749272913</v>
      </c>
      <c r="W253" s="8">
        <f t="shared" si="163"/>
        <v>3774.1159748285863</v>
      </c>
      <c r="X253" s="8">
        <f t="shared" si="163"/>
        <v>5123.1755179413021</v>
      </c>
      <c r="Y253" s="8">
        <f t="shared" si="163"/>
        <v>11455.628505853521</v>
      </c>
      <c r="Z253">
        <f t="shared" si="167"/>
        <v>6.3146829107579912</v>
      </c>
      <c r="AA253">
        <f t="shared" si="167"/>
        <v>6.9282774596159831</v>
      </c>
      <c r="AB253">
        <f t="shared" si="167"/>
        <v>7.2143659062324863</v>
      </c>
      <c r="AC253">
        <f t="shared" si="167"/>
        <v>7.4346345154610969</v>
      </c>
      <c r="AD253">
        <f t="shared" si="167"/>
        <v>7.62301573040817</v>
      </c>
      <c r="AE253">
        <f t="shared" si="164"/>
        <v>7.8082477271451785</v>
      </c>
      <c r="AF253">
        <f t="shared" si="164"/>
        <v>8.0140690598550322</v>
      </c>
      <c r="AG253">
        <f t="shared" si="164"/>
        <v>8.2359214554056219</v>
      </c>
      <c r="AH253">
        <f t="shared" si="164"/>
        <v>8.5415297441255547</v>
      </c>
      <c r="AI253">
        <f t="shared" si="164"/>
        <v>9.3462364607637998</v>
      </c>
      <c r="AJ253">
        <f t="shared" si="145"/>
        <v>11.513548721819225</v>
      </c>
      <c r="AK253">
        <f t="shared" si="132"/>
        <v>12.632314435562904</v>
      </c>
      <c r="AL253">
        <f t="shared" si="133"/>
        <v>13.15393892810188</v>
      </c>
      <c r="AM253">
        <f t="shared" si="134"/>
        <v>13.555554242771187</v>
      </c>
      <c r="AN253">
        <f t="shared" si="135"/>
        <v>13.899029335221757</v>
      </c>
      <c r="AO253">
        <f t="shared" si="136"/>
        <v>14.236762464408351</v>
      </c>
      <c r="AP253">
        <f t="shared" si="137"/>
        <v>14.612036088695561</v>
      </c>
      <c r="AQ253">
        <f t="shared" si="138"/>
        <v>15.01653911779816</v>
      </c>
      <c r="AR253">
        <f t="shared" si="139"/>
        <v>15.573754099404637</v>
      </c>
      <c r="AS253">
        <f t="shared" si="140"/>
        <v>17.040974246437717</v>
      </c>
      <c r="AT253">
        <f t="shared" si="141"/>
        <v>20.992630357395551</v>
      </c>
      <c r="AU253">
        <f t="shared" si="146"/>
        <v>-18.987144581361012</v>
      </c>
      <c r="AV253" s="5">
        <f t="shared" si="168"/>
        <v>-7.4735958595417866</v>
      </c>
      <c r="AW253" s="5">
        <f t="shared" si="168"/>
        <v>-6.3548301457981076</v>
      </c>
      <c r="AX253" s="5">
        <f t="shared" si="168"/>
        <v>-5.8332056532591317</v>
      </c>
      <c r="AY253" s="5">
        <f t="shared" si="168"/>
        <v>-5.4315903385898245</v>
      </c>
      <c r="AZ253" s="5">
        <f t="shared" si="168"/>
        <v>-5.0881152461392549</v>
      </c>
      <c r="BA253" s="5">
        <f t="shared" si="165"/>
        <v>-4.750382116952661</v>
      </c>
      <c r="BB253" s="5">
        <f t="shared" si="165"/>
        <v>-4.3751084926654507</v>
      </c>
      <c r="BC253" s="5">
        <f t="shared" si="165"/>
        <v>-3.9706054635628512</v>
      </c>
      <c r="BD253" s="5">
        <f t="shared" si="165"/>
        <v>-3.413390481956375</v>
      </c>
      <c r="BE253" s="5">
        <f t="shared" si="165"/>
        <v>-1.9461703349232948</v>
      </c>
      <c r="BG253" s="1"/>
      <c r="BH253" s="1">
        <f t="shared" si="161"/>
        <v>6.8999999999999906</v>
      </c>
      <c r="BI253" s="8">
        <f t="shared" si="160"/>
        <v>517453427.39999998</v>
      </c>
      <c r="BJ253" s="8">
        <f t="shared" si="151"/>
        <v>323506546.10000002</v>
      </c>
      <c r="BK253" s="8">
        <f t="shared" si="152"/>
        <v>307757545.80000001</v>
      </c>
      <c r="BL253" s="8">
        <f t="shared" si="153"/>
        <v>303732187.10000002</v>
      </c>
      <c r="BM253" s="8">
        <f t="shared" si="154"/>
        <v>301255715.60000002</v>
      </c>
      <c r="BN253" s="8">
        <f t="shared" si="155"/>
        <v>248933653.30000001</v>
      </c>
      <c r="BO253" s="8">
        <f t="shared" si="156"/>
        <v>243321188</v>
      </c>
      <c r="BP253" s="8">
        <f t="shared" si="157"/>
        <v>90901047.200000003</v>
      </c>
      <c r="BQ253" s="8">
        <f t="shared" si="158"/>
        <v>66580101.600000001</v>
      </c>
      <c r="BR253" s="8">
        <f t="shared" si="159"/>
        <v>19154684.100000001</v>
      </c>
      <c r="BS253" s="8">
        <f t="shared" si="147"/>
        <v>2422.5960961999999</v>
      </c>
      <c r="BT253" s="8">
        <f t="shared" si="162"/>
        <v>353.52536129999953</v>
      </c>
      <c r="BU253" s="8"/>
    </row>
    <row r="254" spans="1:73" x14ac:dyDescent="0.35">
      <c r="A254" t="s">
        <v>139</v>
      </c>
      <c r="B254">
        <v>1.31</v>
      </c>
      <c r="C254">
        <v>2.75</v>
      </c>
      <c r="D254">
        <v>3.77</v>
      </c>
      <c r="E254">
        <v>4.41</v>
      </c>
      <c r="F254">
        <v>5.57</v>
      </c>
      <c r="G254">
        <v>6.96</v>
      </c>
      <c r="H254">
        <v>8.26</v>
      </c>
      <c r="I254">
        <v>10.64</v>
      </c>
      <c r="J254">
        <v>14.540000000000001</v>
      </c>
      <c r="K254">
        <v>41.79</v>
      </c>
      <c r="L254">
        <f t="shared" si="127"/>
        <v>22.1</v>
      </c>
      <c r="M254">
        <f t="shared" si="128"/>
        <v>78075705</v>
      </c>
      <c r="N254">
        <f t="shared" si="129"/>
        <v>1550.2405578416574</v>
      </c>
      <c r="O254">
        <f t="shared" si="144"/>
        <v>-5.0863897472243451</v>
      </c>
      <c r="P254" s="8">
        <f t="shared" si="166"/>
        <v>203.08151307725714</v>
      </c>
      <c r="Q254" s="8">
        <f t="shared" si="166"/>
        <v>426.31615340645578</v>
      </c>
      <c r="R254" s="8">
        <f t="shared" si="166"/>
        <v>584.44069030630476</v>
      </c>
      <c r="S254" s="8">
        <f t="shared" si="166"/>
        <v>683.65608600817097</v>
      </c>
      <c r="T254" s="8">
        <f t="shared" si="166"/>
        <v>863.48399071780318</v>
      </c>
      <c r="U254" s="8">
        <f t="shared" si="163"/>
        <v>1078.9674282577935</v>
      </c>
      <c r="V254" s="8">
        <f t="shared" si="163"/>
        <v>1280.498700777209</v>
      </c>
      <c r="W254" s="8">
        <f t="shared" si="163"/>
        <v>1649.4559535435237</v>
      </c>
      <c r="X254" s="8">
        <f t="shared" si="163"/>
        <v>2254.0497711017697</v>
      </c>
      <c r="Y254" s="8">
        <f t="shared" si="163"/>
        <v>6478.4552912202862</v>
      </c>
      <c r="Z254">
        <f t="shared" si="167"/>
        <v>5.31360744069777</v>
      </c>
      <c r="AA254">
        <f t="shared" si="167"/>
        <v>6.0551812151631896</v>
      </c>
      <c r="AB254">
        <f t="shared" si="167"/>
        <v>6.3706553049446288</v>
      </c>
      <c r="AC254">
        <f t="shared" si="167"/>
        <v>6.527454992943464</v>
      </c>
      <c r="AD254">
        <f t="shared" si="167"/>
        <v>6.7609753574239022</v>
      </c>
      <c r="AE254">
        <f t="shared" si="164"/>
        <v>6.9837597778310379</v>
      </c>
      <c r="AF254">
        <f t="shared" si="164"/>
        <v>7.1550048910175965</v>
      </c>
      <c r="AG254">
        <f t="shared" si="164"/>
        <v>7.4082007873982079</v>
      </c>
      <c r="AH254">
        <f t="shared" si="164"/>
        <v>7.7204837755900826</v>
      </c>
      <c r="AI254">
        <f t="shared" si="164"/>
        <v>8.7762373799445328</v>
      </c>
      <c r="AJ254">
        <f t="shared" si="145"/>
        <v>9.6882898194093627</v>
      </c>
      <c r="AK254">
        <f t="shared" si="132"/>
        <v>11.040399799244614</v>
      </c>
      <c r="AL254">
        <f t="shared" si="133"/>
        <v>11.615603076194933</v>
      </c>
      <c r="AM254">
        <f t="shared" si="134"/>
        <v>11.901495633723833</v>
      </c>
      <c r="AN254">
        <f t="shared" si="135"/>
        <v>12.327272847240287</v>
      </c>
      <c r="AO254">
        <f t="shared" si="136"/>
        <v>12.733475235399776</v>
      </c>
      <c r="AP254">
        <f t="shared" si="137"/>
        <v>13.045706107782602</v>
      </c>
      <c r="AQ254">
        <f t="shared" si="138"/>
        <v>13.507357679261577</v>
      </c>
      <c r="AR254">
        <f t="shared" si="139"/>
        <v>14.076742627065848</v>
      </c>
      <c r="AS254">
        <f t="shared" si="140"/>
        <v>16.001696062378109</v>
      </c>
      <c r="AT254">
        <f t="shared" si="141"/>
        <v>17.664639451149451</v>
      </c>
      <c r="AU254">
        <f t="shared" si="146"/>
        <v>-19.301185849752173</v>
      </c>
      <c r="AV254" s="5">
        <f t="shared" si="168"/>
        <v>-9.6128960303428101</v>
      </c>
      <c r="AW254" s="5">
        <f t="shared" si="168"/>
        <v>-8.2607860505075585</v>
      </c>
      <c r="AX254" s="5">
        <f t="shared" si="168"/>
        <v>-7.6855827735572397</v>
      </c>
      <c r="AY254" s="5">
        <f t="shared" si="168"/>
        <v>-7.3996902160283398</v>
      </c>
      <c r="AZ254" s="5">
        <f t="shared" si="168"/>
        <v>-6.9739130025118854</v>
      </c>
      <c r="BA254" s="5">
        <f t="shared" si="165"/>
        <v>-6.5677106143523964</v>
      </c>
      <c r="BB254" s="5">
        <f t="shared" si="165"/>
        <v>-6.2554797419695714</v>
      </c>
      <c r="BC254" s="5">
        <f t="shared" si="165"/>
        <v>-5.7938281704905954</v>
      </c>
      <c r="BD254" s="5">
        <f t="shared" si="165"/>
        <v>-5.2244432226863253</v>
      </c>
      <c r="BE254" s="5">
        <f t="shared" si="165"/>
        <v>-3.2994897873740641</v>
      </c>
      <c r="BG254" s="1"/>
      <c r="BH254" s="1">
        <f t="shared" si="161"/>
        <v>6.9999999999999902</v>
      </c>
      <c r="BI254" s="8">
        <f t="shared" si="160"/>
        <v>520593018.30000001</v>
      </c>
      <c r="BJ254" s="8">
        <f t="shared" si="151"/>
        <v>328565165.60000002</v>
      </c>
      <c r="BK254" s="8">
        <f t="shared" si="152"/>
        <v>307911396.60000002</v>
      </c>
      <c r="BL254" s="8">
        <f t="shared" si="153"/>
        <v>305802633.39999998</v>
      </c>
      <c r="BM254" s="8">
        <f t="shared" si="154"/>
        <v>303321015.60000002</v>
      </c>
      <c r="BN254" s="8">
        <f t="shared" si="155"/>
        <v>276270821.19999999</v>
      </c>
      <c r="BO254" s="8">
        <f t="shared" si="156"/>
        <v>247908218.90000001</v>
      </c>
      <c r="BP254" s="8">
        <f t="shared" si="157"/>
        <v>102071490.09999999</v>
      </c>
      <c r="BQ254" s="8">
        <f t="shared" si="158"/>
        <v>83895032.200000003</v>
      </c>
      <c r="BR254" s="8">
        <f t="shared" si="159"/>
        <v>23177215.899999999</v>
      </c>
      <c r="BS254" s="8">
        <f t="shared" si="147"/>
        <v>2499.5160077999999</v>
      </c>
      <c r="BT254" s="8">
        <f t="shared" si="162"/>
        <v>76.919911599999978</v>
      </c>
      <c r="BU254" s="8"/>
    </row>
    <row r="255" spans="1:73" x14ac:dyDescent="0.35">
      <c r="A255" t="s">
        <v>140</v>
      </c>
      <c r="B255">
        <v>2.19</v>
      </c>
      <c r="C255">
        <v>3.5300000000000002</v>
      </c>
      <c r="D255">
        <v>4.54</v>
      </c>
      <c r="E255">
        <v>5.55</v>
      </c>
      <c r="F255">
        <v>6.66</v>
      </c>
      <c r="G255">
        <v>7.92</v>
      </c>
      <c r="H255">
        <v>9.52</v>
      </c>
      <c r="I255">
        <v>11.83</v>
      </c>
      <c r="J255">
        <v>15.950000000000001</v>
      </c>
      <c r="K255">
        <v>32.31</v>
      </c>
      <c r="L255">
        <f t="shared" si="127"/>
        <v>24.4</v>
      </c>
      <c r="M255">
        <f t="shared" si="128"/>
        <v>6218195</v>
      </c>
      <c r="N255">
        <f t="shared" si="129"/>
        <v>2949.613728722712</v>
      </c>
      <c r="O255">
        <f t="shared" si="144"/>
        <v>-4.768960151350802</v>
      </c>
      <c r="P255" s="8">
        <f t="shared" si="166"/>
        <v>645.96540659027391</v>
      </c>
      <c r="Q255" s="8">
        <f t="shared" si="166"/>
        <v>1041.2136462391175</v>
      </c>
      <c r="R255" s="8">
        <f t="shared" si="166"/>
        <v>1339.1246328401112</v>
      </c>
      <c r="S255" s="8">
        <f t="shared" si="166"/>
        <v>1637.0356194411052</v>
      </c>
      <c r="T255" s="8">
        <f t="shared" si="166"/>
        <v>1964.4427433293263</v>
      </c>
      <c r="U255" s="8">
        <f t="shared" si="163"/>
        <v>2336.0940731483879</v>
      </c>
      <c r="V255" s="8">
        <f t="shared" si="163"/>
        <v>2808.0322697440215</v>
      </c>
      <c r="W255" s="8">
        <f t="shared" si="163"/>
        <v>3489.3930410789681</v>
      </c>
      <c r="X255" s="8">
        <f t="shared" si="163"/>
        <v>4704.6338973127258</v>
      </c>
      <c r="Y255" s="8">
        <f t="shared" si="163"/>
        <v>9530.2019575030827</v>
      </c>
      <c r="Z255">
        <f t="shared" si="167"/>
        <v>6.4707459521788859</v>
      </c>
      <c r="AA255">
        <f t="shared" si="167"/>
        <v>6.9481422792956815</v>
      </c>
      <c r="AB255">
        <f t="shared" si="167"/>
        <v>7.1997714204037324</v>
      </c>
      <c r="AC255">
        <f t="shared" si="167"/>
        <v>7.4006423361088194</v>
      </c>
      <c r="AD255">
        <f t="shared" si="167"/>
        <v>7.5829638929027743</v>
      </c>
      <c r="AE255">
        <f t="shared" si="164"/>
        <v>7.756235614176811</v>
      </c>
      <c r="AF255">
        <f t="shared" si="164"/>
        <v>7.9402392571537499</v>
      </c>
      <c r="AG255">
        <f t="shared" si="164"/>
        <v>8.1574830863407719</v>
      </c>
      <c r="AH255">
        <f t="shared" si="164"/>
        <v>8.4563032375813307</v>
      </c>
      <c r="AI255">
        <f t="shared" si="164"/>
        <v>9.1622211881868836</v>
      </c>
      <c r="AJ255">
        <f t="shared" si="145"/>
        <v>11.798098153115859</v>
      </c>
      <c r="AK255">
        <f t="shared" si="132"/>
        <v>12.668533921555259</v>
      </c>
      <c r="AL255">
        <f t="shared" si="133"/>
        <v>13.127328831279286</v>
      </c>
      <c r="AM255">
        <f t="shared" si="134"/>
        <v>13.493576370142538</v>
      </c>
      <c r="AN255">
        <f t="shared" si="135"/>
        <v>13.826002900001843</v>
      </c>
      <c r="AO255">
        <f t="shared" si="136"/>
        <v>14.141928882857352</v>
      </c>
      <c r="AP255">
        <f t="shared" si="137"/>
        <v>14.477422357089919</v>
      </c>
      <c r="AQ255">
        <f t="shared" si="138"/>
        <v>14.873522596358958</v>
      </c>
      <c r="AR255">
        <f t="shared" si="139"/>
        <v>15.418360780475567</v>
      </c>
      <c r="AS255">
        <f t="shared" si="140"/>
        <v>16.705459567978771</v>
      </c>
      <c r="AT255">
        <f t="shared" si="141"/>
        <v>21.511448766379839</v>
      </c>
      <c r="AU255">
        <f t="shared" si="146"/>
        <v>-19.854815388924376</v>
      </c>
      <c r="AV255" s="5">
        <f t="shared" si="168"/>
        <v>-8.0567172358085166</v>
      </c>
      <c r="AW255" s="5">
        <f t="shared" si="168"/>
        <v>-7.1862814673691169</v>
      </c>
      <c r="AX255" s="5">
        <f t="shared" si="168"/>
        <v>-6.72748655764509</v>
      </c>
      <c r="AY255" s="5">
        <f t="shared" si="168"/>
        <v>-6.3612390187818377</v>
      </c>
      <c r="AZ255" s="5">
        <f t="shared" si="168"/>
        <v>-6.028812488922533</v>
      </c>
      <c r="BA255" s="5">
        <f t="shared" si="165"/>
        <v>-5.712886506067024</v>
      </c>
      <c r="BB255" s="5">
        <f t="shared" si="165"/>
        <v>-5.3773930318344565</v>
      </c>
      <c r="BC255" s="5">
        <f t="shared" si="165"/>
        <v>-4.9812927925654176</v>
      </c>
      <c r="BD255" s="5">
        <f t="shared" si="165"/>
        <v>-4.436454608448809</v>
      </c>
      <c r="BE255" s="5">
        <f t="shared" si="165"/>
        <v>-3.1493558209456047</v>
      </c>
      <c r="BG255" s="1"/>
      <c r="BH255" s="1">
        <f t="shared" si="161"/>
        <v>7.0999999999999899</v>
      </c>
      <c r="BI255" s="8">
        <f t="shared" si="160"/>
        <v>527490593.60000002</v>
      </c>
      <c r="BJ255" s="8">
        <f t="shared" si="151"/>
        <v>337050007.69999999</v>
      </c>
      <c r="BK255" s="8">
        <f t="shared" si="152"/>
        <v>313832076.80000001</v>
      </c>
      <c r="BL255" s="8">
        <f t="shared" si="153"/>
        <v>307757545.80000001</v>
      </c>
      <c r="BM255" s="8">
        <f t="shared" si="154"/>
        <v>303732187.10000002</v>
      </c>
      <c r="BN255" s="8">
        <f t="shared" si="155"/>
        <v>301255715.60000002</v>
      </c>
      <c r="BO255" s="8">
        <f t="shared" si="156"/>
        <v>249012265.90000001</v>
      </c>
      <c r="BP255" s="8">
        <f t="shared" si="157"/>
        <v>243677394.19999999</v>
      </c>
      <c r="BQ255" s="8">
        <f t="shared" si="158"/>
        <v>89605990.799999997</v>
      </c>
      <c r="BR255" s="8">
        <f t="shared" si="159"/>
        <v>23177215.899999999</v>
      </c>
      <c r="BS255" s="8">
        <f t="shared" si="147"/>
        <v>2696.5909934000001</v>
      </c>
      <c r="BT255" s="8">
        <f t="shared" si="162"/>
        <v>197.07498560000022</v>
      </c>
      <c r="BU255" s="8"/>
    </row>
    <row r="256" spans="1:73" x14ac:dyDescent="0.35">
      <c r="A256" t="s">
        <v>221</v>
      </c>
      <c r="B256">
        <v>2.3000000000000003</v>
      </c>
      <c r="C256">
        <v>4.4000000000000004</v>
      </c>
      <c r="D256">
        <v>5.4</v>
      </c>
      <c r="E256">
        <v>6.4</v>
      </c>
      <c r="F256">
        <v>7.6000000000000005</v>
      </c>
      <c r="G256">
        <v>9.1</v>
      </c>
      <c r="H256">
        <v>10.700000000000001</v>
      </c>
      <c r="I256">
        <v>12.700000000000001</v>
      </c>
      <c r="J256">
        <v>15.9</v>
      </c>
      <c r="K256">
        <v>25.6</v>
      </c>
      <c r="L256">
        <f t="shared" si="127"/>
        <v>5.0999999999999996</v>
      </c>
      <c r="M256">
        <f t="shared" si="128"/>
        <v>1340161</v>
      </c>
      <c r="N256">
        <f t="shared" si="129"/>
        <v>10369.839494653985</v>
      </c>
      <c r="O256">
        <f t="shared" si="144"/>
        <v>-1.9060693124847088</v>
      </c>
      <c r="P256" s="8">
        <f t="shared" si="166"/>
        <v>2385.0630837704166</v>
      </c>
      <c r="Q256" s="8">
        <f t="shared" si="166"/>
        <v>4562.7293776477536</v>
      </c>
      <c r="R256" s="8">
        <f t="shared" si="166"/>
        <v>5599.7133271131515</v>
      </c>
      <c r="S256" s="8">
        <f t="shared" si="166"/>
        <v>6636.6972765785513</v>
      </c>
      <c r="T256" s="8">
        <f t="shared" si="166"/>
        <v>7881.0780159370288</v>
      </c>
      <c r="U256" s="8">
        <f t="shared" si="163"/>
        <v>9436.5539401351252</v>
      </c>
      <c r="V256" s="8">
        <f t="shared" si="163"/>
        <v>11095.728259279766</v>
      </c>
      <c r="W256" s="8">
        <f t="shared" si="163"/>
        <v>13169.696158210561</v>
      </c>
      <c r="X256" s="8">
        <f t="shared" si="163"/>
        <v>16488.044796499838</v>
      </c>
      <c r="Y256" s="8">
        <f t="shared" si="163"/>
        <v>26546.789106314205</v>
      </c>
      <c r="Z256">
        <f t="shared" si="167"/>
        <v>7.7769808531908451</v>
      </c>
      <c r="AA256">
        <f t="shared" si="167"/>
        <v>8.425676271179956</v>
      </c>
      <c r="AB256">
        <f t="shared" si="167"/>
        <v>8.630470683825969</v>
      </c>
      <c r="AC256">
        <f t="shared" si="167"/>
        <v>8.8003697206213669</v>
      </c>
      <c r="AD256">
        <f t="shared" si="167"/>
        <v>8.9722199775480256</v>
      </c>
      <c r="AE256">
        <f t="shared" si="164"/>
        <v>9.1523461437785443</v>
      </c>
      <c r="AF256">
        <f t="shared" si="164"/>
        <v>9.3143154717236012</v>
      </c>
      <c r="AG256">
        <f t="shared" si="164"/>
        <v>9.4856737237202857</v>
      </c>
      <c r="AH256">
        <f t="shared" si="164"/>
        <v>9.7103908394819261</v>
      </c>
      <c r="AI256">
        <f t="shared" si="164"/>
        <v>10.186664081741258</v>
      </c>
      <c r="AJ256">
        <f t="shared" si="145"/>
        <v>14.179753635661163</v>
      </c>
      <c r="AK256">
        <f t="shared" si="132"/>
        <v>15.362518693889871</v>
      </c>
      <c r="AL256">
        <f t="shared" si="133"/>
        <v>15.735919936878522</v>
      </c>
      <c r="AM256">
        <f t="shared" si="134"/>
        <v>16.045696510869497</v>
      </c>
      <c r="AN256">
        <f t="shared" si="135"/>
        <v>16.359030740623361</v>
      </c>
      <c r="AO256">
        <f t="shared" si="136"/>
        <v>16.687454419259133</v>
      </c>
      <c r="AP256">
        <f t="shared" si="137"/>
        <v>16.982772770962701</v>
      </c>
      <c r="AQ256">
        <f t="shared" si="138"/>
        <v>17.295209929111749</v>
      </c>
      <c r="AR256">
        <f t="shared" si="139"/>
        <v>17.704936196845718</v>
      </c>
      <c r="AS256">
        <f t="shared" si="140"/>
        <v>18.573324246910673</v>
      </c>
      <c r="AT256">
        <f t="shared" si="141"/>
        <v>25.853916444393729</v>
      </c>
      <c r="AU256">
        <f t="shared" si="146"/>
        <v>-19.112960728944458</v>
      </c>
      <c r="AV256" s="5">
        <f t="shared" si="168"/>
        <v>-4.9332070932832952</v>
      </c>
      <c r="AW256" s="5">
        <f t="shared" si="168"/>
        <v>-3.7504420350545864</v>
      </c>
      <c r="AX256" s="5">
        <f t="shared" si="168"/>
        <v>-3.3770407920659355</v>
      </c>
      <c r="AY256" s="5">
        <f t="shared" si="168"/>
        <v>-3.0672642180749605</v>
      </c>
      <c r="AZ256" s="5">
        <f t="shared" si="168"/>
        <v>-2.7539299883210973</v>
      </c>
      <c r="BA256" s="5">
        <f t="shared" si="165"/>
        <v>-2.4255063096853249</v>
      </c>
      <c r="BB256" s="5">
        <f t="shared" si="165"/>
        <v>-2.1301879579817573</v>
      </c>
      <c r="BC256" s="5">
        <f t="shared" si="165"/>
        <v>-1.8177507998327087</v>
      </c>
      <c r="BD256" s="5">
        <f t="shared" si="165"/>
        <v>-1.4080245320987395</v>
      </c>
      <c r="BE256" s="5">
        <f t="shared" si="165"/>
        <v>-0.53963648203378511</v>
      </c>
      <c r="BG256" s="1"/>
      <c r="BH256" s="1">
        <f t="shared" si="161"/>
        <v>7.1999999999999895</v>
      </c>
      <c r="BI256" s="8">
        <f t="shared" si="160"/>
        <v>539949186.20000005</v>
      </c>
      <c r="BJ256" s="8">
        <f t="shared" si="151"/>
        <v>488699308.60000002</v>
      </c>
      <c r="BK256" s="8">
        <f t="shared" si="152"/>
        <v>322205023.89999998</v>
      </c>
      <c r="BL256" s="8">
        <f t="shared" si="153"/>
        <v>307859883.30000001</v>
      </c>
      <c r="BM256" s="8">
        <f t="shared" si="154"/>
        <v>305802633.39999998</v>
      </c>
      <c r="BN256" s="8">
        <f t="shared" si="155"/>
        <v>303321015.60000002</v>
      </c>
      <c r="BO256" s="8">
        <f t="shared" si="156"/>
        <v>275779974.60000002</v>
      </c>
      <c r="BP256" s="8">
        <f t="shared" si="157"/>
        <v>247325998</v>
      </c>
      <c r="BQ256" s="8">
        <f t="shared" si="158"/>
        <v>93177348</v>
      </c>
      <c r="BR256" s="8">
        <f t="shared" si="159"/>
        <v>28519323.300000001</v>
      </c>
      <c r="BS256" s="8">
        <f t="shared" si="147"/>
        <v>2912.6396949</v>
      </c>
      <c r="BT256" s="8">
        <f t="shared" si="162"/>
        <v>216.04870149999988</v>
      </c>
      <c r="BU256" s="8"/>
    </row>
    <row r="257" spans="1:73" x14ac:dyDescent="0.35">
      <c r="A257" t="s">
        <v>141</v>
      </c>
      <c r="B257">
        <v>3.18</v>
      </c>
      <c r="C257">
        <v>4.8500000000000005</v>
      </c>
      <c r="D257">
        <v>5.86</v>
      </c>
      <c r="E257">
        <v>6.75</v>
      </c>
      <c r="F257">
        <v>7.68</v>
      </c>
      <c r="G257">
        <v>8.66</v>
      </c>
      <c r="H257">
        <v>9.83</v>
      </c>
      <c r="I257">
        <v>11.51</v>
      </c>
      <c r="J257">
        <v>14.27</v>
      </c>
      <c r="K257">
        <v>27.400000000000002</v>
      </c>
      <c r="L257">
        <f t="shared" si="127"/>
        <v>22.2</v>
      </c>
      <c r="M257">
        <f t="shared" si="128"/>
        <v>87095281</v>
      </c>
      <c r="N257">
        <f t="shared" si="129"/>
        <v>234.25889686975188</v>
      </c>
      <c r="O257">
        <f t="shared" si="144"/>
        <v>-8.5691388872265062</v>
      </c>
      <c r="P257" s="8">
        <f t="shared" si="166"/>
        <v>74.494329204581106</v>
      </c>
      <c r="Q257" s="8">
        <f t="shared" si="166"/>
        <v>113.61556498182968</v>
      </c>
      <c r="R257" s="8">
        <f t="shared" si="166"/>
        <v>137.27571356567461</v>
      </c>
      <c r="S257" s="8">
        <f t="shared" si="166"/>
        <v>158.12475538708253</v>
      </c>
      <c r="T257" s="8">
        <f t="shared" si="166"/>
        <v>179.91083279596944</v>
      </c>
      <c r="U257" s="8">
        <f t="shared" si="163"/>
        <v>202.86820468920513</v>
      </c>
      <c r="V257" s="8">
        <f t="shared" si="163"/>
        <v>230.27649562296611</v>
      </c>
      <c r="W257" s="8">
        <f t="shared" si="163"/>
        <v>269.63199029708437</v>
      </c>
      <c r="X257" s="8">
        <f t="shared" si="163"/>
        <v>334.28744583313591</v>
      </c>
      <c r="Y257" s="8">
        <f t="shared" si="163"/>
        <v>641.86937742312023</v>
      </c>
      <c r="Z257">
        <f t="shared" si="167"/>
        <v>4.3107230044290734</v>
      </c>
      <c r="AA257">
        <f t="shared" si="167"/>
        <v>4.7328205125863798</v>
      </c>
      <c r="AB257">
        <f t="shared" si="167"/>
        <v>4.9219914112259087</v>
      </c>
      <c r="AC257">
        <f t="shared" si="167"/>
        <v>5.0633843125214266</v>
      </c>
      <c r="AD257">
        <f t="shared" si="167"/>
        <v>5.1924613547965688</v>
      </c>
      <c r="AE257">
        <f t="shared" si="164"/>
        <v>5.3125565302113316</v>
      </c>
      <c r="AF257">
        <f t="shared" si="164"/>
        <v>5.4392807417960629</v>
      </c>
      <c r="AG257">
        <f t="shared" si="164"/>
        <v>5.5970580303707784</v>
      </c>
      <c r="AH257">
        <f t="shared" si="164"/>
        <v>5.812001239125733</v>
      </c>
      <c r="AI257">
        <f t="shared" si="164"/>
        <v>6.464384821031012</v>
      </c>
      <c r="AJ257">
        <f t="shared" si="145"/>
        <v>7.8597326325295214</v>
      </c>
      <c r="AK257">
        <f t="shared" si="132"/>
        <v>8.6293421749577224</v>
      </c>
      <c r="AL257">
        <f t="shared" si="133"/>
        <v>8.9742570961053776</v>
      </c>
      <c r="AM257">
        <f t="shared" si="134"/>
        <v>9.232058490251692</v>
      </c>
      <c r="AN257">
        <f t="shared" si="135"/>
        <v>9.4674044032778752</v>
      </c>
      <c r="AO257">
        <f t="shared" si="136"/>
        <v>9.6863736964212617</v>
      </c>
      <c r="AP257">
        <f t="shared" si="137"/>
        <v>9.9174296979552778</v>
      </c>
      <c r="AQ257">
        <f t="shared" si="138"/>
        <v>10.205104712658979</v>
      </c>
      <c r="AR257">
        <f t="shared" si="139"/>
        <v>10.597010235295471</v>
      </c>
      <c r="AS257">
        <f t="shared" si="140"/>
        <v>11.786499915416202</v>
      </c>
      <c r="AT257">
        <f t="shared" si="141"/>
        <v>14.330634789425812</v>
      </c>
      <c r="AU257">
        <f t="shared" si="146"/>
        <v>-18.844806310511064</v>
      </c>
      <c r="AV257" s="5">
        <f t="shared" si="168"/>
        <v>-10.985073677981543</v>
      </c>
      <c r="AW257" s="5">
        <f t="shared" si="168"/>
        <v>-10.215464135553342</v>
      </c>
      <c r="AX257" s="5">
        <f t="shared" si="168"/>
        <v>-9.8705492144056866</v>
      </c>
      <c r="AY257" s="5">
        <f t="shared" si="168"/>
        <v>-9.6127478202593721</v>
      </c>
      <c r="AZ257" s="5">
        <f t="shared" si="168"/>
        <v>-9.3774019072331889</v>
      </c>
      <c r="BA257" s="5">
        <f t="shared" si="165"/>
        <v>-9.1584326140898025</v>
      </c>
      <c r="BB257" s="5">
        <f t="shared" si="165"/>
        <v>-8.9273766125557863</v>
      </c>
      <c r="BC257" s="5">
        <f t="shared" si="165"/>
        <v>-8.6397015978520848</v>
      </c>
      <c r="BD257" s="5">
        <f t="shared" si="165"/>
        <v>-8.247796075215593</v>
      </c>
      <c r="BE257" s="5">
        <f t="shared" si="165"/>
        <v>-7.0583063950948617</v>
      </c>
      <c r="BG257" s="1"/>
      <c r="BH257" s="1">
        <f t="shared" si="161"/>
        <v>7.2999999999999892</v>
      </c>
      <c r="BI257" s="8">
        <f t="shared" si="160"/>
        <v>540104808.39999998</v>
      </c>
      <c r="BJ257" s="8">
        <f t="shared" si="151"/>
        <v>510596960.10000002</v>
      </c>
      <c r="BK257" s="8">
        <f t="shared" si="152"/>
        <v>336853073.60000002</v>
      </c>
      <c r="BL257" s="8">
        <f t="shared" si="153"/>
        <v>313779580.80000001</v>
      </c>
      <c r="BM257" s="8">
        <f t="shared" si="154"/>
        <v>307776148.69999999</v>
      </c>
      <c r="BN257" s="8">
        <f t="shared" si="155"/>
        <v>303803881</v>
      </c>
      <c r="BO257" s="8">
        <f t="shared" si="156"/>
        <v>301255715.60000002</v>
      </c>
      <c r="BP257" s="8">
        <f t="shared" si="157"/>
        <v>249012265.90000001</v>
      </c>
      <c r="BQ257" s="8">
        <f t="shared" si="158"/>
        <v>102244627</v>
      </c>
      <c r="BR257" s="8">
        <f t="shared" si="159"/>
        <v>38905710.399999999</v>
      </c>
      <c r="BS257" s="8">
        <f t="shared" si="147"/>
        <v>3004.3327715</v>
      </c>
      <c r="BT257" s="8">
        <f t="shared" si="162"/>
        <v>91.69307660000004</v>
      </c>
      <c r="BU257" s="8"/>
    </row>
    <row r="258" spans="1:73" x14ac:dyDescent="0.35">
      <c r="A258" t="s">
        <v>370</v>
      </c>
      <c r="B258">
        <v>2.4500000000000002</v>
      </c>
      <c r="C258">
        <v>3.65</v>
      </c>
      <c r="D258">
        <v>4.6100000000000003</v>
      </c>
      <c r="E258">
        <v>5.5200000000000005</v>
      </c>
      <c r="F258">
        <v>6.41</v>
      </c>
      <c r="G258">
        <v>7.47</v>
      </c>
      <c r="H258">
        <v>8.91</v>
      </c>
      <c r="I258">
        <v>11.25</v>
      </c>
      <c r="J258">
        <v>15.07</v>
      </c>
      <c r="K258">
        <v>34.660000000000004</v>
      </c>
      <c r="L258">
        <f t="shared" si="127"/>
        <v>24.4</v>
      </c>
      <c r="M258">
        <f t="shared" si="128"/>
        <v>860559</v>
      </c>
      <c r="N258">
        <f t="shared" si="129"/>
        <v>3523.3680912320156</v>
      </c>
      <c r="O258">
        <f t="shared" si="144"/>
        <v>-4.4448814143966722</v>
      </c>
      <c r="P258" s="8">
        <f t="shared" si="166"/>
        <v>863.22518235184384</v>
      </c>
      <c r="Q258" s="8">
        <f t="shared" si="166"/>
        <v>1286.0293532996857</v>
      </c>
      <c r="R258" s="8">
        <f t="shared" si="166"/>
        <v>1624.2726900579594</v>
      </c>
      <c r="S258" s="8">
        <f t="shared" si="166"/>
        <v>1944.8991863600727</v>
      </c>
      <c r="T258" s="8">
        <f t="shared" si="166"/>
        <v>2258.4789464797223</v>
      </c>
      <c r="U258" s="8">
        <f t="shared" si="163"/>
        <v>2631.9559641503156</v>
      </c>
      <c r="V258" s="8">
        <f t="shared" si="163"/>
        <v>3139.3209692877258</v>
      </c>
      <c r="W258" s="8">
        <f t="shared" si="163"/>
        <v>3963.7891026360171</v>
      </c>
      <c r="X258" s="8">
        <f t="shared" si="163"/>
        <v>5309.7157134866475</v>
      </c>
      <c r="Y258" s="8">
        <f t="shared" si="163"/>
        <v>12211.993804210168</v>
      </c>
      <c r="Z258">
        <f t="shared" si="167"/>
        <v>6.7606755867712254</v>
      </c>
      <c r="AA258">
        <f t="shared" si="167"/>
        <v>7.1593147298089894</v>
      </c>
      <c r="AB258">
        <f t="shared" si="167"/>
        <v>7.3928154192231466</v>
      </c>
      <c r="AC258">
        <f t="shared" si="167"/>
        <v>7.5729654225035929</v>
      </c>
      <c r="AD258">
        <f t="shared" si="167"/>
        <v>7.7224468331471678</v>
      </c>
      <c r="AE258">
        <f t="shared" si="164"/>
        <v>7.8754825613593153</v>
      </c>
      <c r="AF258">
        <f t="shared" si="164"/>
        <v>8.0517618036973069</v>
      </c>
      <c r="AG258">
        <f t="shared" si="164"/>
        <v>8.2849556908650186</v>
      </c>
      <c r="AH258">
        <f t="shared" si="164"/>
        <v>8.5772935748529928</v>
      </c>
      <c r="AI258">
        <f t="shared" si="164"/>
        <v>9.4101738465020492</v>
      </c>
      <c r="AJ258">
        <f t="shared" si="145"/>
        <v>12.326726276008802</v>
      </c>
      <c r="AK258">
        <f t="shared" si="132"/>
        <v>13.053564228231272</v>
      </c>
      <c r="AL258">
        <f t="shared" si="133"/>
        <v>13.479305568238725</v>
      </c>
      <c r="AM258">
        <f t="shared" si="134"/>
        <v>13.807772708919957</v>
      </c>
      <c r="AN258">
        <f t="shared" si="135"/>
        <v>14.080321865983565</v>
      </c>
      <c r="AO258">
        <f t="shared" si="136"/>
        <v>14.359351603161318</v>
      </c>
      <c r="AP258">
        <f t="shared" si="137"/>
        <v>14.680761193157693</v>
      </c>
      <c r="AQ258">
        <f t="shared" si="138"/>
        <v>15.105943141242808</v>
      </c>
      <c r="AR258">
        <f t="shared" si="139"/>
        <v>15.638962220442313</v>
      </c>
      <c r="AS258">
        <f t="shared" si="140"/>
        <v>17.157551153979494</v>
      </c>
      <c r="AT258">
        <f t="shared" si="141"/>
        <v>22.475295365594299</v>
      </c>
      <c r="AU258">
        <f t="shared" si="146"/>
        <v>-19.89319180137333</v>
      </c>
      <c r="AV258" s="5">
        <f t="shared" si="168"/>
        <v>-7.5664655253645279</v>
      </c>
      <c r="AW258" s="5">
        <f t="shared" si="168"/>
        <v>-6.8396275731420584</v>
      </c>
      <c r="AX258" s="5">
        <f t="shared" si="168"/>
        <v>-6.4138862331346047</v>
      </c>
      <c r="AY258" s="5">
        <f t="shared" si="168"/>
        <v>-6.0854190924533729</v>
      </c>
      <c r="AZ258" s="5">
        <f t="shared" si="168"/>
        <v>-5.8128699353897648</v>
      </c>
      <c r="BA258" s="5">
        <f t="shared" si="165"/>
        <v>-5.5338401982120118</v>
      </c>
      <c r="BB258" s="5">
        <f t="shared" si="165"/>
        <v>-5.2124306082156373</v>
      </c>
      <c r="BC258" s="5">
        <f t="shared" si="165"/>
        <v>-4.7872486601305226</v>
      </c>
      <c r="BD258" s="5">
        <f t="shared" si="165"/>
        <v>-4.2542295809310176</v>
      </c>
      <c r="BE258" s="5">
        <f t="shared" si="165"/>
        <v>-2.7356406473938364</v>
      </c>
      <c r="BG258" s="1"/>
      <c r="BH258" s="1">
        <f t="shared" si="161"/>
        <v>7.3999999999999888</v>
      </c>
      <c r="BI258" s="8">
        <f t="shared" si="160"/>
        <v>542105793</v>
      </c>
      <c r="BJ258" s="8">
        <f t="shared" si="151"/>
        <v>513789781.30000001</v>
      </c>
      <c r="BK258" s="8">
        <f t="shared" si="152"/>
        <v>485210923.30000001</v>
      </c>
      <c r="BL258" s="8">
        <f t="shared" si="153"/>
        <v>321525794.60000002</v>
      </c>
      <c r="BM258" s="8">
        <f t="shared" si="154"/>
        <v>311320468.89999998</v>
      </c>
      <c r="BN258" s="8">
        <f t="shared" si="155"/>
        <v>305802633.39999998</v>
      </c>
      <c r="BO258" s="8">
        <f t="shared" si="156"/>
        <v>303321015.60000002</v>
      </c>
      <c r="BP258" s="8">
        <f t="shared" si="157"/>
        <v>258627971.90000001</v>
      </c>
      <c r="BQ258" s="8">
        <f t="shared" si="158"/>
        <v>247242594.40000001</v>
      </c>
      <c r="BR258" s="8">
        <f t="shared" si="159"/>
        <v>41425876.700000003</v>
      </c>
      <c r="BS258" s="8">
        <f t="shared" si="147"/>
        <v>3330.3728530999997</v>
      </c>
      <c r="BT258" s="8">
        <f t="shared" si="162"/>
        <v>326.04008159999967</v>
      </c>
      <c r="BU258" s="8"/>
    </row>
    <row r="259" spans="1:73" x14ac:dyDescent="0.35">
      <c r="A259" t="s">
        <v>142</v>
      </c>
      <c r="B259">
        <v>4.0999999999999996</v>
      </c>
      <c r="C259">
        <v>5.7</v>
      </c>
      <c r="D259">
        <v>6.7</v>
      </c>
      <c r="E259">
        <v>7.7</v>
      </c>
      <c r="F259">
        <v>8.6</v>
      </c>
      <c r="G259">
        <v>9.5</v>
      </c>
      <c r="H259">
        <v>10.700000000000001</v>
      </c>
      <c r="I259">
        <v>12</v>
      </c>
      <c r="J259">
        <v>14</v>
      </c>
      <c r="K259">
        <v>21</v>
      </c>
      <c r="L259">
        <f t="shared" si="127"/>
        <v>1.7</v>
      </c>
      <c r="M259">
        <f t="shared" si="128"/>
        <v>5363352</v>
      </c>
      <c r="N259">
        <f t="shared" si="129"/>
        <v>38064.653322818347</v>
      </c>
      <c r="O259">
        <f t="shared" si="144"/>
        <v>1.8161068334041062</v>
      </c>
      <c r="P259" s="8">
        <f t="shared" si="166"/>
        <v>15606.507862355522</v>
      </c>
      <c r="Q259" s="8">
        <f t="shared" si="166"/>
        <v>21696.852394006459</v>
      </c>
      <c r="R259" s="8">
        <f t="shared" si="166"/>
        <v>25503.317726288293</v>
      </c>
      <c r="S259" s="8">
        <f t="shared" si="166"/>
        <v>29309.783058570127</v>
      </c>
      <c r="T259" s="8">
        <f t="shared" si="166"/>
        <v>32735.601857623777</v>
      </c>
      <c r="U259" s="8">
        <f t="shared" si="163"/>
        <v>36161.42065667743</v>
      </c>
      <c r="V259" s="8">
        <f t="shared" si="163"/>
        <v>40729.179055415632</v>
      </c>
      <c r="W259" s="8">
        <f t="shared" si="163"/>
        <v>45677.583987382022</v>
      </c>
      <c r="X259" s="8">
        <f t="shared" si="163"/>
        <v>53290.51465194569</v>
      </c>
      <c r="Y259" s="8">
        <f t="shared" si="163"/>
        <v>79935.771977918528</v>
      </c>
      <c r="Z259">
        <f t="shared" si="167"/>
        <v>9.6554432769099545</v>
      </c>
      <c r="AA259">
        <f t="shared" si="167"/>
        <v>9.9849224780401968</v>
      </c>
      <c r="AB259">
        <f t="shared" si="167"/>
        <v>10.146563829596614</v>
      </c>
      <c r="AC259">
        <f t="shared" si="167"/>
        <v>10.285676632059332</v>
      </c>
      <c r="AD259">
        <f t="shared" si="167"/>
        <v>10.396218506459155</v>
      </c>
      <c r="AE259">
        <f t="shared" si="164"/>
        <v>10.495748101806189</v>
      </c>
      <c r="AF259">
        <f t="shared" si="164"/>
        <v>10.614700044667554</v>
      </c>
      <c r="AG259">
        <f t="shared" si="164"/>
        <v>10.729362952987694</v>
      </c>
      <c r="AH259">
        <f t="shared" si="164"/>
        <v>10.883513632814951</v>
      </c>
      <c r="AI259">
        <f t="shared" si="164"/>
        <v>11.288978740923117</v>
      </c>
      <c r="AJ259">
        <f t="shared" si="145"/>
        <v>17.604750415903368</v>
      </c>
      <c r="AK259">
        <f t="shared" si="132"/>
        <v>18.205489184365735</v>
      </c>
      <c r="AL259">
        <f t="shared" si="133"/>
        <v>18.500209537375849</v>
      </c>
      <c r="AM259">
        <f t="shared" si="134"/>
        <v>18.753853631880517</v>
      </c>
      <c r="AN259">
        <f t="shared" si="135"/>
        <v>18.955404410389963</v>
      </c>
      <c r="AO259">
        <f t="shared" si="136"/>
        <v>19.136876522527022</v>
      </c>
      <c r="AP259">
        <f t="shared" si="137"/>
        <v>19.353761362042263</v>
      </c>
      <c r="AQ259">
        <f t="shared" si="138"/>
        <v>19.562826013456558</v>
      </c>
      <c r="AR259">
        <f t="shared" si="139"/>
        <v>19.843888639684238</v>
      </c>
      <c r="AS259">
        <f t="shared" si="140"/>
        <v>20.583172360367637</v>
      </c>
      <c r="AT259">
        <f t="shared" si="141"/>
        <v>32.098706223815782</v>
      </c>
      <c r="AU259">
        <f t="shared" si="146"/>
        <v>-17.594131827335673</v>
      </c>
      <c r="AV259" s="5">
        <f t="shared" si="168"/>
        <v>1.0618588567695042E-2</v>
      </c>
      <c r="AW259" s="5">
        <f t="shared" si="168"/>
        <v>0.61135735703006233</v>
      </c>
      <c r="AX259" s="5">
        <f t="shared" si="168"/>
        <v>0.90607771004017579</v>
      </c>
      <c r="AY259" s="5">
        <f t="shared" si="168"/>
        <v>1.1597218045448443</v>
      </c>
      <c r="AZ259" s="5">
        <f t="shared" si="168"/>
        <v>1.3612725830542907</v>
      </c>
      <c r="BA259" s="5">
        <f t="shared" si="165"/>
        <v>1.5427446951913488</v>
      </c>
      <c r="BB259" s="5">
        <f t="shared" si="165"/>
        <v>1.7596295347065904</v>
      </c>
      <c r="BC259" s="5">
        <f t="shared" si="165"/>
        <v>1.9686941861208851</v>
      </c>
      <c r="BD259" s="5">
        <f t="shared" si="165"/>
        <v>2.2497568123485649</v>
      </c>
      <c r="BE259" s="5">
        <f t="shared" si="165"/>
        <v>2.9890405330319645</v>
      </c>
      <c r="BG259" s="1"/>
      <c r="BH259" s="1">
        <f t="shared" si="161"/>
        <v>7.4999999999999885</v>
      </c>
      <c r="BI259" s="8">
        <f t="shared" si="160"/>
        <v>565635624.39999998</v>
      </c>
      <c r="BJ259" s="8">
        <f t="shared" si="151"/>
        <v>518720057.10000002</v>
      </c>
      <c r="BK259" s="8">
        <f t="shared" si="152"/>
        <v>489094773.30000001</v>
      </c>
      <c r="BL259" s="8">
        <f t="shared" si="153"/>
        <v>333926790.60000002</v>
      </c>
      <c r="BM259" s="8">
        <f t="shared" si="154"/>
        <v>321462888.80000001</v>
      </c>
      <c r="BN259" s="8">
        <f t="shared" si="155"/>
        <v>306141215.80000001</v>
      </c>
      <c r="BO259" s="8">
        <f t="shared" si="156"/>
        <v>303803881</v>
      </c>
      <c r="BP259" s="8">
        <f t="shared" si="157"/>
        <v>276542095</v>
      </c>
      <c r="BQ259" s="8">
        <f t="shared" si="158"/>
        <v>247335772.30000001</v>
      </c>
      <c r="BR259" s="8">
        <f t="shared" si="159"/>
        <v>41866853.299999997</v>
      </c>
      <c r="BS259" s="8">
        <f t="shared" si="147"/>
        <v>3404.5299516000009</v>
      </c>
      <c r="BT259" s="8">
        <f t="shared" si="162"/>
        <v>74.157098500001212</v>
      </c>
      <c r="BU259" s="8"/>
    </row>
    <row r="260" spans="1:73" x14ac:dyDescent="0.35">
      <c r="A260" t="s">
        <v>143</v>
      </c>
      <c r="B260">
        <v>3.7</v>
      </c>
      <c r="C260">
        <v>5.3</v>
      </c>
      <c r="D260">
        <v>6.3</v>
      </c>
      <c r="E260">
        <v>7.2</v>
      </c>
      <c r="F260">
        <v>8.1</v>
      </c>
      <c r="G260">
        <v>9.1</v>
      </c>
      <c r="H260">
        <v>10.200000000000001</v>
      </c>
      <c r="I260">
        <v>11.6</v>
      </c>
      <c r="J260">
        <v>13.9</v>
      </c>
      <c r="K260">
        <v>24.6</v>
      </c>
      <c r="L260">
        <f t="shared" si="127"/>
        <v>10.7</v>
      </c>
      <c r="M260">
        <f t="shared" si="128"/>
        <v>65031235</v>
      </c>
      <c r="N260">
        <f t="shared" si="129"/>
        <v>33898.26965325878</v>
      </c>
      <c r="O260">
        <f t="shared" si="144"/>
        <v>-1.7425985850205219</v>
      </c>
      <c r="P260" s="8">
        <f t="shared" si="166"/>
        <v>12542.359771705749</v>
      </c>
      <c r="Q260" s="8">
        <f t="shared" si="166"/>
        <v>17966.082916227151</v>
      </c>
      <c r="R260" s="8">
        <f t="shared" si="166"/>
        <v>21355.909881553031</v>
      </c>
      <c r="S260" s="8">
        <f t="shared" si="166"/>
        <v>24406.754150346322</v>
      </c>
      <c r="T260" s="8">
        <f t="shared" si="166"/>
        <v>27457.598419139609</v>
      </c>
      <c r="U260" s="8">
        <f t="shared" si="163"/>
        <v>30847.425384465489</v>
      </c>
      <c r="V260" s="8">
        <f t="shared" si="163"/>
        <v>34576.235046323956</v>
      </c>
      <c r="W260" s="8">
        <f t="shared" si="163"/>
        <v>39321.992797780185</v>
      </c>
      <c r="X260" s="8">
        <f t="shared" si="163"/>
        <v>47118.594818029705</v>
      </c>
      <c r="Y260" s="8">
        <f t="shared" si="163"/>
        <v>83389.7433470166</v>
      </c>
      <c r="Z260">
        <f t="shared" si="167"/>
        <v>9.43686697604522</v>
      </c>
      <c r="AA260">
        <f t="shared" si="167"/>
        <v>9.7962409769531185</v>
      </c>
      <c r="AB260">
        <f t="shared" si="167"/>
        <v>9.9690837897925295</v>
      </c>
      <c r="AC260">
        <f t="shared" si="167"/>
        <v>10.102615182417052</v>
      </c>
      <c r="AD260">
        <f t="shared" si="167"/>
        <v>10.220398218073434</v>
      </c>
      <c r="AE260">
        <f t="shared" si="164"/>
        <v>10.336808569917846</v>
      </c>
      <c r="AF260">
        <f t="shared" si="164"/>
        <v>10.450921876685268</v>
      </c>
      <c r="AG260">
        <f t="shared" si="164"/>
        <v>10.579539254507361</v>
      </c>
      <c r="AH260">
        <f t="shared" si="164"/>
        <v>10.760422996531688</v>
      </c>
      <c r="AI260">
        <f t="shared" si="164"/>
        <v>11.331280599333359</v>
      </c>
      <c r="AJ260">
        <f t="shared" si="145"/>
        <v>17.206220683689299</v>
      </c>
      <c r="AK260">
        <f t="shared" si="132"/>
        <v>17.861466580796669</v>
      </c>
      <c r="AL260">
        <f t="shared" si="133"/>
        <v>18.176610535761139</v>
      </c>
      <c r="AM260">
        <f t="shared" si="134"/>
        <v>18.420078056870647</v>
      </c>
      <c r="AN260">
        <f t="shared" si="135"/>
        <v>18.634831630216858</v>
      </c>
      <c r="AO260">
        <f t="shared" si="136"/>
        <v>18.847082391914068</v>
      </c>
      <c r="AP260">
        <f t="shared" si="137"/>
        <v>19.055144955916496</v>
      </c>
      <c r="AQ260">
        <f t="shared" si="138"/>
        <v>19.289652763664765</v>
      </c>
      <c r="AR260">
        <f t="shared" si="139"/>
        <v>19.619457728730232</v>
      </c>
      <c r="AS260">
        <f t="shared" si="140"/>
        <v>20.660301254203315</v>
      </c>
      <c r="AT260">
        <f t="shared" si="141"/>
        <v>31.372067760129333</v>
      </c>
      <c r="AU260">
        <f t="shared" si="146"/>
        <v>-21.012527661574744</v>
      </c>
      <c r="AV260" s="5">
        <f t="shared" si="168"/>
        <v>-3.8063069778854448</v>
      </c>
      <c r="AW260" s="5">
        <f t="shared" si="168"/>
        <v>-3.1510610807780743</v>
      </c>
      <c r="AX260" s="5">
        <f t="shared" si="168"/>
        <v>-2.8359171258136051</v>
      </c>
      <c r="AY260" s="5">
        <f t="shared" si="168"/>
        <v>-2.5924496047040968</v>
      </c>
      <c r="AZ260" s="5">
        <f t="shared" si="168"/>
        <v>-2.3776960313578854</v>
      </c>
      <c r="BA260" s="5">
        <f t="shared" si="165"/>
        <v>-2.1654452696606761</v>
      </c>
      <c r="BB260" s="5">
        <f t="shared" si="165"/>
        <v>-1.9573827056582473</v>
      </c>
      <c r="BC260" s="5">
        <f t="shared" si="165"/>
        <v>-1.7228748979099784</v>
      </c>
      <c r="BD260" s="5">
        <f t="shared" si="165"/>
        <v>-1.3930699328445115</v>
      </c>
      <c r="BE260" s="5">
        <f t="shared" si="165"/>
        <v>-0.35222640737142896</v>
      </c>
      <c r="BG260" s="1"/>
      <c r="BH260" s="1">
        <f t="shared" si="161"/>
        <v>7.5999999999999881</v>
      </c>
      <c r="BI260" s="8">
        <f t="shared" si="160"/>
        <v>566526508</v>
      </c>
      <c r="BJ260" s="8">
        <f t="shared" si="151"/>
        <v>520881596.89999998</v>
      </c>
      <c r="BK260" s="8">
        <f t="shared" si="152"/>
        <v>512367058.5</v>
      </c>
      <c r="BL260" s="8">
        <f t="shared" si="153"/>
        <v>488917205.30000001</v>
      </c>
      <c r="BM260" s="8">
        <f t="shared" si="154"/>
        <v>322147614.10000002</v>
      </c>
      <c r="BN260" s="8">
        <f t="shared" si="155"/>
        <v>319003776.89999998</v>
      </c>
      <c r="BO260" s="8">
        <f t="shared" si="156"/>
        <v>304249161</v>
      </c>
      <c r="BP260" s="8">
        <f t="shared" si="157"/>
        <v>303321015.60000002</v>
      </c>
      <c r="BQ260" s="8">
        <f t="shared" si="158"/>
        <v>249283539.69999999</v>
      </c>
      <c r="BR260" s="8">
        <f t="shared" si="159"/>
        <v>78672114.599999994</v>
      </c>
      <c r="BS260" s="8">
        <f t="shared" si="147"/>
        <v>3665.3695905999998</v>
      </c>
      <c r="BT260" s="8">
        <f t="shared" si="162"/>
        <v>260.8396389999989</v>
      </c>
      <c r="BU260" s="8"/>
    </row>
    <row r="261" spans="1:73" x14ac:dyDescent="0.35">
      <c r="A261" t="s">
        <v>371</v>
      </c>
      <c r="B261">
        <v>2.27</v>
      </c>
      <c r="C261">
        <v>3.5500000000000003</v>
      </c>
      <c r="D261">
        <v>4.55</v>
      </c>
      <c r="E261">
        <v>5.51</v>
      </c>
      <c r="F261">
        <v>6.5600000000000005</v>
      </c>
      <c r="G261">
        <v>7.8100000000000005</v>
      </c>
      <c r="H261">
        <v>9.42</v>
      </c>
      <c r="I261">
        <v>11.66</v>
      </c>
      <c r="J261">
        <v>15.530000000000001</v>
      </c>
      <c r="K261">
        <v>33.15</v>
      </c>
      <c r="L261">
        <f t="shared" si="127"/>
        <v>25</v>
      </c>
      <c r="M261">
        <f t="shared" si="128"/>
        <v>1556222</v>
      </c>
      <c r="N261">
        <f t="shared" si="129"/>
        <v>6223.1452764687092</v>
      </c>
      <c r="O261">
        <f t="shared" si="144"/>
        <v>-3.6308399454716316</v>
      </c>
      <c r="P261" s="8">
        <f t="shared" si="166"/>
        <v>1412.6539777583971</v>
      </c>
      <c r="Q261" s="8">
        <f t="shared" si="166"/>
        <v>2209.216573146392</v>
      </c>
      <c r="R261" s="8">
        <f t="shared" si="166"/>
        <v>2831.5311007932623</v>
      </c>
      <c r="S261" s="8">
        <f t="shared" si="166"/>
        <v>3428.9530473342588</v>
      </c>
      <c r="T261" s="8">
        <f t="shared" si="166"/>
        <v>4082.3833013634735</v>
      </c>
      <c r="U261" s="8">
        <f t="shared" si="163"/>
        <v>4860.2764609220621</v>
      </c>
      <c r="V261" s="8">
        <f t="shared" si="163"/>
        <v>5862.202850433524</v>
      </c>
      <c r="W261" s="8">
        <f t="shared" si="163"/>
        <v>7256.1873923625153</v>
      </c>
      <c r="X261" s="8">
        <f t="shared" si="163"/>
        <v>9664.5446143559057</v>
      </c>
      <c r="Y261" s="8">
        <f t="shared" si="163"/>
        <v>20629.726591493771</v>
      </c>
      <c r="Z261">
        <f t="shared" si="167"/>
        <v>7.2532254678817552</v>
      </c>
      <c r="AA261">
        <f t="shared" si="167"/>
        <v>7.7003932398757682</v>
      </c>
      <c r="AB261">
        <f t="shared" si="167"/>
        <v>7.9485728693513025</v>
      </c>
      <c r="AC261">
        <f t="shared" si="167"/>
        <v>8.1400102595532662</v>
      </c>
      <c r="AD261">
        <f t="shared" si="167"/>
        <v>8.3144362393444418</v>
      </c>
      <c r="AE261">
        <f t="shared" si="164"/>
        <v>8.4888506002400383</v>
      </c>
      <c r="AF261">
        <f t="shared" si="164"/>
        <v>8.6762807249767153</v>
      </c>
      <c r="AG261">
        <f t="shared" si="164"/>
        <v>8.8896098173107898</v>
      </c>
      <c r="AH261">
        <f t="shared" si="164"/>
        <v>9.1762192735490391</v>
      </c>
      <c r="AI261">
        <f t="shared" si="164"/>
        <v>9.9344883530203152</v>
      </c>
      <c r="AJ261">
        <f t="shared" si="145"/>
        <v>13.22479148913787</v>
      </c>
      <c r="AK261">
        <f t="shared" si="132"/>
        <v>14.040111593479009</v>
      </c>
      <c r="AL261">
        <f t="shared" si="133"/>
        <v>14.492617015542491</v>
      </c>
      <c r="AM261">
        <f t="shared" si="134"/>
        <v>14.841664426222952</v>
      </c>
      <c r="AN261">
        <f t="shared" si="135"/>
        <v>15.159694966324242</v>
      </c>
      <c r="AO261">
        <f t="shared" si="136"/>
        <v>15.477704321716462</v>
      </c>
      <c r="AP261">
        <f t="shared" si="137"/>
        <v>15.819445293288595</v>
      </c>
      <c r="AQ261">
        <f t="shared" si="138"/>
        <v>16.20840780068313</v>
      </c>
      <c r="AR261">
        <f t="shared" si="139"/>
        <v>16.730982249023416</v>
      </c>
      <c r="AS261">
        <f t="shared" si="140"/>
        <v>18.113532745085237</v>
      </c>
      <c r="AT261">
        <f t="shared" si="141"/>
        <v>24.112735872562101</v>
      </c>
      <c r="AU261">
        <f t="shared" si="146"/>
        <v>-20.091344849218714</v>
      </c>
      <c r="AV261" s="5">
        <f t="shared" si="168"/>
        <v>-6.8665533600808448</v>
      </c>
      <c r="AW261" s="5">
        <f t="shared" si="168"/>
        <v>-6.0512332557397048</v>
      </c>
      <c r="AX261" s="5">
        <f t="shared" si="168"/>
        <v>-5.5987278336762234</v>
      </c>
      <c r="AY261" s="5">
        <f t="shared" si="168"/>
        <v>-5.2496804229957625</v>
      </c>
      <c r="AZ261" s="5">
        <f t="shared" si="168"/>
        <v>-4.9316498828944724</v>
      </c>
      <c r="BA261" s="5">
        <f t="shared" si="165"/>
        <v>-4.6136405275022518</v>
      </c>
      <c r="BB261" s="5">
        <f t="shared" si="165"/>
        <v>-4.2718995559301192</v>
      </c>
      <c r="BC261" s="5">
        <f t="shared" si="165"/>
        <v>-3.8829370485355845</v>
      </c>
      <c r="BD261" s="5">
        <f t="shared" si="165"/>
        <v>-3.3603626001952982</v>
      </c>
      <c r="BE261" s="5">
        <f t="shared" si="165"/>
        <v>-1.9778121041334771</v>
      </c>
      <c r="BG261" s="1"/>
      <c r="BH261" s="1">
        <f t="shared" si="161"/>
        <v>7.6999999999999877</v>
      </c>
      <c r="BI261" s="8">
        <f t="shared" si="160"/>
        <v>568558997.10000002</v>
      </c>
      <c r="BJ261" s="8">
        <f t="shared" si="151"/>
        <v>524914102</v>
      </c>
      <c r="BK261" s="8">
        <f t="shared" si="152"/>
        <v>515106475.30000001</v>
      </c>
      <c r="BL261" s="8">
        <f t="shared" si="153"/>
        <v>490384799.39999998</v>
      </c>
      <c r="BM261" s="8">
        <f t="shared" si="154"/>
        <v>469525429.39999998</v>
      </c>
      <c r="BN261" s="8">
        <f t="shared" si="155"/>
        <v>321473298.60000002</v>
      </c>
      <c r="BO261" s="8">
        <f t="shared" si="156"/>
        <v>316988759.80000001</v>
      </c>
      <c r="BP261" s="8">
        <f t="shared" si="157"/>
        <v>303392709.5</v>
      </c>
      <c r="BQ261" s="8">
        <f t="shared" si="158"/>
        <v>249283539.69999999</v>
      </c>
      <c r="BR261" s="8">
        <f t="shared" si="159"/>
        <v>83309192.900000006</v>
      </c>
      <c r="BS261" s="8">
        <f t="shared" si="147"/>
        <v>3842.9373037</v>
      </c>
      <c r="BT261" s="8">
        <f t="shared" si="162"/>
        <v>177.56771310000022</v>
      </c>
      <c r="BU261" s="8"/>
    </row>
    <row r="262" spans="1:73" x14ac:dyDescent="0.35">
      <c r="A262" t="s">
        <v>372</v>
      </c>
      <c r="B262">
        <v>1.79</v>
      </c>
      <c r="C262">
        <v>2.98</v>
      </c>
      <c r="D262">
        <v>3.9</v>
      </c>
      <c r="E262">
        <v>4.7700000000000005</v>
      </c>
      <c r="F262">
        <v>5.86</v>
      </c>
      <c r="G262">
        <v>7.18</v>
      </c>
      <c r="H262">
        <v>9.120000000000001</v>
      </c>
      <c r="I262">
        <v>11.59</v>
      </c>
      <c r="J262">
        <v>15.96</v>
      </c>
      <c r="K262">
        <v>36.85</v>
      </c>
      <c r="L262">
        <f t="shared" si="127"/>
        <v>27.5</v>
      </c>
      <c r="M262">
        <f t="shared" si="128"/>
        <v>1680640</v>
      </c>
      <c r="N262">
        <f t="shared" si="129"/>
        <v>466.6529302392043</v>
      </c>
      <c r="O262">
        <f t="shared" si="144"/>
        <v>-9.2838110201869917</v>
      </c>
      <c r="P262" s="8">
        <f t="shared" si="166"/>
        <v>83.530874512817576</v>
      </c>
      <c r="Q262" s="8">
        <f t="shared" si="166"/>
        <v>139.06257321128288</v>
      </c>
      <c r="R262" s="8">
        <f t="shared" si="166"/>
        <v>181.99464279328967</v>
      </c>
      <c r="S262" s="8">
        <f t="shared" si="166"/>
        <v>222.59344772410046</v>
      </c>
      <c r="T262" s="8">
        <f t="shared" si="166"/>
        <v>273.4586171201737</v>
      </c>
      <c r="U262" s="8">
        <f t="shared" si="163"/>
        <v>335.05680391174872</v>
      </c>
      <c r="V262" s="8">
        <f t="shared" si="163"/>
        <v>425.5874723781543</v>
      </c>
      <c r="W262" s="8">
        <f t="shared" si="163"/>
        <v>540.85074614723783</v>
      </c>
      <c r="X262" s="8">
        <f t="shared" si="163"/>
        <v>744.77807666177011</v>
      </c>
      <c r="Y262" s="8">
        <f t="shared" si="163"/>
        <v>1719.6160479314681</v>
      </c>
      <c r="Z262">
        <f t="shared" si="167"/>
        <v>4.4252163181589292</v>
      </c>
      <c r="AA262">
        <f t="shared" si="167"/>
        <v>4.9349239988235789</v>
      </c>
      <c r="AB262">
        <f t="shared" si="167"/>
        <v>5.2039772514418665</v>
      </c>
      <c r="AC262">
        <f t="shared" si="167"/>
        <v>5.405347003206515</v>
      </c>
      <c r="AD262">
        <f t="shared" si="167"/>
        <v>5.6111503018951865</v>
      </c>
      <c r="AE262">
        <f t="shared" si="164"/>
        <v>5.8143000813663983</v>
      </c>
      <c r="AF262">
        <f t="shared" si="164"/>
        <v>6.0534705023925053</v>
      </c>
      <c r="AG262">
        <f t="shared" si="164"/>
        <v>6.2931433556579259</v>
      </c>
      <c r="AH262">
        <f t="shared" si="164"/>
        <v>6.6130862903279279</v>
      </c>
      <c r="AI262">
        <f t="shared" si="164"/>
        <v>7.4498563169416112</v>
      </c>
      <c r="AJ262">
        <f t="shared" si="145"/>
        <v>8.0684880624665389</v>
      </c>
      <c r="AK262">
        <f t="shared" si="132"/>
        <v>8.9978370572070343</v>
      </c>
      <c r="AL262">
        <f t="shared" si="133"/>
        <v>9.4884013145994519</v>
      </c>
      <c r="AM262">
        <f t="shared" si="134"/>
        <v>9.8555583802524325</v>
      </c>
      <c r="AN262">
        <f t="shared" si="135"/>
        <v>10.230799123144891</v>
      </c>
      <c r="AO262">
        <f t="shared" si="136"/>
        <v>10.601201709755191</v>
      </c>
      <c r="AP262">
        <f t="shared" si="137"/>
        <v>11.03728066007125</v>
      </c>
      <c r="AQ262">
        <f t="shared" si="138"/>
        <v>11.474275694084385</v>
      </c>
      <c r="AR262">
        <f t="shared" si="139"/>
        <v>12.057627006982331</v>
      </c>
      <c r="AS262">
        <f t="shared" si="140"/>
        <v>13.583308122967006</v>
      </c>
      <c r="AT262">
        <f t="shared" si="141"/>
        <v>14.711258147319116</v>
      </c>
      <c r="AU262">
        <f t="shared" si="146"/>
        <v>-21.163536260964644</v>
      </c>
      <c r="AV262" s="5">
        <f t="shared" si="168"/>
        <v>-13.095048198498105</v>
      </c>
      <c r="AW262" s="5">
        <f t="shared" si="168"/>
        <v>-12.16569920375761</v>
      </c>
      <c r="AX262" s="5">
        <f t="shared" si="168"/>
        <v>-11.675134946365192</v>
      </c>
      <c r="AY262" s="5">
        <f t="shared" si="168"/>
        <v>-11.307977880712212</v>
      </c>
      <c r="AZ262" s="5">
        <f t="shared" si="168"/>
        <v>-10.932737137819753</v>
      </c>
      <c r="BA262" s="5">
        <f t="shared" si="165"/>
        <v>-10.562334551209453</v>
      </c>
      <c r="BB262" s="5">
        <f t="shared" si="165"/>
        <v>-10.126255600893394</v>
      </c>
      <c r="BC262" s="5">
        <f t="shared" si="165"/>
        <v>-9.6892605668802592</v>
      </c>
      <c r="BD262" s="5">
        <f t="shared" si="165"/>
        <v>-9.105909253982313</v>
      </c>
      <c r="BE262" s="5">
        <f t="shared" si="165"/>
        <v>-7.5802281379976382</v>
      </c>
      <c r="BG262" s="1"/>
      <c r="BH262" s="1">
        <f t="shared" si="161"/>
        <v>7.7999999999999874</v>
      </c>
      <c r="BI262" s="8">
        <f t="shared" si="160"/>
        <v>568701990.20000005</v>
      </c>
      <c r="BJ262" s="8">
        <f t="shared" si="151"/>
        <v>541294993</v>
      </c>
      <c r="BK262" s="8">
        <f t="shared" si="152"/>
        <v>518720057.10000002</v>
      </c>
      <c r="BL262" s="8">
        <f t="shared" si="153"/>
        <v>493019855.30000001</v>
      </c>
      <c r="BM262" s="8">
        <f t="shared" si="154"/>
        <v>489803272.39999998</v>
      </c>
      <c r="BN262" s="8">
        <f t="shared" si="155"/>
        <v>322752214.10000002</v>
      </c>
      <c r="BO262" s="8">
        <f t="shared" si="156"/>
        <v>319003776.89999998</v>
      </c>
      <c r="BP262" s="8">
        <f t="shared" si="157"/>
        <v>309132580.60000002</v>
      </c>
      <c r="BQ262" s="8">
        <f t="shared" si="158"/>
        <v>277845274.60000002</v>
      </c>
      <c r="BR262" s="8">
        <f t="shared" si="159"/>
        <v>88590013.200000003</v>
      </c>
      <c r="BS262" s="8">
        <f t="shared" si="147"/>
        <v>3928.8640273999995</v>
      </c>
      <c r="BT262" s="8">
        <f t="shared" si="162"/>
        <v>85.926723699999457</v>
      </c>
      <c r="BU262" s="8"/>
    </row>
    <row r="263" spans="1:73" x14ac:dyDescent="0.35">
      <c r="A263" t="s">
        <v>222</v>
      </c>
      <c r="B263">
        <v>2.0499999999999998</v>
      </c>
      <c r="C263">
        <v>3.54</v>
      </c>
      <c r="D263">
        <v>4.68</v>
      </c>
      <c r="E263">
        <v>5.8100000000000005</v>
      </c>
      <c r="F263">
        <v>6.98</v>
      </c>
      <c r="G263">
        <v>8.370000000000001</v>
      </c>
      <c r="H263">
        <v>10.08</v>
      </c>
      <c r="I263">
        <v>12.44</v>
      </c>
      <c r="J263">
        <v>16.22</v>
      </c>
      <c r="K263">
        <v>29.830000000000002</v>
      </c>
      <c r="L263">
        <f t="shared" si="127"/>
        <v>5.8</v>
      </c>
      <c r="M263">
        <f t="shared" si="128"/>
        <v>4452800</v>
      </c>
      <c r="N263">
        <f t="shared" si="129"/>
        <v>1850.8208503929698</v>
      </c>
      <c r="O263">
        <f t="shared" si="144"/>
        <v>-5.3084572917504929</v>
      </c>
      <c r="P263" s="8">
        <f t="shared" si="166"/>
        <v>379.4182743305588</v>
      </c>
      <c r="Q263" s="8">
        <f t="shared" si="166"/>
        <v>655.19058103911129</v>
      </c>
      <c r="R263" s="8">
        <f t="shared" si="166"/>
        <v>866.18415798390981</v>
      </c>
      <c r="S263" s="8">
        <f t="shared" si="166"/>
        <v>1075.3269140783154</v>
      </c>
      <c r="T263" s="8">
        <f t="shared" si="166"/>
        <v>1291.872953574293</v>
      </c>
      <c r="U263" s="8">
        <f t="shared" si="163"/>
        <v>1549.137051778916</v>
      </c>
      <c r="V263" s="8">
        <f t="shared" si="163"/>
        <v>1865.6274171961136</v>
      </c>
      <c r="W263" s="8">
        <f t="shared" si="163"/>
        <v>2302.4211378888544</v>
      </c>
      <c r="X263" s="8">
        <f t="shared" si="163"/>
        <v>3002.031419337397</v>
      </c>
      <c r="Y263" s="8">
        <f t="shared" si="163"/>
        <v>5520.9985967222292</v>
      </c>
      <c r="Z263">
        <f t="shared" si="167"/>
        <v>5.9386392227367297</v>
      </c>
      <c r="AA263">
        <f t="shared" si="167"/>
        <v>6.4849261567320964</v>
      </c>
      <c r="AB263">
        <f t="shared" si="167"/>
        <v>6.7640975395159684</v>
      </c>
      <c r="AC263">
        <f t="shared" si="167"/>
        <v>6.980380000450233</v>
      </c>
      <c r="AD263">
        <f t="shared" si="167"/>
        <v>7.1638483463606946</v>
      </c>
      <c r="AE263">
        <f t="shared" si="164"/>
        <v>7.3454533140877976</v>
      </c>
      <c r="AF263">
        <f t="shared" si="164"/>
        <v>7.5313526922296354</v>
      </c>
      <c r="AG263">
        <f t="shared" si="164"/>
        <v>7.7417165168974469</v>
      </c>
      <c r="AH263">
        <f t="shared" si="164"/>
        <v>8.0070444782736807</v>
      </c>
      <c r="AI263">
        <f t="shared" si="164"/>
        <v>8.6163140281130701</v>
      </c>
      <c r="AJ263">
        <f t="shared" si="145"/>
        <v>10.827909017537435</v>
      </c>
      <c r="AK263">
        <f t="shared" si="132"/>
        <v>11.823952891717319</v>
      </c>
      <c r="AL263">
        <f t="shared" si="133"/>
        <v>12.332965515604387</v>
      </c>
      <c r="AM263">
        <f t="shared" si="134"/>
        <v>12.72731289406091</v>
      </c>
      <c r="AN263">
        <f t="shared" si="135"/>
        <v>13.061830362222763</v>
      </c>
      <c r="AO263">
        <f t="shared" si="136"/>
        <v>13.392950336669653</v>
      </c>
      <c r="AP263">
        <f t="shared" si="137"/>
        <v>13.731900301036911</v>
      </c>
      <c r="AQ263">
        <f t="shared" si="138"/>
        <v>14.115456241826081</v>
      </c>
      <c r="AR263">
        <f t="shared" si="139"/>
        <v>14.599228183147446</v>
      </c>
      <c r="AS263">
        <f t="shared" si="140"/>
        <v>15.710108134830506</v>
      </c>
      <c r="AT263">
        <f t="shared" si="141"/>
        <v>19.74250485585797</v>
      </c>
      <c r="AU263">
        <f t="shared" si="146"/>
        <v>-19.492801101468562</v>
      </c>
      <c r="AV263" s="5">
        <f t="shared" si="168"/>
        <v>-8.664892083931127</v>
      </c>
      <c r="AW263" s="5">
        <f t="shared" si="168"/>
        <v>-7.6688482097512427</v>
      </c>
      <c r="AX263" s="5">
        <f t="shared" si="168"/>
        <v>-7.1598355858641742</v>
      </c>
      <c r="AY263" s="5">
        <f t="shared" si="168"/>
        <v>-6.7654882074076514</v>
      </c>
      <c r="AZ263" s="5">
        <f t="shared" si="168"/>
        <v>-6.4309707392457991</v>
      </c>
      <c r="BA263" s="5">
        <f t="shared" si="165"/>
        <v>-6.0998507647989086</v>
      </c>
      <c r="BB263" s="5">
        <f t="shared" si="165"/>
        <v>-5.7609008004316511</v>
      </c>
      <c r="BC263" s="5">
        <f t="shared" si="165"/>
        <v>-5.3773448596424807</v>
      </c>
      <c r="BD263" s="5">
        <f t="shared" si="165"/>
        <v>-4.8935729183211158</v>
      </c>
      <c r="BE263" s="5">
        <f t="shared" si="165"/>
        <v>-3.7826929666380558</v>
      </c>
      <c r="BG263" s="1"/>
      <c r="BH263" s="1">
        <f t="shared" si="161"/>
        <v>7.899999999999987</v>
      </c>
      <c r="BI263" s="8">
        <f t="shared" si="160"/>
        <v>568701990.20000005</v>
      </c>
      <c r="BJ263" s="8">
        <f t="shared" si="151"/>
        <v>545591397.70000005</v>
      </c>
      <c r="BK263" s="8">
        <f t="shared" si="152"/>
        <v>519927981.39999998</v>
      </c>
      <c r="BL263" s="8">
        <f t="shared" si="153"/>
        <v>514738662.5</v>
      </c>
      <c r="BM263" s="8">
        <f t="shared" si="154"/>
        <v>490595021</v>
      </c>
      <c r="BN263" s="8">
        <f t="shared" si="155"/>
        <v>469789053.30000001</v>
      </c>
      <c r="BO263" s="8">
        <f t="shared" si="156"/>
        <v>321473298.60000002</v>
      </c>
      <c r="BP263" s="8">
        <f t="shared" si="157"/>
        <v>316869445</v>
      </c>
      <c r="BQ263" s="8">
        <f t="shared" si="158"/>
        <v>303321015.60000002</v>
      </c>
      <c r="BR263" s="8">
        <f t="shared" si="159"/>
        <v>102143519.8</v>
      </c>
      <c r="BS263" s="8">
        <f t="shared" si="147"/>
        <v>4153.1513851</v>
      </c>
      <c r="BT263" s="8">
        <f t="shared" si="162"/>
        <v>224.28735770000048</v>
      </c>
      <c r="BU263" s="8"/>
    </row>
    <row r="264" spans="1:73" x14ac:dyDescent="0.35">
      <c r="A264" t="s">
        <v>144</v>
      </c>
      <c r="B264">
        <v>2.9</v>
      </c>
      <c r="C264">
        <v>5</v>
      </c>
      <c r="D264">
        <v>6.2</v>
      </c>
      <c r="E264">
        <v>7.3</v>
      </c>
      <c r="F264">
        <v>8.3000000000000007</v>
      </c>
      <c r="G264">
        <v>9.4</v>
      </c>
      <c r="H264">
        <v>10.6</v>
      </c>
      <c r="I264">
        <v>12.200000000000001</v>
      </c>
      <c r="J264">
        <v>14.6</v>
      </c>
      <c r="K264">
        <v>23.6</v>
      </c>
      <c r="L264">
        <f t="shared" si="127"/>
        <v>8.4</v>
      </c>
      <c r="M264">
        <f t="shared" si="128"/>
        <v>81776930</v>
      </c>
      <c r="N264">
        <f t="shared" si="129"/>
        <v>36127.047700224583</v>
      </c>
      <c r="O264">
        <f t="shared" si="144"/>
        <v>-0.77106231358869337</v>
      </c>
      <c r="P264" s="8">
        <f t="shared" si="166"/>
        <v>10476.84383306513</v>
      </c>
      <c r="Q264" s="8">
        <f t="shared" si="166"/>
        <v>18063.523850112291</v>
      </c>
      <c r="R264" s="8">
        <f t="shared" si="166"/>
        <v>22398.769574139242</v>
      </c>
      <c r="S264" s="8">
        <f t="shared" si="166"/>
        <v>26372.744821163942</v>
      </c>
      <c r="T264" s="8">
        <f t="shared" si="166"/>
        <v>29985.449591186403</v>
      </c>
      <c r="U264" s="8">
        <f t="shared" si="163"/>
        <v>33959.424838211111</v>
      </c>
      <c r="V264" s="8">
        <f t="shared" si="163"/>
        <v>38294.670562238054</v>
      </c>
      <c r="W264" s="8">
        <f t="shared" si="163"/>
        <v>44074.998194273991</v>
      </c>
      <c r="X264" s="8">
        <f t="shared" si="163"/>
        <v>52745.489642327884</v>
      </c>
      <c r="Y264" s="8">
        <f t="shared" si="163"/>
        <v>85259.832572530024</v>
      </c>
      <c r="Z264">
        <f t="shared" si="167"/>
        <v>9.2569227515498937</v>
      </c>
      <c r="AA264">
        <f t="shared" si="167"/>
        <v>9.8016499269915656</v>
      </c>
      <c r="AB264">
        <f t="shared" si="167"/>
        <v>10.016761306608512</v>
      </c>
      <c r="AC264">
        <f t="shared" si="167"/>
        <v>10.180086362711812</v>
      </c>
      <c r="AD264">
        <f t="shared" si="167"/>
        <v>10.308467529360017</v>
      </c>
      <c r="AE264">
        <f t="shared" si="164"/>
        <v>10.432921703833424</v>
      </c>
      <c r="AF264">
        <f t="shared" si="164"/>
        <v>10.553066015675487</v>
      </c>
      <c r="AG264">
        <f t="shared" si="164"/>
        <v>10.693647966296677</v>
      </c>
      <c r="AH264">
        <f t="shared" si="164"/>
        <v>10.873233543271757</v>
      </c>
      <c r="AI264">
        <f t="shared" si="164"/>
        <v>11.353458726589031</v>
      </c>
      <c r="AJ264">
        <f t="shared" si="145"/>
        <v>16.87812873905542</v>
      </c>
      <c r="AK264">
        <f t="shared" si="132"/>
        <v>17.871328708583867</v>
      </c>
      <c r="AL264">
        <f t="shared" si="133"/>
        <v>18.263540856816686</v>
      </c>
      <c r="AM264">
        <f t="shared" si="134"/>
        <v>18.561331104959724</v>
      </c>
      <c r="AN264">
        <f t="shared" si="135"/>
        <v>18.795408229347061</v>
      </c>
      <c r="AO264">
        <f t="shared" si="136"/>
        <v>19.022325276756074</v>
      </c>
      <c r="AP264">
        <f t="shared" si="137"/>
        <v>19.241384160249083</v>
      </c>
      <c r="AQ264">
        <f t="shared" si="138"/>
        <v>19.497706949652798</v>
      </c>
      <c r="AR264">
        <f t="shared" si="139"/>
        <v>19.825144972980308</v>
      </c>
      <c r="AS264">
        <f t="shared" si="140"/>
        <v>20.700738589272326</v>
      </c>
      <c r="AT264">
        <f t="shared" si="141"/>
        <v>30.773858373662272</v>
      </c>
      <c r="AU264">
        <f t="shared" si="146"/>
        <v>-20.16828386570139</v>
      </c>
      <c r="AV264" s="5">
        <f t="shared" si="168"/>
        <v>-3.2901551266459705</v>
      </c>
      <c r="AW264" s="5">
        <f t="shared" si="168"/>
        <v>-2.2969551571175231</v>
      </c>
      <c r="AX264" s="5">
        <f t="shared" si="168"/>
        <v>-1.9047430088847044</v>
      </c>
      <c r="AY264" s="5">
        <f t="shared" si="168"/>
        <v>-1.6069527607416667</v>
      </c>
      <c r="AZ264" s="5">
        <f t="shared" si="168"/>
        <v>-1.3728756363543297</v>
      </c>
      <c r="BA264" s="5">
        <f t="shared" si="165"/>
        <v>-1.1459585889453159</v>
      </c>
      <c r="BB264" s="5">
        <f t="shared" si="165"/>
        <v>-0.92689970545230693</v>
      </c>
      <c r="BC264" s="5">
        <f t="shared" si="165"/>
        <v>-0.67057691604859215</v>
      </c>
      <c r="BD264" s="5">
        <f t="shared" si="165"/>
        <v>-0.34313889272108256</v>
      </c>
      <c r="BE264" s="5">
        <f t="shared" si="165"/>
        <v>0.53245472357093604</v>
      </c>
      <c r="BG264" s="1"/>
      <c r="BH264" s="1">
        <f t="shared" si="161"/>
        <v>7.9999999999999867</v>
      </c>
      <c r="BI264" s="8">
        <f t="shared" si="160"/>
        <v>569276579.70000005</v>
      </c>
      <c r="BJ264" s="8">
        <f t="shared" si="151"/>
        <v>567830154.70000005</v>
      </c>
      <c r="BK264" s="8">
        <f t="shared" si="152"/>
        <v>526080732</v>
      </c>
      <c r="BL264" s="8">
        <f t="shared" si="153"/>
        <v>515892473.60000002</v>
      </c>
      <c r="BM264" s="8">
        <f t="shared" si="154"/>
        <v>493019855.30000001</v>
      </c>
      <c r="BN264" s="8">
        <f t="shared" si="155"/>
        <v>485188735.30000001</v>
      </c>
      <c r="BO264" s="8">
        <f t="shared" si="156"/>
        <v>456700282.10000002</v>
      </c>
      <c r="BP264" s="8">
        <f t="shared" si="157"/>
        <v>318955016.80000001</v>
      </c>
      <c r="BQ264" s="8">
        <f t="shared" si="158"/>
        <v>311372367.10000002</v>
      </c>
      <c r="BR264" s="8">
        <f t="shared" si="159"/>
        <v>104488128.7</v>
      </c>
      <c r="BS264" s="8">
        <f t="shared" si="147"/>
        <v>4348.8043253000005</v>
      </c>
      <c r="BT264" s="8">
        <f t="shared" si="162"/>
        <v>195.65294020000056</v>
      </c>
      <c r="BU264" s="8"/>
    </row>
    <row r="265" spans="1:73" x14ac:dyDescent="0.35">
      <c r="A265" t="s">
        <v>224</v>
      </c>
      <c r="B265">
        <v>1.9000000000000001</v>
      </c>
      <c r="C265">
        <v>3.34</v>
      </c>
      <c r="D265">
        <v>4.3899999999999997</v>
      </c>
      <c r="E265">
        <v>5.5</v>
      </c>
      <c r="F265">
        <v>6.67</v>
      </c>
      <c r="G265">
        <v>7.96</v>
      </c>
      <c r="H265">
        <v>9.66</v>
      </c>
      <c r="I265">
        <v>11.99</v>
      </c>
      <c r="J265">
        <v>15.89</v>
      </c>
      <c r="K265">
        <v>32.69</v>
      </c>
      <c r="L265">
        <f t="shared" si="127"/>
        <v>27.2</v>
      </c>
      <c r="M265">
        <f t="shared" si="128"/>
        <v>24262901</v>
      </c>
      <c r="N265">
        <f t="shared" si="129"/>
        <v>610.18365679635724</v>
      </c>
      <c r="O265">
        <f t="shared" si="144"/>
        <v>-8.6832713826568497</v>
      </c>
      <c r="P265" s="8">
        <f t="shared" si="166"/>
        <v>115.93489479130787</v>
      </c>
      <c r="Q265" s="8">
        <f t="shared" si="166"/>
        <v>203.80134136998331</v>
      </c>
      <c r="R265" s="8">
        <f t="shared" si="166"/>
        <v>267.8706253336008</v>
      </c>
      <c r="S265" s="8">
        <f t="shared" si="166"/>
        <v>335.60101123799649</v>
      </c>
      <c r="T265" s="8">
        <f t="shared" si="166"/>
        <v>406.99249908317029</v>
      </c>
      <c r="U265" s="8">
        <f t="shared" si="166"/>
        <v>485.70619080990036</v>
      </c>
      <c r="V265" s="8">
        <f t="shared" si="166"/>
        <v>589.43741246528111</v>
      </c>
      <c r="W265" s="8">
        <f t="shared" si="166"/>
        <v>731.61020449883233</v>
      </c>
      <c r="X265" s="8">
        <f t="shared" si="166"/>
        <v>969.5818306494117</v>
      </c>
      <c r="Y265" s="8">
        <f t="shared" si="166"/>
        <v>1994.6903740672919</v>
      </c>
      <c r="Z265">
        <f t="shared" si="167"/>
        <v>4.7530287817465471</v>
      </c>
      <c r="AA265">
        <f t="shared" si="167"/>
        <v>5.3171457025627609</v>
      </c>
      <c r="AB265">
        <f t="shared" si="167"/>
        <v>5.5905041226612315</v>
      </c>
      <c r="AC265">
        <f t="shared" si="167"/>
        <v>5.8159229878125771</v>
      </c>
      <c r="AD265">
        <f t="shared" si="167"/>
        <v>6.0087947555016843</v>
      </c>
      <c r="AE265">
        <f t="shared" si="164"/>
        <v>6.185603895430444</v>
      </c>
      <c r="AF265">
        <f t="shared" si="164"/>
        <v>6.3791685437985786</v>
      </c>
      <c r="AG265">
        <f t="shared" si="164"/>
        <v>6.595247864613575</v>
      </c>
      <c r="AH265">
        <f t="shared" si="164"/>
        <v>6.8768648761227764</v>
      </c>
      <c r="AI265">
        <f t="shared" si="164"/>
        <v>7.598244116310271</v>
      </c>
      <c r="AJ265">
        <f t="shared" si="145"/>
        <v>8.6661878717009166</v>
      </c>
      <c r="AK265">
        <f t="shared" si="132"/>
        <v>9.6947411251912765</v>
      </c>
      <c r="AL265">
        <f t="shared" si="133"/>
        <v>10.193154985839978</v>
      </c>
      <c r="AM265">
        <f t="shared" si="134"/>
        <v>10.604160751832696</v>
      </c>
      <c r="AN265">
        <f t="shared" si="135"/>
        <v>10.95582346011671</v>
      </c>
      <c r="AO265">
        <f t="shared" si="136"/>
        <v>11.278199211330538</v>
      </c>
      <c r="AP265">
        <f t="shared" si="137"/>
        <v>11.631125247570861</v>
      </c>
      <c r="AQ265">
        <f t="shared" si="138"/>
        <v>12.025102241054203</v>
      </c>
      <c r="AR265">
        <f t="shared" si="139"/>
        <v>12.538573974904907</v>
      </c>
      <c r="AS265">
        <f t="shared" si="140"/>
        <v>13.853863300780285</v>
      </c>
      <c r="AT265">
        <f t="shared" si="141"/>
        <v>15.801043014096539</v>
      </c>
      <c r="AU265">
        <f t="shared" si="146"/>
        <v>-20.918747055863957</v>
      </c>
      <c r="AV265" s="5">
        <f t="shared" si="168"/>
        <v>-12.25255918416304</v>
      </c>
      <c r="AW265" s="5">
        <f t="shared" si="168"/>
        <v>-11.22400593067268</v>
      </c>
      <c r="AX265" s="5">
        <f t="shared" si="168"/>
        <v>-10.725592070023978</v>
      </c>
      <c r="AY265" s="5">
        <f t="shared" si="168"/>
        <v>-10.314586304031261</v>
      </c>
      <c r="AZ265" s="5">
        <f t="shared" si="168"/>
        <v>-9.9629235957472471</v>
      </c>
      <c r="BA265" s="5">
        <f t="shared" si="168"/>
        <v>-9.640547844533419</v>
      </c>
      <c r="BB265" s="5">
        <f t="shared" si="168"/>
        <v>-9.2876218082930961</v>
      </c>
      <c r="BC265" s="5">
        <f t="shared" si="168"/>
        <v>-8.893644814809754</v>
      </c>
      <c r="BD265" s="5">
        <f t="shared" si="168"/>
        <v>-8.3801730809590502</v>
      </c>
      <c r="BE265" s="5">
        <f t="shared" si="168"/>
        <v>-7.0648837550836721</v>
      </c>
      <c r="BG265" s="1"/>
      <c r="BH265" s="1">
        <f t="shared" si="161"/>
        <v>8.0999999999999872</v>
      </c>
      <c r="BI265" s="8">
        <f t="shared" si="160"/>
        <v>573094948</v>
      </c>
      <c r="BJ265" s="8">
        <f t="shared" si="151"/>
        <v>568158836.70000005</v>
      </c>
      <c r="BK265" s="8">
        <f t="shared" si="152"/>
        <v>545719490.10000002</v>
      </c>
      <c r="BL265" s="8">
        <f t="shared" si="153"/>
        <v>518782064.89999998</v>
      </c>
      <c r="BM265" s="8">
        <f t="shared" si="154"/>
        <v>514738662.5</v>
      </c>
      <c r="BN265" s="8">
        <f t="shared" si="155"/>
        <v>491768011.19999999</v>
      </c>
      <c r="BO265" s="8">
        <f t="shared" si="156"/>
        <v>481846999.89999998</v>
      </c>
      <c r="BP265" s="8">
        <f t="shared" si="157"/>
        <v>322255466.60000002</v>
      </c>
      <c r="BQ265" s="8">
        <f t="shared" si="158"/>
        <v>312252448.5</v>
      </c>
      <c r="BR265" s="8">
        <f t="shared" si="159"/>
        <v>246027019.80000001</v>
      </c>
      <c r="BS265" s="8">
        <f t="shared" si="147"/>
        <v>4574.6439481999996</v>
      </c>
      <c r="BT265" s="8">
        <f t="shared" si="162"/>
        <v>225.83962289999909</v>
      </c>
      <c r="BU265" s="8"/>
    </row>
    <row r="266" spans="1:73" x14ac:dyDescent="0.35">
      <c r="A266" t="s">
        <v>145</v>
      </c>
      <c r="B266">
        <v>1.9000000000000001</v>
      </c>
      <c r="C266">
        <v>4.3</v>
      </c>
      <c r="D266">
        <v>5.7</v>
      </c>
      <c r="E266">
        <v>6.9</v>
      </c>
      <c r="F266">
        <v>8</v>
      </c>
      <c r="G266">
        <v>9.3000000000000007</v>
      </c>
      <c r="H266">
        <v>10.700000000000001</v>
      </c>
      <c r="I266">
        <v>12.5</v>
      </c>
      <c r="J266">
        <v>15.4</v>
      </c>
      <c r="K266">
        <v>25.3</v>
      </c>
      <c r="L266">
        <f t="shared" si="127"/>
        <v>15.4</v>
      </c>
      <c r="M266">
        <f t="shared" si="128"/>
        <v>11307502</v>
      </c>
      <c r="N266">
        <f t="shared" si="129"/>
        <v>21308.962091753539</v>
      </c>
      <c r="O266">
        <f t="shared" si="144"/>
        <v>-4.3370974159887474</v>
      </c>
      <c r="P266" s="8">
        <f t="shared" ref="P266:Y291" si="169">B266*$N266/10</f>
        <v>4048.7027974331731</v>
      </c>
      <c r="Q266" s="8">
        <f t="shared" si="169"/>
        <v>9162.8536994540227</v>
      </c>
      <c r="R266" s="8">
        <f t="shared" si="169"/>
        <v>12146.108392299519</v>
      </c>
      <c r="S266" s="8">
        <f t="shared" si="169"/>
        <v>14703.183843309942</v>
      </c>
      <c r="T266" s="8">
        <f t="shared" si="169"/>
        <v>17047.16967340283</v>
      </c>
      <c r="U266" s="8">
        <f t="shared" si="169"/>
        <v>19817.334745330794</v>
      </c>
      <c r="V266" s="8">
        <f t="shared" si="169"/>
        <v>22800.589438176288</v>
      </c>
      <c r="W266" s="8">
        <f t="shared" si="169"/>
        <v>26636.202614691923</v>
      </c>
      <c r="X266" s="8">
        <f t="shared" si="169"/>
        <v>32815.801621300452</v>
      </c>
      <c r="Y266" s="8">
        <f t="shared" si="169"/>
        <v>53911.674092136454</v>
      </c>
      <c r="Z266">
        <f t="shared" ref="Z266:AI297" si="170">LN(P266)</f>
        <v>8.3061518118644866</v>
      </c>
      <c r="AA266">
        <f t="shared" si="170"/>
        <v>9.1229129483916083</v>
      </c>
      <c r="AB266">
        <f t="shared" si="170"/>
        <v>9.4047641005325957</v>
      </c>
      <c r="AC266">
        <f t="shared" si="170"/>
        <v>9.5958193372953051</v>
      </c>
      <c r="AD266">
        <f t="shared" si="170"/>
        <v>9.7437394673719275</v>
      </c>
      <c r="AE266">
        <f t="shared" si="164"/>
        <v>9.8943123258513026</v>
      </c>
      <c r="AF266">
        <f t="shared" si="164"/>
        <v>10.034541667159953</v>
      </c>
      <c r="AG266">
        <f t="shared" si="164"/>
        <v>10.190026570000347</v>
      </c>
      <c r="AH266">
        <f t="shared" si="164"/>
        <v>10.398665435111676</v>
      </c>
      <c r="AI266">
        <f t="shared" si="164"/>
        <v>10.895102321425567</v>
      </c>
      <c r="AJ266">
        <f t="shared" si="145"/>
        <v>15.144589986268896</v>
      </c>
      <c r="AK266">
        <f t="shared" si="132"/>
        <v>16.633788932976522</v>
      </c>
      <c r="AL266">
        <f t="shared" si="133"/>
        <v>17.147687574972881</v>
      </c>
      <c r="AM266">
        <f t="shared" si="134"/>
        <v>17.496038206051857</v>
      </c>
      <c r="AN266">
        <f t="shared" si="135"/>
        <v>17.765740683380301</v>
      </c>
      <c r="AO266">
        <f t="shared" si="136"/>
        <v>18.04027987510003</v>
      </c>
      <c r="AP266">
        <f t="shared" si="137"/>
        <v>18.295959752649409</v>
      </c>
      <c r="AQ266">
        <f t="shared" si="138"/>
        <v>18.579455065028494</v>
      </c>
      <c r="AR266">
        <f t="shared" si="139"/>
        <v>18.959865890508251</v>
      </c>
      <c r="AS266">
        <f t="shared" si="140"/>
        <v>19.865018272450595</v>
      </c>
      <c r="AT266">
        <f t="shared" si="141"/>
        <v>27.613100632784107</v>
      </c>
      <c r="AU266">
        <f t="shared" si="146"/>
        <v>-22.849516207621928</v>
      </c>
      <c r="AV266" s="5">
        <f t="shared" ref="AV266:BE291" si="171">AJ266+$AU266</f>
        <v>-7.7049262213530323</v>
      </c>
      <c r="AW266" s="5">
        <f t="shared" si="171"/>
        <v>-6.2157272746454062</v>
      </c>
      <c r="AX266" s="5">
        <f t="shared" si="171"/>
        <v>-5.7018286326490468</v>
      </c>
      <c r="AY266" s="5">
        <f t="shared" si="171"/>
        <v>-5.3534780015700711</v>
      </c>
      <c r="AZ266" s="5">
        <f t="shared" si="171"/>
        <v>-5.0837755242416272</v>
      </c>
      <c r="BA266" s="5">
        <f t="shared" si="171"/>
        <v>-4.8092363325218983</v>
      </c>
      <c r="BB266" s="5">
        <f t="shared" si="171"/>
        <v>-4.5535564549725187</v>
      </c>
      <c r="BC266" s="5">
        <f t="shared" si="171"/>
        <v>-4.2700611425934341</v>
      </c>
      <c r="BD266" s="5">
        <f t="shared" si="171"/>
        <v>-3.8896503171136771</v>
      </c>
      <c r="BE266" s="5">
        <f t="shared" si="171"/>
        <v>-2.9844979351713334</v>
      </c>
      <c r="BG266" s="1"/>
      <c r="BH266" s="1">
        <f t="shared" si="161"/>
        <v>8.1999999999999869</v>
      </c>
      <c r="BI266" s="8">
        <f t="shared" si="160"/>
        <v>574131000.10000002</v>
      </c>
      <c r="BJ266" s="8">
        <f t="shared" si="151"/>
        <v>568530957.5</v>
      </c>
      <c r="BK266" s="8">
        <f t="shared" si="152"/>
        <v>560392499.29999995</v>
      </c>
      <c r="BL266" s="8">
        <f t="shared" si="153"/>
        <v>527713060.69999999</v>
      </c>
      <c r="BM266" s="8">
        <f t="shared" si="154"/>
        <v>515954481.39999998</v>
      </c>
      <c r="BN266" s="8">
        <f t="shared" si="155"/>
        <v>493748998.89999998</v>
      </c>
      <c r="BO266" s="8">
        <f t="shared" si="156"/>
        <v>485503749.60000002</v>
      </c>
      <c r="BP266" s="8">
        <f t="shared" si="157"/>
        <v>456647786.10000002</v>
      </c>
      <c r="BQ266" s="8">
        <f t="shared" si="158"/>
        <v>316869445</v>
      </c>
      <c r="BR266" s="8">
        <f t="shared" si="159"/>
        <v>247602255.09999999</v>
      </c>
      <c r="BS266" s="8">
        <f t="shared" si="147"/>
        <v>4747.0942337000006</v>
      </c>
      <c r="BT266" s="8">
        <f t="shared" si="162"/>
        <v>172.45028550000097</v>
      </c>
      <c r="BU266" s="8"/>
    </row>
    <row r="267" spans="1:73" x14ac:dyDescent="0.35">
      <c r="A267" t="s">
        <v>147</v>
      </c>
      <c r="B267">
        <v>1.6400000000000001</v>
      </c>
      <c r="C267">
        <v>2.8000000000000003</v>
      </c>
      <c r="D267">
        <v>3.7600000000000002</v>
      </c>
      <c r="E267">
        <v>4.74</v>
      </c>
      <c r="F267">
        <v>5.9</v>
      </c>
      <c r="G267">
        <v>7.18</v>
      </c>
      <c r="H267">
        <v>8.83</v>
      </c>
      <c r="I267">
        <v>11.23</v>
      </c>
      <c r="J267">
        <v>15.55</v>
      </c>
      <c r="K267">
        <v>38.36</v>
      </c>
      <c r="L267">
        <f t="shared" si="127"/>
        <v>23.4</v>
      </c>
      <c r="M267">
        <f t="shared" si="128"/>
        <v>14341576</v>
      </c>
      <c r="N267">
        <f t="shared" si="129"/>
        <v>2270.0961392922113</v>
      </c>
      <c r="O267">
        <f t="shared" si="144"/>
        <v>-4.8744672515493068</v>
      </c>
      <c r="P267" s="8">
        <f t="shared" si="169"/>
        <v>372.29576684392271</v>
      </c>
      <c r="Q267" s="8">
        <f t="shared" si="169"/>
        <v>635.62691900181926</v>
      </c>
      <c r="R267" s="8">
        <f t="shared" si="169"/>
        <v>853.55614837387145</v>
      </c>
      <c r="S267" s="8">
        <f t="shared" si="169"/>
        <v>1076.0255700245082</v>
      </c>
      <c r="T267" s="8">
        <f t="shared" si="169"/>
        <v>1339.3567221824046</v>
      </c>
      <c r="U267" s="8">
        <f t="shared" si="169"/>
        <v>1629.9290280118078</v>
      </c>
      <c r="V267" s="8">
        <f t="shared" si="169"/>
        <v>2004.4948909950224</v>
      </c>
      <c r="W267" s="8">
        <f t="shared" si="169"/>
        <v>2549.3179644251531</v>
      </c>
      <c r="X267" s="8">
        <f t="shared" si="169"/>
        <v>3529.9994965993887</v>
      </c>
      <c r="Y267" s="8">
        <f t="shared" si="169"/>
        <v>8708.0887903249222</v>
      </c>
      <c r="Z267">
        <f t="shared" si="170"/>
        <v>5.9196886105317912</v>
      </c>
      <c r="AA267">
        <f t="shared" si="170"/>
        <v>6.4546117858768417</v>
      </c>
      <c r="AB267">
        <f t="shared" si="170"/>
        <v>6.7494113260974871</v>
      </c>
      <c r="AC267">
        <f t="shared" si="170"/>
        <v>6.9810295044026685</v>
      </c>
      <c r="AD267">
        <f t="shared" si="170"/>
        <v>7.1999447196073572</v>
      </c>
      <c r="AE267">
        <f t="shared" si="164"/>
        <v>7.3962917517558164</v>
      </c>
      <c r="AF267">
        <f t="shared" si="164"/>
        <v>7.6031473833115522</v>
      </c>
      <c r="AG267">
        <f t="shared" si="164"/>
        <v>7.8435811374460354</v>
      </c>
      <c r="AH267">
        <f t="shared" si="164"/>
        <v>8.169053007320926</v>
      </c>
      <c r="AI267">
        <f t="shared" si="164"/>
        <v>9.0720076187109218</v>
      </c>
      <c r="AJ267">
        <f t="shared" si="145"/>
        <v>10.793356404205394</v>
      </c>
      <c r="AK267">
        <f t="shared" si="132"/>
        <v>11.768680759965674</v>
      </c>
      <c r="AL267">
        <f t="shared" si="133"/>
        <v>12.306188172050897</v>
      </c>
      <c r="AM267">
        <f t="shared" si="134"/>
        <v>12.728497133318378</v>
      </c>
      <c r="AN267">
        <f t="shared" si="135"/>
        <v>13.127644807370656</v>
      </c>
      <c r="AO267">
        <f t="shared" si="136"/>
        <v>13.485643958392878</v>
      </c>
      <c r="AP267">
        <f t="shared" si="137"/>
        <v>13.862803417697187</v>
      </c>
      <c r="AQ267">
        <f t="shared" si="138"/>
        <v>14.301185800743083</v>
      </c>
      <c r="AR267">
        <f t="shared" si="139"/>
        <v>14.89461801014223</v>
      </c>
      <c r="AS267">
        <f t="shared" si="140"/>
        <v>16.540973347180387</v>
      </c>
      <c r="AT267">
        <f t="shared" si="141"/>
        <v>19.679505145074888</v>
      </c>
      <c r="AU267">
        <f t="shared" si="146"/>
        <v>-19.682665080637729</v>
      </c>
      <c r="AV267" s="5">
        <f t="shared" si="171"/>
        <v>-8.8893086764323357</v>
      </c>
      <c r="AW267" s="5">
        <f t="shared" si="171"/>
        <v>-7.9139843206720553</v>
      </c>
      <c r="AX267" s="5">
        <f t="shared" si="171"/>
        <v>-7.3764769085868327</v>
      </c>
      <c r="AY267" s="5">
        <f t="shared" si="171"/>
        <v>-6.9541679473193518</v>
      </c>
      <c r="AZ267" s="5">
        <f t="shared" si="171"/>
        <v>-6.5550202732670737</v>
      </c>
      <c r="BA267" s="5">
        <f t="shared" si="171"/>
        <v>-6.1970211222448519</v>
      </c>
      <c r="BB267" s="5">
        <f t="shared" si="171"/>
        <v>-5.8198616629405429</v>
      </c>
      <c r="BC267" s="5">
        <f t="shared" si="171"/>
        <v>-5.3814792798946467</v>
      </c>
      <c r="BD267" s="5">
        <f t="shared" si="171"/>
        <v>-4.7880470704954998</v>
      </c>
      <c r="BE267" s="5">
        <f t="shared" si="171"/>
        <v>-3.1416917334573427</v>
      </c>
      <c r="BG267" s="1"/>
      <c r="BH267" s="1">
        <f t="shared" si="161"/>
        <v>8.2999999999999865</v>
      </c>
      <c r="BI267" s="8">
        <f t="shared" si="160"/>
        <v>574131000.10000002</v>
      </c>
      <c r="BJ267" s="8">
        <f t="shared" si="151"/>
        <v>568530957.5</v>
      </c>
      <c r="BK267" s="8">
        <f t="shared" si="152"/>
        <v>567830154.70000005</v>
      </c>
      <c r="BL267" s="8">
        <f t="shared" si="153"/>
        <v>545719490.10000002</v>
      </c>
      <c r="BM267" s="8">
        <f t="shared" si="154"/>
        <v>521363393.60000002</v>
      </c>
      <c r="BN267" s="8">
        <f t="shared" si="155"/>
        <v>515586668.60000002</v>
      </c>
      <c r="BO267" s="8">
        <f t="shared" si="156"/>
        <v>487823791.19999999</v>
      </c>
      <c r="BP267" s="8">
        <f t="shared" si="157"/>
        <v>476984623.39999998</v>
      </c>
      <c r="BQ267" s="8">
        <f t="shared" si="158"/>
        <v>317058357.60000002</v>
      </c>
      <c r="BR267" s="8">
        <f t="shared" si="159"/>
        <v>247685658.69999999</v>
      </c>
      <c r="BS267" s="8">
        <f t="shared" si="147"/>
        <v>4822.7140955000004</v>
      </c>
      <c r="BT267" s="8">
        <f t="shared" si="162"/>
        <v>75.619861799999853</v>
      </c>
      <c r="BU267" s="8"/>
    </row>
    <row r="268" spans="1:73" x14ac:dyDescent="0.35">
      <c r="A268" t="s">
        <v>373</v>
      </c>
      <c r="B268">
        <v>3.0300000000000002</v>
      </c>
      <c r="C268">
        <v>4.53</v>
      </c>
      <c r="D268">
        <v>5.61</v>
      </c>
      <c r="E268">
        <v>6.57</v>
      </c>
      <c r="F268">
        <v>7.59</v>
      </c>
      <c r="G268">
        <v>8.8000000000000007</v>
      </c>
      <c r="H268">
        <v>10.220000000000001</v>
      </c>
      <c r="I268">
        <v>12.16</v>
      </c>
      <c r="J268">
        <v>15.09</v>
      </c>
      <c r="K268">
        <v>26.41</v>
      </c>
      <c r="L268">
        <f t="shared" si="127"/>
        <v>25.7</v>
      </c>
      <c r="M268">
        <f t="shared" si="128"/>
        <v>10876033</v>
      </c>
      <c r="N268">
        <f t="shared" si="129"/>
        <v>300.44127805988973</v>
      </c>
      <c r="O268">
        <f t="shared" si="144"/>
        <v>-9.4172011963393274</v>
      </c>
      <c r="P268" s="8">
        <f t="shared" si="169"/>
        <v>91.033707252146598</v>
      </c>
      <c r="Q268" s="8">
        <f t="shared" si="169"/>
        <v>136.09989896113004</v>
      </c>
      <c r="R268" s="8">
        <f t="shared" si="169"/>
        <v>168.54755699159813</v>
      </c>
      <c r="S268" s="8">
        <f t="shared" si="169"/>
        <v>197.38991968534756</v>
      </c>
      <c r="T268" s="8">
        <f t="shared" si="169"/>
        <v>228.03493004745627</v>
      </c>
      <c r="U268" s="8">
        <f t="shared" si="169"/>
        <v>264.38832469270295</v>
      </c>
      <c r="V268" s="8">
        <f t="shared" si="169"/>
        <v>307.05098617720734</v>
      </c>
      <c r="W268" s="8">
        <f t="shared" si="169"/>
        <v>365.33659412082591</v>
      </c>
      <c r="X268" s="8">
        <f t="shared" si="169"/>
        <v>453.36588859237361</v>
      </c>
      <c r="Y268" s="8">
        <f t="shared" si="169"/>
        <v>793.46541535616882</v>
      </c>
      <c r="Z268">
        <f t="shared" si="170"/>
        <v>4.5112298472964856</v>
      </c>
      <c r="AA268">
        <f t="shared" si="170"/>
        <v>4.9133891672701502</v>
      </c>
      <c r="AB268">
        <f t="shared" si="170"/>
        <v>5.1272179473098127</v>
      </c>
      <c r="AC268">
        <f t="shared" si="170"/>
        <v>5.2851810602717268</v>
      </c>
      <c r="AD268">
        <f t="shared" si="170"/>
        <v>5.4294988191827462</v>
      </c>
      <c r="AE268">
        <f t="shared" si="164"/>
        <v>5.5774189492593687</v>
      </c>
      <c r="AF268">
        <f t="shared" si="164"/>
        <v>5.7270138125507657</v>
      </c>
      <c r="AG268">
        <f t="shared" si="164"/>
        <v>5.9008191043132285</v>
      </c>
      <c r="AH268">
        <f t="shared" si="164"/>
        <v>6.1166995005549651</v>
      </c>
      <c r="AI268">
        <f t="shared" si="164"/>
        <v>6.6764099540842485</v>
      </c>
      <c r="AJ268">
        <f t="shared" si="145"/>
        <v>8.2253163581159878</v>
      </c>
      <c r="AK268">
        <f t="shared" si="132"/>
        <v>8.9585726419053309</v>
      </c>
      <c r="AL268">
        <f t="shared" si="133"/>
        <v>9.3484462288940868</v>
      </c>
      <c r="AM268">
        <f t="shared" si="134"/>
        <v>9.6364600568313197</v>
      </c>
      <c r="AN268">
        <f t="shared" si="135"/>
        <v>9.8995943380182627</v>
      </c>
      <c r="AO268">
        <f t="shared" si="136"/>
        <v>10.169296815346708</v>
      </c>
      <c r="AP268">
        <f t="shared" si="137"/>
        <v>10.442052830396186</v>
      </c>
      <c r="AQ268">
        <f t="shared" si="138"/>
        <v>10.758951671256101</v>
      </c>
      <c r="AR268">
        <f t="shared" si="139"/>
        <v>11.152565965962868</v>
      </c>
      <c r="AS268">
        <f t="shared" si="140"/>
        <v>12.173084916461903</v>
      </c>
      <c r="AT268">
        <f t="shared" si="141"/>
        <v>14.997202865120165</v>
      </c>
      <c r="AU268">
        <f t="shared" si="146"/>
        <v>-20.148319353226356</v>
      </c>
      <c r="AV268" s="5">
        <f t="shared" si="171"/>
        <v>-11.923002995110368</v>
      </c>
      <c r="AW268" s="5">
        <f t="shared" si="171"/>
        <v>-11.189746711321025</v>
      </c>
      <c r="AX268" s="5">
        <f t="shared" si="171"/>
        <v>-10.799873124332269</v>
      </c>
      <c r="AY268" s="5">
        <f t="shared" si="171"/>
        <v>-10.511859296395036</v>
      </c>
      <c r="AZ268" s="5">
        <f t="shared" si="171"/>
        <v>-10.248725015208093</v>
      </c>
      <c r="BA268" s="5">
        <f t="shared" si="171"/>
        <v>-9.9790225378796471</v>
      </c>
      <c r="BB268" s="5">
        <f t="shared" si="171"/>
        <v>-9.7062665228301697</v>
      </c>
      <c r="BC268" s="5">
        <f t="shared" si="171"/>
        <v>-9.3893676819702545</v>
      </c>
      <c r="BD268" s="5">
        <f t="shared" si="171"/>
        <v>-8.9957533872634876</v>
      </c>
      <c r="BE268" s="5">
        <f t="shared" si="171"/>
        <v>-7.9752344367644525</v>
      </c>
      <c r="BG268" s="1"/>
      <c r="BH268" s="1">
        <f t="shared" si="161"/>
        <v>8.3999999999999861</v>
      </c>
      <c r="BI268" s="8">
        <f t="shared" si="160"/>
        <v>579868847.39999998</v>
      </c>
      <c r="BJ268" s="8">
        <f t="shared" si="151"/>
        <v>568558997.10000002</v>
      </c>
      <c r="BK268" s="8">
        <f t="shared" si="152"/>
        <v>568158836.70000005</v>
      </c>
      <c r="BL268" s="8">
        <f t="shared" si="153"/>
        <v>560616400.10000002</v>
      </c>
      <c r="BM268" s="8">
        <f t="shared" si="154"/>
        <v>526584883.89999998</v>
      </c>
      <c r="BN268" s="8">
        <f t="shared" si="155"/>
        <v>518535810.10000002</v>
      </c>
      <c r="BO268" s="8">
        <f t="shared" si="156"/>
        <v>493748998.89999998</v>
      </c>
      <c r="BP268" s="8">
        <f t="shared" si="157"/>
        <v>485472890.10000002</v>
      </c>
      <c r="BQ268" s="8">
        <f t="shared" si="158"/>
        <v>456025966.60000002</v>
      </c>
      <c r="BR268" s="8">
        <f t="shared" si="159"/>
        <v>253288388.80000001</v>
      </c>
      <c r="BS268" s="8">
        <f t="shared" si="147"/>
        <v>5010.8600197000005</v>
      </c>
      <c r="BT268" s="8">
        <f t="shared" si="162"/>
        <v>188.14592420000008</v>
      </c>
      <c r="BU268" s="8"/>
    </row>
    <row r="269" spans="1:73" x14ac:dyDescent="0.35">
      <c r="A269" t="s">
        <v>374</v>
      </c>
      <c r="B269">
        <v>1.6300000000000001</v>
      </c>
      <c r="C269">
        <v>2.86</v>
      </c>
      <c r="D269">
        <v>3.73</v>
      </c>
      <c r="E269">
        <v>4.57</v>
      </c>
      <c r="F269">
        <v>5.57</v>
      </c>
      <c r="G269">
        <v>6.65</v>
      </c>
      <c r="H269">
        <v>8.06</v>
      </c>
      <c r="I269">
        <v>10.23</v>
      </c>
      <c r="J269">
        <v>14.700000000000001</v>
      </c>
      <c r="K269">
        <v>42</v>
      </c>
      <c r="L269">
        <f t="shared" si="127"/>
        <v>26.7</v>
      </c>
      <c r="M269">
        <f t="shared" si="128"/>
        <v>1586624</v>
      </c>
      <c r="N269">
        <f t="shared" si="129"/>
        <v>412.81198676955898</v>
      </c>
      <c r="O269">
        <f t="shared" si="144"/>
        <v>-9.2097938161857904</v>
      </c>
      <c r="P269" s="8">
        <f t="shared" si="169"/>
        <v>67.288353843438117</v>
      </c>
      <c r="Q269" s="8">
        <f t="shared" si="169"/>
        <v>118.06422821609388</v>
      </c>
      <c r="R269" s="8">
        <f t="shared" si="169"/>
        <v>153.9788710650455</v>
      </c>
      <c r="S269" s="8">
        <f t="shared" si="169"/>
        <v>188.65507795368848</v>
      </c>
      <c r="T269" s="8">
        <f t="shared" si="169"/>
        <v>229.93627663064436</v>
      </c>
      <c r="U269" s="8">
        <f t="shared" si="169"/>
        <v>274.51997120175673</v>
      </c>
      <c r="V269" s="8">
        <f t="shared" si="169"/>
        <v>332.72646133626461</v>
      </c>
      <c r="W269" s="8">
        <f t="shared" si="169"/>
        <v>422.30666246525891</v>
      </c>
      <c r="X269" s="8">
        <f t="shared" si="169"/>
        <v>606.83362055125167</v>
      </c>
      <c r="Y269" s="8">
        <f t="shared" si="169"/>
        <v>1733.8103444321478</v>
      </c>
      <c r="Z269">
        <f t="shared" si="170"/>
        <v>4.2089871732873467</v>
      </c>
      <c r="AA269">
        <f t="shared" si="170"/>
        <v>4.7712287833004368</v>
      </c>
      <c r="AB269">
        <f t="shared" si="170"/>
        <v>5.0368153921244003</v>
      </c>
      <c r="AC269">
        <f t="shared" si="170"/>
        <v>5.2399203633747895</v>
      </c>
      <c r="AD269">
        <f t="shared" si="170"/>
        <v>5.4378022124078687</v>
      </c>
      <c r="AE269">
        <f t="shared" si="164"/>
        <v>5.6150240131364386</v>
      </c>
      <c r="AF269">
        <f t="shared" si="164"/>
        <v>5.8073207149872133</v>
      </c>
      <c r="AG269">
        <f t="shared" si="164"/>
        <v>6.0457317384322113</v>
      </c>
      <c r="AH269">
        <f t="shared" si="164"/>
        <v>6.4082546522533663</v>
      </c>
      <c r="AI269">
        <f t="shared" si="164"/>
        <v>7.4580767767520442</v>
      </c>
      <c r="AJ269">
        <f t="shared" si="145"/>
        <v>7.6742378950804735</v>
      </c>
      <c r="AK269">
        <f t="shared" si="132"/>
        <v>8.6993718981341193</v>
      </c>
      <c r="AL269">
        <f t="shared" si="133"/>
        <v>9.1836154308296347</v>
      </c>
      <c r="AM269">
        <f t="shared" si="134"/>
        <v>9.5539363187005275</v>
      </c>
      <c r="AN269">
        <f t="shared" si="135"/>
        <v>9.9147338982788433</v>
      </c>
      <c r="AO269">
        <f t="shared" si="136"/>
        <v>10.237862053103642</v>
      </c>
      <c r="AP269">
        <f t="shared" si="137"/>
        <v>10.588476244994757</v>
      </c>
      <c r="AQ269">
        <f t="shared" si="138"/>
        <v>11.023170587219974</v>
      </c>
      <c r="AR269">
        <f t="shared" si="139"/>
        <v>11.68415789094426</v>
      </c>
      <c r="AS269">
        <f t="shared" si="140"/>
        <v>13.598296470898449</v>
      </c>
      <c r="AT269">
        <f t="shared" si="141"/>
        <v>13.992422605624437</v>
      </c>
      <c r="AU269">
        <f t="shared" si="146"/>
        <v>-21.005875444327657</v>
      </c>
      <c r="AV269" s="5">
        <f t="shared" si="171"/>
        <v>-13.331637549247183</v>
      </c>
      <c r="AW269" s="5">
        <f t="shared" si="171"/>
        <v>-12.306503546193538</v>
      </c>
      <c r="AX269" s="5">
        <f t="shared" si="171"/>
        <v>-11.822260013498022</v>
      </c>
      <c r="AY269" s="5">
        <f t="shared" si="171"/>
        <v>-11.451939125627129</v>
      </c>
      <c r="AZ269" s="5">
        <f t="shared" si="171"/>
        <v>-11.091141546048814</v>
      </c>
      <c r="BA269" s="5">
        <f t="shared" si="171"/>
        <v>-10.768013391224015</v>
      </c>
      <c r="BB269" s="5">
        <f t="shared" si="171"/>
        <v>-10.4173991993329</v>
      </c>
      <c r="BC269" s="5">
        <f t="shared" si="171"/>
        <v>-9.9827048571076826</v>
      </c>
      <c r="BD269" s="5">
        <f t="shared" si="171"/>
        <v>-9.3217175533833974</v>
      </c>
      <c r="BE269" s="5">
        <f t="shared" si="171"/>
        <v>-7.4075789734292083</v>
      </c>
      <c r="BG269" s="1"/>
      <c r="BH269" s="1">
        <f t="shared" si="161"/>
        <v>8.4999999999999858</v>
      </c>
      <c r="BI269" s="8">
        <f t="shared" si="160"/>
        <v>582237951.89999998</v>
      </c>
      <c r="BJ269" s="8">
        <f t="shared" si="151"/>
        <v>569276579.70000005</v>
      </c>
      <c r="BK269" s="8">
        <f t="shared" si="152"/>
        <v>568158836.70000005</v>
      </c>
      <c r="BL269" s="8">
        <f t="shared" si="153"/>
        <v>567830154.70000005</v>
      </c>
      <c r="BM269" s="8">
        <f t="shared" si="154"/>
        <v>545719490.10000002</v>
      </c>
      <c r="BN269" s="8">
        <f t="shared" si="155"/>
        <v>521519015.80000001</v>
      </c>
      <c r="BO269" s="8">
        <f t="shared" si="156"/>
        <v>516535668.60000002</v>
      </c>
      <c r="BP269" s="8">
        <f t="shared" si="157"/>
        <v>487823791.19999999</v>
      </c>
      <c r="BQ269" s="8">
        <f t="shared" si="158"/>
        <v>457553219.30000001</v>
      </c>
      <c r="BR269" s="8">
        <f t="shared" si="159"/>
        <v>263215041.90000001</v>
      </c>
      <c r="BS269" s="8">
        <f t="shared" si="147"/>
        <v>5079.8697499</v>
      </c>
      <c r="BT269" s="8">
        <f t="shared" si="162"/>
        <v>69.009730199999467</v>
      </c>
      <c r="BU269" s="8"/>
    </row>
    <row r="270" spans="1:73" x14ac:dyDescent="0.35">
      <c r="A270" t="s">
        <v>375</v>
      </c>
      <c r="B270">
        <v>2.58</v>
      </c>
      <c r="C270">
        <v>4.51</v>
      </c>
      <c r="D270">
        <v>5.48</v>
      </c>
      <c r="E270">
        <v>6.3500000000000005</v>
      </c>
      <c r="F270">
        <v>7.42</v>
      </c>
      <c r="G270">
        <v>8.7200000000000006</v>
      </c>
      <c r="H270">
        <v>10.33</v>
      </c>
      <c r="I270">
        <v>12.46</v>
      </c>
      <c r="J270">
        <v>15.63</v>
      </c>
      <c r="K270">
        <v>26.53</v>
      </c>
      <c r="L270">
        <f t="shared" si="127"/>
        <v>25.9</v>
      </c>
      <c r="M270">
        <f t="shared" si="128"/>
        <v>786126</v>
      </c>
      <c r="N270">
        <f t="shared" si="129"/>
        <v>1168.8991901583915</v>
      </c>
      <c r="O270">
        <f t="shared" si="144"/>
        <v>-7.014517057789373</v>
      </c>
      <c r="P270" s="8">
        <f t="shared" si="169"/>
        <v>301.57599106086502</v>
      </c>
      <c r="Q270" s="8">
        <f t="shared" si="169"/>
        <v>527.17353476143455</v>
      </c>
      <c r="R270" s="8">
        <f t="shared" si="169"/>
        <v>640.55675620679858</v>
      </c>
      <c r="S270" s="8">
        <f t="shared" si="169"/>
        <v>742.25098575057871</v>
      </c>
      <c r="T270" s="8">
        <f t="shared" si="169"/>
        <v>867.32319909752664</v>
      </c>
      <c r="U270" s="8">
        <f t="shared" si="169"/>
        <v>1019.2800938181175</v>
      </c>
      <c r="V270" s="8">
        <f t="shared" si="169"/>
        <v>1207.4728634336184</v>
      </c>
      <c r="W270" s="8">
        <f t="shared" si="169"/>
        <v>1456.448390937356</v>
      </c>
      <c r="X270" s="8">
        <f t="shared" si="169"/>
        <v>1826.989434217566</v>
      </c>
      <c r="Y270" s="8">
        <f t="shared" si="169"/>
        <v>3101.0895514902127</v>
      </c>
      <c r="Z270">
        <f t="shared" si="170"/>
        <v>5.7090220277292776</v>
      </c>
      <c r="AA270">
        <f t="shared" si="170"/>
        <v>6.267529782310338</v>
      </c>
      <c r="AB270">
        <f t="shared" si="170"/>
        <v>6.4623377297556752</v>
      </c>
      <c r="AC270">
        <f t="shared" si="170"/>
        <v>6.6096874417003519</v>
      </c>
      <c r="AD270">
        <f t="shared" si="170"/>
        <v>6.7654116859750406</v>
      </c>
      <c r="AE270">
        <f t="shared" si="164"/>
        <v>6.9268518667166399</v>
      </c>
      <c r="AF270">
        <f t="shared" si="164"/>
        <v>7.0962849119272988</v>
      </c>
      <c r="AG270">
        <f t="shared" si="164"/>
        <v>7.2837561421550587</v>
      </c>
      <c r="AH270">
        <f t="shared" si="164"/>
        <v>7.5104247732291363</v>
      </c>
      <c r="AI270">
        <f t="shared" si="164"/>
        <v>8.0395087969454</v>
      </c>
      <c r="AJ270">
        <f t="shared" si="145"/>
        <v>10.409248445114736</v>
      </c>
      <c r="AK270">
        <f t="shared" si="132"/>
        <v>11.427574517026875</v>
      </c>
      <c r="AL270">
        <f t="shared" si="133"/>
        <v>11.782767457988063</v>
      </c>
      <c r="AM270">
        <f t="shared" si="134"/>
        <v>12.051429893077369</v>
      </c>
      <c r="AN270">
        <f t="shared" si="135"/>
        <v>12.33536159621492</v>
      </c>
      <c r="AO270">
        <f t="shared" si="136"/>
        <v>12.629715154880717</v>
      </c>
      <c r="AP270">
        <f t="shared" si="137"/>
        <v>12.938642087347221</v>
      </c>
      <c r="AQ270">
        <f t="shared" si="138"/>
        <v>13.280458006479035</v>
      </c>
      <c r="AR270">
        <f t="shared" si="139"/>
        <v>13.693742468179138</v>
      </c>
      <c r="AS270">
        <f t="shared" si="140"/>
        <v>14.658420310452955</v>
      </c>
      <c r="AT270">
        <f t="shared" si="141"/>
        <v>18.979161871480809</v>
      </c>
      <c r="AU270">
        <f t="shared" si="146"/>
        <v>-20.245210307289021</v>
      </c>
      <c r="AV270" s="5">
        <f t="shared" si="171"/>
        <v>-9.835961862174285</v>
      </c>
      <c r="AW270" s="5">
        <f t="shared" si="171"/>
        <v>-8.8176357902621465</v>
      </c>
      <c r="AX270" s="5">
        <f t="shared" si="171"/>
        <v>-8.4624428493009578</v>
      </c>
      <c r="AY270" s="5">
        <f t="shared" si="171"/>
        <v>-8.1937804142116519</v>
      </c>
      <c r="AZ270" s="5">
        <f t="shared" si="171"/>
        <v>-7.9098487110741011</v>
      </c>
      <c r="BA270" s="5">
        <f t="shared" si="171"/>
        <v>-7.6154951524083039</v>
      </c>
      <c r="BB270" s="5">
        <f t="shared" si="171"/>
        <v>-7.3065682199418003</v>
      </c>
      <c r="BC270" s="5">
        <f t="shared" si="171"/>
        <v>-6.9647523008099856</v>
      </c>
      <c r="BD270" s="5">
        <f t="shared" si="171"/>
        <v>-6.5514678391098826</v>
      </c>
      <c r="BE270" s="5">
        <f t="shared" si="171"/>
        <v>-5.5867899968360657</v>
      </c>
      <c r="BG270" s="1"/>
      <c r="BH270" s="1">
        <f t="shared" si="161"/>
        <v>8.5999999999999854</v>
      </c>
      <c r="BI270" s="8">
        <f t="shared" si="160"/>
        <v>587881371.89999998</v>
      </c>
      <c r="BJ270" s="8">
        <f t="shared" si="151"/>
        <v>573130997.79999995</v>
      </c>
      <c r="BK270" s="8">
        <f t="shared" si="152"/>
        <v>568158836.70000005</v>
      </c>
      <c r="BL270" s="8">
        <f t="shared" si="153"/>
        <v>568158836.70000005</v>
      </c>
      <c r="BM270" s="8">
        <f t="shared" si="154"/>
        <v>567830154.70000005</v>
      </c>
      <c r="BN270" s="8">
        <f t="shared" si="155"/>
        <v>527841153.10000002</v>
      </c>
      <c r="BO270" s="8">
        <f t="shared" si="156"/>
        <v>518167997.30000001</v>
      </c>
      <c r="BP270" s="8">
        <f t="shared" si="157"/>
        <v>490317371.5</v>
      </c>
      <c r="BQ270" s="8">
        <f t="shared" si="158"/>
        <v>477631734.60000002</v>
      </c>
      <c r="BR270" s="8">
        <f t="shared" si="159"/>
        <v>298988772.19999999</v>
      </c>
      <c r="BS270" s="8">
        <f t="shared" si="147"/>
        <v>5178.1072265000012</v>
      </c>
      <c r="BT270" s="8">
        <f t="shared" si="162"/>
        <v>98.237476600001173</v>
      </c>
      <c r="BU270" s="8"/>
    </row>
    <row r="271" spans="1:73" x14ac:dyDescent="0.35">
      <c r="A271" t="s">
        <v>376</v>
      </c>
      <c r="B271">
        <v>0.55000000000000004</v>
      </c>
      <c r="C271">
        <v>1.43</v>
      </c>
      <c r="D271">
        <v>2.27</v>
      </c>
      <c r="E271">
        <v>3.22</v>
      </c>
      <c r="F271">
        <v>4.29</v>
      </c>
      <c r="G271">
        <v>5.68</v>
      </c>
      <c r="H271">
        <v>7.63</v>
      </c>
      <c r="I271">
        <v>10.63</v>
      </c>
      <c r="J271">
        <v>16.080000000000002</v>
      </c>
      <c r="K271">
        <v>48.21</v>
      </c>
      <c r="L271">
        <f t="shared" si="127"/>
        <v>24.8</v>
      </c>
      <c r="M271">
        <f t="shared" si="128"/>
        <v>9896400</v>
      </c>
      <c r="N271">
        <f t="shared" si="129"/>
        <v>435.77035871367673</v>
      </c>
      <c r="O271">
        <f t="shared" si="144"/>
        <v>-8.4044494996892638</v>
      </c>
      <c r="P271" s="8">
        <f t="shared" si="169"/>
        <v>23.967369729252219</v>
      </c>
      <c r="Q271" s="8">
        <f t="shared" si="169"/>
        <v>62.31516129605577</v>
      </c>
      <c r="R271" s="8">
        <f t="shared" si="169"/>
        <v>98.919871428004612</v>
      </c>
      <c r="S271" s="8">
        <f t="shared" si="169"/>
        <v>140.3180555058039</v>
      </c>
      <c r="T271" s="8">
        <f t="shared" si="169"/>
        <v>186.9454838881673</v>
      </c>
      <c r="U271" s="8">
        <f t="shared" si="169"/>
        <v>247.51756374936835</v>
      </c>
      <c r="V271" s="8">
        <f t="shared" si="169"/>
        <v>332.49278369853533</v>
      </c>
      <c r="W271" s="8">
        <f t="shared" si="169"/>
        <v>463.22389131263833</v>
      </c>
      <c r="X271" s="8">
        <f t="shared" si="169"/>
        <v>700.71873681159218</v>
      </c>
      <c r="Y271" s="8">
        <f t="shared" si="169"/>
        <v>2100.8488993586352</v>
      </c>
      <c r="Z271">
        <f t="shared" si="170"/>
        <v>3.1766933106461059</v>
      </c>
      <c r="AA271">
        <f t="shared" si="170"/>
        <v>4.1322047556735422</v>
      </c>
      <c r="AB271">
        <f t="shared" si="170"/>
        <v>4.5943101428950373</v>
      </c>
      <c r="AC271">
        <f t="shared" si="170"/>
        <v>4.9439116709580437</v>
      </c>
      <c r="AD271">
        <f t="shared" si="170"/>
        <v>5.2308170443416522</v>
      </c>
      <c r="AE271">
        <f t="shared" si="164"/>
        <v>5.511481544134786</v>
      </c>
      <c r="AF271">
        <f t="shared" si="164"/>
        <v>5.8066181566980921</v>
      </c>
      <c r="AG271">
        <f t="shared" si="164"/>
        <v>6.138210503755583</v>
      </c>
      <c r="AH271">
        <f t="shared" si="164"/>
        <v>6.5521065751525471</v>
      </c>
      <c r="AI271">
        <f t="shared" si="164"/>
        <v>7.6500967798192576</v>
      </c>
      <c r="AJ271">
        <f t="shared" si="145"/>
        <v>5.7920585599144241</v>
      </c>
      <c r="AK271">
        <f t="shared" si="132"/>
        <v>7.5342406666100583</v>
      </c>
      <c r="AL271">
        <f t="shared" si="133"/>
        <v>8.3767964949202351</v>
      </c>
      <c r="AM271">
        <f t="shared" si="134"/>
        <v>9.0142242618344603</v>
      </c>
      <c r="AN271">
        <f t="shared" si="135"/>
        <v>9.5373382553140456</v>
      </c>
      <c r="AO271">
        <f t="shared" si="136"/>
        <v>10.049073276457868</v>
      </c>
      <c r="AP271">
        <f t="shared" si="137"/>
        <v>10.587195271871318</v>
      </c>
      <c r="AQ271">
        <f t="shared" si="138"/>
        <v>11.191786935076548</v>
      </c>
      <c r="AR271">
        <f t="shared" si="139"/>
        <v>11.94644281426249</v>
      </c>
      <c r="AS271">
        <f t="shared" si="140"/>
        <v>13.948406158450894</v>
      </c>
      <c r="AT271">
        <f t="shared" si="141"/>
        <v>10.56064878817485</v>
      </c>
      <c r="AU271">
        <f t="shared" si="146"/>
        <v>-20.648624919729862</v>
      </c>
      <c r="AV271" s="5">
        <f t="shared" si="171"/>
        <v>-14.856566359815439</v>
      </c>
      <c r="AW271" s="5">
        <f t="shared" si="171"/>
        <v>-13.114384253119804</v>
      </c>
      <c r="AX271" s="5">
        <f t="shared" si="171"/>
        <v>-12.271828424809627</v>
      </c>
      <c r="AY271" s="5">
        <f t="shared" si="171"/>
        <v>-11.634400657895402</v>
      </c>
      <c r="AZ271" s="5">
        <f t="shared" si="171"/>
        <v>-11.111286664415816</v>
      </c>
      <c r="BA271" s="5">
        <f t="shared" si="171"/>
        <v>-10.599551643271994</v>
      </c>
      <c r="BB271" s="5">
        <f t="shared" si="171"/>
        <v>-10.061429647858544</v>
      </c>
      <c r="BC271" s="5">
        <f t="shared" si="171"/>
        <v>-9.4568379846533137</v>
      </c>
      <c r="BD271" s="5">
        <f t="shared" si="171"/>
        <v>-8.7021821054673723</v>
      </c>
      <c r="BE271" s="5">
        <f t="shared" si="171"/>
        <v>-6.7002187612789683</v>
      </c>
      <c r="BG271" s="1"/>
      <c r="BH271" s="1">
        <f t="shared" si="161"/>
        <v>8.6999999999999851</v>
      </c>
      <c r="BI271" s="8">
        <f t="shared" si="160"/>
        <v>589592989.10000002</v>
      </c>
      <c r="BJ271" s="8">
        <f t="shared" si="151"/>
        <v>574131000.10000002</v>
      </c>
      <c r="BK271" s="8">
        <f t="shared" si="152"/>
        <v>568329869.39999998</v>
      </c>
      <c r="BL271" s="8">
        <f t="shared" si="153"/>
        <v>568158836.70000005</v>
      </c>
      <c r="BM271" s="8">
        <f t="shared" si="154"/>
        <v>568158836.70000005</v>
      </c>
      <c r="BN271" s="8">
        <f t="shared" si="155"/>
        <v>559958390.10000002</v>
      </c>
      <c r="BO271" s="8">
        <f t="shared" si="156"/>
        <v>520981064.5</v>
      </c>
      <c r="BP271" s="8">
        <f t="shared" si="157"/>
        <v>497983079.30000001</v>
      </c>
      <c r="BQ271" s="8">
        <f t="shared" si="158"/>
        <v>481767775.5</v>
      </c>
      <c r="BR271" s="8">
        <f t="shared" si="159"/>
        <v>303541672.5</v>
      </c>
      <c r="BS271" s="8">
        <f t="shared" si="147"/>
        <v>5232.6035138999996</v>
      </c>
      <c r="BT271" s="8">
        <f t="shared" si="162"/>
        <v>54.496287399998437</v>
      </c>
      <c r="BU271" s="8"/>
    </row>
    <row r="272" spans="1:73" x14ac:dyDescent="0.35">
      <c r="A272" t="s">
        <v>148</v>
      </c>
      <c r="B272">
        <v>1.1500000000000001</v>
      </c>
      <c r="C272">
        <v>2.35</v>
      </c>
      <c r="D272">
        <v>3.3000000000000003</v>
      </c>
      <c r="E272">
        <v>4.43</v>
      </c>
      <c r="F272">
        <v>5.73</v>
      </c>
      <c r="G272">
        <v>7.22</v>
      </c>
      <c r="H272">
        <v>9.01</v>
      </c>
      <c r="I272">
        <v>11.67</v>
      </c>
      <c r="J272">
        <v>16.77</v>
      </c>
      <c r="K272">
        <v>38.36</v>
      </c>
      <c r="L272">
        <f t="shared" ref="L272:L335" si="172">LOOKUP(A272,A$5:A$202,G$5:G$202)</f>
        <v>23.5</v>
      </c>
      <c r="M272">
        <f t="shared" ref="M272:M335" si="173">LOOKUP(A272,A$5:A$202,B$5:B$202)</f>
        <v>7621204</v>
      </c>
      <c r="N272">
        <f t="shared" ref="N272:N335" si="174">LOOKUP(A272,A$5:A$202,D$5:D$202)</f>
        <v>1514.9920435883439</v>
      </c>
      <c r="O272">
        <f t="shared" si="144"/>
        <v>-5.6490235541513147</v>
      </c>
      <c r="P272" s="8">
        <f t="shared" si="169"/>
        <v>174.22408501265957</v>
      </c>
      <c r="Q272" s="8">
        <f t="shared" si="169"/>
        <v>356.02313024326082</v>
      </c>
      <c r="R272" s="8">
        <f t="shared" si="169"/>
        <v>499.94737438415348</v>
      </c>
      <c r="S272" s="8">
        <f t="shared" si="169"/>
        <v>671.14147530963623</v>
      </c>
      <c r="T272" s="8">
        <f t="shared" si="169"/>
        <v>868.09044097612116</v>
      </c>
      <c r="U272" s="8">
        <f t="shared" si="169"/>
        <v>1093.8242554707842</v>
      </c>
      <c r="V272" s="8">
        <f t="shared" si="169"/>
        <v>1365.007831273098</v>
      </c>
      <c r="W272" s="8">
        <f t="shared" si="169"/>
        <v>1767.9957148675974</v>
      </c>
      <c r="X272" s="8">
        <f t="shared" si="169"/>
        <v>2540.6416570976526</v>
      </c>
      <c r="Y272" s="8">
        <f t="shared" si="169"/>
        <v>5811.5094792048867</v>
      </c>
      <c r="Z272">
        <f t="shared" si="170"/>
        <v>5.1603423155539234</v>
      </c>
      <c r="AA272">
        <f t="shared" si="170"/>
        <v>5.8749957013348322</v>
      </c>
      <c r="AB272">
        <f t="shared" si="170"/>
        <v>6.2145028416511989</v>
      </c>
      <c r="AC272">
        <f t="shared" si="170"/>
        <v>6.5089799572358089</v>
      </c>
      <c r="AD272">
        <f t="shared" si="170"/>
        <v>6.7662959039054131</v>
      </c>
      <c r="AE272">
        <f t="shared" si="164"/>
        <v>6.9974353260834992</v>
      </c>
      <c r="AF272">
        <f t="shared" si="164"/>
        <v>7.2189154447990109</v>
      </c>
      <c r="AG272">
        <f t="shared" si="164"/>
        <v>7.4776018194772291</v>
      </c>
      <c r="AH272">
        <f t="shared" si="164"/>
        <v>7.8401719490138824</v>
      </c>
      <c r="AI272">
        <f t="shared" si="164"/>
        <v>8.6675956231940017</v>
      </c>
      <c r="AJ272">
        <f t="shared" si="145"/>
        <v>9.4088418232648383</v>
      </c>
      <c r="AK272">
        <f t="shared" ref="AK272:AK335" si="175">$I$2*AA272</f>
        <v>10.711867912252398</v>
      </c>
      <c r="AL272">
        <f t="shared" ref="AL272:AL335" si="176">$I$2*AB272</f>
        <v>11.330890602176948</v>
      </c>
      <c r="AM272">
        <f t="shared" ref="AM272:AM335" si="177">$I$2*AC272</f>
        <v>11.867810138068137</v>
      </c>
      <c r="AN272">
        <f t="shared" ref="AN272:AN335" si="178">$I$2*AD272</f>
        <v>12.336973788998932</v>
      </c>
      <c r="AO272">
        <f t="shared" ref="AO272:AO335" si="179">$I$2*AE272</f>
        <v>12.758409835177392</v>
      </c>
      <c r="AP272">
        <f t="shared" ref="AP272:AP335" si="180">$I$2*AF272</f>
        <v>13.162234092671147</v>
      </c>
      <c r="AQ272">
        <f t="shared" ref="AQ272:AQ335" si="181">$I$2*AG272</f>
        <v>13.633896442249194</v>
      </c>
      <c r="AR272">
        <f t="shared" ref="AR272:AR335" si="182">$I$2*AH272</f>
        <v>14.294969834293115</v>
      </c>
      <c r="AS272">
        <f t="shared" ref="AS272:AS335" si="183">$I$2*AI272</f>
        <v>15.803609764578377</v>
      </c>
      <c r="AT272">
        <f t="shared" ref="AT272:AT335" si="184">$I$2*AJ272</f>
        <v>17.155122478675136</v>
      </c>
      <c r="AU272">
        <f t="shared" si="146"/>
        <v>-19.774620011363588</v>
      </c>
      <c r="AV272" s="5">
        <f t="shared" si="171"/>
        <v>-10.36577818809875</v>
      </c>
      <c r="AW272" s="5">
        <f t="shared" si="171"/>
        <v>-9.0627520991111901</v>
      </c>
      <c r="AX272" s="5">
        <f t="shared" si="171"/>
        <v>-8.4437294091866395</v>
      </c>
      <c r="AY272" s="5">
        <f t="shared" si="171"/>
        <v>-7.906809873295451</v>
      </c>
      <c r="AZ272" s="5">
        <f t="shared" si="171"/>
        <v>-7.4376462223646556</v>
      </c>
      <c r="BA272" s="5">
        <f t="shared" si="171"/>
        <v>-7.0162101761861955</v>
      </c>
      <c r="BB272" s="5">
        <f t="shared" si="171"/>
        <v>-6.612385918692441</v>
      </c>
      <c r="BC272" s="5">
        <f t="shared" si="171"/>
        <v>-6.1407235691143942</v>
      </c>
      <c r="BD272" s="5">
        <f t="shared" si="171"/>
        <v>-5.4796501770704733</v>
      </c>
      <c r="BE272" s="5">
        <f t="shared" si="171"/>
        <v>-3.9710102467852106</v>
      </c>
      <c r="BG272" s="1"/>
      <c r="BH272" s="1">
        <f t="shared" si="161"/>
        <v>8.7999999999999847</v>
      </c>
      <c r="BI272" s="8">
        <f t="shared" si="160"/>
        <v>595641327.60000002</v>
      </c>
      <c r="BJ272" s="8">
        <f t="shared" si="151"/>
        <v>574131000.10000002</v>
      </c>
      <c r="BK272" s="8">
        <f t="shared" si="152"/>
        <v>573094948</v>
      </c>
      <c r="BL272" s="8">
        <f t="shared" si="153"/>
        <v>568158836.70000005</v>
      </c>
      <c r="BM272" s="8">
        <f t="shared" si="154"/>
        <v>568158836.70000005</v>
      </c>
      <c r="BN272" s="8">
        <f t="shared" si="155"/>
        <v>567830154.70000005</v>
      </c>
      <c r="BO272" s="8">
        <f t="shared" si="156"/>
        <v>527841153.10000002</v>
      </c>
      <c r="BP272" s="8">
        <f t="shared" si="157"/>
        <v>518167997.30000001</v>
      </c>
      <c r="BQ272" s="8">
        <f t="shared" si="158"/>
        <v>489501934.80000001</v>
      </c>
      <c r="BR272" s="8">
        <f t="shared" si="159"/>
        <v>311372872.89999998</v>
      </c>
      <c r="BS272" s="8">
        <f t="shared" si="147"/>
        <v>5293.8990618999997</v>
      </c>
      <c r="BT272" s="8">
        <f t="shared" si="162"/>
        <v>61.295548000000053</v>
      </c>
      <c r="BU272" s="8"/>
    </row>
    <row r="273" spans="1:73" x14ac:dyDescent="0.35">
      <c r="A273" t="s">
        <v>149</v>
      </c>
      <c r="B273">
        <v>1.6</v>
      </c>
      <c r="C273">
        <v>2.8000000000000003</v>
      </c>
      <c r="D273">
        <v>3.8000000000000003</v>
      </c>
      <c r="E273">
        <v>4.8</v>
      </c>
      <c r="F273">
        <v>5.8</v>
      </c>
      <c r="G273">
        <v>7.2</v>
      </c>
      <c r="H273">
        <v>8.8000000000000007</v>
      </c>
      <c r="I273">
        <v>11.200000000000001</v>
      </c>
      <c r="J273">
        <v>15.4</v>
      </c>
      <c r="K273">
        <v>38.800000000000004</v>
      </c>
      <c r="L273">
        <f t="shared" si="172"/>
        <v>22.7</v>
      </c>
      <c r="M273">
        <f t="shared" si="173"/>
        <v>7024200</v>
      </c>
      <c r="N273">
        <f t="shared" si="174"/>
        <v>31328.585208738998</v>
      </c>
      <c r="O273">
        <f t="shared" ref="O273:O336" si="185">LOOKUP(A273,A$5:A$202,S$5:S$202)</f>
        <v>0.17150802755967653</v>
      </c>
      <c r="P273" s="8">
        <f t="shared" si="169"/>
        <v>5012.5736333982404</v>
      </c>
      <c r="Q273" s="8">
        <f t="shared" si="169"/>
        <v>8772.0038584469203</v>
      </c>
      <c r="R273" s="8">
        <f t="shared" si="169"/>
        <v>11904.862379320821</v>
      </c>
      <c r="S273" s="8">
        <f t="shared" si="169"/>
        <v>15037.720900194719</v>
      </c>
      <c r="T273" s="8">
        <f t="shared" si="169"/>
        <v>18170.579421068618</v>
      </c>
      <c r="U273" s="8">
        <f t="shared" si="169"/>
        <v>22556.581350292079</v>
      </c>
      <c r="V273" s="8">
        <f t="shared" si="169"/>
        <v>27569.154983690321</v>
      </c>
      <c r="W273" s="8">
        <f t="shared" si="169"/>
        <v>35088.015433787681</v>
      </c>
      <c r="X273" s="8">
        <f t="shared" si="169"/>
        <v>48246.021221458053</v>
      </c>
      <c r="Y273" s="8">
        <f t="shared" si="169"/>
        <v>121554.91060990733</v>
      </c>
      <c r="Z273">
        <f t="shared" si="170"/>
        <v>8.5197047614616892</v>
      </c>
      <c r="AA273">
        <f t="shared" si="170"/>
        <v>9.0793205493971119</v>
      </c>
      <c r="AB273">
        <f t="shared" si="170"/>
        <v>9.3847021989482933</v>
      </c>
      <c r="AC273">
        <f t="shared" si="170"/>
        <v>9.6183170501297983</v>
      </c>
      <c r="AD273">
        <f t="shared" si="170"/>
        <v>9.8075590497683276</v>
      </c>
      <c r="AE273">
        <f t="shared" si="164"/>
        <v>10.023782158237964</v>
      </c>
      <c r="AF273">
        <f t="shared" si="164"/>
        <v>10.224452853700114</v>
      </c>
      <c r="AG273">
        <f t="shared" si="164"/>
        <v>10.465614910517003</v>
      </c>
      <c r="AH273">
        <f t="shared" si="164"/>
        <v>10.784068641635537</v>
      </c>
      <c r="AI273">
        <f t="shared" si="164"/>
        <v>11.708121378845181</v>
      </c>
      <c r="AJ273">
        <f t="shared" ref="AJ273:AJ336" si="186">$I$2*Z273</f>
        <v>15.533960652163575</v>
      </c>
      <c r="AK273">
        <f t="shared" si="175"/>
        <v>16.554306999074655</v>
      </c>
      <c r="AL273">
        <f t="shared" si="176"/>
        <v>17.111108749938026</v>
      </c>
      <c r="AM273">
        <f t="shared" si="177"/>
        <v>17.537058240867562</v>
      </c>
      <c r="AN273">
        <f t="shared" si="178"/>
        <v>17.882102800324493</v>
      </c>
      <c r="AO273">
        <f t="shared" si="179"/>
        <v>18.276341961550965</v>
      </c>
      <c r="AP273">
        <f t="shared" si="180"/>
        <v>18.642224439245712</v>
      </c>
      <c r="AQ273">
        <f t="shared" si="181"/>
        <v>19.08193473511583</v>
      </c>
      <c r="AR273">
        <f t="shared" si="182"/>
        <v>19.662570786156792</v>
      </c>
      <c r="AS273">
        <f t="shared" si="183"/>
        <v>21.347394293805664</v>
      </c>
      <c r="AT273">
        <f t="shared" si="184"/>
        <v>28.323039389168542</v>
      </c>
      <c r="AU273">
        <f t="shared" ref="AU273:AU336" si="187">O273-$I$2*SUMPRODUCT(Z273:AI273,P273:Y273)/SUM(P273:Y273)</f>
        <v>-19.434919922709611</v>
      </c>
      <c r="AV273" s="5">
        <f t="shared" si="171"/>
        <v>-3.9009592705460356</v>
      </c>
      <c r="AW273" s="5">
        <f t="shared" si="171"/>
        <v>-2.8806129236349562</v>
      </c>
      <c r="AX273" s="5">
        <f t="shared" si="171"/>
        <v>-2.3238111727715847</v>
      </c>
      <c r="AY273" s="5">
        <f t="shared" si="171"/>
        <v>-1.8978616818420484</v>
      </c>
      <c r="AZ273" s="5">
        <f t="shared" si="171"/>
        <v>-1.5528171223851182</v>
      </c>
      <c r="BA273" s="5">
        <f t="shared" si="171"/>
        <v>-1.1585779611586453</v>
      </c>
      <c r="BB273" s="5">
        <f t="shared" si="171"/>
        <v>-0.7926954834638984</v>
      </c>
      <c r="BC273" s="5">
        <f t="shared" si="171"/>
        <v>-0.35298518759378084</v>
      </c>
      <c r="BD273" s="5">
        <f t="shared" si="171"/>
        <v>0.227650863447181</v>
      </c>
      <c r="BE273" s="5">
        <f t="shared" si="171"/>
        <v>1.912474371096053</v>
      </c>
      <c r="BG273" s="1"/>
      <c r="BH273" s="1">
        <f t="shared" si="161"/>
        <v>8.8999999999999844</v>
      </c>
      <c r="BI273" s="8">
        <f t="shared" si="160"/>
        <v>595846185.89999998</v>
      </c>
      <c r="BJ273" s="8">
        <f t="shared" si="151"/>
        <v>574131000.10000002</v>
      </c>
      <c r="BK273" s="8">
        <f t="shared" si="152"/>
        <v>574094950.29999995</v>
      </c>
      <c r="BL273" s="8">
        <f t="shared" si="153"/>
        <v>572590017.70000005</v>
      </c>
      <c r="BM273" s="8">
        <f t="shared" si="154"/>
        <v>568158836.70000005</v>
      </c>
      <c r="BN273" s="8">
        <f t="shared" si="155"/>
        <v>568158836.70000005</v>
      </c>
      <c r="BO273" s="8">
        <f t="shared" si="156"/>
        <v>556355076.89999998</v>
      </c>
      <c r="BP273" s="8">
        <f t="shared" si="157"/>
        <v>522091501.60000002</v>
      </c>
      <c r="BQ273" s="8">
        <f t="shared" si="158"/>
        <v>491982269.60000002</v>
      </c>
      <c r="BR273" s="8">
        <f t="shared" si="159"/>
        <v>312430016.5</v>
      </c>
      <c r="BS273" s="8">
        <f t="shared" ref="BS273:BS304" si="188">SUM(BI273:BR273)/1000000</f>
        <v>5335.8386920000003</v>
      </c>
      <c r="BT273" s="8">
        <f t="shared" si="162"/>
        <v>41.939630100000613</v>
      </c>
      <c r="BU273" s="8"/>
    </row>
    <row r="274" spans="1:73" x14ac:dyDescent="0.35">
      <c r="A274" t="s">
        <v>150</v>
      </c>
      <c r="B274">
        <v>3.3000000000000003</v>
      </c>
      <c r="C274">
        <v>5.3</v>
      </c>
      <c r="D274">
        <v>6.4</v>
      </c>
      <c r="E274">
        <v>7.4</v>
      </c>
      <c r="F274">
        <v>8.4</v>
      </c>
      <c r="G274">
        <v>9.4</v>
      </c>
      <c r="H274">
        <v>10.700000000000001</v>
      </c>
      <c r="I274">
        <v>12.200000000000001</v>
      </c>
      <c r="J274">
        <v>14.5</v>
      </c>
      <c r="K274">
        <v>22.400000000000002</v>
      </c>
      <c r="L274">
        <f t="shared" si="172"/>
        <v>9.8000000000000007</v>
      </c>
      <c r="M274">
        <f t="shared" si="173"/>
        <v>10000023</v>
      </c>
      <c r="N274">
        <f t="shared" si="174"/>
        <v>10926.468951505391</v>
      </c>
      <c r="O274">
        <f t="shared" si="185"/>
        <v>3.0488111663531043</v>
      </c>
      <c r="P274" s="8">
        <f t="shared" si="169"/>
        <v>3605.7347539967791</v>
      </c>
      <c r="Q274" s="8">
        <f t="shared" si="169"/>
        <v>5791.0285442978566</v>
      </c>
      <c r="R274" s="8">
        <f t="shared" si="169"/>
        <v>6992.9401289634507</v>
      </c>
      <c r="S274" s="8">
        <f t="shared" si="169"/>
        <v>8085.5870241139901</v>
      </c>
      <c r="T274" s="8">
        <f t="shared" si="169"/>
        <v>9178.2339192645286</v>
      </c>
      <c r="U274" s="8">
        <f t="shared" si="169"/>
        <v>10270.880814415068</v>
      </c>
      <c r="V274" s="8">
        <f t="shared" si="169"/>
        <v>11691.321778110771</v>
      </c>
      <c r="W274" s="8">
        <f t="shared" si="169"/>
        <v>13330.292120836577</v>
      </c>
      <c r="X274" s="8">
        <f t="shared" si="169"/>
        <v>15843.379979682815</v>
      </c>
      <c r="Y274" s="8">
        <f t="shared" si="169"/>
        <v>24475.290451372079</v>
      </c>
      <c r="Z274">
        <f t="shared" si="170"/>
        <v>8.190280844207237</v>
      </c>
      <c r="AA274">
        <f t="shared" si="170"/>
        <v>8.6640651962928779</v>
      </c>
      <c r="AB274">
        <f t="shared" si="170"/>
        <v>8.8526563661004278</v>
      </c>
      <c r="AC274">
        <f t="shared" si="170"/>
        <v>8.9978383759449265</v>
      </c>
      <c r="AD274">
        <f t="shared" si="170"/>
        <v>9.1245900815840706</v>
      </c>
      <c r="AE274">
        <f t="shared" si="164"/>
        <v>9.2370680650107602</v>
      </c>
      <c r="AF274">
        <f t="shared" si="164"/>
        <v>9.3666021172026621</v>
      </c>
      <c r="AG274">
        <f t="shared" si="164"/>
        <v>9.4977943274740131</v>
      </c>
      <c r="AH274">
        <f t="shared" si="164"/>
        <v>9.6705070251613314</v>
      </c>
      <c r="AI274">
        <f t="shared" si="164"/>
        <v>10.105419334595796</v>
      </c>
      <c r="AJ274">
        <f t="shared" si="186"/>
        <v>14.933322682681368</v>
      </c>
      <c r="AK274">
        <f t="shared" si="175"/>
        <v>15.797172744270412</v>
      </c>
      <c r="AL274">
        <f t="shared" si="176"/>
        <v>16.141030646998178</v>
      </c>
      <c r="AM274">
        <f t="shared" si="177"/>
        <v>16.405740715183633</v>
      </c>
      <c r="AN274">
        <f t="shared" si="178"/>
        <v>16.636846846572073</v>
      </c>
      <c r="AO274">
        <f t="shared" si="179"/>
        <v>16.841927728797991</v>
      </c>
      <c r="AP274">
        <f t="shared" si="180"/>
        <v>17.078106907091382</v>
      </c>
      <c r="AQ274">
        <f t="shared" si="181"/>
        <v>17.317309401694715</v>
      </c>
      <c r="AR274">
        <f t="shared" si="182"/>
        <v>17.632216117962606</v>
      </c>
      <c r="AS274">
        <f t="shared" si="183"/>
        <v>18.425190861929845</v>
      </c>
      <c r="AT274">
        <f t="shared" si="184"/>
        <v>27.227897380687573</v>
      </c>
      <c r="AU274">
        <f t="shared" si="187"/>
        <v>-14.132909029814648</v>
      </c>
      <c r="AV274" s="5">
        <f t="shared" si="171"/>
        <v>0.80041365286671962</v>
      </c>
      <c r="AW274" s="5">
        <f t="shared" si="171"/>
        <v>1.6642637144557639</v>
      </c>
      <c r="AX274" s="5">
        <f t="shared" si="171"/>
        <v>2.0081216171835301</v>
      </c>
      <c r="AY274" s="5">
        <f t="shared" si="171"/>
        <v>2.2728316853689847</v>
      </c>
      <c r="AZ274" s="5">
        <f t="shared" si="171"/>
        <v>2.5039378167574249</v>
      </c>
      <c r="BA274" s="5">
        <f t="shared" si="171"/>
        <v>2.7090186989833427</v>
      </c>
      <c r="BB274" s="5">
        <f t="shared" si="171"/>
        <v>2.9451978772767333</v>
      </c>
      <c r="BC274" s="5">
        <f t="shared" si="171"/>
        <v>3.1844003718800664</v>
      </c>
      <c r="BD274" s="5">
        <f t="shared" si="171"/>
        <v>3.4993070881479582</v>
      </c>
      <c r="BE274" s="5">
        <f t="shared" si="171"/>
        <v>4.2922818321151972</v>
      </c>
      <c r="BG274" s="1"/>
      <c r="BH274" s="1">
        <f t="shared" si="161"/>
        <v>8.999999999999984</v>
      </c>
      <c r="BI274" s="8">
        <f t="shared" si="160"/>
        <v>596282965.89999998</v>
      </c>
      <c r="BJ274" s="8">
        <f t="shared" si="151"/>
        <v>574893360.10000002</v>
      </c>
      <c r="BK274" s="8">
        <f t="shared" si="152"/>
        <v>574094950.29999995</v>
      </c>
      <c r="BL274" s="8">
        <f t="shared" si="153"/>
        <v>573962140.79999995</v>
      </c>
      <c r="BM274" s="8">
        <f t="shared" si="154"/>
        <v>568301829.79999995</v>
      </c>
      <c r="BN274" s="8">
        <f t="shared" si="155"/>
        <v>568158836.70000005</v>
      </c>
      <c r="BO274" s="8">
        <f t="shared" si="156"/>
        <v>567830154.70000005</v>
      </c>
      <c r="BP274" s="8">
        <f t="shared" si="157"/>
        <v>542080053.10000002</v>
      </c>
      <c r="BQ274" s="8">
        <f t="shared" si="158"/>
        <v>494112126.10000002</v>
      </c>
      <c r="BR274" s="8">
        <f t="shared" si="159"/>
        <v>450625557.30000001</v>
      </c>
      <c r="BS274" s="8">
        <f t="shared" si="188"/>
        <v>5510.3419748000006</v>
      </c>
      <c r="BT274" s="8">
        <f t="shared" si="162"/>
        <v>174.50328280000031</v>
      </c>
      <c r="BU274" s="8"/>
    </row>
    <row r="275" spans="1:73" x14ac:dyDescent="0.35">
      <c r="A275" t="s">
        <v>151</v>
      </c>
      <c r="B275">
        <v>3.6</v>
      </c>
      <c r="C275">
        <v>6.3</v>
      </c>
      <c r="D275">
        <v>7.4</v>
      </c>
      <c r="E275">
        <v>8.1</v>
      </c>
      <c r="F275">
        <v>8.8000000000000007</v>
      </c>
      <c r="G275">
        <v>9.7000000000000011</v>
      </c>
      <c r="H275">
        <v>10.6</v>
      </c>
      <c r="I275">
        <v>11.8</v>
      </c>
      <c r="J275">
        <v>13.6</v>
      </c>
      <c r="K275">
        <v>20.2</v>
      </c>
      <c r="L275">
        <f t="shared" si="172"/>
        <v>1.7</v>
      </c>
      <c r="M275">
        <f t="shared" si="173"/>
        <v>318041</v>
      </c>
      <c r="N275">
        <f t="shared" si="174"/>
        <v>51528.384416011126</v>
      </c>
      <c r="O275">
        <f t="shared" si="185"/>
        <v>1.7913393339561985</v>
      </c>
      <c r="P275" s="8">
        <f t="shared" si="169"/>
        <v>18550.218389764006</v>
      </c>
      <c r="Q275" s="8">
        <f t="shared" si="169"/>
        <v>32462.882182087011</v>
      </c>
      <c r="R275" s="8">
        <f t="shared" si="169"/>
        <v>38131.004467848237</v>
      </c>
      <c r="S275" s="8">
        <f t="shared" si="169"/>
        <v>41737.99137696901</v>
      </c>
      <c r="T275" s="8">
        <f t="shared" si="169"/>
        <v>45344.978286089798</v>
      </c>
      <c r="U275" s="8">
        <f t="shared" si="169"/>
        <v>49982.532883530796</v>
      </c>
      <c r="V275" s="8">
        <f t="shared" si="169"/>
        <v>54620.087480971786</v>
      </c>
      <c r="W275" s="8">
        <f t="shared" si="169"/>
        <v>60803.493610893129</v>
      </c>
      <c r="X275" s="8">
        <f t="shared" si="169"/>
        <v>70078.602805775125</v>
      </c>
      <c r="Y275" s="8">
        <f t="shared" si="169"/>
        <v>104087.33652034248</v>
      </c>
      <c r="Z275">
        <f t="shared" si="170"/>
        <v>9.828236840999379</v>
      </c>
      <c r="AA275">
        <f t="shared" si="170"/>
        <v>10.387852628934802</v>
      </c>
      <c r="AB275">
        <f t="shared" si="170"/>
        <v>10.548782995747439</v>
      </c>
      <c r="AC275">
        <f t="shared" si="170"/>
        <v>10.639167057215708</v>
      </c>
      <c r="AD275">
        <f t="shared" si="170"/>
        <v>10.722054717021477</v>
      </c>
      <c r="AE275">
        <f t="shared" si="164"/>
        <v>10.819428881046653</v>
      </c>
      <c r="AF275">
        <f t="shared" si="164"/>
        <v>10.908156996655336</v>
      </c>
      <c r="AG275">
        <f t="shared" si="164"/>
        <v>11.015402527008934</v>
      </c>
      <c r="AH275">
        <f t="shared" si="164"/>
        <v>11.157372788279321</v>
      </c>
      <c r="AI275">
        <f t="shared" si="164"/>
        <v>11.552985599944474</v>
      </c>
      <c r="AJ275">
        <f t="shared" si="186"/>
        <v>17.919804575720487</v>
      </c>
      <c r="AK275">
        <f t="shared" si="175"/>
        <v>18.940150922631567</v>
      </c>
      <c r="AL275">
        <f t="shared" si="176"/>
        <v>19.233574938580315</v>
      </c>
      <c r="AM275">
        <f t="shared" si="177"/>
        <v>19.398372017087286</v>
      </c>
      <c r="AN275">
        <f t="shared" si="178"/>
        <v>19.549500921435826</v>
      </c>
      <c r="AO275">
        <f t="shared" si="179"/>
        <v>19.727043039954602</v>
      </c>
      <c r="AP275">
        <f t="shared" si="180"/>
        <v>19.888820835687682</v>
      </c>
      <c r="AQ275">
        <f t="shared" si="181"/>
        <v>20.084361396690337</v>
      </c>
      <c r="AR275">
        <f t="shared" si="182"/>
        <v>20.343215490124113</v>
      </c>
      <c r="AS275">
        <f t="shared" si="183"/>
        <v>21.064535538407561</v>
      </c>
      <c r="AT275">
        <f t="shared" si="184"/>
        <v>32.673143843302014</v>
      </c>
      <c r="AU275">
        <f t="shared" si="187"/>
        <v>-18.155371501668423</v>
      </c>
      <c r="AV275" s="5">
        <f t="shared" si="171"/>
        <v>-0.2355669259479356</v>
      </c>
      <c r="AW275" s="5">
        <f t="shared" si="171"/>
        <v>0.78477942096314379</v>
      </c>
      <c r="AX275" s="5">
        <f t="shared" si="171"/>
        <v>1.0782034369118918</v>
      </c>
      <c r="AY275" s="5">
        <f t="shared" si="171"/>
        <v>1.2430005154188635</v>
      </c>
      <c r="AZ275" s="5">
        <f t="shared" si="171"/>
        <v>1.3941294197674026</v>
      </c>
      <c r="BA275" s="5">
        <f t="shared" si="171"/>
        <v>1.5716715382861786</v>
      </c>
      <c r="BB275" s="5">
        <f t="shared" si="171"/>
        <v>1.7334493340192587</v>
      </c>
      <c r="BC275" s="5">
        <f t="shared" si="171"/>
        <v>1.928989895021914</v>
      </c>
      <c r="BD275" s="5">
        <f t="shared" si="171"/>
        <v>2.1878439884556897</v>
      </c>
      <c r="BE275" s="5">
        <f t="shared" si="171"/>
        <v>2.9091640367391385</v>
      </c>
      <c r="BG275" s="1"/>
      <c r="BH275" s="1">
        <f t="shared" si="161"/>
        <v>9.0999999999999837</v>
      </c>
      <c r="BI275" s="8">
        <f t="shared" si="160"/>
        <v>627215588.39999998</v>
      </c>
      <c r="BJ275" s="8">
        <f t="shared" si="151"/>
        <v>578406471.79999995</v>
      </c>
      <c r="BK275" s="8">
        <f t="shared" si="152"/>
        <v>574094950.29999995</v>
      </c>
      <c r="BL275" s="8">
        <f t="shared" si="153"/>
        <v>574094950.29999995</v>
      </c>
      <c r="BM275" s="8">
        <f t="shared" si="154"/>
        <v>572148237.70000005</v>
      </c>
      <c r="BN275" s="8">
        <f t="shared" si="155"/>
        <v>568158836.70000005</v>
      </c>
      <c r="BO275" s="8">
        <f t="shared" si="156"/>
        <v>568158836.70000005</v>
      </c>
      <c r="BP275" s="8">
        <f t="shared" si="157"/>
        <v>556578977.70000005</v>
      </c>
      <c r="BQ275" s="8">
        <f t="shared" si="158"/>
        <v>515776941.60000002</v>
      </c>
      <c r="BR275" s="8">
        <f t="shared" si="159"/>
        <v>460552700.10000002</v>
      </c>
      <c r="BS275" s="8">
        <f t="shared" si="188"/>
        <v>5595.1864912999999</v>
      </c>
      <c r="BT275" s="8">
        <f t="shared" si="162"/>
        <v>84.844516499999372</v>
      </c>
      <c r="BU275" s="8"/>
    </row>
    <row r="276" spans="1:73" x14ac:dyDescent="0.35">
      <c r="A276" t="s">
        <v>152</v>
      </c>
      <c r="B276">
        <v>2.92</v>
      </c>
      <c r="C276">
        <v>4.07</v>
      </c>
      <c r="D276">
        <v>4.95</v>
      </c>
      <c r="E276">
        <v>5.82</v>
      </c>
      <c r="F276">
        <v>6.79</v>
      </c>
      <c r="G276">
        <v>7.95</v>
      </c>
      <c r="H276">
        <v>9.36</v>
      </c>
      <c r="I276">
        <v>11.4</v>
      </c>
      <c r="J276">
        <v>14.870000000000001</v>
      </c>
      <c r="K276">
        <v>31.86</v>
      </c>
      <c r="L276">
        <f t="shared" si="172"/>
        <v>23.7</v>
      </c>
      <c r="M276">
        <f t="shared" si="173"/>
        <v>1205624648</v>
      </c>
      <c r="N276">
        <f t="shared" si="174"/>
        <v>1031.5611094455749</v>
      </c>
      <c r="O276">
        <f t="shared" si="185"/>
        <v>-6.4241696809056918</v>
      </c>
      <c r="P276" s="8">
        <f t="shared" si="169"/>
        <v>301.21584395810788</v>
      </c>
      <c r="Q276" s="8">
        <f t="shared" si="169"/>
        <v>419.84537154434901</v>
      </c>
      <c r="R276" s="8">
        <f t="shared" si="169"/>
        <v>510.62274917555959</v>
      </c>
      <c r="S276" s="8">
        <f t="shared" si="169"/>
        <v>600.36856569732458</v>
      </c>
      <c r="T276" s="8">
        <f t="shared" si="169"/>
        <v>700.42999331354531</v>
      </c>
      <c r="U276" s="8">
        <f t="shared" si="169"/>
        <v>820.09108200923197</v>
      </c>
      <c r="V276" s="8">
        <f t="shared" si="169"/>
        <v>965.5411984410581</v>
      </c>
      <c r="W276" s="8">
        <f t="shared" si="169"/>
        <v>1175.9796647679555</v>
      </c>
      <c r="X276" s="8">
        <f t="shared" si="169"/>
        <v>1533.9313697455698</v>
      </c>
      <c r="Y276" s="8">
        <f t="shared" si="169"/>
        <v>3286.5536946936018</v>
      </c>
      <c r="Z276">
        <f t="shared" si="170"/>
        <v>5.7078270973248237</v>
      </c>
      <c r="AA276">
        <f t="shared" si="170"/>
        <v>6.0398864804991366</v>
      </c>
      <c r="AB276">
        <f t="shared" si="170"/>
        <v>6.2356310576252323</v>
      </c>
      <c r="AC276">
        <f t="shared" si="170"/>
        <v>6.3975437427879793</v>
      </c>
      <c r="AD276">
        <f t="shared" si="170"/>
        <v>6.5516944226152374</v>
      </c>
      <c r="AE276">
        <f t="shared" si="164"/>
        <v>6.7094154097108731</v>
      </c>
      <c r="AF276">
        <f t="shared" si="164"/>
        <v>6.8726887715341336</v>
      </c>
      <c r="AG276">
        <f t="shared" si="164"/>
        <v>7.0698568364450827</v>
      </c>
      <c r="AH276">
        <f t="shared" si="164"/>
        <v>7.335589241516697</v>
      </c>
      <c r="AI276">
        <f t="shared" si="164"/>
        <v>8.0975947855265353</v>
      </c>
      <c r="AJ276">
        <f t="shared" si="186"/>
        <v>10.407069730898156</v>
      </c>
      <c r="AK276">
        <f t="shared" si="175"/>
        <v>11.012512940121114</v>
      </c>
      <c r="AL276">
        <f t="shared" si="176"/>
        <v>11.369413636105971</v>
      </c>
      <c r="AM276">
        <f t="shared" si="177"/>
        <v>11.664628711137837</v>
      </c>
      <c r="AN276">
        <f t="shared" si="178"/>
        <v>11.945691337365517</v>
      </c>
      <c r="AO276">
        <f t="shared" si="179"/>
        <v>12.233263697695016</v>
      </c>
      <c r="AP276">
        <f t="shared" si="180"/>
        <v>12.530959691760643</v>
      </c>
      <c r="AQ276">
        <f t="shared" si="181"/>
        <v>12.890455830176647</v>
      </c>
      <c r="AR276">
        <f t="shared" si="182"/>
        <v>13.374965192878911</v>
      </c>
      <c r="AS276">
        <f t="shared" si="183"/>
        <v>14.764328377260961</v>
      </c>
      <c r="AT276">
        <f t="shared" si="184"/>
        <v>18.975189426207148</v>
      </c>
      <c r="AU276">
        <f t="shared" si="187"/>
        <v>-19.538083193776842</v>
      </c>
      <c r="AV276" s="5">
        <f t="shared" si="171"/>
        <v>-9.1310134628786859</v>
      </c>
      <c r="AW276" s="5">
        <f t="shared" si="171"/>
        <v>-8.5255702536557276</v>
      </c>
      <c r="AX276" s="5">
        <f t="shared" si="171"/>
        <v>-8.1686695576708708</v>
      </c>
      <c r="AY276" s="5">
        <f t="shared" si="171"/>
        <v>-7.8734544826390049</v>
      </c>
      <c r="AZ276" s="5">
        <f t="shared" si="171"/>
        <v>-7.5923918564113251</v>
      </c>
      <c r="BA276" s="5">
        <f t="shared" si="171"/>
        <v>-7.3048194960818265</v>
      </c>
      <c r="BB276" s="5">
        <f t="shared" si="171"/>
        <v>-7.0071235020161993</v>
      </c>
      <c r="BC276" s="5">
        <f t="shared" si="171"/>
        <v>-6.6476273636001952</v>
      </c>
      <c r="BD276" s="5">
        <f t="shared" si="171"/>
        <v>-6.1631180008979314</v>
      </c>
      <c r="BE276" s="5">
        <f t="shared" si="171"/>
        <v>-4.773754816515881</v>
      </c>
      <c r="BG276" s="1"/>
      <c r="BH276" s="1">
        <f t="shared" si="161"/>
        <v>9.1999999999999833</v>
      </c>
      <c r="BI276" s="8">
        <f t="shared" si="160"/>
        <v>632834773.10000002</v>
      </c>
      <c r="BJ276" s="8">
        <f t="shared" si="151"/>
        <v>579537222</v>
      </c>
      <c r="BK276" s="8">
        <f t="shared" si="152"/>
        <v>575257298</v>
      </c>
      <c r="BL276" s="8">
        <f t="shared" si="153"/>
        <v>574094950.29999995</v>
      </c>
      <c r="BM276" s="8">
        <f t="shared" si="154"/>
        <v>573590020</v>
      </c>
      <c r="BN276" s="8">
        <f t="shared" si="155"/>
        <v>572120198.10000002</v>
      </c>
      <c r="BO276" s="8">
        <f t="shared" si="156"/>
        <v>568158836.70000005</v>
      </c>
      <c r="BP276" s="8">
        <f t="shared" si="157"/>
        <v>567830154.70000005</v>
      </c>
      <c r="BQ276" s="8">
        <f t="shared" si="158"/>
        <v>533885526.80000001</v>
      </c>
      <c r="BR276" s="8">
        <f t="shared" si="159"/>
        <v>475429057.5</v>
      </c>
      <c r="BS276" s="8">
        <f t="shared" si="188"/>
        <v>5652.7380371999998</v>
      </c>
      <c r="BT276" s="8">
        <f t="shared" si="162"/>
        <v>57.551545899999837</v>
      </c>
      <c r="BU276" s="8"/>
    </row>
    <row r="277" spans="1:73" x14ac:dyDescent="0.35">
      <c r="A277" t="s">
        <v>153</v>
      </c>
      <c r="B277">
        <v>2.67</v>
      </c>
      <c r="C277">
        <v>3.54</v>
      </c>
      <c r="D277">
        <v>4.25</v>
      </c>
      <c r="E277">
        <v>5.15</v>
      </c>
      <c r="F277">
        <v>6.23</v>
      </c>
      <c r="G277">
        <v>7.5200000000000005</v>
      </c>
      <c r="H277">
        <v>9.3000000000000007</v>
      </c>
      <c r="I277">
        <v>11.83</v>
      </c>
      <c r="J277">
        <v>16.02</v>
      </c>
      <c r="K277">
        <v>33.47</v>
      </c>
      <c r="L277">
        <f t="shared" si="172"/>
        <v>25.8</v>
      </c>
      <c r="M277">
        <f t="shared" si="173"/>
        <v>240676485</v>
      </c>
      <c r="N277">
        <f t="shared" si="174"/>
        <v>1570.1529365014842</v>
      </c>
      <c r="O277">
        <f t="shared" si="185"/>
        <v>-6.4392498009459302</v>
      </c>
      <c r="P277" s="8">
        <f t="shared" si="169"/>
        <v>419.23083404589624</v>
      </c>
      <c r="Q277" s="8">
        <f t="shared" si="169"/>
        <v>555.83413952152546</v>
      </c>
      <c r="R277" s="8">
        <f t="shared" si="169"/>
        <v>667.31499801313078</v>
      </c>
      <c r="S277" s="8">
        <f t="shared" si="169"/>
        <v>808.62876229826441</v>
      </c>
      <c r="T277" s="8">
        <f t="shared" si="169"/>
        <v>978.20527944042476</v>
      </c>
      <c r="U277" s="8">
        <f t="shared" si="169"/>
        <v>1180.7550082491161</v>
      </c>
      <c r="V277" s="8">
        <f t="shared" si="169"/>
        <v>1460.2422309463805</v>
      </c>
      <c r="W277" s="8">
        <f t="shared" si="169"/>
        <v>1857.4909238812556</v>
      </c>
      <c r="X277" s="8">
        <f t="shared" si="169"/>
        <v>2515.3850042753775</v>
      </c>
      <c r="Y277" s="8">
        <f t="shared" si="169"/>
        <v>5255.3018784704673</v>
      </c>
      <c r="Z277">
        <f t="shared" si="170"/>
        <v>6.0384216848006309</v>
      </c>
      <c r="AA277">
        <f t="shared" si="170"/>
        <v>6.3204699395341564</v>
      </c>
      <c r="AB277">
        <f t="shared" si="170"/>
        <v>6.5032621953247984</v>
      </c>
      <c r="AC277">
        <f t="shared" si="170"/>
        <v>6.6953399270641176</v>
      </c>
      <c r="AD277">
        <f t="shared" si="170"/>
        <v>6.8857195451878352</v>
      </c>
      <c r="AE277">
        <f t="shared" si="164"/>
        <v>7.0739093503502213</v>
      </c>
      <c r="AF277">
        <f t="shared" si="164"/>
        <v>7.2863576125476834</v>
      </c>
      <c r="AG277">
        <f t="shared" si="164"/>
        <v>7.5269818903787682</v>
      </c>
      <c r="AH277">
        <f t="shared" si="164"/>
        <v>7.8301811540286863</v>
      </c>
      <c r="AI277">
        <f t="shared" si="164"/>
        <v>8.5669927276117086</v>
      </c>
      <c r="AJ277">
        <f t="shared" si="186"/>
        <v>11.009842181053621</v>
      </c>
      <c r="AK277">
        <f t="shared" si="175"/>
        <v>11.524100199812748</v>
      </c>
      <c r="AL277">
        <f t="shared" si="176"/>
        <v>11.857384954211314</v>
      </c>
      <c r="AM277">
        <f t="shared" si="177"/>
        <v>12.207599898336152</v>
      </c>
      <c r="AN277">
        <f t="shared" si="178"/>
        <v>12.55471867530189</v>
      </c>
      <c r="AO277">
        <f t="shared" si="179"/>
        <v>12.897844770674858</v>
      </c>
      <c r="AP277">
        <f t="shared" si="180"/>
        <v>13.285201262242968</v>
      </c>
      <c r="AQ277">
        <f t="shared" si="181"/>
        <v>13.723931026763829</v>
      </c>
      <c r="AR277">
        <f t="shared" si="182"/>
        <v>14.276753637778196</v>
      </c>
      <c r="AS277">
        <f t="shared" si="183"/>
        <v>15.620180706268973</v>
      </c>
      <c r="AT277">
        <f t="shared" si="184"/>
        <v>20.074223229030707</v>
      </c>
      <c r="AU277">
        <f t="shared" si="187"/>
        <v>-20.402940801012846</v>
      </c>
      <c r="AV277" s="5">
        <f t="shared" si="171"/>
        <v>-9.3930986199592255</v>
      </c>
      <c r="AW277" s="5">
        <f t="shared" si="171"/>
        <v>-8.878840601200098</v>
      </c>
      <c r="AX277" s="5">
        <f t="shared" si="171"/>
        <v>-8.5455558468015322</v>
      </c>
      <c r="AY277" s="5">
        <f t="shared" si="171"/>
        <v>-8.1953409026766941</v>
      </c>
      <c r="AZ277" s="5">
        <f t="shared" si="171"/>
        <v>-7.8482221257109561</v>
      </c>
      <c r="BA277" s="5">
        <f t="shared" si="171"/>
        <v>-7.5050960303379881</v>
      </c>
      <c r="BB277" s="5">
        <f t="shared" si="171"/>
        <v>-7.1177395387698787</v>
      </c>
      <c r="BC277" s="5">
        <f t="shared" si="171"/>
        <v>-6.6790097742490175</v>
      </c>
      <c r="BD277" s="5">
        <f t="shared" si="171"/>
        <v>-6.1261871632346505</v>
      </c>
      <c r="BE277" s="5">
        <f t="shared" si="171"/>
        <v>-4.7827600947438729</v>
      </c>
      <c r="BG277" s="1"/>
      <c r="BH277" s="1">
        <f t="shared" si="161"/>
        <v>9.2999999999999829</v>
      </c>
      <c r="BI277" s="8">
        <f t="shared" si="160"/>
        <v>647239583.79999995</v>
      </c>
      <c r="BJ277" s="8">
        <f t="shared" si="151"/>
        <v>589290177.39999998</v>
      </c>
      <c r="BK277" s="8">
        <f t="shared" si="152"/>
        <v>577668002</v>
      </c>
      <c r="BL277" s="8">
        <f t="shared" si="153"/>
        <v>575146929.5</v>
      </c>
      <c r="BM277" s="8">
        <f t="shared" si="154"/>
        <v>573722829.5</v>
      </c>
      <c r="BN277" s="8">
        <f t="shared" si="155"/>
        <v>573590020</v>
      </c>
      <c r="BO277" s="8">
        <f t="shared" si="156"/>
        <v>571986182</v>
      </c>
      <c r="BP277" s="8">
        <f t="shared" si="157"/>
        <v>568158836.70000005</v>
      </c>
      <c r="BQ277" s="8">
        <f t="shared" si="158"/>
        <v>542303953.89999998</v>
      </c>
      <c r="BR277" s="8">
        <f t="shared" si="159"/>
        <v>481749352.19999999</v>
      </c>
      <c r="BS277" s="8">
        <f t="shared" si="188"/>
        <v>5700.8558669999993</v>
      </c>
      <c r="BT277" s="8">
        <f t="shared" si="162"/>
        <v>48.117829799999527</v>
      </c>
      <c r="BU277" s="8"/>
    </row>
    <row r="278" spans="1:73" x14ac:dyDescent="0.35">
      <c r="A278" t="s">
        <v>154</v>
      </c>
      <c r="B278">
        <v>2.85</v>
      </c>
      <c r="C278">
        <v>3.96</v>
      </c>
      <c r="D278">
        <v>5.01</v>
      </c>
      <c r="E278">
        <v>6.0600000000000005</v>
      </c>
      <c r="F278">
        <v>7.17</v>
      </c>
      <c r="G278">
        <v>8.42</v>
      </c>
      <c r="H278">
        <v>9.94</v>
      </c>
      <c r="I278">
        <v>12.01</v>
      </c>
      <c r="J278">
        <v>15.51</v>
      </c>
      <c r="K278">
        <v>29.080000000000002</v>
      </c>
      <c r="L278">
        <f t="shared" si="172"/>
        <v>17.2</v>
      </c>
      <c r="M278">
        <f t="shared" si="173"/>
        <v>74462314</v>
      </c>
      <c r="N278">
        <f t="shared" si="174"/>
        <v>3259.3987232145187</v>
      </c>
      <c r="O278">
        <f t="shared" si="185"/>
        <v>-1.9089942471901971</v>
      </c>
      <c r="P278" s="8">
        <f t="shared" si="169"/>
        <v>928.92863611613791</v>
      </c>
      <c r="Q278" s="8">
        <f t="shared" si="169"/>
        <v>1290.7218943929495</v>
      </c>
      <c r="R278" s="8">
        <f t="shared" si="169"/>
        <v>1632.9587603304738</v>
      </c>
      <c r="S278" s="8">
        <f t="shared" si="169"/>
        <v>1975.1956262679985</v>
      </c>
      <c r="T278" s="8">
        <f t="shared" si="169"/>
        <v>2336.9888845448099</v>
      </c>
      <c r="U278" s="8">
        <f t="shared" si="169"/>
        <v>2744.4137249466248</v>
      </c>
      <c r="V278" s="8">
        <f t="shared" si="169"/>
        <v>3239.8423308752313</v>
      </c>
      <c r="W278" s="8">
        <f t="shared" si="169"/>
        <v>3914.537866580637</v>
      </c>
      <c r="X278" s="8">
        <f t="shared" si="169"/>
        <v>5055.3274197057181</v>
      </c>
      <c r="Y278" s="8">
        <f t="shared" si="169"/>
        <v>9478.3314871078219</v>
      </c>
      <c r="Z278">
        <f t="shared" si="170"/>
        <v>6.834031917904241</v>
      </c>
      <c r="AA278">
        <f t="shared" si="170"/>
        <v>7.1629569488900708</v>
      </c>
      <c r="AB278">
        <f t="shared" si="170"/>
        <v>7.3981488387204548</v>
      </c>
      <c r="AC278">
        <f t="shared" si="170"/>
        <v>7.5884227237049044</v>
      </c>
      <c r="AD278">
        <f t="shared" si="170"/>
        <v>7.7566185782352104</v>
      </c>
      <c r="AE278">
        <f t="shared" si="164"/>
        <v>7.9173227518779168</v>
      </c>
      <c r="AF278">
        <f t="shared" si="164"/>
        <v>8.0832799442921637</v>
      </c>
      <c r="AG278">
        <f t="shared" si="164"/>
        <v>8.2724525597155729</v>
      </c>
      <c r="AH278">
        <f t="shared" si="164"/>
        <v>8.5281979008121294</v>
      </c>
      <c r="AI278">
        <f t="shared" si="164"/>
        <v>9.1567635762890003</v>
      </c>
      <c r="AJ278">
        <f t="shared" si="186"/>
        <v>12.460476727850967</v>
      </c>
      <c r="AK278">
        <f t="shared" si="175"/>
        <v>13.060205078997368</v>
      </c>
      <c r="AL278">
        <f t="shared" si="176"/>
        <v>13.489029981341329</v>
      </c>
      <c r="AM278">
        <f t="shared" si="177"/>
        <v>13.835955975285705</v>
      </c>
      <c r="AN278">
        <f t="shared" si="178"/>
        <v>14.142627140459103</v>
      </c>
      <c r="AO278">
        <f t="shared" si="179"/>
        <v>14.435638738853502</v>
      </c>
      <c r="AP278">
        <f t="shared" si="180"/>
        <v>14.738228155868015</v>
      </c>
      <c r="AQ278">
        <f t="shared" si="181"/>
        <v>15.083146207224285</v>
      </c>
      <c r="AR278">
        <f t="shared" si="182"/>
        <v>15.549446176154955</v>
      </c>
      <c r="AS278">
        <f t="shared" si="183"/>
        <v>16.695508715120582</v>
      </c>
      <c r="AT278">
        <f t="shared" si="184"/>
        <v>22.719162296937213</v>
      </c>
      <c r="AU278">
        <f t="shared" si="187"/>
        <v>-17.066791431753302</v>
      </c>
      <c r="AV278" s="5">
        <f t="shared" si="171"/>
        <v>-4.6063147039023349</v>
      </c>
      <c r="AW278" s="5">
        <f t="shared" si="171"/>
        <v>-4.0065863527559333</v>
      </c>
      <c r="AX278" s="5">
        <f t="shared" si="171"/>
        <v>-3.5777614504119732</v>
      </c>
      <c r="AY278" s="5">
        <f t="shared" si="171"/>
        <v>-3.230835456467597</v>
      </c>
      <c r="AZ278" s="5">
        <f t="shared" si="171"/>
        <v>-2.9241642912941987</v>
      </c>
      <c r="BA278" s="5">
        <f t="shared" si="171"/>
        <v>-2.6311526928997999</v>
      </c>
      <c r="BB278" s="5">
        <f t="shared" si="171"/>
        <v>-2.328563275885287</v>
      </c>
      <c r="BC278" s="5">
        <f t="shared" si="171"/>
        <v>-1.9836452245290168</v>
      </c>
      <c r="BD278" s="5">
        <f t="shared" si="171"/>
        <v>-1.5173452555983467</v>
      </c>
      <c r="BE278" s="5">
        <f t="shared" si="171"/>
        <v>-0.37128271663272017</v>
      </c>
      <c r="BG278" s="1"/>
      <c r="BH278" s="1">
        <f t="shared" si="161"/>
        <v>9.3999999999999826</v>
      </c>
      <c r="BI278" s="8">
        <f t="shared" si="160"/>
        <v>647239583.79999995</v>
      </c>
      <c r="BJ278" s="8">
        <f t="shared" ref="BJ278:BJ304" si="189">SUMIF(AA$208:AA$378,"&lt;"&amp;$BH278,$M$208:$M$378)/10</f>
        <v>589797847.39999998</v>
      </c>
      <c r="BK278" s="8">
        <f t="shared" ref="BK278:BK304" si="190">SUMIF(AB$208:AB$378,"&lt;"&amp;$BH278,$M$208:$M$378)/10</f>
        <v>578406471.79999995</v>
      </c>
      <c r="BL278" s="8">
        <f t="shared" ref="BL278:BL304" si="191">SUMIF(AC$208:AC$378,"&lt;"&amp;$BH278,$M$208:$M$378)/10</f>
        <v>575841907.39999998</v>
      </c>
      <c r="BM278" s="8">
        <f t="shared" ref="BM278:BM304" si="192">SUMIF(AD$208:AD$378,"&lt;"&amp;$BH278,$M$208:$M$378)/10</f>
        <v>574774808.70000005</v>
      </c>
      <c r="BN278" s="8">
        <f t="shared" ref="BN278:BN304" si="193">SUMIF(AE$208:AE$378,"&lt;"&amp;$BH278,$M$208:$M$378)/10</f>
        <v>573590020</v>
      </c>
      <c r="BO278" s="8">
        <f t="shared" ref="BO278:BO304" si="194">SUMIF(AF$208:AF$378,"&lt;"&amp;$BH278,$M$208:$M$378)/10</f>
        <v>573590020</v>
      </c>
      <c r="BP278" s="8">
        <f t="shared" ref="BP278:BP304" si="195">SUMIF(AG$208:AG$378,"&lt;"&amp;$BH278,$M$208:$M$378)/10</f>
        <v>568158836.70000005</v>
      </c>
      <c r="BQ278" s="8">
        <f t="shared" ref="BQ278:BQ304" si="196">SUMIF(AH$208:AH$378,"&lt;"&amp;$BH278,$M$208:$M$378)/10</f>
        <v>543075261.29999995</v>
      </c>
      <c r="BR278" s="8">
        <f t="shared" ref="BR278:BR304" si="197">SUMIF(AI$208:AI$378,"&lt;"&amp;$BH278,$M$208:$M$378)/10</f>
        <v>487292660.19999999</v>
      </c>
      <c r="BS278" s="8">
        <f t="shared" si="188"/>
        <v>5711.7674172999996</v>
      </c>
      <c r="BT278" s="8">
        <f t="shared" si="162"/>
        <v>10.911550300000272</v>
      </c>
      <c r="BU278" s="8"/>
    </row>
    <row r="279" spans="1:73" x14ac:dyDescent="0.35">
      <c r="A279" t="s">
        <v>250</v>
      </c>
      <c r="B279">
        <v>3.3721277287254212</v>
      </c>
      <c r="C279">
        <v>5.3278722712745799</v>
      </c>
      <c r="D279">
        <v>5.8025910723447938</v>
      </c>
      <c r="E279">
        <v>6.9474089276552071</v>
      </c>
      <c r="F279">
        <v>7.6860822852057717</v>
      </c>
      <c r="G279">
        <v>9.0039177147942304</v>
      </c>
      <c r="H279">
        <v>9.9305915195863932</v>
      </c>
      <c r="I279">
        <v>12.049408480413605</v>
      </c>
      <c r="J279">
        <v>13.313590578073192</v>
      </c>
      <c r="K279">
        <v>26.56640942192681</v>
      </c>
      <c r="L279">
        <f t="shared" si="172"/>
        <v>21.4</v>
      </c>
      <c r="M279">
        <f t="shared" si="173"/>
        <v>30962380</v>
      </c>
      <c r="N279">
        <f t="shared" si="174"/>
        <v>2172.6575626694016</v>
      </c>
      <c r="O279">
        <f t="shared" si="185"/>
        <v>-4.210602906177809</v>
      </c>
      <c r="P279" s="8">
        <f t="shared" si="169"/>
        <v>732.64788121024787</v>
      </c>
      <c r="Q279" s="8">
        <f t="shared" si="169"/>
        <v>1157.5641983121318</v>
      </c>
      <c r="R279" s="8">
        <f t="shared" si="169"/>
        <v>1260.7043376407869</v>
      </c>
      <c r="S279" s="8">
        <f t="shared" si="169"/>
        <v>1509.4340547627003</v>
      </c>
      <c r="T279" s="8">
        <f t="shared" si="169"/>
        <v>1669.9224804251637</v>
      </c>
      <c r="U279" s="8">
        <f t="shared" si="169"/>
        <v>1956.242991670068</v>
      </c>
      <c r="V279" s="8">
        <f t="shared" si="169"/>
        <v>2157.577476681</v>
      </c>
      <c r="W279" s="8">
        <f t="shared" si="169"/>
        <v>2617.9238460663441</v>
      </c>
      <c r="X279" s="8">
        <f t="shared" si="169"/>
        <v>2892.5873255734814</v>
      </c>
      <c r="Y279" s="8">
        <f t="shared" si="169"/>
        <v>5771.9710343520928</v>
      </c>
      <c r="Z279">
        <f t="shared" si="170"/>
        <v>6.5966652061263247</v>
      </c>
      <c r="AA279">
        <f t="shared" si="170"/>
        <v>7.0540732473270289</v>
      </c>
      <c r="AB279">
        <f t="shared" si="170"/>
        <v>7.1394258418918799</v>
      </c>
      <c r="AC279">
        <f t="shared" si="170"/>
        <v>7.319490061384184</v>
      </c>
      <c r="AD279">
        <f t="shared" si="170"/>
        <v>7.4205324854263228</v>
      </c>
      <c r="AE279">
        <f t="shared" si="164"/>
        <v>7.5787810717491739</v>
      </c>
      <c r="AF279">
        <f t="shared" si="164"/>
        <v>7.6767413327095753</v>
      </c>
      <c r="AG279">
        <f t="shared" si="164"/>
        <v>7.87013685745484</v>
      </c>
      <c r="AH279">
        <f t="shared" si="164"/>
        <v>7.9699066489573092</v>
      </c>
      <c r="AI279">
        <f t="shared" si="164"/>
        <v>8.6607689015776508</v>
      </c>
      <c r="AJ279">
        <f t="shared" si="186"/>
        <v>12.027686476999715</v>
      </c>
      <c r="AK279">
        <f t="shared" si="175"/>
        <v>12.861677643704878</v>
      </c>
      <c r="AL279">
        <f t="shared" si="176"/>
        <v>13.017300858669781</v>
      </c>
      <c r="AM279">
        <f t="shared" si="177"/>
        <v>13.34561158994166</v>
      </c>
      <c r="AN279">
        <f t="shared" si="178"/>
        <v>13.529842039612845</v>
      </c>
      <c r="AO279">
        <f t="shared" si="179"/>
        <v>13.818376370558125</v>
      </c>
      <c r="AP279">
        <f t="shared" si="180"/>
        <v>13.996987118446704</v>
      </c>
      <c r="AQ279">
        <f t="shared" si="181"/>
        <v>14.349604791923696</v>
      </c>
      <c r="AR279">
        <f t="shared" si="182"/>
        <v>14.531514853230565</v>
      </c>
      <c r="AS279">
        <f t="shared" si="183"/>
        <v>15.791162616708728</v>
      </c>
      <c r="AT279">
        <f t="shared" si="184"/>
        <v>21.930056698140628</v>
      </c>
      <c r="AU279">
        <f t="shared" si="187"/>
        <v>-18.51690801055047</v>
      </c>
      <c r="AV279" s="5">
        <f t="shared" si="171"/>
        <v>-6.4892215335507544</v>
      </c>
      <c r="AW279" s="5">
        <f t="shared" si="171"/>
        <v>-5.6552303668455917</v>
      </c>
      <c r="AX279" s="5">
        <f t="shared" si="171"/>
        <v>-5.4996071518806886</v>
      </c>
      <c r="AY279" s="5">
        <f t="shared" si="171"/>
        <v>-5.1712964206088099</v>
      </c>
      <c r="AZ279" s="5">
        <f t="shared" si="171"/>
        <v>-4.9870659709376248</v>
      </c>
      <c r="BA279" s="5">
        <f t="shared" si="171"/>
        <v>-4.6985316399923445</v>
      </c>
      <c r="BB279" s="5">
        <f t="shared" si="171"/>
        <v>-4.5199208921037659</v>
      </c>
      <c r="BC279" s="5">
        <f t="shared" si="171"/>
        <v>-4.167303218626774</v>
      </c>
      <c r="BD279" s="5">
        <f t="shared" si="171"/>
        <v>-3.9853931573199048</v>
      </c>
      <c r="BE279" s="5">
        <f t="shared" si="171"/>
        <v>-2.7257453938417413</v>
      </c>
      <c r="BG279" s="1"/>
      <c r="BH279" s="1">
        <f t="shared" si="161"/>
        <v>9.4999999999999822</v>
      </c>
      <c r="BI279" s="8">
        <f t="shared" ref="BI279:BI304" si="198">SUMIF(Z$208:Z$378,"&lt;"&amp;$BH279,$M$208:$M$378)/10</f>
        <v>653742707.29999995</v>
      </c>
      <c r="BJ279" s="8">
        <f t="shared" si="189"/>
        <v>590234627.39999998</v>
      </c>
      <c r="BK279" s="8">
        <f t="shared" si="190"/>
        <v>584683080.29999995</v>
      </c>
      <c r="BL279" s="8">
        <f t="shared" si="191"/>
        <v>576905642</v>
      </c>
      <c r="BM279" s="8">
        <f t="shared" si="192"/>
        <v>575841907.39999998</v>
      </c>
      <c r="BN279" s="8">
        <f t="shared" si="193"/>
        <v>574774808.70000005</v>
      </c>
      <c r="BO279" s="8">
        <f t="shared" si="194"/>
        <v>573590020</v>
      </c>
      <c r="BP279" s="8">
        <f t="shared" si="195"/>
        <v>573561980.39999998</v>
      </c>
      <c r="BQ279" s="8">
        <f t="shared" si="196"/>
        <v>568158836.70000005</v>
      </c>
      <c r="BR279" s="8">
        <f t="shared" si="197"/>
        <v>488132145</v>
      </c>
      <c r="BS279" s="8">
        <f t="shared" si="188"/>
        <v>5759.6257551999997</v>
      </c>
      <c r="BT279" s="8">
        <f t="shared" si="162"/>
        <v>47.858337900000151</v>
      </c>
      <c r="BU279" s="8"/>
    </row>
    <row r="280" spans="1:73" x14ac:dyDescent="0.35">
      <c r="A280" t="s">
        <v>155</v>
      </c>
      <c r="B280">
        <v>3.1</v>
      </c>
      <c r="C280">
        <v>5.1000000000000005</v>
      </c>
      <c r="D280">
        <v>6.1000000000000005</v>
      </c>
      <c r="E280">
        <v>7</v>
      </c>
      <c r="F280">
        <v>8</v>
      </c>
      <c r="G280">
        <v>9.1</v>
      </c>
      <c r="H280">
        <v>10.4</v>
      </c>
      <c r="I280">
        <v>12.1</v>
      </c>
      <c r="J280">
        <v>14.700000000000001</v>
      </c>
      <c r="K280">
        <v>24.5</v>
      </c>
      <c r="L280">
        <f t="shared" si="172"/>
        <v>9.3000000000000007</v>
      </c>
      <c r="M280">
        <f t="shared" si="173"/>
        <v>4474356</v>
      </c>
      <c r="N280">
        <f t="shared" si="174"/>
        <v>45438.261855700264</v>
      </c>
      <c r="O280">
        <f t="shared" si="185"/>
        <v>-0.68769141779657517</v>
      </c>
      <c r="P280" s="8">
        <f t="shared" si="169"/>
        <v>14085.86117526708</v>
      </c>
      <c r="Q280" s="8">
        <f t="shared" si="169"/>
        <v>23173.513546407139</v>
      </c>
      <c r="R280" s="8">
        <f t="shared" si="169"/>
        <v>27717.339731977165</v>
      </c>
      <c r="S280" s="8">
        <f t="shared" si="169"/>
        <v>31806.783298990184</v>
      </c>
      <c r="T280" s="8">
        <f t="shared" si="169"/>
        <v>36350.609484560213</v>
      </c>
      <c r="U280" s="8">
        <f t="shared" si="169"/>
        <v>41348.818288687238</v>
      </c>
      <c r="V280" s="8">
        <f t="shared" si="169"/>
        <v>47255.792329928277</v>
      </c>
      <c r="W280" s="8">
        <f t="shared" si="169"/>
        <v>54980.296845397315</v>
      </c>
      <c r="X280" s="8">
        <f t="shared" si="169"/>
        <v>66794.244927879394</v>
      </c>
      <c r="Y280" s="8">
        <f t="shared" si="169"/>
        <v>111323.74154646564</v>
      </c>
      <c r="Z280">
        <f t="shared" si="170"/>
        <v>9.5529268197454371</v>
      </c>
      <c r="AA280">
        <f t="shared" si="170"/>
        <v>10.050765247984616</v>
      </c>
      <c r="AB280">
        <f t="shared" si="170"/>
        <v>10.229813479433602</v>
      </c>
      <c r="AC280">
        <f t="shared" si="170"/>
        <v>10.36743485730965</v>
      </c>
      <c r="AD280">
        <f t="shared" si="170"/>
        <v>10.500966249934173</v>
      </c>
      <c r="AE280">
        <f t="shared" si="164"/>
        <v>10.62979912177714</v>
      </c>
      <c r="AF280">
        <f t="shared" si="164"/>
        <v>10.763330514401662</v>
      </c>
      <c r="AG280">
        <f t="shared" si="164"/>
        <v>10.914730160857031</v>
      </c>
      <c r="AH280">
        <f t="shared" si="164"/>
        <v>11.109372202039028</v>
      </c>
      <c r="AI280">
        <f t="shared" si="164"/>
        <v>11.620197825805018</v>
      </c>
      <c r="AJ280">
        <f t="shared" si="186"/>
        <v>17.417832364588218</v>
      </c>
      <c r="AK280">
        <f t="shared" si="175"/>
        <v>18.325540175119855</v>
      </c>
      <c r="AL280">
        <f t="shared" si="176"/>
        <v>18.65199845742433</v>
      </c>
      <c r="AM280">
        <f t="shared" si="177"/>
        <v>18.902923240462972</v>
      </c>
      <c r="AN280">
        <f t="shared" si="178"/>
        <v>19.14639076157248</v>
      </c>
      <c r="AO280">
        <f t="shared" si="179"/>
        <v>19.381291479138017</v>
      </c>
      <c r="AP280">
        <f t="shared" si="180"/>
        <v>19.624759000247522</v>
      </c>
      <c r="AQ280">
        <f t="shared" si="181"/>
        <v>19.900805672830305</v>
      </c>
      <c r="AR280">
        <f t="shared" si="182"/>
        <v>20.255696117233356</v>
      </c>
      <c r="AS280">
        <f t="shared" si="183"/>
        <v>21.187083455394639</v>
      </c>
      <c r="AT280">
        <f t="shared" si="184"/>
        <v>31.757898914688969</v>
      </c>
      <c r="AU280">
        <f t="shared" si="187"/>
        <v>-20.516198779174392</v>
      </c>
      <c r="AV280" s="5">
        <f t="shared" si="171"/>
        <v>-3.0983664145861738</v>
      </c>
      <c r="AW280" s="5">
        <f t="shared" si="171"/>
        <v>-2.1906586040545371</v>
      </c>
      <c r="AX280" s="5">
        <f t="shared" si="171"/>
        <v>-1.8642003217500616</v>
      </c>
      <c r="AY280" s="5">
        <f t="shared" si="171"/>
        <v>-1.6132755387114202</v>
      </c>
      <c r="AZ280" s="5">
        <f t="shared" si="171"/>
        <v>-1.3698080176019118</v>
      </c>
      <c r="BA280" s="5">
        <f t="shared" si="171"/>
        <v>-1.1349073000363745</v>
      </c>
      <c r="BB280" s="5">
        <f t="shared" si="171"/>
        <v>-0.89143977892686976</v>
      </c>
      <c r="BC280" s="5">
        <f t="shared" si="171"/>
        <v>-0.6153931063440865</v>
      </c>
      <c r="BD280" s="5">
        <f t="shared" si="171"/>
        <v>-0.260502661941036</v>
      </c>
      <c r="BE280" s="5">
        <f t="shared" si="171"/>
        <v>0.67088467622024694</v>
      </c>
      <c r="BG280" s="1"/>
      <c r="BH280" s="1">
        <f t="shared" ref="BH280:BH343" si="199">0.1+BH279</f>
        <v>9.5999999999999819</v>
      </c>
      <c r="BI280" s="8">
        <f t="shared" si="198"/>
        <v>656293649.89999998</v>
      </c>
      <c r="BJ280" s="8">
        <f t="shared" si="189"/>
        <v>596282965.89999998</v>
      </c>
      <c r="BK280" s="8">
        <f t="shared" si="190"/>
        <v>589290177.39999998</v>
      </c>
      <c r="BL280" s="8">
        <f t="shared" si="191"/>
        <v>578834802</v>
      </c>
      <c r="BM280" s="8">
        <f t="shared" si="192"/>
        <v>576941691.79999995</v>
      </c>
      <c r="BN280" s="8">
        <f t="shared" si="193"/>
        <v>575689939.39999998</v>
      </c>
      <c r="BO280" s="8">
        <f t="shared" si="194"/>
        <v>574774808.70000005</v>
      </c>
      <c r="BP280" s="8">
        <f t="shared" si="195"/>
        <v>573561980.39999998</v>
      </c>
      <c r="BQ280" s="8">
        <f t="shared" si="196"/>
        <v>568158836.70000005</v>
      </c>
      <c r="BR280" s="8">
        <f t="shared" si="197"/>
        <v>490308514.5</v>
      </c>
      <c r="BS280" s="8">
        <f t="shared" si="188"/>
        <v>5780.1373666999998</v>
      </c>
      <c r="BT280" s="8">
        <f t="shared" ref="BT280:BT304" si="200">BS280-BS279</f>
        <v>20.511611500000072</v>
      </c>
      <c r="BU280" s="8"/>
    </row>
    <row r="281" spans="1:73" x14ac:dyDescent="0.35">
      <c r="A281" t="s">
        <v>156</v>
      </c>
      <c r="B281">
        <v>2.0499999999999998</v>
      </c>
      <c r="C281">
        <v>3.64</v>
      </c>
      <c r="D281">
        <v>4.83</v>
      </c>
      <c r="E281">
        <v>6.19</v>
      </c>
      <c r="F281">
        <v>7.5200000000000005</v>
      </c>
      <c r="G281">
        <v>9.06</v>
      </c>
      <c r="H281">
        <v>10.82</v>
      </c>
      <c r="I281">
        <v>13.040000000000001</v>
      </c>
      <c r="J281">
        <v>16.309999999999999</v>
      </c>
      <c r="K281">
        <v>26.560000000000002</v>
      </c>
      <c r="L281">
        <f t="shared" si="172"/>
        <v>19.2</v>
      </c>
      <c r="M281">
        <f t="shared" si="173"/>
        <v>7623600</v>
      </c>
      <c r="N281">
        <f t="shared" si="174"/>
        <v>22169.403538765182</v>
      </c>
      <c r="O281">
        <f t="shared" si="185"/>
        <v>0.84272427533292671</v>
      </c>
      <c r="P281" s="8">
        <f t="shared" si="169"/>
        <v>4544.7277254468618</v>
      </c>
      <c r="Q281" s="8">
        <f t="shared" si="169"/>
        <v>8069.6628881105262</v>
      </c>
      <c r="R281" s="8">
        <f t="shared" si="169"/>
        <v>10707.821909223583</v>
      </c>
      <c r="S281" s="8">
        <f t="shared" si="169"/>
        <v>13722.860790495648</v>
      </c>
      <c r="T281" s="8">
        <f t="shared" si="169"/>
        <v>16671.391461151419</v>
      </c>
      <c r="U281" s="8">
        <f t="shared" si="169"/>
        <v>20085.479606121255</v>
      </c>
      <c r="V281" s="8">
        <f t="shared" si="169"/>
        <v>23987.294628943928</v>
      </c>
      <c r="W281" s="8">
        <f t="shared" si="169"/>
        <v>28908.902214549802</v>
      </c>
      <c r="X281" s="8">
        <f t="shared" si="169"/>
        <v>36158.297171726008</v>
      </c>
      <c r="Y281" s="8">
        <f t="shared" si="169"/>
        <v>58881.93579896033</v>
      </c>
      <c r="Z281">
        <f t="shared" si="170"/>
        <v>8.4217230984247902</v>
      </c>
      <c r="AA281">
        <f t="shared" si="170"/>
        <v>8.9958669869231223</v>
      </c>
      <c r="AB281">
        <f t="shared" si="170"/>
        <v>9.278729772938954</v>
      </c>
      <c r="AC281">
        <f t="shared" si="170"/>
        <v>9.5268183919709788</v>
      </c>
      <c r="AD281">
        <f t="shared" si="170"/>
        <v>9.7214494432362226</v>
      </c>
      <c r="AE281">
        <f t="shared" si="164"/>
        <v>9.9077524253293614</v>
      </c>
      <c r="AF281">
        <f t="shared" si="164"/>
        <v>10.085279578692809</v>
      </c>
      <c r="AG281">
        <f t="shared" si="164"/>
        <v>10.271904861772981</v>
      </c>
      <c r="AH281">
        <f t="shared" si="164"/>
        <v>10.495661721907396</v>
      </c>
      <c r="AI281">
        <f t="shared" si="164"/>
        <v>10.983289629882707</v>
      </c>
      <c r="AJ281">
        <f t="shared" si="186"/>
        <v>15.355310881911723</v>
      </c>
      <c r="AK281">
        <f t="shared" si="175"/>
        <v>16.402146285522957</v>
      </c>
      <c r="AL281">
        <f t="shared" si="176"/>
        <v>16.917889437540051</v>
      </c>
      <c r="AM281">
        <f t="shared" si="177"/>
        <v>17.370228920443903</v>
      </c>
      <c r="AN281">
        <f t="shared" si="178"/>
        <v>17.725099326953718</v>
      </c>
      <c r="AO281">
        <f t="shared" si="179"/>
        <v>18.064785181598175</v>
      </c>
      <c r="AP281">
        <f t="shared" si="180"/>
        <v>18.388470085271443</v>
      </c>
      <c r="AQ281">
        <f t="shared" si="181"/>
        <v>18.728743590660955</v>
      </c>
      <c r="AR281">
        <f t="shared" si="182"/>
        <v>19.136719026230313</v>
      </c>
      <c r="AS281">
        <f t="shared" si="183"/>
        <v>20.025810015585879</v>
      </c>
      <c r="AT281">
        <f t="shared" si="184"/>
        <v>27.997307620367884</v>
      </c>
      <c r="AU281">
        <f t="shared" si="187"/>
        <v>-17.799232208857166</v>
      </c>
      <c r="AV281" s="5">
        <f t="shared" si="171"/>
        <v>-2.4439213269454427</v>
      </c>
      <c r="AW281" s="5">
        <f t="shared" si="171"/>
        <v>-1.3970859233342097</v>
      </c>
      <c r="AX281" s="5">
        <f t="shared" si="171"/>
        <v>-0.88134277131711514</v>
      </c>
      <c r="AY281" s="5">
        <f t="shared" si="171"/>
        <v>-0.42900328841326285</v>
      </c>
      <c r="AZ281" s="5">
        <f t="shared" si="171"/>
        <v>-7.4132881903448578E-2</v>
      </c>
      <c r="BA281" s="5">
        <f t="shared" si="171"/>
        <v>0.26555297274100909</v>
      </c>
      <c r="BB281" s="5">
        <f t="shared" si="171"/>
        <v>0.58923787641427694</v>
      </c>
      <c r="BC281" s="5">
        <f t="shared" si="171"/>
        <v>0.92951138180378834</v>
      </c>
      <c r="BD281" s="5">
        <f t="shared" si="171"/>
        <v>1.3374868173731471</v>
      </c>
      <c r="BE281" s="5">
        <f t="shared" si="171"/>
        <v>2.226577806728713</v>
      </c>
      <c r="BG281" s="1"/>
      <c r="BH281" s="1">
        <f t="shared" si="199"/>
        <v>9.6999999999999815</v>
      </c>
      <c r="BI281" s="8">
        <f t="shared" si="198"/>
        <v>672729151.29999995</v>
      </c>
      <c r="BJ281" s="8">
        <f t="shared" si="189"/>
        <v>601902150.60000002</v>
      </c>
      <c r="BK281" s="8">
        <f t="shared" si="190"/>
        <v>590234627.39999998</v>
      </c>
      <c r="BL281" s="8">
        <f t="shared" si="191"/>
        <v>584683080.29999995</v>
      </c>
      <c r="BM281" s="8">
        <f t="shared" si="192"/>
        <v>576941691.79999995</v>
      </c>
      <c r="BN281" s="8">
        <f t="shared" si="193"/>
        <v>575841907.39999998</v>
      </c>
      <c r="BO281" s="8">
        <f t="shared" si="194"/>
        <v>575317818.60000002</v>
      </c>
      <c r="BP281" s="8">
        <f t="shared" si="195"/>
        <v>573590020</v>
      </c>
      <c r="BQ281" s="8">
        <f t="shared" si="196"/>
        <v>573418987.29999995</v>
      </c>
      <c r="BR281" s="8">
        <f t="shared" si="197"/>
        <v>491310194.19999999</v>
      </c>
      <c r="BS281" s="8">
        <f t="shared" si="188"/>
        <v>5815.9696289000003</v>
      </c>
      <c r="BT281" s="8">
        <f t="shared" si="200"/>
        <v>35.832262200000514</v>
      </c>
      <c r="BU281" s="8"/>
    </row>
    <row r="282" spans="1:73" x14ac:dyDescent="0.35">
      <c r="A282" t="s">
        <v>157</v>
      </c>
      <c r="B282">
        <v>2.1</v>
      </c>
      <c r="C282">
        <v>4.6000000000000005</v>
      </c>
      <c r="D282">
        <v>5.9</v>
      </c>
      <c r="E282">
        <v>7.1000000000000005</v>
      </c>
      <c r="F282">
        <v>8.3000000000000007</v>
      </c>
      <c r="G282">
        <v>9.5</v>
      </c>
      <c r="H282">
        <v>10.9</v>
      </c>
      <c r="I282">
        <v>12.5</v>
      </c>
      <c r="J282">
        <v>15.1</v>
      </c>
      <c r="K282">
        <v>24.1</v>
      </c>
      <c r="L282">
        <f t="shared" si="172"/>
        <v>13.4</v>
      </c>
      <c r="M282">
        <f t="shared" si="173"/>
        <v>60483385</v>
      </c>
      <c r="N282">
        <f t="shared" si="174"/>
        <v>29163.146051932734</v>
      </c>
      <c r="O282">
        <f t="shared" si="185"/>
        <v>-3.0211321233116557</v>
      </c>
      <c r="P282" s="8">
        <f t="shared" si="169"/>
        <v>6124.2606709058746</v>
      </c>
      <c r="Q282" s="8">
        <f t="shared" si="169"/>
        <v>13415.047183889061</v>
      </c>
      <c r="R282" s="8">
        <f t="shared" si="169"/>
        <v>17206.256170640314</v>
      </c>
      <c r="S282" s="8">
        <f t="shared" si="169"/>
        <v>20705.833696872243</v>
      </c>
      <c r="T282" s="8">
        <f t="shared" si="169"/>
        <v>24205.411223104173</v>
      </c>
      <c r="U282" s="8">
        <f t="shared" si="169"/>
        <v>27704.988749336095</v>
      </c>
      <c r="V282" s="8">
        <f t="shared" si="169"/>
        <v>31787.829196606683</v>
      </c>
      <c r="W282" s="8">
        <f t="shared" si="169"/>
        <v>36453.932564915915</v>
      </c>
      <c r="X282" s="8">
        <f t="shared" si="169"/>
        <v>44036.350538418425</v>
      </c>
      <c r="Y282" s="8">
        <f t="shared" si="169"/>
        <v>70283.181985157891</v>
      </c>
      <c r="Z282">
        <f t="shared" si="170"/>
        <v>8.7200133213363991</v>
      </c>
      <c r="AA282">
        <f t="shared" si="170"/>
        <v>9.5041322801020716</v>
      </c>
      <c r="AB282">
        <f t="shared" si="170"/>
        <v>9.7530283275186953</v>
      </c>
      <c r="AC282">
        <f t="shared" si="170"/>
        <v>9.9381707606542911</v>
      </c>
      <c r="AD282">
        <f t="shared" si="170"/>
        <v>10.094331491409575</v>
      </c>
      <c r="AE282">
        <f t="shared" si="164"/>
        <v>10.229367775213516</v>
      </c>
      <c r="AF282">
        <f t="shared" si="164"/>
        <v>10.36683876584212</v>
      </c>
      <c r="AG282">
        <f t="shared" si="164"/>
        <v>10.503804620915277</v>
      </c>
      <c r="AH282">
        <f t="shared" si="164"/>
        <v>10.6927707204279</v>
      </c>
      <c r="AI282">
        <f t="shared" si="164"/>
        <v>11.160287817103631</v>
      </c>
      <c r="AJ282">
        <f t="shared" si="186"/>
        <v>15.899182848766014</v>
      </c>
      <c r="AK282">
        <f t="shared" si="175"/>
        <v>17.328865378045549</v>
      </c>
      <c r="AL282">
        <f t="shared" si="176"/>
        <v>17.782677043508183</v>
      </c>
      <c r="AM282">
        <f t="shared" si="177"/>
        <v>18.120246871559448</v>
      </c>
      <c r="AN282">
        <f t="shared" si="178"/>
        <v>18.404974419624097</v>
      </c>
      <c r="AO282">
        <f t="shared" si="179"/>
        <v>18.651185805811256</v>
      </c>
      <c r="AP282">
        <f t="shared" si="180"/>
        <v>18.901836388082405</v>
      </c>
      <c r="AQ282">
        <f t="shared" si="181"/>
        <v>19.151565957705582</v>
      </c>
      <c r="AR282">
        <f t="shared" si="182"/>
        <v>19.496107469014749</v>
      </c>
      <c r="AS282">
        <f t="shared" si="183"/>
        <v>20.348530456349419</v>
      </c>
      <c r="AT282">
        <f t="shared" si="184"/>
        <v>28.988948289789377</v>
      </c>
      <c r="AU282">
        <f t="shared" si="187"/>
        <v>-22.070438444848488</v>
      </c>
      <c r="AV282" s="5">
        <f t="shared" si="171"/>
        <v>-6.1712555960824744</v>
      </c>
      <c r="AW282" s="5">
        <f t="shared" si="171"/>
        <v>-4.741573066802939</v>
      </c>
      <c r="AX282" s="5">
        <f t="shared" si="171"/>
        <v>-4.2877614013403047</v>
      </c>
      <c r="AY282" s="5">
        <f t="shared" si="171"/>
        <v>-3.9501915732890396</v>
      </c>
      <c r="AZ282" s="5">
        <f t="shared" si="171"/>
        <v>-3.6654640252243915</v>
      </c>
      <c r="BA282" s="5">
        <f t="shared" si="171"/>
        <v>-3.4192526390372322</v>
      </c>
      <c r="BB282" s="5">
        <f t="shared" si="171"/>
        <v>-3.1686020567660833</v>
      </c>
      <c r="BC282" s="5">
        <f t="shared" si="171"/>
        <v>-2.9188724871429059</v>
      </c>
      <c r="BD282" s="5">
        <f t="shared" si="171"/>
        <v>-2.5743309758337389</v>
      </c>
      <c r="BE282" s="5">
        <f t="shared" si="171"/>
        <v>-1.7219079884990691</v>
      </c>
      <c r="BG282" s="1"/>
      <c r="BH282" s="1">
        <f t="shared" si="199"/>
        <v>9.7999999999999812</v>
      </c>
      <c r="BI282" s="8">
        <f t="shared" si="198"/>
        <v>672729151.29999995</v>
      </c>
      <c r="BJ282" s="8">
        <f t="shared" si="189"/>
        <v>639337896.60000002</v>
      </c>
      <c r="BK282" s="8">
        <f t="shared" si="190"/>
        <v>596282965.89999998</v>
      </c>
      <c r="BL282" s="8">
        <f t="shared" si="191"/>
        <v>589726957.39999998</v>
      </c>
      <c r="BM282" s="8">
        <f t="shared" si="192"/>
        <v>579039660.29999995</v>
      </c>
      <c r="BN282" s="8">
        <f t="shared" si="193"/>
        <v>576941691.79999995</v>
      </c>
      <c r="BO282" s="8">
        <f t="shared" si="194"/>
        <v>575469786.60000002</v>
      </c>
      <c r="BP282" s="8">
        <f t="shared" si="195"/>
        <v>575317818.60000002</v>
      </c>
      <c r="BQ282" s="8">
        <f t="shared" si="196"/>
        <v>573561980.39999998</v>
      </c>
      <c r="BR282" s="8">
        <f t="shared" si="197"/>
        <v>513474750.89999998</v>
      </c>
      <c r="BS282" s="8">
        <f t="shared" si="188"/>
        <v>5891.8826597999996</v>
      </c>
      <c r="BT282" s="8">
        <f t="shared" si="200"/>
        <v>75.913030899999285</v>
      </c>
      <c r="BU282" s="8"/>
    </row>
    <row r="283" spans="1:73" x14ac:dyDescent="0.35">
      <c r="A283" t="s">
        <v>64</v>
      </c>
      <c r="B283">
        <v>4.4000000000000004</v>
      </c>
      <c r="C283">
        <v>6.5</v>
      </c>
      <c r="D283">
        <v>7.8</v>
      </c>
      <c r="E283">
        <v>8.3000000000000007</v>
      </c>
      <c r="F283">
        <v>9.3000000000000007</v>
      </c>
      <c r="G283">
        <v>10.1</v>
      </c>
      <c r="H283">
        <v>10.5</v>
      </c>
      <c r="I283">
        <v>11.9</v>
      </c>
      <c r="J283">
        <v>13.8</v>
      </c>
      <c r="K283">
        <v>17.400000000000002</v>
      </c>
      <c r="L283">
        <f t="shared" si="172"/>
        <v>11.1</v>
      </c>
      <c r="M283">
        <f t="shared" si="173"/>
        <v>127450459</v>
      </c>
      <c r="N283">
        <f t="shared" si="174"/>
        <v>36472.749157637452</v>
      </c>
      <c r="O283">
        <f t="shared" si="185"/>
        <v>-2.3348487431451215</v>
      </c>
      <c r="P283" s="8">
        <f t="shared" si="169"/>
        <v>16048.009629360482</v>
      </c>
      <c r="Q283" s="8">
        <f t="shared" si="169"/>
        <v>23707.286952464343</v>
      </c>
      <c r="R283" s="8">
        <f t="shared" si="169"/>
        <v>28448.744342957209</v>
      </c>
      <c r="S283" s="8">
        <f t="shared" si="169"/>
        <v>30272.381800839088</v>
      </c>
      <c r="T283" s="8">
        <f t="shared" si="169"/>
        <v>33919.656716602833</v>
      </c>
      <c r="U283" s="8">
        <f t="shared" si="169"/>
        <v>36837.47664921383</v>
      </c>
      <c r="V283" s="8">
        <f t="shared" si="169"/>
        <v>38296.386615519325</v>
      </c>
      <c r="W283" s="8">
        <f t="shared" si="169"/>
        <v>43402.571497588571</v>
      </c>
      <c r="X283" s="8">
        <f t="shared" si="169"/>
        <v>50332.39383753969</v>
      </c>
      <c r="Y283" s="8">
        <f t="shared" si="169"/>
        <v>63462.583534289173</v>
      </c>
      <c r="Z283">
        <f t="shared" si="170"/>
        <v>9.6833401102364629</v>
      </c>
      <c r="AA283">
        <f t="shared" si="170"/>
        <v>10.073537746213837</v>
      </c>
      <c r="AB283">
        <f t="shared" si="170"/>
        <v>10.255859303007792</v>
      </c>
      <c r="AC283">
        <f t="shared" si="170"/>
        <v>10.317991084114798</v>
      </c>
      <c r="AD283">
        <f t="shared" si="170"/>
        <v>10.431749969471456</v>
      </c>
      <c r="AE283">
        <f t="shared" si="164"/>
        <v>10.51427099315946</v>
      </c>
      <c r="AF283">
        <f t="shared" si="164"/>
        <v>10.553110826475724</v>
      </c>
      <c r="AG283">
        <f t="shared" si="164"/>
        <v>10.67827396942973</v>
      </c>
      <c r="AH283">
        <f t="shared" si="164"/>
        <v>10.826404161475406</v>
      </c>
      <c r="AI283">
        <f t="shared" si="164"/>
        <v>11.058205775532731</v>
      </c>
      <c r="AJ283">
        <f t="shared" si="186"/>
        <v>17.655614656313922</v>
      </c>
      <c r="AK283">
        <f t="shared" si="175"/>
        <v>18.367061225596199</v>
      </c>
      <c r="AL283">
        <f t="shared" si="176"/>
        <v>18.699487755455504</v>
      </c>
      <c r="AM283">
        <f t="shared" si="177"/>
        <v>18.812772507684343</v>
      </c>
      <c r="AN283">
        <f t="shared" si="178"/>
        <v>19.020188855837368</v>
      </c>
      <c r="AO283">
        <f t="shared" si="179"/>
        <v>19.170649273285658</v>
      </c>
      <c r="AP283">
        <f t="shared" si="180"/>
        <v>19.241465863691534</v>
      </c>
      <c r="AQ283">
        <f t="shared" si="181"/>
        <v>19.469675571913289</v>
      </c>
      <c r="AR283">
        <f t="shared" si="182"/>
        <v>19.739761054809787</v>
      </c>
      <c r="AS283">
        <f t="shared" si="183"/>
        <v>20.162404474117277</v>
      </c>
      <c r="AT283">
        <f t="shared" si="184"/>
        <v>32.191446891627862</v>
      </c>
      <c r="AU283">
        <f t="shared" si="187"/>
        <v>-21.600278783750191</v>
      </c>
      <c r="AV283" s="5">
        <f t="shared" si="171"/>
        <v>-3.944664127436269</v>
      </c>
      <c r="AW283" s="5">
        <f t="shared" si="171"/>
        <v>-3.2332175581539921</v>
      </c>
      <c r="AX283" s="5">
        <f t="shared" si="171"/>
        <v>-2.9007910282946874</v>
      </c>
      <c r="AY283" s="5">
        <f t="shared" si="171"/>
        <v>-2.787506276065848</v>
      </c>
      <c r="AZ283" s="5">
        <f t="shared" si="171"/>
        <v>-2.5800899279128231</v>
      </c>
      <c r="BA283" s="5">
        <f t="shared" si="171"/>
        <v>-2.4296295104645331</v>
      </c>
      <c r="BB283" s="5">
        <f t="shared" si="171"/>
        <v>-2.3588129200586572</v>
      </c>
      <c r="BC283" s="5">
        <f t="shared" si="171"/>
        <v>-2.1306032118369025</v>
      </c>
      <c r="BD283" s="5">
        <f t="shared" si="171"/>
        <v>-1.8605177289404047</v>
      </c>
      <c r="BE283" s="5">
        <f t="shared" si="171"/>
        <v>-1.4378743096329138</v>
      </c>
      <c r="BG283" s="1"/>
      <c r="BH283" s="1">
        <f t="shared" si="199"/>
        <v>9.8999999999999808</v>
      </c>
      <c r="BI283" s="8">
        <f t="shared" si="198"/>
        <v>673543446.29999995</v>
      </c>
      <c r="BJ283" s="8">
        <f t="shared" si="189"/>
        <v>653742707.29999995</v>
      </c>
      <c r="BK283" s="8">
        <f t="shared" si="190"/>
        <v>598489495.89999998</v>
      </c>
      <c r="BL283" s="8">
        <f t="shared" si="191"/>
        <v>589726957.39999998</v>
      </c>
      <c r="BM283" s="8">
        <f t="shared" si="192"/>
        <v>584683080.29999995</v>
      </c>
      <c r="BN283" s="8">
        <f t="shared" si="193"/>
        <v>578277300.29999995</v>
      </c>
      <c r="BO283" s="8">
        <f t="shared" si="194"/>
        <v>576533521.20000005</v>
      </c>
      <c r="BP283" s="8">
        <f t="shared" si="195"/>
        <v>575359418.10000002</v>
      </c>
      <c r="BQ283" s="8">
        <f t="shared" si="196"/>
        <v>575156969.5</v>
      </c>
      <c r="BR283" s="8">
        <f t="shared" si="197"/>
        <v>514183359.89999998</v>
      </c>
      <c r="BS283" s="8">
        <f t="shared" si="188"/>
        <v>5919.6962561999999</v>
      </c>
      <c r="BT283" s="8">
        <f t="shared" si="200"/>
        <v>27.813596400000279</v>
      </c>
      <c r="BU283" s="8"/>
    </row>
    <row r="284" spans="1:73" x14ac:dyDescent="0.35">
      <c r="A284" t="s">
        <v>251</v>
      </c>
      <c r="B284">
        <v>3.27</v>
      </c>
      <c r="C284">
        <v>4.29</v>
      </c>
      <c r="D284">
        <v>5.24</v>
      </c>
      <c r="E284">
        <v>6.19</v>
      </c>
      <c r="F284">
        <v>7.18</v>
      </c>
      <c r="G284">
        <v>8.2900000000000009</v>
      </c>
      <c r="H284">
        <v>9.64</v>
      </c>
      <c r="I284">
        <v>11.47</v>
      </c>
      <c r="J284">
        <v>14.59</v>
      </c>
      <c r="K284">
        <v>29.84</v>
      </c>
      <c r="L284">
        <f t="shared" si="172"/>
        <v>18.3</v>
      </c>
      <c r="M284">
        <f t="shared" si="173"/>
        <v>6046000</v>
      </c>
      <c r="N284">
        <f t="shared" si="174"/>
        <v>2817.4886330764352</v>
      </c>
      <c r="O284">
        <f t="shared" si="185"/>
        <v>-2.5837628605581902</v>
      </c>
      <c r="P284" s="8">
        <f t="shared" si="169"/>
        <v>921.31878301599431</v>
      </c>
      <c r="Q284" s="8">
        <f t="shared" si="169"/>
        <v>1208.7026235897906</v>
      </c>
      <c r="R284" s="8">
        <f t="shared" si="169"/>
        <v>1476.3640437320521</v>
      </c>
      <c r="S284" s="8">
        <f t="shared" si="169"/>
        <v>1744.0254638743136</v>
      </c>
      <c r="T284" s="8">
        <f t="shared" si="169"/>
        <v>2022.9568385488806</v>
      </c>
      <c r="U284" s="8">
        <f t="shared" si="169"/>
        <v>2335.6980768203653</v>
      </c>
      <c r="V284" s="8">
        <f t="shared" si="169"/>
        <v>2716.0590422856835</v>
      </c>
      <c r="W284" s="8">
        <f t="shared" si="169"/>
        <v>3231.6594621386712</v>
      </c>
      <c r="X284" s="8">
        <f t="shared" si="169"/>
        <v>4110.7159156585194</v>
      </c>
      <c r="Y284" s="8">
        <f t="shared" si="169"/>
        <v>8407.3860811000814</v>
      </c>
      <c r="Z284">
        <f t="shared" si="170"/>
        <v>6.8258061034203541</v>
      </c>
      <c r="AA284">
        <f t="shared" si="170"/>
        <v>7.0973028514511176</v>
      </c>
      <c r="AB284">
        <f t="shared" si="170"/>
        <v>7.2973376168441426</v>
      </c>
      <c r="AC284">
        <f t="shared" si="170"/>
        <v>7.4639512052076968</v>
      </c>
      <c r="AD284">
        <f t="shared" si="170"/>
        <v>7.6123155015713246</v>
      </c>
      <c r="AE284">
        <f t="shared" si="170"/>
        <v>7.7560660876583958</v>
      </c>
      <c r="AF284">
        <f t="shared" si="170"/>
        <v>7.9069372271336462</v>
      </c>
      <c r="AG284">
        <f t="shared" si="170"/>
        <v>8.0807510496524717</v>
      </c>
      <c r="AH284">
        <f t="shared" si="170"/>
        <v>8.3213524810458868</v>
      </c>
      <c r="AI284">
        <f t="shared" si="170"/>
        <v>9.0368658938467519</v>
      </c>
      <c r="AJ284">
        <f t="shared" si="186"/>
        <v>12.445478616754125</v>
      </c>
      <c r="AK284">
        <f t="shared" si="175"/>
        <v>12.94049809444512</v>
      </c>
      <c r="AL284">
        <f t="shared" si="176"/>
        <v>13.305221082116692</v>
      </c>
      <c r="AM284">
        <f t="shared" si="177"/>
        <v>13.609007304552783</v>
      </c>
      <c r="AN284">
        <f t="shared" si="178"/>
        <v>13.879519629383994</v>
      </c>
      <c r="AO284">
        <f t="shared" si="179"/>
        <v>14.141619785495378</v>
      </c>
      <c r="AP284">
        <f t="shared" si="180"/>
        <v>14.416702832358324</v>
      </c>
      <c r="AQ284">
        <f t="shared" si="181"/>
        <v>14.733617227329253</v>
      </c>
      <c r="AR284">
        <f t="shared" si="182"/>
        <v>15.172305335986003</v>
      </c>
      <c r="AS284">
        <f t="shared" si="183"/>
        <v>16.476899510518997</v>
      </c>
      <c r="AT284">
        <f t="shared" si="184"/>
        <v>22.691816270970563</v>
      </c>
      <c r="AU284">
        <f t="shared" si="187"/>
        <v>-17.464420517513048</v>
      </c>
      <c r="AV284" s="5">
        <f t="shared" si="171"/>
        <v>-5.0189419007589233</v>
      </c>
      <c r="AW284" s="5">
        <f t="shared" si="171"/>
        <v>-4.523922423067928</v>
      </c>
      <c r="AX284" s="5">
        <f t="shared" si="171"/>
        <v>-4.1591994353963564</v>
      </c>
      <c r="AY284" s="5">
        <f t="shared" si="171"/>
        <v>-3.855413212960265</v>
      </c>
      <c r="AZ284" s="5">
        <f t="shared" si="171"/>
        <v>-3.5849008881290541</v>
      </c>
      <c r="BA284" s="5">
        <f t="shared" si="171"/>
        <v>-3.3228007320176705</v>
      </c>
      <c r="BB284" s="5">
        <f t="shared" si="171"/>
        <v>-3.0477176851547245</v>
      </c>
      <c r="BC284" s="5">
        <f t="shared" si="171"/>
        <v>-2.7308032901837951</v>
      </c>
      <c r="BD284" s="5">
        <f t="shared" si="171"/>
        <v>-2.2921151815270449</v>
      </c>
      <c r="BE284" s="5">
        <f t="shared" si="171"/>
        <v>-0.98752100699405077</v>
      </c>
      <c r="BG284" s="1"/>
      <c r="BH284" s="1">
        <f t="shared" si="199"/>
        <v>9.9999999999999805</v>
      </c>
      <c r="BI284" s="8">
        <f t="shared" si="198"/>
        <v>673543446.29999995</v>
      </c>
      <c r="BJ284" s="8">
        <f t="shared" si="189"/>
        <v>656382549.5</v>
      </c>
      <c r="BK284" s="8">
        <f t="shared" si="190"/>
        <v>639337896.60000002</v>
      </c>
      <c r="BL284" s="8">
        <f t="shared" si="191"/>
        <v>596282965.89999998</v>
      </c>
      <c r="BM284" s="8">
        <f t="shared" si="192"/>
        <v>589726957.39999998</v>
      </c>
      <c r="BN284" s="8">
        <f t="shared" si="193"/>
        <v>583980660.29999995</v>
      </c>
      <c r="BO284" s="8">
        <f t="shared" si="194"/>
        <v>577110500.29999995</v>
      </c>
      <c r="BP284" s="8">
        <f t="shared" si="195"/>
        <v>575469786.60000002</v>
      </c>
      <c r="BQ284" s="8">
        <f t="shared" si="196"/>
        <v>575185009.10000002</v>
      </c>
      <c r="BR284" s="8">
        <f t="shared" si="197"/>
        <v>517990369</v>
      </c>
      <c r="BS284" s="8">
        <f t="shared" si="188"/>
        <v>5985.0101410000007</v>
      </c>
      <c r="BT284" s="8">
        <f t="shared" si="200"/>
        <v>65.313884800000778</v>
      </c>
      <c r="BU284" s="8"/>
    </row>
    <row r="285" spans="1:73" x14ac:dyDescent="0.35">
      <c r="A285" t="s">
        <v>377</v>
      </c>
      <c r="B285">
        <v>4.3100000000000005</v>
      </c>
      <c r="C285">
        <v>5.65</v>
      </c>
      <c r="D285">
        <v>6.49</v>
      </c>
      <c r="E285">
        <v>7.33</v>
      </c>
      <c r="F285">
        <v>8.2200000000000006</v>
      </c>
      <c r="G285">
        <v>9.23</v>
      </c>
      <c r="H285">
        <v>10.42</v>
      </c>
      <c r="I285">
        <v>11.98</v>
      </c>
      <c r="J285">
        <v>14.36</v>
      </c>
      <c r="K285">
        <v>21.990000000000002</v>
      </c>
      <c r="L285">
        <f t="shared" si="172"/>
        <v>6.4</v>
      </c>
      <c r="M285">
        <f t="shared" si="173"/>
        <v>16323287</v>
      </c>
      <c r="N285">
        <f t="shared" si="174"/>
        <v>4732.2159481266071</v>
      </c>
      <c r="O285">
        <f t="shared" si="185"/>
        <v>-3.8199664733074101</v>
      </c>
      <c r="P285" s="8">
        <f t="shared" si="169"/>
        <v>2039.585073642568</v>
      </c>
      <c r="Q285" s="8">
        <f t="shared" si="169"/>
        <v>2673.7020106915334</v>
      </c>
      <c r="R285" s="8">
        <f t="shared" si="169"/>
        <v>3071.2081503341678</v>
      </c>
      <c r="S285" s="8">
        <f t="shared" si="169"/>
        <v>3468.7142899768032</v>
      </c>
      <c r="T285" s="8">
        <f t="shared" si="169"/>
        <v>3889.8815093600715</v>
      </c>
      <c r="U285" s="8">
        <f t="shared" si="169"/>
        <v>4367.8353201208583</v>
      </c>
      <c r="V285" s="8">
        <f t="shared" si="169"/>
        <v>4930.9690179479239</v>
      </c>
      <c r="W285" s="8">
        <f t="shared" si="169"/>
        <v>5669.1947058556752</v>
      </c>
      <c r="X285" s="8">
        <f t="shared" si="169"/>
        <v>6795.4621015098073</v>
      </c>
      <c r="Y285" s="8">
        <f t="shared" si="169"/>
        <v>10406.142869930411</v>
      </c>
      <c r="Z285">
        <f t="shared" si="170"/>
        <v>7.6205016708773874</v>
      </c>
      <c r="AA285">
        <f t="shared" si="170"/>
        <v>7.8912193119200804</v>
      </c>
      <c r="AB285">
        <f t="shared" si="170"/>
        <v>8.0298262974777295</v>
      </c>
      <c r="AC285">
        <f t="shared" si="170"/>
        <v>8.1515392826602913</v>
      </c>
      <c r="AD285">
        <f t="shared" si="170"/>
        <v>8.2661339758298187</v>
      </c>
      <c r="AE285">
        <f t="shared" si="170"/>
        <v>8.3820228152764908</v>
      </c>
      <c r="AF285">
        <f t="shared" si="170"/>
        <v>8.5032908030869514</v>
      </c>
      <c r="AG285">
        <f t="shared" si="170"/>
        <v>8.6428023594490337</v>
      </c>
      <c r="AH285">
        <f t="shared" si="170"/>
        <v>8.8240103303818085</v>
      </c>
      <c r="AI285">
        <f t="shared" si="170"/>
        <v>9.2501515713284004</v>
      </c>
      <c r="AJ285">
        <f t="shared" si="186"/>
        <v>13.8944454555074</v>
      </c>
      <c r="AK285">
        <f t="shared" si="175"/>
        <v>14.388044388985259</v>
      </c>
      <c r="AL285">
        <f t="shared" si="176"/>
        <v>14.640766228538549</v>
      </c>
      <c r="AM285">
        <f t="shared" si="177"/>
        <v>14.862685270995945</v>
      </c>
      <c r="AN285">
        <f t="shared" si="178"/>
        <v>15.071625545862558</v>
      </c>
      <c r="AO285">
        <f t="shared" si="179"/>
        <v>15.282925435047996</v>
      </c>
      <c r="AP285">
        <f t="shared" si="180"/>
        <v>15.504033114686832</v>
      </c>
      <c r="AQ285">
        <f t="shared" si="181"/>
        <v>15.758404256378705</v>
      </c>
      <c r="AR285">
        <f t="shared" si="182"/>
        <v>16.08880038736449</v>
      </c>
      <c r="AS285">
        <f t="shared" si="183"/>
        <v>16.86578285969993</v>
      </c>
      <c r="AT285">
        <f t="shared" si="184"/>
        <v>25.333714610135733</v>
      </c>
      <c r="AU285">
        <f t="shared" si="187"/>
        <v>-19.446503550892039</v>
      </c>
      <c r="AV285" s="5">
        <f t="shared" si="171"/>
        <v>-5.5520580953846395</v>
      </c>
      <c r="AW285" s="5">
        <f t="shared" si="171"/>
        <v>-5.0584591619067805</v>
      </c>
      <c r="AX285" s="5">
        <f t="shared" si="171"/>
        <v>-4.8057373223534903</v>
      </c>
      <c r="AY285" s="5">
        <f t="shared" si="171"/>
        <v>-4.5838182798960947</v>
      </c>
      <c r="AZ285" s="5">
        <f t="shared" si="171"/>
        <v>-4.3748780050294815</v>
      </c>
      <c r="BA285" s="5">
        <f t="shared" si="171"/>
        <v>-4.163578115844043</v>
      </c>
      <c r="BB285" s="5">
        <f t="shared" si="171"/>
        <v>-3.9424704362052072</v>
      </c>
      <c r="BC285" s="5">
        <f t="shared" si="171"/>
        <v>-3.688099294513334</v>
      </c>
      <c r="BD285" s="5">
        <f t="shared" si="171"/>
        <v>-3.3577031635275496</v>
      </c>
      <c r="BE285" s="5">
        <f t="shared" si="171"/>
        <v>-2.5807206911921092</v>
      </c>
      <c r="BG285" s="1"/>
      <c r="BH285" s="1">
        <f t="shared" si="199"/>
        <v>10.09999999999998</v>
      </c>
      <c r="BI285" s="8">
        <f t="shared" si="198"/>
        <v>674032371.5</v>
      </c>
      <c r="BJ285" s="8">
        <f t="shared" si="189"/>
        <v>672174383</v>
      </c>
      <c r="BK285" s="8">
        <f t="shared" si="190"/>
        <v>654832265.89999998</v>
      </c>
      <c r="BL285" s="8">
        <f t="shared" si="191"/>
        <v>598489495.89999998</v>
      </c>
      <c r="BM285" s="8">
        <f t="shared" si="192"/>
        <v>595775295.89999998</v>
      </c>
      <c r="BN285" s="8">
        <f t="shared" si="193"/>
        <v>589290177.39999998</v>
      </c>
      <c r="BO285" s="8">
        <f t="shared" si="194"/>
        <v>579039660.29999995</v>
      </c>
      <c r="BP285" s="8">
        <f t="shared" si="195"/>
        <v>576738379.5</v>
      </c>
      <c r="BQ285" s="8">
        <f t="shared" si="196"/>
        <v>575359418.10000002</v>
      </c>
      <c r="BR285" s="8">
        <f t="shared" si="197"/>
        <v>553719204.5</v>
      </c>
      <c r="BS285" s="8">
        <f t="shared" si="188"/>
        <v>6069.4506520000014</v>
      </c>
      <c r="BT285" s="8">
        <f t="shared" si="200"/>
        <v>84.440511000000697</v>
      </c>
      <c r="BU285" s="8"/>
    </row>
    <row r="286" spans="1:73" x14ac:dyDescent="0.35">
      <c r="A286" t="s">
        <v>160</v>
      </c>
      <c r="B286">
        <v>2</v>
      </c>
      <c r="C286">
        <v>3</v>
      </c>
      <c r="D286">
        <v>4</v>
      </c>
      <c r="E286">
        <v>5</v>
      </c>
      <c r="F286">
        <v>6</v>
      </c>
      <c r="G286">
        <v>7</v>
      </c>
      <c r="H286">
        <v>9</v>
      </c>
      <c r="I286">
        <v>10</v>
      </c>
      <c r="J286">
        <v>14</v>
      </c>
      <c r="K286">
        <v>39</v>
      </c>
      <c r="L286">
        <f t="shared" si="172"/>
        <v>24.7</v>
      </c>
      <c r="M286">
        <f t="shared" si="173"/>
        <v>40909194</v>
      </c>
      <c r="N286">
        <f t="shared" si="174"/>
        <v>575.06029636736923</v>
      </c>
      <c r="O286">
        <f t="shared" si="185"/>
        <v>-7.8615477687219855</v>
      </c>
      <c r="P286" s="8">
        <f t="shared" si="169"/>
        <v>115.01205927347385</v>
      </c>
      <c r="Q286" s="8">
        <f t="shared" si="169"/>
        <v>172.51808891021079</v>
      </c>
      <c r="R286" s="8">
        <f t="shared" si="169"/>
        <v>230.0241185469477</v>
      </c>
      <c r="S286" s="8">
        <f t="shared" si="169"/>
        <v>287.53014818368462</v>
      </c>
      <c r="T286" s="8">
        <f t="shared" si="169"/>
        <v>345.03617782042159</v>
      </c>
      <c r="U286" s="8">
        <f t="shared" si="169"/>
        <v>402.5422074571585</v>
      </c>
      <c r="V286" s="8">
        <f t="shared" si="169"/>
        <v>517.55426673063232</v>
      </c>
      <c r="W286" s="8">
        <f t="shared" si="169"/>
        <v>575.06029636736923</v>
      </c>
      <c r="X286" s="8">
        <f t="shared" si="169"/>
        <v>805.08441491431699</v>
      </c>
      <c r="Y286" s="8">
        <f t="shared" si="169"/>
        <v>2242.73515583274</v>
      </c>
      <c r="Z286">
        <f t="shared" si="170"/>
        <v>4.7450369861130826</v>
      </c>
      <c r="AA286">
        <f t="shared" si="170"/>
        <v>5.1505020942212472</v>
      </c>
      <c r="AB286">
        <f t="shared" si="170"/>
        <v>5.438184166673028</v>
      </c>
      <c r="AC286">
        <f t="shared" si="170"/>
        <v>5.6613277179872377</v>
      </c>
      <c r="AD286">
        <f t="shared" si="170"/>
        <v>5.8436492747811926</v>
      </c>
      <c r="AE286">
        <f t="shared" si="170"/>
        <v>5.9977999546084506</v>
      </c>
      <c r="AF286">
        <f t="shared" si="170"/>
        <v>6.2491143828893572</v>
      </c>
      <c r="AG286">
        <f t="shared" si="170"/>
        <v>6.3544748985471831</v>
      </c>
      <c r="AH286">
        <f t="shared" si="170"/>
        <v>6.690947135168396</v>
      </c>
      <c r="AI286">
        <f t="shared" si="170"/>
        <v>7.7154514516827835</v>
      </c>
      <c r="AJ286">
        <f t="shared" si="186"/>
        <v>8.6516164467060115</v>
      </c>
      <c r="AK286">
        <f t="shared" si="175"/>
        <v>9.3909001673894128</v>
      </c>
      <c r="AL286">
        <f t="shared" si="176"/>
        <v>9.9154303147265992</v>
      </c>
      <c r="AM286">
        <f t="shared" si="177"/>
        <v>10.322287505550696</v>
      </c>
      <c r="AN286">
        <f t="shared" si="178"/>
        <v>10.654714035409999</v>
      </c>
      <c r="AO286">
        <f t="shared" si="179"/>
        <v>10.935776661637679</v>
      </c>
      <c r="AP286">
        <f t="shared" si="180"/>
        <v>11.3939977560934</v>
      </c>
      <c r="AQ286">
        <f t="shared" si="181"/>
        <v>11.586101373571282</v>
      </c>
      <c r="AR286">
        <f t="shared" si="182"/>
        <v>12.199590529658266</v>
      </c>
      <c r="AS286">
        <f t="shared" si="183"/>
        <v>14.067567200950316</v>
      </c>
      <c r="AT286">
        <f t="shared" si="184"/>
        <v>15.774474964046178</v>
      </c>
      <c r="AU286">
        <f t="shared" si="187"/>
        <v>-20.134923473964363</v>
      </c>
      <c r="AV286" s="5">
        <f t="shared" si="171"/>
        <v>-11.483307027258352</v>
      </c>
      <c r="AW286" s="5">
        <f t="shared" si="171"/>
        <v>-10.744023306574951</v>
      </c>
      <c r="AX286" s="5">
        <f t="shared" si="171"/>
        <v>-10.219493159237764</v>
      </c>
      <c r="AY286" s="5">
        <f t="shared" si="171"/>
        <v>-9.8126359684136677</v>
      </c>
      <c r="AZ286" s="5">
        <f t="shared" si="171"/>
        <v>-9.4802094385543647</v>
      </c>
      <c r="BA286" s="5">
        <f t="shared" si="171"/>
        <v>-9.1991468123266849</v>
      </c>
      <c r="BB286" s="5">
        <f t="shared" si="171"/>
        <v>-8.7409257178709634</v>
      </c>
      <c r="BC286" s="5">
        <f t="shared" si="171"/>
        <v>-8.5488221003930818</v>
      </c>
      <c r="BD286" s="5">
        <f t="shared" si="171"/>
        <v>-7.9353329443060971</v>
      </c>
      <c r="BE286" s="5">
        <f t="shared" si="171"/>
        <v>-6.0673562730140471</v>
      </c>
      <c r="BG286" s="1"/>
      <c r="BH286" s="1">
        <f t="shared" si="199"/>
        <v>10.19999999999998</v>
      </c>
      <c r="BI286" s="8">
        <f t="shared" si="198"/>
        <v>674032371.5</v>
      </c>
      <c r="BJ286" s="8">
        <f t="shared" si="189"/>
        <v>672729151.29999995</v>
      </c>
      <c r="BK286" s="8">
        <f t="shared" si="190"/>
        <v>656207578.20000005</v>
      </c>
      <c r="BL286" s="8">
        <f t="shared" si="191"/>
        <v>622810084.79999995</v>
      </c>
      <c r="BM286" s="8">
        <f t="shared" si="192"/>
        <v>598489495.89999998</v>
      </c>
      <c r="BN286" s="8">
        <f t="shared" si="193"/>
        <v>589726957.39999998</v>
      </c>
      <c r="BO286" s="8">
        <f t="shared" si="194"/>
        <v>583980660.29999995</v>
      </c>
      <c r="BP286" s="8">
        <f t="shared" si="195"/>
        <v>578241250.5</v>
      </c>
      <c r="BQ286" s="8">
        <f t="shared" si="196"/>
        <v>575674644.89999998</v>
      </c>
      <c r="BR286" s="8">
        <f t="shared" si="197"/>
        <v>554853222.89999998</v>
      </c>
      <c r="BS286" s="8">
        <f t="shared" si="188"/>
        <v>6106.7454177</v>
      </c>
      <c r="BT286" s="8">
        <f t="shared" si="200"/>
        <v>37.294765699998607</v>
      </c>
      <c r="BU286" s="8"/>
    </row>
    <row r="287" spans="1:73" x14ac:dyDescent="0.35">
      <c r="A287" t="s">
        <v>378</v>
      </c>
      <c r="B287">
        <v>2.2200000000000002</v>
      </c>
      <c r="C287">
        <v>3.94</v>
      </c>
      <c r="D287">
        <v>5.12</v>
      </c>
      <c r="E287">
        <v>6.28</v>
      </c>
      <c r="F287">
        <v>7.36</v>
      </c>
      <c r="G287">
        <v>8.5500000000000007</v>
      </c>
      <c r="H287">
        <v>10.06</v>
      </c>
      <c r="I287">
        <v>12.26</v>
      </c>
      <c r="J287">
        <v>15.71</v>
      </c>
      <c r="K287">
        <v>28.5</v>
      </c>
      <c r="L287">
        <f t="shared" si="172"/>
        <v>28.2</v>
      </c>
      <c r="M287">
        <f t="shared" si="173"/>
        <v>97743</v>
      </c>
      <c r="N287">
        <f t="shared" si="174"/>
        <v>1132.3733525137338</v>
      </c>
      <c r="O287">
        <f t="shared" si="185"/>
        <v>-7.9278333136749861</v>
      </c>
      <c r="P287" s="8">
        <f t="shared" si="169"/>
        <v>251.38688425804895</v>
      </c>
      <c r="Q287" s="8">
        <f t="shared" si="169"/>
        <v>446.15510089041106</v>
      </c>
      <c r="R287" s="8">
        <f t="shared" si="169"/>
        <v>579.77515648703172</v>
      </c>
      <c r="S287" s="8">
        <f t="shared" si="169"/>
        <v>711.13046537862488</v>
      </c>
      <c r="T287" s="8">
        <f t="shared" si="169"/>
        <v>833.42678745010812</v>
      </c>
      <c r="U287" s="8">
        <f t="shared" si="169"/>
        <v>968.17921639924248</v>
      </c>
      <c r="V287" s="8">
        <f t="shared" si="169"/>
        <v>1139.1675926288162</v>
      </c>
      <c r="W287" s="8">
        <f t="shared" si="169"/>
        <v>1388.2897301818377</v>
      </c>
      <c r="X287" s="8">
        <f t="shared" si="169"/>
        <v>1778.958536799076</v>
      </c>
      <c r="Y287" s="8">
        <f t="shared" si="169"/>
        <v>3227.2640546641414</v>
      </c>
      <c r="Z287">
        <f t="shared" si="170"/>
        <v>5.5269931239839414</v>
      </c>
      <c r="AA287">
        <f t="shared" si="170"/>
        <v>6.100666651409596</v>
      </c>
      <c r="AB287">
        <f t="shared" si="170"/>
        <v>6.3626403671511698</v>
      </c>
      <c r="AC287">
        <f t="shared" si="170"/>
        <v>6.5668559085798606</v>
      </c>
      <c r="AD287">
        <f t="shared" si="170"/>
        <v>6.7255458608405387</v>
      </c>
      <c r="AE287">
        <f t="shared" si="170"/>
        <v>6.8754172110484228</v>
      </c>
      <c r="AF287">
        <f t="shared" si="170"/>
        <v>7.0380530927713467</v>
      </c>
      <c r="AG287">
        <f t="shared" si="170"/>
        <v>7.2358278586078191</v>
      </c>
      <c r="AH287">
        <f t="shared" si="170"/>
        <v>7.4837833803672833</v>
      </c>
      <c r="AI287">
        <f t="shared" si="170"/>
        <v>8.0793900153743579</v>
      </c>
      <c r="AJ287">
        <f t="shared" si="186"/>
        <v>10.077355508973673</v>
      </c>
      <c r="AK287">
        <f t="shared" si="175"/>
        <v>11.123333304181815</v>
      </c>
      <c r="AL287">
        <f t="shared" si="176"/>
        <v>11.600989456145994</v>
      </c>
      <c r="AM287">
        <f t="shared" si="177"/>
        <v>11.973335244401843</v>
      </c>
      <c r="AN287">
        <f t="shared" si="178"/>
        <v>12.262674316978833</v>
      </c>
      <c r="AO287">
        <f t="shared" si="179"/>
        <v>12.535934450070167</v>
      </c>
      <c r="AP287">
        <f t="shared" si="180"/>
        <v>12.832468127943812</v>
      </c>
      <c r="AQ287">
        <f t="shared" si="181"/>
        <v>13.19307046294392</v>
      </c>
      <c r="AR287">
        <f t="shared" si="182"/>
        <v>13.645167269856907</v>
      </c>
      <c r="AS287">
        <f t="shared" si="183"/>
        <v>14.731135656252036</v>
      </c>
      <c r="AT287">
        <f t="shared" si="184"/>
        <v>18.37402214480068</v>
      </c>
      <c r="AU287">
        <f t="shared" si="187"/>
        <v>-21.160507449427143</v>
      </c>
      <c r="AV287" s="5">
        <f t="shared" si="171"/>
        <v>-11.083151940453471</v>
      </c>
      <c r="AW287" s="5">
        <f t="shared" si="171"/>
        <v>-10.037174145245329</v>
      </c>
      <c r="AX287" s="5">
        <f t="shared" si="171"/>
        <v>-9.5595179932811494</v>
      </c>
      <c r="AY287" s="5">
        <f t="shared" si="171"/>
        <v>-9.1871722050253002</v>
      </c>
      <c r="AZ287" s="5">
        <f t="shared" si="171"/>
        <v>-8.8978331324483104</v>
      </c>
      <c r="BA287" s="5">
        <f t="shared" si="171"/>
        <v>-8.6245729993569764</v>
      </c>
      <c r="BB287" s="5">
        <f t="shared" si="171"/>
        <v>-8.328039321483331</v>
      </c>
      <c r="BC287" s="5">
        <f t="shared" si="171"/>
        <v>-7.9674369864832233</v>
      </c>
      <c r="BD287" s="5">
        <f t="shared" si="171"/>
        <v>-7.5153401795702361</v>
      </c>
      <c r="BE287" s="5">
        <f t="shared" si="171"/>
        <v>-6.4293717931751075</v>
      </c>
      <c r="BG287" s="1"/>
      <c r="BH287" s="1">
        <f t="shared" si="199"/>
        <v>10.299999999999979</v>
      </c>
      <c r="BI287" s="8">
        <f t="shared" si="198"/>
        <v>674083066.79999995</v>
      </c>
      <c r="BJ287" s="8">
        <f t="shared" si="189"/>
        <v>673511642.20000005</v>
      </c>
      <c r="BK287" s="8">
        <f t="shared" si="190"/>
        <v>672174383</v>
      </c>
      <c r="BL287" s="8">
        <f t="shared" si="191"/>
        <v>656207578.20000005</v>
      </c>
      <c r="BM287" s="8">
        <f t="shared" si="192"/>
        <v>608405274.10000002</v>
      </c>
      <c r="BN287" s="8">
        <f t="shared" si="193"/>
        <v>595775295.89999998</v>
      </c>
      <c r="BO287" s="8">
        <f t="shared" si="194"/>
        <v>589726957.39999998</v>
      </c>
      <c r="BP287" s="8">
        <f t="shared" si="195"/>
        <v>583980660.29999995</v>
      </c>
      <c r="BQ287" s="8">
        <f t="shared" si="196"/>
        <v>576738379.5</v>
      </c>
      <c r="BR287" s="8">
        <f t="shared" si="197"/>
        <v>560395362.79999995</v>
      </c>
      <c r="BS287" s="8">
        <f t="shared" si="188"/>
        <v>6190.9986001999996</v>
      </c>
      <c r="BT287" s="8">
        <f t="shared" si="200"/>
        <v>84.253182499999639</v>
      </c>
      <c r="BU287" s="8"/>
    </row>
    <row r="288" spans="1:73" x14ac:dyDescent="0.35">
      <c r="A288" t="s">
        <v>186</v>
      </c>
      <c r="B288">
        <v>2.41</v>
      </c>
      <c r="C288">
        <v>4.6100000000000003</v>
      </c>
      <c r="D288">
        <v>5.94</v>
      </c>
      <c r="E288">
        <v>7.21</v>
      </c>
      <c r="F288">
        <v>8.3800000000000008</v>
      </c>
      <c r="G288">
        <v>9.58</v>
      </c>
      <c r="H288">
        <v>10.950000000000001</v>
      </c>
      <c r="I288">
        <v>12.71</v>
      </c>
      <c r="J288">
        <v>15.22</v>
      </c>
      <c r="K288">
        <v>23</v>
      </c>
      <c r="L288">
        <f t="shared" si="172"/>
        <v>11.5</v>
      </c>
      <c r="M288">
        <f t="shared" si="173"/>
        <v>49410000</v>
      </c>
      <c r="N288">
        <f t="shared" si="174"/>
        <v>22236.187948867053</v>
      </c>
      <c r="O288">
        <f t="shared" si="185"/>
        <v>3.7120480685010726</v>
      </c>
      <c r="P288" s="8">
        <f t="shared" si="169"/>
        <v>5358.9212956769607</v>
      </c>
      <c r="Q288" s="8">
        <f t="shared" si="169"/>
        <v>10250.882644427711</v>
      </c>
      <c r="R288" s="8">
        <f t="shared" si="169"/>
        <v>13208.295641627032</v>
      </c>
      <c r="S288" s="8">
        <f t="shared" si="169"/>
        <v>16032.291511133144</v>
      </c>
      <c r="T288" s="8">
        <f t="shared" si="169"/>
        <v>18633.925501150592</v>
      </c>
      <c r="U288" s="8">
        <f t="shared" si="169"/>
        <v>21302.26805501464</v>
      </c>
      <c r="V288" s="8">
        <f t="shared" si="169"/>
        <v>24348.625804009425</v>
      </c>
      <c r="W288" s="8">
        <f t="shared" si="169"/>
        <v>28262.194883010023</v>
      </c>
      <c r="X288" s="8">
        <f t="shared" si="169"/>
        <v>33843.478058175657</v>
      </c>
      <c r="Y288" s="8">
        <f t="shared" si="169"/>
        <v>51143.232282394223</v>
      </c>
      <c r="Z288">
        <f t="shared" si="170"/>
        <v>8.586517983004649</v>
      </c>
      <c r="AA288">
        <f t="shared" si="170"/>
        <v>9.2351190925106437</v>
      </c>
      <c r="AB288">
        <f t="shared" si="170"/>
        <v>9.4886003688766394</v>
      </c>
      <c r="AC288">
        <f t="shared" si="170"/>
        <v>9.6823601867989435</v>
      </c>
      <c r="AD288">
        <f t="shared" si="170"/>
        <v>9.8327391499960779</v>
      </c>
      <c r="AE288">
        <f t="shared" si="170"/>
        <v>9.9665688274848545</v>
      </c>
      <c r="AF288">
        <f t="shared" si="170"/>
        <v>10.100230691764596</v>
      </c>
      <c r="AG288">
        <f t="shared" si="170"/>
        <v>10.249280320703448</v>
      </c>
      <c r="AH288">
        <f t="shared" si="170"/>
        <v>10.429501587935626</v>
      </c>
      <c r="AI288">
        <f t="shared" si="170"/>
        <v>10.842385451431236</v>
      </c>
      <c r="AJ288">
        <f t="shared" si="186"/>
        <v>15.655781065376411</v>
      </c>
      <c r="AK288">
        <f t="shared" si="175"/>
        <v>16.838374171136472</v>
      </c>
      <c r="AL288">
        <f t="shared" si="176"/>
        <v>17.30054607537204</v>
      </c>
      <c r="AM288">
        <f t="shared" si="177"/>
        <v>17.653827963870143</v>
      </c>
      <c r="AN288">
        <f t="shared" si="178"/>
        <v>17.92801362670955</v>
      </c>
      <c r="AO288">
        <f t="shared" si="179"/>
        <v>18.172025010015481</v>
      </c>
      <c r="AP288">
        <f t="shared" si="180"/>
        <v>18.415730419833004</v>
      </c>
      <c r="AQ288">
        <f t="shared" si="181"/>
        <v>18.687492310177959</v>
      </c>
      <c r="AR288">
        <f t="shared" si="182"/>
        <v>19.016089386279852</v>
      </c>
      <c r="AS288">
        <f t="shared" si="183"/>
        <v>19.768899708823671</v>
      </c>
      <c r="AT288">
        <f t="shared" si="184"/>
        <v>28.545154304938681</v>
      </c>
      <c r="AU288">
        <f t="shared" si="187"/>
        <v>-14.816191942629228</v>
      </c>
      <c r="AV288" s="5">
        <f t="shared" si="171"/>
        <v>0.83958912274718323</v>
      </c>
      <c r="AW288" s="5">
        <f t="shared" si="171"/>
        <v>2.0221822285072442</v>
      </c>
      <c r="AX288" s="5">
        <f t="shared" si="171"/>
        <v>2.484354132742812</v>
      </c>
      <c r="AY288" s="5">
        <f t="shared" si="171"/>
        <v>2.8376360212409146</v>
      </c>
      <c r="AZ288" s="5">
        <f t="shared" si="171"/>
        <v>3.1118216840803221</v>
      </c>
      <c r="BA288" s="5">
        <f t="shared" si="171"/>
        <v>3.3558330673862535</v>
      </c>
      <c r="BB288" s="5">
        <f t="shared" si="171"/>
        <v>3.599538477203776</v>
      </c>
      <c r="BC288" s="5">
        <f t="shared" si="171"/>
        <v>3.8713003675487307</v>
      </c>
      <c r="BD288" s="5">
        <f t="shared" si="171"/>
        <v>4.1998974436506238</v>
      </c>
      <c r="BE288" s="5">
        <f t="shared" si="171"/>
        <v>4.9527077661944432</v>
      </c>
      <c r="BG288" s="1"/>
      <c r="BH288" s="1">
        <f t="shared" si="199"/>
        <v>10.399999999999979</v>
      </c>
      <c r="BI288" s="8">
        <f t="shared" si="198"/>
        <v>674083066.79999995</v>
      </c>
      <c r="BJ288" s="8">
        <f t="shared" si="189"/>
        <v>673543446.29999995</v>
      </c>
      <c r="BK288" s="8">
        <f t="shared" si="190"/>
        <v>672729151.29999995</v>
      </c>
      <c r="BL288" s="8">
        <f t="shared" si="191"/>
        <v>671061599.10000002</v>
      </c>
      <c r="BM288" s="8">
        <f t="shared" si="192"/>
        <v>655368601.10000002</v>
      </c>
      <c r="BN288" s="8">
        <f t="shared" si="193"/>
        <v>608405274.10000002</v>
      </c>
      <c r="BO288" s="8">
        <f t="shared" si="194"/>
        <v>595775295.89999998</v>
      </c>
      <c r="BP288" s="8">
        <f t="shared" si="195"/>
        <v>583980660.29999995</v>
      </c>
      <c r="BQ288" s="8">
        <f t="shared" si="196"/>
        <v>577905179.5</v>
      </c>
      <c r="BR288" s="8">
        <f t="shared" si="197"/>
        <v>573432916.5</v>
      </c>
      <c r="BS288" s="8">
        <f t="shared" si="188"/>
        <v>6286.2851908999992</v>
      </c>
      <c r="BT288" s="8">
        <f t="shared" si="200"/>
        <v>95.286590699999579</v>
      </c>
      <c r="BU288" s="8"/>
    </row>
    <row r="289" spans="1:73" x14ac:dyDescent="0.35">
      <c r="A289" t="s">
        <v>379</v>
      </c>
      <c r="B289">
        <v>3.84</v>
      </c>
      <c r="C289">
        <v>5.55</v>
      </c>
      <c r="D289">
        <v>6.6400000000000006</v>
      </c>
      <c r="E289">
        <v>7.5600000000000005</v>
      </c>
      <c r="F289">
        <v>8.3800000000000008</v>
      </c>
      <c r="G289">
        <v>9.3000000000000007</v>
      </c>
      <c r="H289">
        <v>10.41</v>
      </c>
      <c r="I289">
        <v>11.96</v>
      </c>
      <c r="J289">
        <v>14.35</v>
      </c>
      <c r="K289">
        <v>22.02</v>
      </c>
      <c r="L289">
        <f t="shared" si="172"/>
        <v>9.9</v>
      </c>
      <c r="M289">
        <f t="shared" si="173"/>
        <v>1775680</v>
      </c>
      <c r="N289">
        <f t="shared" si="174"/>
        <v>2689.8582831712979</v>
      </c>
      <c r="O289">
        <f t="shared" si="185"/>
        <v>0.4559022225580911</v>
      </c>
      <c r="P289" s="8">
        <f t="shared" si="169"/>
        <v>1032.9055807377783</v>
      </c>
      <c r="Q289" s="8">
        <f t="shared" si="169"/>
        <v>1492.8713471600702</v>
      </c>
      <c r="R289" s="8">
        <f t="shared" si="169"/>
        <v>1786.0659000257419</v>
      </c>
      <c r="S289" s="8">
        <f t="shared" si="169"/>
        <v>2033.5328620775012</v>
      </c>
      <c r="T289" s="8">
        <f t="shared" si="169"/>
        <v>2254.1012412975479</v>
      </c>
      <c r="U289" s="8">
        <f t="shared" si="169"/>
        <v>2501.5682033493072</v>
      </c>
      <c r="V289" s="8">
        <f t="shared" si="169"/>
        <v>2800.142472781321</v>
      </c>
      <c r="W289" s="8">
        <f t="shared" si="169"/>
        <v>3217.0705066728724</v>
      </c>
      <c r="X289" s="8">
        <f t="shared" si="169"/>
        <v>3859.9466363508122</v>
      </c>
      <c r="Y289" s="8">
        <f t="shared" si="169"/>
        <v>5923.067939543198</v>
      </c>
      <c r="Z289">
        <f t="shared" si="170"/>
        <v>6.9401310619777368</v>
      </c>
      <c r="AA289">
        <f t="shared" si="170"/>
        <v>7.3084566231364443</v>
      </c>
      <c r="AB289">
        <f t="shared" si="170"/>
        <v>7.4877706588664434</v>
      </c>
      <c r="AC289">
        <f t="shared" si="170"/>
        <v>7.6175298855695424</v>
      </c>
      <c r="AD289">
        <f t="shared" si="170"/>
        <v>7.7205066098720927</v>
      </c>
      <c r="AE289">
        <f t="shared" si="170"/>
        <v>7.8246730955373112</v>
      </c>
      <c r="AF289">
        <f t="shared" si="170"/>
        <v>7.9374255780049783</v>
      </c>
      <c r="AG289">
        <f t="shared" si="170"/>
        <v>8.0762264439005875</v>
      </c>
      <c r="AH289">
        <f t="shared" si="170"/>
        <v>8.2584086375837309</v>
      </c>
      <c r="AI289">
        <f t="shared" si="170"/>
        <v>8.686609826672635</v>
      </c>
      <c r="AJ289">
        <f t="shared" si="186"/>
        <v>12.653927085041884</v>
      </c>
      <c r="AK289">
        <f t="shared" si="175"/>
        <v>13.325494344051434</v>
      </c>
      <c r="AL289">
        <f t="shared" si="176"/>
        <v>13.652437266769869</v>
      </c>
      <c r="AM289">
        <f t="shared" si="177"/>
        <v>13.889027005299177</v>
      </c>
      <c r="AN289">
        <f t="shared" si="178"/>
        <v>14.076784260766567</v>
      </c>
      <c r="AO289">
        <f t="shared" si="179"/>
        <v>14.266710805746989</v>
      </c>
      <c r="AP289">
        <f t="shared" si="180"/>
        <v>14.472292181525322</v>
      </c>
      <c r="AQ289">
        <f t="shared" si="181"/>
        <v>14.725367522711053</v>
      </c>
      <c r="AR289">
        <f t="shared" si="182"/>
        <v>15.057539952089142</v>
      </c>
      <c r="AS289">
        <f t="shared" si="183"/>
        <v>15.838278323752563</v>
      </c>
      <c r="AT289">
        <f t="shared" si="184"/>
        <v>23.071879946302698</v>
      </c>
      <c r="AU289">
        <f t="shared" si="187"/>
        <v>-14.147149552353859</v>
      </c>
      <c r="AV289" s="5">
        <f t="shared" si="171"/>
        <v>-1.4932224673119752</v>
      </c>
      <c r="AW289" s="5">
        <f t="shared" si="171"/>
        <v>-0.82165520830242578</v>
      </c>
      <c r="AX289" s="5">
        <f t="shared" si="171"/>
        <v>-0.49471228558399005</v>
      </c>
      <c r="AY289" s="5">
        <f t="shared" si="171"/>
        <v>-0.25812254705468263</v>
      </c>
      <c r="AZ289" s="5">
        <f t="shared" si="171"/>
        <v>-7.0365291587291878E-2</v>
      </c>
      <c r="BA289" s="5">
        <f t="shared" si="171"/>
        <v>0.11956125339312962</v>
      </c>
      <c r="BB289" s="5">
        <f t="shared" si="171"/>
        <v>0.32514262917146297</v>
      </c>
      <c r="BC289" s="5">
        <f t="shared" si="171"/>
        <v>0.57821797035719413</v>
      </c>
      <c r="BD289" s="5">
        <f t="shared" si="171"/>
        <v>0.91039039973528268</v>
      </c>
      <c r="BE289" s="5">
        <f t="shared" si="171"/>
        <v>1.691128771398704</v>
      </c>
      <c r="BG289" s="1"/>
      <c r="BH289" s="1">
        <f t="shared" si="199"/>
        <v>10.499999999999979</v>
      </c>
      <c r="BI289" s="8">
        <f t="shared" si="198"/>
        <v>674083066.79999995</v>
      </c>
      <c r="BJ289" s="8">
        <f t="shared" si="189"/>
        <v>673543446.29999995</v>
      </c>
      <c r="BK289" s="8">
        <f t="shared" si="190"/>
        <v>673511642.20000005</v>
      </c>
      <c r="BL289" s="8">
        <f t="shared" si="191"/>
        <v>672729151.29999995</v>
      </c>
      <c r="BM289" s="8">
        <f t="shared" si="192"/>
        <v>670614163.5</v>
      </c>
      <c r="BN289" s="8">
        <f t="shared" si="193"/>
        <v>624435978.60000002</v>
      </c>
      <c r="BO289" s="8">
        <f t="shared" si="194"/>
        <v>602278419.39999998</v>
      </c>
      <c r="BP289" s="8">
        <f t="shared" si="195"/>
        <v>589726957.39999998</v>
      </c>
      <c r="BQ289" s="8">
        <f t="shared" si="196"/>
        <v>583608539.5</v>
      </c>
      <c r="BR289" s="8">
        <f t="shared" si="197"/>
        <v>575189592</v>
      </c>
      <c r="BS289" s="8">
        <f t="shared" si="188"/>
        <v>6339.7209569999986</v>
      </c>
      <c r="BT289" s="8">
        <f t="shared" si="200"/>
        <v>53.435766099999455</v>
      </c>
      <c r="BU289" s="8"/>
    </row>
    <row r="290" spans="1:73" x14ac:dyDescent="0.35">
      <c r="A290" t="s">
        <v>252</v>
      </c>
      <c r="B290">
        <v>4.37</v>
      </c>
      <c r="C290">
        <v>5.65</v>
      </c>
      <c r="D290">
        <v>6.51</v>
      </c>
      <c r="E290">
        <v>7.29</v>
      </c>
      <c r="F290">
        <v>8.1</v>
      </c>
      <c r="G290">
        <v>9.07</v>
      </c>
      <c r="H290">
        <v>10.23</v>
      </c>
      <c r="I290">
        <v>11.75</v>
      </c>
      <c r="J290">
        <v>14.14</v>
      </c>
      <c r="K290">
        <v>22.89</v>
      </c>
      <c r="L290">
        <f t="shared" si="172"/>
        <v>1.6</v>
      </c>
      <c r="M290">
        <f t="shared" si="173"/>
        <v>5447900</v>
      </c>
      <c r="N290">
        <f t="shared" si="174"/>
        <v>560.91462241153135</v>
      </c>
      <c r="O290">
        <f t="shared" si="185"/>
        <v>-5.92304504298931</v>
      </c>
      <c r="P290" s="8">
        <f t="shared" si="169"/>
        <v>245.11968999383922</v>
      </c>
      <c r="Q290" s="8">
        <f t="shared" si="169"/>
        <v>316.91676166251523</v>
      </c>
      <c r="R290" s="8">
        <f t="shared" si="169"/>
        <v>365.15541918990687</v>
      </c>
      <c r="S290" s="8">
        <f t="shared" si="169"/>
        <v>408.90675973800637</v>
      </c>
      <c r="T290" s="8">
        <f t="shared" si="169"/>
        <v>454.34084415334036</v>
      </c>
      <c r="U290" s="8">
        <f t="shared" si="169"/>
        <v>508.74956252725895</v>
      </c>
      <c r="V290" s="8">
        <f t="shared" si="169"/>
        <v>573.81565872699662</v>
      </c>
      <c r="W290" s="8">
        <f t="shared" si="169"/>
        <v>659.07468133354928</v>
      </c>
      <c r="X290" s="8">
        <f t="shared" si="169"/>
        <v>793.13327608990539</v>
      </c>
      <c r="Y290" s="8">
        <f t="shared" si="169"/>
        <v>1283.9335706999952</v>
      </c>
      <c r="Z290">
        <f t="shared" si="170"/>
        <v>5.5017466218396089</v>
      </c>
      <c r="AA290">
        <f t="shared" si="170"/>
        <v>5.7586391578904594</v>
      </c>
      <c r="AB290">
        <f t="shared" si="170"/>
        <v>5.9003230689525878</v>
      </c>
      <c r="AC290">
        <f t="shared" si="170"/>
        <v>6.0134871587526773</v>
      </c>
      <c r="AD290">
        <f t="shared" si="170"/>
        <v>6.1188476744105031</v>
      </c>
      <c r="AE290">
        <f t="shared" si="170"/>
        <v>6.2319558768591552</v>
      </c>
      <c r="AF290">
        <f t="shared" si="170"/>
        <v>6.3523081926956451</v>
      </c>
      <c r="AG290">
        <f t="shared" si="170"/>
        <v>6.4908368533222776</v>
      </c>
      <c r="AH290">
        <f t="shared" si="170"/>
        <v>6.6759912732005366</v>
      </c>
      <c r="AI290">
        <f t="shared" si="170"/>
        <v>7.157683746696585</v>
      </c>
      <c r="AJ290">
        <f t="shared" si="186"/>
        <v>10.031323612106915</v>
      </c>
      <c r="AK290">
        <f t="shared" si="175"/>
        <v>10.499715259303359</v>
      </c>
      <c r="AL290">
        <f t="shared" si="176"/>
        <v>10.758047250975116</v>
      </c>
      <c r="AM290">
        <f t="shared" si="177"/>
        <v>10.96437910957944</v>
      </c>
      <c r="AN290">
        <f t="shared" si="178"/>
        <v>11.156482727057321</v>
      </c>
      <c r="AO290">
        <f t="shared" si="179"/>
        <v>11.362712686365544</v>
      </c>
      <c r="AP290">
        <f t="shared" si="180"/>
        <v>11.582150823125584</v>
      </c>
      <c r="AQ290">
        <f t="shared" si="181"/>
        <v>11.834729852988803</v>
      </c>
      <c r="AR290">
        <f t="shared" si="182"/>
        <v>12.172321536443993</v>
      </c>
      <c r="AS290">
        <f t="shared" si="183"/>
        <v>13.05059045998439</v>
      </c>
      <c r="AT290">
        <f t="shared" si="184"/>
        <v>18.290092279307313</v>
      </c>
      <c r="AU290">
        <f t="shared" si="187"/>
        <v>-17.672454260136377</v>
      </c>
      <c r="AV290" s="5">
        <f t="shared" si="171"/>
        <v>-7.6411306480294616</v>
      </c>
      <c r="AW290" s="5">
        <f t="shared" si="171"/>
        <v>-7.1727390008330172</v>
      </c>
      <c r="AX290" s="5">
        <f t="shared" si="171"/>
        <v>-6.9144070091612608</v>
      </c>
      <c r="AY290" s="5">
        <f t="shared" si="171"/>
        <v>-6.7080751505569367</v>
      </c>
      <c r="AZ290" s="5">
        <f t="shared" si="171"/>
        <v>-6.5159715330790551</v>
      </c>
      <c r="BA290" s="5">
        <f t="shared" si="171"/>
        <v>-6.3097415737708324</v>
      </c>
      <c r="BB290" s="5">
        <f t="shared" si="171"/>
        <v>-6.0903034370107925</v>
      </c>
      <c r="BC290" s="5">
        <f t="shared" si="171"/>
        <v>-5.837724407147574</v>
      </c>
      <c r="BD290" s="5">
        <f t="shared" si="171"/>
        <v>-5.5001327236923832</v>
      </c>
      <c r="BE290" s="5">
        <f t="shared" si="171"/>
        <v>-4.6218638001519867</v>
      </c>
      <c r="BG290" s="1"/>
      <c r="BH290" s="1">
        <f t="shared" si="199"/>
        <v>10.599999999999978</v>
      </c>
      <c r="BI290" s="8">
        <f t="shared" si="198"/>
        <v>674083066.79999995</v>
      </c>
      <c r="BJ290" s="8">
        <f t="shared" si="189"/>
        <v>674032371.5</v>
      </c>
      <c r="BK290" s="8">
        <f t="shared" si="190"/>
        <v>673543446.29999995</v>
      </c>
      <c r="BL290" s="8">
        <f t="shared" si="191"/>
        <v>673511642.20000005</v>
      </c>
      <c r="BM290" s="8">
        <f t="shared" si="192"/>
        <v>672729151.29999995</v>
      </c>
      <c r="BN290" s="8">
        <f t="shared" si="193"/>
        <v>670614163.5</v>
      </c>
      <c r="BO290" s="8">
        <f t="shared" si="194"/>
        <v>636644689.29999995</v>
      </c>
      <c r="BP290" s="8">
        <f t="shared" si="195"/>
        <v>602278419.39999998</v>
      </c>
      <c r="BQ290" s="8">
        <f t="shared" si="196"/>
        <v>583980660.29999995</v>
      </c>
      <c r="BR290" s="8">
        <f t="shared" si="197"/>
        <v>575394450.29999995</v>
      </c>
      <c r="BS290" s="8">
        <f t="shared" si="188"/>
        <v>6436.8120609000007</v>
      </c>
      <c r="BT290" s="8">
        <f t="shared" si="200"/>
        <v>97.091103900002054</v>
      </c>
      <c r="BU290" s="8"/>
    </row>
    <row r="291" spans="1:73" x14ac:dyDescent="0.35">
      <c r="A291" t="s">
        <v>381</v>
      </c>
      <c r="B291">
        <v>3.0100000000000002</v>
      </c>
      <c r="C291">
        <v>4.24</v>
      </c>
      <c r="D291">
        <v>5.12</v>
      </c>
      <c r="E291">
        <v>6.01</v>
      </c>
      <c r="F291">
        <v>6.97</v>
      </c>
      <c r="G291">
        <v>8.0299999999999994</v>
      </c>
      <c r="H291">
        <v>9.36</v>
      </c>
      <c r="I291">
        <v>11.41</v>
      </c>
      <c r="J291">
        <v>15.02</v>
      </c>
      <c r="K291">
        <v>30.84</v>
      </c>
      <c r="L291">
        <f t="shared" si="172"/>
        <v>22.7</v>
      </c>
      <c r="M291">
        <f t="shared" si="173"/>
        <v>6395713</v>
      </c>
      <c r="N291">
        <f t="shared" si="174"/>
        <v>628.83134867195929</v>
      </c>
      <c r="O291">
        <f t="shared" si="185"/>
        <v>-6.9547120495796744</v>
      </c>
      <c r="P291" s="8">
        <f t="shared" si="169"/>
        <v>189.27823595025976</v>
      </c>
      <c r="Q291" s="8">
        <f t="shared" si="169"/>
        <v>266.62449183691075</v>
      </c>
      <c r="R291" s="8">
        <f t="shared" si="169"/>
        <v>321.96165052004318</v>
      </c>
      <c r="S291" s="8">
        <f t="shared" si="169"/>
        <v>377.9276405518475</v>
      </c>
      <c r="T291" s="8">
        <f t="shared" si="169"/>
        <v>438.2954500243556</v>
      </c>
      <c r="U291" s="8">
        <f t="shared" ref="U291:Y322" si="201">G291*$N291/10</f>
        <v>504.95157298358328</v>
      </c>
      <c r="V291" s="8">
        <f t="shared" si="201"/>
        <v>588.58614235695381</v>
      </c>
      <c r="W291" s="8">
        <f t="shared" si="201"/>
        <v>717.4965688347055</v>
      </c>
      <c r="X291" s="8">
        <f t="shared" si="201"/>
        <v>944.50468570528278</v>
      </c>
      <c r="Y291" s="8">
        <f t="shared" si="201"/>
        <v>1939.3158793043226</v>
      </c>
      <c r="Z291">
        <f t="shared" si="170"/>
        <v>5.2432180803972335</v>
      </c>
      <c r="AA291">
        <f t="shared" si="170"/>
        <v>5.5858412708803158</v>
      </c>
      <c r="AB291">
        <f t="shared" si="170"/>
        <v>5.7744324406878658</v>
      </c>
      <c r="AC291">
        <f t="shared" si="170"/>
        <v>5.9347027501835647</v>
      </c>
      <c r="AD291">
        <f t="shared" si="170"/>
        <v>6.0828932264088813</v>
      </c>
      <c r="AE291">
        <f t="shared" si="170"/>
        <v>6.2244625295951188</v>
      </c>
      <c r="AF291">
        <f t="shared" si="170"/>
        <v>6.3777232921259497</v>
      </c>
      <c r="AG291">
        <f t="shared" si="170"/>
        <v>6.575768165510433</v>
      </c>
      <c r="AH291">
        <f t="shared" si="170"/>
        <v>6.8506606479724379</v>
      </c>
      <c r="AI291">
        <f t="shared" si="170"/>
        <v>7.5700905503315781</v>
      </c>
      <c r="AJ291">
        <f t="shared" si="186"/>
        <v>9.5599490395521158</v>
      </c>
      <c r="AK291">
        <f t="shared" si="175"/>
        <v>10.184653217513539</v>
      </c>
      <c r="AL291">
        <f t="shared" si="176"/>
        <v>10.528511120241305</v>
      </c>
      <c r="AM291">
        <f t="shared" si="177"/>
        <v>10.820731655004193</v>
      </c>
      <c r="AN291">
        <f t="shared" si="178"/>
        <v>11.090927053924862</v>
      </c>
      <c r="AO291">
        <f t="shared" si="179"/>
        <v>11.349050081285721</v>
      </c>
      <c r="AP291">
        <f t="shared" si="180"/>
        <v>11.62849012308666</v>
      </c>
      <c r="AQ291">
        <f t="shared" si="181"/>
        <v>11.989584944638843</v>
      </c>
      <c r="AR291">
        <f t="shared" si="182"/>
        <v>12.49079585812685</v>
      </c>
      <c r="AS291">
        <f t="shared" si="183"/>
        <v>13.802530960238466</v>
      </c>
      <c r="AT291">
        <f t="shared" si="184"/>
        <v>17.430635963917293</v>
      </c>
      <c r="AU291">
        <f t="shared" si="187"/>
        <v>-19.136086157422298</v>
      </c>
      <c r="AV291" s="5">
        <f t="shared" si="171"/>
        <v>-9.5761371178701822</v>
      </c>
      <c r="AW291" s="5">
        <f t="shared" si="171"/>
        <v>-8.9514329399087593</v>
      </c>
      <c r="AX291" s="5">
        <f t="shared" si="171"/>
        <v>-8.6075750371809931</v>
      </c>
      <c r="AY291" s="5">
        <f t="shared" si="171"/>
        <v>-8.3153545024181046</v>
      </c>
      <c r="AZ291" s="5">
        <f t="shared" si="171"/>
        <v>-8.0451591034974363</v>
      </c>
      <c r="BA291" s="5">
        <f t="shared" ref="BA291:BE322" si="202">AO291+$AU291</f>
        <v>-7.7870360761365767</v>
      </c>
      <c r="BB291" s="5">
        <f t="shared" si="202"/>
        <v>-7.5075960343356378</v>
      </c>
      <c r="BC291" s="5">
        <f t="shared" si="202"/>
        <v>-7.1465012127834555</v>
      </c>
      <c r="BD291" s="5">
        <f t="shared" si="202"/>
        <v>-6.6452902992954481</v>
      </c>
      <c r="BE291" s="5">
        <f t="shared" si="202"/>
        <v>-5.3335551971838324</v>
      </c>
      <c r="BG291" s="1"/>
      <c r="BH291" s="1">
        <f t="shared" si="199"/>
        <v>10.699999999999978</v>
      </c>
      <c r="BI291" s="8">
        <f t="shared" si="198"/>
        <v>674083066.79999995</v>
      </c>
      <c r="BJ291" s="8">
        <f t="shared" si="189"/>
        <v>674083066.79999995</v>
      </c>
      <c r="BK291" s="8">
        <f t="shared" si="190"/>
        <v>673543446.29999995</v>
      </c>
      <c r="BL291" s="8">
        <f t="shared" si="191"/>
        <v>673543446.29999995</v>
      </c>
      <c r="BM291" s="8">
        <f t="shared" si="192"/>
        <v>673511642.20000005</v>
      </c>
      <c r="BN291" s="8">
        <f t="shared" si="193"/>
        <v>672554180</v>
      </c>
      <c r="BO291" s="8">
        <f t="shared" si="194"/>
        <v>639681541</v>
      </c>
      <c r="BP291" s="8">
        <f t="shared" si="195"/>
        <v>623708828.29999995</v>
      </c>
      <c r="BQ291" s="8">
        <f t="shared" si="196"/>
        <v>595072875.89999998</v>
      </c>
      <c r="BR291" s="8">
        <f t="shared" si="197"/>
        <v>575527259.79999995</v>
      </c>
      <c r="BS291" s="8">
        <f t="shared" si="188"/>
        <v>6475.3093534</v>
      </c>
      <c r="BT291" s="8">
        <f t="shared" si="200"/>
        <v>38.497292499999276</v>
      </c>
      <c r="BU291" s="8"/>
    </row>
    <row r="292" spans="1:73" x14ac:dyDescent="0.35">
      <c r="A292" t="s">
        <v>226</v>
      </c>
      <c r="B292">
        <v>2.2000000000000002</v>
      </c>
      <c r="C292">
        <v>4.2</v>
      </c>
      <c r="D292">
        <v>5.3</v>
      </c>
      <c r="E292">
        <v>6.4</v>
      </c>
      <c r="F292">
        <v>7.6000000000000005</v>
      </c>
      <c r="G292">
        <v>9.1</v>
      </c>
      <c r="H292">
        <v>10.6</v>
      </c>
      <c r="I292">
        <v>12.700000000000001</v>
      </c>
      <c r="J292">
        <v>15.6</v>
      </c>
      <c r="K292">
        <v>26.3</v>
      </c>
      <c r="L292">
        <f t="shared" si="172"/>
        <v>5.6</v>
      </c>
      <c r="M292">
        <f t="shared" si="173"/>
        <v>2239008</v>
      </c>
      <c r="N292">
        <f t="shared" si="174"/>
        <v>6923.8888741529627</v>
      </c>
      <c r="O292">
        <f t="shared" si="185"/>
        <v>-2.8285066544390141</v>
      </c>
      <c r="P292" s="8">
        <f t="shared" ref="P292:Y323" si="203">B292*$N292/10</f>
        <v>1523.2555523136521</v>
      </c>
      <c r="Q292" s="8">
        <f t="shared" si="203"/>
        <v>2908.0333271442441</v>
      </c>
      <c r="R292" s="8">
        <f t="shared" si="203"/>
        <v>3669.6611033010704</v>
      </c>
      <c r="S292" s="8">
        <f t="shared" si="203"/>
        <v>4431.2888794578957</v>
      </c>
      <c r="T292" s="8">
        <f t="shared" si="203"/>
        <v>5262.155544356252</v>
      </c>
      <c r="U292" s="8">
        <f t="shared" si="201"/>
        <v>6300.7388754791955</v>
      </c>
      <c r="V292" s="8">
        <f t="shared" si="201"/>
        <v>7339.3222066021408</v>
      </c>
      <c r="W292" s="8">
        <f t="shared" si="201"/>
        <v>8793.3388701742624</v>
      </c>
      <c r="X292" s="8">
        <f t="shared" si="201"/>
        <v>10801.26664367862</v>
      </c>
      <c r="Y292" s="8">
        <f t="shared" si="201"/>
        <v>18209.82773902229</v>
      </c>
      <c r="Z292">
        <f t="shared" si="170"/>
        <v>7.3286051341662093</v>
      </c>
      <c r="AA292">
        <f t="shared" si="170"/>
        <v>7.9752322990912621</v>
      </c>
      <c r="AB292">
        <f t="shared" si="170"/>
        <v>8.2078545943600147</v>
      </c>
      <c r="AC292">
        <f t="shared" si="170"/>
        <v>8.3964457641675647</v>
      </c>
      <c r="AD292">
        <f t="shared" si="170"/>
        <v>8.5682960210942252</v>
      </c>
      <c r="AE292">
        <f t="shared" si="170"/>
        <v>8.7484221873247439</v>
      </c>
      <c r="AF292">
        <f t="shared" si="170"/>
        <v>8.9010017749199601</v>
      </c>
      <c r="AG292">
        <f t="shared" si="170"/>
        <v>9.0817497672664853</v>
      </c>
      <c r="AH292">
        <f t="shared" si="170"/>
        <v>9.2874186880574303</v>
      </c>
      <c r="AI292">
        <f t="shared" si="170"/>
        <v>9.8097167129856579</v>
      </c>
      <c r="AJ292">
        <f t="shared" si="186"/>
        <v>13.362231083914981</v>
      </c>
      <c r="AK292">
        <f t="shared" si="175"/>
        <v>14.5412251004685</v>
      </c>
      <c r="AL292">
        <f t="shared" si="176"/>
        <v>14.965364866187427</v>
      </c>
      <c r="AM292">
        <f t="shared" si="177"/>
        <v>15.309222768915193</v>
      </c>
      <c r="AN292">
        <f t="shared" si="178"/>
        <v>15.62255699866906</v>
      </c>
      <c r="AO292">
        <f t="shared" si="179"/>
        <v>15.950980677304832</v>
      </c>
      <c r="AP292">
        <f t="shared" si="180"/>
        <v>16.229178734208013</v>
      </c>
      <c r="AQ292">
        <f t="shared" si="181"/>
        <v>16.55873618715745</v>
      </c>
      <c r="AR292">
        <f t="shared" si="182"/>
        <v>16.933731919097738</v>
      </c>
      <c r="AS292">
        <f t="shared" si="183"/>
        <v>17.886036863353326</v>
      </c>
      <c r="AT292">
        <f t="shared" si="184"/>
        <v>24.363329210840018</v>
      </c>
      <c r="AU292">
        <f t="shared" si="187"/>
        <v>-19.31395767719313</v>
      </c>
      <c r="AV292" s="5">
        <f t="shared" ref="AV292:BE323" si="204">AJ292+$AU292</f>
        <v>-5.9517265932781491</v>
      </c>
      <c r="AW292" s="5">
        <f t="shared" si="204"/>
        <v>-4.7727325767246302</v>
      </c>
      <c r="AX292" s="5">
        <f t="shared" si="204"/>
        <v>-4.3485928110057035</v>
      </c>
      <c r="AY292" s="5">
        <f t="shared" si="204"/>
        <v>-4.0047349082779373</v>
      </c>
      <c r="AZ292" s="5">
        <f t="shared" si="204"/>
        <v>-3.6914006785240705</v>
      </c>
      <c r="BA292" s="5">
        <f t="shared" si="202"/>
        <v>-3.3629769998882981</v>
      </c>
      <c r="BB292" s="5">
        <f t="shared" si="202"/>
        <v>-3.0847789429851176</v>
      </c>
      <c r="BC292" s="5">
        <f t="shared" si="202"/>
        <v>-2.7552214900356802</v>
      </c>
      <c r="BD292" s="5">
        <f t="shared" si="202"/>
        <v>-2.3802257580953921</v>
      </c>
      <c r="BE292" s="5">
        <f t="shared" si="202"/>
        <v>-1.4279208138398047</v>
      </c>
      <c r="BG292" s="1"/>
      <c r="BH292" s="1">
        <f t="shared" si="199"/>
        <v>10.799999999999978</v>
      </c>
      <c r="BI292" s="8">
        <f t="shared" si="198"/>
        <v>674083066.79999995</v>
      </c>
      <c r="BJ292" s="8">
        <f t="shared" si="189"/>
        <v>674083066.79999995</v>
      </c>
      <c r="BK292" s="8">
        <f t="shared" si="190"/>
        <v>674032371.5</v>
      </c>
      <c r="BL292" s="8">
        <f t="shared" si="191"/>
        <v>673543446.29999995</v>
      </c>
      <c r="BM292" s="8">
        <f t="shared" si="192"/>
        <v>673543446.29999995</v>
      </c>
      <c r="BN292" s="8">
        <f t="shared" si="193"/>
        <v>672729151.29999995</v>
      </c>
      <c r="BO292" s="8">
        <f t="shared" si="194"/>
        <v>672554180</v>
      </c>
      <c r="BP292" s="8">
        <f t="shared" si="195"/>
        <v>638020001.60000002</v>
      </c>
      <c r="BQ292" s="8">
        <f t="shared" si="196"/>
        <v>602278419.39999998</v>
      </c>
      <c r="BR292" s="8">
        <f t="shared" si="197"/>
        <v>576701362.89999998</v>
      </c>
      <c r="BS292" s="8">
        <f t="shared" si="188"/>
        <v>6531.5685128999994</v>
      </c>
      <c r="BT292" s="8">
        <f t="shared" si="200"/>
        <v>56.259159499999441</v>
      </c>
      <c r="BU292" s="8"/>
    </row>
    <row r="293" spans="1:73" x14ac:dyDescent="0.35">
      <c r="A293" t="s">
        <v>382</v>
      </c>
      <c r="B293">
        <v>2.56</v>
      </c>
      <c r="C293">
        <v>3.86</v>
      </c>
      <c r="D293">
        <v>4.91</v>
      </c>
      <c r="E293">
        <v>6.07</v>
      </c>
      <c r="F293">
        <v>7.29</v>
      </c>
      <c r="G293">
        <v>8.5400000000000009</v>
      </c>
      <c r="H293">
        <v>9.9500000000000011</v>
      </c>
      <c r="I293">
        <v>12.3</v>
      </c>
      <c r="J293">
        <v>15.67</v>
      </c>
      <c r="K293">
        <v>28.86</v>
      </c>
      <c r="L293">
        <f t="shared" si="172"/>
        <v>16.399999999999999</v>
      </c>
      <c r="M293">
        <f t="shared" si="173"/>
        <v>4341092</v>
      </c>
      <c r="N293">
        <f t="shared" si="174"/>
        <v>7083.864798023691</v>
      </c>
      <c r="O293">
        <f t="shared" si="185"/>
        <v>-0.1960683742437368</v>
      </c>
      <c r="P293" s="8">
        <f t="shared" si="203"/>
        <v>1813.4693882940651</v>
      </c>
      <c r="Q293" s="8">
        <f t="shared" si="203"/>
        <v>2734.3718120371445</v>
      </c>
      <c r="R293" s="8">
        <f t="shared" si="203"/>
        <v>3478.177615829632</v>
      </c>
      <c r="S293" s="8">
        <f t="shared" si="203"/>
        <v>4299.9059324003811</v>
      </c>
      <c r="T293" s="8">
        <f t="shared" si="203"/>
        <v>5164.1374377592711</v>
      </c>
      <c r="U293" s="8">
        <f t="shared" si="201"/>
        <v>6049.6205375122327</v>
      </c>
      <c r="V293" s="8">
        <f t="shared" si="201"/>
        <v>7048.4454740335732</v>
      </c>
      <c r="W293" s="8">
        <f t="shared" si="201"/>
        <v>8713.1537015691392</v>
      </c>
      <c r="X293" s="8">
        <f t="shared" si="201"/>
        <v>11100.416138503124</v>
      </c>
      <c r="Y293" s="8">
        <f t="shared" si="201"/>
        <v>20444.03380709637</v>
      </c>
      <c r="Z293">
        <f t="shared" si="170"/>
        <v>7.502997078676473</v>
      </c>
      <c r="AA293">
        <f t="shared" si="170"/>
        <v>7.9136570036617409</v>
      </c>
      <c r="AB293">
        <f t="shared" si="170"/>
        <v>8.1542637619914302</v>
      </c>
      <c r="AC293">
        <f t="shared" si="170"/>
        <v>8.3663484252564082</v>
      </c>
      <c r="AD293">
        <f t="shared" si="170"/>
        <v>8.549493366205569</v>
      </c>
      <c r="AE293">
        <f t="shared" si="170"/>
        <v>8.7077508279854801</v>
      </c>
      <c r="AF293">
        <f t="shared" si="170"/>
        <v>8.8605623713555026</v>
      </c>
      <c r="AG293">
        <f t="shared" si="170"/>
        <v>9.0725890825633737</v>
      </c>
      <c r="AH293">
        <f t="shared" si="170"/>
        <v>9.3147378765529307</v>
      </c>
      <c r="AI293">
        <f t="shared" si="170"/>
        <v>9.9254463735307255</v>
      </c>
      <c r="AJ293">
        <f t="shared" si="186"/>
        <v>13.680199567556656</v>
      </c>
      <c r="AK293">
        <f t="shared" si="175"/>
        <v>14.428954987462445</v>
      </c>
      <c r="AL293">
        <f t="shared" si="176"/>
        <v>14.867652808711451</v>
      </c>
      <c r="AM293">
        <f t="shared" si="177"/>
        <v>15.25434635107316</v>
      </c>
      <c r="AN293">
        <f t="shared" si="178"/>
        <v>15.588274155615883</v>
      </c>
      <c r="AO293">
        <f t="shared" si="179"/>
        <v>15.87682466916427</v>
      </c>
      <c r="AP293">
        <f t="shared" si="180"/>
        <v>16.155445650567746</v>
      </c>
      <c r="AQ293">
        <f t="shared" si="181"/>
        <v>16.542033529059633</v>
      </c>
      <c r="AR293">
        <f t="shared" si="182"/>
        <v>16.983542940843208</v>
      </c>
      <c r="AS293">
        <f t="shared" si="183"/>
        <v>18.097046521965826</v>
      </c>
      <c r="AT293">
        <f t="shared" si="184"/>
        <v>24.943080511126915</v>
      </c>
      <c r="AU293">
        <f t="shared" si="187"/>
        <v>-16.776053507660087</v>
      </c>
      <c r="AV293" s="5">
        <f t="shared" si="204"/>
        <v>-3.0958539401034315</v>
      </c>
      <c r="AW293" s="5">
        <f t="shared" si="204"/>
        <v>-2.3470985201976422</v>
      </c>
      <c r="AX293" s="5">
        <f t="shared" si="204"/>
        <v>-1.9084006989486362</v>
      </c>
      <c r="AY293" s="5">
        <f t="shared" si="204"/>
        <v>-1.5217071565869276</v>
      </c>
      <c r="AZ293" s="5">
        <f t="shared" si="204"/>
        <v>-1.1877793520442044</v>
      </c>
      <c r="BA293" s="5">
        <f t="shared" si="202"/>
        <v>-0.89922883849581758</v>
      </c>
      <c r="BB293" s="5">
        <f t="shared" si="202"/>
        <v>-0.62060785709234167</v>
      </c>
      <c r="BC293" s="5">
        <f t="shared" si="202"/>
        <v>-0.23401997860045398</v>
      </c>
      <c r="BD293" s="5">
        <f t="shared" si="202"/>
        <v>0.2074894331831203</v>
      </c>
      <c r="BE293" s="5">
        <f t="shared" si="202"/>
        <v>1.3209930143057385</v>
      </c>
      <c r="BG293" s="1"/>
      <c r="BH293" s="1">
        <f t="shared" si="199"/>
        <v>10.899999999999977</v>
      </c>
      <c r="BI293" s="8">
        <f t="shared" si="198"/>
        <v>674083066.79999995</v>
      </c>
      <c r="BJ293" s="8">
        <f t="shared" si="189"/>
        <v>674083066.79999995</v>
      </c>
      <c r="BK293" s="8">
        <f t="shared" si="190"/>
        <v>674083066.79999995</v>
      </c>
      <c r="BL293" s="8">
        <f t="shared" si="191"/>
        <v>674032371.5</v>
      </c>
      <c r="BM293" s="8">
        <f t="shared" si="192"/>
        <v>673543446.29999995</v>
      </c>
      <c r="BN293" s="8">
        <f t="shared" si="193"/>
        <v>673543446.29999995</v>
      </c>
      <c r="BO293" s="8">
        <f t="shared" si="194"/>
        <v>672554180</v>
      </c>
      <c r="BP293" s="8">
        <f t="shared" si="195"/>
        <v>640619353.60000002</v>
      </c>
      <c r="BQ293" s="8">
        <f t="shared" si="196"/>
        <v>624827052.10000002</v>
      </c>
      <c r="BR293" s="8">
        <f t="shared" si="197"/>
        <v>582782090.10000002</v>
      </c>
      <c r="BS293" s="8">
        <f t="shared" si="188"/>
        <v>6564.1511403000013</v>
      </c>
      <c r="BT293" s="8">
        <f t="shared" si="200"/>
        <v>32.582627400001911</v>
      </c>
      <c r="BU293" s="8"/>
    </row>
    <row r="294" spans="1:73" x14ac:dyDescent="0.35">
      <c r="A294" t="s">
        <v>383</v>
      </c>
      <c r="B294">
        <v>0.9</v>
      </c>
      <c r="C294">
        <v>1.94</v>
      </c>
      <c r="D294">
        <v>2.84</v>
      </c>
      <c r="E294">
        <v>3.95</v>
      </c>
      <c r="F294">
        <v>5.15</v>
      </c>
      <c r="G294">
        <v>6.73</v>
      </c>
      <c r="H294">
        <v>8.7000000000000011</v>
      </c>
      <c r="I294">
        <v>11.58</v>
      </c>
      <c r="J294">
        <v>17.330000000000002</v>
      </c>
      <c r="K294">
        <v>40.880000000000003</v>
      </c>
      <c r="L294">
        <f t="shared" si="172"/>
        <v>11.8</v>
      </c>
      <c r="M294">
        <f t="shared" si="173"/>
        <v>2008921</v>
      </c>
      <c r="N294">
        <f t="shared" si="174"/>
        <v>870.88945319002903</v>
      </c>
      <c r="O294">
        <f t="shared" si="185"/>
        <v>-2.3069450117831236</v>
      </c>
      <c r="P294" s="8">
        <f t="shared" si="203"/>
        <v>78.380050787102618</v>
      </c>
      <c r="Q294" s="8">
        <f t="shared" si="203"/>
        <v>168.95255391886562</v>
      </c>
      <c r="R294" s="8">
        <f t="shared" si="203"/>
        <v>247.33260470596824</v>
      </c>
      <c r="S294" s="8">
        <f t="shared" si="203"/>
        <v>344.00133401006144</v>
      </c>
      <c r="T294" s="8">
        <f t="shared" si="203"/>
        <v>448.50806839286497</v>
      </c>
      <c r="U294" s="8">
        <f t="shared" si="201"/>
        <v>586.10860199688955</v>
      </c>
      <c r="V294" s="8">
        <f t="shared" si="201"/>
        <v>757.67382427532539</v>
      </c>
      <c r="W294" s="8">
        <f t="shared" si="201"/>
        <v>1008.4899867940536</v>
      </c>
      <c r="X294" s="8">
        <f t="shared" si="201"/>
        <v>1509.2514223783205</v>
      </c>
      <c r="Y294" s="8">
        <f t="shared" si="201"/>
        <v>3560.1960846408388</v>
      </c>
      <c r="Z294">
        <f t="shared" si="170"/>
        <v>4.3615694407312473</v>
      </c>
      <c r="AA294">
        <f t="shared" si="170"/>
        <v>5.1296179294643105</v>
      </c>
      <c r="AB294">
        <f t="shared" si="170"/>
        <v>5.5107340085621885</v>
      </c>
      <c r="AC294">
        <f t="shared" si="170"/>
        <v>5.8406455353021043</v>
      </c>
      <c r="AD294">
        <f t="shared" si="170"/>
        <v>6.1059266710647186</v>
      </c>
      <c r="AE294">
        <f t="shared" si="170"/>
        <v>6.3735051000457101</v>
      </c>
      <c r="AF294">
        <f t="shared" si="170"/>
        <v>6.6302529820496119</v>
      </c>
      <c r="AG294">
        <f t="shared" si="170"/>
        <v>6.9162094285339233</v>
      </c>
      <c r="AH294">
        <f t="shared" si="170"/>
        <v>7.3193690601165891</v>
      </c>
      <c r="AI294">
        <f t="shared" si="170"/>
        <v>8.1775709022845238</v>
      </c>
      <c r="AJ294">
        <f t="shared" si="186"/>
        <v>7.9524408381464022</v>
      </c>
      <c r="AK294">
        <f t="shared" si="175"/>
        <v>9.352822111556419</v>
      </c>
      <c r="AL294">
        <f t="shared" si="176"/>
        <v>10.047710296343421</v>
      </c>
      <c r="AM294">
        <f t="shared" si="177"/>
        <v>10.649237323225258</v>
      </c>
      <c r="AN294">
        <f t="shared" si="178"/>
        <v>11.13292388749896</v>
      </c>
      <c r="AO294">
        <f t="shared" si="179"/>
        <v>11.620799101903144</v>
      </c>
      <c r="AP294">
        <f t="shared" si="180"/>
        <v>12.088927001665095</v>
      </c>
      <c r="AQ294">
        <f t="shared" si="181"/>
        <v>12.610310818627045</v>
      </c>
      <c r="AR294">
        <f t="shared" si="182"/>
        <v>13.345390968572458</v>
      </c>
      <c r="AS294">
        <f t="shared" si="183"/>
        <v>14.910148670993568</v>
      </c>
      <c r="AT294">
        <f t="shared" si="184"/>
        <v>14.499669475310659</v>
      </c>
      <c r="AU294">
        <f t="shared" si="187"/>
        <v>-15.541422608236118</v>
      </c>
      <c r="AV294" s="5">
        <f t="shared" si="204"/>
        <v>-7.588981770089716</v>
      </c>
      <c r="AW294" s="5">
        <f t="shared" si="204"/>
        <v>-6.1886004966796992</v>
      </c>
      <c r="AX294" s="5">
        <f t="shared" si="204"/>
        <v>-5.4937123118926969</v>
      </c>
      <c r="AY294" s="5">
        <f t="shared" si="204"/>
        <v>-4.8921852850108607</v>
      </c>
      <c r="AZ294" s="5">
        <f t="shared" si="204"/>
        <v>-4.4084987207371586</v>
      </c>
      <c r="BA294" s="5">
        <f t="shared" si="202"/>
        <v>-3.9206235063329746</v>
      </c>
      <c r="BB294" s="5">
        <f t="shared" si="202"/>
        <v>-3.4524956065710235</v>
      </c>
      <c r="BC294" s="5">
        <f t="shared" si="202"/>
        <v>-2.9311117896090728</v>
      </c>
      <c r="BD294" s="5">
        <f t="shared" si="202"/>
        <v>-2.1960316396636603</v>
      </c>
      <c r="BE294" s="5">
        <f t="shared" si="202"/>
        <v>-0.63127393724255043</v>
      </c>
      <c r="BG294" s="1"/>
      <c r="BH294" s="1">
        <f t="shared" si="199"/>
        <v>10.999999999999977</v>
      </c>
      <c r="BI294" s="8">
        <f t="shared" si="198"/>
        <v>674083066.79999995</v>
      </c>
      <c r="BJ294" s="8">
        <f t="shared" si="189"/>
        <v>674083066.79999995</v>
      </c>
      <c r="BK294" s="8">
        <f t="shared" si="190"/>
        <v>674083066.79999995</v>
      </c>
      <c r="BL294" s="8">
        <f t="shared" si="191"/>
        <v>674083066.79999995</v>
      </c>
      <c r="BM294" s="8">
        <f t="shared" si="192"/>
        <v>674032371.5</v>
      </c>
      <c r="BN294" s="8">
        <f t="shared" si="193"/>
        <v>673543446.29999995</v>
      </c>
      <c r="BO294" s="8">
        <f t="shared" si="194"/>
        <v>673543446.29999995</v>
      </c>
      <c r="BP294" s="8">
        <f t="shared" si="195"/>
        <v>672554180</v>
      </c>
      <c r="BQ294" s="8">
        <f t="shared" si="196"/>
        <v>639681541</v>
      </c>
      <c r="BR294" s="8">
        <f t="shared" si="197"/>
        <v>583572489.70000005</v>
      </c>
      <c r="BS294" s="8">
        <f t="shared" si="188"/>
        <v>6613.2597420000002</v>
      </c>
      <c r="BT294" s="8">
        <f t="shared" si="200"/>
        <v>49.108601699998871</v>
      </c>
      <c r="BU294" s="8"/>
    </row>
    <row r="295" spans="1:73" x14ac:dyDescent="0.35">
      <c r="A295" t="s">
        <v>384</v>
      </c>
      <c r="B295">
        <v>2.37</v>
      </c>
      <c r="C295">
        <v>4.13</v>
      </c>
      <c r="D295">
        <v>5.37</v>
      </c>
      <c r="E295">
        <v>6.4</v>
      </c>
      <c r="F295">
        <v>7.5200000000000005</v>
      </c>
      <c r="G295">
        <v>8.66</v>
      </c>
      <c r="H295">
        <v>10.01</v>
      </c>
      <c r="I295">
        <v>12.05</v>
      </c>
      <c r="J295">
        <v>15.200000000000001</v>
      </c>
      <c r="K295">
        <v>28.29</v>
      </c>
      <c r="L295">
        <f t="shared" si="172"/>
        <v>25.3</v>
      </c>
      <c r="M295">
        <f t="shared" si="173"/>
        <v>3957990</v>
      </c>
      <c r="N295">
        <f t="shared" si="174"/>
        <v>242.61193287110416</v>
      </c>
      <c r="O295">
        <f t="shared" si="185"/>
        <v>-9.6582316241430934</v>
      </c>
      <c r="P295" s="8">
        <f t="shared" si="203"/>
        <v>57.499028090451688</v>
      </c>
      <c r="Q295" s="8">
        <f t="shared" si="203"/>
        <v>100.19872827576602</v>
      </c>
      <c r="R295" s="8">
        <f t="shared" si="203"/>
        <v>130.28260795178295</v>
      </c>
      <c r="S295" s="8">
        <f t="shared" si="203"/>
        <v>155.27163703750665</v>
      </c>
      <c r="T295" s="8">
        <f t="shared" si="203"/>
        <v>182.44417351907035</v>
      </c>
      <c r="U295" s="8">
        <f t="shared" si="201"/>
        <v>210.10193386637621</v>
      </c>
      <c r="V295" s="8">
        <f t="shared" si="201"/>
        <v>242.85454480397524</v>
      </c>
      <c r="W295" s="8">
        <f t="shared" si="201"/>
        <v>292.3473791096805</v>
      </c>
      <c r="X295" s="8">
        <f t="shared" si="201"/>
        <v>368.77013796407834</v>
      </c>
      <c r="Y295" s="8">
        <f t="shared" si="201"/>
        <v>686.3491580923536</v>
      </c>
      <c r="Z295">
        <f t="shared" si="170"/>
        <v>4.0517680448856979</v>
      </c>
      <c r="AA295">
        <f t="shared" si="170"/>
        <v>4.6071554967115995</v>
      </c>
      <c r="AB295">
        <f t="shared" si="170"/>
        <v>4.8697059982594313</v>
      </c>
      <c r="AC295">
        <f t="shared" si="170"/>
        <v>5.0451760801042846</v>
      </c>
      <c r="AD295">
        <f t="shared" si="170"/>
        <v>5.2064442277004064</v>
      </c>
      <c r="AE295">
        <f t="shared" si="170"/>
        <v>5.3475928123130023</v>
      </c>
      <c r="AF295">
        <f t="shared" si="170"/>
        <v>5.4924626830657877</v>
      </c>
      <c r="AG295">
        <f t="shared" si="170"/>
        <v>5.6779427496753225</v>
      </c>
      <c r="AH295">
        <f t="shared" si="170"/>
        <v>5.9101735175908887</v>
      </c>
      <c r="AI295">
        <f t="shared" si="170"/>
        <v>6.531386475052134</v>
      </c>
      <c r="AJ295">
        <f t="shared" si="186"/>
        <v>7.3875805727040031</v>
      </c>
      <c r="AK295">
        <f t="shared" si="175"/>
        <v>8.4002174028432659</v>
      </c>
      <c r="AL295">
        <f t="shared" si="176"/>
        <v>8.8789252072144258</v>
      </c>
      <c r="AM295">
        <f t="shared" si="177"/>
        <v>9.1988594565019817</v>
      </c>
      <c r="AN295">
        <f t="shared" si="178"/>
        <v>9.4928993474776959</v>
      </c>
      <c r="AO295">
        <f t="shared" si="179"/>
        <v>9.7502552795046729</v>
      </c>
      <c r="AP295">
        <f t="shared" si="180"/>
        <v>10.014396225108484</v>
      </c>
      <c r="AQ295">
        <f t="shared" si="181"/>
        <v>10.352581659597517</v>
      </c>
      <c r="AR295">
        <f t="shared" si="182"/>
        <v>10.776007554276433</v>
      </c>
      <c r="AS295">
        <f t="shared" si="183"/>
        <v>11.908663897189607</v>
      </c>
      <c r="AT295">
        <f t="shared" si="184"/>
        <v>13.469760883050064</v>
      </c>
      <c r="AU295">
        <f t="shared" si="187"/>
        <v>-20.06085100631239</v>
      </c>
      <c r="AV295" s="5">
        <f t="shared" si="204"/>
        <v>-12.673270433608387</v>
      </c>
      <c r="AW295" s="5">
        <f t="shared" si="204"/>
        <v>-11.660633603469124</v>
      </c>
      <c r="AX295" s="5">
        <f t="shared" si="204"/>
        <v>-11.181925799097964</v>
      </c>
      <c r="AY295" s="5">
        <f t="shared" si="204"/>
        <v>-10.861991549810408</v>
      </c>
      <c r="AZ295" s="5">
        <f t="shared" si="204"/>
        <v>-10.567951658834694</v>
      </c>
      <c r="BA295" s="5">
        <f t="shared" si="202"/>
        <v>-10.310595726807717</v>
      </c>
      <c r="BB295" s="5">
        <f t="shared" si="202"/>
        <v>-10.046454781203906</v>
      </c>
      <c r="BC295" s="5">
        <f t="shared" si="202"/>
        <v>-9.7082693467148733</v>
      </c>
      <c r="BD295" s="5">
        <f t="shared" si="202"/>
        <v>-9.2848434520359575</v>
      </c>
      <c r="BE295" s="5">
        <f t="shared" si="202"/>
        <v>-8.1521871091227833</v>
      </c>
      <c r="BG295" s="1"/>
      <c r="BH295" s="1">
        <f t="shared" si="199"/>
        <v>11.099999999999977</v>
      </c>
      <c r="BI295" s="8">
        <f t="shared" si="198"/>
        <v>674083066.79999995</v>
      </c>
      <c r="BJ295" s="8">
        <f t="shared" si="189"/>
        <v>674083066.79999995</v>
      </c>
      <c r="BK295" s="8">
        <f t="shared" si="190"/>
        <v>674083066.79999995</v>
      </c>
      <c r="BL295" s="8">
        <f t="shared" si="191"/>
        <v>674083066.79999995</v>
      </c>
      <c r="BM295" s="8">
        <f t="shared" si="192"/>
        <v>674032371.5</v>
      </c>
      <c r="BN295" s="8">
        <f t="shared" si="193"/>
        <v>674032371.5</v>
      </c>
      <c r="BO295" s="8">
        <f t="shared" si="194"/>
        <v>673543446.29999995</v>
      </c>
      <c r="BP295" s="8">
        <f t="shared" si="195"/>
        <v>673368475</v>
      </c>
      <c r="BQ295" s="8">
        <f t="shared" si="196"/>
        <v>641174121.89999998</v>
      </c>
      <c r="BR295" s="8">
        <f t="shared" si="197"/>
        <v>600960682.5</v>
      </c>
      <c r="BS295" s="8">
        <f t="shared" si="188"/>
        <v>6633.4437358999994</v>
      </c>
      <c r="BT295" s="8">
        <f t="shared" si="200"/>
        <v>20.183993899999223</v>
      </c>
      <c r="BU295" s="8"/>
    </row>
    <row r="296" spans="1:73" x14ac:dyDescent="0.35">
      <c r="A296" t="s">
        <v>227</v>
      </c>
      <c r="B296">
        <v>2.2000000000000002</v>
      </c>
      <c r="C296">
        <v>3.8000000000000003</v>
      </c>
      <c r="D296">
        <v>5.3</v>
      </c>
      <c r="E296">
        <v>6.1000000000000005</v>
      </c>
      <c r="F296">
        <v>7.2</v>
      </c>
      <c r="G296">
        <v>8.6</v>
      </c>
      <c r="H296">
        <v>10.4</v>
      </c>
      <c r="I296">
        <v>12.1</v>
      </c>
      <c r="J296">
        <v>15.6</v>
      </c>
      <c r="K296">
        <v>28.8</v>
      </c>
      <c r="L296">
        <f t="shared" si="172"/>
        <v>6.2</v>
      </c>
      <c r="M296">
        <f t="shared" si="173"/>
        <v>3286820</v>
      </c>
      <c r="N296">
        <f t="shared" si="174"/>
        <v>8320.1703793334709</v>
      </c>
      <c r="O296">
        <f t="shared" si="185"/>
        <v>-2.7167137507978367</v>
      </c>
      <c r="P296" s="8">
        <f t="shared" si="203"/>
        <v>1830.4374834533639</v>
      </c>
      <c r="Q296" s="8">
        <f t="shared" si="203"/>
        <v>3161.6647441467189</v>
      </c>
      <c r="R296" s="8">
        <f t="shared" si="203"/>
        <v>4409.6903010467395</v>
      </c>
      <c r="S296" s="8">
        <f t="shared" si="203"/>
        <v>5075.3039313934178</v>
      </c>
      <c r="T296" s="8">
        <f t="shared" si="203"/>
        <v>5990.5226731200992</v>
      </c>
      <c r="U296" s="8">
        <f t="shared" si="201"/>
        <v>7155.3465262267837</v>
      </c>
      <c r="V296" s="8">
        <f t="shared" si="201"/>
        <v>8652.9771945068096</v>
      </c>
      <c r="W296" s="8">
        <f t="shared" si="201"/>
        <v>10067.406158993499</v>
      </c>
      <c r="X296" s="8">
        <f t="shared" si="201"/>
        <v>12979.465791760214</v>
      </c>
      <c r="Y296" s="8">
        <f t="shared" si="201"/>
        <v>23962.090692480397</v>
      </c>
      <c r="Z296">
        <f t="shared" si="170"/>
        <v>7.512310279261075</v>
      </c>
      <c r="AA296">
        <f t="shared" si="170"/>
        <v>8.0588539856291437</v>
      </c>
      <c r="AB296">
        <f t="shared" si="170"/>
        <v>8.3915597394548804</v>
      </c>
      <c r="AC296">
        <f t="shared" si="170"/>
        <v>8.5321416900760703</v>
      </c>
      <c r="AD296">
        <f t="shared" si="170"/>
        <v>8.6979339449188142</v>
      </c>
      <c r="AE296">
        <f t="shared" si="170"/>
        <v>8.8756151221562654</v>
      </c>
      <c r="AF296">
        <f t="shared" si="170"/>
        <v>9.0656587250441305</v>
      </c>
      <c r="AG296">
        <f t="shared" si="170"/>
        <v>9.2170583714994994</v>
      </c>
      <c r="AH296">
        <f t="shared" si="170"/>
        <v>9.471123833152296</v>
      </c>
      <c r="AI296">
        <f t="shared" si="170"/>
        <v>10.084228306038705</v>
      </c>
      <c r="AJ296">
        <f t="shared" si="186"/>
        <v>13.69718030755616</v>
      </c>
      <c r="AK296">
        <f t="shared" si="175"/>
        <v>14.693692354289647</v>
      </c>
      <c r="AL296">
        <f t="shared" si="176"/>
        <v>15.300314089828605</v>
      </c>
      <c r="AM296">
        <f t="shared" si="177"/>
        <v>15.55663687923232</v>
      </c>
      <c r="AN296">
        <f t="shared" si="178"/>
        <v>15.858925565902585</v>
      </c>
      <c r="AO296">
        <f t="shared" si="179"/>
        <v>16.182891300997277</v>
      </c>
      <c r="AP296">
        <f t="shared" si="180"/>
        <v>16.529397422055514</v>
      </c>
      <c r="AQ296">
        <f t="shared" si="181"/>
        <v>16.805444094638293</v>
      </c>
      <c r="AR296">
        <f t="shared" si="182"/>
        <v>17.268681142738917</v>
      </c>
      <c r="AS296">
        <f t="shared" si="183"/>
        <v>18.38655330194376</v>
      </c>
      <c r="AT296">
        <f t="shared" si="184"/>
        <v>24.974041460406532</v>
      </c>
      <c r="AU296">
        <f t="shared" si="187"/>
        <v>-19.594734471902893</v>
      </c>
      <c r="AV296" s="5">
        <f t="shared" si="204"/>
        <v>-5.8975541643467331</v>
      </c>
      <c r="AW296" s="5">
        <f t="shared" si="204"/>
        <v>-4.9010421176132457</v>
      </c>
      <c r="AX296" s="5">
        <f t="shared" si="204"/>
        <v>-4.2944203820742874</v>
      </c>
      <c r="AY296" s="5">
        <f t="shared" si="204"/>
        <v>-4.0380975926705727</v>
      </c>
      <c r="AZ296" s="5">
        <f t="shared" si="204"/>
        <v>-3.7358089060003081</v>
      </c>
      <c r="BA296" s="5">
        <f t="shared" si="202"/>
        <v>-3.4118431709056161</v>
      </c>
      <c r="BB296" s="5">
        <f t="shared" si="202"/>
        <v>-3.0653370498473791</v>
      </c>
      <c r="BC296" s="5">
        <f t="shared" si="202"/>
        <v>-2.7892903772645994</v>
      </c>
      <c r="BD296" s="5">
        <f t="shared" si="202"/>
        <v>-2.326053329163976</v>
      </c>
      <c r="BE296" s="5">
        <f t="shared" si="202"/>
        <v>-1.2081811699591327</v>
      </c>
      <c r="BG296" s="1"/>
      <c r="BH296" s="1">
        <f t="shared" si="199"/>
        <v>11.199999999999976</v>
      </c>
      <c r="BI296" s="8">
        <f t="shared" si="198"/>
        <v>674083066.79999995</v>
      </c>
      <c r="BJ296" s="8">
        <f t="shared" si="189"/>
        <v>674083066.79999995</v>
      </c>
      <c r="BK296" s="8">
        <f t="shared" si="190"/>
        <v>674083066.79999995</v>
      </c>
      <c r="BL296" s="8">
        <f t="shared" si="191"/>
        <v>674083066.79999995</v>
      </c>
      <c r="BM296" s="8">
        <f t="shared" si="192"/>
        <v>674083066.79999995</v>
      </c>
      <c r="BN296" s="8">
        <f t="shared" si="193"/>
        <v>674032371.5</v>
      </c>
      <c r="BO296" s="8">
        <f t="shared" si="194"/>
        <v>674032371.5</v>
      </c>
      <c r="BP296" s="8">
        <f t="shared" si="195"/>
        <v>673543446.29999995</v>
      </c>
      <c r="BQ296" s="8">
        <f t="shared" si="196"/>
        <v>672585984.10000002</v>
      </c>
      <c r="BR296" s="8">
        <f t="shared" si="197"/>
        <v>607445801</v>
      </c>
      <c r="BS296" s="8">
        <f t="shared" si="188"/>
        <v>6672.0553084000003</v>
      </c>
      <c r="BT296" s="8">
        <f t="shared" si="200"/>
        <v>38.611572500000875</v>
      </c>
      <c r="BU296" s="8"/>
    </row>
    <row r="297" spans="1:73" x14ac:dyDescent="0.35">
      <c r="A297" t="s">
        <v>161</v>
      </c>
      <c r="B297">
        <v>3.5</v>
      </c>
      <c r="C297">
        <v>5.3</v>
      </c>
      <c r="D297">
        <v>6.3</v>
      </c>
      <c r="E297">
        <v>7.3</v>
      </c>
      <c r="F297">
        <v>8.3000000000000007</v>
      </c>
      <c r="G297">
        <v>9.4</v>
      </c>
      <c r="H297">
        <v>10.6</v>
      </c>
      <c r="I297">
        <v>12.200000000000001</v>
      </c>
      <c r="J297">
        <v>14.5</v>
      </c>
      <c r="K297">
        <v>22.7</v>
      </c>
      <c r="L297">
        <f t="shared" si="172"/>
        <v>8.6999999999999993</v>
      </c>
      <c r="M297">
        <f t="shared" si="173"/>
        <v>506953</v>
      </c>
      <c r="N297">
        <f t="shared" si="174"/>
        <v>80276.011290059658</v>
      </c>
      <c r="O297">
        <f t="shared" si="185"/>
        <v>0.5731335419320871</v>
      </c>
      <c r="P297" s="8">
        <f t="shared" si="203"/>
        <v>28096.603951520879</v>
      </c>
      <c r="Q297" s="8">
        <f t="shared" si="203"/>
        <v>42546.285983731614</v>
      </c>
      <c r="R297" s="8">
        <f t="shared" si="203"/>
        <v>50573.887112737582</v>
      </c>
      <c r="S297" s="8">
        <f t="shared" si="203"/>
        <v>58601.488241743551</v>
      </c>
      <c r="T297" s="8">
        <f t="shared" si="203"/>
        <v>66629.089370749512</v>
      </c>
      <c r="U297" s="8">
        <f t="shared" si="201"/>
        <v>75459.450612656088</v>
      </c>
      <c r="V297" s="8">
        <f t="shared" si="201"/>
        <v>85092.571967463227</v>
      </c>
      <c r="W297" s="8">
        <f t="shared" si="201"/>
        <v>97936.733773872795</v>
      </c>
      <c r="X297" s="8">
        <f t="shared" si="201"/>
        <v>116400.2163705865</v>
      </c>
      <c r="Y297" s="8">
        <f t="shared" si="201"/>
        <v>182226.54562843541</v>
      </c>
      <c r="Z297">
        <f t="shared" si="170"/>
        <v>10.243403992200422</v>
      </c>
      <c r="AA297">
        <f t="shared" si="170"/>
        <v>10.65834784426313</v>
      </c>
      <c r="AB297">
        <f t="shared" si="170"/>
        <v>10.831190657102541</v>
      </c>
      <c r="AC297">
        <f t="shared" si="170"/>
        <v>10.9785153718594</v>
      </c>
      <c r="AD297">
        <f t="shared" si="170"/>
        <v>11.106896538507605</v>
      </c>
      <c r="AE297">
        <f t="shared" si="170"/>
        <v>11.231350712981012</v>
      </c>
      <c r="AF297">
        <f t="shared" si="170"/>
        <v>11.351495024823075</v>
      </c>
      <c r="AG297">
        <f t="shared" si="170"/>
        <v>11.492076975444265</v>
      </c>
      <c r="AH297">
        <f t="shared" si="170"/>
        <v>11.664789673131583</v>
      </c>
      <c r="AI297">
        <f t="shared" si="170"/>
        <v>12.113005948192411</v>
      </c>
      <c r="AJ297">
        <f t="shared" si="186"/>
        <v>18.676778012171045</v>
      </c>
      <c r="AK297">
        <f t="shared" si="175"/>
        <v>19.433344307749277</v>
      </c>
      <c r="AL297">
        <f t="shared" si="176"/>
        <v>19.748488262713749</v>
      </c>
      <c r="AM297">
        <f t="shared" si="177"/>
        <v>20.017105120480501</v>
      </c>
      <c r="AN297">
        <f t="shared" si="178"/>
        <v>20.251182244867842</v>
      </c>
      <c r="AO297">
        <f t="shared" si="179"/>
        <v>20.478099292276855</v>
      </c>
      <c r="AP297">
        <f t="shared" si="180"/>
        <v>20.697158175769864</v>
      </c>
      <c r="AQ297">
        <f t="shared" si="181"/>
        <v>20.953480965173579</v>
      </c>
      <c r="AR297">
        <f t="shared" si="182"/>
        <v>21.268387681441471</v>
      </c>
      <c r="AS297">
        <f t="shared" si="183"/>
        <v>22.085619519327327</v>
      </c>
      <c r="AT297">
        <f t="shared" si="184"/>
        <v>34.053331996035446</v>
      </c>
      <c r="AU297">
        <f t="shared" si="187"/>
        <v>-20.248467518966905</v>
      </c>
      <c r="AV297" s="5">
        <f t="shared" si="204"/>
        <v>-1.5716895067958596</v>
      </c>
      <c r="AW297" s="5">
        <f t="shared" si="204"/>
        <v>-0.8151232112176281</v>
      </c>
      <c r="AX297" s="5">
        <f t="shared" si="204"/>
        <v>-0.49997925625315531</v>
      </c>
      <c r="AY297" s="5">
        <f t="shared" si="204"/>
        <v>-0.23136239848640372</v>
      </c>
      <c r="AZ297" s="5">
        <f t="shared" si="204"/>
        <v>2.7147259009367986E-3</v>
      </c>
      <c r="BA297" s="5">
        <f t="shared" si="202"/>
        <v>0.22963177330995066</v>
      </c>
      <c r="BB297" s="5">
        <f t="shared" si="202"/>
        <v>0.44869065680295961</v>
      </c>
      <c r="BC297" s="5">
        <f t="shared" si="202"/>
        <v>0.70501344620667439</v>
      </c>
      <c r="BD297" s="5">
        <f t="shared" si="202"/>
        <v>1.0199201624745662</v>
      </c>
      <c r="BE297" s="5">
        <f t="shared" si="202"/>
        <v>1.8371520003604225</v>
      </c>
      <c r="BG297" s="1"/>
      <c r="BH297" s="1">
        <f t="shared" si="199"/>
        <v>11.299999999999976</v>
      </c>
      <c r="BI297" s="8">
        <f t="shared" si="198"/>
        <v>674083066.79999995</v>
      </c>
      <c r="BJ297" s="8">
        <f t="shared" si="189"/>
        <v>674083066.79999995</v>
      </c>
      <c r="BK297" s="8">
        <f t="shared" si="190"/>
        <v>674083066.79999995</v>
      </c>
      <c r="BL297" s="8">
        <f t="shared" si="191"/>
        <v>674083066.79999995</v>
      </c>
      <c r="BM297" s="8">
        <f t="shared" si="192"/>
        <v>674083066.79999995</v>
      </c>
      <c r="BN297" s="8">
        <f t="shared" si="193"/>
        <v>674083066.79999995</v>
      </c>
      <c r="BO297" s="8">
        <f t="shared" si="194"/>
        <v>674032371.5</v>
      </c>
      <c r="BP297" s="8">
        <f t="shared" si="195"/>
        <v>674032371.5</v>
      </c>
      <c r="BQ297" s="8">
        <f t="shared" si="196"/>
        <v>673368475</v>
      </c>
      <c r="BR297" s="8">
        <f t="shared" si="197"/>
        <v>609443815.60000002</v>
      </c>
      <c r="BS297" s="8">
        <f t="shared" si="188"/>
        <v>6675.3754344000008</v>
      </c>
      <c r="BT297" s="8">
        <f t="shared" si="200"/>
        <v>3.3201260000005277</v>
      </c>
      <c r="BU297" s="8"/>
    </row>
    <row r="298" spans="1:73" x14ac:dyDescent="0.35">
      <c r="A298" t="s">
        <v>387</v>
      </c>
      <c r="B298">
        <v>1.7</v>
      </c>
      <c r="C298">
        <v>4</v>
      </c>
      <c r="D298">
        <v>5.5</v>
      </c>
      <c r="E298">
        <v>6.6000000000000005</v>
      </c>
      <c r="F298">
        <v>7.8</v>
      </c>
      <c r="G298">
        <v>9.3000000000000007</v>
      </c>
      <c r="H298">
        <v>11.1</v>
      </c>
      <c r="I298">
        <v>13.1</v>
      </c>
      <c r="J298">
        <v>16.100000000000001</v>
      </c>
      <c r="K298">
        <v>24.8</v>
      </c>
      <c r="L298">
        <f t="shared" si="172"/>
        <v>9.8000000000000007</v>
      </c>
      <c r="M298">
        <f t="shared" si="173"/>
        <v>2102216</v>
      </c>
      <c r="N298">
        <f t="shared" si="174"/>
        <v>3396.7186907683758</v>
      </c>
      <c r="O298">
        <f t="shared" si="185"/>
        <v>0.91850932123313989</v>
      </c>
      <c r="P298" s="8">
        <f t="shared" si="203"/>
        <v>577.44217743062393</v>
      </c>
      <c r="Q298" s="8">
        <f t="shared" si="203"/>
        <v>1358.6874763073504</v>
      </c>
      <c r="R298" s="8">
        <f t="shared" si="203"/>
        <v>1868.1952799226067</v>
      </c>
      <c r="S298" s="8">
        <f t="shared" si="203"/>
        <v>2241.8343359071282</v>
      </c>
      <c r="T298" s="8">
        <f t="shared" si="203"/>
        <v>2649.4405787993333</v>
      </c>
      <c r="U298" s="8">
        <f t="shared" si="201"/>
        <v>3158.9483824145896</v>
      </c>
      <c r="V298" s="8">
        <f t="shared" si="201"/>
        <v>3770.3577467528971</v>
      </c>
      <c r="W298" s="8">
        <f t="shared" si="201"/>
        <v>4449.7014849065727</v>
      </c>
      <c r="X298" s="8">
        <f t="shared" si="201"/>
        <v>5468.7170921370853</v>
      </c>
      <c r="Y298" s="8">
        <f t="shared" si="201"/>
        <v>8423.8623531055728</v>
      </c>
      <c r="Z298">
        <f t="shared" ref="Z298:AI323" si="205">LN(P298)</f>
        <v>6.3586083117217829</v>
      </c>
      <c r="AA298">
        <f t="shared" si="205"/>
        <v>7.2142744217795025</v>
      </c>
      <c r="AB298">
        <f t="shared" si="205"/>
        <v>7.5327281528980379</v>
      </c>
      <c r="AC298">
        <f t="shared" si="205"/>
        <v>7.7150497096919919</v>
      </c>
      <c r="AD298">
        <f t="shared" si="205"/>
        <v>7.8821037943551584</v>
      </c>
      <c r="AE298">
        <f t="shared" si="205"/>
        <v>8.0579944608188221</v>
      </c>
      <c r="AF298">
        <f t="shared" si="205"/>
        <v>8.2349251689779006</v>
      </c>
      <c r="AG298">
        <f t="shared" si="205"/>
        <v>8.4005922908667188</v>
      </c>
      <c r="AH298">
        <f t="shared" si="205"/>
        <v>8.6067993326500289</v>
      </c>
      <c r="AI298">
        <f t="shared" si="205"/>
        <v>9.0388237138305492</v>
      </c>
      <c r="AJ298">
        <f t="shared" si="186"/>
        <v>11.593637817545703</v>
      </c>
      <c r="AK298">
        <f t="shared" si="175"/>
        <v>13.153772124681725</v>
      </c>
      <c r="AL298">
        <f t="shared" si="176"/>
        <v>13.734408175722688</v>
      </c>
      <c r="AM298">
        <f t="shared" si="177"/>
        <v>14.066834705581989</v>
      </c>
      <c r="AN298">
        <f t="shared" si="178"/>
        <v>14.371424084040171</v>
      </c>
      <c r="AO298">
        <f t="shared" si="179"/>
        <v>14.692125184422038</v>
      </c>
      <c r="AP298">
        <f t="shared" si="180"/>
        <v>15.014722590747068</v>
      </c>
      <c r="AQ298">
        <f t="shared" si="181"/>
        <v>15.316783122752707</v>
      </c>
      <c r="AR298">
        <f t="shared" si="182"/>
        <v>15.692760009622134</v>
      </c>
      <c r="AS298">
        <f t="shared" si="183"/>
        <v>16.480469199779815</v>
      </c>
      <c r="AT298">
        <f t="shared" si="184"/>
        <v>21.138656645455448</v>
      </c>
      <c r="AU298">
        <f t="shared" si="187"/>
        <v>-14.262699187340036</v>
      </c>
      <c r="AV298" s="5">
        <f t="shared" si="204"/>
        <v>-2.6690613697943331</v>
      </c>
      <c r="AW298" s="5">
        <f t="shared" si="204"/>
        <v>-1.1089270626583119</v>
      </c>
      <c r="AX298" s="5">
        <f t="shared" si="204"/>
        <v>-0.52829101161734826</v>
      </c>
      <c r="AY298" s="5">
        <f t="shared" si="204"/>
        <v>-0.19586448175804705</v>
      </c>
      <c r="AZ298" s="5">
        <f t="shared" si="204"/>
        <v>0.10872489670013508</v>
      </c>
      <c r="BA298" s="5">
        <f t="shared" si="202"/>
        <v>0.42942599708200113</v>
      </c>
      <c r="BB298" s="5">
        <f t="shared" si="202"/>
        <v>0.75202340340703167</v>
      </c>
      <c r="BC298" s="5">
        <f t="shared" si="202"/>
        <v>1.0540839354126703</v>
      </c>
      <c r="BD298" s="5">
        <f t="shared" si="202"/>
        <v>1.4300608222820976</v>
      </c>
      <c r="BE298" s="5">
        <f t="shared" si="202"/>
        <v>2.2177700124397788</v>
      </c>
      <c r="BG298" s="1"/>
      <c r="BH298" s="1">
        <f t="shared" si="199"/>
        <v>11.399999999999975</v>
      </c>
      <c r="BI298" s="8">
        <f t="shared" si="198"/>
        <v>674083066.79999995</v>
      </c>
      <c r="BJ298" s="8">
        <f t="shared" si="189"/>
        <v>674083066.79999995</v>
      </c>
      <c r="BK298" s="8">
        <f t="shared" si="190"/>
        <v>674083066.79999995</v>
      </c>
      <c r="BL298" s="8">
        <f t="shared" si="191"/>
        <v>674083066.79999995</v>
      </c>
      <c r="BM298" s="8">
        <f t="shared" si="192"/>
        <v>674083066.79999995</v>
      </c>
      <c r="BN298" s="8">
        <f t="shared" si="193"/>
        <v>674083066.79999995</v>
      </c>
      <c r="BO298" s="8">
        <f t="shared" si="194"/>
        <v>674083066.79999995</v>
      </c>
      <c r="BP298" s="8">
        <f t="shared" si="195"/>
        <v>674032371.5</v>
      </c>
      <c r="BQ298" s="8">
        <f t="shared" si="196"/>
        <v>673857400.20000005</v>
      </c>
      <c r="BR298" s="8">
        <f t="shared" si="197"/>
        <v>625901421.79999995</v>
      </c>
      <c r="BS298" s="8">
        <f t="shared" si="188"/>
        <v>6692.3726611000002</v>
      </c>
      <c r="BT298" s="8">
        <f t="shared" si="200"/>
        <v>16.997226699999374</v>
      </c>
      <c r="BU298" s="8"/>
    </row>
    <row r="299" spans="1:73" x14ac:dyDescent="0.35">
      <c r="A299" t="s">
        <v>162</v>
      </c>
      <c r="B299">
        <v>2.16</v>
      </c>
      <c r="C299">
        <v>3.5700000000000003</v>
      </c>
      <c r="D299">
        <v>4.5600000000000005</v>
      </c>
      <c r="E299">
        <v>5.47</v>
      </c>
      <c r="F299">
        <v>6.48</v>
      </c>
      <c r="G299">
        <v>7.65</v>
      </c>
      <c r="H299">
        <v>9.17</v>
      </c>
      <c r="I299">
        <v>11.53</v>
      </c>
      <c r="J299">
        <v>15.93</v>
      </c>
      <c r="K299">
        <v>33.49</v>
      </c>
      <c r="L299">
        <f t="shared" si="172"/>
        <v>22.6</v>
      </c>
      <c r="M299">
        <f t="shared" si="173"/>
        <v>21079532</v>
      </c>
      <c r="N299">
        <f t="shared" si="174"/>
        <v>273.22480306218836</v>
      </c>
      <c r="O299">
        <f t="shared" si="185"/>
        <v>-8.4373625320713899</v>
      </c>
      <c r="P299" s="8">
        <f t="shared" si="203"/>
        <v>59.016557461432697</v>
      </c>
      <c r="Q299" s="8">
        <f t="shared" si="203"/>
        <v>97.541254693201253</v>
      </c>
      <c r="R299" s="8">
        <f t="shared" si="203"/>
        <v>124.5905101963579</v>
      </c>
      <c r="S299" s="8">
        <f t="shared" si="203"/>
        <v>149.45396727501702</v>
      </c>
      <c r="T299" s="8">
        <f t="shared" si="203"/>
        <v>177.04967238429805</v>
      </c>
      <c r="U299" s="8">
        <f t="shared" si="201"/>
        <v>209.01697434257412</v>
      </c>
      <c r="V299" s="8">
        <f t="shared" si="201"/>
        <v>250.54714440802672</v>
      </c>
      <c r="W299" s="8">
        <f t="shared" si="201"/>
        <v>315.02819793070319</v>
      </c>
      <c r="X299" s="8">
        <f t="shared" si="201"/>
        <v>435.24711127806603</v>
      </c>
      <c r="Y299" s="8">
        <f t="shared" si="201"/>
        <v>915.02986545526892</v>
      </c>
      <c r="Z299">
        <f t="shared" si="205"/>
        <v>4.0778180394746375</v>
      </c>
      <c r="AA299">
        <f t="shared" si="205"/>
        <v>4.5802754135701118</v>
      </c>
      <c r="AB299">
        <f t="shared" si="205"/>
        <v>4.8250324413048586</v>
      </c>
      <c r="AC299">
        <f t="shared" si="205"/>
        <v>5.0069884342124533</v>
      </c>
      <c r="AD299">
        <f t="shared" si="205"/>
        <v>5.1764303281427475</v>
      </c>
      <c r="AE299">
        <f t="shared" si="205"/>
        <v>5.3424154656170089</v>
      </c>
      <c r="AF299">
        <f t="shared" si="205"/>
        <v>5.5236471040469377</v>
      </c>
      <c r="AG299">
        <f t="shared" si="205"/>
        <v>5.7526621520595311</v>
      </c>
      <c r="AH299">
        <f t="shared" si="205"/>
        <v>6.075913941700521</v>
      </c>
      <c r="AI299">
        <f t="shared" si="205"/>
        <v>6.8189567045846768</v>
      </c>
      <c r="AJ299">
        <f t="shared" si="186"/>
        <v>7.4350774757380282</v>
      </c>
      <c r="AK299">
        <f t="shared" si="175"/>
        <v>8.3512070010115576</v>
      </c>
      <c r="AL299">
        <f t="shared" si="176"/>
        <v>8.7974720001662661</v>
      </c>
      <c r="AM299">
        <f t="shared" si="177"/>
        <v>9.1292319981226981</v>
      </c>
      <c r="AN299">
        <f t="shared" si="178"/>
        <v>9.4381750644420155</v>
      </c>
      <c r="AO299">
        <f t="shared" si="179"/>
        <v>9.7408154336285619</v>
      </c>
      <c r="AP299">
        <f t="shared" si="180"/>
        <v>10.071254717514574</v>
      </c>
      <c r="AQ299">
        <f t="shared" si="181"/>
        <v>10.488817396525839</v>
      </c>
      <c r="AR299">
        <f t="shared" si="182"/>
        <v>11.078201738074677</v>
      </c>
      <c r="AS299">
        <f t="shared" si="183"/>
        <v>12.432990121555832</v>
      </c>
      <c r="AT299">
        <f t="shared" si="184"/>
        <v>13.556361891358197</v>
      </c>
      <c r="AU299">
        <f t="shared" si="187"/>
        <v>-19.213781123977434</v>
      </c>
      <c r="AV299" s="5">
        <f t="shared" si="204"/>
        <v>-11.778703648239405</v>
      </c>
      <c r="AW299" s="5">
        <f t="shared" si="204"/>
        <v>-10.862574122965876</v>
      </c>
      <c r="AX299" s="5">
        <f t="shared" si="204"/>
        <v>-10.416309123811168</v>
      </c>
      <c r="AY299" s="5">
        <f t="shared" si="204"/>
        <v>-10.084549125854736</v>
      </c>
      <c r="AZ299" s="5">
        <f t="shared" si="204"/>
        <v>-9.7756060595354182</v>
      </c>
      <c r="BA299" s="5">
        <f t="shared" si="202"/>
        <v>-9.4729656903488717</v>
      </c>
      <c r="BB299" s="5">
        <f t="shared" si="202"/>
        <v>-9.14252640646286</v>
      </c>
      <c r="BC299" s="5">
        <f t="shared" si="202"/>
        <v>-8.7249637274515948</v>
      </c>
      <c r="BD299" s="5">
        <f t="shared" si="202"/>
        <v>-8.1355793859027568</v>
      </c>
      <c r="BE299" s="5">
        <f t="shared" si="202"/>
        <v>-6.7807910024216014</v>
      </c>
      <c r="BG299" s="1"/>
      <c r="BH299" s="1">
        <f t="shared" si="199"/>
        <v>11.499999999999975</v>
      </c>
      <c r="BI299" s="8">
        <f t="shared" si="198"/>
        <v>674083066.79999995</v>
      </c>
      <c r="BJ299" s="8">
        <f t="shared" si="189"/>
        <v>674083066.79999995</v>
      </c>
      <c r="BK299" s="8">
        <f t="shared" si="190"/>
        <v>674083066.79999995</v>
      </c>
      <c r="BL299" s="8">
        <f t="shared" si="191"/>
        <v>674083066.79999995</v>
      </c>
      <c r="BM299" s="8">
        <f t="shared" si="192"/>
        <v>674083066.79999995</v>
      </c>
      <c r="BN299" s="8">
        <f t="shared" si="193"/>
        <v>674083066.79999995</v>
      </c>
      <c r="BO299" s="8">
        <f t="shared" si="194"/>
        <v>674083066.79999995</v>
      </c>
      <c r="BP299" s="8">
        <f t="shared" si="195"/>
        <v>674083066.79999995</v>
      </c>
      <c r="BQ299" s="8">
        <f t="shared" si="196"/>
        <v>674032371.5</v>
      </c>
      <c r="BR299" s="8">
        <f t="shared" si="197"/>
        <v>639409263.60000002</v>
      </c>
      <c r="BS299" s="8">
        <f t="shared" si="188"/>
        <v>6706.1061695000008</v>
      </c>
      <c r="BT299" s="8">
        <f t="shared" si="200"/>
        <v>13.733508400000574</v>
      </c>
      <c r="BU299" s="8"/>
    </row>
    <row r="300" spans="1:73" x14ac:dyDescent="0.35">
      <c r="A300" t="s">
        <v>163</v>
      </c>
      <c r="B300">
        <v>2.17</v>
      </c>
      <c r="C300">
        <v>3.2800000000000002</v>
      </c>
      <c r="D300">
        <v>4.16</v>
      </c>
      <c r="E300">
        <v>5.03</v>
      </c>
      <c r="F300">
        <v>6.0200000000000005</v>
      </c>
      <c r="G300">
        <v>7.23</v>
      </c>
      <c r="H300">
        <v>8.75</v>
      </c>
      <c r="I300">
        <v>11</v>
      </c>
      <c r="J300">
        <v>14.84</v>
      </c>
      <c r="K300">
        <v>37.53</v>
      </c>
      <c r="L300">
        <f t="shared" si="172"/>
        <v>21.9</v>
      </c>
      <c r="M300">
        <f t="shared" si="173"/>
        <v>15013694</v>
      </c>
      <c r="N300">
        <f t="shared" si="174"/>
        <v>219.15076343135976</v>
      </c>
      <c r="O300">
        <f t="shared" si="185"/>
        <v>-8.5791145170701562</v>
      </c>
      <c r="P300" s="8">
        <f t="shared" si="203"/>
        <v>47.555715664605067</v>
      </c>
      <c r="Q300" s="8">
        <f t="shared" si="203"/>
        <v>71.881450405486007</v>
      </c>
      <c r="R300" s="8">
        <f t="shared" si="203"/>
        <v>91.166717587445675</v>
      </c>
      <c r="S300" s="8">
        <f t="shared" si="203"/>
        <v>110.23283400597397</v>
      </c>
      <c r="T300" s="8">
        <f t="shared" si="203"/>
        <v>131.92875958567859</v>
      </c>
      <c r="U300" s="8">
        <f t="shared" si="201"/>
        <v>158.44600196087313</v>
      </c>
      <c r="V300" s="8">
        <f t="shared" si="201"/>
        <v>191.75691800243979</v>
      </c>
      <c r="W300" s="8">
        <f t="shared" si="201"/>
        <v>241.06583977449571</v>
      </c>
      <c r="X300" s="8">
        <f t="shared" si="201"/>
        <v>325.21973293213784</v>
      </c>
      <c r="Y300" s="8">
        <f t="shared" si="201"/>
        <v>822.47281515789325</v>
      </c>
      <c r="Z300">
        <f t="shared" si="205"/>
        <v>3.8619019850189882</v>
      </c>
      <c r="AA300">
        <f t="shared" si="205"/>
        <v>4.275018239862673</v>
      </c>
      <c r="AB300">
        <f t="shared" si="205"/>
        <v>4.5126898917397922</v>
      </c>
      <c r="AC300">
        <f t="shared" si="205"/>
        <v>4.7025948015782681</v>
      </c>
      <c r="AD300">
        <f t="shared" si="205"/>
        <v>4.8822620767873497</v>
      </c>
      <c r="AE300">
        <f t="shared" si="205"/>
        <v>5.0654138536372937</v>
      </c>
      <c r="AF300">
        <f t="shared" si="205"/>
        <v>5.256228517836143</v>
      </c>
      <c r="AG300">
        <f t="shared" si="205"/>
        <v>5.4850700902649905</v>
      </c>
      <c r="AH300">
        <f t="shared" si="205"/>
        <v>5.7845010552058547</v>
      </c>
      <c r="AI300">
        <f t="shared" si="205"/>
        <v>6.7123154306135495</v>
      </c>
      <c r="AJ300">
        <f t="shared" si="186"/>
        <v>7.0413981654811515</v>
      </c>
      <c r="AK300">
        <f t="shared" si="175"/>
        <v>7.7946322067051321</v>
      </c>
      <c r="AL300">
        <f t="shared" si="176"/>
        <v>8.2279784542293797</v>
      </c>
      <c r="AM300">
        <f t="shared" si="177"/>
        <v>8.5742316965280541</v>
      </c>
      <c r="AN300">
        <f t="shared" si="178"/>
        <v>8.9018186800822221</v>
      </c>
      <c r="AO300">
        <f t="shared" si="179"/>
        <v>9.2357589485091705</v>
      </c>
      <c r="AP300">
        <f t="shared" si="180"/>
        <v>9.5836709441136048</v>
      </c>
      <c r="AQ300">
        <f t="shared" si="181"/>
        <v>10.000917325439977</v>
      </c>
      <c r="AR300">
        <f t="shared" si="182"/>
        <v>10.546869204954724</v>
      </c>
      <c r="AS300">
        <f t="shared" si="183"/>
        <v>12.238551300006824</v>
      </c>
      <c r="AT300">
        <f t="shared" si="184"/>
        <v>12.838567192325453</v>
      </c>
      <c r="AU300">
        <f t="shared" si="187"/>
        <v>-19.060687057252654</v>
      </c>
      <c r="AV300" s="5">
        <f t="shared" si="204"/>
        <v>-12.019288891771502</v>
      </c>
      <c r="AW300" s="5">
        <f t="shared" si="204"/>
        <v>-11.266054850547523</v>
      </c>
      <c r="AX300" s="5">
        <f t="shared" si="204"/>
        <v>-10.832708603023274</v>
      </c>
      <c r="AY300" s="5">
        <f t="shared" si="204"/>
        <v>-10.4864553607246</v>
      </c>
      <c r="AZ300" s="5">
        <f t="shared" si="204"/>
        <v>-10.158868377170432</v>
      </c>
      <c r="BA300" s="5">
        <f t="shared" si="202"/>
        <v>-9.8249281087434834</v>
      </c>
      <c r="BB300" s="5">
        <f t="shared" si="202"/>
        <v>-9.4770161131390491</v>
      </c>
      <c r="BC300" s="5">
        <f t="shared" si="202"/>
        <v>-9.0597697318126773</v>
      </c>
      <c r="BD300" s="5">
        <f t="shared" si="202"/>
        <v>-8.5138178522979295</v>
      </c>
      <c r="BE300" s="5">
        <f t="shared" si="202"/>
        <v>-6.8221357572458299</v>
      </c>
      <c r="BG300" s="1"/>
      <c r="BH300" s="1">
        <f t="shared" si="199"/>
        <v>11.599999999999975</v>
      </c>
      <c r="BI300" s="8">
        <f t="shared" si="198"/>
        <v>674083066.79999995</v>
      </c>
      <c r="BJ300" s="8">
        <f t="shared" si="189"/>
        <v>674083066.79999995</v>
      </c>
      <c r="BK300" s="8">
        <f t="shared" si="190"/>
        <v>674083066.79999995</v>
      </c>
      <c r="BL300" s="8">
        <f t="shared" si="191"/>
        <v>674083066.79999995</v>
      </c>
      <c r="BM300" s="8">
        <f t="shared" si="192"/>
        <v>674083066.79999995</v>
      </c>
      <c r="BN300" s="8">
        <f t="shared" si="193"/>
        <v>674083066.79999995</v>
      </c>
      <c r="BO300" s="8">
        <f t="shared" si="194"/>
        <v>674083066.79999995</v>
      </c>
      <c r="BP300" s="8">
        <f t="shared" si="195"/>
        <v>674083066.79999995</v>
      </c>
      <c r="BQ300" s="8">
        <f t="shared" si="196"/>
        <v>674032371.5</v>
      </c>
      <c r="BR300" s="8">
        <f t="shared" si="197"/>
        <v>640503506</v>
      </c>
      <c r="BS300" s="8">
        <f t="shared" si="188"/>
        <v>6707.2004119000003</v>
      </c>
      <c r="BT300" s="8">
        <f t="shared" si="200"/>
        <v>1.0942423999995299</v>
      </c>
      <c r="BU300" s="8"/>
    </row>
    <row r="301" spans="1:73" x14ac:dyDescent="0.35">
      <c r="A301" t="s">
        <v>164</v>
      </c>
      <c r="B301">
        <v>1.75</v>
      </c>
      <c r="C301">
        <v>2.81</v>
      </c>
      <c r="D301">
        <v>3.8000000000000003</v>
      </c>
      <c r="E301">
        <v>4.84</v>
      </c>
      <c r="F301">
        <v>6.08</v>
      </c>
      <c r="G301">
        <v>7.59</v>
      </c>
      <c r="H301">
        <v>9.5400000000000009</v>
      </c>
      <c r="I301">
        <v>12.21</v>
      </c>
      <c r="J301">
        <v>16.79</v>
      </c>
      <c r="K301">
        <v>34.590000000000003</v>
      </c>
      <c r="L301">
        <f t="shared" si="172"/>
        <v>25.4</v>
      </c>
      <c r="M301">
        <f t="shared" si="173"/>
        <v>28275835</v>
      </c>
      <c r="N301">
        <f t="shared" si="174"/>
        <v>6318.9012128220729</v>
      </c>
      <c r="O301">
        <f t="shared" si="185"/>
        <v>-3.7517692766736523</v>
      </c>
      <c r="P301" s="8">
        <f t="shared" si="203"/>
        <v>1105.8077122438629</v>
      </c>
      <c r="Q301" s="8">
        <f t="shared" si="203"/>
        <v>1775.6112408030026</v>
      </c>
      <c r="R301" s="8">
        <f t="shared" si="203"/>
        <v>2401.1824608723882</v>
      </c>
      <c r="S301" s="8">
        <f t="shared" si="203"/>
        <v>3058.3481870058831</v>
      </c>
      <c r="T301" s="8">
        <f t="shared" si="203"/>
        <v>3841.8919373958206</v>
      </c>
      <c r="U301" s="8">
        <f t="shared" si="201"/>
        <v>4796.0460205319532</v>
      </c>
      <c r="V301" s="8">
        <f t="shared" si="201"/>
        <v>6028.2317570322575</v>
      </c>
      <c r="W301" s="8">
        <f t="shared" si="201"/>
        <v>7715.3783808557519</v>
      </c>
      <c r="X301" s="8">
        <f t="shared" si="201"/>
        <v>10609.435136328259</v>
      </c>
      <c r="Y301" s="8">
        <f t="shared" si="201"/>
        <v>21857.079295151554</v>
      </c>
      <c r="Z301">
        <f t="shared" si="205"/>
        <v>7.0083313082364143</v>
      </c>
      <c r="AA301">
        <f t="shared" si="205"/>
        <v>7.4819000036466461</v>
      </c>
      <c r="AB301">
        <f t="shared" si="205"/>
        <v>7.7837165870333322</v>
      </c>
      <c r="AC301">
        <f t="shared" si="205"/>
        <v>8.0256302410295319</v>
      </c>
      <c r="AD301">
        <f t="shared" si="205"/>
        <v>8.253720216279067</v>
      </c>
      <c r="AE301">
        <f t="shared" si="205"/>
        <v>8.475547111708531</v>
      </c>
      <c r="AF301">
        <f t="shared" si="205"/>
        <v>8.7042090057611876</v>
      </c>
      <c r="AG301">
        <f t="shared" si="205"/>
        <v>8.9509708084236053</v>
      </c>
      <c r="AH301">
        <f t="shared" si="205"/>
        <v>9.2694989913904404</v>
      </c>
      <c r="AI301">
        <f t="shared" si="205"/>
        <v>9.9922801432500687</v>
      </c>
      <c r="AJ301">
        <f t="shared" si="186"/>
        <v>12.778276457644838</v>
      </c>
      <c r="AK301">
        <f t="shared" si="175"/>
        <v>13.641733312848924</v>
      </c>
      <c r="AL301">
        <f t="shared" si="176"/>
        <v>14.192034885704702</v>
      </c>
      <c r="AM301">
        <f t="shared" si="177"/>
        <v>14.633115567208664</v>
      </c>
      <c r="AN301">
        <f t="shared" si="178"/>
        <v>15.048991562901191</v>
      </c>
      <c r="AO301">
        <f t="shared" si="179"/>
        <v>15.453448097683943</v>
      </c>
      <c r="AP301">
        <f t="shared" si="180"/>
        <v>15.870366871786363</v>
      </c>
      <c r="AQ301">
        <f t="shared" si="181"/>
        <v>16.320287173057142</v>
      </c>
      <c r="AR301">
        <f t="shared" si="182"/>
        <v>16.901058972004208</v>
      </c>
      <c r="AS301">
        <f t="shared" si="183"/>
        <v>18.218904400627565</v>
      </c>
      <c r="AT301">
        <f t="shared" si="184"/>
        <v>23.298605908670918</v>
      </c>
      <c r="AU301">
        <f t="shared" si="187"/>
        <v>-20.34050423449705</v>
      </c>
      <c r="AV301" s="5">
        <f t="shared" si="204"/>
        <v>-7.5622277768522128</v>
      </c>
      <c r="AW301" s="5">
        <f t="shared" si="204"/>
        <v>-6.6987709216481264</v>
      </c>
      <c r="AX301" s="5">
        <f t="shared" si="204"/>
        <v>-6.1484693487923483</v>
      </c>
      <c r="AY301" s="5">
        <f t="shared" si="204"/>
        <v>-5.7073886672883862</v>
      </c>
      <c r="AZ301" s="5">
        <f t="shared" si="204"/>
        <v>-5.2915126715958589</v>
      </c>
      <c r="BA301" s="5">
        <f t="shared" si="202"/>
        <v>-4.8870561368131078</v>
      </c>
      <c r="BB301" s="5">
        <f t="shared" si="202"/>
        <v>-4.4701373627106875</v>
      </c>
      <c r="BC301" s="5">
        <f t="shared" si="202"/>
        <v>-4.020217061439908</v>
      </c>
      <c r="BD301" s="5">
        <f t="shared" si="202"/>
        <v>-3.4394452624928427</v>
      </c>
      <c r="BE301" s="5">
        <f t="shared" si="202"/>
        <v>-2.1215998338694853</v>
      </c>
      <c r="BG301" s="1"/>
      <c r="BH301" s="1">
        <f t="shared" si="199"/>
        <v>11.699999999999974</v>
      </c>
      <c r="BI301" s="8">
        <f t="shared" si="198"/>
        <v>674083066.79999995</v>
      </c>
      <c r="BJ301" s="8">
        <f t="shared" si="189"/>
        <v>674083066.79999995</v>
      </c>
      <c r="BK301" s="8">
        <f t="shared" si="190"/>
        <v>674083066.79999995</v>
      </c>
      <c r="BL301" s="8">
        <f t="shared" si="191"/>
        <v>674083066.79999995</v>
      </c>
      <c r="BM301" s="8">
        <f t="shared" si="192"/>
        <v>674083066.79999995</v>
      </c>
      <c r="BN301" s="8">
        <f t="shared" si="193"/>
        <v>674083066.79999995</v>
      </c>
      <c r="BO301" s="8">
        <f t="shared" si="194"/>
        <v>674083066.79999995</v>
      </c>
      <c r="BP301" s="8">
        <f t="shared" si="195"/>
        <v>674083066.79999995</v>
      </c>
      <c r="BQ301" s="8">
        <f t="shared" si="196"/>
        <v>674083066.79999995</v>
      </c>
      <c r="BR301" s="8">
        <f t="shared" si="197"/>
        <v>640950941.60000002</v>
      </c>
      <c r="BS301" s="8">
        <f t="shared" si="188"/>
        <v>6707.6985428000007</v>
      </c>
      <c r="BT301" s="8">
        <f t="shared" si="200"/>
        <v>0.49813090000043303</v>
      </c>
      <c r="BU301" s="8"/>
    </row>
    <row r="302" spans="1:73" x14ac:dyDescent="0.35">
      <c r="A302" t="s">
        <v>388</v>
      </c>
      <c r="B302">
        <v>2.56</v>
      </c>
      <c r="C302">
        <v>3.86</v>
      </c>
      <c r="D302">
        <v>4.91</v>
      </c>
      <c r="E302">
        <v>6.07</v>
      </c>
      <c r="F302">
        <v>7.29</v>
      </c>
      <c r="G302">
        <v>8.5400000000000009</v>
      </c>
      <c r="H302">
        <v>9.9500000000000011</v>
      </c>
      <c r="I302">
        <v>12.3</v>
      </c>
      <c r="J302">
        <v>15.67</v>
      </c>
      <c r="K302">
        <v>28.86</v>
      </c>
      <c r="L302">
        <f t="shared" si="172"/>
        <v>27.6</v>
      </c>
      <c r="M302">
        <f t="shared" si="173"/>
        <v>325694</v>
      </c>
      <c r="N302">
        <f t="shared" si="174"/>
        <v>4663.3776529920669</v>
      </c>
      <c r="O302">
        <f t="shared" si="185"/>
        <v>-5.1239367681464696</v>
      </c>
      <c r="P302" s="8">
        <f t="shared" si="203"/>
        <v>1193.8246791659692</v>
      </c>
      <c r="Q302" s="8">
        <f t="shared" si="203"/>
        <v>1800.0637740549378</v>
      </c>
      <c r="R302" s="8">
        <f t="shared" si="203"/>
        <v>2289.7184276191047</v>
      </c>
      <c r="S302" s="8">
        <f t="shared" si="203"/>
        <v>2830.6702353661849</v>
      </c>
      <c r="T302" s="8">
        <f t="shared" si="203"/>
        <v>3399.6023090312169</v>
      </c>
      <c r="U302" s="8">
        <f t="shared" si="201"/>
        <v>3982.5245156552255</v>
      </c>
      <c r="V302" s="8">
        <f t="shared" si="201"/>
        <v>4640.0607647271072</v>
      </c>
      <c r="W302" s="8">
        <f t="shared" si="201"/>
        <v>5735.9545131802424</v>
      </c>
      <c r="X302" s="8">
        <f t="shared" si="201"/>
        <v>7307.5127822385693</v>
      </c>
      <c r="Y302" s="8">
        <f t="shared" si="201"/>
        <v>13458.507906535106</v>
      </c>
      <c r="Z302">
        <f t="shared" si="205"/>
        <v>7.08491744830188</v>
      </c>
      <c r="AA302">
        <f t="shared" si="205"/>
        <v>7.4955773732871487</v>
      </c>
      <c r="AB302">
        <f t="shared" si="205"/>
        <v>7.736184131616838</v>
      </c>
      <c r="AC302">
        <f t="shared" si="205"/>
        <v>7.948268794881816</v>
      </c>
      <c r="AD302">
        <f t="shared" si="205"/>
        <v>8.131413735830975</v>
      </c>
      <c r="AE302">
        <f t="shared" si="205"/>
        <v>8.2896711976108879</v>
      </c>
      <c r="AF302">
        <f t="shared" si="205"/>
        <v>8.4424827409809104</v>
      </c>
      <c r="AG302">
        <f t="shared" si="205"/>
        <v>8.6545094521887815</v>
      </c>
      <c r="AH302">
        <f t="shared" si="205"/>
        <v>8.8966582461783386</v>
      </c>
      <c r="AI302">
        <f t="shared" si="205"/>
        <v>9.5073667431561333</v>
      </c>
      <c r="AJ302">
        <f t="shared" si="186"/>
        <v>12.917915813653922</v>
      </c>
      <c r="AK302">
        <f t="shared" si="175"/>
        <v>13.666671233559713</v>
      </c>
      <c r="AL302">
        <f t="shared" si="176"/>
        <v>14.105369054808719</v>
      </c>
      <c r="AM302">
        <f t="shared" si="177"/>
        <v>14.492062597170426</v>
      </c>
      <c r="AN302">
        <f t="shared" si="178"/>
        <v>14.825990401713145</v>
      </c>
      <c r="AO302">
        <f t="shared" si="179"/>
        <v>15.114540915261538</v>
      </c>
      <c r="AP302">
        <f t="shared" si="180"/>
        <v>15.393161896665013</v>
      </c>
      <c r="AQ302">
        <f t="shared" si="181"/>
        <v>15.779749775156901</v>
      </c>
      <c r="AR302">
        <f t="shared" si="182"/>
        <v>16.221259186940472</v>
      </c>
      <c r="AS302">
        <f t="shared" si="183"/>
        <v>17.334762768063094</v>
      </c>
      <c r="AT302">
        <f t="shared" si="184"/>
        <v>23.553210067203569</v>
      </c>
      <c r="AU302">
        <f t="shared" si="187"/>
        <v>-20.941638147660093</v>
      </c>
      <c r="AV302" s="5">
        <f t="shared" si="204"/>
        <v>-8.0237223340061714</v>
      </c>
      <c r="AW302" s="5">
        <f t="shared" si="204"/>
        <v>-7.2749669141003803</v>
      </c>
      <c r="AX302" s="5">
        <f t="shared" si="204"/>
        <v>-6.8362690928513743</v>
      </c>
      <c r="AY302" s="5">
        <f t="shared" si="204"/>
        <v>-6.4495755504896675</v>
      </c>
      <c r="AZ302" s="5">
        <f t="shared" si="204"/>
        <v>-6.1156477459469478</v>
      </c>
      <c r="BA302" s="5">
        <f t="shared" si="202"/>
        <v>-5.8270972323985557</v>
      </c>
      <c r="BB302" s="5">
        <f t="shared" si="202"/>
        <v>-5.5484762509950798</v>
      </c>
      <c r="BC302" s="5">
        <f t="shared" si="202"/>
        <v>-5.1618883725031921</v>
      </c>
      <c r="BD302" s="5">
        <f t="shared" si="202"/>
        <v>-4.7203789607196214</v>
      </c>
      <c r="BE302" s="5">
        <f t="shared" si="202"/>
        <v>-3.6068753795969997</v>
      </c>
      <c r="BG302" s="1"/>
      <c r="BH302" s="1">
        <f t="shared" si="199"/>
        <v>11.799999999999974</v>
      </c>
      <c r="BI302" s="8">
        <f t="shared" si="198"/>
        <v>674083066.79999995</v>
      </c>
      <c r="BJ302" s="8">
        <f t="shared" si="189"/>
        <v>674083066.79999995</v>
      </c>
      <c r="BK302" s="8">
        <f t="shared" si="190"/>
        <v>674083066.79999995</v>
      </c>
      <c r="BL302" s="8">
        <f t="shared" si="191"/>
        <v>674083066.79999995</v>
      </c>
      <c r="BM302" s="8">
        <f t="shared" si="192"/>
        <v>674083066.79999995</v>
      </c>
      <c r="BN302" s="8">
        <f t="shared" si="193"/>
        <v>674083066.79999995</v>
      </c>
      <c r="BO302" s="8">
        <f t="shared" si="194"/>
        <v>674083066.79999995</v>
      </c>
      <c r="BP302" s="8">
        <f t="shared" si="195"/>
        <v>674083066.79999995</v>
      </c>
      <c r="BQ302" s="8">
        <f t="shared" si="196"/>
        <v>674083066.79999995</v>
      </c>
      <c r="BR302" s="8">
        <f t="shared" si="197"/>
        <v>673857400.20000005</v>
      </c>
      <c r="BS302" s="8">
        <f t="shared" si="188"/>
        <v>6740.6050014000002</v>
      </c>
      <c r="BT302" s="8">
        <f t="shared" si="200"/>
        <v>32.906458599999496</v>
      </c>
      <c r="BU302" s="8"/>
    </row>
    <row r="303" spans="1:73" x14ac:dyDescent="0.35">
      <c r="A303" t="s">
        <v>165</v>
      </c>
      <c r="B303">
        <v>3.3200000000000003</v>
      </c>
      <c r="C303">
        <v>4.6500000000000004</v>
      </c>
      <c r="D303">
        <v>5.57</v>
      </c>
      <c r="E303">
        <v>6.51</v>
      </c>
      <c r="F303">
        <v>7.48</v>
      </c>
      <c r="G303">
        <v>8.68</v>
      </c>
      <c r="H303">
        <v>10.23</v>
      </c>
      <c r="I303">
        <v>12.27</v>
      </c>
      <c r="J303">
        <v>15.620000000000001</v>
      </c>
      <c r="K303">
        <v>25.68</v>
      </c>
      <c r="L303">
        <f t="shared" si="172"/>
        <v>28.2</v>
      </c>
      <c r="M303">
        <f t="shared" si="173"/>
        <v>13985961</v>
      </c>
      <c r="N303">
        <f t="shared" si="174"/>
        <v>498.47514810755899</v>
      </c>
      <c r="O303">
        <f t="shared" si="185"/>
        <v>-9.4238808407139025</v>
      </c>
      <c r="P303" s="8">
        <f t="shared" si="203"/>
        <v>165.4937491717096</v>
      </c>
      <c r="Q303" s="8">
        <f t="shared" si="203"/>
        <v>231.79094387001496</v>
      </c>
      <c r="R303" s="8">
        <f t="shared" si="203"/>
        <v>277.65065749591037</v>
      </c>
      <c r="S303" s="8">
        <f t="shared" si="203"/>
        <v>324.50732141802092</v>
      </c>
      <c r="T303" s="8">
        <f t="shared" si="203"/>
        <v>372.85941078445416</v>
      </c>
      <c r="U303" s="8">
        <f t="shared" si="201"/>
        <v>432.67642855736119</v>
      </c>
      <c r="V303" s="8">
        <f t="shared" si="201"/>
        <v>509.94007651403291</v>
      </c>
      <c r="W303" s="8">
        <f t="shared" si="201"/>
        <v>611.62900672797491</v>
      </c>
      <c r="X303" s="8">
        <f t="shared" si="201"/>
        <v>778.61818134400721</v>
      </c>
      <c r="Y303" s="8">
        <f t="shared" si="201"/>
        <v>1280.0841803402113</v>
      </c>
      <c r="Z303">
        <f t="shared" si="205"/>
        <v>5.1089334247486082</v>
      </c>
      <c r="AA303">
        <f t="shared" si="205"/>
        <v>5.445835861419476</v>
      </c>
      <c r="AB303">
        <f t="shared" si="205"/>
        <v>5.6263636957594043</v>
      </c>
      <c r="AC303">
        <f t="shared" si="205"/>
        <v>5.7823080980406889</v>
      </c>
      <c r="AD303">
        <f t="shared" si="205"/>
        <v>5.9212014338065968</v>
      </c>
      <c r="AE303">
        <f t="shared" si="205"/>
        <v>6.0699901704924697</v>
      </c>
      <c r="AF303">
        <f t="shared" si="205"/>
        <v>6.2342932217837461</v>
      </c>
      <c r="AG303">
        <f t="shared" si="205"/>
        <v>6.4161259005430313</v>
      </c>
      <c r="AH303">
        <f t="shared" si="205"/>
        <v>6.6575207862317516</v>
      </c>
      <c r="AI303">
        <f t="shared" si="205"/>
        <v>7.1546811206419711</v>
      </c>
      <c r="AJ303">
        <f t="shared" si="186"/>
        <v>9.3151080954772887</v>
      </c>
      <c r="AK303">
        <f t="shared" si="175"/>
        <v>9.9293816344544084</v>
      </c>
      <c r="AL303">
        <f t="shared" si="176"/>
        <v>10.25853767375073</v>
      </c>
      <c r="AM303">
        <f t="shared" si="177"/>
        <v>10.542870790541393</v>
      </c>
      <c r="AN303">
        <f t="shared" si="178"/>
        <v>10.796114731856701</v>
      </c>
      <c r="AO303">
        <f t="shared" si="179"/>
        <v>11.067400937878579</v>
      </c>
      <c r="AP303">
        <f t="shared" si="180"/>
        <v>11.366974362691861</v>
      </c>
      <c r="AQ303">
        <f t="shared" si="181"/>
        <v>11.698509522208308</v>
      </c>
      <c r="AR303">
        <f t="shared" si="182"/>
        <v>12.138644334494781</v>
      </c>
      <c r="AS303">
        <f t="shared" si="183"/>
        <v>13.045115777904265</v>
      </c>
      <c r="AT303">
        <f t="shared" si="184"/>
        <v>16.98421796026755</v>
      </c>
      <c r="AU303">
        <f t="shared" si="187"/>
        <v>-21.063926463658724</v>
      </c>
      <c r="AV303" s="5">
        <f t="shared" si="204"/>
        <v>-11.748818368181436</v>
      </c>
      <c r="AW303" s="5">
        <f t="shared" si="204"/>
        <v>-11.134544829204316</v>
      </c>
      <c r="AX303" s="5">
        <f t="shared" si="204"/>
        <v>-10.805388789907994</v>
      </c>
      <c r="AY303" s="5">
        <f t="shared" si="204"/>
        <v>-10.521055673117331</v>
      </c>
      <c r="AZ303" s="5">
        <f t="shared" si="204"/>
        <v>-10.267811731802023</v>
      </c>
      <c r="BA303" s="5">
        <f t="shared" si="202"/>
        <v>-9.9965255257801449</v>
      </c>
      <c r="BB303" s="5">
        <f t="shared" si="202"/>
        <v>-9.6969521009668629</v>
      </c>
      <c r="BC303" s="5">
        <f t="shared" si="202"/>
        <v>-9.365416941450416</v>
      </c>
      <c r="BD303" s="5">
        <f t="shared" si="202"/>
        <v>-8.9252821291639428</v>
      </c>
      <c r="BE303" s="5">
        <f t="shared" si="202"/>
        <v>-8.0188106857544597</v>
      </c>
      <c r="BG303" s="1"/>
      <c r="BH303" s="1">
        <f t="shared" si="199"/>
        <v>11.899999999999974</v>
      </c>
      <c r="BI303" s="8">
        <f t="shared" si="198"/>
        <v>674083066.79999995</v>
      </c>
      <c r="BJ303" s="8">
        <f t="shared" si="189"/>
        <v>674083066.79999995</v>
      </c>
      <c r="BK303" s="8">
        <f t="shared" si="190"/>
        <v>674083066.79999995</v>
      </c>
      <c r="BL303" s="8">
        <f t="shared" si="191"/>
        <v>674083066.79999995</v>
      </c>
      <c r="BM303" s="8">
        <f t="shared" si="192"/>
        <v>674083066.79999995</v>
      </c>
      <c r="BN303" s="8">
        <f t="shared" si="193"/>
        <v>674083066.79999995</v>
      </c>
      <c r="BO303" s="8">
        <f t="shared" si="194"/>
        <v>674083066.79999995</v>
      </c>
      <c r="BP303" s="8">
        <f t="shared" si="195"/>
        <v>674083066.79999995</v>
      </c>
      <c r="BQ303" s="8">
        <f t="shared" si="196"/>
        <v>674083066.79999995</v>
      </c>
      <c r="BR303" s="8">
        <f t="shared" si="197"/>
        <v>673857400.20000005</v>
      </c>
      <c r="BS303" s="8">
        <f t="shared" si="188"/>
        <v>6740.6050014000002</v>
      </c>
      <c r="BT303" s="8">
        <f t="shared" si="200"/>
        <v>0</v>
      </c>
      <c r="BU303" s="8"/>
    </row>
    <row r="304" spans="1:73" x14ac:dyDescent="0.35">
      <c r="A304" t="s">
        <v>389</v>
      </c>
      <c r="B304">
        <v>3.7</v>
      </c>
      <c r="C304">
        <v>5.2</v>
      </c>
      <c r="D304">
        <v>6.2</v>
      </c>
      <c r="E304">
        <v>7.2</v>
      </c>
      <c r="F304">
        <v>8.3000000000000007</v>
      </c>
      <c r="G304">
        <v>9.4</v>
      </c>
      <c r="H304">
        <v>10.700000000000001</v>
      </c>
      <c r="I304">
        <v>12.200000000000001</v>
      </c>
      <c r="J304">
        <v>14.5</v>
      </c>
      <c r="K304">
        <v>22.5</v>
      </c>
      <c r="L304">
        <f t="shared" si="172"/>
        <v>19.2</v>
      </c>
      <c r="M304">
        <f t="shared" si="173"/>
        <v>415995</v>
      </c>
      <c r="N304">
        <f t="shared" si="174"/>
        <v>15992.434998447094</v>
      </c>
      <c r="O304">
        <f t="shared" si="185"/>
        <v>-6.2737290755808068</v>
      </c>
      <c r="P304" s="8">
        <f t="shared" si="203"/>
        <v>5917.2009494254253</v>
      </c>
      <c r="Q304" s="8">
        <f t="shared" si="203"/>
        <v>8316.0661991924899</v>
      </c>
      <c r="R304" s="8">
        <f t="shared" si="203"/>
        <v>9915.3096990371978</v>
      </c>
      <c r="S304" s="8">
        <f t="shared" si="203"/>
        <v>11514.553198881908</v>
      </c>
      <c r="T304" s="8">
        <f t="shared" si="203"/>
        <v>13273.72104871109</v>
      </c>
      <c r="U304" s="8">
        <f t="shared" si="201"/>
        <v>15032.888898540268</v>
      </c>
      <c r="V304" s="8">
        <f t="shared" si="201"/>
        <v>17111.905448338392</v>
      </c>
      <c r="W304" s="8">
        <f t="shared" si="201"/>
        <v>19510.770698105458</v>
      </c>
      <c r="X304" s="8">
        <f t="shared" si="201"/>
        <v>23189.030747748286</v>
      </c>
      <c r="Y304" s="8">
        <f t="shared" si="201"/>
        <v>35982.978746505963</v>
      </c>
      <c r="Z304">
        <f t="shared" si="205"/>
        <v>8.6856188034698736</v>
      </c>
      <c r="AA304">
        <f t="shared" si="205"/>
        <v>9.0259446094070768</v>
      </c>
      <c r="AB304">
        <f t="shared" si="205"/>
        <v>9.2018352758707405</v>
      </c>
      <c r="AC304">
        <f t="shared" si="205"/>
        <v>9.3513670098417041</v>
      </c>
      <c r="AD304">
        <f t="shared" si="205"/>
        <v>9.4935414986222479</v>
      </c>
      <c r="AE304">
        <f t="shared" si="205"/>
        <v>9.6179956730956526</v>
      </c>
      <c r="AF304">
        <f t="shared" si="205"/>
        <v>9.7475297252875546</v>
      </c>
      <c r="AG304">
        <f t="shared" si="205"/>
        <v>9.8787219355589055</v>
      </c>
      <c r="AH304">
        <f t="shared" si="205"/>
        <v>10.051434633246224</v>
      </c>
      <c r="AI304">
        <f t="shared" si="205"/>
        <v>10.490801293030069</v>
      </c>
      <c r="AJ304">
        <f t="shared" si="186"/>
        <v>15.836471393129015</v>
      </c>
      <c r="AK304">
        <f t="shared" si="175"/>
        <v>16.456986754442706</v>
      </c>
      <c r="AL304">
        <f t="shared" si="176"/>
        <v>16.77768785482457</v>
      </c>
      <c r="AM304">
        <f t="shared" si="177"/>
        <v>17.050328766310361</v>
      </c>
      <c r="AN304">
        <f t="shared" si="178"/>
        <v>17.309555227354949</v>
      </c>
      <c r="AO304">
        <f t="shared" si="179"/>
        <v>17.536472274763959</v>
      </c>
      <c r="AP304">
        <f t="shared" si="180"/>
        <v>17.77265145305735</v>
      </c>
      <c r="AQ304">
        <f t="shared" si="181"/>
        <v>18.011853947660683</v>
      </c>
      <c r="AR304">
        <f t="shared" si="182"/>
        <v>18.326760663928575</v>
      </c>
      <c r="AS304">
        <f t="shared" si="183"/>
        <v>19.127857015979139</v>
      </c>
      <c r="AT304">
        <f t="shared" si="184"/>
        <v>28.874606618149347</v>
      </c>
      <c r="AU304">
        <f t="shared" si="187"/>
        <v>-24.146544451562011</v>
      </c>
      <c r="AV304" s="5">
        <f t="shared" si="204"/>
        <v>-8.3100730584329963</v>
      </c>
      <c r="AW304" s="5">
        <f t="shared" si="204"/>
        <v>-7.6895576971193051</v>
      </c>
      <c r="AX304" s="5">
        <f t="shared" si="204"/>
        <v>-7.3688565967374409</v>
      </c>
      <c r="AY304" s="5">
        <f t="shared" si="204"/>
        <v>-7.09621568525165</v>
      </c>
      <c r="AZ304" s="5">
        <f t="shared" si="204"/>
        <v>-6.8369892242070627</v>
      </c>
      <c r="BA304" s="5">
        <f t="shared" si="202"/>
        <v>-6.6100721767980524</v>
      </c>
      <c r="BB304" s="5">
        <f t="shared" si="202"/>
        <v>-6.3738929985046617</v>
      </c>
      <c r="BC304" s="5">
        <f t="shared" si="202"/>
        <v>-6.1346905039013286</v>
      </c>
      <c r="BD304" s="5">
        <f t="shared" si="202"/>
        <v>-5.8197837876334368</v>
      </c>
      <c r="BE304" s="5">
        <f t="shared" si="202"/>
        <v>-5.0186874355828728</v>
      </c>
      <c r="BG304" s="1"/>
      <c r="BH304" s="1">
        <f t="shared" si="199"/>
        <v>11.999999999999973</v>
      </c>
      <c r="BI304" s="8">
        <f t="shared" si="198"/>
        <v>674083066.79999995</v>
      </c>
      <c r="BJ304" s="8">
        <f t="shared" si="189"/>
        <v>674083066.79999995</v>
      </c>
      <c r="BK304" s="8">
        <f t="shared" si="190"/>
        <v>674083066.79999995</v>
      </c>
      <c r="BL304" s="8">
        <f t="shared" si="191"/>
        <v>674083066.79999995</v>
      </c>
      <c r="BM304" s="8">
        <f t="shared" si="192"/>
        <v>674083066.79999995</v>
      </c>
      <c r="BN304" s="8">
        <f t="shared" si="193"/>
        <v>674083066.79999995</v>
      </c>
      <c r="BO304" s="8">
        <f t="shared" si="194"/>
        <v>674083066.79999995</v>
      </c>
      <c r="BP304" s="8">
        <f t="shared" si="195"/>
        <v>674083066.79999995</v>
      </c>
      <c r="BQ304" s="8">
        <f t="shared" si="196"/>
        <v>674083066.79999995</v>
      </c>
      <c r="BR304" s="8">
        <f t="shared" si="197"/>
        <v>673857400.20000005</v>
      </c>
      <c r="BS304" s="8">
        <f t="shared" si="188"/>
        <v>6740.6050014000002</v>
      </c>
      <c r="BT304" s="8">
        <f t="shared" si="200"/>
        <v>0</v>
      </c>
      <c r="BU304" s="8"/>
    </row>
    <row r="305" spans="1:73" x14ac:dyDescent="0.35">
      <c r="A305" t="s">
        <v>391</v>
      </c>
      <c r="B305">
        <v>2.98</v>
      </c>
      <c r="C305">
        <v>4.57</v>
      </c>
      <c r="D305">
        <v>5.68</v>
      </c>
      <c r="E305">
        <v>6.74</v>
      </c>
      <c r="F305">
        <v>7.87</v>
      </c>
      <c r="G305">
        <v>9.1</v>
      </c>
      <c r="H305">
        <v>10.61</v>
      </c>
      <c r="I305">
        <v>12.46</v>
      </c>
      <c r="J305">
        <v>15.24</v>
      </c>
      <c r="K305">
        <v>24.75</v>
      </c>
      <c r="L305">
        <f t="shared" si="172"/>
        <v>27.6</v>
      </c>
      <c r="M305">
        <f t="shared" si="173"/>
        <v>3609420</v>
      </c>
      <c r="N305">
        <f t="shared" si="174"/>
        <v>779.63628630847154</v>
      </c>
      <c r="O305">
        <f t="shared" si="185"/>
        <v>-8.3852111385445962</v>
      </c>
      <c r="P305" s="8">
        <f t="shared" si="203"/>
        <v>232.33161331992451</v>
      </c>
      <c r="Q305" s="8">
        <f t="shared" si="203"/>
        <v>356.2937828429715</v>
      </c>
      <c r="R305" s="8">
        <f t="shared" si="203"/>
        <v>442.83341062321176</v>
      </c>
      <c r="S305" s="8">
        <f t="shared" si="203"/>
        <v>525.47485697190984</v>
      </c>
      <c r="T305" s="8">
        <f t="shared" si="203"/>
        <v>613.57375732476714</v>
      </c>
      <c r="U305" s="8">
        <f t="shared" si="201"/>
        <v>709.46902054070904</v>
      </c>
      <c r="V305" s="8">
        <f t="shared" si="201"/>
        <v>827.19409977328837</v>
      </c>
      <c r="W305" s="8">
        <f t="shared" si="201"/>
        <v>971.42681274035567</v>
      </c>
      <c r="X305" s="8">
        <f t="shared" si="201"/>
        <v>1188.1657003341106</v>
      </c>
      <c r="Y305" s="8">
        <f t="shared" si="201"/>
        <v>1929.5998086134671</v>
      </c>
      <c r="Z305">
        <f t="shared" si="205"/>
        <v>5.4481657188509116</v>
      </c>
      <c r="AA305">
        <f t="shared" si="205"/>
        <v>5.8757556232397121</v>
      </c>
      <c r="AB305">
        <f t="shared" si="205"/>
        <v>6.0931936510666587</v>
      </c>
      <c r="AC305">
        <f t="shared" si="205"/>
        <v>6.2643023432578149</v>
      </c>
      <c r="AD305">
        <f t="shared" si="205"/>
        <v>6.419300480762911</v>
      </c>
      <c r="AE305">
        <f t="shared" si="205"/>
        <v>6.5645168318564036</v>
      </c>
      <c r="AF305">
        <f t="shared" si="205"/>
        <v>6.7180393709594908</v>
      </c>
      <c r="AG305">
        <f t="shared" si="205"/>
        <v>6.8787659316929064</v>
      </c>
      <c r="AH305">
        <f t="shared" si="205"/>
        <v>7.080165968592099</v>
      </c>
      <c r="AI305">
        <f t="shared" si="205"/>
        <v>7.5650679073482987</v>
      </c>
      <c r="AJ305">
        <f t="shared" si="186"/>
        <v>9.9336296588494299</v>
      </c>
      <c r="AK305">
        <f t="shared" si="175"/>
        <v>10.713253476341722</v>
      </c>
      <c r="AL305">
        <f t="shared" si="176"/>
        <v>11.109707797602537</v>
      </c>
      <c r="AM305">
        <f t="shared" si="177"/>
        <v>11.421689933857287</v>
      </c>
      <c r="AN305">
        <f t="shared" si="178"/>
        <v>11.704297727974055</v>
      </c>
      <c r="AO305">
        <f t="shared" si="179"/>
        <v>11.969070410490117</v>
      </c>
      <c r="AP305">
        <f t="shared" si="180"/>
        <v>12.248987748991699</v>
      </c>
      <c r="AQ305">
        <f t="shared" si="181"/>
        <v>12.542040165723813</v>
      </c>
      <c r="AR305">
        <f t="shared" si="182"/>
        <v>12.909252450202038</v>
      </c>
      <c r="AS305">
        <f t="shared" si="183"/>
        <v>13.793373185332339</v>
      </c>
      <c r="AT305">
        <f t="shared" si="184"/>
        <v>18.111967089720849</v>
      </c>
      <c r="AU305">
        <f t="shared" si="187"/>
        <v>-20.82558167083684</v>
      </c>
      <c r="AV305" s="5">
        <f t="shared" si="204"/>
        <v>-10.89195201198741</v>
      </c>
      <c r="AW305" s="5">
        <f t="shared" si="204"/>
        <v>-10.112328194495118</v>
      </c>
      <c r="AX305" s="5">
        <f t="shared" si="204"/>
        <v>-9.7158738732343028</v>
      </c>
      <c r="AY305" s="5">
        <f t="shared" si="204"/>
        <v>-9.4038917369795527</v>
      </c>
      <c r="AZ305" s="5">
        <f t="shared" si="204"/>
        <v>-9.1212839428627852</v>
      </c>
      <c r="BA305" s="5">
        <f t="shared" si="202"/>
        <v>-8.8565112603467231</v>
      </c>
      <c r="BB305" s="5">
        <f t="shared" si="202"/>
        <v>-8.5765939218451415</v>
      </c>
      <c r="BC305" s="5">
        <f t="shared" si="202"/>
        <v>-8.2835415051130266</v>
      </c>
      <c r="BD305" s="5">
        <f t="shared" si="202"/>
        <v>-7.9163292206348022</v>
      </c>
      <c r="BE305" s="5">
        <f t="shared" si="202"/>
        <v>-7.0322084855045013</v>
      </c>
      <c r="BG305" s="1"/>
      <c r="BH305" s="1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</row>
    <row r="306" spans="1:73" x14ac:dyDescent="0.35">
      <c r="A306" t="s">
        <v>166</v>
      </c>
      <c r="B306">
        <v>2.98</v>
      </c>
      <c r="C306">
        <v>4.4400000000000004</v>
      </c>
      <c r="D306">
        <v>5.39</v>
      </c>
      <c r="E306">
        <v>6.36</v>
      </c>
      <c r="F306">
        <v>7.33</v>
      </c>
      <c r="G306">
        <v>8.39</v>
      </c>
      <c r="H306">
        <v>9.7000000000000011</v>
      </c>
      <c r="I306">
        <v>11.53</v>
      </c>
      <c r="J306">
        <v>14.84</v>
      </c>
      <c r="K306">
        <v>29.04</v>
      </c>
      <c r="L306">
        <f t="shared" si="172"/>
        <v>22.4</v>
      </c>
      <c r="M306">
        <f t="shared" si="173"/>
        <v>1280924</v>
      </c>
      <c r="N306">
        <f t="shared" si="174"/>
        <v>6109.775155938677</v>
      </c>
      <c r="O306">
        <f t="shared" si="185"/>
        <v>-2.6973514293693857</v>
      </c>
      <c r="P306" s="8">
        <f t="shared" si="203"/>
        <v>1820.7129964697258</v>
      </c>
      <c r="Q306" s="8">
        <f t="shared" si="203"/>
        <v>2712.740169236773</v>
      </c>
      <c r="R306" s="8">
        <f t="shared" si="203"/>
        <v>3293.1688090509465</v>
      </c>
      <c r="S306" s="8">
        <f t="shared" si="203"/>
        <v>3885.8169991769987</v>
      </c>
      <c r="T306" s="8">
        <f t="shared" si="203"/>
        <v>4478.4651893030505</v>
      </c>
      <c r="U306" s="8">
        <f t="shared" si="201"/>
        <v>5126.1013558325503</v>
      </c>
      <c r="V306" s="8">
        <f t="shared" si="201"/>
        <v>5926.4819012605167</v>
      </c>
      <c r="W306" s="8">
        <f t="shared" si="201"/>
        <v>7044.5707547972943</v>
      </c>
      <c r="X306" s="8">
        <f t="shared" si="201"/>
        <v>9066.9063314129962</v>
      </c>
      <c r="Y306" s="8">
        <f t="shared" si="201"/>
        <v>17742.787052845917</v>
      </c>
      <c r="Z306">
        <f t="shared" si="205"/>
        <v>7.5069834596564231</v>
      </c>
      <c r="AA306">
        <f t="shared" si="205"/>
        <v>7.9057145355832441</v>
      </c>
      <c r="AB306">
        <f t="shared" si="205"/>
        <v>8.0996055440600152</v>
      </c>
      <c r="AC306">
        <f t="shared" si="205"/>
        <v>8.2650885364911417</v>
      </c>
      <c r="AD306">
        <f t="shared" si="205"/>
        <v>8.4070356750376707</v>
      </c>
      <c r="AE306">
        <f t="shared" si="205"/>
        <v>8.5421006796182262</v>
      </c>
      <c r="AF306">
        <f t="shared" si="205"/>
        <v>8.6871860446484472</v>
      </c>
      <c r="AG306">
        <f t="shared" si="205"/>
        <v>8.8600124934200775</v>
      </c>
      <c r="AH306">
        <f t="shared" si="205"/>
        <v>9.1123863968783443</v>
      </c>
      <c r="AI306">
        <f t="shared" si="205"/>
        <v>9.7837343490957061</v>
      </c>
      <c r="AJ306">
        <f t="shared" si="186"/>
        <v>13.687467928024638</v>
      </c>
      <c r="AK306">
        <f t="shared" si="175"/>
        <v>14.414473501299858</v>
      </c>
      <c r="AL306">
        <f t="shared" si="176"/>
        <v>14.767994589273538</v>
      </c>
      <c r="AM306">
        <f t="shared" si="177"/>
        <v>15.069719398407226</v>
      </c>
      <c r="AN306">
        <f t="shared" si="178"/>
        <v>15.328531332224836</v>
      </c>
      <c r="AO306">
        <f t="shared" si="179"/>
        <v>15.574795084946553</v>
      </c>
      <c r="AP306">
        <f t="shared" si="180"/>
        <v>15.839328940835426</v>
      </c>
      <c r="AQ306">
        <f t="shared" si="181"/>
        <v>16.154443059227841</v>
      </c>
      <c r="AR306">
        <f t="shared" si="182"/>
        <v>16.61459589265549</v>
      </c>
      <c r="AS306">
        <f t="shared" si="183"/>
        <v>17.838663271237504</v>
      </c>
      <c r="AT306">
        <f t="shared" si="184"/>
        <v>24.956332898231469</v>
      </c>
      <c r="AU306">
        <f t="shared" si="187"/>
        <v>-18.974952349889328</v>
      </c>
      <c r="AV306" s="5">
        <f t="shared" si="204"/>
        <v>-5.2874844218646899</v>
      </c>
      <c r="AW306" s="5">
        <f t="shared" si="204"/>
        <v>-4.5604788485894705</v>
      </c>
      <c r="AX306" s="5">
        <f t="shared" si="204"/>
        <v>-4.20695776061579</v>
      </c>
      <c r="AY306" s="5">
        <f t="shared" si="204"/>
        <v>-3.9052329514821018</v>
      </c>
      <c r="AZ306" s="5">
        <f t="shared" si="204"/>
        <v>-3.6464210176644922</v>
      </c>
      <c r="BA306" s="5">
        <f t="shared" si="202"/>
        <v>-3.4001572649427754</v>
      </c>
      <c r="BB306" s="5">
        <f t="shared" si="202"/>
        <v>-3.1356234090539026</v>
      </c>
      <c r="BC306" s="5">
        <f t="shared" si="202"/>
        <v>-2.8205092906614873</v>
      </c>
      <c r="BD306" s="5">
        <f t="shared" si="202"/>
        <v>-2.3603564572338378</v>
      </c>
      <c r="BE306" s="5">
        <f t="shared" si="202"/>
        <v>-1.1362890786518243</v>
      </c>
      <c r="BG306" s="1"/>
      <c r="BH306" s="1">
        <v>0</v>
      </c>
      <c r="BI306" s="8">
        <f>SUMIF(Z$380:Z$550,"="&amp;$BH306,$M$208:$M$378)/10</f>
        <v>279098481.80000001</v>
      </c>
      <c r="BJ306" s="8">
        <f t="shared" ref="BJ306:BR306" si="206">SUMIF(AA$380:AA$550,"="&amp;$BH306,$M$208:$M$378)/10</f>
        <v>107287153.90000001</v>
      </c>
      <c r="BK306" s="8">
        <f t="shared" si="206"/>
        <v>70678164.400000006</v>
      </c>
      <c r="BL306" s="8">
        <f t="shared" si="206"/>
        <v>65367587.600000001</v>
      </c>
      <c r="BM306" s="8">
        <f t="shared" si="206"/>
        <v>61341809.299999997</v>
      </c>
      <c r="BN306" s="8">
        <f t="shared" si="206"/>
        <v>37548903.100000001</v>
      </c>
      <c r="BO306" s="8">
        <f t="shared" si="206"/>
        <v>27617099.600000001</v>
      </c>
      <c r="BP306" s="8">
        <f t="shared" si="206"/>
        <v>16310972.800000001</v>
      </c>
      <c r="BQ306" s="8">
        <f t="shared" si="206"/>
        <v>11134172.800000001</v>
      </c>
      <c r="BR306" s="8">
        <f t="shared" si="206"/>
        <v>0</v>
      </c>
      <c r="BS306" s="8">
        <f t="shared" ref="BS306:BS366" si="207">SUM(BI306:BR306)/1000000</f>
        <v>676.38434529999995</v>
      </c>
      <c r="BT306" s="8">
        <v>0</v>
      </c>
      <c r="BU306" s="8"/>
    </row>
    <row r="307" spans="1:73" x14ac:dyDescent="0.35">
      <c r="A307" t="s">
        <v>167</v>
      </c>
      <c r="B307">
        <v>1.54</v>
      </c>
      <c r="C307">
        <v>2.91</v>
      </c>
      <c r="D307">
        <v>3.88</v>
      </c>
      <c r="E307">
        <v>4.8</v>
      </c>
      <c r="F307">
        <v>5.8</v>
      </c>
      <c r="G307">
        <v>6.95</v>
      </c>
      <c r="H307">
        <v>8.51</v>
      </c>
      <c r="I307">
        <v>10.83</v>
      </c>
      <c r="J307">
        <v>15.27</v>
      </c>
      <c r="K307">
        <v>39.51</v>
      </c>
      <c r="L307">
        <f t="shared" si="172"/>
        <v>21</v>
      </c>
      <c r="M307">
        <f t="shared" si="173"/>
        <v>117886404</v>
      </c>
      <c r="N307">
        <f t="shared" si="174"/>
        <v>8084.6290001796442</v>
      </c>
      <c r="O307">
        <f t="shared" si="185"/>
        <v>-1.6659938340842562</v>
      </c>
      <c r="P307" s="8">
        <f t="shared" si="203"/>
        <v>1245.0328660276652</v>
      </c>
      <c r="Q307" s="8">
        <f t="shared" si="203"/>
        <v>2352.6270390522764</v>
      </c>
      <c r="R307" s="8">
        <f t="shared" si="203"/>
        <v>3136.8360520697015</v>
      </c>
      <c r="S307" s="8">
        <f t="shared" si="203"/>
        <v>3880.6219200862288</v>
      </c>
      <c r="T307" s="8">
        <f t="shared" si="203"/>
        <v>4689.0848201041936</v>
      </c>
      <c r="U307" s="8">
        <f t="shared" si="201"/>
        <v>5618.8171551248533</v>
      </c>
      <c r="V307" s="8">
        <f t="shared" si="201"/>
        <v>6880.0192791528771</v>
      </c>
      <c r="W307" s="8">
        <f t="shared" si="201"/>
        <v>8755.6532071945549</v>
      </c>
      <c r="X307" s="8">
        <f t="shared" si="201"/>
        <v>12345.228483274315</v>
      </c>
      <c r="Y307" s="8">
        <f t="shared" si="201"/>
        <v>31942.369179709774</v>
      </c>
      <c r="Z307">
        <f t="shared" si="205"/>
        <v>7.126917206966171</v>
      </c>
      <c r="AA307">
        <f t="shared" si="205"/>
        <v>7.7632878717240343</v>
      </c>
      <c r="AB307">
        <f t="shared" si="205"/>
        <v>8.0509699441758151</v>
      </c>
      <c r="AC307">
        <f t="shared" si="205"/>
        <v>8.263750708454479</v>
      </c>
      <c r="AD307">
        <f t="shared" si="205"/>
        <v>8.4529927080930065</v>
      </c>
      <c r="AE307">
        <f t="shared" si="205"/>
        <v>8.6338764501173344</v>
      </c>
      <c r="AF307">
        <f t="shared" si="205"/>
        <v>8.8363767331259169</v>
      </c>
      <c r="AG307">
        <f t="shared" si="205"/>
        <v>9.0774548515535329</v>
      </c>
      <c r="AH307">
        <f t="shared" si="205"/>
        <v>9.4210249097711749</v>
      </c>
      <c r="AI307">
        <f t="shared" si="205"/>
        <v>10.371688594963933</v>
      </c>
      <c r="AJ307">
        <f t="shared" si="186"/>
        <v>12.994493889627007</v>
      </c>
      <c r="AK307">
        <f t="shared" si="175"/>
        <v>14.154787249938689</v>
      </c>
      <c r="AL307">
        <f t="shared" si="176"/>
        <v>14.679317397275875</v>
      </c>
      <c r="AM307">
        <f t="shared" si="177"/>
        <v>15.067280139223636</v>
      </c>
      <c r="AN307">
        <f t="shared" si="178"/>
        <v>15.412324698680564</v>
      </c>
      <c r="AO307">
        <f t="shared" si="179"/>
        <v>15.742129663746036</v>
      </c>
      <c r="AP307">
        <f t="shared" si="180"/>
        <v>16.111348024755017</v>
      </c>
      <c r="AQ307">
        <f t="shared" si="181"/>
        <v>16.550905275927853</v>
      </c>
      <c r="AR307">
        <f t="shared" si="182"/>
        <v>17.177335875935963</v>
      </c>
      <c r="AS307">
        <f t="shared" si="183"/>
        <v>18.91067907182055</v>
      </c>
      <c r="AT307">
        <f t="shared" si="184"/>
        <v>23.692834719969145</v>
      </c>
      <c r="AU307">
        <f t="shared" si="187"/>
        <v>-18.816920402629947</v>
      </c>
      <c r="AV307" s="5">
        <f t="shared" si="204"/>
        <v>-5.8224265130029398</v>
      </c>
      <c r="AW307" s="5">
        <f t="shared" si="204"/>
        <v>-4.6621331526912577</v>
      </c>
      <c r="AX307" s="5">
        <f t="shared" si="204"/>
        <v>-4.1376030053540713</v>
      </c>
      <c r="AY307" s="5">
        <f t="shared" si="204"/>
        <v>-3.7496402634063113</v>
      </c>
      <c r="AZ307" s="5">
        <f t="shared" si="204"/>
        <v>-3.4045957039493828</v>
      </c>
      <c r="BA307" s="5">
        <f t="shared" si="202"/>
        <v>-3.0747907388839106</v>
      </c>
      <c r="BB307" s="5">
        <f t="shared" si="202"/>
        <v>-2.7055723778749297</v>
      </c>
      <c r="BC307" s="5">
        <f t="shared" si="202"/>
        <v>-2.2660151267020936</v>
      </c>
      <c r="BD307" s="5">
        <f t="shared" si="202"/>
        <v>-1.6395845266939837</v>
      </c>
      <c r="BE307" s="5">
        <f t="shared" si="202"/>
        <v>9.3758669190602717E-2</v>
      </c>
      <c r="BG307" s="1"/>
      <c r="BH307" s="1">
        <f t="shared" si="199"/>
        <v>0.1</v>
      </c>
      <c r="BI307" s="8">
        <f t="shared" ref="BI307:BI366" si="208">SUMIF(Z$380:Z$550,"&lt;"&amp;$BH307,$M$208:$M$378)/10</f>
        <v>281019140.80000001</v>
      </c>
      <c r="BJ307" s="8">
        <f t="shared" ref="BJ307:BR321" si="209">SUMIF(AA$380:AA$550,"&lt;"&amp;$BH307,$M$208:$M$378)/10</f>
        <v>125184305.40000001</v>
      </c>
      <c r="BK307" s="8">
        <f t="shared" si="209"/>
        <v>73370800.200000003</v>
      </c>
      <c r="BL307" s="8">
        <f t="shared" si="209"/>
        <v>67179237</v>
      </c>
      <c r="BM307" s="8">
        <f t="shared" si="209"/>
        <v>62740405.399999999</v>
      </c>
      <c r="BN307" s="8">
        <f t="shared" si="209"/>
        <v>44907563.299999997</v>
      </c>
      <c r="BO307" s="8">
        <f t="shared" si="209"/>
        <v>32815198</v>
      </c>
      <c r="BP307" s="8">
        <f t="shared" si="209"/>
        <v>17398576.100000001</v>
      </c>
      <c r="BQ307" s="8">
        <f t="shared" si="209"/>
        <v>11529971.800000001</v>
      </c>
      <c r="BR307" s="8">
        <f t="shared" si="209"/>
        <v>0</v>
      </c>
      <c r="BS307" s="8">
        <f t="shared" si="207"/>
        <v>716.14519800000005</v>
      </c>
      <c r="BT307" s="8">
        <f>BS307-BS306</f>
        <v>39.7608527000001</v>
      </c>
      <c r="BU307" s="8"/>
    </row>
    <row r="308" spans="1:73" x14ac:dyDescent="0.35">
      <c r="A308" t="s">
        <v>392</v>
      </c>
      <c r="B308">
        <v>1.6400000000000001</v>
      </c>
      <c r="C308">
        <v>3.37</v>
      </c>
      <c r="D308">
        <v>4.51</v>
      </c>
      <c r="E308">
        <v>5.47</v>
      </c>
      <c r="F308">
        <v>6.65</v>
      </c>
      <c r="G308">
        <v>8.11</v>
      </c>
      <c r="H308">
        <v>9.82</v>
      </c>
      <c r="I308">
        <v>12.34</v>
      </c>
      <c r="J308">
        <v>16.740000000000002</v>
      </c>
      <c r="K308">
        <v>31.35</v>
      </c>
      <c r="L308">
        <f t="shared" si="172"/>
        <v>27.6</v>
      </c>
      <c r="M308">
        <f t="shared" si="173"/>
        <v>103619</v>
      </c>
      <c r="N308">
        <f t="shared" si="174"/>
        <v>2378.1192216459017</v>
      </c>
      <c r="O308">
        <f t="shared" si="185"/>
        <v>-6.3518004707461024</v>
      </c>
      <c r="P308" s="8">
        <f t="shared" si="203"/>
        <v>390.01155234992791</v>
      </c>
      <c r="Q308" s="8">
        <f t="shared" si="203"/>
        <v>801.42617769466892</v>
      </c>
      <c r="R308" s="8">
        <f t="shared" si="203"/>
        <v>1072.5317689623016</v>
      </c>
      <c r="S308" s="8">
        <f t="shared" si="203"/>
        <v>1300.8312142403081</v>
      </c>
      <c r="T308" s="8">
        <f t="shared" si="203"/>
        <v>1581.4492823945247</v>
      </c>
      <c r="U308" s="8">
        <f t="shared" si="201"/>
        <v>1928.6546887548261</v>
      </c>
      <c r="V308" s="8">
        <f t="shared" si="201"/>
        <v>2335.3130756562755</v>
      </c>
      <c r="W308" s="8">
        <f t="shared" si="201"/>
        <v>2934.5991195110428</v>
      </c>
      <c r="X308" s="8">
        <f t="shared" si="201"/>
        <v>3980.97157703524</v>
      </c>
      <c r="Y308" s="8">
        <f t="shared" si="201"/>
        <v>7455.4037598599025</v>
      </c>
      <c r="Z308">
        <f t="shared" si="205"/>
        <v>5.9661763600950586</v>
      </c>
      <c r="AA308">
        <f t="shared" si="205"/>
        <v>6.6863928626232214</v>
      </c>
      <c r="AB308">
        <f t="shared" si="205"/>
        <v>6.9777772717735385</v>
      </c>
      <c r="AC308">
        <f t="shared" si="205"/>
        <v>7.170758734692841</v>
      </c>
      <c r="AD308">
        <f t="shared" si="205"/>
        <v>7.3660969729267141</v>
      </c>
      <c r="AE308">
        <f t="shared" si="205"/>
        <v>7.564577986386273</v>
      </c>
      <c r="AF308">
        <f t="shared" si="205"/>
        <v>7.7559012406253256</v>
      </c>
      <c r="AG308">
        <f t="shared" si="205"/>
        <v>7.9843261367361933</v>
      </c>
      <c r="AH308">
        <f t="shared" si="205"/>
        <v>8.2892811833202806</v>
      </c>
      <c r="AI308">
        <f t="shared" si="205"/>
        <v>8.9166943853378804</v>
      </c>
      <c r="AJ308">
        <f t="shared" si="186"/>
        <v>10.8781174250086</v>
      </c>
      <c r="AK308">
        <f t="shared" si="175"/>
        <v>12.191286733635195</v>
      </c>
      <c r="AL308">
        <f t="shared" si="176"/>
        <v>12.72256734407015</v>
      </c>
      <c r="AM308">
        <f t="shared" si="177"/>
        <v>13.074430059447987</v>
      </c>
      <c r="AN308">
        <f t="shared" si="178"/>
        <v>13.430589878543332</v>
      </c>
      <c r="AO308">
        <f t="shared" si="179"/>
        <v>13.792479913422119</v>
      </c>
      <c r="AP308">
        <f t="shared" si="180"/>
        <v>14.141319220229676</v>
      </c>
      <c r="AQ308">
        <f t="shared" si="181"/>
        <v>14.557805876458829</v>
      </c>
      <c r="AR308">
        <f t="shared" si="182"/>
        <v>15.113829802985501</v>
      </c>
      <c r="AS308">
        <f t="shared" si="183"/>
        <v>16.257791039397787</v>
      </c>
      <c r="AT308">
        <f t="shared" si="184"/>
        <v>19.834049744783332</v>
      </c>
      <c r="AU308">
        <f t="shared" si="187"/>
        <v>-21.053694811263341</v>
      </c>
      <c r="AV308" s="5">
        <f t="shared" si="204"/>
        <v>-10.175577386254741</v>
      </c>
      <c r="AW308" s="5">
        <f t="shared" si="204"/>
        <v>-8.862408077628146</v>
      </c>
      <c r="AX308" s="5">
        <f t="shared" si="204"/>
        <v>-8.3311274671931912</v>
      </c>
      <c r="AY308" s="5">
        <f t="shared" si="204"/>
        <v>-7.9792647518153537</v>
      </c>
      <c r="AZ308" s="5">
        <f t="shared" si="204"/>
        <v>-7.6231049327200093</v>
      </c>
      <c r="BA308" s="5">
        <f t="shared" si="202"/>
        <v>-7.2612148978412225</v>
      </c>
      <c r="BB308" s="5">
        <f t="shared" si="202"/>
        <v>-6.9123755910336655</v>
      </c>
      <c r="BC308" s="5">
        <f t="shared" si="202"/>
        <v>-6.4958889348045119</v>
      </c>
      <c r="BD308" s="5">
        <f t="shared" si="202"/>
        <v>-5.9398650082778399</v>
      </c>
      <c r="BE308" s="5">
        <f t="shared" si="202"/>
        <v>-4.7959037718655537</v>
      </c>
      <c r="BG308" s="1"/>
      <c r="BH308" s="1">
        <f t="shared" si="199"/>
        <v>0.2</v>
      </c>
      <c r="BI308" s="8">
        <f t="shared" si="208"/>
        <v>310358749.10000002</v>
      </c>
      <c r="BJ308" s="8">
        <f t="shared" si="209"/>
        <v>267109945.19999999</v>
      </c>
      <c r="BK308" s="8">
        <f t="shared" si="209"/>
        <v>96732719.799999997</v>
      </c>
      <c r="BL308" s="8">
        <f t="shared" si="209"/>
        <v>69274770.299999997</v>
      </c>
      <c r="BM308" s="8">
        <f t="shared" si="209"/>
        <v>65806266.799999997</v>
      </c>
      <c r="BN308" s="8">
        <f t="shared" si="209"/>
        <v>62740405.399999999</v>
      </c>
      <c r="BO308" s="8">
        <f t="shared" si="209"/>
        <v>39865664.100000001</v>
      </c>
      <c r="BP308" s="8">
        <f t="shared" si="209"/>
        <v>25913339.899999999</v>
      </c>
      <c r="BQ308" s="8">
        <f t="shared" si="209"/>
        <v>15227299.6</v>
      </c>
      <c r="BR308" s="8">
        <f t="shared" si="209"/>
        <v>923275.3</v>
      </c>
      <c r="BS308" s="8">
        <f t="shared" si="207"/>
        <v>953.95243549999975</v>
      </c>
      <c r="BT308" s="8">
        <f t="shared" ref="BT308:BT366" si="210">BS308-BS307</f>
        <v>237.8072374999997</v>
      </c>
      <c r="BU308" s="8"/>
    </row>
    <row r="309" spans="1:73" x14ac:dyDescent="0.35">
      <c r="A309" t="s">
        <v>229</v>
      </c>
      <c r="B309">
        <v>4.2</v>
      </c>
      <c r="C309">
        <v>5.5200000000000005</v>
      </c>
      <c r="D309">
        <v>6.43</v>
      </c>
      <c r="E309">
        <v>7.3</v>
      </c>
      <c r="F309">
        <v>8.19</v>
      </c>
      <c r="G309">
        <v>9.18</v>
      </c>
      <c r="H309">
        <v>10.43</v>
      </c>
      <c r="I309">
        <v>12.1</v>
      </c>
      <c r="J309">
        <v>14.56</v>
      </c>
      <c r="K309">
        <v>22.09</v>
      </c>
      <c r="L309">
        <f t="shared" si="172"/>
        <v>9.4</v>
      </c>
      <c r="M309">
        <f t="shared" si="173"/>
        <v>3562062</v>
      </c>
      <c r="N309">
        <f t="shared" si="174"/>
        <v>982.97849155955339</v>
      </c>
      <c r="O309">
        <f t="shared" si="185"/>
        <v>-7.8011732323957705</v>
      </c>
      <c r="P309" s="8">
        <f t="shared" si="203"/>
        <v>412.85096645501244</v>
      </c>
      <c r="Q309" s="8">
        <f t="shared" si="203"/>
        <v>542.60412734087345</v>
      </c>
      <c r="R309" s="8">
        <f t="shared" si="203"/>
        <v>632.05517007279275</v>
      </c>
      <c r="S309" s="8">
        <f t="shared" si="203"/>
        <v>717.57429883847396</v>
      </c>
      <c r="T309" s="8">
        <f t="shared" si="203"/>
        <v>805.05938458727417</v>
      </c>
      <c r="U309" s="8">
        <f t="shared" si="201"/>
        <v>902.37425525166998</v>
      </c>
      <c r="V309" s="8">
        <f t="shared" si="201"/>
        <v>1025.2465666966141</v>
      </c>
      <c r="W309" s="8">
        <f t="shared" si="201"/>
        <v>1189.4039747870597</v>
      </c>
      <c r="X309" s="8">
        <f t="shared" si="201"/>
        <v>1431.2166837107097</v>
      </c>
      <c r="Y309" s="8">
        <f t="shared" si="201"/>
        <v>2171.3994878550534</v>
      </c>
      <c r="Z309">
        <f t="shared" si="205"/>
        <v>6.0230866717956921</v>
      </c>
      <c r="AA309">
        <f t="shared" si="205"/>
        <v>6.2963800067953732</v>
      </c>
      <c r="AB309">
        <f t="shared" si="205"/>
        <v>6.4489766847558974</v>
      </c>
      <c r="AC309">
        <f t="shared" si="205"/>
        <v>6.5758764946607151</v>
      </c>
      <c r="AD309">
        <f t="shared" si="205"/>
        <v>6.6909160443713471</v>
      </c>
      <c r="AE309">
        <f t="shared" si="205"/>
        <v>6.8050293511387681</v>
      </c>
      <c r="AF309">
        <f t="shared" si="205"/>
        <v>6.93268841551905</v>
      </c>
      <c r="AG309">
        <f t="shared" si="205"/>
        <v>7.0812075991090646</v>
      </c>
      <c r="AH309">
        <f t="shared" si="205"/>
        <v>7.2662801892749096</v>
      </c>
      <c r="AI309">
        <f t="shared" si="205"/>
        <v>7.6831271639383951</v>
      </c>
      <c r="AJ309">
        <f t="shared" si="186"/>
        <v>10.981881882511743</v>
      </c>
      <c r="AK309">
        <f t="shared" si="175"/>
        <v>11.48017707362999</v>
      </c>
      <c r="AL309">
        <f t="shared" si="176"/>
        <v>11.758406291362059</v>
      </c>
      <c r="AM309">
        <f t="shared" si="177"/>
        <v>11.989782460961893</v>
      </c>
      <c r="AN309">
        <f t="shared" si="178"/>
        <v>12.199533841870188</v>
      </c>
      <c r="AO309">
        <f t="shared" si="179"/>
        <v>12.407596405872614</v>
      </c>
      <c r="AP309">
        <f t="shared" si="180"/>
        <v>12.640356922639054</v>
      </c>
      <c r="AQ309">
        <f t="shared" si="181"/>
        <v>12.91115165304036</v>
      </c>
      <c r="AR309">
        <f t="shared" si="182"/>
        <v>13.248594136544565</v>
      </c>
      <c r="AS309">
        <f t="shared" si="183"/>
        <v>14.008630391754549</v>
      </c>
      <c r="AT309">
        <f t="shared" si="184"/>
        <v>20.023243272619897</v>
      </c>
      <c r="AU309">
        <f t="shared" si="187"/>
        <v>-20.569737198687314</v>
      </c>
      <c r="AV309" s="5">
        <f t="shared" si="204"/>
        <v>-9.5878553161755704</v>
      </c>
      <c r="AW309" s="5">
        <f t="shared" si="204"/>
        <v>-9.0895601250573232</v>
      </c>
      <c r="AX309" s="5">
        <f t="shared" si="204"/>
        <v>-8.8113309073252548</v>
      </c>
      <c r="AY309" s="5">
        <f t="shared" si="204"/>
        <v>-8.5799547377254211</v>
      </c>
      <c r="AZ309" s="5">
        <f t="shared" si="204"/>
        <v>-8.3702033568171252</v>
      </c>
      <c r="BA309" s="5">
        <f t="shared" si="202"/>
        <v>-8.1621407928147001</v>
      </c>
      <c r="BB309" s="5">
        <f t="shared" si="202"/>
        <v>-7.9293802760482599</v>
      </c>
      <c r="BC309" s="5">
        <f t="shared" si="202"/>
        <v>-7.6585855456469538</v>
      </c>
      <c r="BD309" s="5">
        <f t="shared" si="202"/>
        <v>-7.3211430621427489</v>
      </c>
      <c r="BE309" s="5">
        <f t="shared" si="202"/>
        <v>-6.5611068069327647</v>
      </c>
      <c r="BG309" s="1"/>
      <c r="BH309" s="1">
        <f t="shared" si="199"/>
        <v>0.30000000000000004</v>
      </c>
      <c r="BI309" s="8">
        <f t="shared" si="208"/>
        <v>318152322.69999999</v>
      </c>
      <c r="BJ309" s="8">
        <f t="shared" si="209"/>
        <v>276481974.5</v>
      </c>
      <c r="BK309" s="8">
        <f t="shared" si="209"/>
        <v>123839964.09999999</v>
      </c>
      <c r="BL309" s="8">
        <f t="shared" si="209"/>
        <v>75488501</v>
      </c>
      <c r="BM309" s="8">
        <f t="shared" si="209"/>
        <v>69274770.299999997</v>
      </c>
      <c r="BN309" s="8">
        <f t="shared" si="209"/>
        <v>65166695.5</v>
      </c>
      <c r="BO309" s="8">
        <f t="shared" si="209"/>
        <v>40816643.899999999</v>
      </c>
      <c r="BP309" s="8">
        <f t="shared" si="209"/>
        <v>33577930.600000001</v>
      </c>
      <c r="BQ309" s="8">
        <f t="shared" si="209"/>
        <v>20238357.300000001</v>
      </c>
      <c r="BR309" s="8">
        <f t="shared" si="209"/>
        <v>923275.3</v>
      </c>
      <c r="BS309" s="8">
        <f t="shared" si="207"/>
        <v>1023.9604351999999</v>
      </c>
      <c r="BT309" s="8">
        <f t="shared" si="210"/>
        <v>70.007999700000141</v>
      </c>
      <c r="BU309" s="8"/>
    </row>
    <row r="310" spans="1:73" x14ac:dyDescent="0.35">
      <c r="A310" t="s">
        <v>393</v>
      </c>
      <c r="B310">
        <v>3.3000000000000003</v>
      </c>
      <c r="C310">
        <v>4.78</v>
      </c>
      <c r="D310">
        <v>5.8100000000000005</v>
      </c>
      <c r="E310">
        <v>6.7700000000000005</v>
      </c>
      <c r="F310">
        <v>7.7700000000000005</v>
      </c>
      <c r="G310">
        <v>8.91</v>
      </c>
      <c r="H310">
        <v>10.26</v>
      </c>
      <c r="I310">
        <v>12.06</v>
      </c>
      <c r="J310">
        <v>14.870000000000001</v>
      </c>
      <c r="K310">
        <v>25.47</v>
      </c>
      <c r="L310">
        <f t="shared" si="172"/>
        <v>-0.7</v>
      </c>
      <c r="M310">
        <f t="shared" si="173"/>
        <v>2712738</v>
      </c>
      <c r="N310">
        <f t="shared" si="174"/>
        <v>1273.1540641800757</v>
      </c>
      <c r="O310">
        <f t="shared" si="185"/>
        <v>3.0345197334582092</v>
      </c>
      <c r="P310" s="8">
        <f t="shared" si="203"/>
        <v>420.14084117942502</v>
      </c>
      <c r="Q310" s="8">
        <f t="shared" si="203"/>
        <v>608.56764267807625</v>
      </c>
      <c r="R310" s="8">
        <f t="shared" si="203"/>
        <v>739.70251128862401</v>
      </c>
      <c r="S310" s="8">
        <f t="shared" si="203"/>
        <v>861.92530144991122</v>
      </c>
      <c r="T310" s="8">
        <f t="shared" si="203"/>
        <v>989.2407078679189</v>
      </c>
      <c r="U310" s="8">
        <f t="shared" si="201"/>
        <v>1134.3802711844476</v>
      </c>
      <c r="V310" s="8">
        <f t="shared" si="201"/>
        <v>1306.2560698487575</v>
      </c>
      <c r="W310" s="8">
        <f t="shared" si="201"/>
        <v>1535.4238014011712</v>
      </c>
      <c r="X310" s="8">
        <f t="shared" si="201"/>
        <v>1893.1800934357725</v>
      </c>
      <c r="Y310" s="8">
        <f t="shared" si="201"/>
        <v>3242.7234014666528</v>
      </c>
      <c r="Z310">
        <f t="shared" si="205"/>
        <v>6.0405899912063044</v>
      </c>
      <c r="AA310">
        <f t="shared" si="205"/>
        <v>6.4111080692372351</v>
      </c>
      <c r="AB310">
        <f t="shared" si="205"/>
        <v>6.6062480935976895</v>
      </c>
      <c r="AC310">
        <f t="shared" si="205"/>
        <v>6.7591686096580537</v>
      </c>
      <c r="AD310">
        <f t="shared" si="205"/>
        <v>6.896937687113426</v>
      </c>
      <c r="AE310">
        <f t="shared" si="205"/>
        <v>7.0338417642165885</v>
      </c>
      <c r="AF310">
        <f t="shared" si="205"/>
        <v>7.1749203624764935</v>
      </c>
      <c r="AG310">
        <f t="shared" si="205"/>
        <v>7.3365617140329089</v>
      </c>
      <c r="AH310">
        <f t="shared" si="205"/>
        <v>7.5460132832059337</v>
      </c>
      <c r="AI310">
        <f t="shared" si="205"/>
        <v>8.0841688117252364</v>
      </c>
      <c r="AJ310">
        <f t="shared" si="186"/>
        <v>11.013795649786474</v>
      </c>
      <c r="AK310">
        <f t="shared" si="175"/>
        <v>11.689360520424113</v>
      </c>
      <c r="AL310">
        <f t="shared" si="176"/>
        <v>12.045158936560481</v>
      </c>
      <c r="AM310">
        <f t="shared" si="177"/>
        <v>12.323978607652311</v>
      </c>
      <c r="AN310">
        <f t="shared" si="178"/>
        <v>12.575172691038537</v>
      </c>
      <c r="AO310">
        <f t="shared" si="179"/>
        <v>12.824789621012577</v>
      </c>
      <c r="AP310">
        <f t="shared" si="180"/>
        <v>13.082017947062667</v>
      </c>
      <c r="AQ310">
        <f t="shared" si="181"/>
        <v>13.376738300072775</v>
      </c>
      <c r="AR310">
        <f t="shared" si="182"/>
        <v>13.758630927242812</v>
      </c>
      <c r="AS310">
        <f t="shared" si="183"/>
        <v>14.739848826081001</v>
      </c>
      <c r="AT310">
        <f t="shared" si="184"/>
        <v>20.081431580664379</v>
      </c>
      <c r="AU310">
        <f t="shared" si="187"/>
        <v>-10.297221310380399</v>
      </c>
      <c r="AV310" s="5">
        <f t="shared" si="204"/>
        <v>0.7165743394060744</v>
      </c>
      <c r="AW310" s="5">
        <f t="shared" si="204"/>
        <v>1.3921392100437142</v>
      </c>
      <c r="AX310" s="5">
        <f t="shared" si="204"/>
        <v>1.7479376261800823</v>
      </c>
      <c r="AY310" s="5">
        <f t="shared" si="204"/>
        <v>2.0267572972719119</v>
      </c>
      <c r="AZ310" s="5">
        <f t="shared" si="204"/>
        <v>2.2779513806581377</v>
      </c>
      <c r="BA310" s="5">
        <f t="shared" si="202"/>
        <v>2.5275683106321782</v>
      </c>
      <c r="BB310" s="5">
        <f t="shared" si="202"/>
        <v>2.7847966366822678</v>
      </c>
      <c r="BC310" s="5">
        <f t="shared" si="202"/>
        <v>3.079516989692376</v>
      </c>
      <c r="BD310" s="5">
        <f t="shared" si="202"/>
        <v>3.4614096168624133</v>
      </c>
      <c r="BE310" s="5">
        <f t="shared" si="202"/>
        <v>4.4426275157006021</v>
      </c>
      <c r="BG310" s="1"/>
      <c r="BH310" s="1">
        <f t="shared" si="199"/>
        <v>0.4</v>
      </c>
      <c r="BI310" s="8">
        <f t="shared" si="208"/>
        <v>320227689.10000002</v>
      </c>
      <c r="BJ310" s="8">
        <f t="shared" si="209"/>
        <v>277327964.80000001</v>
      </c>
      <c r="BK310" s="8">
        <f t="shared" si="209"/>
        <v>249311970.40000001</v>
      </c>
      <c r="BL310" s="8">
        <f t="shared" si="209"/>
        <v>114047650.40000001</v>
      </c>
      <c r="BM310" s="8">
        <f t="shared" si="209"/>
        <v>69274770.299999997</v>
      </c>
      <c r="BN310" s="8">
        <f t="shared" si="209"/>
        <v>67787549.900000006</v>
      </c>
      <c r="BO310" s="8">
        <f t="shared" si="209"/>
        <v>61418706.899999999</v>
      </c>
      <c r="BP310" s="8">
        <f t="shared" si="209"/>
        <v>39797356</v>
      </c>
      <c r="BQ310" s="8">
        <f t="shared" si="209"/>
        <v>20238357.300000001</v>
      </c>
      <c r="BR310" s="8">
        <f t="shared" si="209"/>
        <v>923275.3</v>
      </c>
      <c r="BS310" s="8">
        <f t="shared" si="207"/>
        <v>1220.3552904000001</v>
      </c>
      <c r="BT310" s="8">
        <f t="shared" si="210"/>
        <v>196.39485520000017</v>
      </c>
      <c r="BU310" s="8"/>
    </row>
    <row r="311" spans="1:73" x14ac:dyDescent="0.35">
      <c r="A311" t="s">
        <v>230</v>
      </c>
      <c r="B311">
        <v>3.5500000000000003</v>
      </c>
      <c r="C311">
        <v>4.91</v>
      </c>
      <c r="D311">
        <v>5.66</v>
      </c>
      <c r="E311">
        <v>6.63</v>
      </c>
      <c r="F311">
        <v>7.72</v>
      </c>
      <c r="G311">
        <v>8.870000000000001</v>
      </c>
      <c r="H311">
        <v>10.15</v>
      </c>
      <c r="I311">
        <v>12</v>
      </c>
      <c r="J311">
        <v>14.790000000000001</v>
      </c>
      <c r="K311">
        <v>25.72</v>
      </c>
      <c r="L311">
        <f t="shared" si="172"/>
        <v>9.9</v>
      </c>
      <c r="M311">
        <f t="shared" si="173"/>
        <v>620078</v>
      </c>
      <c r="N311">
        <f t="shared" si="174"/>
        <v>4521.7958779831151</v>
      </c>
      <c r="O311">
        <f t="shared" si="185"/>
        <v>1.4029609892061004</v>
      </c>
      <c r="P311" s="8">
        <f t="shared" si="203"/>
        <v>1605.237536684006</v>
      </c>
      <c r="Q311" s="8">
        <f t="shared" si="203"/>
        <v>2220.2017760897097</v>
      </c>
      <c r="R311" s="8">
        <f t="shared" si="203"/>
        <v>2559.3364669384432</v>
      </c>
      <c r="S311" s="8">
        <f t="shared" si="203"/>
        <v>2997.9506671028053</v>
      </c>
      <c r="T311" s="8">
        <f t="shared" si="203"/>
        <v>3490.8264178029649</v>
      </c>
      <c r="U311" s="8">
        <f t="shared" si="201"/>
        <v>4010.8329437710236</v>
      </c>
      <c r="V311" s="8">
        <f t="shared" si="201"/>
        <v>4589.6228161528616</v>
      </c>
      <c r="W311" s="8">
        <f t="shared" si="201"/>
        <v>5426.1550535797378</v>
      </c>
      <c r="X311" s="8">
        <f t="shared" si="201"/>
        <v>6687.7361035370286</v>
      </c>
      <c r="Y311" s="8">
        <f t="shared" si="201"/>
        <v>11630.058998172572</v>
      </c>
      <c r="Z311">
        <f t="shared" si="205"/>
        <v>7.381027022547463</v>
      </c>
      <c r="AA311">
        <f t="shared" si="205"/>
        <v>7.7053533608665674</v>
      </c>
      <c r="AB311">
        <f t="shared" si="205"/>
        <v>7.8475033112752293</v>
      </c>
      <c r="AC311">
        <f t="shared" si="205"/>
        <v>8.0056842232579086</v>
      </c>
      <c r="AD311">
        <f t="shared" si="205"/>
        <v>8.1578937830968226</v>
      </c>
      <c r="AE311">
        <f t="shared" si="205"/>
        <v>8.2967542153816272</v>
      </c>
      <c r="AF311">
        <f t="shared" si="205"/>
        <v>8.4315531245479338</v>
      </c>
      <c r="AG311">
        <f t="shared" si="205"/>
        <v>8.5989860688481379</v>
      </c>
      <c r="AH311">
        <f t="shared" si="205"/>
        <v>8.8080306957828469</v>
      </c>
      <c r="AI311">
        <f t="shared" si="205"/>
        <v>9.3613483184295561</v>
      </c>
      <c r="AJ311">
        <f t="shared" si="186"/>
        <v>13.457811808156745</v>
      </c>
      <c r="AK311">
        <f t="shared" si="175"/>
        <v>14.049155372161291</v>
      </c>
      <c r="AL311">
        <f t="shared" si="176"/>
        <v>14.308337092441503</v>
      </c>
      <c r="AM311">
        <f t="shared" si="177"/>
        <v>14.596748032897699</v>
      </c>
      <c r="AN311">
        <f t="shared" si="178"/>
        <v>14.874271418932871</v>
      </c>
      <c r="AO311">
        <f t="shared" si="179"/>
        <v>15.127455367396891</v>
      </c>
      <c r="AP311">
        <f t="shared" si="180"/>
        <v>15.373233948882</v>
      </c>
      <c r="AQ311">
        <f t="shared" si="181"/>
        <v>15.678514101358672</v>
      </c>
      <c r="AR311">
        <f t="shared" si="182"/>
        <v>16.059664751559474</v>
      </c>
      <c r="AS311">
        <f t="shared" si="183"/>
        <v>17.068527666295974</v>
      </c>
      <c r="AT311">
        <f t="shared" si="184"/>
        <v>24.537601354188578</v>
      </c>
      <c r="AU311">
        <f t="shared" si="187"/>
        <v>-14.239374847901148</v>
      </c>
      <c r="AV311" s="5">
        <f t="shared" si="204"/>
        <v>-0.78156303974440355</v>
      </c>
      <c r="AW311" s="5">
        <f t="shared" si="204"/>
        <v>-0.1902194757398572</v>
      </c>
      <c r="AX311" s="5">
        <f t="shared" si="204"/>
        <v>6.8962244540355044E-2</v>
      </c>
      <c r="AY311" s="5">
        <f t="shared" si="204"/>
        <v>0.35737318499655046</v>
      </c>
      <c r="AZ311" s="5">
        <f t="shared" si="204"/>
        <v>0.6348965710317227</v>
      </c>
      <c r="BA311" s="5">
        <f t="shared" si="202"/>
        <v>0.88808051949574285</v>
      </c>
      <c r="BB311" s="5">
        <f t="shared" si="202"/>
        <v>1.1338591009808514</v>
      </c>
      <c r="BC311" s="5">
        <f t="shared" si="202"/>
        <v>1.4391392534575242</v>
      </c>
      <c r="BD311" s="5">
        <f t="shared" si="202"/>
        <v>1.8202899036583258</v>
      </c>
      <c r="BE311" s="5">
        <f t="shared" si="202"/>
        <v>2.8291528183948262</v>
      </c>
      <c r="BG311" s="1"/>
      <c r="BH311" s="1">
        <f t="shared" si="199"/>
        <v>0.5</v>
      </c>
      <c r="BI311" s="8">
        <f t="shared" si="208"/>
        <v>324906533.69999999</v>
      </c>
      <c r="BJ311" s="8">
        <f t="shared" si="209"/>
        <v>303350525.69999999</v>
      </c>
      <c r="BK311" s="8">
        <f t="shared" si="209"/>
        <v>275836002.39999998</v>
      </c>
      <c r="BL311" s="8">
        <f t="shared" si="209"/>
        <v>244402428.90000001</v>
      </c>
      <c r="BM311" s="8">
        <f t="shared" si="209"/>
        <v>92856076.299999997</v>
      </c>
      <c r="BN311" s="8">
        <f t="shared" si="209"/>
        <v>69274770.299999997</v>
      </c>
      <c r="BO311" s="8">
        <f t="shared" si="209"/>
        <v>66351056.799999997</v>
      </c>
      <c r="BP311" s="8">
        <f t="shared" si="209"/>
        <v>43956583.5</v>
      </c>
      <c r="BQ311" s="8">
        <f t="shared" si="209"/>
        <v>26657615.600000001</v>
      </c>
      <c r="BR311" s="8">
        <f t="shared" si="209"/>
        <v>923275.3</v>
      </c>
      <c r="BS311" s="8">
        <f t="shared" si="207"/>
        <v>1448.5148684999997</v>
      </c>
      <c r="BT311" s="8">
        <f t="shared" si="210"/>
        <v>228.15957809999964</v>
      </c>
      <c r="BU311" s="8"/>
    </row>
    <row r="312" spans="1:73" x14ac:dyDescent="0.35">
      <c r="A312" t="s">
        <v>168</v>
      </c>
      <c r="B312">
        <v>2.64</v>
      </c>
      <c r="C312">
        <v>3.9</v>
      </c>
      <c r="D312">
        <v>4.8100000000000005</v>
      </c>
      <c r="E312">
        <v>5.69</v>
      </c>
      <c r="F312">
        <v>6.66</v>
      </c>
      <c r="G312">
        <v>7.79</v>
      </c>
      <c r="H312">
        <v>9.2000000000000011</v>
      </c>
      <c r="I312">
        <v>11.27</v>
      </c>
      <c r="J312">
        <v>14.94</v>
      </c>
      <c r="K312">
        <v>33.1</v>
      </c>
      <c r="L312">
        <f t="shared" si="172"/>
        <v>17.100000000000001</v>
      </c>
      <c r="M312">
        <f t="shared" si="173"/>
        <v>31642360</v>
      </c>
      <c r="N312">
        <f t="shared" si="174"/>
        <v>2386.7846716762692</v>
      </c>
      <c r="O312">
        <f t="shared" si="185"/>
        <v>-2.4399331671561182</v>
      </c>
      <c r="P312" s="8">
        <f t="shared" si="203"/>
        <v>630.11115332253507</v>
      </c>
      <c r="Q312" s="8">
        <f t="shared" si="203"/>
        <v>930.84602195374498</v>
      </c>
      <c r="R312" s="8">
        <f t="shared" si="203"/>
        <v>1148.0434270762858</v>
      </c>
      <c r="S312" s="8">
        <f t="shared" si="203"/>
        <v>1358.0804781837974</v>
      </c>
      <c r="T312" s="8">
        <f t="shared" si="203"/>
        <v>1589.5985913363952</v>
      </c>
      <c r="U312" s="8">
        <f t="shared" si="201"/>
        <v>1859.3052592358138</v>
      </c>
      <c r="V312" s="8">
        <f t="shared" si="201"/>
        <v>2195.8418979421681</v>
      </c>
      <c r="W312" s="8">
        <f t="shared" si="201"/>
        <v>2689.9063249791552</v>
      </c>
      <c r="X312" s="8">
        <f t="shared" si="201"/>
        <v>3565.856299484346</v>
      </c>
      <c r="Y312" s="8">
        <f t="shared" si="201"/>
        <v>7900.2572632484516</v>
      </c>
      <c r="Z312">
        <f t="shared" si="205"/>
        <v>6.4458962376682516</v>
      </c>
      <c r="AA312">
        <f t="shared" si="205"/>
        <v>6.8360938736456278</v>
      </c>
      <c r="AB312">
        <f t="shared" si="205"/>
        <v>7.0458144046276967</v>
      </c>
      <c r="AC312">
        <f t="shared" si="205"/>
        <v>7.2138275686482665</v>
      </c>
      <c r="AD312">
        <f t="shared" si="205"/>
        <v>7.3712368050623249</v>
      </c>
      <c r="AE312">
        <f t="shared" si="205"/>
        <v>7.5279581803926838</v>
      </c>
      <c r="AF312">
        <f t="shared" si="205"/>
        <v>7.694320804565022</v>
      </c>
      <c r="AG312">
        <f t="shared" si="205"/>
        <v>7.8972616485617122</v>
      </c>
      <c r="AH312">
        <f t="shared" si="205"/>
        <v>8.1791595002146984</v>
      </c>
      <c r="AI312">
        <f t="shared" si="205"/>
        <v>8.9746506028930444</v>
      </c>
      <c r="AJ312">
        <f t="shared" si="186"/>
        <v>11.752789718348048</v>
      </c>
      <c r="AK312">
        <f t="shared" si="175"/>
        <v>12.464236287630326</v>
      </c>
      <c r="AL312">
        <f t="shared" si="176"/>
        <v>12.846619312328871</v>
      </c>
      <c r="AM312">
        <f t="shared" si="177"/>
        <v>13.152957378261247</v>
      </c>
      <c r="AN312">
        <f t="shared" si="178"/>
        <v>13.439961324196528</v>
      </c>
      <c r="AO312">
        <f t="shared" si="179"/>
        <v>13.72571109439362</v>
      </c>
      <c r="AP312">
        <f t="shared" si="180"/>
        <v>14.029039734321795</v>
      </c>
      <c r="AQ312">
        <f t="shared" si="181"/>
        <v>14.399061369299273</v>
      </c>
      <c r="AR312">
        <f t="shared" si="182"/>
        <v>14.913045158422459</v>
      </c>
      <c r="AS312">
        <f t="shared" si="183"/>
        <v>16.363462494953684</v>
      </c>
      <c r="AT312">
        <f t="shared" si="184"/>
        <v>21.42883798788456</v>
      </c>
      <c r="AU312">
        <f t="shared" si="187"/>
        <v>-17.124732917504545</v>
      </c>
      <c r="AV312" s="5">
        <f t="shared" si="204"/>
        <v>-5.3719431991564974</v>
      </c>
      <c r="AW312" s="5">
        <f t="shared" si="204"/>
        <v>-4.6604966298742188</v>
      </c>
      <c r="AX312" s="5">
        <f t="shared" si="204"/>
        <v>-4.2781136051756743</v>
      </c>
      <c r="AY312" s="5">
        <f t="shared" si="204"/>
        <v>-3.9717755392432981</v>
      </c>
      <c r="AZ312" s="5">
        <f t="shared" si="204"/>
        <v>-3.6847715933080174</v>
      </c>
      <c r="BA312" s="5">
        <f t="shared" si="202"/>
        <v>-3.3990218231109246</v>
      </c>
      <c r="BB312" s="5">
        <f t="shared" si="202"/>
        <v>-3.0956931831827497</v>
      </c>
      <c r="BC312" s="5">
        <f t="shared" si="202"/>
        <v>-2.7256715482052716</v>
      </c>
      <c r="BD312" s="5">
        <f t="shared" si="202"/>
        <v>-2.2116877590820856</v>
      </c>
      <c r="BE312" s="5">
        <f t="shared" si="202"/>
        <v>-0.76127042255086153</v>
      </c>
      <c r="BG312" s="1"/>
      <c r="BH312" s="1">
        <f t="shared" si="199"/>
        <v>0.6</v>
      </c>
      <c r="BI312" s="8">
        <f t="shared" si="208"/>
        <v>348779334.19999999</v>
      </c>
      <c r="BJ312" s="8">
        <f t="shared" si="209"/>
        <v>305620551.89999998</v>
      </c>
      <c r="BK312" s="8">
        <f t="shared" si="209"/>
        <v>276916793.30000001</v>
      </c>
      <c r="BL312" s="8">
        <f t="shared" si="209"/>
        <v>248567672.80000001</v>
      </c>
      <c r="BM312" s="8">
        <f t="shared" si="209"/>
        <v>122740900.40000001</v>
      </c>
      <c r="BN312" s="8">
        <f t="shared" si="209"/>
        <v>90740997.299999997</v>
      </c>
      <c r="BO312" s="8">
        <f t="shared" si="209"/>
        <v>67901800.099999994</v>
      </c>
      <c r="BP312" s="8">
        <f t="shared" si="209"/>
        <v>61963496.899999999</v>
      </c>
      <c r="BQ312" s="8">
        <f t="shared" si="209"/>
        <v>36455022.200000003</v>
      </c>
      <c r="BR312" s="8">
        <f t="shared" si="209"/>
        <v>9632803.4000000004</v>
      </c>
      <c r="BS312" s="8">
        <f t="shared" si="207"/>
        <v>1569.3193725000001</v>
      </c>
      <c r="BT312" s="8">
        <f t="shared" si="210"/>
        <v>120.80450400000041</v>
      </c>
      <c r="BU312" s="8"/>
    </row>
    <row r="313" spans="1:73" ht="15.75" customHeight="1" x14ac:dyDescent="0.35">
      <c r="A313" t="s">
        <v>394</v>
      </c>
      <c r="B313">
        <v>1.94</v>
      </c>
      <c r="C313">
        <v>3.2800000000000002</v>
      </c>
      <c r="D313">
        <v>4.24</v>
      </c>
      <c r="E313">
        <v>5.23</v>
      </c>
      <c r="F313">
        <v>6.28</v>
      </c>
      <c r="G313">
        <v>7.46</v>
      </c>
      <c r="H313">
        <v>9.02</v>
      </c>
      <c r="I313">
        <v>11.120000000000001</v>
      </c>
      <c r="J313">
        <v>14.64</v>
      </c>
      <c r="K313">
        <v>36.78</v>
      </c>
      <c r="L313">
        <f t="shared" si="172"/>
        <v>23.8</v>
      </c>
      <c r="M313">
        <f t="shared" si="173"/>
        <v>23967265</v>
      </c>
      <c r="N313">
        <f t="shared" si="174"/>
        <v>380.84424396822391</v>
      </c>
      <c r="O313">
        <f t="shared" si="185"/>
        <v>-8.2781659793120639</v>
      </c>
      <c r="P313" s="8">
        <f t="shared" si="203"/>
        <v>73.883783329835438</v>
      </c>
      <c r="Q313" s="8">
        <f t="shared" si="203"/>
        <v>124.91691202157745</v>
      </c>
      <c r="R313" s="8">
        <f t="shared" si="203"/>
        <v>161.47795944252692</v>
      </c>
      <c r="S313" s="8">
        <f t="shared" si="203"/>
        <v>199.18153959538114</v>
      </c>
      <c r="T313" s="8">
        <f t="shared" si="203"/>
        <v>239.17018521204463</v>
      </c>
      <c r="U313" s="8">
        <f t="shared" si="201"/>
        <v>284.10980600029501</v>
      </c>
      <c r="V313" s="8">
        <f t="shared" si="201"/>
        <v>343.52150805933792</v>
      </c>
      <c r="W313" s="8">
        <f t="shared" si="201"/>
        <v>423.49879929266501</v>
      </c>
      <c r="X313" s="8">
        <f t="shared" si="201"/>
        <v>557.55597316947978</v>
      </c>
      <c r="Y313" s="8">
        <f t="shared" si="201"/>
        <v>1400.7451293151275</v>
      </c>
      <c r="Z313">
        <f t="shared" si="205"/>
        <v>4.302493363140572</v>
      </c>
      <c r="AA313">
        <f t="shared" si="205"/>
        <v>4.827648812461387</v>
      </c>
      <c r="AB313">
        <f t="shared" si="205"/>
        <v>5.0843686593092015</v>
      </c>
      <c r="AC313">
        <f t="shared" si="205"/>
        <v>5.2942166681421661</v>
      </c>
      <c r="AD313">
        <f t="shared" si="205"/>
        <v>5.4771753705454422</v>
      </c>
      <c r="AE313">
        <f t="shared" si="205"/>
        <v>5.6493608042810042</v>
      </c>
      <c r="AF313">
        <f t="shared" si="205"/>
        <v>5.8392497241398669</v>
      </c>
      <c r="AG313">
        <f t="shared" si="205"/>
        <v>6.0485506788877714</v>
      </c>
      <c r="AH313">
        <f t="shared" si="205"/>
        <v>6.3235628985985004</v>
      </c>
      <c r="AI313">
        <f t="shared" si="205"/>
        <v>7.2447596092415099</v>
      </c>
      <c r="AJ313">
        <f t="shared" si="186"/>
        <v>7.8447275440274788</v>
      </c>
      <c r="AK313">
        <f t="shared" si="175"/>
        <v>8.8022424244632216</v>
      </c>
      <c r="AL313">
        <f t="shared" si="176"/>
        <v>9.2703192077811494</v>
      </c>
      <c r="AM313">
        <f t="shared" si="177"/>
        <v>9.6529346625902761</v>
      </c>
      <c r="AN313">
        <f t="shared" si="178"/>
        <v>9.9865228987647647</v>
      </c>
      <c r="AO313">
        <f t="shared" si="179"/>
        <v>10.300468255723947</v>
      </c>
      <c r="AP313">
        <f t="shared" si="180"/>
        <v>10.646692343524771</v>
      </c>
      <c r="AQ313">
        <f t="shared" si="181"/>
        <v>11.028310355714716</v>
      </c>
      <c r="AR313">
        <f t="shared" si="182"/>
        <v>11.52973958588885</v>
      </c>
      <c r="AS313">
        <f t="shared" si="183"/>
        <v>13.209355706010827</v>
      </c>
      <c r="AT313">
        <f t="shared" si="184"/>
        <v>14.303276041570214</v>
      </c>
      <c r="AU313">
        <f t="shared" si="187"/>
        <v>-19.746727353495153</v>
      </c>
      <c r="AV313" s="5">
        <f t="shared" si="204"/>
        <v>-11.901999809467675</v>
      </c>
      <c r="AW313" s="5">
        <f t="shared" si="204"/>
        <v>-10.944484929031931</v>
      </c>
      <c r="AX313" s="5">
        <f t="shared" si="204"/>
        <v>-10.476408145714004</v>
      </c>
      <c r="AY313" s="5">
        <f t="shared" si="204"/>
        <v>-10.093792690904877</v>
      </c>
      <c r="AZ313" s="5">
        <f t="shared" si="204"/>
        <v>-9.7602044547303883</v>
      </c>
      <c r="BA313" s="5">
        <f t="shared" si="202"/>
        <v>-9.4462590977712058</v>
      </c>
      <c r="BB313" s="5">
        <f t="shared" si="202"/>
        <v>-9.1000350099703819</v>
      </c>
      <c r="BC313" s="5">
        <f t="shared" si="202"/>
        <v>-8.7184169977804373</v>
      </c>
      <c r="BD313" s="5">
        <f t="shared" si="202"/>
        <v>-8.2169877676063034</v>
      </c>
      <c r="BE313" s="5">
        <f t="shared" si="202"/>
        <v>-6.537371647484326</v>
      </c>
      <c r="BG313" s="1"/>
      <c r="BH313" s="1">
        <f t="shared" si="199"/>
        <v>0.7</v>
      </c>
      <c r="BI313" s="8">
        <f t="shared" si="208"/>
        <v>352686531.10000002</v>
      </c>
      <c r="BJ313" s="8">
        <f t="shared" si="209"/>
        <v>307810041.80000001</v>
      </c>
      <c r="BK313" s="8">
        <f t="shared" si="209"/>
        <v>301395613.30000001</v>
      </c>
      <c r="BL313" s="8">
        <f t="shared" si="209"/>
        <v>276192208.60000002</v>
      </c>
      <c r="BM313" s="8">
        <f t="shared" si="209"/>
        <v>244402428.90000001</v>
      </c>
      <c r="BN313" s="8">
        <f t="shared" si="209"/>
        <v>95493319.099999994</v>
      </c>
      <c r="BO313" s="8">
        <f t="shared" si="209"/>
        <v>89245048.799999997</v>
      </c>
      <c r="BP313" s="8">
        <f t="shared" si="209"/>
        <v>66465851.399999999</v>
      </c>
      <c r="BQ313" s="8">
        <f t="shared" si="209"/>
        <v>39629292</v>
      </c>
      <c r="BR313" s="8">
        <f t="shared" si="209"/>
        <v>10028602.4</v>
      </c>
      <c r="BS313" s="8">
        <f t="shared" si="207"/>
        <v>1783.3489374000003</v>
      </c>
      <c r="BT313" s="8">
        <f t="shared" si="210"/>
        <v>214.0295649000002</v>
      </c>
      <c r="BU313" s="8"/>
    </row>
    <row r="314" spans="1:73" x14ac:dyDescent="0.35">
      <c r="A314" t="s">
        <v>395</v>
      </c>
      <c r="B314">
        <v>2.4</v>
      </c>
      <c r="C314">
        <v>3.3000000000000003</v>
      </c>
      <c r="D314">
        <v>3.9</v>
      </c>
      <c r="E314">
        <v>4.5</v>
      </c>
      <c r="F314">
        <v>5.1000000000000005</v>
      </c>
      <c r="G314">
        <v>6.1000000000000005</v>
      </c>
      <c r="H314">
        <v>7.5</v>
      </c>
      <c r="I314">
        <v>10.6</v>
      </c>
      <c r="J314">
        <v>14.6</v>
      </c>
      <c r="K314">
        <v>41.9</v>
      </c>
      <c r="L314">
        <f t="shared" si="172"/>
        <v>19.899999999999999</v>
      </c>
      <c r="M314">
        <f t="shared" si="173"/>
        <v>2178967</v>
      </c>
      <c r="N314">
        <f t="shared" si="174"/>
        <v>4101.3694407822486</v>
      </c>
      <c r="O314">
        <f t="shared" si="185"/>
        <v>-2.4942435724589078</v>
      </c>
      <c r="P314" s="8">
        <f t="shared" si="203"/>
        <v>984.32866578773951</v>
      </c>
      <c r="Q314" s="8">
        <f t="shared" si="203"/>
        <v>1353.4519154581421</v>
      </c>
      <c r="R314" s="8">
        <f t="shared" si="203"/>
        <v>1599.5340819050768</v>
      </c>
      <c r="S314" s="8">
        <f t="shared" si="203"/>
        <v>1845.6162483520118</v>
      </c>
      <c r="T314" s="8">
        <f t="shared" si="203"/>
        <v>2091.6984147989469</v>
      </c>
      <c r="U314" s="8">
        <f t="shared" si="201"/>
        <v>2501.835358877172</v>
      </c>
      <c r="V314" s="8">
        <f t="shared" si="201"/>
        <v>3076.0270805866867</v>
      </c>
      <c r="W314" s="8">
        <f t="shared" si="201"/>
        <v>4347.4516072291835</v>
      </c>
      <c r="X314" s="8">
        <f t="shared" si="201"/>
        <v>5987.9993835420828</v>
      </c>
      <c r="Y314" s="8">
        <f t="shared" si="201"/>
        <v>17184.73795687762</v>
      </c>
      <c r="Z314">
        <f t="shared" si="205"/>
        <v>6.8919598512302391</v>
      </c>
      <c r="AA314">
        <f t="shared" si="205"/>
        <v>7.2104135823487736</v>
      </c>
      <c r="AB314">
        <f t="shared" si="205"/>
        <v>7.3774676670119392</v>
      </c>
      <c r="AC314">
        <f t="shared" si="205"/>
        <v>7.5205685106526134</v>
      </c>
      <c r="AD314">
        <f t="shared" si="205"/>
        <v>7.6457316536066191</v>
      </c>
      <c r="AE314">
        <f t="shared" si="205"/>
        <v>7.8247798850556043</v>
      </c>
      <c r="AF314">
        <f t="shared" si="205"/>
        <v>8.0313941344186031</v>
      </c>
      <c r="AG314">
        <f t="shared" si="205"/>
        <v>8.3773451149943607</v>
      </c>
      <c r="AH314">
        <f t="shared" si="205"/>
        <v>8.6975126425906293</v>
      </c>
      <c r="AI314">
        <f t="shared" si="205"/>
        <v>9.7517769408044312</v>
      </c>
      <c r="AJ314">
        <f t="shared" si="186"/>
        <v>12.566096612828392</v>
      </c>
      <c r="AK314">
        <f t="shared" si="175"/>
        <v>13.146732663869354</v>
      </c>
      <c r="AL314">
        <f t="shared" si="176"/>
        <v>13.451322042327535</v>
      </c>
      <c r="AM314">
        <f t="shared" si="177"/>
        <v>13.71223752433589</v>
      </c>
      <c r="AN314">
        <f t="shared" si="178"/>
        <v>13.940447232557641</v>
      </c>
      <c r="AO314">
        <f t="shared" si="179"/>
        <v>14.266905514862113</v>
      </c>
      <c r="AP314">
        <f t="shared" si="180"/>
        <v>14.643624862497171</v>
      </c>
      <c r="AQ314">
        <f t="shared" si="181"/>
        <v>15.274396593478988</v>
      </c>
      <c r="AR314">
        <f t="shared" si="182"/>
        <v>15.858157406210211</v>
      </c>
      <c r="AS314">
        <f t="shared" si="183"/>
        <v>17.780395392614839</v>
      </c>
      <c r="AT314">
        <f t="shared" si="184"/>
        <v>22.911738821976783</v>
      </c>
      <c r="AU314">
        <f t="shared" si="187"/>
        <v>-18.451159833256561</v>
      </c>
      <c r="AV314" s="5">
        <f t="shared" si="204"/>
        <v>-5.8850632204281688</v>
      </c>
      <c r="AW314" s="5">
        <f t="shared" si="204"/>
        <v>-5.3044271693872069</v>
      </c>
      <c r="AX314" s="5">
        <f t="shared" si="204"/>
        <v>-4.9998377909290266</v>
      </c>
      <c r="AY314" s="5">
        <f t="shared" si="204"/>
        <v>-4.7389223089206709</v>
      </c>
      <c r="AZ314" s="5">
        <f t="shared" si="204"/>
        <v>-4.5107126006989198</v>
      </c>
      <c r="BA314" s="5">
        <f t="shared" si="202"/>
        <v>-4.1842543183944478</v>
      </c>
      <c r="BB314" s="5">
        <f t="shared" si="202"/>
        <v>-3.8075349707593897</v>
      </c>
      <c r="BC314" s="5">
        <f t="shared" si="202"/>
        <v>-3.1767632397775731</v>
      </c>
      <c r="BD314" s="5">
        <f t="shared" si="202"/>
        <v>-2.5930024270463505</v>
      </c>
      <c r="BE314" s="5">
        <f t="shared" si="202"/>
        <v>-0.67076444064172236</v>
      </c>
      <c r="BG314" s="1"/>
      <c r="BH314" s="1">
        <f t="shared" si="199"/>
        <v>0.79999999999999993</v>
      </c>
      <c r="BI314" s="8">
        <f t="shared" si="208"/>
        <v>355297299.69999999</v>
      </c>
      <c r="BJ314" s="8">
        <f t="shared" si="209"/>
        <v>307869163.80000001</v>
      </c>
      <c r="BK314" s="8">
        <f t="shared" si="209"/>
        <v>303732187.10000002</v>
      </c>
      <c r="BL314" s="8">
        <f t="shared" si="209"/>
        <v>300984441.80000001</v>
      </c>
      <c r="BM314" s="8">
        <f t="shared" si="209"/>
        <v>248923879</v>
      </c>
      <c r="BN314" s="8">
        <f t="shared" si="209"/>
        <v>122740900.40000001</v>
      </c>
      <c r="BO314" s="8">
        <f t="shared" si="209"/>
        <v>90740997.299999997</v>
      </c>
      <c r="BP314" s="8">
        <f t="shared" si="209"/>
        <v>67901800.099999994</v>
      </c>
      <c r="BQ314" s="8">
        <f t="shared" si="209"/>
        <v>45899969.600000001</v>
      </c>
      <c r="BR314" s="8">
        <f t="shared" si="209"/>
        <v>12705580.300000001</v>
      </c>
      <c r="BS314" s="8">
        <f t="shared" si="207"/>
        <v>1856.7962190999999</v>
      </c>
      <c r="BT314" s="8">
        <f t="shared" si="210"/>
        <v>73.447281699999621</v>
      </c>
      <c r="BU314" s="8"/>
    </row>
    <row r="315" spans="1:73" x14ac:dyDescent="0.35">
      <c r="A315" t="s">
        <v>169</v>
      </c>
      <c r="B315">
        <v>3.5</v>
      </c>
      <c r="C315">
        <v>4.82</v>
      </c>
      <c r="D315">
        <v>5.61</v>
      </c>
      <c r="E315">
        <v>6.51</v>
      </c>
      <c r="F315">
        <v>7.5600000000000005</v>
      </c>
      <c r="G315">
        <v>8.65</v>
      </c>
      <c r="H315">
        <v>10.01</v>
      </c>
      <c r="I315">
        <v>11.84</v>
      </c>
      <c r="J315">
        <v>15.1</v>
      </c>
      <c r="K315">
        <v>26.41</v>
      </c>
      <c r="L315">
        <f t="shared" si="172"/>
        <v>8.1</v>
      </c>
      <c r="M315">
        <f t="shared" si="173"/>
        <v>26846016</v>
      </c>
      <c r="N315">
        <f t="shared" si="174"/>
        <v>376.34220962776232</v>
      </c>
      <c r="O315">
        <f t="shared" si="185"/>
        <v>-2.4605909091916409</v>
      </c>
      <c r="P315" s="8">
        <f t="shared" si="203"/>
        <v>131.71977336971682</v>
      </c>
      <c r="Q315" s="8">
        <f t="shared" si="203"/>
        <v>181.39694504058144</v>
      </c>
      <c r="R315" s="8">
        <f t="shared" si="203"/>
        <v>211.12797960117467</v>
      </c>
      <c r="S315" s="8">
        <f t="shared" si="203"/>
        <v>244.99877846767328</v>
      </c>
      <c r="T315" s="8">
        <f t="shared" si="203"/>
        <v>284.51471047858831</v>
      </c>
      <c r="U315" s="8">
        <f t="shared" si="201"/>
        <v>325.53601132801441</v>
      </c>
      <c r="V315" s="8">
        <f t="shared" si="201"/>
        <v>376.71855183739007</v>
      </c>
      <c r="W315" s="8">
        <f t="shared" si="201"/>
        <v>445.58917619927058</v>
      </c>
      <c r="X315" s="8">
        <f t="shared" si="201"/>
        <v>568.27673653792112</v>
      </c>
      <c r="Y315" s="8">
        <f t="shared" si="201"/>
        <v>993.91977562692023</v>
      </c>
      <c r="Z315">
        <f t="shared" si="205"/>
        <v>4.8806767369609565</v>
      </c>
      <c r="AA315">
        <f t="shared" si="205"/>
        <v>5.2006876965280968</v>
      </c>
      <c r="AB315">
        <f t="shared" si="205"/>
        <v>5.3524644880001935</v>
      </c>
      <c r="AC315">
        <f t="shared" si="205"/>
        <v>5.5012532246860664</v>
      </c>
      <c r="AD315">
        <f t="shared" si="205"/>
        <v>5.65078495865703</v>
      </c>
      <c r="AE315">
        <f t="shared" si="205"/>
        <v>5.7854730894093764</v>
      </c>
      <c r="AF315">
        <f t="shared" si="205"/>
        <v>5.9314983617927171</v>
      </c>
      <c r="AG315">
        <f t="shared" si="205"/>
        <v>6.0993973979214475</v>
      </c>
      <c r="AH315">
        <f t="shared" si="205"/>
        <v>6.3426085122864668</v>
      </c>
      <c r="AI315">
        <f t="shared" si="205"/>
        <v>6.9016564947746293</v>
      </c>
      <c r="AJ315">
        <f t="shared" si="186"/>
        <v>8.8989281331474377</v>
      </c>
      <c r="AK315">
        <f t="shared" si="175"/>
        <v>9.4824034757042863</v>
      </c>
      <c r="AL315">
        <f t="shared" si="176"/>
        <v>9.7591377960417773</v>
      </c>
      <c r="AM315">
        <f t="shared" si="177"/>
        <v>10.030424002063656</v>
      </c>
      <c r="AN315">
        <f t="shared" si="178"/>
        <v>10.303064913549447</v>
      </c>
      <c r="AO315">
        <f t="shared" si="179"/>
        <v>10.548641512973937</v>
      </c>
      <c r="AP315">
        <f t="shared" si="180"/>
        <v>10.814889100059938</v>
      </c>
      <c r="AQ315">
        <f t="shared" si="181"/>
        <v>11.121019076835379</v>
      </c>
      <c r="AR315">
        <f t="shared" si="182"/>
        <v>11.56446541523489</v>
      </c>
      <c r="AS315">
        <f t="shared" si="183"/>
        <v>12.583776483609592</v>
      </c>
      <c r="AT315">
        <f t="shared" si="184"/>
        <v>16.225397867311457</v>
      </c>
      <c r="AU315">
        <f t="shared" si="187"/>
        <v>-13.58873856247936</v>
      </c>
      <c r="AV315" s="5">
        <f t="shared" si="204"/>
        <v>-4.6898104293319225</v>
      </c>
      <c r="AW315" s="5">
        <f t="shared" si="204"/>
        <v>-4.1063350867750739</v>
      </c>
      <c r="AX315" s="5">
        <f t="shared" si="204"/>
        <v>-3.8296007664375828</v>
      </c>
      <c r="AY315" s="5">
        <f t="shared" si="204"/>
        <v>-3.5583145604157043</v>
      </c>
      <c r="AZ315" s="5">
        <f t="shared" si="204"/>
        <v>-3.2856736489299134</v>
      </c>
      <c r="BA315" s="5">
        <f t="shared" si="202"/>
        <v>-3.0400970495054231</v>
      </c>
      <c r="BB315" s="5">
        <f t="shared" si="202"/>
        <v>-2.7738494624194221</v>
      </c>
      <c r="BC315" s="5">
        <f t="shared" si="202"/>
        <v>-2.4677194856439808</v>
      </c>
      <c r="BD315" s="5">
        <f t="shared" si="202"/>
        <v>-2.0242731472444699</v>
      </c>
      <c r="BE315" s="5">
        <f t="shared" si="202"/>
        <v>-1.0049620788697684</v>
      </c>
      <c r="BG315" s="1"/>
      <c r="BH315" s="1">
        <f t="shared" si="199"/>
        <v>0.89999999999999991</v>
      </c>
      <c r="BI315" s="8">
        <f t="shared" si="208"/>
        <v>359970425.60000002</v>
      </c>
      <c r="BJ315" s="8">
        <f t="shared" si="209"/>
        <v>314510788.80000001</v>
      </c>
      <c r="BK315" s="8">
        <f t="shared" si="209"/>
        <v>307757545.80000001</v>
      </c>
      <c r="BL315" s="8">
        <f t="shared" si="209"/>
        <v>301666887.10000002</v>
      </c>
      <c r="BM315" s="8">
        <f t="shared" si="209"/>
        <v>276270821.19999999</v>
      </c>
      <c r="BN315" s="8">
        <f t="shared" si="209"/>
        <v>247985451.90000001</v>
      </c>
      <c r="BO315" s="8">
        <f t="shared" si="209"/>
        <v>95493319.099999994</v>
      </c>
      <c r="BP315" s="8">
        <f t="shared" si="209"/>
        <v>89245048.799999997</v>
      </c>
      <c r="BQ315" s="8">
        <f t="shared" si="209"/>
        <v>61963496.899999999</v>
      </c>
      <c r="BR315" s="8">
        <f t="shared" si="209"/>
        <v>14206949.699999999</v>
      </c>
      <c r="BS315" s="8">
        <f t="shared" si="207"/>
        <v>2069.0707349000004</v>
      </c>
      <c r="BT315" s="8">
        <f t="shared" si="210"/>
        <v>212.27451580000047</v>
      </c>
    </row>
    <row r="316" spans="1:73" x14ac:dyDescent="0.35">
      <c r="A316" t="s">
        <v>170</v>
      </c>
      <c r="B316">
        <v>3.6</v>
      </c>
      <c r="C316">
        <v>5.8</v>
      </c>
      <c r="D316">
        <v>6.7</v>
      </c>
      <c r="E316">
        <v>7.6000000000000005</v>
      </c>
      <c r="F316">
        <v>8.5</v>
      </c>
      <c r="G316">
        <v>9.5</v>
      </c>
      <c r="H316">
        <v>10.6</v>
      </c>
      <c r="I316">
        <v>12</v>
      </c>
      <c r="J316">
        <v>14</v>
      </c>
      <c r="K316">
        <v>21.8</v>
      </c>
      <c r="L316">
        <f t="shared" si="172"/>
        <v>9.1999999999999993</v>
      </c>
      <c r="M316">
        <f t="shared" si="173"/>
        <v>16615394</v>
      </c>
      <c r="N316">
        <f t="shared" si="174"/>
        <v>41110.27840287541</v>
      </c>
      <c r="O316">
        <f t="shared" si="185"/>
        <v>-0.83300417116318037</v>
      </c>
      <c r="P316" s="8">
        <f t="shared" si="203"/>
        <v>14799.700225035147</v>
      </c>
      <c r="Q316" s="8">
        <f t="shared" si="203"/>
        <v>23843.961473667739</v>
      </c>
      <c r="R316" s="8">
        <f t="shared" si="203"/>
        <v>27543.886529926524</v>
      </c>
      <c r="S316" s="8">
        <f t="shared" si="203"/>
        <v>31243.811586185311</v>
      </c>
      <c r="T316" s="8">
        <f t="shared" si="203"/>
        <v>34943.736642444099</v>
      </c>
      <c r="U316" s="8">
        <f t="shared" si="201"/>
        <v>39054.76448273164</v>
      </c>
      <c r="V316" s="8">
        <f t="shared" si="201"/>
        <v>43576.895107047938</v>
      </c>
      <c r="W316" s="8">
        <f t="shared" si="201"/>
        <v>49332.334083450492</v>
      </c>
      <c r="X316" s="8">
        <f t="shared" si="201"/>
        <v>57554.389764025575</v>
      </c>
      <c r="Y316" s="8">
        <f t="shared" si="201"/>
        <v>89620.406918268389</v>
      </c>
      <c r="Z316">
        <f t="shared" si="205"/>
        <v>9.6023622044818779</v>
      </c>
      <c r="AA316">
        <f t="shared" si="205"/>
        <v>10.079286276572187</v>
      </c>
      <c r="AB316">
        <f t="shared" si="205"/>
        <v>10.223535885416734</v>
      </c>
      <c r="AC316">
        <f t="shared" si="205"/>
        <v>10.349576606312098</v>
      </c>
      <c r="AD316">
        <f t="shared" si="205"/>
        <v>10.461494522516084</v>
      </c>
      <c r="AE316">
        <f t="shared" si="205"/>
        <v>10.572720157626309</v>
      </c>
      <c r="AF316">
        <f t="shared" si="205"/>
        <v>10.682282360137835</v>
      </c>
      <c r="AG316">
        <f t="shared" si="205"/>
        <v>10.806335008807814</v>
      </c>
      <c r="AH316">
        <f t="shared" si="205"/>
        <v>10.960485688635071</v>
      </c>
      <c r="AI316">
        <f t="shared" si="205"/>
        <v>11.403338328814856</v>
      </c>
      <c r="AJ316">
        <f t="shared" si="186"/>
        <v>17.507967802707398</v>
      </c>
      <c r="AK316">
        <f t="shared" si="175"/>
        <v>18.377542509501517</v>
      </c>
      <c r="AL316">
        <f t="shared" si="176"/>
        <v>18.64055253280856</v>
      </c>
      <c r="AM316">
        <f t="shared" si="177"/>
        <v>18.870362327135638</v>
      </c>
      <c r="AN316">
        <f t="shared" si="178"/>
        <v>19.074422039914531</v>
      </c>
      <c r="AO316">
        <f t="shared" si="179"/>
        <v>19.277219517959736</v>
      </c>
      <c r="AP316">
        <f t="shared" si="180"/>
        <v>19.476984062674596</v>
      </c>
      <c r="AQ316">
        <f t="shared" si="181"/>
        <v>19.703169008889269</v>
      </c>
      <c r="AR316">
        <f t="shared" si="182"/>
        <v>19.984231635116949</v>
      </c>
      <c r="AS316">
        <f t="shared" si="183"/>
        <v>20.791683968251469</v>
      </c>
      <c r="AT316">
        <f t="shared" si="184"/>
        <v>31.922242678740794</v>
      </c>
      <c r="AU316">
        <f t="shared" si="187"/>
        <v>-20.404663228419281</v>
      </c>
      <c r="AV316" s="5">
        <f t="shared" si="204"/>
        <v>-2.8966954257118829</v>
      </c>
      <c r="AW316" s="5">
        <f t="shared" si="204"/>
        <v>-2.0271207189177645</v>
      </c>
      <c r="AX316" s="5">
        <f t="shared" si="204"/>
        <v>-1.7641106956107215</v>
      </c>
      <c r="AY316" s="5">
        <f t="shared" si="204"/>
        <v>-1.5343009012836433</v>
      </c>
      <c r="AZ316" s="5">
        <f t="shared" si="204"/>
        <v>-1.3302411885047505</v>
      </c>
      <c r="BA316" s="5">
        <f t="shared" si="202"/>
        <v>-1.1274437104595449</v>
      </c>
      <c r="BB316" s="5">
        <f t="shared" si="202"/>
        <v>-0.92767916574468501</v>
      </c>
      <c r="BC316" s="5">
        <f t="shared" si="202"/>
        <v>-0.70149421953001223</v>
      </c>
      <c r="BD316" s="5">
        <f t="shared" si="202"/>
        <v>-0.42043159330233237</v>
      </c>
      <c r="BE316" s="5">
        <f t="shared" si="202"/>
        <v>0.3870207398321881</v>
      </c>
      <c r="BG316" s="1"/>
      <c r="BH316" s="1">
        <f t="shared" si="199"/>
        <v>0.99999999999999989</v>
      </c>
      <c r="BI316" s="8">
        <f t="shared" si="208"/>
        <v>517453427.39999998</v>
      </c>
      <c r="BJ316" s="8">
        <f t="shared" si="209"/>
        <v>323506546.10000002</v>
      </c>
      <c r="BK316" s="8">
        <f t="shared" si="209"/>
        <v>307757545.80000001</v>
      </c>
      <c r="BL316" s="8">
        <f t="shared" si="209"/>
        <v>303732187.10000002</v>
      </c>
      <c r="BM316" s="8">
        <f t="shared" si="209"/>
        <v>301255715.60000002</v>
      </c>
      <c r="BN316" s="8">
        <f t="shared" si="209"/>
        <v>248933653.30000001</v>
      </c>
      <c r="BO316" s="8">
        <f t="shared" si="209"/>
        <v>243321188</v>
      </c>
      <c r="BP316" s="8">
        <f t="shared" si="209"/>
        <v>90901047.200000003</v>
      </c>
      <c r="BQ316" s="8">
        <f t="shared" si="209"/>
        <v>66580101.600000001</v>
      </c>
      <c r="BR316" s="8">
        <f t="shared" si="209"/>
        <v>19154684.100000001</v>
      </c>
      <c r="BS316" s="8">
        <f t="shared" si="207"/>
        <v>2422.5960961999999</v>
      </c>
      <c r="BT316" s="8">
        <f t="shared" si="210"/>
        <v>353.52536129999953</v>
      </c>
    </row>
    <row r="317" spans="1:73" x14ac:dyDescent="0.35">
      <c r="A317" t="s">
        <v>171</v>
      </c>
      <c r="B317">
        <v>2.9</v>
      </c>
      <c r="C317">
        <v>4.5</v>
      </c>
      <c r="D317">
        <v>5.5</v>
      </c>
      <c r="E317">
        <v>6.5</v>
      </c>
      <c r="F317">
        <v>7.7</v>
      </c>
      <c r="G317">
        <v>9</v>
      </c>
      <c r="H317">
        <v>10.5</v>
      </c>
      <c r="I317">
        <v>12.5</v>
      </c>
      <c r="J317">
        <v>15.200000000000001</v>
      </c>
      <c r="K317">
        <v>25.7</v>
      </c>
      <c r="L317">
        <f t="shared" si="172"/>
        <v>10.5</v>
      </c>
      <c r="M317">
        <f t="shared" si="173"/>
        <v>4367800</v>
      </c>
      <c r="N317">
        <f t="shared" si="174"/>
        <v>27483.511003152802</v>
      </c>
      <c r="O317">
        <f t="shared" si="185"/>
        <v>-2.627647756640787</v>
      </c>
      <c r="P317" s="8">
        <f t="shared" si="203"/>
        <v>7970.2181909143128</v>
      </c>
      <c r="Q317" s="8">
        <f t="shared" si="203"/>
        <v>12367.579951418762</v>
      </c>
      <c r="R317" s="8">
        <f t="shared" si="203"/>
        <v>15115.93105173404</v>
      </c>
      <c r="S317" s="8">
        <f t="shared" si="203"/>
        <v>17864.282152049323</v>
      </c>
      <c r="T317" s="8">
        <f t="shared" si="203"/>
        <v>21162.303472427659</v>
      </c>
      <c r="U317" s="8">
        <f t="shared" si="201"/>
        <v>24735.159902837524</v>
      </c>
      <c r="V317" s="8">
        <f t="shared" si="201"/>
        <v>28857.686553310439</v>
      </c>
      <c r="W317" s="8">
        <f t="shared" si="201"/>
        <v>34354.388753941006</v>
      </c>
      <c r="X317" s="8">
        <f t="shared" si="201"/>
        <v>41774.936724792264</v>
      </c>
      <c r="Y317" s="8">
        <f t="shared" si="201"/>
        <v>70632.623278102692</v>
      </c>
      <c r="Z317">
        <f t="shared" si="205"/>
        <v>8.9834671479357926</v>
      </c>
      <c r="AA317">
        <f t="shared" si="205"/>
        <v>9.4228338077196394</v>
      </c>
      <c r="AB317">
        <f t="shared" si="205"/>
        <v>9.6235045031817901</v>
      </c>
      <c r="AC317">
        <f t="shared" si="205"/>
        <v>9.7905585878449557</v>
      </c>
      <c r="AD317">
        <f t="shared" si="205"/>
        <v>9.9599767398030021</v>
      </c>
      <c r="AE317">
        <f t="shared" si="205"/>
        <v>10.115980988279585</v>
      </c>
      <c r="AF317">
        <f t="shared" si="205"/>
        <v>10.270131668106842</v>
      </c>
      <c r="AG317">
        <f t="shared" si="205"/>
        <v>10.44448505525162</v>
      </c>
      <c r="AH317">
        <f t="shared" si="205"/>
        <v>10.640051838795596</v>
      </c>
      <c r="AI317">
        <f t="shared" si="205"/>
        <v>11.165247402844539</v>
      </c>
      <c r="AJ317">
        <f t="shared" si="186"/>
        <v>16.379537683897034</v>
      </c>
      <c r="AK317">
        <f t="shared" si="175"/>
        <v>17.180634035947605</v>
      </c>
      <c r="AL317">
        <f t="shared" si="176"/>
        <v>17.546516513642352</v>
      </c>
      <c r="AM317">
        <f t="shared" si="177"/>
        <v>17.851105892100534</v>
      </c>
      <c r="AN317">
        <f t="shared" si="178"/>
        <v>18.160005669729333</v>
      </c>
      <c r="AO317">
        <f t="shared" si="179"/>
        <v>18.444447903968193</v>
      </c>
      <c r="AP317">
        <f t="shared" si="180"/>
        <v>18.725510530195869</v>
      </c>
      <c r="AQ317">
        <f t="shared" si="181"/>
        <v>19.043408712270171</v>
      </c>
      <c r="AR317">
        <f t="shared" si="182"/>
        <v>19.399985237572334</v>
      </c>
      <c r="AS317">
        <f t="shared" si="183"/>
        <v>20.357573259111643</v>
      </c>
      <c r="AT317">
        <f t="shared" si="184"/>
        <v>29.864778299974095</v>
      </c>
      <c r="AU317">
        <f t="shared" si="187"/>
        <v>-21.586782698661626</v>
      </c>
      <c r="AV317" s="5">
        <f t="shared" si="204"/>
        <v>-5.2072450147645917</v>
      </c>
      <c r="AW317" s="5">
        <f t="shared" si="204"/>
        <v>-4.4061486627140205</v>
      </c>
      <c r="AX317" s="5">
        <f t="shared" si="204"/>
        <v>-4.0402661850192736</v>
      </c>
      <c r="AY317" s="5">
        <f t="shared" si="204"/>
        <v>-3.7356768065610915</v>
      </c>
      <c r="AZ317" s="5">
        <f t="shared" si="204"/>
        <v>-3.4267770289322925</v>
      </c>
      <c r="BA317" s="5">
        <f t="shared" si="202"/>
        <v>-3.1423347946934328</v>
      </c>
      <c r="BB317" s="5">
        <f t="shared" si="202"/>
        <v>-2.8612721684657565</v>
      </c>
      <c r="BC317" s="5">
        <f t="shared" si="202"/>
        <v>-2.5433739863914546</v>
      </c>
      <c r="BD317" s="5">
        <f t="shared" si="202"/>
        <v>-2.1867974610892915</v>
      </c>
      <c r="BE317" s="5">
        <f t="shared" si="202"/>
        <v>-1.2292094395499831</v>
      </c>
      <c r="BG317" s="1"/>
      <c r="BH317" s="1">
        <f t="shared" si="199"/>
        <v>1.0999999999999999</v>
      </c>
      <c r="BI317" s="8">
        <f t="shared" si="208"/>
        <v>520593018.30000001</v>
      </c>
      <c r="BJ317" s="8">
        <f t="shared" si="209"/>
        <v>328565165.60000002</v>
      </c>
      <c r="BK317" s="8">
        <f t="shared" si="209"/>
        <v>307911396.60000002</v>
      </c>
      <c r="BL317" s="8">
        <f t="shared" si="209"/>
        <v>305802633.39999998</v>
      </c>
      <c r="BM317" s="8">
        <f t="shared" si="209"/>
        <v>303321015.60000002</v>
      </c>
      <c r="BN317" s="8">
        <f t="shared" si="209"/>
        <v>276270821.19999999</v>
      </c>
      <c r="BO317" s="8">
        <f t="shared" si="209"/>
        <v>247908218.90000001</v>
      </c>
      <c r="BP317" s="8">
        <f t="shared" si="209"/>
        <v>102071490.09999999</v>
      </c>
      <c r="BQ317" s="8">
        <f t="shared" si="209"/>
        <v>83895032.200000003</v>
      </c>
      <c r="BR317" s="8">
        <f t="shared" si="209"/>
        <v>23177215.899999999</v>
      </c>
      <c r="BS317" s="8">
        <f t="shared" si="207"/>
        <v>2499.5160077999999</v>
      </c>
      <c r="BT317" s="8">
        <f t="shared" si="210"/>
        <v>76.919911599999978</v>
      </c>
    </row>
    <row r="318" spans="1:73" x14ac:dyDescent="0.35">
      <c r="A318" t="s">
        <v>396</v>
      </c>
      <c r="B318">
        <v>1.8</v>
      </c>
      <c r="C318">
        <v>3.0500000000000003</v>
      </c>
      <c r="D318">
        <v>4.03</v>
      </c>
      <c r="E318">
        <v>5.01</v>
      </c>
      <c r="F318">
        <v>6.18</v>
      </c>
      <c r="G318">
        <v>7.38</v>
      </c>
      <c r="H318">
        <v>8.8800000000000008</v>
      </c>
      <c r="I318">
        <v>10.9</v>
      </c>
      <c r="J318">
        <v>14.9</v>
      </c>
      <c r="K318">
        <v>37.869999999999997</v>
      </c>
      <c r="L318">
        <f t="shared" si="172"/>
        <v>24.8</v>
      </c>
      <c r="M318">
        <f t="shared" si="173"/>
        <v>5822209</v>
      </c>
      <c r="N318">
        <f t="shared" si="174"/>
        <v>1230.3353843860234</v>
      </c>
      <c r="O318">
        <f t="shared" si="185"/>
        <v>-6.5119998653038671</v>
      </c>
      <c r="P318" s="8">
        <f t="shared" si="203"/>
        <v>221.4603691894842</v>
      </c>
      <c r="Q318" s="8">
        <f t="shared" si="203"/>
        <v>375.25229223773715</v>
      </c>
      <c r="R318" s="8">
        <f t="shared" si="203"/>
        <v>495.82515990756747</v>
      </c>
      <c r="S318" s="8">
        <f t="shared" si="203"/>
        <v>616.39802757739767</v>
      </c>
      <c r="T318" s="8">
        <f t="shared" si="203"/>
        <v>760.34726755056249</v>
      </c>
      <c r="U318" s="8">
        <f t="shared" si="201"/>
        <v>907.98751367688533</v>
      </c>
      <c r="V318" s="8">
        <f t="shared" si="201"/>
        <v>1092.537821334789</v>
      </c>
      <c r="W318" s="8">
        <f t="shared" si="201"/>
        <v>1341.0655689807656</v>
      </c>
      <c r="X318" s="8">
        <f t="shared" si="201"/>
        <v>1833.1997227351749</v>
      </c>
      <c r="Y318" s="8">
        <f t="shared" si="201"/>
        <v>4659.2801006698701</v>
      </c>
      <c r="Z318">
        <f t="shared" si="205"/>
        <v>5.4002436533393041</v>
      </c>
      <c r="AA318">
        <f t="shared" si="205"/>
        <v>5.9275985790565056</v>
      </c>
      <c r="AB318">
        <f t="shared" si="205"/>
        <v>6.2062233643957772</v>
      </c>
      <c r="AC318">
        <f t="shared" si="205"/>
        <v>6.4238929035339583</v>
      </c>
      <c r="AD318">
        <f t="shared" si="205"/>
        <v>6.633775259906785</v>
      </c>
      <c r="AE318">
        <f t="shared" si="205"/>
        <v>6.8112306270495662</v>
      </c>
      <c r="AF318">
        <f t="shared" si="205"/>
        <v>6.9962585454412638</v>
      </c>
      <c r="AG318">
        <f t="shared" si="205"/>
        <v>7.2012197776722831</v>
      </c>
      <c r="AH318">
        <f t="shared" si="205"/>
        <v>7.5138182013885988</v>
      </c>
      <c r="AI318">
        <f t="shared" si="205"/>
        <v>8.4466162303508892</v>
      </c>
      <c r="AJ318">
        <f t="shared" si="186"/>
        <v>9.8462534526462466</v>
      </c>
      <c r="AK318">
        <f t="shared" si="175"/>
        <v>10.80777863399657</v>
      </c>
      <c r="AL318">
        <f t="shared" si="176"/>
        <v>11.315794647856093</v>
      </c>
      <c r="AM318">
        <f t="shared" si="177"/>
        <v>11.71267108322766</v>
      </c>
      <c r="AN318">
        <f t="shared" si="178"/>
        <v>12.095349163837522</v>
      </c>
      <c r="AO318">
        <f t="shared" si="179"/>
        <v>12.418903179838221</v>
      </c>
      <c r="AP318">
        <f t="shared" si="180"/>
        <v>12.756264213385966</v>
      </c>
      <c r="AQ318">
        <f t="shared" si="181"/>
        <v>13.129969618190319</v>
      </c>
      <c r="AR318">
        <f t="shared" si="182"/>
        <v>13.69992969895543</v>
      </c>
      <c r="AS318">
        <f t="shared" si="183"/>
        <v>15.400698479566316</v>
      </c>
      <c r="AT318">
        <f t="shared" si="184"/>
        <v>17.952654227702997</v>
      </c>
      <c r="AU318">
        <f t="shared" si="187"/>
        <v>-20.163165644251464</v>
      </c>
      <c r="AV318" s="5">
        <f t="shared" si="204"/>
        <v>-10.316912191605217</v>
      </c>
      <c r="AW318" s="5">
        <f t="shared" si="204"/>
        <v>-9.3553870102548942</v>
      </c>
      <c r="AX318" s="5">
        <f t="shared" si="204"/>
        <v>-8.8473709963953713</v>
      </c>
      <c r="AY318" s="5">
        <f t="shared" si="204"/>
        <v>-8.4504945610238043</v>
      </c>
      <c r="AZ318" s="5">
        <f t="shared" si="204"/>
        <v>-8.0678164804139421</v>
      </c>
      <c r="BA318" s="5">
        <f t="shared" si="202"/>
        <v>-7.744262464413243</v>
      </c>
      <c r="BB318" s="5">
        <f t="shared" si="202"/>
        <v>-7.4069014308654975</v>
      </c>
      <c r="BC318" s="5">
        <f t="shared" si="202"/>
        <v>-7.0331960260611446</v>
      </c>
      <c r="BD318" s="5">
        <f t="shared" si="202"/>
        <v>-6.4632359452960344</v>
      </c>
      <c r="BE318" s="5">
        <f t="shared" si="202"/>
        <v>-4.7624671646851482</v>
      </c>
      <c r="BG318" s="1"/>
      <c r="BH318" s="1">
        <f t="shared" si="199"/>
        <v>1.2</v>
      </c>
      <c r="BI318" s="8">
        <f t="shared" si="208"/>
        <v>527490593.60000002</v>
      </c>
      <c r="BJ318" s="8">
        <f t="shared" si="209"/>
        <v>337050007.69999999</v>
      </c>
      <c r="BK318" s="8">
        <f t="shared" si="209"/>
        <v>313832076.80000001</v>
      </c>
      <c r="BL318" s="8">
        <f t="shared" si="209"/>
        <v>307757545.80000001</v>
      </c>
      <c r="BM318" s="8">
        <f t="shared" si="209"/>
        <v>303732187.10000002</v>
      </c>
      <c r="BN318" s="8">
        <f t="shared" si="209"/>
        <v>301255715.60000002</v>
      </c>
      <c r="BO318" s="8">
        <f t="shared" si="209"/>
        <v>249012265.90000001</v>
      </c>
      <c r="BP318" s="8">
        <f t="shared" si="209"/>
        <v>243677394.19999999</v>
      </c>
      <c r="BQ318" s="8">
        <f t="shared" si="209"/>
        <v>89605990.799999997</v>
      </c>
      <c r="BR318" s="8">
        <f t="shared" si="209"/>
        <v>23177215.899999999</v>
      </c>
      <c r="BS318" s="8">
        <f t="shared" si="207"/>
        <v>2696.5909934000001</v>
      </c>
      <c r="BT318" s="8">
        <f t="shared" si="210"/>
        <v>197.07498560000022</v>
      </c>
    </row>
    <row r="319" spans="1:73" x14ac:dyDescent="0.35">
      <c r="A319" t="s">
        <v>397</v>
      </c>
      <c r="B319">
        <v>3.23</v>
      </c>
      <c r="C319">
        <v>4.62</v>
      </c>
      <c r="D319">
        <v>5.47</v>
      </c>
      <c r="E319">
        <v>6.42</v>
      </c>
      <c r="F319">
        <v>7.38</v>
      </c>
      <c r="G319">
        <v>8.620000000000001</v>
      </c>
      <c r="H319">
        <v>10.050000000000001</v>
      </c>
      <c r="I319">
        <v>12</v>
      </c>
      <c r="J319">
        <v>15.44</v>
      </c>
      <c r="K319">
        <v>26.78</v>
      </c>
      <c r="L319">
        <f t="shared" si="172"/>
        <v>27.1</v>
      </c>
      <c r="M319">
        <f t="shared" si="173"/>
        <v>15893746</v>
      </c>
      <c r="N319">
        <f t="shared" si="174"/>
        <v>275.68302744227515</v>
      </c>
      <c r="O319">
        <f t="shared" si="185"/>
        <v>-10.094703936916282</v>
      </c>
      <c r="P319" s="8">
        <f t="shared" si="203"/>
        <v>89.045617863854872</v>
      </c>
      <c r="Q319" s="8">
        <f t="shared" si="203"/>
        <v>127.36555867833113</v>
      </c>
      <c r="R319" s="8">
        <f t="shared" si="203"/>
        <v>150.79861601092449</v>
      </c>
      <c r="S319" s="8">
        <f t="shared" si="203"/>
        <v>176.98850361794064</v>
      </c>
      <c r="T319" s="8">
        <f t="shared" si="203"/>
        <v>203.45407425239904</v>
      </c>
      <c r="U319" s="8">
        <f t="shared" si="201"/>
        <v>237.63876965524119</v>
      </c>
      <c r="V319" s="8">
        <f t="shared" si="201"/>
        <v>277.06144257948654</v>
      </c>
      <c r="W319" s="8">
        <f t="shared" si="201"/>
        <v>330.81963293073017</v>
      </c>
      <c r="X319" s="8">
        <f t="shared" si="201"/>
        <v>425.65459437087281</v>
      </c>
      <c r="Y319" s="8">
        <f t="shared" si="201"/>
        <v>738.27914749041281</v>
      </c>
      <c r="Z319">
        <f t="shared" si="205"/>
        <v>4.4891487986860268</v>
      </c>
      <c r="AA319">
        <f t="shared" si="205"/>
        <v>4.847061366545109</v>
      </c>
      <c r="AB319">
        <f t="shared" si="205"/>
        <v>5.0159452778853515</v>
      </c>
      <c r="AC319">
        <f t="shared" si="205"/>
        <v>5.1760847791533315</v>
      </c>
      <c r="AD319">
        <f t="shared" si="205"/>
        <v>5.3154403000638428</v>
      </c>
      <c r="AE319">
        <f t="shared" si="205"/>
        <v>5.4707517461270632</v>
      </c>
      <c r="AF319">
        <f t="shared" si="205"/>
        <v>5.6242392959565466</v>
      </c>
      <c r="AG319">
        <f t="shared" si="205"/>
        <v>5.8015733112394621</v>
      </c>
      <c r="AH319">
        <f t="shared" si="205"/>
        <v>6.0536282060480922</v>
      </c>
      <c r="AI319">
        <f t="shared" si="205"/>
        <v>6.6043220017144879</v>
      </c>
      <c r="AJ319">
        <f t="shared" si="186"/>
        <v>8.1850560263466363</v>
      </c>
      <c r="AK319">
        <f t="shared" si="175"/>
        <v>8.8376372954989648</v>
      </c>
      <c r="AL319">
        <f t="shared" si="176"/>
        <v>9.1455629932778066</v>
      </c>
      <c r="AM319">
        <f t="shared" si="177"/>
        <v>9.437545025660711</v>
      </c>
      <c r="AN319">
        <f t="shared" si="178"/>
        <v>9.6916316682258046</v>
      </c>
      <c r="AO319">
        <f t="shared" si="179"/>
        <v>9.9748107172099818</v>
      </c>
      <c r="AP319">
        <f t="shared" si="180"/>
        <v>10.254664259838981</v>
      </c>
      <c r="AQ319">
        <f t="shared" si="181"/>
        <v>10.577997015236289</v>
      </c>
      <c r="AR319">
        <f t="shared" si="182"/>
        <v>11.037568200831075</v>
      </c>
      <c r="AS319">
        <f t="shared" si="183"/>
        <v>12.041647097082024</v>
      </c>
      <c r="AT319">
        <f t="shared" si="184"/>
        <v>14.923796282725769</v>
      </c>
      <c r="AU319">
        <f t="shared" si="187"/>
        <v>-20.676452724807874</v>
      </c>
      <c r="AV319" s="5">
        <f t="shared" si="204"/>
        <v>-12.491396698461237</v>
      </c>
      <c r="AW319" s="5">
        <f t="shared" si="204"/>
        <v>-11.838815429308909</v>
      </c>
      <c r="AX319" s="5">
        <f t="shared" si="204"/>
        <v>-11.530889731530067</v>
      </c>
      <c r="AY319" s="5">
        <f t="shared" si="204"/>
        <v>-11.238907699147163</v>
      </c>
      <c r="AZ319" s="5">
        <f t="shared" si="204"/>
        <v>-10.984821056582069</v>
      </c>
      <c r="BA319" s="5">
        <f t="shared" si="202"/>
        <v>-10.701642007597892</v>
      </c>
      <c r="BB319" s="5">
        <f t="shared" si="202"/>
        <v>-10.421788464968893</v>
      </c>
      <c r="BC319" s="5">
        <f t="shared" si="202"/>
        <v>-10.098455709571585</v>
      </c>
      <c r="BD319" s="5">
        <f t="shared" si="202"/>
        <v>-9.6388845239767988</v>
      </c>
      <c r="BE319" s="5">
        <f t="shared" si="202"/>
        <v>-8.63480562772585</v>
      </c>
      <c r="BG319" s="1"/>
      <c r="BH319" s="1">
        <f t="shared" si="199"/>
        <v>1.3</v>
      </c>
      <c r="BI319" s="8">
        <f t="shared" si="208"/>
        <v>539949186.20000005</v>
      </c>
      <c r="BJ319" s="8">
        <f t="shared" si="209"/>
        <v>488699308.60000002</v>
      </c>
      <c r="BK319" s="8">
        <f t="shared" si="209"/>
        <v>322205023.89999998</v>
      </c>
      <c r="BL319" s="8">
        <f t="shared" si="209"/>
        <v>307859883.30000001</v>
      </c>
      <c r="BM319" s="8">
        <f t="shared" si="209"/>
        <v>304368475.80000001</v>
      </c>
      <c r="BN319" s="8">
        <f t="shared" si="209"/>
        <v>303321015.60000002</v>
      </c>
      <c r="BO319" s="8">
        <f t="shared" si="209"/>
        <v>275779974.60000002</v>
      </c>
      <c r="BP319" s="8">
        <f t="shared" si="209"/>
        <v>247325998</v>
      </c>
      <c r="BQ319" s="8">
        <f t="shared" si="209"/>
        <v>93177348</v>
      </c>
      <c r="BR319" s="8">
        <f t="shared" si="209"/>
        <v>28519323.300000001</v>
      </c>
      <c r="BS319" s="8">
        <f t="shared" si="207"/>
        <v>2911.2055373000003</v>
      </c>
      <c r="BT319" s="8">
        <f t="shared" si="210"/>
        <v>214.61454390000017</v>
      </c>
    </row>
    <row r="320" spans="1:73" x14ac:dyDescent="0.35">
      <c r="A320" t="s">
        <v>172</v>
      </c>
      <c r="B320">
        <v>2.04</v>
      </c>
      <c r="C320">
        <v>3.33</v>
      </c>
      <c r="D320">
        <v>4.33</v>
      </c>
      <c r="E320">
        <v>5.38</v>
      </c>
      <c r="F320">
        <v>6.5200000000000005</v>
      </c>
      <c r="G320">
        <v>7.84</v>
      </c>
      <c r="H320">
        <v>9.5500000000000007</v>
      </c>
      <c r="I320">
        <v>12.030000000000001</v>
      </c>
      <c r="J320">
        <v>16.260000000000002</v>
      </c>
      <c r="K320">
        <v>32.730000000000004</v>
      </c>
      <c r="L320">
        <f t="shared" si="172"/>
        <v>26.8</v>
      </c>
      <c r="M320">
        <f t="shared" si="173"/>
        <v>159707780</v>
      </c>
      <c r="N320">
        <f t="shared" si="174"/>
        <v>995.6802013953959</v>
      </c>
      <c r="O320">
        <f t="shared" si="185"/>
        <v>-7.6416932189153588</v>
      </c>
      <c r="P320" s="8">
        <f t="shared" si="203"/>
        <v>203.11876108466078</v>
      </c>
      <c r="Q320" s="8">
        <f t="shared" si="203"/>
        <v>331.56150706466684</v>
      </c>
      <c r="R320" s="8">
        <f t="shared" si="203"/>
        <v>431.12952720420645</v>
      </c>
      <c r="S320" s="8">
        <f t="shared" si="203"/>
        <v>535.67594835072293</v>
      </c>
      <c r="T320" s="8">
        <f t="shared" si="203"/>
        <v>649.18349130979811</v>
      </c>
      <c r="U320" s="8">
        <f t="shared" si="201"/>
        <v>780.61327789399036</v>
      </c>
      <c r="V320" s="8">
        <f t="shared" si="201"/>
        <v>950.87459233260324</v>
      </c>
      <c r="W320" s="8">
        <f t="shared" si="201"/>
        <v>1197.8032822786613</v>
      </c>
      <c r="X320" s="8">
        <f t="shared" si="201"/>
        <v>1618.9760074689138</v>
      </c>
      <c r="Y320" s="8">
        <f t="shared" si="201"/>
        <v>3258.8612991671312</v>
      </c>
      <c r="Z320">
        <f t="shared" si="205"/>
        <v>5.3137908379521654</v>
      </c>
      <c r="AA320">
        <f t="shared" si="205"/>
        <v>5.8038133340883933</v>
      </c>
      <c r="AB320">
        <f t="shared" si="205"/>
        <v>6.066408572110439</v>
      </c>
      <c r="AC320">
        <f t="shared" si="205"/>
        <v>6.2835294042697329</v>
      </c>
      <c r="AD320">
        <f t="shared" si="205"/>
        <v>6.4757154060346016</v>
      </c>
      <c r="AE320">
        <f t="shared" si="205"/>
        <v>6.660079864458357</v>
      </c>
      <c r="AF320">
        <f t="shared" si="205"/>
        <v>6.8573821845886798</v>
      </c>
      <c r="AG320">
        <f t="shared" si="205"/>
        <v>7.0882445600826278</v>
      </c>
      <c r="AH320">
        <f t="shared" si="205"/>
        <v>7.3895491342157049</v>
      </c>
      <c r="AI320">
        <f t="shared" si="205"/>
        <v>8.08913311860913</v>
      </c>
      <c r="AJ320">
        <f t="shared" si="186"/>
        <v>9.6886242072565079</v>
      </c>
      <c r="AK320">
        <f t="shared" si="175"/>
        <v>10.582081244416699</v>
      </c>
      <c r="AL320">
        <f t="shared" si="176"/>
        <v>11.060870616711819</v>
      </c>
      <c r="AM320">
        <f t="shared" si="177"/>
        <v>11.456746595746196</v>
      </c>
      <c r="AN320">
        <f t="shared" si="178"/>
        <v>11.807158948392077</v>
      </c>
      <c r="AO320">
        <f t="shared" si="179"/>
        <v>12.143310296707194</v>
      </c>
      <c r="AP320">
        <f t="shared" si="180"/>
        <v>12.503051222396172</v>
      </c>
      <c r="AQ320">
        <f t="shared" si="181"/>
        <v>12.923982129909536</v>
      </c>
      <c r="AR320">
        <f t="shared" si="182"/>
        <v>13.473350157317228</v>
      </c>
      <c r="AS320">
        <f t="shared" si="183"/>
        <v>14.748900236893791</v>
      </c>
      <c r="AT320">
        <f t="shared" si="184"/>
        <v>17.665249139842377</v>
      </c>
      <c r="AU320">
        <f t="shared" si="187"/>
        <v>-20.774460361802028</v>
      </c>
      <c r="AV320" s="5">
        <f t="shared" si="204"/>
        <v>-11.08583615454552</v>
      </c>
      <c r="AW320" s="5">
        <f t="shared" si="204"/>
        <v>-10.192379117385329</v>
      </c>
      <c r="AX320" s="5">
        <f t="shared" si="204"/>
        <v>-9.7135897450902089</v>
      </c>
      <c r="AY320" s="5">
        <f t="shared" si="204"/>
        <v>-9.3177137660558316</v>
      </c>
      <c r="AZ320" s="5">
        <f t="shared" si="204"/>
        <v>-8.9673014134099507</v>
      </c>
      <c r="BA320" s="5">
        <f t="shared" si="202"/>
        <v>-8.6311500650948343</v>
      </c>
      <c r="BB320" s="5">
        <f t="shared" si="202"/>
        <v>-8.271409139405856</v>
      </c>
      <c r="BC320" s="5">
        <f t="shared" si="202"/>
        <v>-7.8504782318924917</v>
      </c>
      <c r="BD320" s="5">
        <f t="shared" si="202"/>
        <v>-7.3011102044848002</v>
      </c>
      <c r="BE320" s="5">
        <f t="shared" si="202"/>
        <v>-6.0255601249082371</v>
      </c>
      <c r="BG320" s="1"/>
      <c r="BH320" s="1">
        <f t="shared" si="199"/>
        <v>1.4000000000000001</v>
      </c>
      <c r="BI320" s="8">
        <f t="shared" si="208"/>
        <v>540104808.39999998</v>
      </c>
      <c r="BJ320" s="8">
        <f t="shared" si="209"/>
        <v>510596960.10000002</v>
      </c>
      <c r="BK320" s="8">
        <f t="shared" si="209"/>
        <v>336853073.60000002</v>
      </c>
      <c r="BL320" s="8">
        <f t="shared" si="209"/>
        <v>313779580.80000001</v>
      </c>
      <c r="BM320" s="8">
        <f t="shared" si="209"/>
        <v>307776148.69999999</v>
      </c>
      <c r="BN320" s="8">
        <f t="shared" si="209"/>
        <v>303803881</v>
      </c>
      <c r="BO320" s="8">
        <f t="shared" si="209"/>
        <v>301255715.60000002</v>
      </c>
      <c r="BP320" s="8">
        <f t="shared" si="209"/>
        <v>249012265.90000001</v>
      </c>
      <c r="BQ320" s="8">
        <f t="shared" si="209"/>
        <v>102244627</v>
      </c>
      <c r="BR320" s="8">
        <f t="shared" si="209"/>
        <v>38905710.399999999</v>
      </c>
      <c r="BS320" s="8">
        <f t="shared" si="207"/>
        <v>3004.3327715</v>
      </c>
      <c r="BT320" s="8">
        <f t="shared" si="210"/>
        <v>93.127234199999748</v>
      </c>
    </row>
    <row r="321" spans="1:72" x14ac:dyDescent="0.35">
      <c r="A321" t="s">
        <v>173</v>
      </c>
      <c r="B321">
        <v>3.6</v>
      </c>
      <c r="C321">
        <v>6</v>
      </c>
      <c r="D321">
        <v>7.2</v>
      </c>
      <c r="E321">
        <v>8.1</v>
      </c>
      <c r="F321">
        <v>8.9</v>
      </c>
      <c r="G321">
        <v>9.8000000000000007</v>
      </c>
      <c r="H321">
        <v>10.700000000000001</v>
      </c>
      <c r="I321">
        <v>11.8</v>
      </c>
      <c r="J321">
        <v>13.6</v>
      </c>
      <c r="K321">
        <v>20.2</v>
      </c>
      <c r="L321">
        <f t="shared" si="172"/>
        <v>1.5</v>
      </c>
      <c r="M321">
        <f t="shared" si="173"/>
        <v>4889252</v>
      </c>
      <c r="N321">
        <f t="shared" si="174"/>
        <v>64589.974659965468</v>
      </c>
      <c r="O321">
        <f t="shared" si="185"/>
        <v>2.2776559238936045</v>
      </c>
      <c r="P321" s="8">
        <f t="shared" si="203"/>
        <v>23252.390877587568</v>
      </c>
      <c r="Q321" s="8">
        <f t="shared" si="203"/>
        <v>38753.984795979282</v>
      </c>
      <c r="R321" s="8">
        <f t="shared" si="203"/>
        <v>46504.781755175136</v>
      </c>
      <c r="S321" s="8">
        <f t="shared" si="203"/>
        <v>52317.87947457203</v>
      </c>
      <c r="T321" s="8">
        <f t="shared" si="203"/>
        <v>57485.077447369265</v>
      </c>
      <c r="U321" s="8">
        <f t="shared" si="201"/>
        <v>63298.175166766159</v>
      </c>
      <c r="V321" s="8">
        <f t="shared" si="201"/>
        <v>69111.27288616306</v>
      </c>
      <c r="W321" s="8">
        <f t="shared" si="201"/>
        <v>76216.170098759263</v>
      </c>
      <c r="X321" s="8">
        <f t="shared" si="201"/>
        <v>87842.365537553036</v>
      </c>
      <c r="Y321" s="8">
        <f t="shared" si="201"/>
        <v>130471.74881313024</v>
      </c>
      <c r="Z321">
        <f t="shared" si="205"/>
        <v>10.054163239173132</v>
      </c>
      <c r="AA321">
        <f t="shared" si="205"/>
        <v>10.564988862939124</v>
      </c>
      <c r="AB321">
        <f t="shared" si="205"/>
        <v>10.747310419733077</v>
      </c>
      <c r="AC321">
        <f t="shared" si="205"/>
        <v>10.865093455389461</v>
      </c>
      <c r="AD321">
        <f t="shared" si="205"/>
        <v>10.959280670449163</v>
      </c>
      <c r="AE321">
        <f t="shared" si="205"/>
        <v>11.055611779387595</v>
      </c>
      <c r="AF321">
        <f t="shared" si="205"/>
        <v>11.14347313517893</v>
      </c>
      <c r="AG321">
        <f t="shared" si="205"/>
        <v>11.241328925182687</v>
      </c>
      <c r="AH321">
        <f t="shared" si="205"/>
        <v>11.383299186453074</v>
      </c>
      <c r="AI321">
        <f t="shared" si="205"/>
        <v>11.778911998118227</v>
      </c>
      <c r="AJ321">
        <f t="shared" si="186"/>
        <v>18.331735725657893</v>
      </c>
      <c r="AK321">
        <f t="shared" si="175"/>
        <v>19.263123063819179</v>
      </c>
      <c r="AL321">
        <f t="shared" si="176"/>
        <v>19.595549593678481</v>
      </c>
      <c r="AM321">
        <f t="shared" si="177"/>
        <v>19.810303167024696</v>
      </c>
      <c r="AN321">
        <f t="shared" si="178"/>
        <v>19.982034527868617</v>
      </c>
      <c r="AO321">
        <f t="shared" si="179"/>
        <v>20.157674846133844</v>
      </c>
      <c r="AP321">
        <f t="shared" si="180"/>
        <v>20.317872280425473</v>
      </c>
      <c r="AQ321">
        <f t="shared" si="181"/>
        <v>20.496292546627743</v>
      </c>
      <c r="AR321">
        <f t="shared" si="182"/>
        <v>20.755146640061518</v>
      </c>
      <c r="AS321">
        <f t="shared" si="183"/>
        <v>21.476466688344967</v>
      </c>
      <c r="AT321">
        <f t="shared" si="184"/>
        <v>33.424217085120588</v>
      </c>
      <c r="AU321">
        <f t="shared" si="187"/>
        <v>-18.081321327087132</v>
      </c>
      <c r="AV321" s="5">
        <f t="shared" si="204"/>
        <v>0.25041439857076142</v>
      </c>
      <c r="AW321" s="5">
        <f t="shared" si="204"/>
        <v>1.1818017367320479</v>
      </c>
      <c r="AX321" s="5">
        <f t="shared" si="204"/>
        <v>1.5142282665913491</v>
      </c>
      <c r="AY321" s="5">
        <f t="shared" si="204"/>
        <v>1.728981839937564</v>
      </c>
      <c r="AZ321" s="5">
        <f t="shared" si="204"/>
        <v>1.9007132007814853</v>
      </c>
      <c r="BA321" s="5">
        <f t="shared" si="202"/>
        <v>2.0763535190467124</v>
      </c>
      <c r="BB321" s="5">
        <f t="shared" si="202"/>
        <v>2.236550953338341</v>
      </c>
      <c r="BC321" s="5">
        <f t="shared" si="202"/>
        <v>2.414971219540611</v>
      </c>
      <c r="BD321" s="5">
        <f t="shared" si="202"/>
        <v>2.6738253129743867</v>
      </c>
      <c r="BE321" s="5">
        <f t="shared" si="202"/>
        <v>3.3951453612578355</v>
      </c>
      <c r="BG321" s="1"/>
      <c r="BH321" s="1">
        <f t="shared" si="199"/>
        <v>1.5000000000000002</v>
      </c>
      <c r="BI321" s="8">
        <f t="shared" si="208"/>
        <v>542105793</v>
      </c>
      <c r="BJ321" s="8">
        <f t="shared" si="209"/>
        <v>513789781.30000001</v>
      </c>
      <c r="BK321" s="8">
        <f t="shared" si="209"/>
        <v>485210923.30000001</v>
      </c>
      <c r="BL321" s="8">
        <f t="shared" si="209"/>
        <v>321525794.60000002</v>
      </c>
      <c r="BM321" s="8">
        <f t="shared" si="209"/>
        <v>311320468.89999998</v>
      </c>
      <c r="BN321" s="8">
        <f t="shared" si="209"/>
        <v>305802633.39999998</v>
      </c>
      <c r="BO321" s="8">
        <f t="shared" si="209"/>
        <v>303321015.60000002</v>
      </c>
      <c r="BP321" s="8">
        <f t="shared" si="209"/>
        <v>258627971.90000001</v>
      </c>
      <c r="BQ321" s="8">
        <f t="shared" si="209"/>
        <v>247242594.40000001</v>
      </c>
      <c r="BR321" s="8">
        <f t="shared" si="209"/>
        <v>41425876.700000003</v>
      </c>
      <c r="BS321" s="8">
        <f t="shared" si="207"/>
        <v>3330.3728530999997</v>
      </c>
      <c r="BT321" s="8">
        <f t="shared" si="210"/>
        <v>326.04008159999967</v>
      </c>
    </row>
    <row r="322" spans="1:72" x14ac:dyDescent="0.35">
      <c r="A322" t="s">
        <v>174</v>
      </c>
      <c r="B322">
        <v>4.01</v>
      </c>
      <c r="C322">
        <v>5.19</v>
      </c>
      <c r="D322">
        <v>6.03</v>
      </c>
      <c r="E322">
        <v>6.8500000000000005</v>
      </c>
      <c r="F322">
        <v>7.71</v>
      </c>
      <c r="G322">
        <v>8.65</v>
      </c>
      <c r="H322">
        <v>9.82</v>
      </c>
      <c r="I322">
        <v>11.450000000000001</v>
      </c>
      <c r="J322">
        <v>14.23</v>
      </c>
      <c r="K322">
        <v>26.05</v>
      </c>
      <c r="L322">
        <f t="shared" si="172"/>
        <v>20.2</v>
      </c>
      <c r="M322">
        <f t="shared" si="173"/>
        <v>173149306</v>
      </c>
      <c r="N322">
        <f t="shared" si="174"/>
        <v>748.01048783794772</v>
      </c>
      <c r="O322">
        <f t="shared" si="185"/>
        <v>-5.7084535627595665</v>
      </c>
      <c r="P322" s="8">
        <f t="shared" si="203"/>
        <v>299.95220562301699</v>
      </c>
      <c r="Q322" s="8">
        <f t="shared" si="203"/>
        <v>388.2174431878949</v>
      </c>
      <c r="R322" s="8">
        <f t="shared" si="203"/>
        <v>451.05032416628245</v>
      </c>
      <c r="S322" s="8">
        <f t="shared" si="203"/>
        <v>512.38718416899417</v>
      </c>
      <c r="T322" s="8">
        <f t="shared" si="203"/>
        <v>576.71608612305772</v>
      </c>
      <c r="U322" s="8">
        <f t="shared" si="201"/>
        <v>647.02907197982472</v>
      </c>
      <c r="V322" s="8">
        <f t="shared" si="201"/>
        <v>734.54629905686465</v>
      </c>
      <c r="W322" s="8">
        <f t="shared" si="201"/>
        <v>856.47200857445023</v>
      </c>
      <c r="X322" s="8">
        <f t="shared" si="201"/>
        <v>1064.4189241933996</v>
      </c>
      <c r="Y322" s="8">
        <f t="shared" si="201"/>
        <v>1948.5673208178537</v>
      </c>
      <c r="Z322">
        <f t="shared" si="205"/>
        <v>5.7036231473743406</v>
      </c>
      <c r="AA322">
        <f t="shared" si="205"/>
        <v>5.9615656032336597</v>
      </c>
      <c r="AB322">
        <f t="shared" si="205"/>
        <v>6.111578916794957</v>
      </c>
      <c r="AC322">
        <f t="shared" si="205"/>
        <v>6.2390805583299969</v>
      </c>
      <c r="AD322">
        <f t="shared" si="205"/>
        <v>6.3573500936311005</v>
      </c>
      <c r="AE322">
        <f t="shared" si="205"/>
        <v>6.4723912269996502</v>
      </c>
      <c r="AF322">
        <f t="shared" si="205"/>
        <v>6.599253028422237</v>
      </c>
      <c r="AG322">
        <f t="shared" si="205"/>
        <v>6.7528216360561117</v>
      </c>
      <c r="AH322">
        <f t="shared" si="205"/>
        <v>6.9701843181576235</v>
      </c>
      <c r="AI322">
        <f t="shared" si="205"/>
        <v>7.5748496742552387</v>
      </c>
      <c r="AJ322">
        <f t="shared" si="186"/>
        <v>10.399404677361341</v>
      </c>
      <c r="AK322">
        <f t="shared" si="175"/>
        <v>10.869710641244726</v>
      </c>
      <c r="AL322">
        <f t="shared" si="176"/>
        <v>11.143229615834413</v>
      </c>
      <c r="AM322">
        <f t="shared" si="177"/>
        <v>11.375703103841968</v>
      </c>
      <c r="AN322">
        <f t="shared" si="178"/>
        <v>11.591343711017398</v>
      </c>
      <c r="AO322">
        <f t="shared" si="179"/>
        <v>11.801097979406009</v>
      </c>
      <c r="AP322">
        <f t="shared" si="180"/>
        <v>12.032404848216208</v>
      </c>
      <c r="AQ322">
        <f t="shared" si="181"/>
        <v>12.312406183377837</v>
      </c>
      <c r="AR322">
        <f t="shared" si="182"/>
        <v>12.70872312692816</v>
      </c>
      <c r="AS322">
        <f t="shared" si="183"/>
        <v>13.811208261370229</v>
      </c>
      <c r="AT322">
        <f t="shared" si="184"/>
        <v>18.961213749423578</v>
      </c>
      <c r="AU322">
        <f t="shared" si="187"/>
        <v>-18.054125940766625</v>
      </c>
      <c r="AV322" s="5">
        <f t="shared" si="204"/>
        <v>-7.6547212634052837</v>
      </c>
      <c r="AW322" s="5">
        <f t="shared" si="204"/>
        <v>-7.1844152995218984</v>
      </c>
      <c r="AX322" s="5">
        <f t="shared" si="204"/>
        <v>-6.910896324932212</v>
      </c>
      <c r="AY322" s="5">
        <f t="shared" si="204"/>
        <v>-6.678422836924657</v>
      </c>
      <c r="AZ322" s="5">
        <f t="shared" si="204"/>
        <v>-6.4627822297492266</v>
      </c>
      <c r="BA322" s="5">
        <f t="shared" si="202"/>
        <v>-6.2530279613606154</v>
      </c>
      <c r="BB322" s="5">
        <f t="shared" si="202"/>
        <v>-6.0217210925504165</v>
      </c>
      <c r="BC322" s="5">
        <f t="shared" si="202"/>
        <v>-5.7417197573887879</v>
      </c>
      <c r="BD322" s="5">
        <f t="shared" si="202"/>
        <v>-5.3454028138384651</v>
      </c>
      <c r="BE322" s="5">
        <f t="shared" si="202"/>
        <v>-4.2429176793963954</v>
      </c>
      <c r="BG322" s="1"/>
      <c r="BH322" s="1">
        <f t="shared" si="199"/>
        <v>1.6000000000000003</v>
      </c>
      <c r="BI322" s="8">
        <f t="shared" si="208"/>
        <v>565635624.39999998</v>
      </c>
      <c r="BJ322" s="8">
        <f t="shared" ref="BJ322:BJ366" si="211">SUMIF(AA$380:AA$550,"&lt;"&amp;$BH322,$M$208:$M$378)/10</f>
        <v>518720057.10000002</v>
      </c>
      <c r="BK322" s="8">
        <f t="shared" ref="BK322:BK366" si="212">SUMIF(AB$380:AB$550,"&lt;"&amp;$BH322,$M$208:$M$378)/10</f>
        <v>489094773.30000001</v>
      </c>
      <c r="BL322" s="8">
        <f t="shared" ref="BL322:BL366" si="213">SUMIF(AC$380:AC$550,"&lt;"&amp;$BH322,$M$208:$M$378)/10</f>
        <v>333926790.60000002</v>
      </c>
      <c r="BM322" s="8">
        <f t="shared" ref="BM322:BM366" si="214">SUMIF(AD$380:AD$550,"&lt;"&amp;$BH322,$M$208:$M$378)/10</f>
        <v>321462888.80000001</v>
      </c>
      <c r="BN322" s="8">
        <f t="shared" ref="BN322:BN366" si="215">SUMIF(AE$380:AE$550,"&lt;"&amp;$BH322,$M$208:$M$378)/10</f>
        <v>306141215.80000001</v>
      </c>
      <c r="BO322" s="8">
        <f t="shared" ref="BO322:BO366" si="216">SUMIF(AF$380:AF$550,"&lt;"&amp;$BH322,$M$208:$M$378)/10</f>
        <v>303803881</v>
      </c>
      <c r="BP322" s="8">
        <f t="shared" ref="BP322:BP366" si="217">SUMIF(AG$380:AG$550,"&lt;"&amp;$BH322,$M$208:$M$378)/10</f>
        <v>276542095</v>
      </c>
      <c r="BQ322" s="8">
        <f t="shared" ref="BQ322:BQ366" si="218">SUMIF(AH$380:AH$550,"&lt;"&amp;$BH322,$M$208:$M$378)/10</f>
        <v>247335772.30000001</v>
      </c>
      <c r="BR322" s="8">
        <f t="shared" ref="BR322:BR366" si="219">SUMIF(AI$380:AI$550,"&lt;"&amp;$BH322,$M$208:$M$378)/10</f>
        <v>41866853.299999997</v>
      </c>
      <c r="BS322" s="8">
        <f t="shared" si="207"/>
        <v>3404.5299516000009</v>
      </c>
      <c r="BT322" s="8">
        <f t="shared" si="210"/>
        <v>74.157098500001212</v>
      </c>
    </row>
    <row r="323" spans="1:72" x14ac:dyDescent="0.35">
      <c r="A323" t="s">
        <v>175</v>
      </c>
      <c r="B323">
        <v>1.05</v>
      </c>
      <c r="C323">
        <v>2.3199999999999998</v>
      </c>
      <c r="D323">
        <v>3.45</v>
      </c>
      <c r="E323">
        <v>4.59</v>
      </c>
      <c r="F323">
        <v>5.79</v>
      </c>
      <c r="G323">
        <v>7.2</v>
      </c>
      <c r="H323">
        <v>8.98</v>
      </c>
      <c r="I323">
        <v>11.5</v>
      </c>
      <c r="J323">
        <v>16.22</v>
      </c>
      <c r="K323">
        <v>38.89</v>
      </c>
      <c r="L323">
        <f t="shared" si="172"/>
        <v>25.4</v>
      </c>
      <c r="M323">
        <f t="shared" si="173"/>
        <v>3678128</v>
      </c>
      <c r="N323">
        <f t="shared" si="174"/>
        <v>6145.3352543359524</v>
      </c>
      <c r="O323">
        <f t="shared" si="185"/>
        <v>-3.8025518373467744</v>
      </c>
      <c r="P323" s="8">
        <f t="shared" si="203"/>
        <v>645.26020170527499</v>
      </c>
      <c r="Q323" s="8">
        <f t="shared" si="203"/>
        <v>1425.7177790059409</v>
      </c>
      <c r="R323" s="8">
        <f t="shared" si="203"/>
        <v>2120.1406627459037</v>
      </c>
      <c r="S323" s="8">
        <f t="shared" si="203"/>
        <v>2820.7088817402023</v>
      </c>
      <c r="T323" s="8">
        <f t="shared" si="203"/>
        <v>3558.1491122605162</v>
      </c>
      <c r="U323" s="8">
        <f t="shared" si="203"/>
        <v>4424.6413831218861</v>
      </c>
      <c r="V323" s="8">
        <f t="shared" si="203"/>
        <v>5518.5110583936857</v>
      </c>
      <c r="W323" s="8">
        <f t="shared" si="203"/>
        <v>7067.135542486345</v>
      </c>
      <c r="X323" s="8">
        <f t="shared" si="203"/>
        <v>9967.7337825329141</v>
      </c>
      <c r="Y323" s="8">
        <f t="shared" si="203"/>
        <v>23899.208804112517</v>
      </c>
      <c r="Z323">
        <f t="shared" si="205"/>
        <v>6.4696536489429759</v>
      </c>
      <c r="AA323">
        <f t="shared" si="205"/>
        <v>7.2624306704517627</v>
      </c>
      <c r="AB323">
        <f t="shared" si="205"/>
        <v>7.6592377158168121</v>
      </c>
      <c r="AC323">
        <f t="shared" si="205"/>
        <v>7.9447435088459972</v>
      </c>
      <c r="AD323">
        <f t="shared" si="205"/>
        <v>8.1769957763584475</v>
      </c>
      <c r="AE323">
        <f t="shared" ref="AE323:AI373" si="220">LN(U323)</f>
        <v>8.394944510795554</v>
      </c>
      <c r="AF323">
        <f t="shared" si="220"/>
        <v>8.6158633670876519</v>
      </c>
      <c r="AG323">
        <f t="shared" si="220"/>
        <v>8.8632105201427489</v>
      </c>
      <c r="AH323">
        <f t="shared" si="220"/>
        <v>9.2071085334608114</v>
      </c>
      <c r="AI323">
        <f t="shared" si="220"/>
        <v>10.0816006329412</v>
      </c>
      <c r="AJ323">
        <f t="shared" si="186"/>
        <v>11.796106558810431</v>
      </c>
      <c r="AK323">
        <f t="shared" si="175"/>
        <v>13.241575316573359</v>
      </c>
      <c r="AL323">
        <f t="shared" si="176"/>
        <v>13.965072808773362</v>
      </c>
      <c r="AM323">
        <f t="shared" si="177"/>
        <v>14.485634950191889</v>
      </c>
      <c r="AN323">
        <f t="shared" si="178"/>
        <v>14.909100045042806</v>
      </c>
      <c r="AO323">
        <f t="shared" si="179"/>
        <v>15.306485536644512</v>
      </c>
      <c r="AP323">
        <f t="shared" si="180"/>
        <v>15.709286445484182</v>
      </c>
      <c r="AQ323">
        <f t="shared" si="181"/>
        <v>16.160274014955235</v>
      </c>
      <c r="AR323">
        <f t="shared" si="182"/>
        <v>16.78730257484203</v>
      </c>
      <c r="AS323">
        <f t="shared" si="183"/>
        <v>18.381762270840426</v>
      </c>
      <c r="AT323">
        <f t="shared" si="184"/>
        <v>21.507817496465943</v>
      </c>
      <c r="AU323">
        <f t="shared" si="187"/>
        <v>-20.487966811712646</v>
      </c>
      <c r="AV323" s="5">
        <f t="shared" si="204"/>
        <v>-8.6918602529022149</v>
      </c>
      <c r="AW323" s="5">
        <f t="shared" si="204"/>
        <v>-7.2463914951392869</v>
      </c>
      <c r="AX323" s="5">
        <f t="shared" si="204"/>
        <v>-6.5228940029392835</v>
      </c>
      <c r="AY323" s="5">
        <f t="shared" si="204"/>
        <v>-6.0023318615207568</v>
      </c>
      <c r="AZ323" s="5">
        <f t="shared" si="204"/>
        <v>-5.5788667666698402</v>
      </c>
      <c r="BA323" s="5">
        <f t="shared" si="204"/>
        <v>-5.1814812750681334</v>
      </c>
      <c r="BB323" s="5">
        <f t="shared" si="204"/>
        <v>-4.778680366228464</v>
      </c>
      <c r="BC323" s="5">
        <f t="shared" si="204"/>
        <v>-4.327692796757411</v>
      </c>
      <c r="BD323" s="5">
        <f t="shared" si="204"/>
        <v>-3.7006642368706153</v>
      </c>
      <c r="BE323" s="5">
        <f t="shared" si="204"/>
        <v>-2.1062045408722199</v>
      </c>
      <c r="BG323" s="1"/>
      <c r="BH323" s="1">
        <f t="shared" si="199"/>
        <v>1.7000000000000004</v>
      </c>
      <c r="BI323" s="8">
        <f t="shared" si="208"/>
        <v>566526508</v>
      </c>
      <c r="BJ323" s="8">
        <f t="shared" si="211"/>
        <v>520881596.89999998</v>
      </c>
      <c r="BK323" s="8">
        <f t="shared" si="212"/>
        <v>512367058.5</v>
      </c>
      <c r="BL323" s="8">
        <f t="shared" si="213"/>
        <v>488917205.30000001</v>
      </c>
      <c r="BM323" s="8">
        <f t="shared" si="214"/>
        <v>322147614.10000002</v>
      </c>
      <c r="BN323" s="8">
        <f t="shared" si="215"/>
        <v>319003776.89999998</v>
      </c>
      <c r="BO323" s="8">
        <f t="shared" si="216"/>
        <v>304249161</v>
      </c>
      <c r="BP323" s="8">
        <f t="shared" si="217"/>
        <v>303321015.60000002</v>
      </c>
      <c r="BQ323" s="8">
        <f t="shared" si="218"/>
        <v>249283539.69999999</v>
      </c>
      <c r="BR323" s="8">
        <f t="shared" si="219"/>
        <v>78672114.599999994</v>
      </c>
      <c r="BS323" s="8">
        <f t="shared" si="207"/>
        <v>3665.3695905999998</v>
      </c>
      <c r="BT323" s="8">
        <f t="shared" si="210"/>
        <v>260.8396389999989</v>
      </c>
    </row>
    <row r="324" spans="1:72" x14ac:dyDescent="0.35">
      <c r="A324" t="s">
        <v>401</v>
      </c>
      <c r="B324">
        <v>1.71</v>
      </c>
      <c r="C324">
        <v>3.0300000000000002</v>
      </c>
      <c r="D324">
        <v>4.18</v>
      </c>
      <c r="E324">
        <v>5.3500000000000005</v>
      </c>
      <c r="F324">
        <v>6.54</v>
      </c>
      <c r="G324">
        <v>8</v>
      </c>
      <c r="H324">
        <v>9.7799999999999994</v>
      </c>
      <c r="I324">
        <v>12.32</v>
      </c>
      <c r="J324">
        <v>16.41</v>
      </c>
      <c r="K324">
        <v>32.68</v>
      </c>
      <c r="L324">
        <f t="shared" si="172"/>
        <v>25.2</v>
      </c>
      <c r="M324">
        <f t="shared" si="173"/>
        <v>6858945</v>
      </c>
      <c r="N324">
        <f t="shared" si="174"/>
        <v>955.42443270518891</v>
      </c>
      <c r="O324">
        <f t="shared" si="185"/>
        <v>-7.1218580263790194</v>
      </c>
      <c r="P324" s="8">
        <f t="shared" ref="P324:Y349" si="221">B324*$N324/10</f>
        <v>163.37757799258731</v>
      </c>
      <c r="Q324" s="8">
        <f t="shared" si="221"/>
        <v>289.49360310967228</v>
      </c>
      <c r="R324" s="8">
        <f t="shared" si="221"/>
        <v>399.36741287076893</v>
      </c>
      <c r="S324" s="8">
        <f t="shared" si="221"/>
        <v>511.1520714972761</v>
      </c>
      <c r="T324" s="8">
        <f t="shared" si="221"/>
        <v>624.84757898919349</v>
      </c>
      <c r="U324" s="8">
        <f t="shared" si="221"/>
        <v>764.3395461641511</v>
      </c>
      <c r="V324" s="8">
        <f t="shared" si="221"/>
        <v>934.40509518567467</v>
      </c>
      <c r="W324" s="8">
        <f t="shared" si="221"/>
        <v>1177.0829010927928</v>
      </c>
      <c r="X324" s="8">
        <f t="shared" si="221"/>
        <v>1567.8514940692151</v>
      </c>
      <c r="Y324" s="8">
        <f t="shared" si="221"/>
        <v>3122.327046080557</v>
      </c>
      <c r="Z324">
        <f t="shared" ref="Z324:AD355" si="222">LN(P324)</f>
        <v>5.0960639514225665</v>
      </c>
      <c r="AA324">
        <f t="shared" si="222"/>
        <v>5.6681332004292759</v>
      </c>
      <c r="AB324">
        <f t="shared" si="222"/>
        <v>5.9898818274446626</v>
      </c>
      <c r="AC324">
        <f t="shared" si="222"/>
        <v>6.2366671418159125</v>
      </c>
      <c r="AD324">
        <f t="shared" si="222"/>
        <v>6.4375077463771051</v>
      </c>
      <c r="AE324">
        <f t="shared" si="220"/>
        <v>6.6390121225878334</v>
      </c>
      <c r="AF324">
        <f t="shared" si="220"/>
        <v>6.8399100649547231</v>
      </c>
      <c r="AG324">
        <f t="shared" si="220"/>
        <v>7.0707945390133711</v>
      </c>
      <c r="AH324">
        <f t="shared" si="220"/>
        <v>7.3574614860099974</v>
      </c>
      <c r="AI324">
        <f t="shared" si="220"/>
        <v>8.0463338508997992</v>
      </c>
      <c r="AJ324">
        <f t="shared" si="186"/>
        <v>9.2916432105008635</v>
      </c>
      <c r="AK324">
        <f t="shared" si="175"/>
        <v>10.334695928076298</v>
      </c>
      <c r="AL324">
        <f t="shared" si="176"/>
        <v>10.921339556216198</v>
      </c>
      <c r="AM324">
        <f t="shared" si="177"/>
        <v>11.371302726338671</v>
      </c>
      <c r="AN324">
        <f t="shared" si="178"/>
        <v>11.737494998953883</v>
      </c>
      <c r="AO324">
        <f t="shared" si="179"/>
        <v>12.104897525090152</v>
      </c>
      <c r="AP324">
        <f t="shared" si="180"/>
        <v>12.471194341611817</v>
      </c>
      <c r="AQ324">
        <f t="shared" si="181"/>
        <v>12.892165541394002</v>
      </c>
      <c r="AR324">
        <f t="shared" si="182"/>
        <v>13.414844812519057</v>
      </c>
      <c r="AS324">
        <f t="shared" si="183"/>
        <v>14.670864417677903</v>
      </c>
      <c r="AT324">
        <f t="shared" si="184"/>
        <v>16.941434482419805</v>
      </c>
      <c r="AU324">
        <f t="shared" si="187"/>
        <v>-20.198599202887941</v>
      </c>
      <c r="AV324" s="5">
        <f t="shared" ref="AV324:BE349" si="223">AJ324+$AU324</f>
        <v>-10.906955992387077</v>
      </c>
      <c r="AW324" s="5">
        <f t="shared" si="223"/>
        <v>-9.8639032748116424</v>
      </c>
      <c r="AX324" s="5">
        <f t="shared" si="223"/>
        <v>-9.2772596466717427</v>
      </c>
      <c r="AY324" s="5">
        <f t="shared" si="223"/>
        <v>-8.8272964765492699</v>
      </c>
      <c r="AZ324" s="5">
        <f t="shared" si="223"/>
        <v>-8.4611042039340578</v>
      </c>
      <c r="BA324" s="5">
        <f t="shared" si="223"/>
        <v>-8.0937016777977888</v>
      </c>
      <c r="BB324" s="5">
        <f t="shared" si="223"/>
        <v>-7.7274048612761241</v>
      </c>
      <c r="BC324" s="5">
        <f t="shared" si="223"/>
        <v>-7.3064336614939389</v>
      </c>
      <c r="BD324" s="5">
        <f t="shared" si="223"/>
        <v>-6.7837543903688839</v>
      </c>
      <c r="BE324" s="5">
        <f t="shared" si="223"/>
        <v>-5.527734785210038</v>
      </c>
      <c r="BG324" s="1"/>
      <c r="BH324" s="1">
        <f t="shared" si="199"/>
        <v>1.8000000000000005</v>
      </c>
      <c r="BI324" s="8">
        <f t="shared" si="208"/>
        <v>568558997.10000002</v>
      </c>
      <c r="BJ324" s="8">
        <f t="shared" si="211"/>
        <v>524914102</v>
      </c>
      <c r="BK324" s="8">
        <f t="shared" si="212"/>
        <v>515106475.30000001</v>
      </c>
      <c r="BL324" s="8">
        <f t="shared" si="213"/>
        <v>490384799.39999998</v>
      </c>
      <c r="BM324" s="8">
        <f t="shared" si="214"/>
        <v>469525429.39999998</v>
      </c>
      <c r="BN324" s="8">
        <f t="shared" si="215"/>
        <v>321473298.60000002</v>
      </c>
      <c r="BO324" s="8">
        <f t="shared" si="216"/>
        <v>316988759.80000001</v>
      </c>
      <c r="BP324" s="8">
        <f t="shared" si="217"/>
        <v>303392709.5</v>
      </c>
      <c r="BQ324" s="8">
        <f t="shared" si="218"/>
        <v>249283539.69999999</v>
      </c>
      <c r="BR324" s="8">
        <f t="shared" si="219"/>
        <v>83309192.900000006</v>
      </c>
      <c r="BS324" s="8">
        <f t="shared" si="207"/>
        <v>3842.9373037</v>
      </c>
      <c r="BT324" s="8">
        <f t="shared" si="210"/>
        <v>177.56771310000022</v>
      </c>
    </row>
    <row r="325" spans="1:72" x14ac:dyDescent="0.35">
      <c r="A325" t="s">
        <v>176</v>
      </c>
      <c r="B325">
        <v>1.31</v>
      </c>
      <c r="C325">
        <v>2.54</v>
      </c>
      <c r="D325">
        <v>3.5300000000000002</v>
      </c>
      <c r="E325">
        <v>4.54</v>
      </c>
      <c r="F325">
        <v>5.58</v>
      </c>
      <c r="G325">
        <v>6.8500000000000005</v>
      </c>
      <c r="H325">
        <v>8.5</v>
      </c>
      <c r="I325">
        <v>10.69</v>
      </c>
      <c r="J325">
        <v>14.88</v>
      </c>
      <c r="K325">
        <v>41.58</v>
      </c>
      <c r="L325">
        <f t="shared" si="172"/>
        <v>23.5</v>
      </c>
      <c r="M325">
        <f t="shared" si="173"/>
        <v>6459721</v>
      </c>
      <c r="N325">
        <f t="shared" si="174"/>
        <v>1725.7948003065951</v>
      </c>
      <c r="O325">
        <f t="shared" si="185"/>
        <v>-5.4114888289380776</v>
      </c>
      <c r="P325" s="8">
        <f t="shared" si="221"/>
        <v>226.07911884016397</v>
      </c>
      <c r="Q325" s="8">
        <f t="shared" si="221"/>
        <v>438.35187927787518</v>
      </c>
      <c r="R325" s="8">
        <f t="shared" si="221"/>
        <v>609.20556450822812</v>
      </c>
      <c r="S325" s="8">
        <f t="shared" si="221"/>
        <v>783.51083933919415</v>
      </c>
      <c r="T325" s="8">
        <f t="shared" si="221"/>
        <v>962.99349857108007</v>
      </c>
      <c r="U325" s="8">
        <f t="shared" si="221"/>
        <v>1182.1694382100177</v>
      </c>
      <c r="V325" s="8">
        <f t="shared" si="221"/>
        <v>1466.9255802606058</v>
      </c>
      <c r="W325" s="8">
        <f t="shared" si="221"/>
        <v>1844.8746415277499</v>
      </c>
      <c r="X325" s="8">
        <f t="shared" si="221"/>
        <v>2567.9826628562137</v>
      </c>
      <c r="Y325" s="8">
        <f t="shared" si="221"/>
        <v>7175.8547796748217</v>
      </c>
      <c r="Z325">
        <f t="shared" si="222"/>
        <v>5.4208850213709603</v>
      </c>
      <c r="AA325">
        <f t="shared" si="222"/>
        <v>6.0830219651883457</v>
      </c>
      <c r="AB325">
        <f t="shared" si="222"/>
        <v>6.4121557551031056</v>
      </c>
      <c r="AC325">
        <f t="shared" si="222"/>
        <v>6.6637848962111574</v>
      </c>
      <c r="AD325">
        <f t="shared" si="222"/>
        <v>6.8700466605511199</v>
      </c>
      <c r="AE325">
        <f t="shared" si="220"/>
        <v>7.0751065364320347</v>
      </c>
      <c r="AF325">
        <f t="shared" si="220"/>
        <v>7.2909240476541708</v>
      </c>
      <c r="AG325">
        <f t="shared" si="220"/>
        <v>7.5201666091948542</v>
      </c>
      <c r="AH325">
        <f t="shared" si="220"/>
        <v>7.8508759135628461</v>
      </c>
      <c r="AI325">
        <f t="shared" si="220"/>
        <v>8.8784771665877678</v>
      </c>
      <c r="AJ325">
        <f t="shared" si="186"/>
        <v>9.8838888176956292</v>
      </c>
      <c r="AK325">
        <f t="shared" si="175"/>
        <v>11.091161783083981</v>
      </c>
      <c r="AL325">
        <f t="shared" si="176"/>
        <v>11.691270763967983</v>
      </c>
      <c r="AM325">
        <f t="shared" si="177"/>
        <v>12.150065673692012</v>
      </c>
      <c r="AN325">
        <f t="shared" si="178"/>
        <v>12.526142336089537</v>
      </c>
      <c r="AO325">
        <f t="shared" si="179"/>
        <v>12.900027597663456</v>
      </c>
      <c r="AP325">
        <f t="shared" si="180"/>
        <v>13.293527234239756</v>
      </c>
      <c r="AQ325">
        <f t="shared" si="181"/>
        <v>13.71150473821176</v>
      </c>
      <c r="AR325">
        <f t="shared" si="182"/>
        <v>14.314486351447311</v>
      </c>
      <c r="AS325">
        <f t="shared" si="183"/>
        <v>16.188109660885143</v>
      </c>
      <c r="AT325">
        <f t="shared" si="184"/>
        <v>18.021274713526807</v>
      </c>
      <c r="AU325">
        <f t="shared" si="187"/>
        <v>-19.826329991604272</v>
      </c>
      <c r="AV325" s="5">
        <f t="shared" si="223"/>
        <v>-9.9424411739086427</v>
      </c>
      <c r="AW325" s="5">
        <f t="shared" si="223"/>
        <v>-8.7351682085202906</v>
      </c>
      <c r="AX325" s="5">
        <f t="shared" si="223"/>
        <v>-8.1350592276362885</v>
      </c>
      <c r="AY325" s="5">
        <f t="shared" si="223"/>
        <v>-7.6762643179122598</v>
      </c>
      <c r="AZ325" s="5">
        <f t="shared" si="223"/>
        <v>-7.3001876555147351</v>
      </c>
      <c r="BA325" s="5">
        <f t="shared" si="223"/>
        <v>-6.9263023939408157</v>
      </c>
      <c r="BB325" s="5">
        <f t="shared" si="223"/>
        <v>-6.5328027573645162</v>
      </c>
      <c r="BC325" s="5">
        <f t="shared" si="223"/>
        <v>-6.114825253392512</v>
      </c>
      <c r="BD325" s="5">
        <f t="shared" si="223"/>
        <v>-5.511843640156961</v>
      </c>
      <c r="BE325" s="5">
        <f t="shared" si="223"/>
        <v>-3.638220330719129</v>
      </c>
      <c r="BG325" s="1"/>
      <c r="BH325" s="1">
        <f t="shared" si="199"/>
        <v>1.9000000000000006</v>
      </c>
      <c r="BI325" s="8">
        <f t="shared" si="208"/>
        <v>568701990.20000005</v>
      </c>
      <c r="BJ325" s="8">
        <f t="shared" si="211"/>
        <v>541294993</v>
      </c>
      <c r="BK325" s="8">
        <f t="shared" si="212"/>
        <v>518720057.10000002</v>
      </c>
      <c r="BL325" s="8">
        <f t="shared" si="213"/>
        <v>493019855.30000001</v>
      </c>
      <c r="BM325" s="8">
        <f t="shared" si="214"/>
        <v>489803272.39999998</v>
      </c>
      <c r="BN325" s="8">
        <f t="shared" si="215"/>
        <v>322752214.10000002</v>
      </c>
      <c r="BO325" s="8">
        <f t="shared" si="216"/>
        <v>319003776.89999998</v>
      </c>
      <c r="BP325" s="8">
        <f t="shared" si="217"/>
        <v>309132580.60000002</v>
      </c>
      <c r="BQ325" s="8">
        <f t="shared" si="218"/>
        <v>277845274.60000002</v>
      </c>
      <c r="BR325" s="8">
        <f t="shared" si="219"/>
        <v>88590013.200000003</v>
      </c>
      <c r="BS325" s="8">
        <f t="shared" si="207"/>
        <v>3928.8640273999995</v>
      </c>
      <c r="BT325" s="8">
        <f t="shared" si="210"/>
        <v>85.926723699999457</v>
      </c>
    </row>
    <row r="326" spans="1:72" x14ac:dyDescent="0.35">
      <c r="A326" t="s">
        <v>177</v>
      </c>
      <c r="B326">
        <v>1.6</v>
      </c>
      <c r="C326">
        <v>2.97</v>
      </c>
      <c r="D326">
        <v>4.1500000000000004</v>
      </c>
      <c r="E326">
        <v>5.36</v>
      </c>
      <c r="F326">
        <v>6.62</v>
      </c>
      <c r="G326">
        <v>8.07</v>
      </c>
      <c r="H326">
        <v>9.81</v>
      </c>
      <c r="I326">
        <v>12.19</v>
      </c>
      <c r="J326">
        <v>16.23</v>
      </c>
      <c r="K326">
        <v>33</v>
      </c>
      <c r="L326">
        <f t="shared" si="172"/>
        <v>19.600000000000001</v>
      </c>
      <c r="M326">
        <f t="shared" si="173"/>
        <v>29262830</v>
      </c>
      <c r="N326">
        <f t="shared" si="174"/>
        <v>3536.4885396339923</v>
      </c>
      <c r="O326">
        <f t="shared" si="185"/>
        <v>-2.652853800379007</v>
      </c>
      <c r="P326" s="8">
        <f t="shared" si="221"/>
        <v>565.83816634143875</v>
      </c>
      <c r="Q326" s="8">
        <f t="shared" si="221"/>
        <v>1050.3370962712956</v>
      </c>
      <c r="R326" s="8">
        <f t="shared" si="221"/>
        <v>1467.642743948107</v>
      </c>
      <c r="S326" s="8">
        <f t="shared" si="221"/>
        <v>1895.5578572438201</v>
      </c>
      <c r="T326" s="8">
        <f t="shared" si="221"/>
        <v>2341.1554132377032</v>
      </c>
      <c r="U326" s="8">
        <f t="shared" si="221"/>
        <v>2853.9462514846318</v>
      </c>
      <c r="V326" s="8">
        <f t="shared" si="221"/>
        <v>3469.2952573809466</v>
      </c>
      <c r="W326" s="8">
        <f t="shared" si="221"/>
        <v>4310.9795298138361</v>
      </c>
      <c r="X326" s="8">
        <f t="shared" si="221"/>
        <v>5739.7208998259694</v>
      </c>
      <c r="Y326" s="8">
        <f t="shared" si="221"/>
        <v>11670.412180792175</v>
      </c>
      <c r="Z326">
        <f t="shared" si="222"/>
        <v>6.3383081121269775</v>
      </c>
      <c r="AA326">
        <f t="shared" si="222"/>
        <v>6.9568664356958498</v>
      </c>
      <c r="AB326">
        <f t="shared" si="222"/>
        <v>7.2914128171238488</v>
      </c>
      <c r="AC326">
        <f t="shared" si="222"/>
        <v>7.5472684579639528</v>
      </c>
      <c r="AD326">
        <f t="shared" si="222"/>
        <v>7.7583998528301592</v>
      </c>
      <c r="AE326">
        <f t="shared" si="220"/>
        <v>7.9564579651630991</v>
      </c>
      <c r="AF326">
        <f t="shared" si="220"/>
        <v>8.1517067564585144</v>
      </c>
      <c r="AG326">
        <f t="shared" si="220"/>
        <v>8.3689204263744212</v>
      </c>
      <c r="AH326">
        <f t="shared" si="220"/>
        <v>8.655165864407742</v>
      </c>
      <c r="AI326">
        <f t="shared" si="220"/>
        <v>9.3648120443477225</v>
      </c>
      <c r="AJ326">
        <f t="shared" si="186"/>
        <v>11.556624504224894</v>
      </c>
      <c r="AK326">
        <f t="shared" si="175"/>
        <v>12.684440658471372</v>
      </c>
      <c r="AL326">
        <f t="shared" si="176"/>
        <v>13.29441840663628</v>
      </c>
      <c r="AM326">
        <f t="shared" si="177"/>
        <v>13.76091948486876</v>
      </c>
      <c r="AN326">
        <f t="shared" si="178"/>
        <v>14.145874934865525</v>
      </c>
      <c r="AO326">
        <f t="shared" si="179"/>
        <v>14.50699389496595</v>
      </c>
      <c r="AP326">
        <f t="shared" si="180"/>
        <v>14.862990625637297</v>
      </c>
      <c r="AQ326">
        <f t="shared" si="181"/>
        <v>15.25903587556763</v>
      </c>
      <c r="AR326">
        <f t="shared" si="182"/>
        <v>15.780946610242909</v>
      </c>
      <c r="AS326">
        <f t="shared" si="183"/>
        <v>17.074843070835115</v>
      </c>
      <c r="AT326">
        <f t="shared" si="184"/>
        <v>21.071170345304242</v>
      </c>
      <c r="AU326">
        <f t="shared" si="187"/>
        <v>-18.125044358104148</v>
      </c>
      <c r="AV326" s="5">
        <f t="shared" si="223"/>
        <v>-6.568419853879254</v>
      </c>
      <c r="AW326" s="5">
        <f t="shared" si="223"/>
        <v>-5.440603699632776</v>
      </c>
      <c r="AX326" s="5">
        <f t="shared" si="223"/>
        <v>-4.8306259514678676</v>
      </c>
      <c r="AY326" s="5">
        <f t="shared" si="223"/>
        <v>-4.3641248732353883</v>
      </c>
      <c r="AZ326" s="5">
        <f t="shared" si="223"/>
        <v>-3.9791694232386234</v>
      </c>
      <c r="BA326" s="5">
        <f t="shared" si="223"/>
        <v>-3.6180504631381982</v>
      </c>
      <c r="BB326" s="5">
        <f t="shared" si="223"/>
        <v>-3.2620537324668515</v>
      </c>
      <c r="BC326" s="5">
        <f t="shared" si="223"/>
        <v>-2.8660084825365182</v>
      </c>
      <c r="BD326" s="5">
        <f t="shared" si="223"/>
        <v>-2.3440977478612393</v>
      </c>
      <c r="BE326" s="5">
        <f t="shared" si="223"/>
        <v>-1.0502012872690329</v>
      </c>
      <c r="BG326" s="1"/>
      <c r="BH326" s="1">
        <f t="shared" si="199"/>
        <v>2.0000000000000004</v>
      </c>
      <c r="BI326" s="8">
        <f t="shared" si="208"/>
        <v>568701990.20000005</v>
      </c>
      <c r="BJ326" s="8">
        <f t="shared" si="211"/>
        <v>545591397.70000005</v>
      </c>
      <c r="BK326" s="8">
        <f t="shared" si="212"/>
        <v>519927981.39999998</v>
      </c>
      <c r="BL326" s="8">
        <f t="shared" si="213"/>
        <v>514738662.5</v>
      </c>
      <c r="BM326" s="8">
        <f t="shared" si="214"/>
        <v>490595021</v>
      </c>
      <c r="BN326" s="8">
        <f t="shared" si="215"/>
        <v>469789053.30000001</v>
      </c>
      <c r="BO326" s="8">
        <f t="shared" si="216"/>
        <v>321473298.60000002</v>
      </c>
      <c r="BP326" s="8">
        <f t="shared" si="217"/>
        <v>316869445</v>
      </c>
      <c r="BQ326" s="8">
        <f t="shared" si="218"/>
        <v>303321015.60000002</v>
      </c>
      <c r="BR326" s="8">
        <f t="shared" si="219"/>
        <v>102143519.8</v>
      </c>
      <c r="BS326" s="8">
        <f t="shared" si="207"/>
        <v>4153.1513851</v>
      </c>
      <c r="BT326" s="8">
        <f t="shared" si="210"/>
        <v>224.28735770000048</v>
      </c>
    </row>
    <row r="327" spans="1:72" x14ac:dyDescent="0.35">
      <c r="A327" t="s">
        <v>178</v>
      </c>
      <c r="B327">
        <v>2.4500000000000002</v>
      </c>
      <c r="C327">
        <v>3.47</v>
      </c>
      <c r="D327">
        <v>4.28</v>
      </c>
      <c r="E327">
        <v>5.17</v>
      </c>
      <c r="F327">
        <v>6.24</v>
      </c>
      <c r="G327">
        <v>7.5600000000000005</v>
      </c>
      <c r="H327">
        <v>9.31</v>
      </c>
      <c r="I327">
        <v>11.870000000000001</v>
      </c>
      <c r="J327">
        <v>16.240000000000002</v>
      </c>
      <c r="K327">
        <v>33.4</v>
      </c>
      <c r="L327">
        <f t="shared" si="172"/>
        <v>25.8</v>
      </c>
      <c r="M327">
        <f t="shared" si="173"/>
        <v>93444322</v>
      </c>
      <c r="N327">
        <f t="shared" si="174"/>
        <v>1403.3063361554944</v>
      </c>
      <c r="O327">
        <f t="shared" si="185"/>
        <v>-6.6440825724749377</v>
      </c>
      <c r="P327" s="8">
        <f t="shared" si="221"/>
        <v>343.81005235809619</v>
      </c>
      <c r="Q327" s="8">
        <f t="shared" si="221"/>
        <v>486.94729864595655</v>
      </c>
      <c r="R327" s="8">
        <f t="shared" si="221"/>
        <v>600.61511187455164</v>
      </c>
      <c r="S327" s="8">
        <f t="shared" si="221"/>
        <v>725.50937579239064</v>
      </c>
      <c r="T327" s="8">
        <f t="shared" si="221"/>
        <v>875.66315376102852</v>
      </c>
      <c r="U327" s="8">
        <f t="shared" si="221"/>
        <v>1060.8995901335538</v>
      </c>
      <c r="V327" s="8">
        <f t="shared" si="221"/>
        <v>1306.4781989607652</v>
      </c>
      <c r="W327" s="8">
        <f t="shared" si="221"/>
        <v>1665.7246210165717</v>
      </c>
      <c r="X327" s="8">
        <f t="shared" si="221"/>
        <v>2278.9694899165233</v>
      </c>
      <c r="Y327" s="8">
        <f t="shared" si="221"/>
        <v>4687.0431627593516</v>
      </c>
      <c r="Z327">
        <f t="shared" si="222"/>
        <v>5.8400893314919102</v>
      </c>
      <c r="AA327">
        <f t="shared" si="222"/>
        <v>6.1881559008940421</v>
      </c>
      <c r="AB327">
        <f t="shared" si="222"/>
        <v>6.3979543165289794</v>
      </c>
      <c r="AC327">
        <f t="shared" si="222"/>
        <v>6.5868739954556119</v>
      </c>
      <c r="AD327">
        <f t="shared" si="222"/>
        <v>6.7749814893166107</v>
      </c>
      <c r="AE327">
        <f t="shared" si="220"/>
        <v>6.9668724971267162</v>
      </c>
      <c r="AF327">
        <f t="shared" si="220"/>
        <v>7.17509039822425</v>
      </c>
      <c r="AG327">
        <f t="shared" si="220"/>
        <v>7.418015515556851</v>
      </c>
      <c r="AH327">
        <f t="shared" si="220"/>
        <v>7.7314786416688062</v>
      </c>
      <c r="AI327">
        <f t="shared" si="220"/>
        <v>8.4525572069179287</v>
      </c>
      <c r="AJ327">
        <f t="shared" si="186"/>
        <v>10.648223197930538</v>
      </c>
      <c r="AK327">
        <f t="shared" si="175"/>
        <v>11.282852277788306</v>
      </c>
      <c r="AL327">
        <f t="shared" si="176"/>
        <v>11.665377309418655</v>
      </c>
      <c r="AM327">
        <f t="shared" si="177"/>
        <v>12.009834182166227</v>
      </c>
      <c r="AN327">
        <f t="shared" si="178"/>
        <v>12.352810199507998</v>
      </c>
      <c r="AO327">
        <f t="shared" si="179"/>
        <v>12.702684690266148</v>
      </c>
      <c r="AP327">
        <f t="shared" si="180"/>
        <v>13.08232797290148</v>
      </c>
      <c r="AQ327">
        <f t="shared" si="181"/>
        <v>13.525252853483776</v>
      </c>
      <c r="AR327">
        <f t="shared" si="182"/>
        <v>14.096789544397451</v>
      </c>
      <c r="AS327">
        <f t="shared" si="183"/>
        <v>15.411530650259046</v>
      </c>
      <c r="AT327">
        <f t="shared" si="184"/>
        <v>19.414884060340356</v>
      </c>
      <c r="AU327">
        <f t="shared" si="187"/>
        <v>-20.409362545137608</v>
      </c>
      <c r="AV327" s="5">
        <f t="shared" si="223"/>
        <v>-9.7611393472070702</v>
      </c>
      <c r="AW327" s="5">
        <f t="shared" si="223"/>
        <v>-9.1265102673493015</v>
      </c>
      <c r="AX327" s="5">
        <f t="shared" si="223"/>
        <v>-8.7439852357189523</v>
      </c>
      <c r="AY327" s="5">
        <f t="shared" si="223"/>
        <v>-8.3995283629713811</v>
      </c>
      <c r="AZ327" s="5">
        <f t="shared" si="223"/>
        <v>-8.0565523456296102</v>
      </c>
      <c r="BA327" s="5">
        <f t="shared" si="223"/>
        <v>-7.7066778548714598</v>
      </c>
      <c r="BB327" s="5">
        <f t="shared" si="223"/>
        <v>-7.3270345722361281</v>
      </c>
      <c r="BC327" s="5">
        <f t="shared" si="223"/>
        <v>-6.8841096916538316</v>
      </c>
      <c r="BD327" s="5">
        <f t="shared" si="223"/>
        <v>-6.3125730007401568</v>
      </c>
      <c r="BE327" s="5">
        <f t="shared" si="223"/>
        <v>-4.9978318948785621</v>
      </c>
      <c r="BG327" s="1"/>
      <c r="BH327" s="1">
        <f t="shared" si="199"/>
        <v>2.1000000000000005</v>
      </c>
      <c r="BI327" s="8">
        <f t="shared" si="208"/>
        <v>569276579.70000005</v>
      </c>
      <c r="BJ327" s="8">
        <f t="shared" si="211"/>
        <v>567830154.70000005</v>
      </c>
      <c r="BK327" s="8">
        <f t="shared" si="212"/>
        <v>526080732</v>
      </c>
      <c r="BL327" s="8">
        <f t="shared" si="213"/>
        <v>515892473.60000002</v>
      </c>
      <c r="BM327" s="8">
        <f t="shared" si="214"/>
        <v>493019855.30000001</v>
      </c>
      <c r="BN327" s="8">
        <f t="shared" si="215"/>
        <v>485188735.30000001</v>
      </c>
      <c r="BO327" s="8">
        <f t="shared" si="216"/>
        <v>456700282.10000002</v>
      </c>
      <c r="BP327" s="8">
        <f t="shared" si="217"/>
        <v>318955016.80000001</v>
      </c>
      <c r="BQ327" s="8">
        <f t="shared" si="218"/>
        <v>311372367.10000002</v>
      </c>
      <c r="BR327" s="8">
        <f t="shared" si="219"/>
        <v>104488128.7</v>
      </c>
      <c r="BS327" s="8">
        <f t="shared" si="207"/>
        <v>4348.8043253000005</v>
      </c>
      <c r="BT327" s="8">
        <f t="shared" si="210"/>
        <v>195.65294020000056</v>
      </c>
    </row>
    <row r="328" spans="1:72" x14ac:dyDescent="0.35">
      <c r="A328" t="s">
        <v>178</v>
      </c>
      <c r="B328">
        <v>2.11</v>
      </c>
      <c r="C328">
        <v>3.12</v>
      </c>
      <c r="D328">
        <v>3.91</v>
      </c>
      <c r="E328">
        <v>4.7700000000000005</v>
      </c>
      <c r="F328">
        <v>5.8</v>
      </c>
      <c r="G328">
        <v>7.15</v>
      </c>
      <c r="H328">
        <v>8.92</v>
      </c>
      <c r="I328">
        <v>11.540000000000001</v>
      </c>
      <c r="J328">
        <v>16.41</v>
      </c>
      <c r="K328">
        <v>36.270000000000003</v>
      </c>
      <c r="L328">
        <f t="shared" si="172"/>
        <v>25.8</v>
      </c>
      <c r="M328">
        <f t="shared" si="173"/>
        <v>93444322</v>
      </c>
      <c r="N328">
        <f t="shared" si="174"/>
        <v>1403.3063361554944</v>
      </c>
      <c r="O328">
        <f t="shared" si="185"/>
        <v>-6.6440825724749377</v>
      </c>
      <c r="P328" s="8">
        <f t="shared" si="221"/>
        <v>296.09763692880927</v>
      </c>
      <c r="Q328" s="8">
        <f t="shared" si="221"/>
        <v>437.83157688051426</v>
      </c>
      <c r="R328" s="8">
        <f t="shared" si="221"/>
        <v>548.69277743679834</v>
      </c>
      <c r="S328" s="8">
        <f t="shared" si="221"/>
        <v>669.37712234617084</v>
      </c>
      <c r="T328" s="8">
        <f t="shared" si="221"/>
        <v>813.91767497018668</v>
      </c>
      <c r="U328" s="8">
        <f t="shared" si="221"/>
        <v>1003.3640303511786</v>
      </c>
      <c r="V328" s="8">
        <f t="shared" si="221"/>
        <v>1251.7492518507011</v>
      </c>
      <c r="W328" s="8">
        <f t="shared" si="221"/>
        <v>1619.4155119234406</v>
      </c>
      <c r="X328" s="8">
        <f t="shared" si="221"/>
        <v>2302.8256976311663</v>
      </c>
      <c r="Y328" s="8">
        <f t="shared" si="221"/>
        <v>5089.7920812359789</v>
      </c>
      <c r="Z328">
        <f t="shared" si="222"/>
        <v>5.6906892544232495</v>
      </c>
      <c r="AA328">
        <f t="shared" si="222"/>
        <v>6.0818343087566653</v>
      </c>
      <c r="AB328">
        <f t="shared" si="222"/>
        <v>6.3075386809325487</v>
      </c>
      <c r="AC328">
        <f t="shared" si="222"/>
        <v>6.5063476118355243</v>
      </c>
      <c r="AD328">
        <f t="shared" si="222"/>
        <v>6.7018592244876478</v>
      </c>
      <c r="AE328">
        <f t="shared" si="220"/>
        <v>6.9111136636411903</v>
      </c>
      <c r="AF328">
        <f t="shared" si="220"/>
        <v>7.1322972535271925</v>
      </c>
      <c r="AG328">
        <f t="shared" si="220"/>
        <v>7.389820568015228</v>
      </c>
      <c r="AH328">
        <f t="shared" si="220"/>
        <v>7.741892212037274</v>
      </c>
      <c r="AI328">
        <f t="shared" si="220"/>
        <v>8.5349922602300854</v>
      </c>
      <c r="AJ328">
        <f t="shared" si="186"/>
        <v>10.375822336211403</v>
      </c>
      <c r="AK328">
        <f t="shared" si="175"/>
        <v>11.088996331487412</v>
      </c>
      <c r="AL328">
        <f t="shared" si="176"/>
        <v>11.500522661866954</v>
      </c>
      <c r="AM328">
        <f t="shared" si="177"/>
        <v>11.863010587964489</v>
      </c>
      <c r="AN328">
        <f t="shared" si="178"/>
        <v>12.21948652028988</v>
      </c>
      <c r="AO328">
        <f t="shared" si="179"/>
        <v>12.601019720689656</v>
      </c>
      <c r="AP328">
        <f t="shared" si="180"/>
        <v>13.004303317761623</v>
      </c>
      <c r="AQ328">
        <f t="shared" si="181"/>
        <v>13.473845062021029</v>
      </c>
      <c r="AR328">
        <f t="shared" si="182"/>
        <v>14.115776586423138</v>
      </c>
      <c r="AS328">
        <f t="shared" si="183"/>
        <v>15.561834318092995</v>
      </c>
      <c r="AT328">
        <f t="shared" si="184"/>
        <v>18.918216113969578</v>
      </c>
      <c r="AU328">
        <f t="shared" si="187"/>
        <v>-20.509770099748366</v>
      </c>
      <c r="AV328" s="5">
        <f t="shared" si="223"/>
        <v>-10.133947763536963</v>
      </c>
      <c r="AW328" s="5">
        <f t="shared" si="223"/>
        <v>-9.420773768260954</v>
      </c>
      <c r="AX328" s="5">
        <f t="shared" si="223"/>
        <v>-9.0092474378814114</v>
      </c>
      <c r="AY328" s="5">
        <f t="shared" si="223"/>
        <v>-8.6467595117838769</v>
      </c>
      <c r="AZ328" s="5">
        <f t="shared" si="223"/>
        <v>-8.2902835794584853</v>
      </c>
      <c r="BA328" s="5">
        <f t="shared" si="223"/>
        <v>-7.9087503790587093</v>
      </c>
      <c r="BB328" s="5">
        <f t="shared" si="223"/>
        <v>-7.5054667819867422</v>
      </c>
      <c r="BC328" s="5">
        <f t="shared" si="223"/>
        <v>-7.0359250377273366</v>
      </c>
      <c r="BD328" s="5">
        <f t="shared" si="223"/>
        <v>-6.3939935133252277</v>
      </c>
      <c r="BE328" s="5">
        <f t="shared" si="223"/>
        <v>-4.9479357816553708</v>
      </c>
      <c r="BG328" s="1"/>
      <c r="BH328" s="1">
        <f t="shared" si="199"/>
        <v>2.2000000000000006</v>
      </c>
      <c r="BI328" s="8">
        <f t="shared" si="208"/>
        <v>573094948</v>
      </c>
      <c r="BJ328" s="8">
        <f t="shared" si="211"/>
        <v>568158836.70000005</v>
      </c>
      <c r="BK328" s="8">
        <f t="shared" si="212"/>
        <v>545719490.10000002</v>
      </c>
      <c r="BL328" s="8">
        <f t="shared" si="213"/>
        <v>518782064.89999998</v>
      </c>
      <c r="BM328" s="8">
        <f t="shared" si="214"/>
        <v>514738662.5</v>
      </c>
      <c r="BN328" s="8">
        <f t="shared" si="215"/>
        <v>491768011.19999999</v>
      </c>
      <c r="BO328" s="8">
        <f t="shared" si="216"/>
        <v>481846999.89999998</v>
      </c>
      <c r="BP328" s="8">
        <f t="shared" si="217"/>
        <v>322255466.60000002</v>
      </c>
      <c r="BQ328" s="8">
        <f t="shared" si="218"/>
        <v>312252448.5</v>
      </c>
      <c r="BR328" s="8">
        <f t="shared" si="219"/>
        <v>246027019.80000001</v>
      </c>
      <c r="BS328" s="8">
        <f t="shared" si="207"/>
        <v>4574.6439481999996</v>
      </c>
      <c r="BT328" s="8">
        <f t="shared" si="210"/>
        <v>225.83962289999909</v>
      </c>
    </row>
    <row r="329" spans="1:72" x14ac:dyDescent="0.35">
      <c r="A329" t="s">
        <v>179</v>
      </c>
      <c r="B329">
        <v>3</v>
      </c>
      <c r="C329">
        <v>4.9000000000000004</v>
      </c>
      <c r="D329">
        <v>6.1000000000000005</v>
      </c>
      <c r="E329">
        <v>7.1000000000000005</v>
      </c>
      <c r="F329">
        <v>8.1999999999999993</v>
      </c>
      <c r="G329">
        <v>9.3000000000000007</v>
      </c>
      <c r="H329">
        <v>10.5</v>
      </c>
      <c r="I329">
        <v>12.200000000000001</v>
      </c>
      <c r="J329">
        <v>14.9</v>
      </c>
      <c r="K329">
        <v>23.900000000000002</v>
      </c>
      <c r="L329">
        <f t="shared" si="172"/>
        <v>7.8</v>
      </c>
      <c r="M329">
        <f t="shared" si="173"/>
        <v>38183683</v>
      </c>
      <c r="N329">
        <f t="shared" si="174"/>
        <v>10035.850591834826</v>
      </c>
      <c r="O329">
        <f t="shared" si="185"/>
        <v>3.6376406593136217</v>
      </c>
      <c r="P329" s="8">
        <f t="shared" si="221"/>
        <v>3010.755177550448</v>
      </c>
      <c r="Q329" s="8">
        <f t="shared" si="221"/>
        <v>4917.5667899990649</v>
      </c>
      <c r="R329" s="8">
        <f t="shared" si="221"/>
        <v>6121.8688610192439</v>
      </c>
      <c r="S329" s="8">
        <f t="shared" si="221"/>
        <v>7125.4539202027272</v>
      </c>
      <c r="T329" s="8">
        <f t="shared" si="221"/>
        <v>8229.3974853045565</v>
      </c>
      <c r="U329" s="8">
        <f t="shared" si="221"/>
        <v>9333.3410504063886</v>
      </c>
      <c r="V329" s="8">
        <f t="shared" si="221"/>
        <v>10537.643121426567</v>
      </c>
      <c r="W329" s="8">
        <f t="shared" si="221"/>
        <v>12243.737722038488</v>
      </c>
      <c r="X329" s="8">
        <f t="shared" si="221"/>
        <v>14953.41738183389</v>
      </c>
      <c r="Y329" s="8">
        <f t="shared" si="221"/>
        <v>23985.682914485235</v>
      </c>
      <c r="Z329">
        <f t="shared" si="222"/>
        <v>8.0099462158270445</v>
      </c>
      <c r="AA329">
        <f t="shared" si="222"/>
        <v>8.5005691322755155</v>
      </c>
      <c r="AB329">
        <f t="shared" si="222"/>
        <v>8.7196226983382008</v>
      </c>
      <c r="AC329">
        <f t="shared" si="222"/>
        <v>8.8714287112062049</v>
      </c>
      <c r="AD329">
        <f t="shared" si="222"/>
        <v>9.0154680814291428</v>
      </c>
      <c r="AE329">
        <f t="shared" si="220"/>
        <v>9.1413483273181448</v>
      </c>
      <c r="AF329">
        <f t="shared" si="220"/>
        <v>9.2627091843224125</v>
      </c>
      <c r="AG329">
        <f t="shared" si="220"/>
        <v>9.4127698788981462</v>
      </c>
      <c r="AH329">
        <f t="shared" si="220"/>
        <v>9.6126951401103486</v>
      </c>
      <c r="AI329">
        <f t="shared" si="220"/>
        <v>10.0852123860964</v>
      </c>
      <c r="AJ329">
        <f t="shared" si="186"/>
        <v>14.60451891542502</v>
      </c>
      <c r="AK329">
        <f t="shared" si="175"/>
        <v>15.499070697739684</v>
      </c>
      <c r="AL329">
        <f t="shared" si="176"/>
        <v>15.898470626634646</v>
      </c>
      <c r="AM329">
        <f t="shared" si="177"/>
        <v>16.175258226284853</v>
      </c>
      <c r="AN329">
        <f t="shared" si="178"/>
        <v>16.437884921933595</v>
      </c>
      <c r="AO329">
        <f t="shared" si="179"/>
        <v>16.667402122502519</v>
      </c>
      <c r="AP329">
        <f t="shared" si="180"/>
        <v>16.888679130356685</v>
      </c>
      <c r="AQ329">
        <f t="shared" si="181"/>
        <v>17.162284494655232</v>
      </c>
      <c r="AR329">
        <f t="shared" si="182"/>
        <v>17.52680782357292</v>
      </c>
      <c r="AS329">
        <f t="shared" si="183"/>
        <v>18.388347573144795</v>
      </c>
      <c r="AT329">
        <f t="shared" si="184"/>
        <v>26.628390129456609</v>
      </c>
      <c r="AU329">
        <f t="shared" si="187"/>
        <v>-13.432523664026622</v>
      </c>
      <c r="AV329" s="5">
        <f t="shared" si="223"/>
        <v>1.171995251398398</v>
      </c>
      <c r="AW329" s="5">
        <f t="shared" si="223"/>
        <v>2.0665470337130625</v>
      </c>
      <c r="AX329" s="5">
        <f t="shared" si="223"/>
        <v>2.4659469626080242</v>
      </c>
      <c r="AY329" s="5">
        <f t="shared" si="223"/>
        <v>2.7427345622582315</v>
      </c>
      <c r="AZ329" s="5">
        <f t="shared" si="223"/>
        <v>3.0053612579069728</v>
      </c>
      <c r="BA329" s="5">
        <f t="shared" si="223"/>
        <v>3.2348784584758974</v>
      </c>
      <c r="BB329" s="5">
        <f t="shared" si="223"/>
        <v>3.4561554663300633</v>
      </c>
      <c r="BC329" s="5">
        <f t="shared" si="223"/>
        <v>3.7297608306286101</v>
      </c>
      <c r="BD329" s="5">
        <f t="shared" si="223"/>
        <v>4.094284159546298</v>
      </c>
      <c r="BE329" s="5">
        <f t="shared" si="223"/>
        <v>4.9558239091181733</v>
      </c>
      <c r="BG329" s="1"/>
      <c r="BH329" s="1">
        <f t="shared" si="199"/>
        <v>2.3000000000000007</v>
      </c>
      <c r="BI329" s="8">
        <f t="shared" si="208"/>
        <v>574131000.10000002</v>
      </c>
      <c r="BJ329" s="8">
        <f t="shared" si="211"/>
        <v>568530957.5</v>
      </c>
      <c r="BK329" s="8">
        <f t="shared" si="212"/>
        <v>560392499.29999995</v>
      </c>
      <c r="BL329" s="8">
        <f t="shared" si="213"/>
        <v>527713060.69999999</v>
      </c>
      <c r="BM329" s="8">
        <f t="shared" si="214"/>
        <v>515954481.39999998</v>
      </c>
      <c r="BN329" s="8">
        <f t="shared" si="215"/>
        <v>493748998.89999998</v>
      </c>
      <c r="BO329" s="8">
        <f t="shared" si="216"/>
        <v>485503749.60000002</v>
      </c>
      <c r="BP329" s="8">
        <f t="shared" si="217"/>
        <v>456647786.10000002</v>
      </c>
      <c r="BQ329" s="8">
        <f t="shared" si="218"/>
        <v>316869445</v>
      </c>
      <c r="BR329" s="8">
        <f t="shared" si="219"/>
        <v>247602255.09999999</v>
      </c>
      <c r="BS329" s="8">
        <f t="shared" si="207"/>
        <v>4747.0942337000006</v>
      </c>
      <c r="BT329" s="8">
        <f t="shared" si="210"/>
        <v>172.45028550000097</v>
      </c>
    </row>
    <row r="330" spans="1:72" x14ac:dyDescent="0.35">
      <c r="A330" t="s">
        <v>180</v>
      </c>
      <c r="B330">
        <v>2.5</v>
      </c>
      <c r="C330">
        <v>4.4000000000000004</v>
      </c>
      <c r="D330">
        <v>5.7</v>
      </c>
      <c r="E330">
        <v>6.8</v>
      </c>
      <c r="F330">
        <v>7.8</v>
      </c>
      <c r="G330">
        <v>9</v>
      </c>
      <c r="H330">
        <v>10.3</v>
      </c>
      <c r="I330">
        <v>12.200000000000001</v>
      </c>
      <c r="J330">
        <v>15.200000000000001</v>
      </c>
      <c r="K330">
        <v>26.1</v>
      </c>
      <c r="L330">
        <f t="shared" si="172"/>
        <v>15.1</v>
      </c>
      <c r="M330">
        <f t="shared" si="173"/>
        <v>10637346</v>
      </c>
      <c r="N330">
        <f t="shared" si="174"/>
        <v>18535.131234142536</v>
      </c>
      <c r="O330">
        <f t="shared" si="185"/>
        <v>-4.4797960719514958</v>
      </c>
      <c r="P330" s="8">
        <f t="shared" si="221"/>
        <v>4633.7828085356341</v>
      </c>
      <c r="Q330" s="8">
        <f t="shared" si="221"/>
        <v>8155.4577430227164</v>
      </c>
      <c r="R330" s="8">
        <f t="shared" si="221"/>
        <v>10565.024803461247</v>
      </c>
      <c r="S330" s="8">
        <f t="shared" si="221"/>
        <v>12603.889239216925</v>
      </c>
      <c r="T330" s="8">
        <f t="shared" si="221"/>
        <v>14457.402362631177</v>
      </c>
      <c r="U330" s="8">
        <f t="shared" si="221"/>
        <v>16681.618110728283</v>
      </c>
      <c r="V330" s="8">
        <f t="shared" si="221"/>
        <v>19091.185171166813</v>
      </c>
      <c r="W330" s="8">
        <f t="shared" si="221"/>
        <v>22612.860105653897</v>
      </c>
      <c r="X330" s="8">
        <f t="shared" si="221"/>
        <v>28173.399475896655</v>
      </c>
      <c r="Y330" s="8">
        <f t="shared" si="221"/>
        <v>48376.692521112025</v>
      </c>
      <c r="Z330">
        <f t="shared" si="222"/>
        <v>8.4411288347820683</v>
      </c>
      <c r="AA330">
        <f t="shared" si="222"/>
        <v>9.0064426438321288</v>
      </c>
      <c r="AB330">
        <f t="shared" si="222"/>
        <v>9.2653042777484185</v>
      </c>
      <c r="AC330">
        <f t="shared" si="222"/>
        <v>9.4417607150899752</v>
      </c>
      <c r="AD330">
        <f t="shared" si="222"/>
        <v>9.5789618366034599</v>
      </c>
      <c r="AE330">
        <f t="shared" si="220"/>
        <v>9.7220626802441341</v>
      </c>
      <c r="AF330">
        <f t="shared" si="220"/>
        <v>9.8569819981435032</v>
      </c>
      <c r="AG330">
        <f t="shared" si="220"/>
        <v>10.026274054647125</v>
      </c>
      <c r="AH330">
        <f t="shared" si="220"/>
        <v>10.246133530760144</v>
      </c>
      <c r="AI330">
        <f t="shared" si="220"/>
        <v>10.786773417236562</v>
      </c>
      <c r="AJ330">
        <f t="shared" si="186"/>
        <v>15.390693322200477</v>
      </c>
      <c r="AK330">
        <f t="shared" si="175"/>
        <v>16.421428859613833</v>
      </c>
      <c r="AL330">
        <f t="shared" si="176"/>
        <v>16.893410759010138</v>
      </c>
      <c r="AM330">
        <f t="shared" si="177"/>
        <v>17.215143428302124</v>
      </c>
      <c r="AN330">
        <f t="shared" si="178"/>
        <v>17.465301958755415</v>
      </c>
      <c r="AO330">
        <f t="shared" si="179"/>
        <v>17.726217440763769</v>
      </c>
      <c r="AP330">
        <f t="shared" si="180"/>
        <v>17.972215563251055</v>
      </c>
      <c r="AQ330">
        <f t="shared" si="181"/>
        <v>18.280885431289995</v>
      </c>
      <c r="AR330">
        <f t="shared" si="182"/>
        <v>18.68175477436791</v>
      </c>
      <c r="AS330">
        <f t="shared" si="183"/>
        <v>19.667502398100591</v>
      </c>
      <c r="AT330">
        <f t="shared" si="184"/>
        <v>28.061820352981485</v>
      </c>
      <c r="AU330">
        <f t="shared" si="187"/>
        <v>-22.732564640909722</v>
      </c>
      <c r="AV330" s="5">
        <f t="shared" si="223"/>
        <v>-7.341871318709245</v>
      </c>
      <c r="AW330" s="5">
        <f t="shared" si="223"/>
        <v>-6.3111357812958886</v>
      </c>
      <c r="AX330" s="5">
        <f t="shared" si="223"/>
        <v>-5.8391538818995841</v>
      </c>
      <c r="AY330" s="5">
        <f t="shared" si="223"/>
        <v>-5.5174212126075979</v>
      </c>
      <c r="AZ330" s="5">
        <f t="shared" si="223"/>
        <v>-5.2672626821543069</v>
      </c>
      <c r="BA330" s="5">
        <f t="shared" si="223"/>
        <v>-5.006347200145953</v>
      </c>
      <c r="BB330" s="5">
        <f t="shared" si="223"/>
        <v>-4.7603490776586668</v>
      </c>
      <c r="BC330" s="5">
        <f t="shared" si="223"/>
        <v>-4.4516792096197264</v>
      </c>
      <c r="BD330" s="5">
        <f t="shared" si="223"/>
        <v>-4.0508098665418117</v>
      </c>
      <c r="BE330" s="5">
        <f t="shared" si="223"/>
        <v>-3.0650622428091303</v>
      </c>
      <c r="BG330" s="1"/>
      <c r="BH330" s="1">
        <f t="shared" si="199"/>
        <v>2.4000000000000008</v>
      </c>
      <c r="BI330" s="8">
        <f t="shared" si="208"/>
        <v>574131000.10000002</v>
      </c>
      <c r="BJ330" s="8">
        <f t="shared" si="211"/>
        <v>568530957.5</v>
      </c>
      <c r="BK330" s="8">
        <f t="shared" si="212"/>
        <v>567830154.70000005</v>
      </c>
      <c r="BL330" s="8">
        <f t="shared" si="213"/>
        <v>545719490.10000002</v>
      </c>
      <c r="BM330" s="8">
        <f t="shared" si="214"/>
        <v>521363393.60000002</v>
      </c>
      <c r="BN330" s="8">
        <f t="shared" si="215"/>
        <v>515586668.60000002</v>
      </c>
      <c r="BO330" s="8">
        <f t="shared" si="216"/>
        <v>487823791.19999999</v>
      </c>
      <c r="BP330" s="8">
        <f t="shared" si="217"/>
        <v>476984623.39999998</v>
      </c>
      <c r="BQ330" s="8">
        <f t="shared" si="218"/>
        <v>317058357.60000002</v>
      </c>
      <c r="BR330" s="8">
        <f t="shared" si="219"/>
        <v>247685658.69999999</v>
      </c>
      <c r="BS330" s="8">
        <f t="shared" si="207"/>
        <v>4822.7140955000004</v>
      </c>
      <c r="BT330" s="8">
        <f t="shared" si="210"/>
        <v>75.619861799999853</v>
      </c>
    </row>
    <row r="331" spans="1:72" x14ac:dyDescent="0.35">
      <c r="A331" t="s">
        <v>232</v>
      </c>
      <c r="B331">
        <v>1.0387703808027733</v>
      </c>
      <c r="C331">
        <v>1.6412296191972269</v>
      </c>
      <c r="D331">
        <v>3.1493278604412529</v>
      </c>
      <c r="E331">
        <v>3.7706721395587475</v>
      </c>
      <c r="F331">
        <v>5.8209754394847781</v>
      </c>
      <c r="G331">
        <v>6.8190245605152224</v>
      </c>
      <c r="H331">
        <v>9.7046908935721454</v>
      </c>
      <c r="I331">
        <v>11.775309106427855</v>
      </c>
      <c r="J331">
        <v>18.788587706468384</v>
      </c>
      <c r="K331">
        <v>37.49141229353161</v>
      </c>
      <c r="L331">
        <f t="shared" si="172"/>
        <v>25.2</v>
      </c>
      <c r="M331">
        <f t="shared" si="173"/>
        <v>3721208</v>
      </c>
      <c r="N331">
        <f t="shared" si="174"/>
        <v>20782.83569150712</v>
      </c>
      <c r="O331">
        <f t="shared" si="185"/>
        <v>-1.5065978665490309</v>
      </c>
      <c r="P331" s="8">
        <f t="shared" si="221"/>
        <v>2158.8594145428319</v>
      </c>
      <c r="Q331" s="8">
        <f t="shared" si="221"/>
        <v>3410.9405507810761</v>
      </c>
      <c r="R331" s="8">
        <f t="shared" si="221"/>
        <v>6545.1963462236226</v>
      </c>
      <c r="S331" s="8">
        <f t="shared" si="221"/>
        <v>7836.5259522993056</v>
      </c>
      <c r="T331" s="8">
        <f t="shared" si="221"/>
        <v>12097.637612311059</v>
      </c>
      <c r="U331" s="8">
        <f t="shared" si="221"/>
        <v>14171.866701753941</v>
      </c>
      <c r="V331" s="8">
        <f t="shared" si="221"/>
        <v>20169.099627797528</v>
      </c>
      <c r="W331" s="8">
        <f t="shared" si="221"/>
        <v>24472.431437559764</v>
      </c>
      <c r="X331" s="8">
        <f t="shared" si="221"/>
        <v>39048.013117900307</v>
      </c>
      <c r="Y331" s="8">
        <f t="shared" si="221"/>
        <v>77917.786153901747</v>
      </c>
      <c r="Z331">
        <f t="shared" si="222"/>
        <v>7.6773353123885695</v>
      </c>
      <c r="AA331">
        <f t="shared" si="222"/>
        <v>8.1347433535892737</v>
      </c>
      <c r="AB331">
        <f t="shared" si="222"/>
        <v>8.7864866773170398</v>
      </c>
      <c r="AC331">
        <f t="shared" si="222"/>
        <v>8.9665508968093448</v>
      </c>
      <c r="AD331">
        <f t="shared" si="222"/>
        <v>9.4007654738713065</v>
      </c>
      <c r="AE331">
        <f t="shared" si="220"/>
        <v>9.5590140601941584</v>
      </c>
      <c r="AF331">
        <f t="shared" si="220"/>
        <v>9.9119069907747814</v>
      </c>
      <c r="AG331">
        <f t="shared" si="220"/>
        <v>10.105302515520046</v>
      </c>
      <c r="AH331">
        <f t="shared" si="220"/>
        <v>10.572547273509876</v>
      </c>
      <c r="AI331">
        <f t="shared" si="220"/>
        <v>11.26340952613022</v>
      </c>
      <c r="AJ331">
        <f t="shared" si="186"/>
        <v>13.998070120407455</v>
      </c>
      <c r="AK331">
        <f t="shared" si="175"/>
        <v>14.832061287112616</v>
      </c>
      <c r="AL331">
        <f t="shared" si="176"/>
        <v>16.020383585778806</v>
      </c>
      <c r="AM331">
        <f t="shared" si="177"/>
        <v>16.348694317050686</v>
      </c>
      <c r="AN331">
        <f t="shared" si="178"/>
        <v>17.140396886978607</v>
      </c>
      <c r="AO331">
        <f t="shared" si="179"/>
        <v>17.428931217923889</v>
      </c>
      <c r="AP331">
        <f t="shared" si="180"/>
        <v>18.072360192465677</v>
      </c>
      <c r="AQ331">
        <f t="shared" si="181"/>
        <v>18.424977865942669</v>
      </c>
      <c r="AR331">
        <f t="shared" si="182"/>
        <v>19.27690429869601</v>
      </c>
      <c r="AS331">
        <f t="shared" si="183"/>
        <v>20.536552062174177</v>
      </c>
      <c r="AT331">
        <f t="shared" si="184"/>
        <v>25.522653254398673</v>
      </c>
      <c r="AU331">
        <f t="shared" si="187"/>
        <v>-20.447411580758725</v>
      </c>
      <c r="AV331" s="5">
        <f t="shared" si="223"/>
        <v>-6.4493414603512704</v>
      </c>
      <c r="AW331" s="5">
        <f t="shared" si="223"/>
        <v>-5.6153502936461095</v>
      </c>
      <c r="AX331" s="5">
        <f t="shared" si="223"/>
        <v>-4.4270279949799196</v>
      </c>
      <c r="AY331" s="5">
        <f t="shared" si="223"/>
        <v>-4.0987172637080391</v>
      </c>
      <c r="AZ331" s="5">
        <f t="shared" si="223"/>
        <v>-3.3070146937801184</v>
      </c>
      <c r="BA331" s="5">
        <f t="shared" si="223"/>
        <v>-3.0184803628348362</v>
      </c>
      <c r="BB331" s="5">
        <f t="shared" si="223"/>
        <v>-2.3750513882930484</v>
      </c>
      <c r="BC331" s="5">
        <f t="shared" si="223"/>
        <v>-2.0224337148160565</v>
      </c>
      <c r="BD331" s="5">
        <f t="shared" si="223"/>
        <v>-1.1705072820627151</v>
      </c>
      <c r="BE331" s="5">
        <f t="shared" si="223"/>
        <v>8.9140481415451944E-2</v>
      </c>
      <c r="BG331" s="1"/>
      <c r="BH331" s="1">
        <f t="shared" si="199"/>
        <v>2.5000000000000009</v>
      </c>
      <c r="BI331" s="8">
        <f t="shared" si="208"/>
        <v>579868847.39999998</v>
      </c>
      <c r="BJ331" s="8">
        <f t="shared" si="211"/>
        <v>568558997.10000002</v>
      </c>
      <c r="BK331" s="8">
        <f t="shared" si="212"/>
        <v>568158836.70000005</v>
      </c>
      <c r="BL331" s="8">
        <f t="shared" si="213"/>
        <v>560616400.10000002</v>
      </c>
      <c r="BM331" s="8">
        <f t="shared" si="214"/>
        <v>526584883.89999998</v>
      </c>
      <c r="BN331" s="8">
        <f t="shared" si="215"/>
        <v>518535810.10000002</v>
      </c>
      <c r="BO331" s="8">
        <f t="shared" si="216"/>
        <v>493748998.89999998</v>
      </c>
      <c r="BP331" s="8">
        <f t="shared" si="217"/>
        <v>485472890.10000002</v>
      </c>
      <c r="BQ331" s="8">
        <f t="shared" si="218"/>
        <v>456025966.60000002</v>
      </c>
      <c r="BR331" s="8">
        <f t="shared" si="219"/>
        <v>253288388.80000001</v>
      </c>
      <c r="BS331" s="8">
        <f t="shared" si="207"/>
        <v>5010.8600197000005</v>
      </c>
      <c r="BT331" s="8">
        <f t="shared" si="210"/>
        <v>188.14592420000008</v>
      </c>
    </row>
    <row r="332" spans="1:72" x14ac:dyDescent="0.35">
      <c r="A332" t="s">
        <v>402</v>
      </c>
      <c r="B332">
        <v>2.3000000000000003</v>
      </c>
      <c r="C332">
        <v>3.7600000000000002</v>
      </c>
      <c r="D332">
        <v>4.68</v>
      </c>
      <c r="E332">
        <v>5.67</v>
      </c>
      <c r="F332">
        <v>6.8500000000000005</v>
      </c>
      <c r="G332">
        <v>8.11</v>
      </c>
      <c r="H332">
        <v>9.65</v>
      </c>
      <c r="I332">
        <v>12.05</v>
      </c>
      <c r="J332">
        <v>15.88</v>
      </c>
      <c r="K332">
        <v>31.05</v>
      </c>
      <c r="L332">
        <f t="shared" si="172"/>
        <v>27.2</v>
      </c>
      <c r="M332">
        <f t="shared" si="173"/>
        <v>1749713</v>
      </c>
      <c r="N332">
        <f t="shared" si="174"/>
        <v>58256.966788513462</v>
      </c>
      <c r="O332">
        <f t="shared" si="185"/>
        <v>-0.37111292719571587</v>
      </c>
      <c r="P332" s="8">
        <f t="shared" si="221"/>
        <v>13399.102361358096</v>
      </c>
      <c r="Q332" s="8">
        <f t="shared" si="221"/>
        <v>21904.619512481062</v>
      </c>
      <c r="R332" s="8">
        <f t="shared" si="221"/>
        <v>27264.260457024298</v>
      </c>
      <c r="S332" s="8">
        <f t="shared" si="221"/>
        <v>33031.700169087133</v>
      </c>
      <c r="T332" s="8">
        <f t="shared" si="221"/>
        <v>39906.022250131726</v>
      </c>
      <c r="U332" s="8">
        <f t="shared" si="221"/>
        <v>47246.400065484413</v>
      </c>
      <c r="V332" s="8">
        <f t="shared" si="221"/>
        <v>56217.972950915493</v>
      </c>
      <c r="W332" s="8">
        <f t="shared" si="221"/>
        <v>70199.64498015873</v>
      </c>
      <c r="X332" s="8">
        <f t="shared" si="221"/>
        <v>92512.063260159382</v>
      </c>
      <c r="Y332" s="8">
        <f t="shared" si="221"/>
        <v>180887.8818783343</v>
      </c>
      <c r="Z332">
        <f t="shared" si="222"/>
        <v>9.5029429957368574</v>
      </c>
      <c r="AA332">
        <f t="shared" si="222"/>
        <v>9.9944528302035582</v>
      </c>
      <c r="AB332">
        <f t="shared" si="222"/>
        <v>10.21333198273131</v>
      </c>
      <c r="AC332">
        <f t="shared" si="222"/>
        <v>10.405222990541414</v>
      </c>
      <c r="AD332">
        <f t="shared" si="222"/>
        <v>10.594282525075888</v>
      </c>
      <c r="AE332">
        <f t="shared" si="220"/>
        <v>10.763131740929076</v>
      </c>
      <c r="AF332">
        <f t="shared" si="220"/>
        <v>10.936991788152648</v>
      </c>
      <c r="AG332">
        <f t="shared" si="220"/>
        <v>11.159098532738419</v>
      </c>
      <c r="AH332">
        <f t="shared" si="220"/>
        <v>11.435094328620744</v>
      </c>
      <c r="AI332">
        <f t="shared" si="220"/>
        <v>12.105632681181241</v>
      </c>
      <c r="AJ332">
        <f t="shared" si="186"/>
        <v>17.326696958241023</v>
      </c>
      <c r="AK332">
        <f t="shared" si="175"/>
        <v>18.222865856404489</v>
      </c>
      <c r="AL332">
        <f t="shared" si="176"/>
        <v>18.621947777450032</v>
      </c>
      <c r="AM332">
        <f t="shared" si="177"/>
        <v>18.971822268208182</v>
      </c>
      <c r="AN332">
        <f t="shared" si="178"/>
        <v>19.316534139405817</v>
      </c>
      <c r="AO332">
        <f t="shared" si="179"/>
        <v>19.624396576972504</v>
      </c>
      <c r="AP332">
        <f t="shared" si="180"/>
        <v>19.941395253355147</v>
      </c>
      <c r="AQ332">
        <f t="shared" si="181"/>
        <v>20.346362036544896</v>
      </c>
      <c r="AR332">
        <f t="shared" si="182"/>
        <v>20.849584619185546</v>
      </c>
      <c r="AS332">
        <f t="shared" si="183"/>
        <v>22.072175856332397</v>
      </c>
      <c r="AT332">
        <f t="shared" si="184"/>
        <v>31.591731910566942</v>
      </c>
      <c r="AU332">
        <f t="shared" si="187"/>
        <v>-20.85714325124021</v>
      </c>
      <c r="AV332" s="5">
        <f t="shared" si="223"/>
        <v>-3.5304462929991871</v>
      </c>
      <c r="AW332" s="5">
        <f t="shared" si="223"/>
        <v>-2.6342773948357205</v>
      </c>
      <c r="AX332" s="5">
        <f t="shared" si="223"/>
        <v>-2.2351954737901778</v>
      </c>
      <c r="AY332" s="5">
        <f t="shared" si="223"/>
        <v>-1.8853209830320274</v>
      </c>
      <c r="AZ332" s="5">
        <f t="shared" si="223"/>
        <v>-1.5406091118343923</v>
      </c>
      <c r="BA332" s="5">
        <f t="shared" si="223"/>
        <v>-1.2327466742677053</v>
      </c>
      <c r="BB332" s="5">
        <f t="shared" si="223"/>
        <v>-0.91574799788506311</v>
      </c>
      <c r="BC332" s="5">
        <f t="shared" si="223"/>
        <v>-0.51078121469531368</v>
      </c>
      <c r="BD332" s="5">
        <f t="shared" si="223"/>
        <v>-7.5586320546641161E-3</v>
      </c>
      <c r="BE332" s="5">
        <f t="shared" si="223"/>
        <v>1.2150326050921869</v>
      </c>
      <c r="BG332" s="1"/>
      <c r="BH332" s="1">
        <f t="shared" si="199"/>
        <v>2.600000000000001</v>
      </c>
      <c r="BI332" s="8">
        <f t="shared" si="208"/>
        <v>582237951.89999998</v>
      </c>
      <c r="BJ332" s="8">
        <f t="shared" si="211"/>
        <v>569276579.70000005</v>
      </c>
      <c r="BK332" s="8">
        <f t="shared" si="212"/>
        <v>568158836.70000005</v>
      </c>
      <c r="BL332" s="8">
        <f t="shared" si="213"/>
        <v>567830154.70000005</v>
      </c>
      <c r="BM332" s="8">
        <f t="shared" si="214"/>
        <v>545719490.10000002</v>
      </c>
      <c r="BN332" s="8">
        <f t="shared" si="215"/>
        <v>521519015.80000001</v>
      </c>
      <c r="BO332" s="8">
        <f t="shared" si="216"/>
        <v>516535668.60000002</v>
      </c>
      <c r="BP332" s="8">
        <f t="shared" si="217"/>
        <v>487823791.19999999</v>
      </c>
      <c r="BQ332" s="8">
        <f t="shared" si="218"/>
        <v>457553219.30000001</v>
      </c>
      <c r="BR332" s="8">
        <f t="shared" si="219"/>
        <v>263215041.90000001</v>
      </c>
      <c r="BS332" s="8">
        <f t="shared" si="207"/>
        <v>5079.8697499</v>
      </c>
      <c r="BT332" s="8">
        <f t="shared" si="210"/>
        <v>69.009730199999467</v>
      </c>
    </row>
    <row r="333" spans="1:72" x14ac:dyDescent="0.35">
      <c r="A333" t="s">
        <v>181</v>
      </c>
      <c r="B333">
        <v>1.5</v>
      </c>
      <c r="C333">
        <v>3.6</v>
      </c>
      <c r="D333">
        <v>5.1000000000000005</v>
      </c>
      <c r="E333">
        <v>6.6000000000000005</v>
      </c>
      <c r="F333">
        <v>8</v>
      </c>
      <c r="G333">
        <v>9.3000000000000007</v>
      </c>
      <c r="H333">
        <v>10.8</v>
      </c>
      <c r="I333">
        <v>12.700000000000001</v>
      </c>
      <c r="J333">
        <v>15.3</v>
      </c>
      <c r="K333">
        <v>27.1</v>
      </c>
      <c r="L333">
        <f t="shared" si="172"/>
        <v>8.8000000000000007</v>
      </c>
      <c r="M333">
        <f t="shared" si="173"/>
        <v>21438001</v>
      </c>
      <c r="N333">
        <f t="shared" si="174"/>
        <v>5321.8101990424975</v>
      </c>
      <c r="O333">
        <f t="shared" si="185"/>
        <v>2.1091039487035612</v>
      </c>
      <c r="P333" s="8">
        <f t="shared" si="221"/>
        <v>798.27152985637463</v>
      </c>
      <c r="Q333" s="8">
        <f t="shared" si="221"/>
        <v>1915.8516716552992</v>
      </c>
      <c r="R333" s="8">
        <f t="shared" si="221"/>
        <v>2714.1232015116739</v>
      </c>
      <c r="S333" s="8">
        <f t="shared" si="221"/>
        <v>3512.3947313680487</v>
      </c>
      <c r="T333" s="8">
        <f t="shared" si="221"/>
        <v>4257.448159233998</v>
      </c>
      <c r="U333" s="8">
        <f t="shared" si="221"/>
        <v>4949.2834851095231</v>
      </c>
      <c r="V333" s="8">
        <f t="shared" si="221"/>
        <v>5747.5550149658975</v>
      </c>
      <c r="W333" s="8">
        <f t="shared" si="221"/>
        <v>6758.6989527839733</v>
      </c>
      <c r="X333" s="8">
        <f t="shared" si="221"/>
        <v>8142.3696045350207</v>
      </c>
      <c r="Y333" s="8">
        <f t="shared" si="221"/>
        <v>14422.10563940517</v>
      </c>
      <c r="Z333">
        <f t="shared" si="222"/>
        <v>6.6824488025514031</v>
      </c>
      <c r="AA333">
        <f t="shared" si="222"/>
        <v>7.5579175399053034</v>
      </c>
      <c r="AB333">
        <f t="shared" si="222"/>
        <v>7.9062242341735187</v>
      </c>
      <c r="AC333">
        <f t="shared" si="222"/>
        <v>8.1640533434756186</v>
      </c>
      <c r="AD333">
        <f t="shared" si="222"/>
        <v>8.3564252361230746</v>
      </c>
      <c r="AE333">
        <f t="shared" si="220"/>
        <v>8.5069980946024497</v>
      </c>
      <c r="AF333">
        <f t="shared" si="220"/>
        <v>8.6565298285734134</v>
      </c>
      <c r="AG333">
        <f t="shared" si="220"/>
        <v>8.8185856879077846</v>
      </c>
      <c r="AH333">
        <f t="shared" si="220"/>
        <v>9.0048365228416287</v>
      </c>
      <c r="AI333">
        <f t="shared" si="220"/>
        <v>9.5765174223288945</v>
      </c>
      <c r="AJ333">
        <f t="shared" si="186"/>
        <v>12.184095536794368</v>
      </c>
      <c r="AK333">
        <f t="shared" si="175"/>
        <v>13.780335934674261</v>
      </c>
      <c r="AL333">
        <f t="shared" si="176"/>
        <v>14.415402833720108</v>
      </c>
      <c r="AM333">
        <f t="shared" si="177"/>
        <v>14.885502133052409</v>
      </c>
      <c r="AN333">
        <f t="shared" si="178"/>
        <v>15.23625342017273</v>
      </c>
      <c r="AO333">
        <f t="shared" si="179"/>
        <v>15.510792611892459</v>
      </c>
      <c r="AP333">
        <f t="shared" si="180"/>
        <v>15.783433523378248</v>
      </c>
      <c r="AQ333">
        <f t="shared" si="181"/>
        <v>16.078909647590887</v>
      </c>
      <c r="AR333">
        <f t="shared" si="182"/>
        <v>16.418500422424096</v>
      </c>
      <c r="AS333">
        <f t="shared" si="183"/>
        <v>17.46084506309743</v>
      </c>
      <c r="AT333">
        <f t="shared" si="184"/>
        <v>22.2152370240461</v>
      </c>
      <c r="AU333">
        <f t="shared" si="187"/>
        <v>-13.939334172316814</v>
      </c>
      <c r="AV333" s="5">
        <f t="shared" si="223"/>
        <v>-1.7552386355224456</v>
      </c>
      <c r="AW333" s="5">
        <f t="shared" si="223"/>
        <v>-0.15899823764255316</v>
      </c>
      <c r="AX333" s="5">
        <f t="shared" si="223"/>
        <v>0.47606866140329451</v>
      </c>
      <c r="AY333" s="5">
        <f t="shared" si="223"/>
        <v>0.94616796073559506</v>
      </c>
      <c r="AZ333" s="5">
        <f t="shared" si="223"/>
        <v>1.2969192478559162</v>
      </c>
      <c r="BA333" s="5">
        <f t="shared" si="223"/>
        <v>1.571458439575645</v>
      </c>
      <c r="BB333" s="5">
        <f t="shared" si="223"/>
        <v>1.8440993510614341</v>
      </c>
      <c r="BC333" s="5">
        <f t="shared" si="223"/>
        <v>2.1395754752740732</v>
      </c>
      <c r="BD333" s="5">
        <f t="shared" si="223"/>
        <v>2.4791662501072818</v>
      </c>
      <c r="BE333" s="5">
        <f t="shared" si="223"/>
        <v>3.5215108907806165</v>
      </c>
      <c r="BG333" s="1"/>
      <c r="BH333" s="1">
        <f t="shared" si="199"/>
        <v>2.7000000000000011</v>
      </c>
      <c r="BI333" s="8">
        <f t="shared" si="208"/>
        <v>587881371.89999998</v>
      </c>
      <c r="BJ333" s="8">
        <f t="shared" si="211"/>
        <v>573130997.79999995</v>
      </c>
      <c r="BK333" s="8">
        <f t="shared" si="212"/>
        <v>568158836.70000005</v>
      </c>
      <c r="BL333" s="8">
        <f t="shared" si="213"/>
        <v>568158836.70000005</v>
      </c>
      <c r="BM333" s="8">
        <f t="shared" si="214"/>
        <v>567830154.70000005</v>
      </c>
      <c r="BN333" s="8">
        <f t="shared" si="215"/>
        <v>527841153.10000002</v>
      </c>
      <c r="BO333" s="8">
        <f t="shared" si="216"/>
        <v>518167997.30000001</v>
      </c>
      <c r="BP333" s="8">
        <f t="shared" si="217"/>
        <v>490317371.5</v>
      </c>
      <c r="BQ333" s="8">
        <f t="shared" si="218"/>
        <v>477631734.60000002</v>
      </c>
      <c r="BR333" s="8">
        <f t="shared" si="219"/>
        <v>298988772.19999999</v>
      </c>
      <c r="BS333" s="8">
        <f t="shared" si="207"/>
        <v>5178.1072265000012</v>
      </c>
      <c r="BT333" s="8">
        <f t="shared" si="210"/>
        <v>98.237476600001173</v>
      </c>
    </row>
    <row r="334" spans="1:72" x14ac:dyDescent="0.35">
      <c r="A334" t="s">
        <v>233</v>
      </c>
      <c r="B334">
        <v>2.66</v>
      </c>
      <c r="C334">
        <v>4.5</v>
      </c>
      <c r="D334">
        <v>5.6000000000000005</v>
      </c>
      <c r="E334">
        <v>6.7700000000000005</v>
      </c>
      <c r="F334">
        <v>7.74</v>
      </c>
      <c r="G334">
        <v>8.91</v>
      </c>
      <c r="H334">
        <v>10.4</v>
      </c>
      <c r="I334">
        <v>12.49</v>
      </c>
      <c r="J334">
        <v>15.3</v>
      </c>
      <c r="K334">
        <v>25.64</v>
      </c>
      <c r="L334">
        <f t="shared" si="172"/>
        <v>-5.0999999999999996</v>
      </c>
      <c r="M334">
        <f t="shared" si="173"/>
        <v>142389000</v>
      </c>
      <c r="N334">
        <f t="shared" si="174"/>
        <v>6385.6173068952321</v>
      </c>
      <c r="O334">
        <f t="shared" si="185"/>
        <v>1.003555931914125</v>
      </c>
      <c r="P334" s="8">
        <f t="shared" si="221"/>
        <v>1698.5742036341319</v>
      </c>
      <c r="Q334" s="8">
        <f t="shared" si="221"/>
        <v>2873.5277881028546</v>
      </c>
      <c r="R334" s="8">
        <f t="shared" si="221"/>
        <v>3575.94569186133</v>
      </c>
      <c r="S334" s="8">
        <f t="shared" si="221"/>
        <v>4323.0629167680727</v>
      </c>
      <c r="T334" s="8">
        <f t="shared" si="221"/>
        <v>4942.4677955369098</v>
      </c>
      <c r="U334" s="8">
        <f t="shared" si="221"/>
        <v>5689.585020443652</v>
      </c>
      <c r="V334" s="8">
        <f t="shared" si="221"/>
        <v>6641.0419991710414</v>
      </c>
      <c r="W334" s="8">
        <f t="shared" si="221"/>
        <v>7975.6360163121453</v>
      </c>
      <c r="X334" s="8">
        <f t="shared" si="221"/>
        <v>9769.9944795497049</v>
      </c>
      <c r="Y334" s="8">
        <f t="shared" si="221"/>
        <v>16372.722774879376</v>
      </c>
      <c r="Z334">
        <f t="shared" si="222"/>
        <v>7.4375444743909149</v>
      </c>
      <c r="AA334">
        <f t="shared" si="222"/>
        <v>7.9632957483735813</v>
      </c>
      <c r="AB334">
        <f t="shared" si="222"/>
        <v>8.1819849493384105</v>
      </c>
      <c r="AC334">
        <f t="shared" si="222"/>
        <v>8.3717194385214917</v>
      </c>
      <c r="AD334">
        <f t="shared" si="222"/>
        <v>8.5056200391989432</v>
      </c>
      <c r="AE334">
        <f t="shared" si="220"/>
        <v>8.6463925930800247</v>
      </c>
      <c r="AF334">
        <f t="shared" si="220"/>
        <v>8.8010241577446333</v>
      </c>
      <c r="AG334">
        <f t="shared" si="220"/>
        <v>8.9841466757347934</v>
      </c>
      <c r="AH334">
        <f t="shared" si="220"/>
        <v>9.1870711799956961</v>
      </c>
      <c r="AI334">
        <f t="shared" si="220"/>
        <v>9.7033719836497774</v>
      </c>
      <c r="AJ334">
        <f t="shared" si="186"/>
        <v>13.560859965068007</v>
      </c>
      <c r="AK334">
        <f t="shared" si="175"/>
        <v>14.519461211418054</v>
      </c>
      <c r="AL334">
        <f t="shared" si="176"/>
        <v>14.918196794158826</v>
      </c>
      <c r="AM334">
        <f t="shared" si="177"/>
        <v>15.264139308817359</v>
      </c>
      <c r="AN334">
        <f t="shared" si="178"/>
        <v>15.508280006231356</v>
      </c>
      <c r="AO334">
        <f t="shared" si="179"/>
        <v>15.764950322177624</v>
      </c>
      <c r="AP334">
        <f t="shared" si="180"/>
        <v>16.046889744767476</v>
      </c>
      <c r="AQ334">
        <f t="shared" si="181"/>
        <v>16.380776665573897</v>
      </c>
      <c r="AR334">
        <f t="shared" si="182"/>
        <v>16.750768508343793</v>
      </c>
      <c r="AS334">
        <f t="shared" si="183"/>
        <v>17.692138731044672</v>
      </c>
      <c r="AT334">
        <f t="shared" si="184"/>
        <v>24.725488852588569</v>
      </c>
      <c r="AU334">
        <f t="shared" si="187"/>
        <v>-15.296675363811538</v>
      </c>
      <c r="AV334" s="5">
        <f t="shared" si="223"/>
        <v>-1.7358153987435312</v>
      </c>
      <c r="AW334" s="5">
        <f t="shared" si="223"/>
        <v>-0.77721415239348346</v>
      </c>
      <c r="AX334" s="5">
        <f t="shared" si="223"/>
        <v>-0.37847856965271198</v>
      </c>
      <c r="AY334" s="5">
        <f t="shared" si="223"/>
        <v>-3.2536054994178443E-2</v>
      </c>
      <c r="AZ334" s="5">
        <f t="shared" si="223"/>
        <v>0.21160464241981813</v>
      </c>
      <c r="BA334" s="5">
        <f t="shared" si="223"/>
        <v>0.46827495836608612</v>
      </c>
      <c r="BB334" s="5">
        <f t="shared" si="223"/>
        <v>0.75021438095593851</v>
      </c>
      <c r="BC334" s="5">
        <f t="shared" si="223"/>
        <v>1.0841013017623595</v>
      </c>
      <c r="BD334" s="5">
        <f t="shared" si="223"/>
        <v>1.4540931445322549</v>
      </c>
      <c r="BE334" s="5">
        <f t="shared" si="223"/>
        <v>2.395463367233134</v>
      </c>
      <c r="BG334" s="1"/>
      <c r="BH334" s="1">
        <f t="shared" si="199"/>
        <v>2.8000000000000012</v>
      </c>
      <c r="BI334" s="8">
        <f t="shared" si="208"/>
        <v>589592989.10000002</v>
      </c>
      <c r="BJ334" s="8">
        <f t="shared" si="211"/>
        <v>574131000.10000002</v>
      </c>
      <c r="BK334" s="8">
        <f t="shared" si="212"/>
        <v>568329869.39999998</v>
      </c>
      <c r="BL334" s="8">
        <f t="shared" si="213"/>
        <v>568158836.70000005</v>
      </c>
      <c r="BM334" s="8">
        <f t="shared" si="214"/>
        <v>568158836.70000005</v>
      </c>
      <c r="BN334" s="8">
        <f t="shared" si="215"/>
        <v>559958390.10000002</v>
      </c>
      <c r="BO334" s="8">
        <f t="shared" si="216"/>
        <v>520981064.5</v>
      </c>
      <c r="BP334" s="8">
        <f t="shared" si="217"/>
        <v>497983079.30000001</v>
      </c>
      <c r="BQ334" s="8">
        <f t="shared" si="218"/>
        <v>481767775.5</v>
      </c>
      <c r="BR334" s="8">
        <f t="shared" si="219"/>
        <v>303541672.5</v>
      </c>
      <c r="BS334" s="8">
        <f t="shared" si="207"/>
        <v>5232.6035138999996</v>
      </c>
      <c r="BT334" s="8">
        <f t="shared" si="210"/>
        <v>54.496287399998437</v>
      </c>
    </row>
    <row r="335" spans="1:72" x14ac:dyDescent="0.35">
      <c r="A335" t="s">
        <v>182</v>
      </c>
      <c r="B335">
        <v>2.1</v>
      </c>
      <c r="C335">
        <v>3.09</v>
      </c>
      <c r="D335">
        <v>3.84</v>
      </c>
      <c r="E335">
        <v>4.6000000000000005</v>
      </c>
      <c r="F335">
        <v>5.41</v>
      </c>
      <c r="G335">
        <v>6.37</v>
      </c>
      <c r="H335">
        <v>7.69</v>
      </c>
      <c r="I335">
        <v>9.76</v>
      </c>
      <c r="J335">
        <v>13.950000000000001</v>
      </c>
      <c r="K335">
        <v>43.19</v>
      </c>
      <c r="L335">
        <f t="shared" si="172"/>
        <v>17.899999999999999</v>
      </c>
      <c r="M335">
        <f t="shared" si="173"/>
        <v>10836732</v>
      </c>
      <c r="N335">
        <f t="shared" si="174"/>
        <v>349.34486347036096</v>
      </c>
      <c r="O335">
        <f t="shared" si="185"/>
        <v>-6.241202458942686</v>
      </c>
      <c r="P335" s="8">
        <f t="shared" si="221"/>
        <v>73.36242132877581</v>
      </c>
      <c r="Q335" s="8">
        <f t="shared" si="221"/>
        <v>107.94756281234154</v>
      </c>
      <c r="R335" s="8">
        <f t="shared" si="221"/>
        <v>134.1484275726186</v>
      </c>
      <c r="S335" s="8">
        <f t="shared" si="221"/>
        <v>160.69863719636606</v>
      </c>
      <c r="T335" s="8">
        <f t="shared" si="221"/>
        <v>188.99557113746528</v>
      </c>
      <c r="U335" s="8">
        <f t="shared" si="221"/>
        <v>222.53267803061993</v>
      </c>
      <c r="V335" s="8">
        <f t="shared" si="221"/>
        <v>268.64620000870758</v>
      </c>
      <c r="W335" s="8">
        <f t="shared" si="221"/>
        <v>340.96058674707228</v>
      </c>
      <c r="X335" s="8">
        <f t="shared" si="221"/>
        <v>487.33608454115358</v>
      </c>
      <c r="Y335" s="8">
        <f t="shared" si="221"/>
        <v>1508.8204653284888</v>
      </c>
      <c r="Z335">
        <f t="shared" si="222"/>
        <v>4.2954118335209648</v>
      </c>
      <c r="AA335">
        <f t="shared" si="222"/>
        <v>4.6816455797012422</v>
      </c>
      <c r="AB335">
        <f t="shared" si="222"/>
        <v>4.8989468553912232</v>
      </c>
      <c r="AC335">
        <f t="shared" si="222"/>
        <v>5.0795307922866373</v>
      </c>
      <c r="AD335">
        <f t="shared" si="222"/>
        <v>5.2417235816499774</v>
      </c>
      <c r="AE335">
        <f t="shared" si="220"/>
        <v>5.4050739583756595</v>
      </c>
      <c r="AF335">
        <f t="shared" si="220"/>
        <v>5.5933952723091407</v>
      </c>
      <c r="AG335">
        <f t="shared" si="220"/>
        <v>5.8317668892165884</v>
      </c>
      <c r="AH335">
        <f t="shared" si="220"/>
        <v>6.1889539970589622</v>
      </c>
      <c r="AI335">
        <f t="shared" si="220"/>
        <v>7.3190834757641969</v>
      </c>
      <c r="AJ335">
        <f t="shared" si="186"/>
        <v>7.8318158052351086</v>
      </c>
      <c r="AK335">
        <f t="shared" si="175"/>
        <v>8.5360350221781154</v>
      </c>
      <c r="AL335">
        <f t="shared" si="176"/>
        <v>8.9322400035411071</v>
      </c>
      <c r="AM335">
        <f t="shared" si="177"/>
        <v>9.2614983345146413</v>
      </c>
      <c r="AN335">
        <f t="shared" si="178"/>
        <v>9.5572241229752404</v>
      </c>
      <c r="AO335">
        <f t="shared" si="179"/>
        <v>9.8550605381584244</v>
      </c>
      <c r="AP335">
        <f t="shared" si="180"/>
        <v>10.198426413210711</v>
      </c>
      <c r="AQ335">
        <f t="shared" si="181"/>
        <v>10.633048905574828</v>
      </c>
      <c r="AR335">
        <f t="shared" si="182"/>
        <v>11.284307444929611</v>
      </c>
      <c r="AS335">
        <f t="shared" si="183"/>
        <v>13.34487026319391</v>
      </c>
      <c r="AT335">
        <f t="shared" si="184"/>
        <v>14.279734094053564</v>
      </c>
      <c r="AU335">
        <f t="shared" si="187"/>
        <v>-17.743129113496369</v>
      </c>
      <c r="AV335" s="5">
        <f t="shared" si="223"/>
        <v>-9.9113133082612599</v>
      </c>
      <c r="AW335" s="5">
        <f t="shared" si="223"/>
        <v>-9.207094091318254</v>
      </c>
      <c r="AX335" s="5">
        <f t="shared" si="223"/>
        <v>-8.8108891099552622</v>
      </c>
      <c r="AY335" s="5">
        <f t="shared" si="223"/>
        <v>-8.481630778981728</v>
      </c>
      <c r="AZ335" s="5">
        <f t="shared" si="223"/>
        <v>-8.185904990521129</v>
      </c>
      <c r="BA335" s="5">
        <f t="shared" si="223"/>
        <v>-7.8880685753379449</v>
      </c>
      <c r="BB335" s="5">
        <f t="shared" si="223"/>
        <v>-7.5447027002856579</v>
      </c>
      <c r="BC335" s="5">
        <f t="shared" si="223"/>
        <v>-7.1100802079215413</v>
      </c>
      <c r="BD335" s="5">
        <f t="shared" si="223"/>
        <v>-6.4588216685667579</v>
      </c>
      <c r="BE335" s="5">
        <f t="shared" si="223"/>
        <v>-4.3982588503024598</v>
      </c>
      <c r="BG335" s="1"/>
      <c r="BH335" s="1">
        <f t="shared" si="199"/>
        <v>2.9000000000000012</v>
      </c>
      <c r="BI335" s="8">
        <f t="shared" si="208"/>
        <v>595641327.60000002</v>
      </c>
      <c r="BJ335" s="8">
        <f t="shared" si="211"/>
        <v>574131000.10000002</v>
      </c>
      <c r="BK335" s="8">
        <f t="shared" si="212"/>
        <v>573094948</v>
      </c>
      <c r="BL335" s="8">
        <f t="shared" si="213"/>
        <v>568158836.70000005</v>
      </c>
      <c r="BM335" s="8">
        <f t="shared" si="214"/>
        <v>568158836.70000005</v>
      </c>
      <c r="BN335" s="8">
        <f t="shared" si="215"/>
        <v>567830154.70000005</v>
      </c>
      <c r="BO335" s="8">
        <f t="shared" si="216"/>
        <v>527841153.10000002</v>
      </c>
      <c r="BP335" s="8">
        <f t="shared" si="217"/>
        <v>518167997.30000001</v>
      </c>
      <c r="BQ335" s="8">
        <f t="shared" si="218"/>
        <v>489501934.80000001</v>
      </c>
      <c r="BR335" s="8">
        <f t="shared" si="219"/>
        <v>311372872.89999998</v>
      </c>
      <c r="BS335" s="8">
        <f t="shared" si="207"/>
        <v>5293.8990618999997</v>
      </c>
      <c r="BT335" s="8">
        <f t="shared" si="210"/>
        <v>61.295548000000053</v>
      </c>
    </row>
    <row r="336" spans="1:72" x14ac:dyDescent="0.35">
      <c r="A336" t="s">
        <v>183</v>
      </c>
      <c r="B336">
        <v>2.0100000000000002</v>
      </c>
      <c r="C336">
        <v>3.22</v>
      </c>
      <c r="D336">
        <v>4.3600000000000003</v>
      </c>
      <c r="E336">
        <v>5.51</v>
      </c>
      <c r="F336">
        <v>6.72</v>
      </c>
      <c r="G336">
        <v>8.08</v>
      </c>
      <c r="H336">
        <v>9.74</v>
      </c>
      <c r="I336">
        <v>12.01</v>
      </c>
      <c r="J336">
        <v>15.860000000000001</v>
      </c>
      <c r="K336">
        <v>32.480000000000004</v>
      </c>
      <c r="L336">
        <f t="shared" ref="L336:L378" si="224">LOOKUP(A336,A$5:A$202,G$5:G$202)</f>
        <v>25.5</v>
      </c>
      <c r="M336">
        <f t="shared" ref="M336:M378" si="225">LOOKUP(A336,A$5:A$202,B$5:B$202)</f>
        <v>177397</v>
      </c>
      <c r="N336">
        <f t="shared" ref="N336:N378" si="226">LOOKUP(A336,A$5:A$202,D$5:D$202)</f>
        <v>6109.4882023480113</v>
      </c>
      <c r="O336">
        <f t="shared" si="185"/>
        <v>-3.8504113849584911</v>
      </c>
      <c r="P336" s="8">
        <f t="shared" si="221"/>
        <v>1228.0071286719503</v>
      </c>
      <c r="Q336" s="8">
        <f t="shared" si="221"/>
        <v>1967.2552011560597</v>
      </c>
      <c r="R336" s="8">
        <f t="shared" si="221"/>
        <v>2663.736856223733</v>
      </c>
      <c r="S336" s="8">
        <f t="shared" si="221"/>
        <v>3366.3279994937539</v>
      </c>
      <c r="T336" s="8">
        <f t="shared" si="221"/>
        <v>4105.5760719778636</v>
      </c>
      <c r="U336" s="8">
        <f t="shared" si="221"/>
        <v>4936.4664674971928</v>
      </c>
      <c r="V336" s="8">
        <f t="shared" si="221"/>
        <v>5950.6415090869632</v>
      </c>
      <c r="W336" s="8">
        <f t="shared" si="221"/>
        <v>7337.4953310199617</v>
      </c>
      <c r="X336" s="8">
        <f t="shared" si="221"/>
        <v>9689.6482889239469</v>
      </c>
      <c r="Y336" s="8">
        <f t="shared" si="221"/>
        <v>19843.617681226344</v>
      </c>
      <c r="Z336">
        <f t="shared" si="222"/>
        <v>7.1131479137976896</v>
      </c>
      <c r="AA336">
        <f t="shared" si="222"/>
        <v>7.5843945512830224</v>
      </c>
      <c r="AB336">
        <f t="shared" si="222"/>
        <v>7.8874852490876481</v>
      </c>
      <c r="AC336">
        <f t="shared" si="222"/>
        <v>8.1215778148915287</v>
      </c>
      <c r="AD336">
        <f t="shared" si="222"/>
        <v>8.3201013462617635</v>
      </c>
      <c r="AE336">
        <f t="shared" si="220"/>
        <v>8.5044050642597089</v>
      </c>
      <c r="AF336">
        <f t="shared" si="220"/>
        <v>8.691254309381149</v>
      </c>
      <c r="AG336">
        <f t="shared" si="220"/>
        <v>8.9007528278185966</v>
      </c>
      <c r="AH336">
        <f t="shared" si="220"/>
        <v>9.1788134079334078</v>
      </c>
      <c r="AI336">
        <f t="shared" si="220"/>
        <v>9.8956377070201818</v>
      </c>
      <c r="AJ336">
        <f t="shared" si="186"/>
        <v>12.9693883649315</v>
      </c>
      <c r="AK336">
        <f t="shared" ref="AK336:AK378" si="227">$I$2*AA336</f>
        <v>13.828611416565233</v>
      </c>
      <c r="AL336">
        <f t="shared" ref="AL336:AL378" si="228">$I$2*AB336</f>
        <v>14.381236079691011</v>
      </c>
      <c r="AM336">
        <f t="shared" ref="AM336:AM378" si="229">$I$2*AC336</f>
        <v>14.808056586736095</v>
      </c>
      <c r="AN336">
        <f t="shared" ref="AN336:AN378" si="230">$I$2*AD336</f>
        <v>15.170024144436381</v>
      </c>
      <c r="AO336">
        <f t="shared" ref="AO336:AO378" si="231">$I$2*AE336</f>
        <v>15.5060647448546</v>
      </c>
      <c r="AP336">
        <f t="shared" ref="AP336:AP378" si="232">$I$2*AF336</f>
        <v>15.84674659978603</v>
      </c>
      <c r="AQ336">
        <f t="shared" ref="AQ336:AQ378" si="233">$I$2*AG336</f>
        <v>16.228724829455992</v>
      </c>
      <c r="AR336">
        <f t="shared" ref="AR336:AR378" si="234">$I$2*AH336</f>
        <v>16.735712129058168</v>
      </c>
      <c r="AS336">
        <f t="shared" ref="AS336:AS378" si="235">$I$2*AI336</f>
        <v>18.042696439934485</v>
      </c>
      <c r="AT336">
        <f t="shared" ref="AT336:AT378" si="236">$I$2*AJ336</f>
        <v>23.647059867002877</v>
      </c>
      <c r="AU336">
        <f t="shared" si="187"/>
        <v>-20.280376558314583</v>
      </c>
      <c r="AV336" s="5">
        <f t="shared" si="223"/>
        <v>-7.310988193383082</v>
      </c>
      <c r="AW336" s="5">
        <f t="shared" si="223"/>
        <v>-6.45176514174935</v>
      </c>
      <c r="AX336" s="5">
        <f t="shared" si="223"/>
        <v>-5.8991404786235719</v>
      </c>
      <c r="AY336" s="5">
        <f t="shared" si="223"/>
        <v>-5.4723199715784876</v>
      </c>
      <c r="AZ336" s="5">
        <f t="shared" si="223"/>
        <v>-5.1103524138782017</v>
      </c>
      <c r="BA336" s="5">
        <f t="shared" si="223"/>
        <v>-4.7743118134599829</v>
      </c>
      <c r="BB336" s="5">
        <f t="shared" si="223"/>
        <v>-4.4336299585285524</v>
      </c>
      <c r="BC336" s="5">
        <f t="shared" si="223"/>
        <v>-4.0516517288585909</v>
      </c>
      <c r="BD336" s="5">
        <f t="shared" si="223"/>
        <v>-3.5446644292564145</v>
      </c>
      <c r="BE336" s="5">
        <f t="shared" si="223"/>
        <v>-2.2376801183800978</v>
      </c>
      <c r="BG336" s="1"/>
      <c r="BH336" s="1">
        <f t="shared" si="199"/>
        <v>3.0000000000000013</v>
      </c>
      <c r="BI336" s="8">
        <f t="shared" si="208"/>
        <v>595846185.89999998</v>
      </c>
      <c r="BJ336" s="8">
        <f t="shared" si="211"/>
        <v>574131000.10000002</v>
      </c>
      <c r="BK336" s="8">
        <f t="shared" si="212"/>
        <v>574094950.29999995</v>
      </c>
      <c r="BL336" s="8">
        <f t="shared" si="213"/>
        <v>572590017.70000005</v>
      </c>
      <c r="BM336" s="8">
        <f t="shared" si="214"/>
        <v>568158836.70000005</v>
      </c>
      <c r="BN336" s="8">
        <f t="shared" si="215"/>
        <v>568158836.70000005</v>
      </c>
      <c r="BO336" s="8">
        <f t="shared" si="216"/>
        <v>556355076.89999998</v>
      </c>
      <c r="BP336" s="8">
        <f t="shared" si="217"/>
        <v>522091501.60000002</v>
      </c>
      <c r="BQ336" s="8">
        <f t="shared" si="218"/>
        <v>491982269.60000002</v>
      </c>
      <c r="BR336" s="8">
        <f t="shared" si="219"/>
        <v>312430016.5</v>
      </c>
      <c r="BS336" s="8">
        <f t="shared" si="207"/>
        <v>5335.8386920000003</v>
      </c>
      <c r="BT336" s="8">
        <f t="shared" si="210"/>
        <v>41.939630100000613</v>
      </c>
    </row>
    <row r="337" spans="1:72" x14ac:dyDescent="0.35">
      <c r="A337" t="s">
        <v>406</v>
      </c>
      <c r="B337">
        <v>2.62</v>
      </c>
      <c r="C337">
        <v>3.7</v>
      </c>
      <c r="D337">
        <v>4.42</v>
      </c>
      <c r="E337">
        <v>5.37</v>
      </c>
      <c r="F337">
        <v>6.36</v>
      </c>
      <c r="G337">
        <v>7.49</v>
      </c>
      <c r="H337">
        <v>8.99</v>
      </c>
      <c r="I337">
        <v>11.28</v>
      </c>
      <c r="J337">
        <v>15.08</v>
      </c>
      <c r="K337">
        <v>34.700000000000003</v>
      </c>
      <c r="L337">
        <f t="shared" si="224"/>
        <v>26.7</v>
      </c>
      <c r="M337">
        <f t="shared" si="225"/>
        <v>186029</v>
      </c>
      <c r="N337">
        <f t="shared" si="226"/>
        <v>2291.7206357476061</v>
      </c>
      <c r="O337">
        <f t="shared" ref="O337:O378" si="237">LOOKUP(A337,A$5:A$202,S$5:S$202)</f>
        <v>-6.0845408300078461</v>
      </c>
      <c r="P337" s="8">
        <f t="shared" si="221"/>
        <v>600.43080656587279</v>
      </c>
      <c r="Q337" s="8">
        <f t="shared" si="221"/>
        <v>847.93663522661427</v>
      </c>
      <c r="R337" s="8">
        <f t="shared" si="221"/>
        <v>1012.9405210004419</v>
      </c>
      <c r="S337" s="8">
        <f t="shared" si="221"/>
        <v>1230.6539813964646</v>
      </c>
      <c r="T337" s="8">
        <f t="shared" si="221"/>
        <v>1457.5343243354775</v>
      </c>
      <c r="U337" s="8">
        <f t="shared" si="221"/>
        <v>1716.4987561749572</v>
      </c>
      <c r="V337" s="8">
        <f t="shared" si="221"/>
        <v>2060.2568515370976</v>
      </c>
      <c r="W337" s="8">
        <f t="shared" si="221"/>
        <v>2585.0608771232996</v>
      </c>
      <c r="X337" s="8">
        <f t="shared" si="221"/>
        <v>3455.9147187073904</v>
      </c>
      <c r="Y337" s="8">
        <f t="shared" si="221"/>
        <v>7952.2706060441942</v>
      </c>
      <c r="Z337">
        <f t="shared" si="222"/>
        <v>6.3976474085127322</v>
      </c>
      <c r="AA337">
        <f t="shared" si="222"/>
        <v>6.7428059103899054</v>
      </c>
      <c r="AB337">
        <f t="shared" si="222"/>
        <v>6.9206127868293335</v>
      </c>
      <c r="AC337">
        <f t="shared" si="222"/>
        <v>7.1153009992604996</v>
      </c>
      <c r="AD337">
        <f t="shared" si="222"/>
        <v>7.284501468091757</v>
      </c>
      <c r="AE337">
        <f t="shared" si="220"/>
        <v>7.4480418882688548</v>
      </c>
      <c r="AF337">
        <f t="shared" si="220"/>
        <v>7.6305859392232547</v>
      </c>
      <c r="AG337">
        <f t="shared" si="220"/>
        <v>7.8575043368096393</v>
      </c>
      <c r="AH337">
        <f t="shared" si="220"/>
        <v>8.1478424533195373</v>
      </c>
      <c r="AI337">
        <f t="shared" si="220"/>
        <v>8.9812127776925408</v>
      </c>
      <c r="AJ337">
        <f t="shared" ref="AJ337:AJ378" si="238">$I$2*Z337</f>
        <v>11.664817724646449</v>
      </c>
      <c r="AK337">
        <f t="shared" si="227"/>
        <v>12.294144530802095</v>
      </c>
      <c r="AL337">
        <f t="shared" si="228"/>
        <v>12.618339453000351</v>
      </c>
      <c r="AM337">
        <f t="shared" si="229"/>
        <v>12.97331408134967</v>
      </c>
      <c r="AN337">
        <f t="shared" si="230"/>
        <v>13.281816957768765</v>
      </c>
      <c r="AO337">
        <f t="shared" si="231"/>
        <v>13.579999878796826</v>
      </c>
      <c r="AP337">
        <f t="shared" si="232"/>
        <v>13.912832081813882</v>
      </c>
      <c r="AQ337">
        <f t="shared" si="233"/>
        <v>14.326571942296342</v>
      </c>
      <c r="AR337">
        <f t="shared" si="234"/>
        <v>14.855944849452607</v>
      </c>
      <c r="AS337">
        <f t="shared" si="235"/>
        <v>16.375427295141254</v>
      </c>
      <c r="AT337">
        <f t="shared" si="236"/>
        <v>21.268438827712423</v>
      </c>
      <c r="AU337">
        <f t="shared" ref="AU337:AU378" si="239">O337-$I$2*SUMPRODUCT(Z337:AI337,P337:Y337)/SUM(P337:Y337)</f>
        <v>-20.749189730527846</v>
      </c>
      <c r="AV337" s="5">
        <f t="shared" si="223"/>
        <v>-9.0843720058813968</v>
      </c>
      <c r="AW337" s="5">
        <f t="shared" si="223"/>
        <v>-8.4550451997257507</v>
      </c>
      <c r="AX337" s="5">
        <f t="shared" si="223"/>
        <v>-8.1308502775274949</v>
      </c>
      <c r="AY337" s="5">
        <f t="shared" si="223"/>
        <v>-7.7758756491781753</v>
      </c>
      <c r="AZ337" s="5">
        <f t="shared" si="223"/>
        <v>-7.4673727727590808</v>
      </c>
      <c r="BA337" s="5">
        <f t="shared" si="223"/>
        <v>-7.1691898517310193</v>
      </c>
      <c r="BB337" s="5">
        <f t="shared" si="223"/>
        <v>-6.8363576487139639</v>
      </c>
      <c r="BC337" s="5">
        <f t="shared" si="223"/>
        <v>-6.4226177882315039</v>
      </c>
      <c r="BD337" s="5">
        <f t="shared" si="223"/>
        <v>-5.8932448810752387</v>
      </c>
      <c r="BE337" s="5">
        <f t="shared" si="223"/>
        <v>-4.3737624353865918</v>
      </c>
      <c r="BG337" s="1"/>
      <c r="BH337" s="1">
        <f t="shared" si="199"/>
        <v>3.1000000000000014</v>
      </c>
      <c r="BI337" s="8">
        <f t="shared" si="208"/>
        <v>596282965.89999998</v>
      </c>
      <c r="BJ337" s="8">
        <f t="shared" si="211"/>
        <v>574893360.10000002</v>
      </c>
      <c r="BK337" s="8">
        <f t="shared" si="212"/>
        <v>574094950.29999995</v>
      </c>
      <c r="BL337" s="8">
        <f t="shared" si="213"/>
        <v>573962140.79999995</v>
      </c>
      <c r="BM337" s="8">
        <f t="shared" si="214"/>
        <v>568301829.79999995</v>
      </c>
      <c r="BN337" s="8">
        <f t="shared" si="215"/>
        <v>568158836.70000005</v>
      </c>
      <c r="BO337" s="8">
        <f t="shared" si="216"/>
        <v>567830154.70000005</v>
      </c>
      <c r="BP337" s="8">
        <f t="shared" si="217"/>
        <v>542080053.10000002</v>
      </c>
      <c r="BQ337" s="8">
        <f t="shared" si="218"/>
        <v>494112126.10000002</v>
      </c>
      <c r="BR337" s="8">
        <f t="shared" si="219"/>
        <v>450625557.30000001</v>
      </c>
      <c r="BS337" s="8">
        <f t="shared" si="207"/>
        <v>5510.3419748000006</v>
      </c>
      <c r="BT337" s="8">
        <f t="shared" si="210"/>
        <v>174.50328280000031</v>
      </c>
    </row>
    <row r="338" spans="1:72" x14ac:dyDescent="0.35">
      <c r="A338" t="s">
        <v>403</v>
      </c>
      <c r="B338">
        <v>3.5</v>
      </c>
      <c r="C338">
        <v>4.88</v>
      </c>
      <c r="D338">
        <v>5.87</v>
      </c>
      <c r="E338">
        <v>6.87</v>
      </c>
      <c r="F338">
        <v>7.8500000000000005</v>
      </c>
      <c r="G338">
        <v>8.98</v>
      </c>
      <c r="H338">
        <v>10.4</v>
      </c>
      <c r="I338">
        <v>12.16</v>
      </c>
      <c r="J338">
        <v>15.31</v>
      </c>
      <c r="K338">
        <v>24.18</v>
      </c>
      <c r="L338">
        <f t="shared" si="224"/>
        <v>23.7</v>
      </c>
      <c r="M338">
        <f t="shared" si="225"/>
        <v>178228</v>
      </c>
      <c r="N338">
        <f t="shared" si="226"/>
        <v>942.19892453235764</v>
      </c>
      <c r="O338">
        <f t="shared" si="237"/>
        <v>-6.5893826313477284</v>
      </c>
      <c r="P338" s="8">
        <f t="shared" si="221"/>
        <v>329.76962358632517</v>
      </c>
      <c r="Q338" s="8">
        <f t="shared" si="221"/>
        <v>459.79307517179052</v>
      </c>
      <c r="R338" s="8">
        <f t="shared" si="221"/>
        <v>553.070768700494</v>
      </c>
      <c r="S338" s="8">
        <f t="shared" si="221"/>
        <v>647.29066115372973</v>
      </c>
      <c r="T338" s="8">
        <f t="shared" si="221"/>
        <v>739.62615575790073</v>
      </c>
      <c r="U338" s="8">
        <f t="shared" si="221"/>
        <v>846.0946342300573</v>
      </c>
      <c r="V338" s="8">
        <f t="shared" si="221"/>
        <v>979.88688151365204</v>
      </c>
      <c r="W338" s="8">
        <f t="shared" si="221"/>
        <v>1145.7138922313468</v>
      </c>
      <c r="X338" s="8">
        <f t="shared" si="221"/>
        <v>1442.5065534590397</v>
      </c>
      <c r="Y338" s="8">
        <f t="shared" si="221"/>
        <v>2278.2369995192407</v>
      </c>
      <c r="Z338">
        <f t="shared" si="222"/>
        <v>5.7983943003235607</v>
      </c>
      <c r="AA338">
        <f t="shared" si="222"/>
        <v>6.1307765516932484</v>
      </c>
      <c r="AB338">
        <f t="shared" si="222"/>
        <v>6.3154859656681985</v>
      </c>
      <c r="AC338">
        <f t="shared" si="222"/>
        <v>6.4727954380624508</v>
      </c>
      <c r="AD338">
        <f t="shared" si="222"/>
        <v>6.60614486362251</v>
      </c>
      <c r="AE338">
        <f t="shared" si="220"/>
        <v>6.7406312141423017</v>
      </c>
      <c r="AF338">
        <f t="shared" si="220"/>
        <v>6.8874371379755202</v>
      </c>
      <c r="AG338">
        <f t="shared" si="220"/>
        <v>7.0437832083662135</v>
      </c>
      <c r="AH338">
        <f t="shared" si="220"/>
        <v>7.2741375414977858</v>
      </c>
      <c r="AI338">
        <f t="shared" si="220"/>
        <v>7.7311571770148397</v>
      </c>
      <c r="AJ338">
        <f t="shared" si="238"/>
        <v>10.572200730991348</v>
      </c>
      <c r="AK338">
        <f t="shared" si="227"/>
        <v>11.178232625149198</v>
      </c>
      <c r="AL338">
        <f t="shared" si="228"/>
        <v>11.515012930230895</v>
      </c>
      <c r="AM338">
        <f t="shared" si="229"/>
        <v>11.801834976628392</v>
      </c>
      <c r="AN338">
        <f t="shared" si="230"/>
        <v>12.044970717553197</v>
      </c>
      <c r="AO338">
        <f t="shared" si="231"/>
        <v>12.290179411483232</v>
      </c>
      <c r="AP338">
        <f t="shared" si="232"/>
        <v>12.557850358796491</v>
      </c>
      <c r="AQ338">
        <f t="shared" si="233"/>
        <v>12.842915836247702</v>
      </c>
      <c r="AR338">
        <f t="shared" si="234"/>
        <v>13.262920431137831</v>
      </c>
      <c r="AS338">
        <f t="shared" si="235"/>
        <v>14.096203418536804</v>
      </c>
      <c r="AT338">
        <f t="shared" si="236"/>
        <v>19.276272448415064</v>
      </c>
      <c r="AU338">
        <f t="shared" si="239"/>
        <v>-19.347543151029704</v>
      </c>
      <c r="AV338" s="5">
        <f t="shared" si="223"/>
        <v>-8.7753424200383563</v>
      </c>
      <c r="AW338" s="5">
        <f t="shared" si="223"/>
        <v>-8.1693105258805065</v>
      </c>
      <c r="AX338" s="5">
        <f t="shared" si="223"/>
        <v>-7.8325302207988088</v>
      </c>
      <c r="AY338" s="5">
        <f t="shared" si="223"/>
        <v>-7.5457081744013124</v>
      </c>
      <c r="AZ338" s="5">
        <f t="shared" si="223"/>
        <v>-7.3025724334765076</v>
      </c>
      <c r="BA338" s="5">
        <f t="shared" si="223"/>
        <v>-7.0573637395464726</v>
      </c>
      <c r="BB338" s="5">
        <f t="shared" si="223"/>
        <v>-6.7896927922332129</v>
      </c>
      <c r="BC338" s="5">
        <f t="shared" si="223"/>
        <v>-6.5046273147820024</v>
      </c>
      <c r="BD338" s="5">
        <f t="shared" si="223"/>
        <v>-6.0846227198918736</v>
      </c>
      <c r="BE338" s="5">
        <f t="shared" si="223"/>
        <v>-5.2513397324928999</v>
      </c>
      <c r="BG338" s="1"/>
      <c r="BH338" s="1">
        <f t="shared" si="199"/>
        <v>3.2000000000000015</v>
      </c>
      <c r="BI338" s="8">
        <f t="shared" si="208"/>
        <v>627215588.39999998</v>
      </c>
      <c r="BJ338" s="8">
        <f t="shared" si="211"/>
        <v>578406471.79999995</v>
      </c>
      <c r="BK338" s="8">
        <f t="shared" si="212"/>
        <v>574094950.29999995</v>
      </c>
      <c r="BL338" s="8">
        <f t="shared" si="213"/>
        <v>574094950.29999995</v>
      </c>
      <c r="BM338" s="8">
        <f t="shared" si="214"/>
        <v>572148237.70000005</v>
      </c>
      <c r="BN338" s="8">
        <f t="shared" si="215"/>
        <v>568158836.70000005</v>
      </c>
      <c r="BO338" s="8">
        <f t="shared" si="216"/>
        <v>568158836.70000005</v>
      </c>
      <c r="BP338" s="8">
        <f t="shared" si="217"/>
        <v>556578977.70000005</v>
      </c>
      <c r="BQ338" s="8">
        <f t="shared" si="218"/>
        <v>515776941.60000002</v>
      </c>
      <c r="BR338" s="8">
        <f t="shared" si="219"/>
        <v>460552700.10000002</v>
      </c>
      <c r="BS338" s="8">
        <f t="shared" si="207"/>
        <v>5595.1864912999999</v>
      </c>
      <c r="BT338" s="8">
        <f t="shared" si="210"/>
        <v>84.844516499999372</v>
      </c>
    </row>
    <row r="339" spans="1:72" x14ac:dyDescent="0.35">
      <c r="A339" t="s">
        <v>184</v>
      </c>
      <c r="B339">
        <v>2.3000000000000003</v>
      </c>
      <c r="C339">
        <v>3.7600000000000002</v>
      </c>
      <c r="D339">
        <v>4.68</v>
      </c>
      <c r="E339">
        <v>5.67</v>
      </c>
      <c r="F339">
        <v>6.8500000000000005</v>
      </c>
      <c r="G339">
        <v>8.11</v>
      </c>
      <c r="H339">
        <v>9.65</v>
      </c>
      <c r="I339">
        <v>12.05</v>
      </c>
      <c r="J339">
        <v>15.88</v>
      </c>
      <c r="K339">
        <v>31.05</v>
      </c>
      <c r="L339">
        <f t="shared" si="224"/>
        <v>27.8</v>
      </c>
      <c r="M339">
        <f t="shared" si="225"/>
        <v>12950564</v>
      </c>
      <c r="N339">
        <f t="shared" si="226"/>
        <v>800.43110309607573</v>
      </c>
      <c r="O339">
        <f t="shared" si="237"/>
        <v>-8.4116019963327862</v>
      </c>
      <c r="P339" s="8">
        <f t="shared" si="221"/>
        <v>184.09915371209746</v>
      </c>
      <c r="Q339" s="8">
        <f t="shared" si="221"/>
        <v>300.96209476412452</v>
      </c>
      <c r="R339" s="8">
        <f t="shared" si="221"/>
        <v>374.6017562489634</v>
      </c>
      <c r="S339" s="8">
        <f t="shared" si="221"/>
        <v>453.84443545547492</v>
      </c>
      <c r="T339" s="8">
        <f t="shared" si="221"/>
        <v>548.29530562081186</v>
      </c>
      <c r="U339" s="8">
        <f t="shared" si="221"/>
        <v>649.14962461091739</v>
      </c>
      <c r="V339" s="8">
        <f t="shared" si="221"/>
        <v>772.41601448771303</v>
      </c>
      <c r="W339" s="8">
        <f t="shared" si="221"/>
        <v>964.51947923077137</v>
      </c>
      <c r="X339" s="8">
        <f t="shared" si="221"/>
        <v>1271.0845917165684</v>
      </c>
      <c r="Y339" s="8">
        <f t="shared" si="221"/>
        <v>2485.3385751133151</v>
      </c>
      <c r="Z339">
        <f t="shared" si="222"/>
        <v>5.2154744913360025</v>
      </c>
      <c r="AA339">
        <f t="shared" si="222"/>
        <v>5.7069843258027015</v>
      </c>
      <c r="AB339">
        <f t="shared" si="222"/>
        <v>5.925863478330454</v>
      </c>
      <c r="AC339">
        <f t="shared" si="222"/>
        <v>6.1177544861405595</v>
      </c>
      <c r="AD339">
        <f t="shared" si="222"/>
        <v>6.3068140206750325</v>
      </c>
      <c r="AE339">
        <f t="shared" si="220"/>
        <v>6.4756632365282201</v>
      </c>
      <c r="AF339">
        <f t="shared" si="220"/>
        <v>6.649523283751793</v>
      </c>
      <c r="AG339">
        <f t="shared" si="220"/>
        <v>6.8716300283375631</v>
      </c>
      <c r="AH339">
        <f t="shared" si="220"/>
        <v>7.1476258242198885</v>
      </c>
      <c r="AI339">
        <f t="shared" si="220"/>
        <v>7.8181641767803862</v>
      </c>
      <c r="AJ339">
        <f t="shared" si="238"/>
        <v>9.5093642091039516</v>
      </c>
      <c r="AK339">
        <f t="shared" si="227"/>
        <v>10.405533107267415</v>
      </c>
      <c r="AL339">
        <f t="shared" si="228"/>
        <v>10.804615028312961</v>
      </c>
      <c r="AM339">
        <f t="shared" si="229"/>
        <v>11.15448951907111</v>
      </c>
      <c r="AN339">
        <f t="shared" si="230"/>
        <v>11.499201390268746</v>
      </c>
      <c r="AO339">
        <f t="shared" si="231"/>
        <v>11.807063827835432</v>
      </c>
      <c r="AP339">
        <f t="shared" si="232"/>
        <v>12.124062504218077</v>
      </c>
      <c r="AQ339">
        <f t="shared" si="233"/>
        <v>12.529029287407823</v>
      </c>
      <c r="AR339">
        <f t="shared" si="234"/>
        <v>13.032251870048475</v>
      </c>
      <c r="AS339">
        <f t="shared" si="235"/>
        <v>14.254843107195326</v>
      </c>
      <c r="AT339">
        <f t="shared" si="236"/>
        <v>17.338404743730816</v>
      </c>
      <c r="AU339">
        <f t="shared" si="239"/>
        <v>-21.080299571240204</v>
      </c>
      <c r="AV339" s="5">
        <f t="shared" si="223"/>
        <v>-11.570935362136252</v>
      </c>
      <c r="AW339" s="5">
        <f t="shared" si="223"/>
        <v>-10.674766463972789</v>
      </c>
      <c r="AX339" s="5">
        <f t="shared" si="223"/>
        <v>-10.275684542927243</v>
      </c>
      <c r="AY339" s="5">
        <f t="shared" si="223"/>
        <v>-9.9258100521690942</v>
      </c>
      <c r="AZ339" s="5">
        <f t="shared" si="223"/>
        <v>-9.5810981809714573</v>
      </c>
      <c r="BA339" s="5">
        <f t="shared" si="223"/>
        <v>-9.2732357434047721</v>
      </c>
      <c r="BB339" s="5">
        <f t="shared" si="223"/>
        <v>-8.9562370670221263</v>
      </c>
      <c r="BC339" s="5">
        <f t="shared" si="223"/>
        <v>-8.5512702838323804</v>
      </c>
      <c r="BD339" s="5">
        <f t="shared" si="223"/>
        <v>-8.0480477011917291</v>
      </c>
      <c r="BE339" s="5">
        <f t="shared" si="223"/>
        <v>-6.825456464044878</v>
      </c>
      <c r="BG339" s="1"/>
      <c r="BH339" s="1">
        <f t="shared" si="199"/>
        <v>3.3000000000000016</v>
      </c>
      <c r="BI339" s="8">
        <f t="shared" si="208"/>
        <v>632834773.10000002</v>
      </c>
      <c r="BJ339" s="8">
        <f t="shared" si="211"/>
        <v>579537222</v>
      </c>
      <c r="BK339" s="8">
        <f t="shared" si="212"/>
        <v>575257298</v>
      </c>
      <c r="BL339" s="8">
        <f t="shared" si="213"/>
        <v>574094950.29999995</v>
      </c>
      <c r="BM339" s="8">
        <f t="shared" si="214"/>
        <v>573590020</v>
      </c>
      <c r="BN339" s="8">
        <f t="shared" si="215"/>
        <v>572120198.10000002</v>
      </c>
      <c r="BO339" s="8">
        <f t="shared" si="216"/>
        <v>568158836.70000005</v>
      </c>
      <c r="BP339" s="8">
        <f t="shared" si="217"/>
        <v>567830154.70000005</v>
      </c>
      <c r="BQ339" s="8">
        <f t="shared" si="218"/>
        <v>533885526.80000001</v>
      </c>
      <c r="BR339" s="8">
        <f t="shared" si="219"/>
        <v>475429057.5</v>
      </c>
      <c r="BS339" s="8">
        <f t="shared" si="207"/>
        <v>5652.7380371999998</v>
      </c>
      <c r="BT339" s="8">
        <f t="shared" si="210"/>
        <v>57.551545899999837</v>
      </c>
    </row>
    <row r="340" spans="1:72" x14ac:dyDescent="0.35">
      <c r="A340" t="s">
        <v>234</v>
      </c>
      <c r="B340">
        <v>1.2</v>
      </c>
      <c r="C340">
        <v>3.6</v>
      </c>
      <c r="D340">
        <v>5</v>
      </c>
      <c r="E340">
        <v>6.4</v>
      </c>
      <c r="F340">
        <v>7.8</v>
      </c>
      <c r="G340">
        <v>9.3000000000000007</v>
      </c>
      <c r="H340">
        <v>11</v>
      </c>
      <c r="I340">
        <v>12.9</v>
      </c>
      <c r="J340">
        <v>15.6</v>
      </c>
      <c r="K340">
        <v>27.2</v>
      </c>
      <c r="L340">
        <f t="shared" si="224"/>
        <v>9.9</v>
      </c>
      <c r="M340">
        <f t="shared" si="225"/>
        <v>7291436</v>
      </c>
      <c r="N340">
        <f t="shared" si="226"/>
        <v>3823.2204030260514</v>
      </c>
      <c r="O340">
        <f t="shared" si="237"/>
        <v>1.0969821783484424</v>
      </c>
      <c r="P340" s="8">
        <f t="shared" si="221"/>
        <v>458.78644836312617</v>
      </c>
      <c r="Q340" s="8">
        <f t="shared" si="221"/>
        <v>1376.3593450893784</v>
      </c>
      <c r="R340" s="8">
        <f t="shared" si="221"/>
        <v>1911.6102015130259</v>
      </c>
      <c r="S340" s="8">
        <f t="shared" si="221"/>
        <v>2446.8610579366732</v>
      </c>
      <c r="T340" s="8">
        <f t="shared" si="221"/>
        <v>2982.11191436032</v>
      </c>
      <c r="U340" s="8">
        <f t="shared" si="221"/>
        <v>3555.594974814228</v>
      </c>
      <c r="V340" s="8">
        <f t="shared" si="221"/>
        <v>4205.5424433286562</v>
      </c>
      <c r="W340" s="8">
        <f t="shared" si="221"/>
        <v>4931.954319903607</v>
      </c>
      <c r="X340" s="8">
        <f t="shared" si="221"/>
        <v>5964.2238287206401</v>
      </c>
      <c r="Y340" s="8">
        <f t="shared" si="221"/>
        <v>10399.159496230859</v>
      </c>
      <c r="Z340">
        <f t="shared" si="222"/>
        <v>6.1285848476854339</v>
      </c>
      <c r="AA340">
        <f t="shared" si="222"/>
        <v>7.227197136353543</v>
      </c>
      <c r="AB340">
        <f t="shared" si="222"/>
        <v>7.5557012033255795</v>
      </c>
      <c r="AC340">
        <f t="shared" si="222"/>
        <v>7.8025612812571055</v>
      </c>
      <c r="AD340">
        <f t="shared" si="222"/>
        <v>8.0003870245870257</v>
      </c>
      <c r="AE340">
        <f t="shared" si="220"/>
        <v>8.1762776910506894</v>
      </c>
      <c r="AF340">
        <f t="shared" si="220"/>
        <v>8.3441585636898488</v>
      </c>
      <c r="AG340">
        <f t="shared" si="220"/>
        <v>8.5034906022591059</v>
      </c>
      <c r="AH340">
        <f t="shared" si="220"/>
        <v>8.6935342051469711</v>
      </c>
      <c r="AI340">
        <f t="shared" si="220"/>
        <v>9.2494802641934299</v>
      </c>
      <c r="AJ340">
        <f t="shared" si="238"/>
        <v>11.174236495615157</v>
      </c>
      <c r="AK340">
        <f t="shared" si="227"/>
        <v>13.177334084319142</v>
      </c>
      <c r="AL340">
        <f t="shared" si="228"/>
        <v>13.776294892621124</v>
      </c>
      <c r="AM340">
        <f t="shared" si="229"/>
        <v>14.226394378993518</v>
      </c>
      <c r="AN340">
        <f t="shared" si="230"/>
        <v>14.587089661155476</v>
      </c>
      <c r="AO340">
        <f t="shared" si="231"/>
        <v>14.90779076153734</v>
      </c>
      <c r="AP340">
        <f t="shared" si="232"/>
        <v>15.213887620858575</v>
      </c>
      <c r="AQ340">
        <f t="shared" si="233"/>
        <v>15.504397408117825</v>
      </c>
      <c r="AR340">
        <f t="shared" si="234"/>
        <v>15.850903529176064</v>
      </c>
      <c r="AS340">
        <f t="shared" si="235"/>
        <v>16.864558866743351</v>
      </c>
      <c r="AT340">
        <f t="shared" si="236"/>
        <v>20.373963053982123</v>
      </c>
      <c r="AU340">
        <f t="shared" si="239"/>
        <v>-14.368510072161467</v>
      </c>
      <c r="AV340" s="5">
        <f t="shared" si="223"/>
        <v>-3.1942735765463102</v>
      </c>
      <c r="AW340" s="5">
        <f t="shared" si="223"/>
        <v>-1.1911759878423247</v>
      </c>
      <c r="AX340" s="5">
        <f t="shared" si="223"/>
        <v>-0.59221517954034297</v>
      </c>
      <c r="AY340" s="5">
        <f t="shared" si="223"/>
        <v>-0.14211569316794836</v>
      </c>
      <c r="AZ340" s="5">
        <f t="shared" si="223"/>
        <v>0.2185795889940092</v>
      </c>
      <c r="BA340" s="5">
        <f t="shared" si="223"/>
        <v>0.53928068937587348</v>
      </c>
      <c r="BB340" s="5">
        <f t="shared" si="223"/>
        <v>0.84537754869710824</v>
      </c>
      <c r="BC340" s="5">
        <f t="shared" si="223"/>
        <v>1.1358873359563582</v>
      </c>
      <c r="BD340" s="5">
        <f t="shared" si="223"/>
        <v>1.4823934570145969</v>
      </c>
      <c r="BE340" s="5">
        <f t="shared" si="223"/>
        <v>2.4960487945818848</v>
      </c>
      <c r="BG340" s="1"/>
      <c r="BH340" s="1">
        <f t="shared" si="199"/>
        <v>3.4000000000000017</v>
      </c>
      <c r="BI340" s="8">
        <f t="shared" si="208"/>
        <v>647239583.79999995</v>
      </c>
      <c r="BJ340" s="8">
        <f t="shared" si="211"/>
        <v>589290177.39999998</v>
      </c>
      <c r="BK340" s="8">
        <f t="shared" si="212"/>
        <v>577668002</v>
      </c>
      <c r="BL340" s="8">
        <f t="shared" si="213"/>
        <v>575146929.5</v>
      </c>
      <c r="BM340" s="8">
        <f t="shared" si="214"/>
        <v>573722829.5</v>
      </c>
      <c r="BN340" s="8">
        <f t="shared" si="215"/>
        <v>573590020</v>
      </c>
      <c r="BO340" s="8">
        <f t="shared" si="216"/>
        <v>571986182</v>
      </c>
      <c r="BP340" s="8">
        <f t="shared" si="217"/>
        <v>568158836.70000005</v>
      </c>
      <c r="BQ340" s="8">
        <f t="shared" si="218"/>
        <v>542303953.89999998</v>
      </c>
      <c r="BR340" s="8">
        <f t="shared" si="219"/>
        <v>481749352.19999999</v>
      </c>
      <c r="BS340" s="8">
        <f t="shared" si="207"/>
        <v>5700.8558669999993</v>
      </c>
      <c r="BT340" s="8">
        <f t="shared" si="210"/>
        <v>48.117829799999527</v>
      </c>
    </row>
    <row r="341" spans="1:72" x14ac:dyDescent="0.35">
      <c r="A341" t="s">
        <v>407</v>
      </c>
      <c r="B341">
        <v>1.9000000000000001</v>
      </c>
      <c r="C341">
        <v>3.52</v>
      </c>
      <c r="D341">
        <v>4.47</v>
      </c>
      <c r="E341">
        <v>5.3100000000000005</v>
      </c>
      <c r="F341">
        <v>6.16</v>
      </c>
      <c r="G341">
        <v>7.17</v>
      </c>
      <c r="H341">
        <v>8.39</v>
      </c>
      <c r="I341">
        <v>10.050000000000001</v>
      </c>
      <c r="J341">
        <v>13.15</v>
      </c>
      <c r="K341">
        <v>39.880000000000003</v>
      </c>
      <c r="L341">
        <f t="shared" si="224"/>
        <v>27.1</v>
      </c>
      <c r="M341">
        <f t="shared" si="225"/>
        <v>89770</v>
      </c>
      <c r="N341">
        <f t="shared" si="226"/>
        <v>12645.084724908209</v>
      </c>
      <c r="O341">
        <f t="shared" si="237"/>
        <v>-3.1191813095860343</v>
      </c>
      <c r="P341" s="8">
        <f t="shared" si="221"/>
        <v>2402.5660977325597</v>
      </c>
      <c r="Q341" s="8">
        <f t="shared" si="221"/>
        <v>4451.0698231676897</v>
      </c>
      <c r="R341" s="8">
        <f t="shared" si="221"/>
        <v>5652.3528720339691</v>
      </c>
      <c r="S341" s="8">
        <f t="shared" si="221"/>
        <v>6714.5399889262599</v>
      </c>
      <c r="T341" s="8">
        <f t="shared" si="221"/>
        <v>7789.3721905434559</v>
      </c>
      <c r="U341" s="8">
        <f t="shared" si="221"/>
        <v>9066.5257477591858</v>
      </c>
      <c r="V341" s="8">
        <f t="shared" si="221"/>
        <v>10609.226084197988</v>
      </c>
      <c r="W341" s="8">
        <f t="shared" si="221"/>
        <v>12708.310148532752</v>
      </c>
      <c r="X341" s="8">
        <f t="shared" si="221"/>
        <v>16628.286413254296</v>
      </c>
      <c r="Y341" s="8">
        <f t="shared" si="221"/>
        <v>50428.597882933936</v>
      </c>
      <c r="Z341">
        <f t="shared" si="222"/>
        <v>7.7842926525294978</v>
      </c>
      <c r="AA341">
        <f t="shared" si="222"/>
        <v>8.4008997559671084</v>
      </c>
      <c r="AB341">
        <f t="shared" si="222"/>
        <v>8.6398271749825799</v>
      </c>
      <c r="AC341">
        <f t="shared" si="222"/>
        <v>8.8120306016109513</v>
      </c>
      <c r="AD341">
        <f t="shared" si="222"/>
        <v>8.960515543902531</v>
      </c>
      <c r="AE341">
        <f t="shared" si="220"/>
        <v>9.1123444209686326</v>
      </c>
      <c r="AF341">
        <f t="shared" si="220"/>
        <v>9.2694792868362175</v>
      </c>
      <c r="AG341">
        <f t="shared" si="220"/>
        <v>9.4500114008621878</v>
      </c>
      <c r="AH341">
        <f t="shared" si="220"/>
        <v>9.7188605249808777</v>
      </c>
      <c r="AI341">
        <f t="shared" si="220"/>
        <v>10.828313711450742</v>
      </c>
      <c r="AJ341">
        <f t="shared" si="238"/>
        <v>14.193085224771728</v>
      </c>
      <c r="AK341">
        <f t="shared" si="227"/>
        <v>15.317343723255318</v>
      </c>
      <c r="AL341">
        <f t="shared" si="228"/>
        <v>15.752979608491389</v>
      </c>
      <c r="AM341">
        <f t="shared" si="229"/>
        <v>16.066957771856046</v>
      </c>
      <c r="AN341">
        <f t="shared" si="230"/>
        <v>16.337690070166399</v>
      </c>
      <c r="AO341">
        <f t="shared" si="231"/>
        <v>16.614519358063266</v>
      </c>
      <c r="AP341">
        <f t="shared" si="232"/>
        <v>16.901023044729904</v>
      </c>
      <c r="AQ341">
        <f t="shared" si="233"/>
        <v>17.230186887169225</v>
      </c>
      <c r="AR341">
        <f t="shared" si="234"/>
        <v>17.720378957476584</v>
      </c>
      <c r="AS341">
        <f t="shared" si="235"/>
        <v>19.743242733460715</v>
      </c>
      <c r="AT341">
        <f t="shared" si="236"/>
        <v>25.878223904155846</v>
      </c>
      <c r="AU341">
        <f t="shared" si="239"/>
        <v>-21.036461471021447</v>
      </c>
      <c r="AV341" s="5">
        <f t="shared" si="223"/>
        <v>-6.8433762462497185</v>
      </c>
      <c r="AW341" s="5">
        <f t="shared" si="223"/>
        <v>-5.7191177477661288</v>
      </c>
      <c r="AX341" s="5">
        <f t="shared" si="223"/>
        <v>-5.2834818625300581</v>
      </c>
      <c r="AY341" s="5">
        <f t="shared" si="223"/>
        <v>-4.9695036991654007</v>
      </c>
      <c r="AZ341" s="5">
        <f t="shared" si="223"/>
        <v>-4.6987714008550476</v>
      </c>
      <c r="BA341" s="5">
        <f t="shared" si="223"/>
        <v>-4.4219421129581811</v>
      </c>
      <c r="BB341" s="5">
        <f t="shared" si="223"/>
        <v>-4.1354384262915431</v>
      </c>
      <c r="BC341" s="5">
        <f t="shared" si="223"/>
        <v>-3.8062745838522218</v>
      </c>
      <c r="BD341" s="5">
        <f t="shared" si="223"/>
        <v>-3.3160825135448633</v>
      </c>
      <c r="BE341" s="5">
        <f t="shared" si="223"/>
        <v>-1.293218737560732</v>
      </c>
      <c r="BG341" s="1"/>
      <c r="BH341" s="1">
        <f t="shared" si="199"/>
        <v>3.5000000000000018</v>
      </c>
      <c r="BI341" s="8">
        <f t="shared" si="208"/>
        <v>647239583.79999995</v>
      </c>
      <c r="BJ341" s="8">
        <f t="shared" si="211"/>
        <v>589797847.39999998</v>
      </c>
      <c r="BK341" s="8">
        <f t="shared" si="212"/>
        <v>578406471.79999995</v>
      </c>
      <c r="BL341" s="8">
        <f t="shared" si="213"/>
        <v>575841907.39999998</v>
      </c>
      <c r="BM341" s="8">
        <f t="shared" si="214"/>
        <v>574774808.70000005</v>
      </c>
      <c r="BN341" s="8">
        <f t="shared" si="215"/>
        <v>573590020</v>
      </c>
      <c r="BO341" s="8">
        <f t="shared" si="216"/>
        <v>573590020</v>
      </c>
      <c r="BP341" s="8">
        <f t="shared" si="217"/>
        <v>568158836.70000005</v>
      </c>
      <c r="BQ341" s="8">
        <f t="shared" si="218"/>
        <v>543075261.29999995</v>
      </c>
      <c r="BR341" s="8">
        <f t="shared" si="219"/>
        <v>487292660.19999999</v>
      </c>
      <c r="BS341" s="8">
        <f t="shared" si="207"/>
        <v>5711.7674172999996</v>
      </c>
      <c r="BT341" s="8">
        <f t="shared" si="210"/>
        <v>10.911550300000272</v>
      </c>
    </row>
    <row r="342" spans="1:72" x14ac:dyDescent="0.35">
      <c r="A342" t="s">
        <v>185</v>
      </c>
      <c r="B342">
        <v>3.2600000000000002</v>
      </c>
      <c r="C342">
        <v>4.6500000000000004</v>
      </c>
      <c r="D342">
        <v>5.5200000000000005</v>
      </c>
      <c r="E342">
        <v>6.42</v>
      </c>
      <c r="F342">
        <v>7.3500000000000005</v>
      </c>
      <c r="G342">
        <v>8.48</v>
      </c>
      <c r="H342">
        <v>9.9</v>
      </c>
      <c r="I342">
        <v>12.040000000000001</v>
      </c>
      <c r="J342">
        <v>15.51</v>
      </c>
      <c r="K342">
        <v>26.88</v>
      </c>
      <c r="L342">
        <f t="shared" si="224"/>
        <v>26</v>
      </c>
      <c r="M342">
        <f t="shared" si="225"/>
        <v>5751976</v>
      </c>
      <c r="N342">
        <f t="shared" si="226"/>
        <v>370.43813687539563</v>
      </c>
      <c r="O342">
        <f t="shared" si="237"/>
        <v>-9.1469185113388196</v>
      </c>
      <c r="P342" s="8">
        <f t="shared" si="221"/>
        <v>120.76283262137899</v>
      </c>
      <c r="Q342" s="8">
        <f t="shared" si="221"/>
        <v>172.25373364705897</v>
      </c>
      <c r="R342" s="8">
        <f t="shared" si="221"/>
        <v>204.48185155521838</v>
      </c>
      <c r="S342" s="8">
        <f t="shared" si="221"/>
        <v>237.821283874004</v>
      </c>
      <c r="T342" s="8">
        <f t="shared" si="221"/>
        <v>272.27203060341583</v>
      </c>
      <c r="U342" s="8">
        <f t="shared" si="221"/>
        <v>314.13154007033552</v>
      </c>
      <c r="V342" s="8">
        <f t="shared" si="221"/>
        <v>366.73375550664167</v>
      </c>
      <c r="W342" s="8">
        <f t="shared" si="221"/>
        <v>446.00751679797639</v>
      </c>
      <c r="X342" s="8">
        <f t="shared" si="221"/>
        <v>574.54955029373855</v>
      </c>
      <c r="Y342" s="8">
        <f t="shared" si="221"/>
        <v>995.73771192106346</v>
      </c>
      <c r="Z342">
        <f t="shared" si="222"/>
        <v>4.7938285611831031</v>
      </c>
      <c r="AA342">
        <f t="shared" si="222"/>
        <v>5.1489685854037521</v>
      </c>
      <c r="AB342">
        <f t="shared" si="222"/>
        <v>5.3204792260934912</v>
      </c>
      <c r="AC342">
        <f t="shared" si="222"/>
        <v>5.4715194835063565</v>
      </c>
      <c r="AD342">
        <f t="shared" si="222"/>
        <v>5.6068016790292328</v>
      </c>
      <c r="AE342">
        <f t="shared" si="220"/>
        <v>5.7498118156082985</v>
      </c>
      <c r="AF342">
        <f t="shared" si="220"/>
        <v>5.904636122945031</v>
      </c>
      <c r="AG342">
        <f t="shared" si="220"/>
        <v>6.1003358056851624</v>
      </c>
      <c r="AH342">
        <f t="shared" si="220"/>
        <v>6.3535863429929345</v>
      </c>
      <c r="AI342">
        <f t="shared" si="220"/>
        <v>6.9034838814594357</v>
      </c>
      <c r="AJ342">
        <f t="shared" si="238"/>
        <v>8.7405780279480307</v>
      </c>
      <c r="AK342">
        <f t="shared" si="227"/>
        <v>9.3881041238294909</v>
      </c>
      <c r="AL342">
        <f t="shared" si="228"/>
        <v>9.700819131977811</v>
      </c>
      <c r="AM342">
        <f t="shared" si="229"/>
        <v>9.9762105312381735</v>
      </c>
      <c r="AN342">
        <f t="shared" si="230"/>
        <v>10.222870287770643</v>
      </c>
      <c r="AO342">
        <f t="shared" si="231"/>
        <v>10.48362038377498</v>
      </c>
      <c r="AP342">
        <f t="shared" si="232"/>
        <v>10.76591123369343</v>
      </c>
      <c r="AQ342">
        <f t="shared" si="233"/>
        <v>11.122730073834147</v>
      </c>
      <c r="AR342">
        <f t="shared" si="234"/>
        <v>11.584481272006332</v>
      </c>
      <c r="AS342">
        <f t="shared" si="235"/>
        <v>12.587108354097227</v>
      </c>
      <c r="AT342">
        <f t="shared" si="236"/>
        <v>15.936678437201589</v>
      </c>
      <c r="AU342">
        <f t="shared" si="239"/>
        <v>-20.268815597880071</v>
      </c>
      <c r="AV342" s="5">
        <f t="shared" si="223"/>
        <v>-11.52823756993204</v>
      </c>
      <c r="AW342" s="5">
        <f t="shared" si="223"/>
        <v>-10.88071147405058</v>
      </c>
      <c r="AX342" s="5">
        <f t="shared" si="223"/>
        <v>-10.56799646590226</v>
      </c>
      <c r="AY342" s="5">
        <f t="shared" si="223"/>
        <v>-10.292605066641897</v>
      </c>
      <c r="AZ342" s="5">
        <f t="shared" si="223"/>
        <v>-10.045945310109428</v>
      </c>
      <c r="BA342" s="5">
        <f t="shared" si="223"/>
        <v>-9.7851952141050909</v>
      </c>
      <c r="BB342" s="5">
        <f t="shared" si="223"/>
        <v>-9.5029043641866409</v>
      </c>
      <c r="BC342" s="5">
        <f t="shared" si="223"/>
        <v>-9.1460855240459242</v>
      </c>
      <c r="BD342" s="5">
        <f t="shared" si="223"/>
        <v>-8.6843343258737384</v>
      </c>
      <c r="BE342" s="5">
        <f t="shared" si="223"/>
        <v>-7.681707243782844</v>
      </c>
      <c r="BG342" s="1"/>
      <c r="BH342" s="1">
        <f t="shared" si="199"/>
        <v>3.6000000000000019</v>
      </c>
      <c r="BI342" s="8">
        <f t="shared" si="208"/>
        <v>653742707.29999995</v>
      </c>
      <c r="BJ342" s="8">
        <f t="shared" si="211"/>
        <v>590234627.39999998</v>
      </c>
      <c r="BK342" s="8">
        <f t="shared" si="212"/>
        <v>584683080.29999995</v>
      </c>
      <c r="BL342" s="8">
        <f t="shared" si="213"/>
        <v>576905642</v>
      </c>
      <c r="BM342" s="8">
        <f t="shared" si="214"/>
        <v>575841907.39999998</v>
      </c>
      <c r="BN342" s="8">
        <f t="shared" si="215"/>
        <v>574774808.70000005</v>
      </c>
      <c r="BO342" s="8">
        <f t="shared" si="216"/>
        <v>573590020</v>
      </c>
      <c r="BP342" s="8">
        <f t="shared" si="217"/>
        <v>573561980.39999998</v>
      </c>
      <c r="BQ342" s="8">
        <f t="shared" si="218"/>
        <v>568158836.70000005</v>
      </c>
      <c r="BR342" s="8">
        <f t="shared" si="219"/>
        <v>488132145</v>
      </c>
      <c r="BS342" s="8">
        <f t="shared" si="207"/>
        <v>5759.6257551999997</v>
      </c>
      <c r="BT342" s="8">
        <f t="shared" si="210"/>
        <v>47.858337900000151</v>
      </c>
    </row>
    <row r="343" spans="1:72" x14ac:dyDescent="0.35">
      <c r="A343" t="s">
        <v>207</v>
      </c>
      <c r="B343">
        <v>1.59</v>
      </c>
      <c r="C343">
        <v>3.19</v>
      </c>
      <c r="D343">
        <v>4.62</v>
      </c>
      <c r="E343">
        <v>5.98</v>
      </c>
      <c r="F343">
        <v>7.3500000000000005</v>
      </c>
      <c r="G343">
        <v>8.83</v>
      </c>
      <c r="H343">
        <v>10.53</v>
      </c>
      <c r="I343">
        <v>12.74</v>
      </c>
      <c r="J343">
        <v>15.82</v>
      </c>
      <c r="K343">
        <v>29.36</v>
      </c>
      <c r="L343">
        <f t="shared" si="224"/>
        <v>26.4</v>
      </c>
      <c r="M343">
        <f t="shared" si="225"/>
        <v>5076700</v>
      </c>
      <c r="N343">
        <f t="shared" si="226"/>
        <v>34758.404334915285</v>
      </c>
      <c r="O343">
        <f t="shared" si="237"/>
        <v>-1.0151993665540626</v>
      </c>
      <c r="P343" s="8">
        <f t="shared" si="221"/>
        <v>5526.5862892515306</v>
      </c>
      <c r="Q343" s="8">
        <f t="shared" si="221"/>
        <v>11087.930982837976</v>
      </c>
      <c r="R343" s="8">
        <f t="shared" si="221"/>
        <v>16058.382802730863</v>
      </c>
      <c r="S343" s="8">
        <f t="shared" si="221"/>
        <v>20785.525792279343</v>
      </c>
      <c r="T343" s="8">
        <f t="shared" si="221"/>
        <v>25547.427186162739</v>
      </c>
      <c r="U343" s="8">
        <f t="shared" si="221"/>
        <v>30691.671027730197</v>
      </c>
      <c r="V343" s="8">
        <f t="shared" si="221"/>
        <v>36600.599764665792</v>
      </c>
      <c r="W343" s="8">
        <f t="shared" si="221"/>
        <v>44282.207122682077</v>
      </c>
      <c r="X343" s="8">
        <f t="shared" si="221"/>
        <v>54987.795657835981</v>
      </c>
      <c r="Y343" s="8">
        <f t="shared" si="221"/>
        <v>102050.67512731127</v>
      </c>
      <c r="Z343">
        <f t="shared" si="222"/>
        <v>8.6173255963541742</v>
      </c>
      <c r="AA343">
        <f t="shared" si="222"/>
        <v>9.3136124969187879</v>
      </c>
      <c r="AB343">
        <f t="shared" si="222"/>
        <v>9.6839862852156813</v>
      </c>
      <c r="AC343">
        <f t="shared" si="222"/>
        <v>9.9420121480845758</v>
      </c>
      <c r="AD343">
        <f t="shared" si="222"/>
        <v>10.14829189334678</v>
      </c>
      <c r="AE343">
        <f t="shared" si="220"/>
        <v>10.331746594737902</v>
      </c>
      <c r="AF343">
        <f t="shared" si="220"/>
        <v>10.507819906267919</v>
      </c>
      <c r="AG343">
        <f t="shared" si="220"/>
        <v>10.698338230266051</v>
      </c>
      <c r="AH343">
        <f t="shared" si="220"/>
        <v>10.914866542461542</v>
      </c>
      <c r="AI343">
        <f t="shared" si="220"/>
        <v>11.533224783868349</v>
      </c>
      <c r="AJ343">
        <f t="shared" si="238"/>
        <v>15.711952525181374</v>
      </c>
      <c r="AK343">
        <f t="shared" si="227"/>
        <v>16.981491038407032</v>
      </c>
      <c r="AL343">
        <f t="shared" si="228"/>
        <v>17.656792825861181</v>
      </c>
      <c r="AM343">
        <f t="shared" si="229"/>
        <v>18.127250865578311</v>
      </c>
      <c r="AN343">
        <f t="shared" si="230"/>
        <v>18.503360312555397</v>
      </c>
      <c r="AO343">
        <f t="shared" si="231"/>
        <v>18.837852902692429</v>
      </c>
      <c r="AP343">
        <f t="shared" si="232"/>
        <v>19.158887019458486</v>
      </c>
      <c r="AQ343">
        <f t="shared" si="233"/>
        <v>19.506258698567631</v>
      </c>
      <c r="AR343">
        <f t="shared" si="234"/>
        <v>19.901054337137047</v>
      </c>
      <c r="AS343">
        <f t="shared" si="235"/>
        <v>21.028505681977592</v>
      </c>
      <c r="AT343">
        <f t="shared" si="236"/>
        <v>28.647571615258151</v>
      </c>
      <c r="AU343">
        <f t="shared" si="239"/>
        <v>-20.552752270846327</v>
      </c>
      <c r="AV343" s="5">
        <f t="shared" si="223"/>
        <v>-4.8407997456649525</v>
      </c>
      <c r="AW343" s="5">
        <f t="shared" si="223"/>
        <v>-3.5712612324392943</v>
      </c>
      <c r="AX343" s="5">
        <f t="shared" si="223"/>
        <v>-2.8959594449851451</v>
      </c>
      <c r="AY343" s="5">
        <f t="shared" si="223"/>
        <v>-2.4255014052680153</v>
      </c>
      <c r="AZ343" s="5">
        <f t="shared" si="223"/>
        <v>-2.0493919582909292</v>
      </c>
      <c r="BA343" s="5">
        <f t="shared" si="223"/>
        <v>-1.7148993681538975</v>
      </c>
      <c r="BB343" s="5">
        <f t="shared" si="223"/>
        <v>-1.3938652513878402</v>
      </c>
      <c r="BC343" s="5">
        <f t="shared" si="223"/>
        <v>-1.0464935722786954</v>
      </c>
      <c r="BD343" s="5">
        <f t="shared" si="223"/>
        <v>-0.6516979337092792</v>
      </c>
      <c r="BE343" s="5">
        <f t="shared" si="223"/>
        <v>0.47575341113126512</v>
      </c>
      <c r="BG343" s="1"/>
      <c r="BH343" s="1">
        <f t="shared" si="199"/>
        <v>3.700000000000002</v>
      </c>
      <c r="BI343" s="8">
        <f t="shared" si="208"/>
        <v>656293649.89999998</v>
      </c>
      <c r="BJ343" s="8">
        <f t="shared" si="211"/>
        <v>596282965.89999998</v>
      </c>
      <c r="BK343" s="8">
        <f t="shared" si="212"/>
        <v>589290177.39999998</v>
      </c>
      <c r="BL343" s="8">
        <f t="shared" si="213"/>
        <v>578834802</v>
      </c>
      <c r="BM343" s="8">
        <f t="shared" si="214"/>
        <v>576941691.79999995</v>
      </c>
      <c r="BN343" s="8">
        <f t="shared" si="215"/>
        <v>575689939.39999998</v>
      </c>
      <c r="BO343" s="8">
        <f t="shared" si="216"/>
        <v>574774808.70000005</v>
      </c>
      <c r="BP343" s="8">
        <f t="shared" si="217"/>
        <v>573561980.39999998</v>
      </c>
      <c r="BQ343" s="8">
        <f t="shared" si="218"/>
        <v>568158836.70000005</v>
      </c>
      <c r="BR343" s="8">
        <f t="shared" si="219"/>
        <v>490308514.5</v>
      </c>
      <c r="BS343" s="8">
        <f t="shared" si="207"/>
        <v>5780.1373666999998</v>
      </c>
      <c r="BT343" s="8">
        <f t="shared" si="210"/>
        <v>20.511611500000072</v>
      </c>
    </row>
    <row r="344" spans="1:72" x14ac:dyDescent="0.35">
      <c r="A344" t="s">
        <v>235</v>
      </c>
      <c r="B344">
        <v>3.3000000000000003</v>
      </c>
      <c r="C344">
        <v>6.1000000000000005</v>
      </c>
      <c r="D344">
        <v>7.3</v>
      </c>
      <c r="E344">
        <v>8.1</v>
      </c>
      <c r="F344">
        <v>9</v>
      </c>
      <c r="G344">
        <v>9.9</v>
      </c>
      <c r="H344">
        <v>11</v>
      </c>
      <c r="I344">
        <v>12.200000000000001</v>
      </c>
      <c r="J344">
        <v>13.9</v>
      </c>
      <c r="K344">
        <v>19.3</v>
      </c>
      <c r="L344">
        <f t="shared" si="224"/>
        <v>6.8</v>
      </c>
      <c r="M344">
        <f t="shared" si="225"/>
        <v>5430099</v>
      </c>
      <c r="N344">
        <f t="shared" si="226"/>
        <v>14161.797545718329</v>
      </c>
      <c r="O344">
        <f t="shared" si="237"/>
        <v>4.6374830362130748</v>
      </c>
      <c r="P344" s="8">
        <f t="shared" si="221"/>
        <v>4673.3931900870493</v>
      </c>
      <c r="Q344" s="8">
        <f t="shared" si="221"/>
        <v>8638.6965028881823</v>
      </c>
      <c r="R344" s="8">
        <f t="shared" si="221"/>
        <v>10338.112208374379</v>
      </c>
      <c r="S344" s="8">
        <f t="shared" si="221"/>
        <v>11471.056012031846</v>
      </c>
      <c r="T344" s="8">
        <f t="shared" si="221"/>
        <v>12745.617791146497</v>
      </c>
      <c r="U344" s="8">
        <f t="shared" si="221"/>
        <v>14020.179570261147</v>
      </c>
      <c r="V344" s="8">
        <f t="shared" si="221"/>
        <v>15577.97730029016</v>
      </c>
      <c r="W344" s="8">
        <f t="shared" si="221"/>
        <v>17277.393005776365</v>
      </c>
      <c r="X344" s="8">
        <f t="shared" si="221"/>
        <v>19684.89858854848</v>
      </c>
      <c r="Y344" s="8">
        <f t="shared" si="221"/>
        <v>27332.269263236376</v>
      </c>
      <c r="Z344">
        <f t="shared" si="222"/>
        <v>8.449640679988315</v>
      </c>
      <c r="AA344">
        <f t="shared" si="222"/>
        <v>9.0640069826951475</v>
      </c>
      <c r="AB344">
        <f t="shared" si="222"/>
        <v>9.2435925596702262</v>
      </c>
      <c r="AC344">
        <f t="shared" si="222"/>
        <v>9.3475822731942735</v>
      </c>
      <c r="AD344">
        <f t="shared" si="222"/>
        <v>9.4529427888521003</v>
      </c>
      <c r="AE344">
        <f t="shared" si="220"/>
        <v>9.5482529686564259</v>
      </c>
      <c r="AF344">
        <f t="shared" si="220"/>
        <v>9.6536134843142509</v>
      </c>
      <c r="AG344">
        <f t="shared" si="220"/>
        <v>9.7571541632550911</v>
      </c>
      <c r="AH344">
        <f t="shared" si="220"/>
        <v>9.8876070516525267</v>
      </c>
      <c r="AI344">
        <f t="shared" si="220"/>
        <v>10.215823307426721</v>
      </c>
      <c r="AJ344">
        <f t="shared" si="238"/>
        <v>15.406212952541335</v>
      </c>
      <c r="AK344">
        <f t="shared" si="227"/>
        <v>16.526385803534097</v>
      </c>
      <c r="AL344">
        <f t="shared" si="228"/>
        <v>16.853823826861603</v>
      </c>
      <c r="AM344">
        <f t="shared" si="229"/>
        <v>17.043428063550571</v>
      </c>
      <c r="AN344">
        <f t="shared" si="230"/>
        <v>17.235531681028458</v>
      </c>
      <c r="AO344">
        <f t="shared" si="231"/>
        <v>17.409310541245326</v>
      </c>
      <c r="AP344">
        <f t="shared" si="232"/>
        <v>17.601414158723205</v>
      </c>
      <c r="AQ344">
        <f t="shared" si="233"/>
        <v>17.790199671554682</v>
      </c>
      <c r="AR344">
        <f t="shared" si="234"/>
        <v>18.028054162063949</v>
      </c>
      <c r="AS344">
        <f t="shared" si="235"/>
        <v>18.626490204784528</v>
      </c>
      <c r="AT344">
        <f t="shared" si="236"/>
        <v>28.090117263942712</v>
      </c>
      <c r="AU344">
        <f t="shared" si="239"/>
        <v>-12.954378126897128</v>
      </c>
      <c r="AV344" s="5">
        <f t="shared" si="223"/>
        <v>2.4518348256442071</v>
      </c>
      <c r="AW344" s="5">
        <f t="shared" si="223"/>
        <v>3.5720076766369697</v>
      </c>
      <c r="AX344" s="5">
        <f t="shared" si="223"/>
        <v>3.8994456999644758</v>
      </c>
      <c r="AY344" s="5">
        <f t="shared" si="223"/>
        <v>4.0890499366534439</v>
      </c>
      <c r="AZ344" s="5">
        <f t="shared" si="223"/>
        <v>4.2811535541313308</v>
      </c>
      <c r="BA344" s="5">
        <f t="shared" si="223"/>
        <v>4.4549324143481979</v>
      </c>
      <c r="BB344" s="5">
        <f t="shared" si="223"/>
        <v>4.6470360318260777</v>
      </c>
      <c r="BC344" s="5">
        <f t="shared" si="223"/>
        <v>4.8358215446575539</v>
      </c>
      <c r="BD344" s="5">
        <f t="shared" si="223"/>
        <v>5.0736760351668213</v>
      </c>
      <c r="BE344" s="5">
        <f t="shared" si="223"/>
        <v>5.6721120778873999</v>
      </c>
      <c r="BG344" s="1"/>
      <c r="BH344" s="1">
        <f t="shared" ref="BH344:BH366" si="240">0.1+BH343</f>
        <v>3.800000000000002</v>
      </c>
      <c r="BI344" s="8">
        <f t="shared" si="208"/>
        <v>672729151.29999995</v>
      </c>
      <c r="BJ344" s="8">
        <f t="shared" si="211"/>
        <v>601902150.60000002</v>
      </c>
      <c r="BK344" s="8">
        <f t="shared" si="212"/>
        <v>590234627.39999998</v>
      </c>
      <c r="BL344" s="8">
        <f t="shared" si="213"/>
        <v>584683080.29999995</v>
      </c>
      <c r="BM344" s="8">
        <f t="shared" si="214"/>
        <v>576941691.79999995</v>
      </c>
      <c r="BN344" s="8">
        <f t="shared" si="215"/>
        <v>575841907.39999998</v>
      </c>
      <c r="BO344" s="8">
        <f t="shared" si="216"/>
        <v>575317818.60000002</v>
      </c>
      <c r="BP344" s="8">
        <f t="shared" si="217"/>
        <v>573590020</v>
      </c>
      <c r="BQ344" s="8">
        <f t="shared" si="218"/>
        <v>573418987.29999995</v>
      </c>
      <c r="BR344" s="8">
        <f t="shared" si="219"/>
        <v>491310194.19999999</v>
      </c>
      <c r="BS344" s="8">
        <f t="shared" si="207"/>
        <v>5815.9696289000003</v>
      </c>
      <c r="BT344" s="8">
        <f t="shared" si="210"/>
        <v>35.832262200000514</v>
      </c>
    </row>
    <row r="345" spans="1:72" x14ac:dyDescent="0.35">
      <c r="A345" t="s">
        <v>236</v>
      </c>
      <c r="B345">
        <v>3.8000000000000003</v>
      </c>
      <c r="C345">
        <v>5.7</v>
      </c>
      <c r="D345">
        <v>6.9</v>
      </c>
      <c r="E345">
        <v>7.9</v>
      </c>
      <c r="F345">
        <v>8.9</v>
      </c>
      <c r="G345">
        <v>9.8000000000000007</v>
      </c>
      <c r="H345">
        <v>10.8</v>
      </c>
      <c r="I345">
        <v>12</v>
      </c>
      <c r="J345">
        <v>14</v>
      </c>
      <c r="K345">
        <v>20.2</v>
      </c>
      <c r="L345">
        <f t="shared" si="224"/>
        <v>8.9</v>
      </c>
      <c r="M345">
        <f t="shared" si="225"/>
        <v>2048583</v>
      </c>
      <c r="N345">
        <f t="shared" si="226"/>
        <v>19054.257484924816</v>
      </c>
      <c r="O345">
        <f t="shared" si="237"/>
        <v>4.3974859979102323</v>
      </c>
      <c r="P345" s="8">
        <f t="shared" si="221"/>
        <v>7240.6178442714299</v>
      </c>
      <c r="Q345" s="8">
        <f t="shared" si="221"/>
        <v>10860.926766407145</v>
      </c>
      <c r="R345" s="8">
        <f t="shared" si="221"/>
        <v>13147.437664598125</v>
      </c>
      <c r="S345" s="8">
        <f t="shared" si="221"/>
        <v>15052.863413090605</v>
      </c>
      <c r="T345" s="8">
        <f t="shared" si="221"/>
        <v>16958.289161583085</v>
      </c>
      <c r="U345" s="8">
        <f t="shared" si="221"/>
        <v>18673.172335226322</v>
      </c>
      <c r="V345" s="8">
        <f t="shared" si="221"/>
        <v>20578.598083718804</v>
      </c>
      <c r="W345" s="8">
        <f t="shared" si="221"/>
        <v>22865.108981909776</v>
      </c>
      <c r="X345" s="8">
        <f t="shared" si="221"/>
        <v>26675.960478894744</v>
      </c>
      <c r="Y345" s="8">
        <f t="shared" si="221"/>
        <v>38489.600119548129</v>
      </c>
      <c r="Z345">
        <f t="shared" si="222"/>
        <v>8.8874618193452672</v>
      </c>
      <c r="AA345">
        <f t="shared" si="222"/>
        <v>9.292926927453431</v>
      </c>
      <c r="AB345">
        <f t="shared" si="222"/>
        <v>9.4839821642161404</v>
      </c>
      <c r="AC345">
        <f t="shared" si="222"/>
        <v>9.6193235120859022</v>
      </c>
      <c r="AD345">
        <f t="shared" si="222"/>
        <v>9.7385120293510212</v>
      </c>
      <c r="AE345">
        <f t="shared" si="220"/>
        <v>9.8348431382894539</v>
      </c>
      <c r="AF345">
        <f t="shared" si="220"/>
        <v>9.9320068867431015</v>
      </c>
      <c r="AG345">
        <f t="shared" si="220"/>
        <v>10.037367402400927</v>
      </c>
      <c r="AH345">
        <f t="shared" si="220"/>
        <v>10.191518082228185</v>
      </c>
      <c r="AI345">
        <f t="shared" si="220"/>
        <v>10.558143357020086</v>
      </c>
      <c r="AJ345">
        <f t="shared" si="238"/>
        <v>16.204491360288589</v>
      </c>
      <c r="AK345">
        <f t="shared" si="227"/>
        <v>16.943775080971985</v>
      </c>
      <c r="AL345">
        <f t="shared" si="228"/>
        <v>17.292125712050961</v>
      </c>
      <c r="AM345">
        <f t="shared" si="229"/>
        <v>17.538893320939202</v>
      </c>
      <c r="AN345">
        <f t="shared" si="230"/>
        <v>17.756209506091658</v>
      </c>
      <c r="AO345">
        <f t="shared" si="231"/>
        <v>17.931849824356885</v>
      </c>
      <c r="AP345">
        <f t="shared" si="232"/>
        <v>18.109008292584925</v>
      </c>
      <c r="AQ345">
        <f t="shared" si="233"/>
        <v>18.301111910062804</v>
      </c>
      <c r="AR345">
        <f t="shared" si="234"/>
        <v>18.582174536290488</v>
      </c>
      <c r="AS345">
        <f t="shared" si="235"/>
        <v>19.250641666568008</v>
      </c>
      <c r="AT345">
        <f t="shared" si="236"/>
        <v>29.545616688231465</v>
      </c>
      <c r="AU345">
        <f t="shared" si="239"/>
        <v>-13.742473405245098</v>
      </c>
      <c r="AV345" s="5">
        <f t="shared" si="223"/>
        <v>2.4620179550434909</v>
      </c>
      <c r="AW345" s="5">
        <f t="shared" si="223"/>
        <v>3.2013016757268868</v>
      </c>
      <c r="AX345" s="5">
        <f t="shared" si="223"/>
        <v>3.5496523068058625</v>
      </c>
      <c r="AY345" s="5">
        <f t="shared" si="223"/>
        <v>3.7964199156941039</v>
      </c>
      <c r="AZ345" s="5">
        <f t="shared" si="223"/>
        <v>4.0137361008465593</v>
      </c>
      <c r="BA345" s="5">
        <f t="shared" si="223"/>
        <v>4.1893764191117864</v>
      </c>
      <c r="BB345" s="5">
        <f t="shared" si="223"/>
        <v>4.3665348873398262</v>
      </c>
      <c r="BC345" s="5">
        <f t="shared" si="223"/>
        <v>4.558638504817706</v>
      </c>
      <c r="BD345" s="5">
        <f t="shared" si="223"/>
        <v>4.8397011310453895</v>
      </c>
      <c r="BE345" s="5">
        <f t="shared" si="223"/>
        <v>5.5081682613229095</v>
      </c>
      <c r="BG345" s="1"/>
      <c r="BH345" s="1">
        <f t="shared" si="240"/>
        <v>3.9000000000000021</v>
      </c>
      <c r="BI345" s="8">
        <f t="shared" si="208"/>
        <v>672729151.29999995</v>
      </c>
      <c r="BJ345" s="8">
        <f t="shared" si="211"/>
        <v>639337896.60000002</v>
      </c>
      <c r="BK345" s="8">
        <f t="shared" si="212"/>
        <v>596282965.89999998</v>
      </c>
      <c r="BL345" s="8">
        <f t="shared" si="213"/>
        <v>589726957.39999998</v>
      </c>
      <c r="BM345" s="8">
        <f t="shared" si="214"/>
        <v>579039660.29999995</v>
      </c>
      <c r="BN345" s="8">
        <f t="shared" si="215"/>
        <v>576941691.79999995</v>
      </c>
      <c r="BO345" s="8">
        <f t="shared" si="216"/>
        <v>575469786.60000002</v>
      </c>
      <c r="BP345" s="8">
        <f t="shared" si="217"/>
        <v>575317818.60000002</v>
      </c>
      <c r="BQ345" s="8">
        <f t="shared" si="218"/>
        <v>573561980.39999998</v>
      </c>
      <c r="BR345" s="8">
        <f t="shared" si="219"/>
        <v>513474750.89999998</v>
      </c>
      <c r="BS345" s="8">
        <f t="shared" si="207"/>
        <v>5891.8826597999996</v>
      </c>
      <c r="BT345" s="8">
        <f t="shared" si="210"/>
        <v>75.913030899999285</v>
      </c>
    </row>
    <row r="346" spans="1:72" x14ac:dyDescent="0.35">
      <c r="A346" t="s">
        <v>408</v>
      </c>
      <c r="B346">
        <v>1.85</v>
      </c>
      <c r="C346">
        <v>3.12</v>
      </c>
      <c r="D346">
        <v>4.05</v>
      </c>
      <c r="E346">
        <v>5</v>
      </c>
      <c r="F346">
        <v>6.03</v>
      </c>
      <c r="G346">
        <v>7.2700000000000005</v>
      </c>
      <c r="H346">
        <v>9.02</v>
      </c>
      <c r="I346">
        <v>11.61</v>
      </c>
      <c r="J346">
        <v>16.29</v>
      </c>
      <c r="K346">
        <v>35.75</v>
      </c>
      <c r="L346">
        <f t="shared" si="224"/>
        <v>25.6</v>
      </c>
      <c r="M346">
        <f t="shared" si="225"/>
        <v>526447</v>
      </c>
      <c r="N346">
        <f t="shared" si="226"/>
        <v>992.71947650383504</v>
      </c>
      <c r="O346">
        <f t="shared" si="237"/>
        <v>-7.2008103602846525</v>
      </c>
      <c r="P346" s="8">
        <f t="shared" si="221"/>
        <v>183.65310315320949</v>
      </c>
      <c r="Q346" s="8">
        <f t="shared" si="221"/>
        <v>309.72847666919654</v>
      </c>
      <c r="R346" s="8">
        <f t="shared" si="221"/>
        <v>402.05138798405318</v>
      </c>
      <c r="S346" s="8">
        <f t="shared" si="221"/>
        <v>496.35973825191752</v>
      </c>
      <c r="T346" s="8">
        <f t="shared" si="221"/>
        <v>598.60984433181261</v>
      </c>
      <c r="U346" s="8">
        <f t="shared" si="221"/>
        <v>721.70705941828805</v>
      </c>
      <c r="V346" s="8">
        <f t="shared" si="221"/>
        <v>895.43296780645926</v>
      </c>
      <c r="W346" s="8">
        <f t="shared" si="221"/>
        <v>1152.5473122209523</v>
      </c>
      <c r="X346" s="8">
        <f t="shared" si="221"/>
        <v>1617.1400272247472</v>
      </c>
      <c r="Y346" s="8">
        <f t="shared" si="221"/>
        <v>3548.9721285012101</v>
      </c>
      <c r="Z346">
        <f t="shared" si="222"/>
        <v>5.2130486692272475</v>
      </c>
      <c r="AA346">
        <f t="shared" si="222"/>
        <v>5.7356960319584056</v>
      </c>
      <c r="AB346">
        <f t="shared" si="222"/>
        <v>5.9965799112554619</v>
      </c>
      <c r="AC346">
        <f t="shared" si="222"/>
        <v>6.2073009425711145</v>
      </c>
      <c r="AD346">
        <f t="shared" si="222"/>
        <v>6.3946100408761088</v>
      </c>
      <c r="AE346">
        <f t="shared" si="220"/>
        <v>6.5816193216824423</v>
      </c>
      <c r="AF346">
        <f t="shared" si="220"/>
        <v>6.7973073642115471</v>
      </c>
      <c r="AG346">
        <f t="shared" si="220"/>
        <v>7.0497298258468142</v>
      </c>
      <c r="AH346">
        <f t="shared" si="220"/>
        <v>7.3884144527509683</v>
      </c>
      <c r="AI346">
        <f t="shared" si="220"/>
        <v>8.1744132992770311</v>
      </c>
      <c r="AJ346">
        <f t="shared" si="238"/>
        <v>9.5049412125047024</v>
      </c>
      <c r="AK346">
        <f t="shared" si="227"/>
        <v>10.457883103677698</v>
      </c>
      <c r="AL346">
        <f t="shared" si="228"/>
        <v>10.933552159032262</v>
      </c>
      <c r="AM346">
        <f t="shared" si="229"/>
        <v>11.317759393988029</v>
      </c>
      <c r="AN346">
        <f t="shared" si="230"/>
        <v>11.659279698309328</v>
      </c>
      <c r="AO346">
        <f t="shared" si="231"/>
        <v>12.000253345984955</v>
      </c>
      <c r="AP346">
        <f t="shared" si="232"/>
        <v>12.393516922552186</v>
      </c>
      <c r="AQ346">
        <f t="shared" si="233"/>
        <v>12.853758292006844</v>
      </c>
      <c r="AR346">
        <f t="shared" si="234"/>
        <v>13.471281294871936</v>
      </c>
      <c r="AS346">
        <f t="shared" si="235"/>
        <v>14.904391419745213</v>
      </c>
      <c r="AT346">
        <f t="shared" si="236"/>
        <v>17.330340302877399</v>
      </c>
      <c r="AU346">
        <f t="shared" si="239"/>
        <v>-20.421437824108239</v>
      </c>
      <c r="AV346" s="5">
        <f t="shared" si="223"/>
        <v>-10.916496611603536</v>
      </c>
      <c r="AW346" s="5">
        <f t="shared" si="223"/>
        <v>-9.9635547204305404</v>
      </c>
      <c r="AX346" s="5">
        <f t="shared" si="223"/>
        <v>-9.4878856650759769</v>
      </c>
      <c r="AY346" s="5">
        <f t="shared" si="223"/>
        <v>-9.1036784301202101</v>
      </c>
      <c r="AZ346" s="5">
        <f t="shared" si="223"/>
        <v>-8.7621581257989103</v>
      </c>
      <c r="BA346" s="5">
        <f t="shared" si="223"/>
        <v>-8.4211844781232834</v>
      </c>
      <c r="BB346" s="5">
        <f t="shared" si="223"/>
        <v>-8.0279209015560529</v>
      </c>
      <c r="BC346" s="5">
        <f t="shared" si="223"/>
        <v>-7.5676795321013941</v>
      </c>
      <c r="BD346" s="5">
        <f t="shared" si="223"/>
        <v>-6.9501565292363026</v>
      </c>
      <c r="BE346" s="5">
        <f t="shared" si="223"/>
        <v>-5.5170464043630254</v>
      </c>
      <c r="BG346" s="1"/>
      <c r="BH346" s="1">
        <f t="shared" si="240"/>
        <v>4.0000000000000018</v>
      </c>
      <c r="BI346" s="8">
        <f t="shared" si="208"/>
        <v>673543446.29999995</v>
      </c>
      <c r="BJ346" s="8">
        <f t="shared" si="211"/>
        <v>653742707.29999995</v>
      </c>
      <c r="BK346" s="8">
        <f t="shared" si="212"/>
        <v>598489495.89999998</v>
      </c>
      <c r="BL346" s="8">
        <f t="shared" si="213"/>
        <v>589726957.39999998</v>
      </c>
      <c r="BM346" s="8">
        <f t="shared" si="214"/>
        <v>584683080.29999995</v>
      </c>
      <c r="BN346" s="8">
        <f t="shared" si="215"/>
        <v>578277300.29999995</v>
      </c>
      <c r="BO346" s="8">
        <f t="shared" si="216"/>
        <v>576533521.20000005</v>
      </c>
      <c r="BP346" s="8">
        <f t="shared" si="217"/>
        <v>575359418.10000002</v>
      </c>
      <c r="BQ346" s="8">
        <f t="shared" si="218"/>
        <v>575156969.5</v>
      </c>
      <c r="BR346" s="8">
        <f t="shared" si="219"/>
        <v>514183359.89999998</v>
      </c>
      <c r="BS346" s="8">
        <f t="shared" si="207"/>
        <v>5919.6962561999999</v>
      </c>
      <c r="BT346" s="8">
        <f t="shared" si="210"/>
        <v>27.813596400000279</v>
      </c>
    </row>
    <row r="347" spans="1:72" x14ac:dyDescent="0.35">
      <c r="A347" t="s">
        <v>237</v>
      </c>
      <c r="B347">
        <v>0.77</v>
      </c>
      <c r="C347">
        <v>1.6400000000000001</v>
      </c>
      <c r="D347">
        <v>2.37</v>
      </c>
      <c r="E347">
        <v>3.1</v>
      </c>
      <c r="F347">
        <v>4.0600000000000005</v>
      </c>
      <c r="G347">
        <v>5.22</v>
      </c>
      <c r="H347">
        <v>7.04</v>
      </c>
      <c r="I347">
        <v>10.33</v>
      </c>
      <c r="J347">
        <v>17.080000000000002</v>
      </c>
      <c r="K347">
        <v>48.38</v>
      </c>
      <c r="L347">
        <f t="shared" si="224"/>
        <v>17.8</v>
      </c>
      <c r="M347">
        <f t="shared" si="225"/>
        <v>49991300</v>
      </c>
      <c r="N347">
        <f t="shared" si="226"/>
        <v>5797.2434904439497</v>
      </c>
      <c r="O347">
        <f t="shared" si="237"/>
        <v>-1.0822229993564711</v>
      </c>
      <c r="P347" s="8">
        <f t="shared" si="221"/>
        <v>446.3877487641841</v>
      </c>
      <c r="Q347" s="8">
        <f t="shared" si="221"/>
        <v>950.74793243280783</v>
      </c>
      <c r="R347" s="8">
        <f t="shared" si="221"/>
        <v>1373.9467072352161</v>
      </c>
      <c r="S347" s="8">
        <f t="shared" si="221"/>
        <v>1797.1454820376246</v>
      </c>
      <c r="T347" s="8">
        <f t="shared" si="221"/>
        <v>2353.6808571202437</v>
      </c>
      <c r="U347" s="8">
        <f t="shared" si="221"/>
        <v>3026.1611020117416</v>
      </c>
      <c r="V347" s="8">
        <f t="shared" si="221"/>
        <v>4081.2594172725403</v>
      </c>
      <c r="W347" s="8">
        <f t="shared" si="221"/>
        <v>5988.5525256286001</v>
      </c>
      <c r="X347" s="8">
        <f t="shared" si="221"/>
        <v>9901.6918816782672</v>
      </c>
      <c r="Y347" s="8">
        <f t="shared" si="221"/>
        <v>28047.064006767829</v>
      </c>
      <c r="Z347">
        <f t="shared" si="222"/>
        <v>6.1011879661658162</v>
      </c>
      <c r="AA347">
        <f t="shared" si="222"/>
        <v>6.8572489721363308</v>
      </c>
      <c r="AB347">
        <f t="shared" si="222"/>
        <v>7.2254426854472635</v>
      </c>
      <c r="AC347">
        <f t="shared" si="222"/>
        <v>7.4939548417913242</v>
      </c>
      <c r="AD347">
        <f t="shared" si="222"/>
        <v>7.7637357039138646</v>
      </c>
      <c r="AE347">
        <f t="shared" si="220"/>
        <v>8.0150501321947711</v>
      </c>
      <c r="AF347">
        <f t="shared" si="220"/>
        <v>8.3141609004701742</v>
      </c>
      <c r="AG347">
        <f t="shared" si="220"/>
        <v>8.6976050134317706</v>
      </c>
      <c r="AH347">
        <f t="shared" si="220"/>
        <v>9.2004609186606476</v>
      </c>
      <c r="AI347">
        <f t="shared" si="220"/>
        <v>10.241639235482104</v>
      </c>
      <c r="AJ347">
        <f t="shared" si="238"/>
        <v>11.1242838163342</v>
      </c>
      <c r="AK347">
        <f t="shared" si="227"/>
        <v>12.502808336398228</v>
      </c>
      <c r="AL347">
        <f t="shared" si="228"/>
        <v>13.174135197490624</v>
      </c>
      <c r="AM347">
        <f t="shared" si="229"/>
        <v>13.663712875128439</v>
      </c>
      <c r="AN347">
        <f t="shared" si="230"/>
        <v>14.155603781474742</v>
      </c>
      <c r="AO347">
        <f t="shared" si="231"/>
        <v>14.613824875930462</v>
      </c>
      <c r="AP347">
        <f t="shared" si="232"/>
        <v>15.159192941505468</v>
      </c>
      <c r="AQ347">
        <f t="shared" si="233"/>
        <v>15.858325825780121</v>
      </c>
      <c r="AR347">
        <f t="shared" si="234"/>
        <v>16.775181992072124</v>
      </c>
      <c r="AS347">
        <f t="shared" si="235"/>
        <v>18.673560334776049</v>
      </c>
      <c r="AT347">
        <f t="shared" si="236"/>
        <v>20.282884433754514</v>
      </c>
      <c r="AU347">
        <f t="shared" si="239"/>
        <v>-18.052826192235063</v>
      </c>
      <c r="AV347" s="5">
        <f t="shared" si="223"/>
        <v>-6.9285423759008626</v>
      </c>
      <c r="AW347" s="5">
        <f t="shared" si="223"/>
        <v>-5.5500178558368347</v>
      </c>
      <c r="AX347" s="5">
        <f t="shared" si="223"/>
        <v>-4.8786909947444386</v>
      </c>
      <c r="AY347" s="5">
        <f t="shared" si="223"/>
        <v>-4.3891133171066237</v>
      </c>
      <c r="AZ347" s="5">
        <f t="shared" si="223"/>
        <v>-3.8972224107603211</v>
      </c>
      <c r="BA347" s="5">
        <f t="shared" si="223"/>
        <v>-3.4390013163046014</v>
      </c>
      <c r="BB347" s="5">
        <f t="shared" si="223"/>
        <v>-2.8936332507295948</v>
      </c>
      <c r="BC347" s="5">
        <f t="shared" si="223"/>
        <v>-2.1945003664549425</v>
      </c>
      <c r="BD347" s="5">
        <f t="shared" si="223"/>
        <v>-1.2776442001629391</v>
      </c>
      <c r="BE347" s="5">
        <f t="shared" si="223"/>
        <v>0.6207341425409858</v>
      </c>
      <c r="BH347" s="1">
        <f t="shared" si="240"/>
        <v>4.1000000000000014</v>
      </c>
      <c r="BI347" s="8">
        <f t="shared" si="208"/>
        <v>673543446.29999995</v>
      </c>
      <c r="BJ347" s="8">
        <f t="shared" si="211"/>
        <v>656382549.5</v>
      </c>
      <c r="BK347" s="8">
        <f t="shared" si="212"/>
        <v>639337896.60000002</v>
      </c>
      <c r="BL347" s="8">
        <f t="shared" si="213"/>
        <v>596282965.89999998</v>
      </c>
      <c r="BM347" s="8">
        <f t="shared" si="214"/>
        <v>589726957.39999998</v>
      </c>
      <c r="BN347" s="8">
        <f t="shared" si="215"/>
        <v>583980660.29999995</v>
      </c>
      <c r="BO347" s="8">
        <f t="shared" si="216"/>
        <v>577110500.29999995</v>
      </c>
      <c r="BP347" s="8">
        <f t="shared" si="217"/>
        <v>575469786.60000002</v>
      </c>
      <c r="BQ347" s="8">
        <f t="shared" si="218"/>
        <v>575185009.10000002</v>
      </c>
      <c r="BR347" s="8">
        <f t="shared" si="219"/>
        <v>517990369</v>
      </c>
      <c r="BS347" s="8">
        <f t="shared" si="207"/>
        <v>5985.0101410000007</v>
      </c>
      <c r="BT347" s="8">
        <f t="shared" si="210"/>
        <v>65.313884800000778</v>
      </c>
    </row>
    <row r="348" spans="1:72" x14ac:dyDescent="0.35">
      <c r="A348" t="s">
        <v>187</v>
      </c>
      <c r="B348">
        <v>1.7</v>
      </c>
      <c r="C348">
        <v>4.2</v>
      </c>
      <c r="D348">
        <v>5.6000000000000005</v>
      </c>
      <c r="E348">
        <v>6.8</v>
      </c>
      <c r="F348">
        <v>8</v>
      </c>
      <c r="G348">
        <v>9.3000000000000007</v>
      </c>
      <c r="H348">
        <v>10.9</v>
      </c>
      <c r="I348">
        <v>12.9</v>
      </c>
      <c r="J348">
        <v>15.8</v>
      </c>
      <c r="K348">
        <v>24.8</v>
      </c>
      <c r="L348">
        <f t="shared" si="224"/>
        <v>13.3</v>
      </c>
      <c r="M348">
        <f t="shared" si="225"/>
        <v>46070971</v>
      </c>
      <c r="N348">
        <f t="shared" si="226"/>
        <v>25595.990106992766</v>
      </c>
      <c r="O348">
        <f t="shared" si="237"/>
        <v>-3.2218252535443401</v>
      </c>
      <c r="P348" s="8">
        <f t="shared" si="221"/>
        <v>4351.3183181887707</v>
      </c>
      <c r="Q348" s="8">
        <f t="shared" si="221"/>
        <v>10750.315844936962</v>
      </c>
      <c r="R348" s="8">
        <f t="shared" si="221"/>
        <v>14333.75445991595</v>
      </c>
      <c r="S348" s="8">
        <f t="shared" si="221"/>
        <v>17405.273272755083</v>
      </c>
      <c r="T348" s="8">
        <f t="shared" si="221"/>
        <v>20476.792085594214</v>
      </c>
      <c r="U348" s="8">
        <f t="shared" si="221"/>
        <v>23804.270799503276</v>
      </c>
      <c r="V348" s="8">
        <f t="shared" si="221"/>
        <v>27899.629216622114</v>
      </c>
      <c r="W348" s="8">
        <f t="shared" si="221"/>
        <v>33018.827238020669</v>
      </c>
      <c r="X348" s="8">
        <f t="shared" si="221"/>
        <v>40441.664369048573</v>
      </c>
      <c r="Y348" s="8">
        <f t="shared" si="221"/>
        <v>63478.055465342055</v>
      </c>
      <c r="Z348">
        <f t="shared" si="222"/>
        <v>8.378234139821414</v>
      </c>
      <c r="AA348">
        <f t="shared" si="222"/>
        <v>9.2826904140485667</v>
      </c>
      <c r="AB348">
        <f t="shared" si="222"/>
        <v>9.5703724865003483</v>
      </c>
      <c r="AC348">
        <f t="shared" si="222"/>
        <v>9.7645285009413048</v>
      </c>
      <c r="AD348">
        <f t="shared" si="222"/>
        <v>9.9270474304390799</v>
      </c>
      <c r="AE348">
        <f t="shared" si="220"/>
        <v>10.077620288918455</v>
      </c>
      <c r="AF348">
        <f t="shared" si="220"/>
        <v>10.236368677994342</v>
      </c>
      <c r="AG348">
        <f t="shared" si="220"/>
        <v>10.40483320012687</v>
      </c>
      <c r="AH348">
        <f t="shared" si="220"/>
        <v>10.607615828792165</v>
      </c>
      <c r="AI348">
        <f t="shared" si="220"/>
        <v>11.05844954193018</v>
      </c>
      <c r="AJ348">
        <f t="shared" si="238"/>
        <v>15.276017550668104</v>
      </c>
      <c r="AK348">
        <f t="shared" si="227"/>
        <v>16.925110866553926</v>
      </c>
      <c r="AL348">
        <f t="shared" si="228"/>
        <v>17.449641013891114</v>
      </c>
      <c r="AM348">
        <f t="shared" si="229"/>
        <v>17.80364528670928</v>
      </c>
      <c r="AN348">
        <f t="shared" si="230"/>
        <v>18.099965725824713</v>
      </c>
      <c r="AO348">
        <f t="shared" si="231"/>
        <v>18.374504917544442</v>
      </c>
      <c r="AP348">
        <f t="shared" si="232"/>
        <v>18.663950537849729</v>
      </c>
      <c r="AQ348">
        <f t="shared" si="233"/>
        <v>18.971111564124922</v>
      </c>
      <c r="AR348">
        <f t="shared" si="234"/>
        <v>19.340844725405098</v>
      </c>
      <c r="AS348">
        <f t="shared" si="235"/>
        <v>20.162848932902214</v>
      </c>
      <c r="AT348">
        <f t="shared" si="236"/>
        <v>27.852732248098054</v>
      </c>
      <c r="AU348">
        <f t="shared" si="239"/>
        <v>-22.074910202344192</v>
      </c>
      <c r="AV348" s="5">
        <f t="shared" si="223"/>
        <v>-6.7988926516760877</v>
      </c>
      <c r="AW348" s="5">
        <f t="shared" si="223"/>
        <v>-5.1497993357902665</v>
      </c>
      <c r="AX348" s="5">
        <f t="shared" si="223"/>
        <v>-4.6252691884530783</v>
      </c>
      <c r="AY348" s="5">
        <f t="shared" si="223"/>
        <v>-4.2712649156349123</v>
      </c>
      <c r="AZ348" s="5">
        <f t="shared" si="223"/>
        <v>-3.9749444765194788</v>
      </c>
      <c r="BA348" s="5">
        <f t="shared" si="223"/>
        <v>-3.7004052847997499</v>
      </c>
      <c r="BB348" s="5">
        <f t="shared" si="223"/>
        <v>-3.4109596644944631</v>
      </c>
      <c r="BC348" s="5">
        <f t="shared" si="223"/>
        <v>-3.1037986382192706</v>
      </c>
      <c r="BD348" s="5">
        <f t="shared" si="223"/>
        <v>-2.7340654769390937</v>
      </c>
      <c r="BE348" s="5">
        <f t="shared" si="223"/>
        <v>-1.9120612694419776</v>
      </c>
      <c r="BH348" s="1">
        <f t="shared" si="240"/>
        <v>4.2000000000000011</v>
      </c>
      <c r="BI348" s="8">
        <f t="shared" si="208"/>
        <v>674032371.5</v>
      </c>
      <c r="BJ348" s="8">
        <f t="shared" si="211"/>
        <v>672174383</v>
      </c>
      <c r="BK348" s="8">
        <f t="shared" si="212"/>
        <v>654832265.89999998</v>
      </c>
      <c r="BL348" s="8">
        <f t="shared" si="213"/>
        <v>598489495.89999998</v>
      </c>
      <c r="BM348" s="8">
        <f t="shared" si="214"/>
        <v>595775295.89999998</v>
      </c>
      <c r="BN348" s="8">
        <f t="shared" si="215"/>
        <v>589290177.39999998</v>
      </c>
      <c r="BO348" s="8">
        <f t="shared" si="216"/>
        <v>579039660.29999995</v>
      </c>
      <c r="BP348" s="8">
        <f t="shared" si="217"/>
        <v>576738379.5</v>
      </c>
      <c r="BQ348" s="8">
        <f t="shared" si="218"/>
        <v>575359418.10000002</v>
      </c>
      <c r="BR348" s="8">
        <f t="shared" si="219"/>
        <v>553719204.5</v>
      </c>
      <c r="BS348" s="8">
        <f t="shared" si="207"/>
        <v>6069.4506520000014</v>
      </c>
      <c r="BT348" s="8">
        <f t="shared" si="210"/>
        <v>84.440511000000697</v>
      </c>
    </row>
    <row r="349" spans="1:72" x14ac:dyDescent="0.35">
      <c r="A349" t="s">
        <v>188</v>
      </c>
      <c r="B349">
        <v>2.98</v>
      </c>
      <c r="C349">
        <v>4.16</v>
      </c>
      <c r="D349">
        <v>5.0200000000000005</v>
      </c>
      <c r="E349">
        <v>5.82</v>
      </c>
      <c r="F349">
        <v>6.73</v>
      </c>
      <c r="G349">
        <v>7.8100000000000005</v>
      </c>
      <c r="H349">
        <v>9.25</v>
      </c>
      <c r="I349">
        <v>11.27</v>
      </c>
      <c r="J349">
        <v>14.75</v>
      </c>
      <c r="K349">
        <v>32.21</v>
      </c>
      <c r="L349">
        <f t="shared" si="224"/>
        <v>26.9</v>
      </c>
      <c r="M349">
        <f t="shared" si="225"/>
        <v>20653000</v>
      </c>
      <c r="N349">
        <f t="shared" si="226"/>
        <v>1610.0848370777339</v>
      </c>
      <c r="O349">
        <f t="shared" si="237"/>
        <v>-6.8025796975034005</v>
      </c>
      <c r="P349" s="8">
        <f t="shared" si="221"/>
        <v>479.80528144916468</v>
      </c>
      <c r="Q349" s="8">
        <f t="shared" si="221"/>
        <v>669.79529222433735</v>
      </c>
      <c r="R349" s="8">
        <f t="shared" si="221"/>
        <v>808.26258821302258</v>
      </c>
      <c r="S349" s="8">
        <f t="shared" si="221"/>
        <v>937.06937517924121</v>
      </c>
      <c r="T349" s="8">
        <f t="shared" si="221"/>
        <v>1083.5870953533151</v>
      </c>
      <c r="U349" s="8">
        <f t="shared" ref="U349:Y378" si="241">G349*$N349/10</f>
        <v>1257.4762577577103</v>
      </c>
      <c r="V349" s="8">
        <f t="shared" si="241"/>
        <v>1489.328474296904</v>
      </c>
      <c r="W349" s="8">
        <f t="shared" si="241"/>
        <v>1814.5656113866062</v>
      </c>
      <c r="X349" s="8">
        <f t="shared" si="241"/>
        <v>2374.8751346896579</v>
      </c>
      <c r="Y349" s="8">
        <f t="shared" si="241"/>
        <v>5186.0832602273813</v>
      </c>
      <c r="Z349">
        <f t="shared" si="222"/>
        <v>6.1733803579506068</v>
      </c>
      <c r="AA349">
        <f t="shared" si="222"/>
        <v>6.5069721317064655</v>
      </c>
      <c r="AB349">
        <f t="shared" si="222"/>
        <v>6.6948869911369311</v>
      </c>
      <c r="AC349">
        <f t="shared" si="222"/>
        <v>6.8427573191766395</v>
      </c>
      <c r="AD349">
        <f t="shared" si="222"/>
        <v>6.9880322010899301</v>
      </c>
      <c r="AE349">
        <f t="shared" si="220"/>
        <v>7.1368620212848883</v>
      </c>
      <c r="AF349">
        <f t="shared" si="220"/>
        <v>7.3060806089576271</v>
      </c>
      <c r="AG349">
        <f t="shared" si="220"/>
        <v>7.5036013854849779</v>
      </c>
      <c r="AH349">
        <f t="shared" si="220"/>
        <v>7.772700140219122</v>
      </c>
      <c r="AI349">
        <f t="shared" si="220"/>
        <v>8.5537340207764014</v>
      </c>
      <c r="AJ349">
        <f t="shared" si="238"/>
        <v>11.255912059890626</v>
      </c>
      <c r="AK349">
        <f t="shared" si="227"/>
        <v>11.864149273796135</v>
      </c>
      <c r="AL349">
        <f t="shared" si="228"/>
        <v>12.206774061165985</v>
      </c>
      <c r="AM349">
        <f t="shared" si="229"/>
        <v>12.476385734540129</v>
      </c>
      <c r="AN349">
        <f t="shared" si="230"/>
        <v>12.741265136182868</v>
      </c>
      <c r="AO349">
        <f t="shared" si="231"/>
        <v>13.012626249684695</v>
      </c>
      <c r="AP349">
        <f t="shared" si="232"/>
        <v>13.321162162151225</v>
      </c>
      <c r="AQ349">
        <f t="shared" si="233"/>
        <v>13.681301398951989</v>
      </c>
      <c r="AR349">
        <f t="shared" si="234"/>
        <v>14.171948620261245</v>
      </c>
      <c r="AS349">
        <f t="shared" si="235"/>
        <v>15.596006132613573</v>
      </c>
      <c r="AT349">
        <f t="shared" si="236"/>
        <v>20.522881946974461</v>
      </c>
      <c r="AU349">
        <f t="shared" si="239"/>
        <v>-20.732159612528548</v>
      </c>
      <c r="AV349" s="5">
        <f t="shared" si="223"/>
        <v>-9.476247552637922</v>
      </c>
      <c r="AW349" s="5">
        <f t="shared" si="223"/>
        <v>-8.8680103387324127</v>
      </c>
      <c r="AX349" s="5">
        <f t="shared" si="223"/>
        <v>-8.5253855513625627</v>
      </c>
      <c r="AY349" s="5">
        <f t="shared" si="223"/>
        <v>-8.2557738779884193</v>
      </c>
      <c r="AZ349" s="5">
        <f t="shared" si="223"/>
        <v>-7.9908944763456802</v>
      </c>
      <c r="BA349" s="5">
        <f t="shared" ref="BA349:BE378" si="242">AO349+$AU349</f>
        <v>-7.7195333628438529</v>
      </c>
      <c r="BB349" s="5">
        <f t="shared" si="242"/>
        <v>-7.410997450377323</v>
      </c>
      <c r="BC349" s="5">
        <f t="shared" si="242"/>
        <v>-7.050858213576559</v>
      </c>
      <c r="BD349" s="5">
        <f t="shared" si="242"/>
        <v>-6.5602109922673026</v>
      </c>
      <c r="BE349" s="5">
        <f t="shared" si="242"/>
        <v>-5.1361534799149755</v>
      </c>
      <c r="BH349" s="1">
        <f t="shared" si="240"/>
        <v>4.3000000000000007</v>
      </c>
      <c r="BI349" s="8">
        <f t="shared" si="208"/>
        <v>674032371.5</v>
      </c>
      <c r="BJ349" s="8">
        <f t="shared" si="211"/>
        <v>672729151.29999995</v>
      </c>
      <c r="BK349" s="8">
        <f t="shared" si="212"/>
        <v>656207578.20000005</v>
      </c>
      <c r="BL349" s="8">
        <f t="shared" si="213"/>
        <v>622810084.79999995</v>
      </c>
      <c r="BM349" s="8">
        <f t="shared" si="214"/>
        <v>598489495.89999998</v>
      </c>
      <c r="BN349" s="8">
        <f t="shared" si="215"/>
        <v>589726957.39999998</v>
      </c>
      <c r="BO349" s="8">
        <f t="shared" si="216"/>
        <v>583980660.29999995</v>
      </c>
      <c r="BP349" s="8">
        <f t="shared" si="217"/>
        <v>578241250.5</v>
      </c>
      <c r="BQ349" s="8">
        <f t="shared" si="218"/>
        <v>575674644.89999998</v>
      </c>
      <c r="BR349" s="8">
        <f t="shared" si="219"/>
        <v>554853222.89999998</v>
      </c>
      <c r="BS349" s="8">
        <f t="shared" si="207"/>
        <v>6106.7454177</v>
      </c>
      <c r="BT349" s="8">
        <f t="shared" si="210"/>
        <v>37.294765699998607</v>
      </c>
    </row>
    <row r="350" spans="1:72" x14ac:dyDescent="0.35">
      <c r="A350" t="s">
        <v>409</v>
      </c>
      <c r="B350">
        <v>2.64</v>
      </c>
      <c r="C350">
        <v>4.18</v>
      </c>
      <c r="D350">
        <v>5.2700000000000005</v>
      </c>
      <c r="E350">
        <v>6.38</v>
      </c>
      <c r="F350">
        <v>7.5</v>
      </c>
      <c r="G350">
        <v>8.7900000000000009</v>
      </c>
      <c r="H350">
        <v>10.370000000000001</v>
      </c>
      <c r="I350">
        <v>12.5</v>
      </c>
      <c r="J350">
        <v>15.69</v>
      </c>
      <c r="K350">
        <v>26.68</v>
      </c>
      <c r="L350">
        <f t="shared" si="224"/>
        <v>26.8</v>
      </c>
      <c r="M350">
        <f t="shared" si="225"/>
        <v>35652002</v>
      </c>
      <c r="N350">
        <f t="shared" si="226"/>
        <v>1004.7756189466916</v>
      </c>
      <c r="O350">
        <f t="shared" si="237"/>
        <v>-7.6251132267586197</v>
      </c>
      <c r="P350" s="8">
        <f t="shared" ref="P350:T378" si="243">B350*$N350/10</f>
        <v>265.26076340192657</v>
      </c>
      <c r="Q350" s="8">
        <f t="shared" si="243"/>
        <v>419.996208719717</v>
      </c>
      <c r="R350" s="8">
        <f t="shared" si="243"/>
        <v>529.51675118490652</v>
      </c>
      <c r="S350" s="8">
        <f t="shared" si="243"/>
        <v>641.04684488798921</v>
      </c>
      <c r="T350" s="8">
        <f t="shared" si="243"/>
        <v>753.58171421001873</v>
      </c>
      <c r="U350" s="8">
        <f t="shared" si="241"/>
        <v>883.19776905414199</v>
      </c>
      <c r="V350" s="8">
        <f t="shared" si="241"/>
        <v>1041.9523168477194</v>
      </c>
      <c r="W350" s="8">
        <f t="shared" si="241"/>
        <v>1255.9695236833645</v>
      </c>
      <c r="X350" s="8">
        <f t="shared" si="241"/>
        <v>1576.4929461273591</v>
      </c>
      <c r="Y350" s="8">
        <f t="shared" si="241"/>
        <v>2680.7413513497731</v>
      </c>
      <c r="Z350">
        <f t="shared" si="222"/>
        <v>5.5807133550004151</v>
      </c>
      <c r="AA350">
        <f t="shared" si="222"/>
        <v>6.0402456843788546</v>
      </c>
      <c r="AB350">
        <f t="shared" si="222"/>
        <v>6.2719648003954616</v>
      </c>
      <c r="AC350">
        <f t="shared" si="222"/>
        <v>6.4631025351988889</v>
      </c>
      <c r="AD350">
        <f t="shared" si="222"/>
        <v>6.6248374583844551</v>
      </c>
      <c r="AE350">
        <f t="shared" si="220"/>
        <v>6.7835491495392759</v>
      </c>
      <c r="AF350">
        <f t="shared" si="220"/>
        <v>6.9488514600836266</v>
      </c>
      <c r="AG350">
        <f t="shared" si="220"/>
        <v>7.1356630821504456</v>
      </c>
      <c r="AH350">
        <f t="shared" si="220"/>
        <v>7.3629580045871315</v>
      </c>
      <c r="AI350">
        <f t="shared" si="220"/>
        <v>7.8938486588896133</v>
      </c>
      <c r="AJ350">
        <f t="shared" si="238"/>
        <v>10.175303498745548</v>
      </c>
      <c r="AK350">
        <f t="shared" si="227"/>
        <v>11.013167875836597</v>
      </c>
      <c r="AL350">
        <f t="shared" si="228"/>
        <v>11.435660876631445</v>
      </c>
      <c r="AM350">
        <f t="shared" si="229"/>
        <v>11.784161926223064</v>
      </c>
      <c r="AN350">
        <f t="shared" si="230"/>
        <v>12.079052888197461</v>
      </c>
      <c r="AO350">
        <f t="shared" si="231"/>
        <v>12.368431597256663</v>
      </c>
      <c r="AP350">
        <f t="shared" si="232"/>
        <v>12.669826969467557</v>
      </c>
      <c r="AQ350">
        <f t="shared" si="233"/>
        <v>13.010440226358744</v>
      </c>
      <c r="AR350">
        <f t="shared" si="234"/>
        <v>13.424866603847708</v>
      </c>
      <c r="AS350">
        <f t="shared" si="235"/>
        <v>14.392838472056114</v>
      </c>
      <c r="AT350">
        <f t="shared" si="236"/>
        <v>18.552610518655761</v>
      </c>
      <c r="AU350">
        <f t="shared" si="239"/>
        <v>-20.588231578957554</v>
      </c>
      <c r="AV350" s="5">
        <f t="shared" ref="AV350:AZ378" si="244">AJ350+$AU350</f>
        <v>-10.412928080212007</v>
      </c>
      <c r="AW350" s="5">
        <f t="shared" si="244"/>
        <v>-9.5750637031209571</v>
      </c>
      <c r="AX350" s="5">
        <f t="shared" si="244"/>
        <v>-9.1525707023261091</v>
      </c>
      <c r="AY350" s="5">
        <f t="shared" si="244"/>
        <v>-8.8040696527344906</v>
      </c>
      <c r="AZ350" s="5">
        <f t="shared" si="244"/>
        <v>-8.509178690760093</v>
      </c>
      <c r="BA350" s="5">
        <f t="shared" si="242"/>
        <v>-8.2197999817008913</v>
      </c>
      <c r="BB350" s="5">
        <f t="shared" si="242"/>
        <v>-7.9184046094899969</v>
      </c>
      <c r="BC350" s="5">
        <f t="shared" si="242"/>
        <v>-7.5777913525988101</v>
      </c>
      <c r="BD350" s="5">
        <f t="shared" si="242"/>
        <v>-7.1633649751098467</v>
      </c>
      <c r="BE350" s="5">
        <f t="shared" si="242"/>
        <v>-6.1953931069014399</v>
      </c>
      <c r="BH350" s="1">
        <f t="shared" si="240"/>
        <v>4.4000000000000004</v>
      </c>
      <c r="BI350" s="8">
        <f t="shared" si="208"/>
        <v>674083066.79999995</v>
      </c>
      <c r="BJ350" s="8">
        <f t="shared" si="211"/>
        <v>673511642.20000005</v>
      </c>
      <c r="BK350" s="8">
        <f t="shared" si="212"/>
        <v>672174383</v>
      </c>
      <c r="BL350" s="8">
        <f t="shared" si="213"/>
        <v>656207578.20000005</v>
      </c>
      <c r="BM350" s="8">
        <f t="shared" si="214"/>
        <v>608405274.10000002</v>
      </c>
      <c r="BN350" s="8">
        <f t="shared" si="215"/>
        <v>595775295.89999998</v>
      </c>
      <c r="BO350" s="8">
        <f t="shared" si="216"/>
        <v>589726957.39999998</v>
      </c>
      <c r="BP350" s="8">
        <f t="shared" si="217"/>
        <v>583980660.29999995</v>
      </c>
      <c r="BQ350" s="8">
        <f t="shared" si="218"/>
        <v>576738379.5</v>
      </c>
      <c r="BR350" s="8">
        <f t="shared" si="219"/>
        <v>560395362.79999995</v>
      </c>
      <c r="BS350" s="8">
        <f t="shared" si="207"/>
        <v>6190.9986001999996</v>
      </c>
      <c r="BT350" s="8">
        <f t="shared" si="210"/>
        <v>84.253182499999639</v>
      </c>
    </row>
    <row r="351" spans="1:72" x14ac:dyDescent="0.35">
      <c r="A351" t="s">
        <v>189</v>
      </c>
      <c r="B351">
        <v>0.8</v>
      </c>
      <c r="C351">
        <v>1.7</v>
      </c>
      <c r="D351">
        <v>2.5</v>
      </c>
      <c r="E351">
        <v>3.6</v>
      </c>
      <c r="F351">
        <v>4.5</v>
      </c>
      <c r="G351">
        <v>5.4</v>
      </c>
      <c r="H351">
        <v>6.8</v>
      </c>
      <c r="I351">
        <v>9.3000000000000007</v>
      </c>
      <c r="J351">
        <v>13.8</v>
      </c>
      <c r="K351">
        <v>51.5</v>
      </c>
      <c r="L351">
        <f t="shared" si="224"/>
        <v>25.7</v>
      </c>
      <c r="M351">
        <f t="shared" si="225"/>
        <v>524960</v>
      </c>
      <c r="N351">
        <f t="shared" si="226"/>
        <v>4169.5907084279788</v>
      </c>
      <c r="O351">
        <f t="shared" si="237"/>
        <v>-4.6213424735108752</v>
      </c>
      <c r="P351" s="8">
        <f t="shared" si="243"/>
        <v>333.56725667423837</v>
      </c>
      <c r="Q351" s="8">
        <f t="shared" si="243"/>
        <v>708.83042043275634</v>
      </c>
      <c r="R351" s="8">
        <f t="shared" si="243"/>
        <v>1042.3976771069947</v>
      </c>
      <c r="S351" s="8">
        <f t="shared" si="243"/>
        <v>1501.0526550340724</v>
      </c>
      <c r="T351" s="8">
        <f t="shared" si="243"/>
        <v>1876.3158187925903</v>
      </c>
      <c r="U351" s="8">
        <f t="shared" si="241"/>
        <v>2251.5789825511088</v>
      </c>
      <c r="V351" s="8">
        <f t="shared" si="241"/>
        <v>2835.3216817310254</v>
      </c>
      <c r="W351" s="8">
        <f t="shared" si="241"/>
        <v>3877.7193588380205</v>
      </c>
      <c r="X351" s="8">
        <f t="shared" si="241"/>
        <v>5754.0351776306106</v>
      </c>
      <c r="Y351" s="8">
        <f t="shared" si="241"/>
        <v>21473.392148404091</v>
      </c>
      <c r="Z351">
        <f t="shared" si="222"/>
        <v>5.809844514211302</v>
      </c>
      <c r="AA351">
        <f t="shared" si="222"/>
        <v>6.563616316587682</v>
      </c>
      <c r="AB351">
        <f t="shared" si="222"/>
        <v>6.9492787973996668</v>
      </c>
      <c r="AC351">
        <f t="shared" si="222"/>
        <v>7.3139219109875766</v>
      </c>
      <c r="AD351">
        <f t="shared" si="222"/>
        <v>7.5370654623017863</v>
      </c>
      <c r="AE351">
        <f t="shared" si="220"/>
        <v>7.7193870190957403</v>
      </c>
      <c r="AF351">
        <f t="shared" si="220"/>
        <v>7.9499106777075728</v>
      </c>
      <c r="AG351">
        <f t="shared" si="220"/>
        <v>8.263002465684723</v>
      </c>
      <c r="AH351">
        <f t="shared" si="220"/>
        <v>8.6576566576886709</v>
      </c>
      <c r="AI351">
        <f t="shared" si="220"/>
        <v>9.9745698731952022</v>
      </c>
      <c r="AJ351">
        <f t="shared" si="238"/>
        <v>10.593077883072439</v>
      </c>
      <c r="AK351">
        <f t="shared" si="227"/>
        <v>11.967428502801688</v>
      </c>
      <c r="AL351">
        <f t="shared" si="228"/>
        <v>12.670606132741218</v>
      </c>
      <c r="AM351">
        <f t="shared" si="229"/>
        <v>13.335459192459828</v>
      </c>
      <c r="AN351">
        <f t="shared" si="230"/>
        <v>13.742316383283923</v>
      </c>
      <c r="AO351">
        <f t="shared" si="231"/>
        <v>14.074742913143226</v>
      </c>
      <c r="AP351">
        <f t="shared" si="232"/>
        <v>14.495056238842862</v>
      </c>
      <c r="AQ351">
        <f t="shared" si="233"/>
        <v>15.065915869678024</v>
      </c>
      <c r="AR351">
        <f t="shared" si="234"/>
        <v>15.785488068650439</v>
      </c>
      <c r="AS351">
        <f t="shared" si="235"/>
        <v>18.186613300657065</v>
      </c>
      <c r="AT351">
        <f t="shared" si="236"/>
        <v>19.314337718050215</v>
      </c>
      <c r="AU351">
        <f t="shared" si="239"/>
        <v>-21.032523804692378</v>
      </c>
      <c r="AV351" s="5">
        <f t="shared" si="244"/>
        <v>-10.439445921619939</v>
      </c>
      <c r="AW351" s="5">
        <f t="shared" si="244"/>
        <v>-9.0650953018906897</v>
      </c>
      <c r="AX351" s="5">
        <f t="shared" si="244"/>
        <v>-8.3619176719511596</v>
      </c>
      <c r="AY351" s="5">
        <f t="shared" si="244"/>
        <v>-7.6970646122325501</v>
      </c>
      <c r="AZ351" s="5">
        <f t="shared" si="244"/>
        <v>-7.2902074214084553</v>
      </c>
      <c r="BA351" s="5">
        <f t="shared" si="242"/>
        <v>-6.9577808915491524</v>
      </c>
      <c r="BB351" s="5">
        <f t="shared" si="242"/>
        <v>-6.537467565849516</v>
      </c>
      <c r="BC351" s="5">
        <f t="shared" si="242"/>
        <v>-5.9666079350143537</v>
      </c>
      <c r="BD351" s="5">
        <f t="shared" si="242"/>
        <v>-5.2470357360419388</v>
      </c>
      <c r="BE351" s="5">
        <f t="shared" si="242"/>
        <v>-2.845910504035313</v>
      </c>
      <c r="BH351" s="1">
        <f t="shared" si="240"/>
        <v>4.5</v>
      </c>
      <c r="BI351" s="8">
        <f t="shared" si="208"/>
        <v>674083066.79999995</v>
      </c>
      <c r="BJ351" s="8">
        <f t="shared" si="211"/>
        <v>673543446.29999995</v>
      </c>
      <c r="BK351" s="8">
        <f t="shared" si="212"/>
        <v>672729151.29999995</v>
      </c>
      <c r="BL351" s="8">
        <f t="shared" si="213"/>
        <v>671061599.10000002</v>
      </c>
      <c r="BM351" s="8">
        <f t="shared" si="214"/>
        <v>655368601.10000002</v>
      </c>
      <c r="BN351" s="8">
        <f t="shared" si="215"/>
        <v>608405274.10000002</v>
      </c>
      <c r="BO351" s="8">
        <f t="shared" si="216"/>
        <v>595775295.89999998</v>
      </c>
      <c r="BP351" s="8">
        <f t="shared" si="217"/>
        <v>583980660.29999995</v>
      </c>
      <c r="BQ351" s="8">
        <f t="shared" si="218"/>
        <v>577905179.5</v>
      </c>
      <c r="BR351" s="8">
        <f t="shared" si="219"/>
        <v>573432916.5</v>
      </c>
      <c r="BS351" s="8">
        <f t="shared" si="207"/>
        <v>6286.2851908999992</v>
      </c>
      <c r="BT351" s="8">
        <f t="shared" si="210"/>
        <v>95.286590699999579</v>
      </c>
    </row>
    <row r="352" spans="1:72" x14ac:dyDescent="0.35">
      <c r="A352" t="s">
        <v>190</v>
      </c>
      <c r="B352">
        <v>1.48</v>
      </c>
      <c r="C352">
        <v>2.52</v>
      </c>
      <c r="D352">
        <v>3.33</v>
      </c>
      <c r="E352">
        <v>4.21</v>
      </c>
      <c r="F352">
        <v>5.26</v>
      </c>
      <c r="G352">
        <v>6.57</v>
      </c>
      <c r="H352">
        <v>8.52</v>
      </c>
      <c r="I352">
        <v>11.370000000000001</v>
      </c>
      <c r="J352">
        <v>16.75</v>
      </c>
      <c r="K352">
        <v>39.980000000000004</v>
      </c>
      <c r="L352">
        <f t="shared" si="224"/>
        <v>21.4</v>
      </c>
      <c r="M352">
        <f t="shared" si="225"/>
        <v>1193148</v>
      </c>
      <c r="N352">
        <f t="shared" si="226"/>
        <v>2445.0802818366064</v>
      </c>
      <c r="O352">
        <f t="shared" si="237"/>
        <v>-3.9952224458913923</v>
      </c>
      <c r="P352" s="8">
        <f t="shared" si="243"/>
        <v>361.87188171181776</v>
      </c>
      <c r="Q352" s="8">
        <f t="shared" si="243"/>
        <v>616.16023102282475</v>
      </c>
      <c r="R352" s="8">
        <f t="shared" si="243"/>
        <v>814.21173385159</v>
      </c>
      <c r="S352" s="8">
        <f t="shared" si="243"/>
        <v>1029.3787986532113</v>
      </c>
      <c r="T352" s="8">
        <f t="shared" si="243"/>
        <v>1286.1122282460551</v>
      </c>
      <c r="U352" s="8">
        <f t="shared" si="241"/>
        <v>1606.4177451666505</v>
      </c>
      <c r="V352" s="8">
        <f t="shared" si="241"/>
        <v>2083.2084001247886</v>
      </c>
      <c r="W352" s="8">
        <f t="shared" si="241"/>
        <v>2780.056280448222</v>
      </c>
      <c r="X352" s="8">
        <f t="shared" si="241"/>
        <v>4095.5094720763154</v>
      </c>
      <c r="Y352" s="8">
        <f t="shared" si="241"/>
        <v>9775.4309667827529</v>
      </c>
      <c r="Z352">
        <f t="shared" si="222"/>
        <v>5.8912902312588864</v>
      </c>
      <c r="AA352">
        <f t="shared" si="222"/>
        <v>6.4235070450061951</v>
      </c>
      <c r="AB352">
        <f t="shared" si="222"/>
        <v>6.7022204474752156</v>
      </c>
      <c r="AC352">
        <f t="shared" si="222"/>
        <v>6.9367107911771528</v>
      </c>
      <c r="AD352">
        <f t="shared" si="222"/>
        <v>7.1593791702324818</v>
      </c>
      <c r="AE352">
        <f t="shared" si="220"/>
        <v>7.3817619759793818</v>
      </c>
      <c r="AF352">
        <f t="shared" si="220"/>
        <v>7.6416644843240871</v>
      </c>
      <c r="AG352">
        <f t="shared" si="220"/>
        <v>7.930226451245308</v>
      </c>
      <c r="AH352">
        <f t="shared" si="220"/>
        <v>8.3176464017539384</v>
      </c>
      <c r="AI352">
        <f t="shared" si="220"/>
        <v>9.1876274725551177</v>
      </c>
      <c r="AJ352">
        <f t="shared" si="238"/>
        <v>10.741577696073865</v>
      </c>
      <c r="AK352">
        <f t="shared" si="227"/>
        <v>11.711967548145706</v>
      </c>
      <c r="AL352">
        <f t="shared" si="228"/>
        <v>12.220145137440666</v>
      </c>
      <c r="AM352">
        <f t="shared" si="229"/>
        <v>12.64769091213172</v>
      </c>
      <c r="AN352">
        <f t="shared" si="230"/>
        <v>13.053681722326544</v>
      </c>
      <c r="AO352">
        <f t="shared" si="231"/>
        <v>13.459151847279255</v>
      </c>
      <c r="AP352">
        <f t="shared" si="232"/>
        <v>13.933031570939139</v>
      </c>
      <c r="AQ352">
        <f t="shared" si="233"/>
        <v>14.459166028102668</v>
      </c>
      <c r="AR352">
        <f t="shared" si="234"/>
        <v>15.165548049025153</v>
      </c>
      <c r="AS352">
        <f t="shared" si="235"/>
        <v>16.751782795454801</v>
      </c>
      <c r="AT352">
        <f t="shared" si="236"/>
        <v>19.585097130096088</v>
      </c>
      <c r="AU352">
        <f t="shared" si="239"/>
        <v>-19.029824920766018</v>
      </c>
      <c r="AV352" s="5">
        <f t="shared" si="244"/>
        <v>-8.288247224692153</v>
      </c>
      <c r="AW352" s="5">
        <f t="shared" si="244"/>
        <v>-7.3178573726203116</v>
      </c>
      <c r="AX352" s="5">
        <f t="shared" si="244"/>
        <v>-6.8096797833253522</v>
      </c>
      <c r="AY352" s="5">
        <f t="shared" si="244"/>
        <v>-6.3821340086342975</v>
      </c>
      <c r="AZ352" s="5">
        <f t="shared" si="244"/>
        <v>-5.9761431984394733</v>
      </c>
      <c r="BA352" s="5">
        <f t="shared" si="242"/>
        <v>-5.5706730734867627</v>
      </c>
      <c r="BB352" s="5">
        <f t="shared" si="242"/>
        <v>-5.0967933498268785</v>
      </c>
      <c r="BC352" s="5">
        <f t="shared" si="242"/>
        <v>-4.5706588926633493</v>
      </c>
      <c r="BD352" s="5">
        <f t="shared" si="242"/>
        <v>-3.8642768717408646</v>
      </c>
      <c r="BE352" s="5">
        <f t="shared" si="242"/>
        <v>-2.2780421253112166</v>
      </c>
      <c r="BH352" s="1">
        <f t="shared" si="240"/>
        <v>4.5999999999999996</v>
      </c>
      <c r="BI352" s="8">
        <f t="shared" si="208"/>
        <v>674083066.79999995</v>
      </c>
      <c r="BJ352" s="8">
        <f t="shared" si="211"/>
        <v>673543446.29999995</v>
      </c>
      <c r="BK352" s="8">
        <f t="shared" si="212"/>
        <v>673511642.20000005</v>
      </c>
      <c r="BL352" s="8">
        <f t="shared" si="213"/>
        <v>672729151.29999995</v>
      </c>
      <c r="BM352" s="8">
        <f t="shared" si="214"/>
        <v>670614163.5</v>
      </c>
      <c r="BN352" s="8">
        <f t="shared" si="215"/>
        <v>624435978.60000002</v>
      </c>
      <c r="BO352" s="8">
        <f t="shared" si="216"/>
        <v>602278419.39999998</v>
      </c>
      <c r="BP352" s="8">
        <f t="shared" si="217"/>
        <v>589726957.39999998</v>
      </c>
      <c r="BQ352" s="8">
        <f t="shared" si="218"/>
        <v>583608539.5</v>
      </c>
      <c r="BR352" s="8">
        <f t="shared" si="219"/>
        <v>575189592</v>
      </c>
      <c r="BS352" s="8">
        <f t="shared" si="207"/>
        <v>6339.7209569999986</v>
      </c>
      <c r="BT352" s="8">
        <f t="shared" si="210"/>
        <v>53.435766099999455</v>
      </c>
    </row>
    <row r="353" spans="1:72" x14ac:dyDescent="0.35">
      <c r="A353" t="s">
        <v>191</v>
      </c>
      <c r="B353">
        <v>3.5</v>
      </c>
      <c r="C353">
        <v>5.6000000000000005</v>
      </c>
      <c r="D353">
        <v>6.8</v>
      </c>
      <c r="E353">
        <v>7.9</v>
      </c>
      <c r="F353">
        <v>8.9</v>
      </c>
      <c r="G353">
        <v>9.9</v>
      </c>
      <c r="H353">
        <v>11</v>
      </c>
      <c r="I353">
        <v>12.3</v>
      </c>
      <c r="J353">
        <v>14.1</v>
      </c>
      <c r="K353">
        <v>20.100000000000001</v>
      </c>
      <c r="L353">
        <f t="shared" si="224"/>
        <v>2.1</v>
      </c>
      <c r="M353">
        <f t="shared" si="225"/>
        <v>9378126</v>
      </c>
      <c r="N353">
        <f t="shared" si="226"/>
        <v>42825.675932195161</v>
      </c>
      <c r="O353">
        <f t="shared" si="237"/>
        <v>1.8822147413877524</v>
      </c>
      <c r="P353" s="8">
        <f t="shared" si="243"/>
        <v>14988.986576268308</v>
      </c>
      <c r="Q353" s="8">
        <f t="shared" si="243"/>
        <v>23982.378522029292</v>
      </c>
      <c r="R353" s="8">
        <f t="shared" si="243"/>
        <v>29121.459633892711</v>
      </c>
      <c r="S353" s="8">
        <f t="shared" si="243"/>
        <v>33832.28398643418</v>
      </c>
      <c r="T353" s="8">
        <f t="shared" si="243"/>
        <v>38114.851579653696</v>
      </c>
      <c r="U353" s="8">
        <f t="shared" si="241"/>
        <v>42397.419172873211</v>
      </c>
      <c r="V353" s="8">
        <f t="shared" si="241"/>
        <v>47108.243525414677</v>
      </c>
      <c r="W353" s="8">
        <f t="shared" si="241"/>
        <v>52675.581396600057</v>
      </c>
      <c r="X353" s="8">
        <f t="shared" si="241"/>
        <v>60384.203064395173</v>
      </c>
      <c r="Y353" s="8">
        <f t="shared" si="241"/>
        <v>86079.60862371228</v>
      </c>
      <c r="Z353">
        <f t="shared" si="222"/>
        <v>9.6150709821579952</v>
      </c>
      <c r="AA353">
        <f t="shared" si="222"/>
        <v>10.085074611403732</v>
      </c>
      <c r="AB353">
        <f t="shared" si="222"/>
        <v>10.279230625844688</v>
      </c>
      <c r="AC353">
        <f t="shared" si="222"/>
        <v>10.429170773135603</v>
      </c>
      <c r="AD353">
        <f t="shared" si="222"/>
        <v>10.548359290400722</v>
      </c>
      <c r="AE353">
        <f t="shared" si="220"/>
        <v>10.654842770803171</v>
      </c>
      <c r="AF353">
        <f t="shared" si="220"/>
        <v>10.760203286460998</v>
      </c>
      <c r="AG353">
        <f t="shared" si="220"/>
        <v>10.871907276041</v>
      </c>
      <c r="AH353">
        <f t="shared" si="220"/>
        <v>11.008482811046751</v>
      </c>
      <c r="AI353">
        <f t="shared" si="220"/>
        <v>11.363027828727658</v>
      </c>
      <c r="AJ353">
        <f t="shared" si="238"/>
        <v>17.531139691626709</v>
      </c>
      <c r="AK353">
        <f t="shared" si="227"/>
        <v>18.388096368823202</v>
      </c>
      <c r="AL353">
        <f t="shared" si="228"/>
        <v>18.742100641641368</v>
      </c>
      <c r="AM353">
        <f t="shared" si="229"/>
        <v>19.015486212316599</v>
      </c>
      <c r="AN353">
        <f t="shared" si="230"/>
        <v>19.232802397469055</v>
      </c>
      <c r="AO353">
        <f t="shared" si="231"/>
        <v>19.42695351431988</v>
      </c>
      <c r="AP353">
        <f t="shared" si="232"/>
        <v>19.619057131797764</v>
      </c>
      <c r="AQ353">
        <f t="shared" si="233"/>
        <v>19.822726792591006</v>
      </c>
      <c r="AR353">
        <f t="shared" si="234"/>
        <v>20.071744692415919</v>
      </c>
      <c r="AS353">
        <f t="shared" si="235"/>
        <v>20.718185914063483</v>
      </c>
      <c r="AT353">
        <f t="shared" si="236"/>
        <v>31.964491937463599</v>
      </c>
      <c r="AU353">
        <f t="shared" si="239"/>
        <v>-17.74391952624654</v>
      </c>
      <c r="AV353" s="5">
        <f t="shared" si="244"/>
        <v>-0.21277983461983041</v>
      </c>
      <c r="AW353" s="5">
        <f t="shared" si="244"/>
        <v>0.64417684257666252</v>
      </c>
      <c r="AX353" s="5">
        <f t="shared" si="244"/>
        <v>0.99818111539482857</v>
      </c>
      <c r="AY353" s="5">
        <f t="shared" si="244"/>
        <v>1.2715666860700594</v>
      </c>
      <c r="AZ353" s="5">
        <f t="shared" si="244"/>
        <v>1.4888828712225148</v>
      </c>
      <c r="BA353" s="5">
        <f t="shared" si="242"/>
        <v>1.6830339880733405</v>
      </c>
      <c r="BB353" s="5">
        <f t="shared" si="242"/>
        <v>1.8751376055512239</v>
      </c>
      <c r="BC353" s="5">
        <f t="shared" si="242"/>
        <v>2.0788072663444659</v>
      </c>
      <c r="BD353" s="5">
        <f t="shared" si="242"/>
        <v>2.3278251661693794</v>
      </c>
      <c r="BE353" s="5">
        <f t="shared" si="242"/>
        <v>2.9742663878169431</v>
      </c>
      <c r="BH353" s="1">
        <f t="shared" si="240"/>
        <v>4.6999999999999993</v>
      </c>
      <c r="BI353" s="8">
        <f t="shared" si="208"/>
        <v>674083066.79999995</v>
      </c>
      <c r="BJ353" s="8">
        <f t="shared" si="211"/>
        <v>674032371.5</v>
      </c>
      <c r="BK353" s="8">
        <f t="shared" si="212"/>
        <v>673543446.29999995</v>
      </c>
      <c r="BL353" s="8">
        <f t="shared" si="213"/>
        <v>673511642.20000005</v>
      </c>
      <c r="BM353" s="8">
        <f t="shared" si="214"/>
        <v>672729151.29999995</v>
      </c>
      <c r="BN353" s="8">
        <f t="shared" si="215"/>
        <v>670614163.5</v>
      </c>
      <c r="BO353" s="8">
        <f t="shared" si="216"/>
        <v>636644689.29999995</v>
      </c>
      <c r="BP353" s="8">
        <f t="shared" si="217"/>
        <v>602278419.39999998</v>
      </c>
      <c r="BQ353" s="8">
        <f t="shared" si="218"/>
        <v>583980660.29999995</v>
      </c>
      <c r="BR353" s="8">
        <f t="shared" si="219"/>
        <v>575394450.29999995</v>
      </c>
      <c r="BS353" s="8">
        <f t="shared" si="207"/>
        <v>6436.8120609000007</v>
      </c>
      <c r="BT353" s="8">
        <f t="shared" si="210"/>
        <v>97.091103900002054</v>
      </c>
    </row>
    <row r="354" spans="1:72" x14ac:dyDescent="0.35">
      <c r="A354" t="s">
        <v>192</v>
      </c>
      <c r="B354">
        <v>3.5</v>
      </c>
      <c r="C354">
        <v>5.2</v>
      </c>
      <c r="D354">
        <v>6.3</v>
      </c>
      <c r="E354">
        <v>7.2</v>
      </c>
      <c r="F354">
        <v>8.1</v>
      </c>
      <c r="G354">
        <v>9.1</v>
      </c>
      <c r="H354">
        <v>10.3</v>
      </c>
      <c r="I354">
        <v>11.9</v>
      </c>
      <c r="J354">
        <v>14.200000000000001</v>
      </c>
      <c r="K354">
        <v>24.3</v>
      </c>
      <c r="L354">
        <f t="shared" si="224"/>
        <v>5.5</v>
      </c>
      <c r="M354">
        <f t="shared" si="225"/>
        <v>7824909</v>
      </c>
      <c r="N354">
        <f t="shared" si="226"/>
        <v>54642.81108074497</v>
      </c>
      <c r="O354">
        <f t="shared" si="237"/>
        <v>0.48501594668187664</v>
      </c>
      <c r="P354" s="8">
        <f t="shared" si="243"/>
        <v>19124.98387826074</v>
      </c>
      <c r="Q354" s="8">
        <f t="shared" si="243"/>
        <v>28414.261761987385</v>
      </c>
      <c r="R354" s="8">
        <f t="shared" si="243"/>
        <v>34424.97098086933</v>
      </c>
      <c r="S354" s="8">
        <f t="shared" si="243"/>
        <v>39342.823978136381</v>
      </c>
      <c r="T354" s="8">
        <f t="shared" si="243"/>
        <v>44260.676975403425</v>
      </c>
      <c r="U354" s="8">
        <f t="shared" si="241"/>
        <v>49724.958083477919</v>
      </c>
      <c r="V354" s="8">
        <f t="shared" si="241"/>
        <v>56282.095413167321</v>
      </c>
      <c r="W354" s="8">
        <f t="shared" si="241"/>
        <v>65024.945186086508</v>
      </c>
      <c r="X354" s="8">
        <f t="shared" si="241"/>
        <v>77592.791734657862</v>
      </c>
      <c r="Y354" s="8">
        <f t="shared" si="241"/>
        <v>132782.03092621028</v>
      </c>
      <c r="Z354">
        <f t="shared" si="222"/>
        <v>9.8587508157276229</v>
      </c>
      <c r="AA354">
        <f t="shared" si="222"/>
        <v>10.254646472819637</v>
      </c>
      <c r="AB354">
        <f t="shared" si="222"/>
        <v>10.446537480629742</v>
      </c>
      <c r="AC354">
        <f t="shared" si="222"/>
        <v>10.580068873254264</v>
      </c>
      <c r="AD354">
        <f t="shared" si="222"/>
        <v>10.697851908910648</v>
      </c>
      <c r="AE354">
        <f t="shared" si="220"/>
        <v>10.81426226075506</v>
      </c>
      <c r="AF354">
        <f t="shared" si="220"/>
        <v>10.938131742467844</v>
      </c>
      <c r="AG354">
        <f t="shared" si="220"/>
        <v>11.082526247349739</v>
      </c>
      <c r="AH354">
        <f t="shared" si="220"/>
        <v>11.25922981183947</v>
      </c>
      <c r="AI354">
        <f t="shared" si="220"/>
        <v>11.796464197578757</v>
      </c>
      <c r="AJ354">
        <f t="shared" si="238"/>
        <v>17.975440644814544</v>
      </c>
      <c r="AK354">
        <f t="shared" si="227"/>
        <v>18.697276404599098</v>
      </c>
      <c r="AL354">
        <f t="shared" si="228"/>
        <v>19.047150895357248</v>
      </c>
      <c r="AM354">
        <f t="shared" si="229"/>
        <v>19.290618416466753</v>
      </c>
      <c r="AN354">
        <f t="shared" si="230"/>
        <v>19.505371989812968</v>
      </c>
      <c r="AO354">
        <f t="shared" si="231"/>
        <v>19.717622751510181</v>
      </c>
      <c r="AP354">
        <f t="shared" si="232"/>
        <v>19.943473729778137</v>
      </c>
      <c r="AQ354">
        <f t="shared" si="233"/>
        <v>20.206747941740286</v>
      </c>
      <c r="AR354">
        <f t="shared" si="234"/>
        <v>20.528931197467283</v>
      </c>
      <c r="AS354">
        <f t="shared" si="235"/>
        <v>21.508469578516955</v>
      </c>
      <c r="AT354">
        <f t="shared" si="236"/>
        <v>32.774584976809066</v>
      </c>
      <c r="AU354">
        <f t="shared" si="239"/>
        <v>-19.659818984803906</v>
      </c>
      <c r="AV354" s="5">
        <f t="shared" si="244"/>
        <v>-1.6843783399893617</v>
      </c>
      <c r="AW354" s="5">
        <f t="shared" si="244"/>
        <v>-0.96254258020480776</v>
      </c>
      <c r="AX354" s="5">
        <f t="shared" si="244"/>
        <v>-0.6126680894466574</v>
      </c>
      <c r="AY354" s="5">
        <f t="shared" si="244"/>
        <v>-0.36920056833715265</v>
      </c>
      <c r="AZ354" s="5">
        <f t="shared" si="244"/>
        <v>-0.15444699499093772</v>
      </c>
      <c r="BA354" s="5">
        <f t="shared" si="242"/>
        <v>5.7803766706275184E-2</v>
      </c>
      <c r="BB354" s="5">
        <f t="shared" si="242"/>
        <v>0.28365474497423193</v>
      </c>
      <c r="BC354" s="5">
        <f t="shared" si="242"/>
        <v>0.54692895693638022</v>
      </c>
      <c r="BD354" s="5">
        <f t="shared" si="242"/>
        <v>0.8691122126633779</v>
      </c>
      <c r="BE354" s="5">
        <f t="shared" si="242"/>
        <v>1.8486505937130495</v>
      </c>
      <c r="BH354" s="1">
        <f t="shared" si="240"/>
        <v>4.7999999999999989</v>
      </c>
      <c r="BI354" s="8">
        <f t="shared" si="208"/>
        <v>674083066.79999995</v>
      </c>
      <c r="BJ354" s="8">
        <f t="shared" si="211"/>
        <v>674083066.79999995</v>
      </c>
      <c r="BK354" s="8">
        <f t="shared" si="212"/>
        <v>673543446.29999995</v>
      </c>
      <c r="BL354" s="8">
        <f t="shared" si="213"/>
        <v>673543446.29999995</v>
      </c>
      <c r="BM354" s="8">
        <f t="shared" si="214"/>
        <v>673511642.20000005</v>
      </c>
      <c r="BN354" s="8">
        <f t="shared" si="215"/>
        <v>672554180</v>
      </c>
      <c r="BO354" s="8">
        <f t="shared" si="216"/>
        <v>639681541</v>
      </c>
      <c r="BP354" s="8">
        <f t="shared" si="217"/>
        <v>623708828.29999995</v>
      </c>
      <c r="BQ354" s="8">
        <f t="shared" si="218"/>
        <v>595072875.89999998</v>
      </c>
      <c r="BR354" s="8">
        <f t="shared" si="219"/>
        <v>575527259.79999995</v>
      </c>
      <c r="BS354" s="8">
        <f t="shared" si="207"/>
        <v>6475.3093534</v>
      </c>
      <c r="BT354" s="8">
        <f t="shared" si="210"/>
        <v>38.497292499999276</v>
      </c>
    </row>
    <row r="355" spans="1:72" x14ac:dyDescent="0.35">
      <c r="A355" t="s">
        <v>410</v>
      </c>
      <c r="B355">
        <v>3.71</v>
      </c>
      <c r="C355">
        <v>5.08</v>
      </c>
      <c r="D355">
        <v>6.0200000000000005</v>
      </c>
      <c r="E355">
        <v>6.92</v>
      </c>
      <c r="F355">
        <v>7.82</v>
      </c>
      <c r="G355">
        <v>8.82</v>
      </c>
      <c r="H355">
        <v>10.029999999999999</v>
      </c>
      <c r="I355">
        <v>11.74</v>
      </c>
      <c r="J355">
        <v>14.42</v>
      </c>
      <c r="K355">
        <v>25.42</v>
      </c>
      <c r="L355">
        <f t="shared" si="224"/>
        <v>2</v>
      </c>
      <c r="M355">
        <f t="shared" si="225"/>
        <v>7627326</v>
      </c>
      <c r="N355">
        <f t="shared" si="226"/>
        <v>417.10605268475319</v>
      </c>
      <c r="O355">
        <f t="shared" si="237"/>
        <v>-6.6119281953347731</v>
      </c>
      <c r="P355" s="8">
        <f t="shared" si="243"/>
        <v>154.74634554604341</v>
      </c>
      <c r="Q355" s="8">
        <f t="shared" si="243"/>
        <v>211.88987476385464</v>
      </c>
      <c r="R355" s="8">
        <f t="shared" si="243"/>
        <v>251.09784371622146</v>
      </c>
      <c r="S355" s="8">
        <f t="shared" si="243"/>
        <v>288.63738845784917</v>
      </c>
      <c r="T355" s="8">
        <f t="shared" si="243"/>
        <v>326.17693319947705</v>
      </c>
      <c r="U355" s="8">
        <f t="shared" si="241"/>
        <v>367.88753846795237</v>
      </c>
      <c r="V355" s="8">
        <f t="shared" si="241"/>
        <v>418.35737084280743</v>
      </c>
      <c r="W355" s="8">
        <f t="shared" si="241"/>
        <v>489.68250585190026</v>
      </c>
      <c r="X355" s="8">
        <f t="shared" si="241"/>
        <v>601.46692797141418</v>
      </c>
      <c r="Y355" s="8">
        <f t="shared" si="241"/>
        <v>1060.2835859246427</v>
      </c>
      <c r="Z355">
        <f t="shared" si="222"/>
        <v>5.0417872960745109</v>
      </c>
      <c r="AA355">
        <f t="shared" si="222"/>
        <v>5.3560666810455579</v>
      </c>
      <c r="AB355">
        <f t="shared" si="222"/>
        <v>5.5258426787758967</v>
      </c>
      <c r="AC355">
        <f t="shared" si="222"/>
        <v>5.6651711890847452</v>
      </c>
      <c r="AD355">
        <f t="shared" si="222"/>
        <v>5.7874399740123872</v>
      </c>
      <c r="AE355">
        <f t="shared" si="220"/>
        <v>5.9077772894738674</v>
      </c>
      <c r="AF355">
        <f t="shared" si="220"/>
        <v>6.0363360214290109</v>
      </c>
      <c r="AG355">
        <f t="shared" si="220"/>
        <v>6.1937572338551172</v>
      </c>
      <c r="AH355">
        <f t="shared" si="220"/>
        <v>6.3993715513119707</v>
      </c>
      <c r="AI355">
        <f t="shared" si="220"/>
        <v>6.9662916852164756</v>
      </c>
      <c r="AJ355">
        <f t="shared" si="238"/>
        <v>9.1926806933580636</v>
      </c>
      <c r="AK355">
        <f t="shared" si="227"/>
        <v>9.765705667417004</v>
      </c>
      <c r="AL355">
        <f t="shared" si="228"/>
        <v>10.075257904526735</v>
      </c>
      <c r="AM355">
        <f t="shared" si="229"/>
        <v>10.329295298715838</v>
      </c>
      <c r="AN355">
        <f t="shared" si="230"/>
        <v>10.552227729736838</v>
      </c>
      <c r="AO355">
        <f t="shared" si="231"/>
        <v>10.771638516343124</v>
      </c>
      <c r="AP355">
        <f t="shared" si="232"/>
        <v>11.006039395199473</v>
      </c>
      <c r="AQ355">
        <f t="shared" si="233"/>
        <v>11.293065176973569</v>
      </c>
      <c r="AR355">
        <f t="shared" si="234"/>
        <v>11.667961350764013</v>
      </c>
      <c r="AS355">
        <f t="shared" si="235"/>
        <v>12.70162569707183</v>
      </c>
      <c r="AT355">
        <f t="shared" si="236"/>
        <v>16.76099632283837</v>
      </c>
      <c r="AU355">
        <f t="shared" si="239"/>
        <v>-17.888875254596556</v>
      </c>
      <c r="AV355" s="5">
        <f t="shared" si="244"/>
        <v>-8.6961945612384923</v>
      </c>
      <c r="AW355" s="5">
        <f t="shared" si="244"/>
        <v>-8.123169587179552</v>
      </c>
      <c r="AX355" s="5">
        <f t="shared" si="244"/>
        <v>-7.8136173500698209</v>
      </c>
      <c r="AY355" s="5">
        <f t="shared" si="244"/>
        <v>-7.559579955880718</v>
      </c>
      <c r="AZ355" s="5">
        <f t="shared" si="244"/>
        <v>-7.3366475248597176</v>
      </c>
      <c r="BA355" s="5">
        <f t="shared" si="242"/>
        <v>-7.1172367382534318</v>
      </c>
      <c r="BB355" s="5">
        <f t="shared" si="242"/>
        <v>-6.8828358593970833</v>
      </c>
      <c r="BC355" s="5">
        <f t="shared" si="242"/>
        <v>-6.5958100776229873</v>
      </c>
      <c r="BD355" s="5">
        <f t="shared" si="242"/>
        <v>-6.2209139038325425</v>
      </c>
      <c r="BE355" s="5">
        <f t="shared" si="242"/>
        <v>-5.1872495575247264</v>
      </c>
      <c r="BH355" s="1">
        <f t="shared" si="240"/>
        <v>4.8999999999999986</v>
      </c>
      <c r="BI355" s="8">
        <f t="shared" si="208"/>
        <v>674083066.79999995</v>
      </c>
      <c r="BJ355" s="8">
        <f t="shared" si="211"/>
        <v>674083066.79999995</v>
      </c>
      <c r="BK355" s="8">
        <f t="shared" si="212"/>
        <v>674032371.5</v>
      </c>
      <c r="BL355" s="8">
        <f t="shared" si="213"/>
        <v>673543446.29999995</v>
      </c>
      <c r="BM355" s="8">
        <f t="shared" si="214"/>
        <v>673543446.29999995</v>
      </c>
      <c r="BN355" s="8">
        <f t="shared" si="215"/>
        <v>672729151.29999995</v>
      </c>
      <c r="BO355" s="8">
        <f t="shared" si="216"/>
        <v>672554180</v>
      </c>
      <c r="BP355" s="8">
        <f t="shared" si="217"/>
        <v>638020001.60000002</v>
      </c>
      <c r="BQ355" s="8">
        <f t="shared" si="218"/>
        <v>602278419.39999998</v>
      </c>
      <c r="BR355" s="8">
        <f t="shared" si="219"/>
        <v>576701362.89999998</v>
      </c>
      <c r="BS355" s="8">
        <f t="shared" si="207"/>
        <v>6531.5685128999994</v>
      </c>
      <c r="BT355" s="8">
        <f t="shared" si="210"/>
        <v>56.259159499999441</v>
      </c>
    </row>
    <row r="356" spans="1:72" x14ac:dyDescent="0.35">
      <c r="A356" t="s">
        <v>194</v>
      </c>
      <c r="B356">
        <v>3.09</v>
      </c>
      <c r="C356">
        <v>4.28</v>
      </c>
      <c r="D356">
        <v>5.12</v>
      </c>
      <c r="E356">
        <v>6.0200000000000005</v>
      </c>
      <c r="F356">
        <v>6.95</v>
      </c>
      <c r="G356">
        <v>8</v>
      </c>
      <c r="H356">
        <v>9.3800000000000008</v>
      </c>
      <c r="I356">
        <v>11.34</v>
      </c>
      <c r="J356">
        <v>14.88</v>
      </c>
      <c r="K356">
        <v>30.95</v>
      </c>
      <c r="L356">
        <f t="shared" si="224"/>
        <v>22.3</v>
      </c>
      <c r="M356">
        <f t="shared" si="225"/>
        <v>44973330</v>
      </c>
      <c r="N356">
        <f t="shared" si="226"/>
        <v>438.4920862852793</v>
      </c>
      <c r="O356">
        <f t="shared" si="237"/>
        <v>-7.463278989929087</v>
      </c>
      <c r="P356" s="8">
        <f t="shared" si="243"/>
        <v>135.49405466215131</v>
      </c>
      <c r="Q356" s="8">
        <f t="shared" si="243"/>
        <v>187.67461293009956</v>
      </c>
      <c r="R356" s="8">
        <f t="shared" si="243"/>
        <v>224.507948178063</v>
      </c>
      <c r="S356" s="8">
        <f t="shared" si="243"/>
        <v>263.97223594373816</v>
      </c>
      <c r="T356" s="8">
        <f t="shared" si="243"/>
        <v>304.75199996826916</v>
      </c>
      <c r="U356" s="8">
        <f t="shared" si="241"/>
        <v>350.79366902822346</v>
      </c>
      <c r="V356" s="8">
        <f t="shared" si="241"/>
        <v>411.30557693559206</v>
      </c>
      <c r="W356" s="8">
        <f t="shared" si="241"/>
        <v>497.25002584750672</v>
      </c>
      <c r="X356" s="8">
        <f t="shared" si="241"/>
        <v>652.47622439249562</v>
      </c>
      <c r="Y356" s="8">
        <f t="shared" si="241"/>
        <v>1357.1330070529393</v>
      </c>
      <c r="Z356">
        <f t="shared" ref="Z356:AI378" si="245">LN(P356)</f>
        <v>4.9089277623250371</v>
      </c>
      <c r="AA356">
        <f t="shared" si="245"/>
        <v>5.2347096810090878</v>
      </c>
      <c r="AB356">
        <f t="shared" si="245"/>
        <v>5.413911110466799</v>
      </c>
      <c r="AC356">
        <f t="shared" si="245"/>
        <v>5.5758439307361121</v>
      </c>
      <c r="AD356">
        <f t="shared" si="245"/>
        <v>5.7194983309920833</v>
      </c>
      <c r="AE356">
        <f t="shared" si="220"/>
        <v>5.8601982130952184</v>
      </c>
      <c r="AF356">
        <f t="shared" si="220"/>
        <v>6.0193364344335158</v>
      </c>
      <c r="AG356">
        <f t="shared" si="220"/>
        <v>6.2090929697149884</v>
      </c>
      <c r="AH356">
        <f t="shared" si="220"/>
        <v>6.4807747008203282</v>
      </c>
      <c r="AI356">
        <f t="shared" si="220"/>
        <v>7.213129670545988</v>
      </c>
      <c r="AJ356">
        <f t="shared" si="238"/>
        <v>8.9504381711917151</v>
      </c>
      <c r="AK356">
        <f t="shared" si="227"/>
        <v>9.5444356919645088</v>
      </c>
      <c r="AL356">
        <f t="shared" si="228"/>
        <v>9.8711732998918933</v>
      </c>
      <c r="AM356">
        <f t="shared" si="229"/>
        <v>10.166425087223292</v>
      </c>
      <c r="AN356">
        <f t="shared" si="230"/>
        <v>10.428349867901204</v>
      </c>
      <c r="AO356">
        <f t="shared" si="231"/>
        <v>10.684887681540086</v>
      </c>
      <c r="AP356">
        <f t="shared" si="232"/>
        <v>10.975044082229761</v>
      </c>
      <c r="AQ356">
        <f t="shared" si="233"/>
        <v>11.321026793495399</v>
      </c>
      <c r="AR356">
        <f t="shared" si="234"/>
        <v>11.816383550456303</v>
      </c>
      <c r="AS356">
        <f t="shared" si="235"/>
        <v>13.15168490204716</v>
      </c>
      <c r="AT356">
        <f t="shared" si="236"/>
        <v>16.319316016657513</v>
      </c>
      <c r="AU356">
        <f t="shared" si="239"/>
        <v>-18.986169204348222</v>
      </c>
      <c r="AV356" s="5">
        <f t="shared" si="244"/>
        <v>-10.035731033156507</v>
      </c>
      <c r="AW356" s="5">
        <f t="shared" si="244"/>
        <v>-9.4417335123837134</v>
      </c>
      <c r="AX356" s="5">
        <f t="shared" si="244"/>
        <v>-9.1149959044563289</v>
      </c>
      <c r="AY356" s="5">
        <f t="shared" si="244"/>
        <v>-8.8197441171249302</v>
      </c>
      <c r="AZ356" s="5">
        <f t="shared" si="244"/>
        <v>-8.5578193364470181</v>
      </c>
      <c r="BA356" s="5">
        <f t="shared" si="242"/>
        <v>-8.3012815228081358</v>
      </c>
      <c r="BB356" s="5">
        <f t="shared" si="242"/>
        <v>-8.011125122118461</v>
      </c>
      <c r="BC356" s="5">
        <f t="shared" si="242"/>
        <v>-7.6651424108528232</v>
      </c>
      <c r="BD356" s="5">
        <f t="shared" si="242"/>
        <v>-7.1697856538919194</v>
      </c>
      <c r="BE356" s="5">
        <f t="shared" si="242"/>
        <v>-5.8344843023010622</v>
      </c>
      <c r="BH356" s="1">
        <f t="shared" si="240"/>
        <v>4.9999999999999982</v>
      </c>
      <c r="BI356" s="8">
        <f t="shared" si="208"/>
        <v>674083066.79999995</v>
      </c>
      <c r="BJ356" s="8">
        <f t="shared" si="211"/>
        <v>674083066.79999995</v>
      </c>
      <c r="BK356" s="8">
        <f t="shared" si="212"/>
        <v>674083066.79999995</v>
      </c>
      <c r="BL356" s="8">
        <f t="shared" si="213"/>
        <v>674032371.5</v>
      </c>
      <c r="BM356" s="8">
        <f t="shared" si="214"/>
        <v>673543446.29999995</v>
      </c>
      <c r="BN356" s="8">
        <f t="shared" si="215"/>
        <v>673543446.29999995</v>
      </c>
      <c r="BO356" s="8">
        <f t="shared" si="216"/>
        <v>672554180</v>
      </c>
      <c r="BP356" s="8">
        <f t="shared" si="217"/>
        <v>640619353.60000002</v>
      </c>
      <c r="BQ356" s="8">
        <f t="shared" si="218"/>
        <v>624827052.10000002</v>
      </c>
      <c r="BR356" s="8">
        <f t="shared" si="219"/>
        <v>582782090.10000002</v>
      </c>
      <c r="BS356" s="8">
        <f t="shared" si="207"/>
        <v>6564.1511403000013</v>
      </c>
      <c r="BT356" s="8">
        <f t="shared" si="210"/>
        <v>32.582627400001911</v>
      </c>
    </row>
    <row r="357" spans="1:72" x14ac:dyDescent="0.35">
      <c r="A357" t="s">
        <v>195</v>
      </c>
      <c r="B357">
        <v>2.88</v>
      </c>
      <c r="C357">
        <v>4.05</v>
      </c>
      <c r="D357">
        <v>4.95</v>
      </c>
      <c r="E357">
        <v>5.84</v>
      </c>
      <c r="F357">
        <v>6.91</v>
      </c>
      <c r="G357">
        <v>8.18</v>
      </c>
      <c r="H357">
        <v>9.8800000000000008</v>
      </c>
      <c r="I357">
        <v>12.19</v>
      </c>
      <c r="J357">
        <v>15.89</v>
      </c>
      <c r="K357">
        <v>29.23</v>
      </c>
      <c r="L357">
        <f t="shared" si="224"/>
        <v>26.3</v>
      </c>
      <c r="M357">
        <f t="shared" si="225"/>
        <v>66402316</v>
      </c>
      <c r="N357">
        <f t="shared" si="226"/>
        <v>3163.9038450709104</v>
      </c>
      <c r="O357">
        <f t="shared" si="237"/>
        <v>-5.3477494996439265</v>
      </c>
      <c r="P357" s="8">
        <f t="shared" si="243"/>
        <v>911.20430738042216</v>
      </c>
      <c r="Q357" s="8">
        <f t="shared" si="243"/>
        <v>1281.3810572537186</v>
      </c>
      <c r="R357" s="8">
        <f t="shared" si="243"/>
        <v>1566.1324033101007</v>
      </c>
      <c r="S357" s="8">
        <f t="shared" si="243"/>
        <v>1847.7198455214116</v>
      </c>
      <c r="T357" s="8">
        <f t="shared" si="243"/>
        <v>2186.2575569439991</v>
      </c>
      <c r="U357" s="8">
        <f t="shared" si="241"/>
        <v>2588.0733452680047</v>
      </c>
      <c r="V357" s="8">
        <f t="shared" si="241"/>
        <v>3125.9369989300599</v>
      </c>
      <c r="W357" s="8">
        <f t="shared" si="241"/>
        <v>3856.7987871414398</v>
      </c>
      <c r="X357" s="8">
        <f t="shared" si="241"/>
        <v>5027.4432098176767</v>
      </c>
      <c r="Y357" s="8">
        <f t="shared" si="241"/>
        <v>9248.090939142272</v>
      </c>
      <c r="Z357">
        <f t="shared" si="245"/>
        <v>6.8147671392732727</v>
      </c>
      <c r="AA357">
        <f t="shared" si="245"/>
        <v>7.1556937262438653</v>
      </c>
      <c r="AB357">
        <f t="shared" si="245"/>
        <v>7.3563644217060169</v>
      </c>
      <c r="AC357">
        <f t="shared" si="245"/>
        <v>7.5217076419655537</v>
      </c>
      <c r="AD357">
        <f t="shared" si="245"/>
        <v>7.6899464829049968</v>
      </c>
      <c r="AE357">
        <f t="shared" si="220"/>
        <v>7.8586689957400733</v>
      </c>
      <c r="AF357">
        <f t="shared" si="220"/>
        <v>8.047489356885194</v>
      </c>
      <c r="AG357">
        <f t="shared" si="220"/>
        <v>8.2575927886185987</v>
      </c>
      <c r="AH357">
        <f t="shared" si="220"/>
        <v>8.5226668256740421</v>
      </c>
      <c r="AI357">
        <f t="shared" si="220"/>
        <v>9.1321724242485729</v>
      </c>
      <c r="AJ357">
        <f t="shared" si="238"/>
        <v>12.425351295502681</v>
      </c>
      <c r="AK357">
        <f t="shared" si="227"/>
        <v>13.046962059672987</v>
      </c>
      <c r="AL357">
        <f t="shared" si="228"/>
        <v>13.412844537367738</v>
      </c>
      <c r="AM357">
        <f t="shared" si="229"/>
        <v>13.71431450018051</v>
      </c>
      <c r="AN357">
        <f t="shared" si="230"/>
        <v>14.021064042387716</v>
      </c>
      <c r="AO357">
        <f t="shared" si="231"/>
        <v>14.328695462594885</v>
      </c>
      <c r="AP357">
        <f t="shared" si="232"/>
        <v>14.672971249430061</v>
      </c>
      <c r="AQ357">
        <f t="shared" si="233"/>
        <v>15.056052416302714</v>
      </c>
      <c r="AR357">
        <f t="shared" si="234"/>
        <v>15.53936137791783</v>
      </c>
      <c r="AS357">
        <f t="shared" si="235"/>
        <v>16.650671716787574</v>
      </c>
      <c r="AT357">
        <f t="shared" si="236"/>
        <v>22.655118166387449</v>
      </c>
      <c r="AU357">
        <f t="shared" si="239"/>
        <v>-20.461014380709805</v>
      </c>
      <c r="AV357" s="5">
        <f t="shared" si="244"/>
        <v>-8.0356630852071245</v>
      </c>
      <c r="AW357" s="5">
        <f t="shared" si="244"/>
        <v>-7.4140523210368183</v>
      </c>
      <c r="AX357" s="5">
        <f t="shared" si="244"/>
        <v>-7.0481698433420679</v>
      </c>
      <c r="AY357" s="5">
        <f t="shared" si="244"/>
        <v>-6.7466998805292953</v>
      </c>
      <c r="AZ357" s="5">
        <f t="shared" si="244"/>
        <v>-6.43995033832209</v>
      </c>
      <c r="BA357" s="5">
        <f t="shared" si="242"/>
        <v>-6.1323189181149207</v>
      </c>
      <c r="BB357" s="5">
        <f t="shared" si="242"/>
        <v>-5.7880431312797445</v>
      </c>
      <c r="BC357" s="5">
        <f t="shared" si="242"/>
        <v>-5.4049619644070912</v>
      </c>
      <c r="BD357" s="5">
        <f t="shared" si="242"/>
        <v>-4.9216530027919756</v>
      </c>
      <c r="BE357" s="5">
        <f t="shared" si="242"/>
        <v>-3.8103426639222313</v>
      </c>
      <c r="BH357" s="1">
        <f t="shared" si="240"/>
        <v>5.0999999999999979</v>
      </c>
      <c r="BI357" s="8">
        <f t="shared" si="208"/>
        <v>674083066.79999995</v>
      </c>
      <c r="BJ357" s="8">
        <f t="shared" si="211"/>
        <v>674083066.79999995</v>
      </c>
      <c r="BK357" s="8">
        <f t="shared" si="212"/>
        <v>674083066.79999995</v>
      </c>
      <c r="BL357" s="8">
        <f t="shared" si="213"/>
        <v>674083066.79999995</v>
      </c>
      <c r="BM357" s="8">
        <f t="shared" si="214"/>
        <v>674032371.5</v>
      </c>
      <c r="BN357" s="8">
        <f t="shared" si="215"/>
        <v>673543446.29999995</v>
      </c>
      <c r="BO357" s="8">
        <f t="shared" si="216"/>
        <v>673543446.29999995</v>
      </c>
      <c r="BP357" s="8">
        <f t="shared" si="217"/>
        <v>672554180</v>
      </c>
      <c r="BQ357" s="8">
        <f t="shared" si="218"/>
        <v>639681541</v>
      </c>
      <c r="BR357" s="8">
        <f t="shared" si="219"/>
        <v>583572489.70000005</v>
      </c>
      <c r="BS357" s="8">
        <f t="shared" si="207"/>
        <v>6613.2597420000002</v>
      </c>
      <c r="BT357" s="8">
        <f t="shared" si="210"/>
        <v>49.108601699998871</v>
      </c>
    </row>
    <row r="358" spans="1:72" x14ac:dyDescent="0.35">
      <c r="A358" t="s">
        <v>411</v>
      </c>
      <c r="B358">
        <v>3.88</v>
      </c>
      <c r="C358">
        <v>5.1100000000000003</v>
      </c>
      <c r="D358">
        <v>5.94</v>
      </c>
      <c r="E358">
        <v>6.7</v>
      </c>
      <c r="F358">
        <v>7.54</v>
      </c>
      <c r="G358">
        <v>8.56</v>
      </c>
      <c r="H358">
        <v>9.85</v>
      </c>
      <c r="I358">
        <v>11.49</v>
      </c>
      <c r="J358">
        <v>14.280000000000001</v>
      </c>
      <c r="K358">
        <v>26.66</v>
      </c>
      <c r="L358">
        <f t="shared" si="224"/>
        <v>25.8</v>
      </c>
      <c r="M358">
        <f t="shared" si="225"/>
        <v>1142502</v>
      </c>
      <c r="N358">
        <f t="shared" si="226"/>
        <v>641.4407139985351</v>
      </c>
      <c r="O358">
        <f t="shared" si="237"/>
        <v>-8.0714872175507253</v>
      </c>
      <c r="P358" s="8">
        <f t="shared" si="243"/>
        <v>248.87899703143162</v>
      </c>
      <c r="Q358" s="8">
        <f t="shared" si="243"/>
        <v>327.77620485325144</v>
      </c>
      <c r="R358" s="8">
        <f t="shared" si="243"/>
        <v>381.01578411512986</v>
      </c>
      <c r="S358" s="8">
        <f t="shared" si="243"/>
        <v>429.76527837901847</v>
      </c>
      <c r="T358" s="8">
        <f t="shared" si="243"/>
        <v>483.64629835489552</v>
      </c>
      <c r="U358" s="8">
        <f t="shared" si="241"/>
        <v>549.07325118274616</v>
      </c>
      <c r="V358" s="8">
        <f t="shared" si="241"/>
        <v>631.81910328855702</v>
      </c>
      <c r="W358" s="8">
        <f t="shared" si="241"/>
        <v>737.01538038431681</v>
      </c>
      <c r="X358" s="8">
        <f t="shared" si="241"/>
        <v>915.97733958990807</v>
      </c>
      <c r="Y358" s="8">
        <f t="shared" si="241"/>
        <v>1710.0809435200947</v>
      </c>
      <c r="Z358">
        <f t="shared" si="245"/>
        <v>5.5169668226529085</v>
      </c>
      <c r="AA358">
        <f t="shared" si="245"/>
        <v>5.7923310732333402</v>
      </c>
      <c r="AB358">
        <f t="shared" si="245"/>
        <v>5.9428408023922801</v>
      </c>
      <c r="AC358">
        <f t="shared" si="245"/>
        <v>6.0632391954146474</v>
      </c>
      <c r="AD358">
        <f t="shared" si="245"/>
        <v>6.1813538510375912</v>
      </c>
      <c r="AE358">
        <f t="shared" si="220"/>
        <v>6.3082318591713777</v>
      </c>
      <c r="AF358">
        <f t="shared" si="220"/>
        <v>6.4486031242017239</v>
      </c>
      <c r="AG358">
        <f t="shared" si="220"/>
        <v>6.6026087608783914</v>
      </c>
      <c r="AH358">
        <f t="shared" si="220"/>
        <v>6.8199916259291653</v>
      </c>
      <c r="AI358">
        <f t="shared" si="220"/>
        <v>7.4442959837682894</v>
      </c>
      <c r="AJ358">
        <f t="shared" si="238"/>
        <v>10.059074573809403</v>
      </c>
      <c r="AK358">
        <f t="shared" si="227"/>
        <v>10.561145661164204</v>
      </c>
      <c r="AL358">
        <f t="shared" si="228"/>
        <v>10.835569749320239</v>
      </c>
      <c r="AM358">
        <f t="shared" si="229"/>
        <v>11.055091898521136</v>
      </c>
      <c r="AN358">
        <f t="shared" si="230"/>
        <v>11.270450113889138</v>
      </c>
      <c r="AO358">
        <f t="shared" si="231"/>
        <v>11.501786532363456</v>
      </c>
      <c r="AP358">
        <f t="shared" si="232"/>
        <v>11.757725179150755</v>
      </c>
      <c r="AQ358">
        <f t="shared" si="233"/>
        <v>12.038523348492049</v>
      </c>
      <c r="AR358">
        <f t="shared" si="234"/>
        <v>12.434877091573396</v>
      </c>
      <c r="AS358">
        <f t="shared" si="235"/>
        <v>13.573169978612755</v>
      </c>
      <c r="AT358">
        <f t="shared" si="236"/>
        <v>18.340690552277536</v>
      </c>
      <c r="AU358">
        <f t="shared" si="239"/>
        <v>-20.15458423852894</v>
      </c>
      <c r="AV358" s="5">
        <f t="shared" si="244"/>
        <v>-10.095509664719538</v>
      </c>
      <c r="AW358" s="5">
        <f t="shared" si="244"/>
        <v>-9.5934385773647364</v>
      </c>
      <c r="AX358" s="5">
        <f t="shared" si="244"/>
        <v>-9.3190144892087012</v>
      </c>
      <c r="AY358" s="5">
        <f t="shared" si="244"/>
        <v>-9.0994923400078047</v>
      </c>
      <c r="AZ358" s="5">
        <f t="shared" si="244"/>
        <v>-8.884134124639802</v>
      </c>
      <c r="BA358" s="5">
        <f t="shared" si="242"/>
        <v>-8.6527977061654848</v>
      </c>
      <c r="BB358" s="5">
        <f t="shared" si="242"/>
        <v>-8.3968590593781851</v>
      </c>
      <c r="BC358" s="5">
        <f t="shared" si="242"/>
        <v>-8.1160608900368914</v>
      </c>
      <c r="BD358" s="5">
        <f t="shared" si="242"/>
        <v>-7.7197071469555443</v>
      </c>
      <c r="BE358" s="5">
        <f t="shared" si="242"/>
        <v>-6.5814142599161851</v>
      </c>
      <c r="BH358" s="1">
        <f t="shared" si="240"/>
        <v>5.1999999999999975</v>
      </c>
      <c r="BI358" s="8">
        <f t="shared" si="208"/>
        <v>674083066.79999995</v>
      </c>
      <c r="BJ358" s="8">
        <f t="shared" si="211"/>
        <v>674083066.79999995</v>
      </c>
      <c r="BK358" s="8">
        <f t="shared" si="212"/>
        <v>674083066.79999995</v>
      </c>
      <c r="BL358" s="8">
        <f t="shared" si="213"/>
        <v>674083066.79999995</v>
      </c>
      <c r="BM358" s="8">
        <f t="shared" si="214"/>
        <v>674032371.5</v>
      </c>
      <c r="BN358" s="8">
        <f t="shared" si="215"/>
        <v>674032371.5</v>
      </c>
      <c r="BO358" s="8">
        <f t="shared" si="216"/>
        <v>673543446.29999995</v>
      </c>
      <c r="BP358" s="8">
        <f t="shared" si="217"/>
        <v>673368475</v>
      </c>
      <c r="BQ358" s="8">
        <f t="shared" si="218"/>
        <v>641174121.89999998</v>
      </c>
      <c r="BR358" s="8">
        <f t="shared" si="219"/>
        <v>600960682.5</v>
      </c>
      <c r="BS358" s="8">
        <f t="shared" si="207"/>
        <v>6633.4437358999994</v>
      </c>
      <c r="BT358" s="8">
        <f t="shared" si="210"/>
        <v>20.183993899999223</v>
      </c>
    </row>
    <row r="359" spans="1:72" x14ac:dyDescent="0.35">
      <c r="A359" t="s">
        <v>412</v>
      </c>
      <c r="B359">
        <v>1.9100000000000001</v>
      </c>
      <c r="C359">
        <v>2.92</v>
      </c>
      <c r="D359">
        <v>3.8200000000000003</v>
      </c>
      <c r="E359">
        <v>4.8600000000000003</v>
      </c>
      <c r="F359">
        <v>6</v>
      </c>
      <c r="G359">
        <v>7.41</v>
      </c>
      <c r="H359">
        <v>9.33</v>
      </c>
      <c r="I359">
        <v>12.14</v>
      </c>
      <c r="J359">
        <v>17.080000000000002</v>
      </c>
      <c r="K359">
        <v>34.53</v>
      </c>
      <c r="L359">
        <f t="shared" si="224"/>
        <v>27.1</v>
      </c>
      <c r="M359">
        <f t="shared" si="225"/>
        <v>6306014</v>
      </c>
      <c r="N359">
        <f t="shared" si="226"/>
        <v>392.85505650149429</v>
      </c>
      <c r="O359">
        <f t="shared" si="237"/>
        <v>-9.4489118845835929</v>
      </c>
      <c r="P359" s="8">
        <f t="shared" si="243"/>
        <v>75.035315791785408</v>
      </c>
      <c r="Q359" s="8">
        <f t="shared" si="243"/>
        <v>114.71367649843633</v>
      </c>
      <c r="R359" s="8">
        <f t="shared" si="243"/>
        <v>150.07063158357082</v>
      </c>
      <c r="S359" s="8">
        <f t="shared" si="243"/>
        <v>190.92755745972624</v>
      </c>
      <c r="T359" s="8">
        <f t="shared" si="243"/>
        <v>235.71303390089656</v>
      </c>
      <c r="U359" s="8">
        <f t="shared" si="241"/>
        <v>291.10559686760723</v>
      </c>
      <c r="V359" s="8">
        <f t="shared" si="241"/>
        <v>366.53376771589421</v>
      </c>
      <c r="W359" s="8">
        <f t="shared" si="241"/>
        <v>476.92603859281405</v>
      </c>
      <c r="X359" s="8">
        <f t="shared" si="241"/>
        <v>670.99643650455232</v>
      </c>
      <c r="Y359" s="8">
        <f t="shared" si="241"/>
        <v>1356.5285100996598</v>
      </c>
      <c r="Z359">
        <f t="shared" si="245"/>
        <v>4.3179588799322257</v>
      </c>
      <c r="AA359">
        <f t="shared" si="245"/>
        <v>4.7424392541538776</v>
      </c>
      <c r="AB359">
        <f t="shared" si="245"/>
        <v>5.0111060604921711</v>
      </c>
      <c r="AC359">
        <f t="shared" si="245"/>
        <v>5.2518940757860895</v>
      </c>
      <c r="AD359">
        <f t="shared" si="245"/>
        <v>5.4626151071017421</v>
      </c>
      <c r="AE359">
        <f t="shared" si="220"/>
        <v>5.6736860771816824</v>
      </c>
      <c r="AF359">
        <f t="shared" si="220"/>
        <v>5.9040906527329398</v>
      </c>
      <c r="AG359">
        <f t="shared" si="220"/>
        <v>6.1673614235050396</v>
      </c>
      <c r="AH359">
        <f t="shared" si="220"/>
        <v>6.5087638262341105</v>
      </c>
      <c r="AI359">
        <f t="shared" si="220"/>
        <v>7.2126841492755878</v>
      </c>
      <c r="AJ359">
        <f t="shared" si="238"/>
        <v>7.8729257898626672</v>
      </c>
      <c r="AK359">
        <f t="shared" si="227"/>
        <v>8.6468800072202576</v>
      </c>
      <c r="AL359">
        <f t="shared" si="228"/>
        <v>9.1367396578832558</v>
      </c>
      <c r="AM359">
        <f t="shared" si="229"/>
        <v>9.5757679645926252</v>
      </c>
      <c r="AN359">
        <f t="shared" si="230"/>
        <v>9.9599751995483921</v>
      </c>
      <c r="AO359">
        <f t="shared" si="231"/>
        <v>10.344820477153208</v>
      </c>
      <c r="AP359">
        <f t="shared" si="232"/>
        <v>10.764916678946664</v>
      </c>
      <c r="AQ359">
        <f t="shared" si="233"/>
        <v>11.244937748753893</v>
      </c>
      <c r="AR359">
        <f t="shared" si="234"/>
        <v>11.867416066845001</v>
      </c>
      <c r="AS359">
        <f t="shared" si="235"/>
        <v>13.150872584005882</v>
      </c>
      <c r="AT359">
        <f t="shared" si="236"/>
        <v>14.354689846805021</v>
      </c>
      <c r="AU359">
        <f t="shared" si="239"/>
        <v>-20.967782287039903</v>
      </c>
      <c r="AV359" s="5">
        <f t="shared" si="244"/>
        <v>-13.094856497177236</v>
      </c>
      <c r="AW359" s="5">
        <f t="shared" si="244"/>
        <v>-12.320902279819645</v>
      </c>
      <c r="AX359" s="5">
        <f t="shared" si="244"/>
        <v>-11.831042629156647</v>
      </c>
      <c r="AY359" s="5">
        <f t="shared" si="244"/>
        <v>-11.392014322447277</v>
      </c>
      <c r="AZ359" s="5">
        <f t="shared" si="244"/>
        <v>-11.007807087491511</v>
      </c>
      <c r="BA359" s="5">
        <f t="shared" si="242"/>
        <v>-10.622961809886695</v>
      </c>
      <c r="BB359" s="5">
        <f t="shared" si="242"/>
        <v>-10.202865608093239</v>
      </c>
      <c r="BC359" s="5">
        <f t="shared" si="242"/>
        <v>-9.7228445382860098</v>
      </c>
      <c r="BD359" s="5">
        <f t="shared" si="242"/>
        <v>-9.1003662201949016</v>
      </c>
      <c r="BE359" s="5">
        <f t="shared" si="242"/>
        <v>-7.8169097030340211</v>
      </c>
      <c r="BH359" s="1">
        <f t="shared" si="240"/>
        <v>5.2999999999999972</v>
      </c>
      <c r="BI359" s="8">
        <f t="shared" si="208"/>
        <v>674083066.79999995</v>
      </c>
      <c r="BJ359" s="8">
        <f t="shared" si="211"/>
        <v>674083066.79999995</v>
      </c>
      <c r="BK359" s="8">
        <f t="shared" si="212"/>
        <v>674083066.79999995</v>
      </c>
      <c r="BL359" s="8">
        <f t="shared" si="213"/>
        <v>674083066.79999995</v>
      </c>
      <c r="BM359" s="8">
        <f t="shared" si="214"/>
        <v>674083066.79999995</v>
      </c>
      <c r="BN359" s="8">
        <f t="shared" si="215"/>
        <v>674032371.5</v>
      </c>
      <c r="BO359" s="8">
        <f t="shared" si="216"/>
        <v>674032371.5</v>
      </c>
      <c r="BP359" s="8">
        <f t="shared" si="217"/>
        <v>673543446.29999995</v>
      </c>
      <c r="BQ359" s="8">
        <f t="shared" si="218"/>
        <v>672585984.10000002</v>
      </c>
      <c r="BR359" s="8">
        <f t="shared" si="219"/>
        <v>607445801</v>
      </c>
      <c r="BS359" s="8">
        <f t="shared" si="207"/>
        <v>6672.0553084000003</v>
      </c>
      <c r="BT359" s="8">
        <f t="shared" si="210"/>
        <v>38.611572500000875</v>
      </c>
    </row>
    <row r="360" spans="1:72" x14ac:dyDescent="0.35">
      <c r="A360" t="s">
        <v>413</v>
      </c>
      <c r="B360">
        <v>2.62</v>
      </c>
      <c r="C360">
        <v>3.96</v>
      </c>
      <c r="D360">
        <v>4.97</v>
      </c>
      <c r="E360">
        <v>5.96</v>
      </c>
      <c r="F360">
        <v>7.04</v>
      </c>
      <c r="G360">
        <v>8.33</v>
      </c>
      <c r="H360">
        <v>9.9500000000000011</v>
      </c>
      <c r="I360">
        <v>12.01</v>
      </c>
      <c r="J360">
        <v>15.76</v>
      </c>
      <c r="K360">
        <v>29.39</v>
      </c>
      <c r="L360">
        <f t="shared" si="224"/>
        <v>25.2</v>
      </c>
      <c r="M360">
        <f t="shared" si="225"/>
        <v>104098</v>
      </c>
      <c r="N360">
        <f t="shared" si="226"/>
        <v>2582.7032504784875</v>
      </c>
      <c r="O360">
        <f t="shared" si="237"/>
        <v>-5.3087044425852206</v>
      </c>
      <c r="P360" s="8">
        <f t="shared" si="243"/>
        <v>676.66825162536372</v>
      </c>
      <c r="Q360" s="8">
        <f t="shared" si="243"/>
        <v>1022.7504871894811</v>
      </c>
      <c r="R360" s="8">
        <f t="shared" si="243"/>
        <v>1283.6035154878082</v>
      </c>
      <c r="S360" s="8">
        <f t="shared" si="243"/>
        <v>1539.2911372851786</v>
      </c>
      <c r="T360" s="8">
        <f t="shared" si="243"/>
        <v>1818.2230883368552</v>
      </c>
      <c r="U360" s="8">
        <f t="shared" si="241"/>
        <v>2151.3918076485797</v>
      </c>
      <c r="V360" s="8">
        <f t="shared" si="241"/>
        <v>2569.7897342260953</v>
      </c>
      <c r="W360" s="8">
        <f t="shared" si="241"/>
        <v>3101.8266038246634</v>
      </c>
      <c r="X360" s="8">
        <f t="shared" si="241"/>
        <v>4070.3403227540962</v>
      </c>
      <c r="Y360" s="8">
        <f t="shared" si="241"/>
        <v>7590.5648531562747</v>
      </c>
      <c r="Z360">
        <f t="shared" si="245"/>
        <v>6.5171811256684737</v>
      </c>
      <c r="AA360">
        <f t="shared" si="245"/>
        <v>6.9302508331618569</v>
      </c>
      <c r="AB360">
        <f t="shared" si="245"/>
        <v>7.1574266480040052</v>
      </c>
      <c r="AC360">
        <f t="shared" si="245"/>
        <v>7.3390772889727263</v>
      </c>
      <c r="AD360">
        <f t="shared" si="245"/>
        <v>7.5056149780654184</v>
      </c>
      <c r="AE360">
        <f t="shared" si="220"/>
        <v>7.6738702640742193</v>
      </c>
      <c r="AF360">
        <f t="shared" si="220"/>
        <v>7.851579359065969</v>
      </c>
      <c r="AG360">
        <f t="shared" si="220"/>
        <v>8.0397464439873598</v>
      </c>
      <c r="AH360">
        <f t="shared" si="220"/>
        <v>8.311481892325201</v>
      </c>
      <c r="AI360">
        <f t="shared" si="220"/>
        <v>8.9346612883262946</v>
      </c>
      <c r="AJ360">
        <f t="shared" si="238"/>
        <v>11.882763312069077</v>
      </c>
      <c r="AK360">
        <f t="shared" si="227"/>
        <v>12.635912483602349</v>
      </c>
      <c r="AL360">
        <f t="shared" si="228"/>
        <v>13.050121692452407</v>
      </c>
      <c r="AM360">
        <f t="shared" si="229"/>
        <v>13.381324942829394</v>
      </c>
      <c r="AN360">
        <f t="shared" si="230"/>
        <v>13.684972778276721</v>
      </c>
      <c r="AO360">
        <f t="shared" si="231"/>
        <v>13.991752304745997</v>
      </c>
      <c r="AP360">
        <f t="shared" si="232"/>
        <v>14.315768942226264</v>
      </c>
      <c r="AQ360">
        <f t="shared" si="233"/>
        <v>14.658853611829265</v>
      </c>
      <c r="AR360">
        <f t="shared" si="234"/>
        <v>15.154308311312755</v>
      </c>
      <c r="AS360">
        <f t="shared" si="235"/>
        <v>16.290550057682758</v>
      </c>
      <c r="AT360">
        <f t="shared" si="236"/>
        <v>21.665818581368924</v>
      </c>
      <c r="AU360">
        <f t="shared" si="239"/>
        <v>-20.058001951094532</v>
      </c>
      <c r="AV360" s="5">
        <f t="shared" si="244"/>
        <v>-8.175238639025455</v>
      </c>
      <c r="AW360" s="5">
        <f t="shared" si="244"/>
        <v>-7.4220894674921833</v>
      </c>
      <c r="AX360" s="5">
        <f t="shared" si="244"/>
        <v>-7.0078802586421247</v>
      </c>
      <c r="AY360" s="5">
        <f t="shared" si="244"/>
        <v>-6.6766770082651377</v>
      </c>
      <c r="AZ360" s="5">
        <f t="shared" si="244"/>
        <v>-6.3730291728178106</v>
      </c>
      <c r="BA360" s="5">
        <f t="shared" si="242"/>
        <v>-6.0662496463485347</v>
      </c>
      <c r="BB360" s="5">
        <f t="shared" si="242"/>
        <v>-5.7422330088682685</v>
      </c>
      <c r="BC360" s="5">
        <f t="shared" si="242"/>
        <v>-5.3991483392652668</v>
      </c>
      <c r="BD360" s="5">
        <f t="shared" si="242"/>
        <v>-4.9036936397817765</v>
      </c>
      <c r="BE360" s="5">
        <f t="shared" si="242"/>
        <v>-3.7674518934117742</v>
      </c>
      <c r="BH360" s="1">
        <f t="shared" si="240"/>
        <v>5.3999999999999968</v>
      </c>
      <c r="BI360" s="8">
        <f t="shared" si="208"/>
        <v>674083066.79999995</v>
      </c>
      <c r="BJ360" s="8">
        <f t="shared" si="211"/>
        <v>674083066.79999995</v>
      </c>
      <c r="BK360" s="8">
        <f t="shared" si="212"/>
        <v>674083066.79999995</v>
      </c>
      <c r="BL360" s="8">
        <f t="shared" si="213"/>
        <v>674083066.79999995</v>
      </c>
      <c r="BM360" s="8">
        <f t="shared" si="214"/>
        <v>674083066.79999995</v>
      </c>
      <c r="BN360" s="8">
        <f t="shared" si="215"/>
        <v>674083066.79999995</v>
      </c>
      <c r="BO360" s="8">
        <f t="shared" si="216"/>
        <v>674032371.5</v>
      </c>
      <c r="BP360" s="8">
        <f t="shared" si="217"/>
        <v>674032371.5</v>
      </c>
      <c r="BQ360" s="8">
        <f t="shared" si="218"/>
        <v>673368475</v>
      </c>
      <c r="BR360" s="8">
        <f t="shared" si="219"/>
        <v>609443815.60000002</v>
      </c>
      <c r="BS360" s="8">
        <f t="shared" si="207"/>
        <v>6675.3754344000008</v>
      </c>
      <c r="BT360" s="8">
        <f t="shared" si="210"/>
        <v>3.3201260000005277</v>
      </c>
    </row>
    <row r="361" spans="1:72" x14ac:dyDescent="0.35">
      <c r="A361" t="s">
        <v>196</v>
      </c>
      <c r="B361">
        <v>2.0699999999999998</v>
      </c>
      <c r="C361">
        <v>3.43</v>
      </c>
      <c r="D361">
        <v>4.58</v>
      </c>
      <c r="E361">
        <v>5.76</v>
      </c>
      <c r="F361">
        <v>7.04</v>
      </c>
      <c r="G361">
        <v>8.49</v>
      </c>
      <c r="H361">
        <v>10.23</v>
      </c>
      <c r="I361">
        <v>12.5</v>
      </c>
      <c r="J361">
        <v>16.010000000000002</v>
      </c>
      <c r="K361">
        <v>29.89</v>
      </c>
      <c r="L361">
        <f t="shared" si="224"/>
        <v>25.7</v>
      </c>
      <c r="M361">
        <f t="shared" si="225"/>
        <v>1328095</v>
      </c>
      <c r="N361">
        <f t="shared" si="226"/>
        <v>14297.889414135465</v>
      </c>
      <c r="O361">
        <f t="shared" si="237"/>
        <v>-2.3745031905012866</v>
      </c>
      <c r="P361" s="8">
        <f t="shared" si="243"/>
        <v>2959.6631087260412</v>
      </c>
      <c r="Q361" s="8">
        <f t="shared" si="243"/>
        <v>4904.1760690484643</v>
      </c>
      <c r="R361" s="8">
        <f t="shared" si="243"/>
        <v>6548.4333516740426</v>
      </c>
      <c r="S361" s="8">
        <f t="shared" si="243"/>
        <v>8235.5843025420272</v>
      </c>
      <c r="T361" s="8">
        <f t="shared" si="243"/>
        <v>10065.714147551367</v>
      </c>
      <c r="U361" s="8">
        <f t="shared" si="241"/>
        <v>12138.90811260101</v>
      </c>
      <c r="V361" s="8">
        <f t="shared" si="241"/>
        <v>14626.740870660582</v>
      </c>
      <c r="W361" s="8">
        <f t="shared" si="241"/>
        <v>17872.361767669332</v>
      </c>
      <c r="X361" s="8">
        <f t="shared" si="241"/>
        <v>22890.920952030883</v>
      </c>
      <c r="Y361" s="8">
        <f t="shared" si="241"/>
        <v>42736.391458850907</v>
      </c>
      <c r="Z361">
        <f t="shared" si="245"/>
        <v>7.9928307262211504</v>
      </c>
      <c r="AA361">
        <f t="shared" si="245"/>
        <v>8.4978423801217211</v>
      </c>
      <c r="AB361">
        <f t="shared" si="245"/>
        <v>8.7869811170699652</v>
      </c>
      <c r="AC361">
        <f t="shared" si="245"/>
        <v>9.0162195936516714</v>
      </c>
      <c r="AD361">
        <f t="shared" si="245"/>
        <v>9.2168902891138238</v>
      </c>
      <c r="AE361">
        <f t="shared" si="220"/>
        <v>9.4041711192671276</v>
      </c>
      <c r="AF361">
        <f t="shared" si="220"/>
        <v>9.5906066989074077</v>
      </c>
      <c r="AG361">
        <f t="shared" si="220"/>
        <v>9.7910107632521282</v>
      </c>
      <c r="AH361">
        <f t="shared" si="220"/>
        <v>10.038495645952496</v>
      </c>
      <c r="AI361">
        <f t="shared" si="220"/>
        <v>10.662806095239718</v>
      </c>
      <c r="AJ361">
        <f t="shared" si="238"/>
        <v>14.573312277457571</v>
      </c>
      <c r="AK361">
        <f t="shared" si="227"/>
        <v>15.494099015991175</v>
      </c>
      <c r="AL361">
        <f t="shared" si="228"/>
        <v>16.021285096791434</v>
      </c>
      <c r="AM361">
        <f t="shared" si="229"/>
        <v>16.439255152665904</v>
      </c>
      <c r="AN361">
        <f t="shared" si="230"/>
        <v>16.805137630360658</v>
      </c>
      <c r="AO361">
        <f t="shared" si="231"/>
        <v>17.146606393417517</v>
      </c>
      <c r="AP361">
        <f t="shared" si="232"/>
        <v>17.486534012904478</v>
      </c>
      <c r="AQ361">
        <f t="shared" si="233"/>
        <v>17.851930342616079</v>
      </c>
      <c r="AR361">
        <f t="shared" si="234"/>
        <v>18.303169034273896</v>
      </c>
      <c r="AS361">
        <f t="shared" si="235"/>
        <v>19.441473027838388</v>
      </c>
      <c r="AT361">
        <f t="shared" si="236"/>
        <v>26.571491128863837</v>
      </c>
      <c r="AU361">
        <f t="shared" si="239"/>
        <v>-20.288880249853577</v>
      </c>
      <c r="AV361" s="5">
        <f t="shared" si="244"/>
        <v>-5.7155679723960056</v>
      </c>
      <c r="AW361" s="5">
        <f t="shared" si="244"/>
        <v>-4.7947812338624018</v>
      </c>
      <c r="AX361" s="5">
        <f t="shared" si="244"/>
        <v>-4.2675951530621425</v>
      </c>
      <c r="AY361" s="5">
        <f t="shared" si="244"/>
        <v>-3.8496250971876727</v>
      </c>
      <c r="AZ361" s="5">
        <f t="shared" si="244"/>
        <v>-3.4837426194929186</v>
      </c>
      <c r="BA361" s="5">
        <f t="shared" si="242"/>
        <v>-3.1422738564360593</v>
      </c>
      <c r="BB361" s="5">
        <f t="shared" si="242"/>
        <v>-2.8023462369490986</v>
      </c>
      <c r="BC361" s="5">
        <f t="shared" si="242"/>
        <v>-2.4369499072374978</v>
      </c>
      <c r="BD361" s="5">
        <f t="shared" si="242"/>
        <v>-1.9857112155796806</v>
      </c>
      <c r="BE361" s="5">
        <f t="shared" si="242"/>
        <v>-0.84740722201518892</v>
      </c>
      <c r="BH361" s="1">
        <f t="shared" si="240"/>
        <v>5.4999999999999964</v>
      </c>
      <c r="BI361" s="8">
        <f t="shared" si="208"/>
        <v>674083066.79999995</v>
      </c>
      <c r="BJ361" s="8">
        <f t="shared" si="211"/>
        <v>674083066.79999995</v>
      </c>
      <c r="BK361" s="8">
        <f t="shared" si="212"/>
        <v>674083066.79999995</v>
      </c>
      <c r="BL361" s="8">
        <f t="shared" si="213"/>
        <v>674083066.79999995</v>
      </c>
      <c r="BM361" s="8">
        <f t="shared" si="214"/>
        <v>674083066.79999995</v>
      </c>
      <c r="BN361" s="8">
        <f t="shared" si="215"/>
        <v>674083066.79999995</v>
      </c>
      <c r="BO361" s="8">
        <f t="shared" si="216"/>
        <v>674083066.79999995</v>
      </c>
      <c r="BP361" s="8">
        <f t="shared" si="217"/>
        <v>674032371.5</v>
      </c>
      <c r="BQ361" s="8">
        <f t="shared" si="218"/>
        <v>673857400.20000005</v>
      </c>
      <c r="BR361" s="8">
        <f t="shared" si="219"/>
        <v>625901421.79999995</v>
      </c>
      <c r="BS361" s="8">
        <f t="shared" si="207"/>
        <v>6692.3726611000002</v>
      </c>
      <c r="BT361" s="8">
        <f t="shared" si="210"/>
        <v>16.997226699999374</v>
      </c>
    </row>
    <row r="362" spans="1:72" x14ac:dyDescent="0.35">
      <c r="A362" t="s">
        <v>197</v>
      </c>
      <c r="B362">
        <v>2.6</v>
      </c>
      <c r="C362">
        <v>4.13</v>
      </c>
      <c r="D362">
        <v>5.29</v>
      </c>
      <c r="E362">
        <v>6.3100000000000005</v>
      </c>
      <c r="F362">
        <v>7.43</v>
      </c>
      <c r="G362">
        <v>8.7100000000000009</v>
      </c>
      <c r="H362">
        <v>10.25</v>
      </c>
      <c r="I362">
        <v>12.370000000000001</v>
      </c>
      <c r="J362">
        <v>15.89</v>
      </c>
      <c r="K362">
        <v>27.03</v>
      </c>
      <c r="L362">
        <f t="shared" si="224"/>
        <v>19.2</v>
      </c>
      <c r="M362">
        <f t="shared" si="225"/>
        <v>10549100</v>
      </c>
      <c r="N362">
        <f t="shared" si="226"/>
        <v>3861.5088997834828</v>
      </c>
      <c r="O362">
        <f t="shared" si="237"/>
        <v>-2.343771783240709</v>
      </c>
      <c r="P362" s="8">
        <f t="shared" si="243"/>
        <v>1003.9923139437057</v>
      </c>
      <c r="Q362" s="8">
        <f t="shared" si="243"/>
        <v>1594.8031756105784</v>
      </c>
      <c r="R362" s="8">
        <f t="shared" si="243"/>
        <v>2042.7382079854626</v>
      </c>
      <c r="S362" s="8">
        <f t="shared" si="243"/>
        <v>2436.6121157633779</v>
      </c>
      <c r="T362" s="8">
        <f t="shared" si="243"/>
        <v>2869.1011125391278</v>
      </c>
      <c r="U362" s="8">
        <f t="shared" si="241"/>
        <v>3363.3742517114138</v>
      </c>
      <c r="V362" s="8">
        <f t="shared" si="241"/>
        <v>3958.0466222780697</v>
      </c>
      <c r="W362" s="8">
        <f t="shared" si="241"/>
        <v>4776.686509032168</v>
      </c>
      <c r="X362" s="8">
        <f t="shared" si="241"/>
        <v>6135.9376417559542</v>
      </c>
      <c r="Y362" s="8">
        <f t="shared" si="241"/>
        <v>10437.658556114755</v>
      </c>
      <c r="Z362">
        <f t="shared" si="245"/>
        <v>6.911739644787815</v>
      </c>
      <c r="AA362">
        <f t="shared" si="245"/>
        <v>7.3745056067333206</v>
      </c>
      <c r="AB362">
        <f t="shared" si="245"/>
        <v>7.6220464456305868</v>
      </c>
      <c r="AC362">
        <f t="shared" si="245"/>
        <v>7.798363876313501</v>
      </c>
      <c r="AD362">
        <f t="shared" si="245"/>
        <v>7.9617540584900466</v>
      </c>
      <c r="AE362">
        <f t="shared" si="220"/>
        <v>8.1206999906247912</v>
      </c>
      <c r="AF362">
        <f t="shared" si="220"/>
        <v>8.2835059053447964</v>
      </c>
      <c r="AG362">
        <f t="shared" si="220"/>
        <v>8.4715023861647758</v>
      </c>
      <c r="AH362">
        <f t="shared" si="220"/>
        <v>8.7219181803090038</v>
      </c>
      <c r="AI362">
        <f t="shared" si="220"/>
        <v>9.2531755600487351</v>
      </c>
      <c r="AJ362">
        <f t="shared" si="238"/>
        <v>12.602161070862334</v>
      </c>
      <c r="AK362">
        <f t="shared" si="227"/>
        <v>13.445921323745651</v>
      </c>
      <c r="AL362">
        <f t="shared" si="228"/>
        <v>13.897262040225359</v>
      </c>
      <c r="AM362">
        <f t="shared" si="229"/>
        <v>14.218741258954655</v>
      </c>
      <c r="AN362">
        <f t="shared" si="230"/>
        <v>14.516650251336786</v>
      </c>
      <c r="AO362">
        <f t="shared" si="231"/>
        <v>14.806456051506201</v>
      </c>
      <c r="AP362">
        <f t="shared" si="232"/>
        <v>15.103299750203357</v>
      </c>
      <c r="AQ362">
        <f t="shared" si="233"/>
        <v>15.446073357689464</v>
      </c>
      <c r="AR362">
        <f t="shared" si="234"/>
        <v>15.902655974321046</v>
      </c>
      <c r="AS362">
        <f t="shared" si="235"/>
        <v>16.87129649228574</v>
      </c>
      <c r="AT362">
        <f t="shared" si="236"/>
        <v>22.977495076181153</v>
      </c>
      <c r="AU362">
        <f t="shared" si="239"/>
        <v>-17.771809864000698</v>
      </c>
      <c r="AV362" s="5">
        <f t="shared" si="244"/>
        <v>-5.1696487931383643</v>
      </c>
      <c r="AW362" s="5">
        <f t="shared" si="244"/>
        <v>-4.3258885402550469</v>
      </c>
      <c r="AX362" s="5">
        <f t="shared" si="244"/>
        <v>-3.8745478237753392</v>
      </c>
      <c r="AY362" s="5">
        <f t="shared" si="244"/>
        <v>-3.5530686050460432</v>
      </c>
      <c r="AZ362" s="5">
        <f t="shared" si="244"/>
        <v>-3.2551596126639115</v>
      </c>
      <c r="BA362" s="5">
        <f t="shared" si="242"/>
        <v>-2.9653538124944969</v>
      </c>
      <c r="BB362" s="5">
        <f t="shared" si="242"/>
        <v>-2.6685101137973408</v>
      </c>
      <c r="BC362" s="5">
        <f t="shared" si="242"/>
        <v>-2.3257365063112339</v>
      </c>
      <c r="BD362" s="5">
        <f t="shared" si="242"/>
        <v>-1.8691538896796516</v>
      </c>
      <c r="BE362" s="5">
        <f t="shared" si="242"/>
        <v>-0.9005133717149576</v>
      </c>
      <c r="BH362" s="1">
        <f t="shared" si="240"/>
        <v>5.5999999999999961</v>
      </c>
      <c r="BI362" s="8">
        <f t="shared" si="208"/>
        <v>674083066.79999995</v>
      </c>
      <c r="BJ362" s="8">
        <f t="shared" si="211"/>
        <v>674083066.79999995</v>
      </c>
      <c r="BK362" s="8">
        <f t="shared" si="212"/>
        <v>674083066.79999995</v>
      </c>
      <c r="BL362" s="8">
        <f t="shared" si="213"/>
        <v>674083066.79999995</v>
      </c>
      <c r="BM362" s="8">
        <f t="shared" si="214"/>
        <v>674083066.79999995</v>
      </c>
      <c r="BN362" s="8">
        <f t="shared" si="215"/>
        <v>674083066.79999995</v>
      </c>
      <c r="BO362" s="8">
        <f t="shared" si="216"/>
        <v>674083066.79999995</v>
      </c>
      <c r="BP362" s="8">
        <f t="shared" si="217"/>
        <v>674083066.79999995</v>
      </c>
      <c r="BQ362" s="8">
        <f t="shared" si="218"/>
        <v>674032371.5</v>
      </c>
      <c r="BR362" s="8">
        <f t="shared" si="219"/>
        <v>639409263.60000002</v>
      </c>
      <c r="BS362" s="8">
        <f t="shared" si="207"/>
        <v>6706.1061695000008</v>
      </c>
      <c r="BT362" s="8">
        <f t="shared" si="210"/>
        <v>13.733508400000574</v>
      </c>
    </row>
    <row r="363" spans="1:72" x14ac:dyDescent="0.35">
      <c r="A363" t="s">
        <v>197</v>
      </c>
      <c r="B363">
        <v>2.52</v>
      </c>
      <c r="C363">
        <v>3.92</v>
      </c>
      <c r="D363">
        <v>5.0600000000000005</v>
      </c>
      <c r="E363">
        <v>6.11</v>
      </c>
      <c r="F363">
        <v>7.18</v>
      </c>
      <c r="G363">
        <v>8.4600000000000009</v>
      </c>
      <c r="H363">
        <v>10.01</v>
      </c>
      <c r="I363">
        <v>12.07</v>
      </c>
      <c r="J363">
        <v>15.59</v>
      </c>
      <c r="K363">
        <v>29.080000000000002</v>
      </c>
      <c r="L363">
        <f t="shared" si="224"/>
        <v>19.2</v>
      </c>
      <c r="M363">
        <f t="shared" si="225"/>
        <v>10549100</v>
      </c>
      <c r="N363">
        <f t="shared" si="226"/>
        <v>3861.5088997834828</v>
      </c>
      <c r="O363">
        <f t="shared" si="237"/>
        <v>-2.343771783240709</v>
      </c>
      <c r="P363" s="8">
        <f t="shared" si="243"/>
        <v>973.10024274543775</v>
      </c>
      <c r="Q363" s="8">
        <f t="shared" si="243"/>
        <v>1513.7114887151251</v>
      </c>
      <c r="R363" s="8">
        <f t="shared" si="243"/>
        <v>1953.9235032904423</v>
      </c>
      <c r="S363" s="8">
        <f t="shared" si="243"/>
        <v>2359.3819377677082</v>
      </c>
      <c r="T363" s="8">
        <f t="shared" si="243"/>
        <v>2772.5633900445405</v>
      </c>
      <c r="U363" s="8">
        <f t="shared" si="241"/>
        <v>3266.8365292168264</v>
      </c>
      <c r="V363" s="8">
        <f t="shared" si="241"/>
        <v>3865.3704086832659</v>
      </c>
      <c r="W363" s="8">
        <f t="shared" si="241"/>
        <v>4660.8412420386639</v>
      </c>
      <c r="X363" s="8">
        <f t="shared" si="241"/>
        <v>6020.0923747624493</v>
      </c>
      <c r="Y363" s="8">
        <f t="shared" si="241"/>
        <v>11229.267880570369</v>
      </c>
      <c r="Z363">
        <f t="shared" si="245"/>
        <v>6.8804871012837108</v>
      </c>
      <c r="AA363">
        <f t="shared" si="245"/>
        <v>7.3223198535627496</v>
      </c>
      <c r="AB363">
        <f t="shared" si="245"/>
        <v>7.5775946830597531</v>
      </c>
      <c r="AC363">
        <f t="shared" si="245"/>
        <v>7.766154972943883</v>
      </c>
      <c r="AD363">
        <f t="shared" si="245"/>
        <v>7.9275275828205114</v>
      </c>
      <c r="AE363">
        <f t="shared" si="220"/>
        <v>8.0915773733785112</v>
      </c>
      <c r="AF363">
        <f t="shared" si="220"/>
        <v>8.2598127930875087</v>
      </c>
      <c r="AG363">
        <f t="shared" si="220"/>
        <v>8.4469512348698199</v>
      </c>
      <c r="AH363">
        <f t="shared" si="220"/>
        <v>8.7028578828300631</v>
      </c>
      <c r="AI363">
        <f t="shared" si="220"/>
        <v>9.3262788524256983</v>
      </c>
      <c r="AJ363">
        <f t="shared" si="238"/>
        <v>12.545178370796387</v>
      </c>
      <c r="AK363">
        <f t="shared" si="227"/>
        <v>13.350771144361255</v>
      </c>
      <c r="AL363">
        <f t="shared" si="228"/>
        <v>13.816213230433483</v>
      </c>
      <c r="AM363">
        <f t="shared" si="229"/>
        <v>14.160014829858637</v>
      </c>
      <c r="AN363">
        <f t="shared" si="230"/>
        <v>14.454245186701474</v>
      </c>
      <c r="AO363">
        <f t="shared" si="231"/>
        <v>14.753356841726294</v>
      </c>
      <c r="AP363">
        <f t="shared" si="232"/>
        <v>15.060100146010869</v>
      </c>
      <c r="AQ363">
        <f t="shared" si="233"/>
        <v>15.401309292635673</v>
      </c>
      <c r="AR363">
        <f t="shared" si="234"/>
        <v>15.867903372048289</v>
      </c>
      <c r="AS363">
        <f t="shared" si="235"/>
        <v>17.004585579070071</v>
      </c>
      <c r="AT363">
        <f t="shared" si="236"/>
        <v>22.873598633116313</v>
      </c>
      <c r="AU363">
        <f t="shared" si="239"/>
        <v>-17.818680274155966</v>
      </c>
      <c r="AV363" s="5">
        <f t="shared" si="244"/>
        <v>-5.2735019033595787</v>
      </c>
      <c r="AW363" s="5">
        <f t="shared" si="244"/>
        <v>-4.4679091297947107</v>
      </c>
      <c r="AX363" s="5">
        <f t="shared" si="244"/>
        <v>-4.0024670437224827</v>
      </c>
      <c r="AY363" s="5">
        <f t="shared" si="244"/>
        <v>-3.6586654442973288</v>
      </c>
      <c r="AZ363" s="5">
        <f t="shared" si="244"/>
        <v>-3.3644350874544919</v>
      </c>
      <c r="BA363" s="5">
        <f t="shared" si="242"/>
        <v>-3.0653234324296719</v>
      </c>
      <c r="BB363" s="5">
        <f t="shared" si="242"/>
        <v>-2.7585801281450966</v>
      </c>
      <c r="BC363" s="5">
        <f t="shared" si="242"/>
        <v>-2.4173709815202926</v>
      </c>
      <c r="BD363" s="5">
        <f t="shared" si="242"/>
        <v>-1.9507769021076768</v>
      </c>
      <c r="BE363" s="5">
        <f t="shared" si="242"/>
        <v>-0.81409469508589538</v>
      </c>
      <c r="BH363" s="1">
        <f t="shared" si="240"/>
        <v>5.6999999999999957</v>
      </c>
      <c r="BI363" s="8">
        <f t="shared" si="208"/>
        <v>674083066.79999995</v>
      </c>
      <c r="BJ363" s="8">
        <f t="shared" si="211"/>
        <v>674083066.79999995</v>
      </c>
      <c r="BK363" s="8">
        <f t="shared" si="212"/>
        <v>674083066.79999995</v>
      </c>
      <c r="BL363" s="8">
        <f t="shared" si="213"/>
        <v>674083066.79999995</v>
      </c>
      <c r="BM363" s="8">
        <f t="shared" si="214"/>
        <v>674083066.79999995</v>
      </c>
      <c r="BN363" s="8">
        <f t="shared" si="215"/>
        <v>674083066.79999995</v>
      </c>
      <c r="BO363" s="8">
        <f t="shared" si="216"/>
        <v>674083066.79999995</v>
      </c>
      <c r="BP363" s="8">
        <f t="shared" si="217"/>
        <v>674083066.79999995</v>
      </c>
      <c r="BQ363" s="8">
        <f t="shared" si="218"/>
        <v>674032371.5</v>
      </c>
      <c r="BR363" s="8">
        <f t="shared" si="219"/>
        <v>640503506</v>
      </c>
      <c r="BS363" s="8">
        <f t="shared" si="207"/>
        <v>6707.2004119000003</v>
      </c>
      <c r="BT363" s="8">
        <f t="shared" si="210"/>
        <v>1.0942423999995299</v>
      </c>
    </row>
    <row r="364" spans="1:72" x14ac:dyDescent="0.35">
      <c r="A364" t="s">
        <v>198</v>
      </c>
      <c r="B364">
        <v>2.21</v>
      </c>
      <c r="C364">
        <v>3.63</v>
      </c>
      <c r="D364">
        <v>4.7300000000000004</v>
      </c>
      <c r="E364">
        <v>5.76</v>
      </c>
      <c r="F364">
        <v>6.92</v>
      </c>
      <c r="G364">
        <v>8.23</v>
      </c>
      <c r="H364">
        <v>9.85</v>
      </c>
      <c r="I364">
        <v>12.1</v>
      </c>
      <c r="J364">
        <v>16</v>
      </c>
      <c r="K364">
        <v>30.580000000000002</v>
      </c>
      <c r="L364">
        <f t="shared" si="224"/>
        <v>11.1</v>
      </c>
      <c r="M364">
        <f t="shared" si="225"/>
        <v>72137546</v>
      </c>
      <c r="N364">
        <f t="shared" si="226"/>
        <v>7833.5285846205052</v>
      </c>
      <c r="O364">
        <f t="shared" si="237"/>
        <v>1.9585575739481822</v>
      </c>
      <c r="P364" s="8">
        <f t="shared" si="243"/>
        <v>1731.2098172011315</v>
      </c>
      <c r="Q364" s="8">
        <f t="shared" si="243"/>
        <v>2843.570876217243</v>
      </c>
      <c r="R364" s="8">
        <f t="shared" si="243"/>
        <v>3705.2590205254992</v>
      </c>
      <c r="S364" s="8">
        <f t="shared" si="243"/>
        <v>4512.1124647414108</v>
      </c>
      <c r="T364" s="8">
        <f t="shared" si="243"/>
        <v>5420.8017805573891</v>
      </c>
      <c r="U364" s="8">
        <f t="shared" si="241"/>
        <v>6446.994025142676</v>
      </c>
      <c r="V364" s="8">
        <f t="shared" si="241"/>
        <v>7716.0256558511974</v>
      </c>
      <c r="W364" s="8">
        <f t="shared" si="241"/>
        <v>9478.5695873908116</v>
      </c>
      <c r="X364" s="8">
        <f t="shared" si="241"/>
        <v>12533.645735392809</v>
      </c>
      <c r="Y364" s="8">
        <f t="shared" si="241"/>
        <v>23954.930411769506</v>
      </c>
      <c r="Z364">
        <f t="shared" si="245"/>
        <v>7.456575759385351</v>
      </c>
      <c r="AA364">
        <f t="shared" si="245"/>
        <v>7.952815892132449</v>
      </c>
      <c r="AB364">
        <f t="shared" si="245"/>
        <v>8.2175084463595311</v>
      </c>
      <c r="AC364">
        <f t="shared" si="245"/>
        <v>8.4145207185634892</v>
      </c>
      <c r="AD364">
        <f t="shared" si="245"/>
        <v>8.5979990134852677</v>
      </c>
      <c r="AE364">
        <f t="shared" si="220"/>
        <v>8.7713692585446683</v>
      </c>
      <c r="AF364">
        <f t="shared" si="220"/>
        <v>8.9510546990396875</v>
      </c>
      <c r="AG364">
        <f t="shared" si="220"/>
        <v>9.1567886964583849</v>
      </c>
      <c r="AH364">
        <f t="shared" si="220"/>
        <v>9.4361719660954702</v>
      </c>
      <c r="AI364">
        <f t="shared" si="220"/>
        <v>10.083929444356606</v>
      </c>
      <c r="AJ364">
        <f t="shared" si="238"/>
        <v>13.595559668935792</v>
      </c>
      <c r="AK364">
        <f t="shared" si="227"/>
        <v>14.50035331049331</v>
      </c>
      <c r="AL364">
        <f t="shared" si="228"/>
        <v>14.982966715230441</v>
      </c>
      <c r="AM364">
        <f t="shared" si="229"/>
        <v>15.342178797115373</v>
      </c>
      <c r="AN364">
        <f t="shared" si="230"/>
        <v>15.676714405289662</v>
      </c>
      <c r="AO364">
        <f t="shared" si="231"/>
        <v>15.992820026365978</v>
      </c>
      <c r="AP364">
        <f t="shared" si="232"/>
        <v>16.320440130649665</v>
      </c>
      <c r="AQ364">
        <f t="shared" si="233"/>
        <v>16.69555451667518</v>
      </c>
      <c r="AR364">
        <f t="shared" si="234"/>
        <v>17.204953473437939</v>
      </c>
      <c r="AS364">
        <f t="shared" si="235"/>
        <v>18.386008388036512</v>
      </c>
      <c r="AT364">
        <f t="shared" si="236"/>
        <v>24.788756753251292</v>
      </c>
      <c r="AU364">
        <f t="shared" si="239"/>
        <v>-14.862985885118833</v>
      </c>
      <c r="AV364" s="5">
        <f t="shared" si="244"/>
        <v>-1.2674262161830416</v>
      </c>
      <c r="AW364" s="5">
        <f t="shared" si="244"/>
        <v>-0.36263257462552367</v>
      </c>
      <c r="AX364" s="5">
        <f t="shared" si="244"/>
        <v>0.11998083011160787</v>
      </c>
      <c r="AY364" s="5">
        <f t="shared" si="244"/>
        <v>0.47919291199653991</v>
      </c>
      <c r="AZ364" s="5">
        <f t="shared" si="244"/>
        <v>0.81372852017082842</v>
      </c>
      <c r="BA364" s="5">
        <f t="shared" si="242"/>
        <v>1.1298341412471444</v>
      </c>
      <c r="BB364" s="5">
        <f t="shared" si="242"/>
        <v>1.4574542455308315</v>
      </c>
      <c r="BC364" s="5">
        <f t="shared" si="242"/>
        <v>1.832568631556347</v>
      </c>
      <c r="BD364" s="5">
        <f t="shared" si="242"/>
        <v>2.3419675883191058</v>
      </c>
      <c r="BE364" s="5">
        <f t="shared" si="242"/>
        <v>3.5230225029176783</v>
      </c>
      <c r="BH364" s="1">
        <f t="shared" si="240"/>
        <v>5.7999999999999954</v>
      </c>
      <c r="BI364" s="8">
        <f t="shared" si="208"/>
        <v>674083066.79999995</v>
      </c>
      <c r="BJ364" s="8">
        <f t="shared" si="211"/>
        <v>674083066.79999995</v>
      </c>
      <c r="BK364" s="8">
        <f t="shared" si="212"/>
        <v>674083066.79999995</v>
      </c>
      <c r="BL364" s="8">
        <f t="shared" si="213"/>
        <v>674083066.79999995</v>
      </c>
      <c r="BM364" s="8">
        <f t="shared" si="214"/>
        <v>674083066.79999995</v>
      </c>
      <c r="BN364" s="8">
        <f t="shared" si="215"/>
        <v>674083066.79999995</v>
      </c>
      <c r="BO364" s="8">
        <f t="shared" si="216"/>
        <v>674083066.79999995</v>
      </c>
      <c r="BP364" s="8">
        <f t="shared" si="217"/>
        <v>674083066.79999995</v>
      </c>
      <c r="BQ364" s="8">
        <f t="shared" si="218"/>
        <v>674083066.79999995</v>
      </c>
      <c r="BR364" s="8">
        <f t="shared" si="219"/>
        <v>640950941.60000002</v>
      </c>
      <c r="BS364" s="8">
        <f t="shared" si="207"/>
        <v>6707.6985428000007</v>
      </c>
      <c r="BT364" s="8">
        <f t="shared" si="210"/>
        <v>0.49813090000043303</v>
      </c>
    </row>
    <row r="365" spans="1:72" x14ac:dyDescent="0.35">
      <c r="A365" t="s">
        <v>414</v>
      </c>
      <c r="B365">
        <v>2.57</v>
      </c>
      <c r="C365">
        <v>3.5700000000000003</v>
      </c>
      <c r="D365">
        <v>4.5600000000000005</v>
      </c>
      <c r="E365">
        <v>5.59</v>
      </c>
      <c r="F365">
        <v>6.72</v>
      </c>
      <c r="G365">
        <v>8.02</v>
      </c>
      <c r="H365">
        <v>9.6300000000000008</v>
      </c>
      <c r="I365">
        <v>11.88</v>
      </c>
      <c r="J365">
        <v>15.74</v>
      </c>
      <c r="K365">
        <v>31.73</v>
      </c>
      <c r="L365">
        <f t="shared" si="224"/>
        <v>15.1</v>
      </c>
      <c r="M365">
        <f t="shared" si="225"/>
        <v>5041995</v>
      </c>
      <c r="N365">
        <f t="shared" si="226"/>
        <v>2632.4274469546981</v>
      </c>
      <c r="O365">
        <f t="shared" si="237"/>
        <v>-8.1250740094979967</v>
      </c>
      <c r="P365" s="8">
        <f t="shared" si="243"/>
        <v>676.53385386735738</v>
      </c>
      <c r="Q365" s="8">
        <f t="shared" si="243"/>
        <v>939.7765985628273</v>
      </c>
      <c r="R365" s="8">
        <f t="shared" si="243"/>
        <v>1200.3869158113425</v>
      </c>
      <c r="S365" s="8">
        <f t="shared" si="243"/>
        <v>1471.5269428476763</v>
      </c>
      <c r="T365" s="8">
        <f t="shared" si="243"/>
        <v>1768.991244353557</v>
      </c>
      <c r="U365" s="8">
        <f t="shared" si="241"/>
        <v>2111.2068124576681</v>
      </c>
      <c r="V365" s="8">
        <f t="shared" si="241"/>
        <v>2535.0276314173743</v>
      </c>
      <c r="W365" s="8">
        <f t="shared" si="241"/>
        <v>3127.3238069821814</v>
      </c>
      <c r="X365" s="8">
        <f t="shared" si="241"/>
        <v>4143.4408015066947</v>
      </c>
      <c r="Y365" s="8">
        <f t="shared" si="241"/>
        <v>8352.6922891872564</v>
      </c>
      <c r="Z365">
        <f t="shared" si="245"/>
        <v>6.5169824890303794</v>
      </c>
      <c r="AA365">
        <f t="shared" si="245"/>
        <v>6.8456421859147989</v>
      </c>
      <c r="AB365">
        <f t="shared" si="245"/>
        <v>7.0903992136495457</v>
      </c>
      <c r="AC365">
        <f t="shared" si="245"/>
        <v>7.2940558772902593</v>
      </c>
      <c r="AD365">
        <f t="shared" si="245"/>
        <v>7.4781647446583097</v>
      </c>
      <c r="AE365">
        <f t="shared" si="220"/>
        <v>7.655015012001674</v>
      </c>
      <c r="AF365">
        <f t="shared" si="220"/>
        <v>7.8379598159332851</v>
      </c>
      <c r="AG365">
        <f t="shared" si="220"/>
        <v>8.0479329040577507</v>
      </c>
      <c r="AH365">
        <f t="shared" si="220"/>
        <v>8.3292818331125087</v>
      </c>
      <c r="AI365">
        <f t="shared" si="220"/>
        <v>9.030339195718355</v>
      </c>
      <c r="AJ365">
        <f t="shared" si="238"/>
        <v>11.882401138284113</v>
      </c>
      <c r="AK365">
        <f t="shared" si="227"/>
        <v>12.481645706294081</v>
      </c>
      <c r="AL365">
        <f t="shared" si="228"/>
        <v>12.92791070544879</v>
      </c>
      <c r="AM365">
        <f t="shared" si="229"/>
        <v>13.299237492951576</v>
      </c>
      <c r="AN365">
        <f t="shared" si="230"/>
        <v>13.634922822606008</v>
      </c>
      <c r="AO365">
        <f t="shared" si="231"/>
        <v>13.957373561352629</v>
      </c>
      <c r="AP365">
        <f t="shared" si="232"/>
        <v>14.290936456471528</v>
      </c>
      <c r="AQ365">
        <f t="shared" si="233"/>
        <v>14.673779968102689</v>
      </c>
      <c r="AR365">
        <f t="shared" si="234"/>
        <v>15.186762907750371</v>
      </c>
      <c r="AS365">
        <f t="shared" si="235"/>
        <v>16.464999394874887</v>
      </c>
      <c r="AT365">
        <f t="shared" si="236"/>
        <v>21.665158230631146</v>
      </c>
      <c r="AU365">
        <f t="shared" si="239"/>
        <v>-22.97735255057907</v>
      </c>
      <c r="AV365" s="5">
        <f t="shared" si="244"/>
        <v>-11.094951412294957</v>
      </c>
      <c r="AW365" s="5">
        <f t="shared" si="244"/>
        <v>-10.495706844284989</v>
      </c>
      <c r="AX365" s="5">
        <f t="shared" si="244"/>
        <v>-10.04944184513028</v>
      </c>
      <c r="AY365" s="5">
        <f t="shared" si="244"/>
        <v>-9.6781150576274939</v>
      </c>
      <c r="AZ365" s="5">
        <f t="shared" si="244"/>
        <v>-9.3424297279730624</v>
      </c>
      <c r="BA365" s="5">
        <f t="shared" si="242"/>
        <v>-9.0199789892264413</v>
      </c>
      <c r="BB365" s="5">
        <f t="shared" si="242"/>
        <v>-8.6864160941075426</v>
      </c>
      <c r="BC365" s="5">
        <f t="shared" si="242"/>
        <v>-8.3035725824763809</v>
      </c>
      <c r="BD365" s="5">
        <f t="shared" si="242"/>
        <v>-7.7905896428286994</v>
      </c>
      <c r="BE365" s="5">
        <f t="shared" si="242"/>
        <v>-6.5123531557041829</v>
      </c>
      <c r="BH365" s="1">
        <f t="shared" si="240"/>
        <v>5.899999999999995</v>
      </c>
      <c r="BI365" s="8">
        <f t="shared" si="208"/>
        <v>674083066.79999995</v>
      </c>
      <c r="BJ365" s="8">
        <f t="shared" si="211"/>
        <v>674083066.79999995</v>
      </c>
      <c r="BK365" s="8">
        <f t="shared" si="212"/>
        <v>674083066.79999995</v>
      </c>
      <c r="BL365" s="8">
        <f t="shared" si="213"/>
        <v>674083066.79999995</v>
      </c>
      <c r="BM365" s="8">
        <f t="shared" si="214"/>
        <v>674083066.79999995</v>
      </c>
      <c r="BN365" s="8">
        <f t="shared" si="215"/>
        <v>674083066.79999995</v>
      </c>
      <c r="BO365" s="8">
        <f t="shared" si="216"/>
        <v>674083066.79999995</v>
      </c>
      <c r="BP365" s="8">
        <f t="shared" si="217"/>
        <v>674083066.79999995</v>
      </c>
      <c r="BQ365" s="8">
        <f t="shared" si="218"/>
        <v>674083066.79999995</v>
      </c>
      <c r="BR365" s="8">
        <f t="shared" si="219"/>
        <v>673857400.20000005</v>
      </c>
      <c r="BS365" s="8">
        <f t="shared" si="207"/>
        <v>6740.6050014000002</v>
      </c>
      <c r="BT365" s="8">
        <f t="shared" si="210"/>
        <v>32.906458599999496</v>
      </c>
    </row>
    <row r="366" spans="1:72" x14ac:dyDescent="0.35">
      <c r="A366" t="s">
        <v>415</v>
      </c>
      <c r="B366">
        <v>2.56</v>
      </c>
      <c r="C366">
        <v>3.72</v>
      </c>
      <c r="D366">
        <v>4.59</v>
      </c>
      <c r="E366">
        <v>5.42</v>
      </c>
      <c r="F366">
        <v>6.48</v>
      </c>
      <c r="G366">
        <v>7.8100000000000005</v>
      </c>
      <c r="H366">
        <v>9.44</v>
      </c>
      <c r="I366">
        <v>11.83</v>
      </c>
      <c r="J366">
        <v>16.52</v>
      </c>
      <c r="K366">
        <v>31.64</v>
      </c>
      <c r="L366">
        <f t="shared" si="224"/>
        <v>28</v>
      </c>
      <c r="M366">
        <f t="shared" si="225"/>
        <v>9827</v>
      </c>
      <c r="N366">
        <f t="shared" si="226"/>
        <v>2423.2614862357495</v>
      </c>
      <c r="O366">
        <f t="shared" si="237"/>
        <v>-6.466285285501403</v>
      </c>
      <c r="P366" s="8">
        <f t="shared" si="243"/>
        <v>620.35494047635189</v>
      </c>
      <c r="Q366" s="8">
        <f t="shared" si="243"/>
        <v>901.45327287969883</v>
      </c>
      <c r="R366" s="8">
        <f t="shared" si="243"/>
        <v>1112.2770221822088</v>
      </c>
      <c r="S366" s="8">
        <f t="shared" si="243"/>
        <v>1313.4077255397763</v>
      </c>
      <c r="T366" s="8">
        <f t="shared" si="243"/>
        <v>1570.2734430807657</v>
      </c>
      <c r="U366" s="8">
        <f t="shared" si="241"/>
        <v>1892.5672207501204</v>
      </c>
      <c r="V366" s="8">
        <f t="shared" si="241"/>
        <v>2287.5588430065477</v>
      </c>
      <c r="W366" s="8">
        <f t="shared" si="241"/>
        <v>2866.7183382168919</v>
      </c>
      <c r="X366" s="8">
        <f t="shared" si="241"/>
        <v>4003.2279752614581</v>
      </c>
      <c r="Y366" s="8">
        <f t="shared" si="241"/>
        <v>7667.1993424499115</v>
      </c>
      <c r="Z366">
        <f t="shared" si="245"/>
        <v>6.4302917988715986</v>
      </c>
      <c r="AA366">
        <f t="shared" si="245"/>
        <v>6.8040082086651825</v>
      </c>
      <c r="AB366">
        <f t="shared" si="245"/>
        <v>7.0141645644525807</v>
      </c>
      <c r="AC366">
        <f t="shared" si="245"/>
        <v>7.1803803558316819</v>
      </c>
      <c r="AD366">
        <f t="shared" si="245"/>
        <v>7.3590050507443108</v>
      </c>
      <c r="AE366">
        <f t="shared" si="220"/>
        <v>7.5456895042317216</v>
      </c>
      <c r="AF366">
        <f t="shared" si="220"/>
        <v>7.7352405205375367</v>
      </c>
      <c r="AG366">
        <f t="shared" si="220"/>
        <v>7.9609232183704224</v>
      </c>
      <c r="AH366">
        <f t="shared" si="220"/>
        <v>8.2948563084729585</v>
      </c>
      <c r="AI366">
        <f t="shared" si="220"/>
        <v>8.9447066832795805</v>
      </c>
      <c r="AJ366">
        <f t="shared" si="238"/>
        <v>11.724338176298989</v>
      </c>
      <c r="AK366">
        <f t="shared" si="227"/>
        <v>12.405734558842811</v>
      </c>
      <c r="AL366">
        <f t="shared" si="228"/>
        <v>12.788912222037261</v>
      </c>
      <c r="AM366">
        <f t="shared" si="229"/>
        <v>13.091973142027195</v>
      </c>
      <c r="AN366">
        <f t="shared" si="230"/>
        <v>13.417659191012001</v>
      </c>
      <c r="AO366">
        <f t="shared" si="231"/>
        <v>13.758040581686689</v>
      </c>
      <c r="AP366">
        <f t="shared" si="232"/>
        <v>14.10364857061505</v>
      </c>
      <c r="AQ366">
        <f t="shared" si="233"/>
        <v>14.515135382208355</v>
      </c>
      <c r="AR366">
        <f t="shared" si="234"/>
        <v>15.123994917526129</v>
      </c>
      <c r="AS366">
        <f t="shared" si="235"/>
        <v>16.308865806210292</v>
      </c>
      <c r="AT366">
        <f t="shared" si="236"/>
        <v>21.376962348169595</v>
      </c>
      <c r="AU366">
        <f t="shared" si="239"/>
        <v>-21.174148224647951</v>
      </c>
      <c r="AV366" s="5">
        <f t="shared" si="244"/>
        <v>-9.4498100483489615</v>
      </c>
      <c r="AW366" s="5">
        <f t="shared" si="244"/>
        <v>-8.7684136658051397</v>
      </c>
      <c r="AX366" s="5">
        <f t="shared" si="244"/>
        <v>-8.3852360026106894</v>
      </c>
      <c r="AY366" s="5">
        <f t="shared" si="244"/>
        <v>-8.0821750826207559</v>
      </c>
      <c r="AZ366" s="5">
        <f t="shared" si="244"/>
        <v>-7.7564890336359493</v>
      </c>
      <c r="BA366" s="5">
        <f t="shared" si="242"/>
        <v>-7.4161076429612613</v>
      </c>
      <c r="BB366" s="5">
        <f t="shared" si="242"/>
        <v>-7.0704996540329006</v>
      </c>
      <c r="BC366" s="5">
        <f t="shared" si="242"/>
        <v>-6.659012842439596</v>
      </c>
      <c r="BD366" s="5">
        <f t="shared" si="242"/>
        <v>-6.0501533071218212</v>
      </c>
      <c r="BE366" s="5">
        <f t="shared" si="242"/>
        <v>-4.8652824184376584</v>
      </c>
      <c r="BH366" s="1">
        <f t="shared" si="240"/>
        <v>5.9999999999999947</v>
      </c>
      <c r="BI366" s="8">
        <f t="shared" si="208"/>
        <v>674083066.79999995</v>
      </c>
      <c r="BJ366" s="8">
        <f t="shared" si="211"/>
        <v>674083066.79999995</v>
      </c>
      <c r="BK366" s="8">
        <f t="shared" si="212"/>
        <v>674083066.79999995</v>
      </c>
      <c r="BL366" s="8">
        <f t="shared" si="213"/>
        <v>674083066.79999995</v>
      </c>
      <c r="BM366" s="8">
        <f t="shared" si="214"/>
        <v>674083066.79999995</v>
      </c>
      <c r="BN366" s="8">
        <f t="shared" si="215"/>
        <v>674083066.79999995</v>
      </c>
      <c r="BO366" s="8">
        <f t="shared" si="216"/>
        <v>674083066.79999995</v>
      </c>
      <c r="BP366" s="8">
        <f t="shared" si="217"/>
        <v>674083066.79999995</v>
      </c>
      <c r="BQ366" s="8">
        <f t="shared" si="218"/>
        <v>674083066.79999995</v>
      </c>
      <c r="BR366" s="8">
        <f t="shared" si="219"/>
        <v>673857400.20000005</v>
      </c>
      <c r="BS366" s="8">
        <f t="shared" si="207"/>
        <v>6740.6050014000002</v>
      </c>
      <c r="BT366" s="8">
        <f t="shared" si="210"/>
        <v>0</v>
      </c>
    </row>
    <row r="367" spans="1:72" x14ac:dyDescent="0.35">
      <c r="A367" t="s">
        <v>254</v>
      </c>
      <c r="B367">
        <v>2.5100000000000002</v>
      </c>
      <c r="C367">
        <v>3.85</v>
      </c>
      <c r="D367">
        <v>4.7700000000000005</v>
      </c>
      <c r="E367">
        <v>5.64</v>
      </c>
      <c r="F367">
        <v>6.58</v>
      </c>
      <c r="G367">
        <v>7.74</v>
      </c>
      <c r="H367">
        <v>9.2100000000000009</v>
      </c>
      <c r="I367">
        <v>11.41</v>
      </c>
      <c r="J367">
        <v>15.42</v>
      </c>
      <c r="K367">
        <v>32.869999999999997</v>
      </c>
      <c r="L367">
        <f t="shared" si="224"/>
        <v>22.8</v>
      </c>
      <c r="M367">
        <f t="shared" si="225"/>
        <v>33987213</v>
      </c>
      <c r="N367">
        <f t="shared" si="226"/>
        <v>393.14887775627386</v>
      </c>
      <c r="O367">
        <f t="shared" si="237"/>
        <v>-7.8482617666964565</v>
      </c>
      <c r="P367" s="8">
        <f t="shared" si="243"/>
        <v>98.680368316824755</v>
      </c>
      <c r="Q367" s="8">
        <f t="shared" si="243"/>
        <v>151.36231793616543</v>
      </c>
      <c r="R367" s="8">
        <f t="shared" si="243"/>
        <v>187.53201468974265</v>
      </c>
      <c r="S367" s="8">
        <f t="shared" si="243"/>
        <v>221.73596705453843</v>
      </c>
      <c r="T367" s="8">
        <f t="shared" si="243"/>
        <v>258.69196156362818</v>
      </c>
      <c r="U367" s="8">
        <f t="shared" si="241"/>
        <v>304.29723138335601</v>
      </c>
      <c r="V367" s="8">
        <f t="shared" si="241"/>
        <v>362.09011641352828</v>
      </c>
      <c r="W367" s="8">
        <f t="shared" si="241"/>
        <v>448.58286951990851</v>
      </c>
      <c r="X367" s="8">
        <f t="shared" si="241"/>
        <v>606.23556950017428</v>
      </c>
      <c r="Y367" s="8">
        <f t="shared" si="241"/>
        <v>1292.2803611848722</v>
      </c>
      <c r="Z367">
        <f t="shared" si="245"/>
        <v>4.5918860240905985</v>
      </c>
      <c r="AA367">
        <f t="shared" si="245"/>
        <v>5.0196764192465988</v>
      </c>
      <c r="AB367">
        <f t="shared" si="245"/>
        <v>5.2339495758471557</v>
      </c>
      <c r="AC367">
        <f t="shared" si="245"/>
        <v>5.4014873364568734</v>
      </c>
      <c r="AD367">
        <f t="shared" si="245"/>
        <v>5.5556380162841315</v>
      </c>
      <c r="AE367">
        <f t="shared" si="220"/>
        <v>5.7180049585485415</v>
      </c>
      <c r="AF367">
        <f t="shared" si="220"/>
        <v>5.8918931212141219</v>
      </c>
      <c r="AG367">
        <f t="shared" si="220"/>
        <v>6.10609343482089</v>
      </c>
      <c r="AH367">
        <f t="shared" si="220"/>
        <v>6.4072686390820897</v>
      </c>
      <c r="AI367">
        <f t="shared" si="220"/>
        <v>7.1641636586230337</v>
      </c>
      <c r="AJ367">
        <f t="shared" si="238"/>
        <v>8.3723766039523397</v>
      </c>
      <c r="AK367">
        <f t="shared" si="227"/>
        <v>9.1523659758594853</v>
      </c>
      <c r="AL367">
        <f t="shared" si="228"/>
        <v>9.5430497937429681</v>
      </c>
      <c r="AM367">
        <f t="shared" si="229"/>
        <v>9.8485210575871456</v>
      </c>
      <c r="AN367">
        <f t="shared" si="230"/>
        <v>10.129583683814825</v>
      </c>
      <c r="AO367">
        <f t="shared" si="231"/>
        <v>10.42562700491164</v>
      </c>
      <c r="AP367">
        <f t="shared" si="232"/>
        <v>10.742676944123467</v>
      </c>
      <c r="AQ367">
        <f t="shared" si="233"/>
        <v>11.133227947522059</v>
      </c>
      <c r="AR367">
        <f t="shared" si="234"/>
        <v>11.682360095101096</v>
      </c>
      <c r="AS367">
        <f t="shared" si="235"/>
        <v>13.062405270440061</v>
      </c>
      <c r="AT367">
        <f t="shared" si="236"/>
        <v>15.265337517233094</v>
      </c>
      <c r="AU367">
        <f t="shared" si="239"/>
        <v>-19.249639103335156</v>
      </c>
      <c r="AV367" s="5">
        <f t="shared" si="244"/>
        <v>-10.877262499382816</v>
      </c>
      <c r="AW367" s="5">
        <f t="shared" si="244"/>
        <v>-10.09727312747567</v>
      </c>
      <c r="AX367" s="5">
        <f t="shared" si="244"/>
        <v>-9.7065893095921876</v>
      </c>
      <c r="AY367" s="5">
        <f t="shared" si="244"/>
        <v>-9.4011180457480101</v>
      </c>
      <c r="AZ367" s="5">
        <f t="shared" si="244"/>
        <v>-9.1200554195203303</v>
      </c>
      <c r="BA367" s="5">
        <f t="shared" si="242"/>
        <v>-8.8240120984235162</v>
      </c>
      <c r="BB367" s="5">
        <f t="shared" si="242"/>
        <v>-8.5069621592116889</v>
      </c>
      <c r="BC367" s="5">
        <f t="shared" si="242"/>
        <v>-8.1164111558130969</v>
      </c>
      <c r="BD367" s="5">
        <f t="shared" si="242"/>
        <v>-7.5672790082340597</v>
      </c>
      <c r="BE367" s="5">
        <f t="shared" si="242"/>
        <v>-6.1872338328950942</v>
      </c>
      <c r="BH367" s="1"/>
      <c r="BS367" s="8"/>
      <c r="BT367" s="8"/>
    </row>
    <row r="368" spans="1:72" x14ac:dyDescent="0.35">
      <c r="A368" t="s">
        <v>238</v>
      </c>
      <c r="B368">
        <v>4.4800000000000004</v>
      </c>
      <c r="C368">
        <v>5.97</v>
      </c>
      <c r="D368">
        <v>6.8500000000000005</v>
      </c>
      <c r="E368">
        <v>7.71</v>
      </c>
      <c r="F368">
        <v>8.5400000000000009</v>
      </c>
      <c r="G368">
        <v>9.44</v>
      </c>
      <c r="H368">
        <v>10.51</v>
      </c>
      <c r="I368">
        <v>11.84</v>
      </c>
      <c r="J368">
        <v>14.040000000000001</v>
      </c>
      <c r="K368">
        <v>20.62</v>
      </c>
      <c r="L368">
        <f t="shared" si="224"/>
        <v>8.3000000000000007</v>
      </c>
      <c r="M368">
        <f t="shared" si="225"/>
        <v>45870700</v>
      </c>
      <c r="N368">
        <f t="shared" si="226"/>
        <v>1974.6211818802449</v>
      </c>
      <c r="O368">
        <f t="shared" si="237"/>
        <v>-6.1202216149765167</v>
      </c>
      <c r="P368" s="8">
        <f t="shared" si="243"/>
        <v>884.63028948234989</v>
      </c>
      <c r="Q368" s="8">
        <f t="shared" si="243"/>
        <v>1178.8488455825061</v>
      </c>
      <c r="R368" s="8">
        <f t="shared" si="243"/>
        <v>1352.6155095879678</v>
      </c>
      <c r="S368" s="8">
        <f t="shared" si="243"/>
        <v>1522.4329312296688</v>
      </c>
      <c r="T368" s="8">
        <f t="shared" si="243"/>
        <v>1686.3264893257292</v>
      </c>
      <c r="U368" s="8">
        <f t="shared" si="241"/>
        <v>1864.0423956949512</v>
      </c>
      <c r="V368" s="8">
        <f t="shared" si="241"/>
        <v>2075.3268621561374</v>
      </c>
      <c r="W368" s="8">
        <f t="shared" si="241"/>
        <v>2337.9514793462099</v>
      </c>
      <c r="X368" s="8">
        <f t="shared" si="241"/>
        <v>2772.368139359864</v>
      </c>
      <c r="Y368" s="8">
        <f t="shared" si="241"/>
        <v>4071.6688770370652</v>
      </c>
      <c r="Z368">
        <f t="shared" si="245"/>
        <v>6.78516980572791</v>
      </c>
      <c r="AA368">
        <f t="shared" si="245"/>
        <v>7.0722936867055264</v>
      </c>
      <c r="AB368">
        <f t="shared" si="245"/>
        <v>7.2097954115751497</v>
      </c>
      <c r="AC368">
        <f t="shared" si="245"/>
        <v>7.3280649468762542</v>
      </c>
      <c r="AD368">
        <f t="shared" si="245"/>
        <v>7.4303077671014943</v>
      </c>
      <c r="AE368">
        <f t="shared" si="220"/>
        <v>7.5305027394584254</v>
      </c>
      <c r="AF368">
        <f t="shared" si="220"/>
        <v>7.6378739441898755</v>
      </c>
      <c r="AG368">
        <f t="shared" si="220"/>
        <v>7.7570303887568759</v>
      </c>
      <c r="AH368">
        <f t="shared" si="220"/>
        <v>7.9274571578986812</v>
      </c>
      <c r="AI368">
        <f t="shared" si="220"/>
        <v>8.3118082378898297</v>
      </c>
      <c r="AJ368">
        <f t="shared" si="238"/>
        <v>12.371386536444087</v>
      </c>
      <c r="AK368">
        <f t="shared" si="227"/>
        <v>12.894898934382814</v>
      </c>
      <c r="AL368">
        <f t="shared" si="228"/>
        <v>13.145605554334148</v>
      </c>
      <c r="AM368">
        <f t="shared" si="229"/>
        <v>13.36124616150958</v>
      </c>
      <c r="AN368">
        <f t="shared" si="230"/>
        <v>13.547665291140621</v>
      </c>
      <c r="AO368">
        <f t="shared" si="231"/>
        <v>13.730350583849068</v>
      </c>
      <c r="AP368">
        <f t="shared" si="232"/>
        <v>13.926120286693513</v>
      </c>
      <c r="AQ368">
        <f t="shared" si="233"/>
        <v>14.143377993759636</v>
      </c>
      <c r="AR368">
        <f t="shared" si="234"/>
        <v>14.45411678108235</v>
      </c>
      <c r="AS368">
        <f t="shared" si="235"/>
        <v>15.154903336528051</v>
      </c>
      <c r="AT368">
        <f t="shared" si="236"/>
        <v>22.55672432912543</v>
      </c>
      <c r="AU368">
        <f t="shared" si="239"/>
        <v>-20.120537229343579</v>
      </c>
      <c r="AV368" s="5">
        <f t="shared" si="244"/>
        <v>-7.7491506928994927</v>
      </c>
      <c r="AW368" s="5">
        <f t="shared" si="244"/>
        <v>-7.2256382949607652</v>
      </c>
      <c r="AX368" s="5">
        <f t="shared" si="244"/>
        <v>-6.9749316750094312</v>
      </c>
      <c r="AY368" s="5">
        <f t="shared" si="244"/>
        <v>-6.759291067833999</v>
      </c>
      <c r="AZ368" s="5">
        <f t="shared" si="244"/>
        <v>-6.5728719382029581</v>
      </c>
      <c r="BA368" s="5">
        <f t="shared" si="242"/>
        <v>-6.3901866454945111</v>
      </c>
      <c r="BB368" s="5">
        <f t="shared" si="242"/>
        <v>-6.1944169426500668</v>
      </c>
      <c r="BC368" s="5">
        <f t="shared" si="242"/>
        <v>-5.9771592355839438</v>
      </c>
      <c r="BD368" s="5">
        <f t="shared" si="242"/>
        <v>-5.6664204482612295</v>
      </c>
      <c r="BE368" s="5">
        <f t="shared" si="242"/>
        <v>-4.9656338928155286</v>
      </c>
      <c r="BH368" s="1"/>
      <c r="BS368" s="8"/>
      <c r="BT368" s="8"/>
    </row>
    <row r="369" spans="1:72" x14ac:dyDescent="0.35">
      <c r="A369" t="s">
        <v>199</v>
      </c>
      <c r="B369">
        <v>2.8000000000000003</v>
      </c>
      <c r="C369">
        <v>4.9000000000000004</v>
      </c>
      <c r="D369">
        <v>5.9</v>
      </c>
      <c r="E369">
        <v>6.8</v>
      </c>
      <c r="F369">
        <v>7.9</v>
      </c>
      <c r="G369">
        <v>9</v>
      </c>
      <c r="H369">
        <v>10.5</v>
      </c>
      <c r="I369">
        <v>12.3</v>
      </c>
      <c r="J369">
        <v>14.9</v>
      </c>
      <c r="K369">
        <v>25.2</v>
      </c>
      <c r="L369">
        <f t="shared" si="224"/>
        <v>8.4</v>
      </c>
      <c r="M369">
        <f t="shared" si="225"/>
        <v>62271177</v>
      </c>
      <c r="N369">
        <f t="shared" si="226"/>
        <v>37899.295520911917</v>
      </c>
      <c r="O369">
        <f t="shared" si="237"/>
        <v>-0.6837433042512302</v>
      </c>
      <c r="P369" s="8">
        <f t="shared" si="243"/>
        <v>10611.802745855337</v>
      </c>
      <c r="Q369" s="8">
        <f t="shared" si="243"/>
        <v>18570.654805246839</v>
      </c>
      <c r="R369" s="8">
        <f t="shared" si="243"/>
        <v>22360.584357338033</v>
      </c>
      <c r="S369" s="8">
        <f t="shared" si="243"/>
        <v>25771.520954220101</v>
      </c>
      <c r="T369" s="8">
        <f t="shared" si="243"/>
        <v>29940.443461520415</v>
      </c>
      <c r="U369" s="8">
        <f t="shared" si="241"/>
        <v>34109.365968820726</v>
      </c>
      <c r="V369" s="8">
        <f t="shared" si="241"/>
        <v>39794.260296957516</v>
      </c>
      <c r="W369" s="8">
        <f t="shared" si="241"/>
        <v>46616.133490721659</v>
      </c>
      <c r="X369" s="8">
        <f t="shared" si="241"/>
        <v>56469.95032615876</v>
      </c>
      <c r="Y369" s="8">
        <f t="shared" si="241"/>
        <v>95506.224712698036</v>
      </c>
      <c r="Z369">
        <f t="shared" si="245"/>
        <v>9.2697221272461388</v>
      </c>
      <c r="AA369">
        <f t="shared" si="245"/>
        <v>9.8293379151815614</v>
      </c>
      <c r="AB369">
        <f t="shared" si="245"/>
        <v>10.015055060976653</v>
      </c>
      <c r="AC369">
        <f t="shared" si="245"/>
        <v>10.157025322247041</v>
      </c>
      <c r="AD369">
        <f t="shared" si="245"/>
        <v>10.306965469537957</v>
      </c>
      <c r="AE369">
        <f t="shared" si="220"/>
        <v>10.4373272874012</v>
      </c>
      <c r="AF369">
        <f t="shared" si="220"/>
        <v>10.591477967228458</v>
      </c>
      <c r="AG369">
        <f t="shared" si="220"/>
        <v>10.749701972443352</v>
      </c>
      <c r="AH369">
        <f t="shared" si="220"/>
        <v>10.941463923016395</v>
      </c>
      <c r="AI369">
        <f t="shared" si="220"/>
        <v>11.466946704582359</v>
      </c>
      <c r="AJ369">
        <f t="shared" si="238"/>
        <v>16.901465815163633</v>
      </c>
      <c r="AK369">
        <f t="shared" si="227"/>
        <v>17.921812162074712</v>
      </c>
      <c r="AL369">
        <f t="shared" si="228"/>
        <v>18.260429862568611</v>
      </c>
      <c r="AM369">
        <f t="shared" si="229"/>
        <v>18.519283956002386</v>
      </c>
      <c r="AN369">
        <f t="shared" si="230"/>
        <v>18.792669526677617</v>
      </c>
      <c r="AO369">
        <f t="shared" si="231"/>
        <v>19.030357968464035</v>
      </c>
      <c r="AP369">
        <f t="shared" si="232"/>
        <v>19.311420594691715</v>
      </c>
      <c r="AQ369">
        <f t="shared" si="233"/>
        <v>19.59991010695202</v>
      </c>
      <c r="AR369">
        <f t="shared" si="234"/>
        <v>19.949549287907946</v>
      </c>
      <c r="AS369">
        <f t="shared" si="235"/>
        <v>20.907660992571607</v>
      </c>
      <c r="AT369">
        <f t="shared" si="236"/>
        <v>30.816408817856221</v>
      </c>
      <c r="AU369">
        <f t="shared" si="239"/>
        <v>-20.209832265388265</v>
      </c>
      <c r="AV369" s="5">
        <f t="shared" si="244"/>
        <v>-3.3083664502246322</v>
      </c>
      <c r="AW369" s="5">
        <f t="shared" si="244"/>
        <v>-2.2880201033135528</v>
      </c>
      <c r="AX369" s="5">
        <f t="shared" si="244"/>
        <v>-1.9494024028196542</v>
      </c>
      <c r="AY369" s="5">
        <f t="shared" si="244"/>
        <v>-1.6905483093858784</v>
      </c>
      <c r="AZ369" s="5">
        <f t="shared" si="244"/>
        <v>-1.4171627387106476</v>
      </c>
      <c r="BA369" s="5">
        <f t="shared" si="242"/>
        <v>-1.17947429692423</v>
      </c>
      <c r="BB369" s="5">
        <f t="shared" si="242"/>
        <v>-0.89841167069655015</v>
      </c>
      <c r="BC369" s="5">
        <f t="shared" si="242"/>
        <v>-0.60992215843624464</v>
      </c>
      <c r="BD369" s="5">
        <f t="shared" si="242"/>
        <v>-0.26028297748031903</v>
      </c>
      <c r="BE369" s="5">
        <f t="shared" si="242"/>
        <v>0.69782872718334232</v>
      </c>
      <c r="BH369" s="1"/>
      <c r="BS369" s="8"/>
      <c r="BT369" s="8"/>
    </row>
    <row r="370" spans="1:72" x14ac:dyDescent="0.35">
      <c r="A370" t="s">
        <v>200</v>
      </c>
      <c r="B370">
        <v>2.02</v>
      </c>
      <c r="C370">
        <v>3.8000000000000003</v>
      </c>
      <c r="D370">
        <v>4.96</v>
      </c>
      <c r="E370">
        <v>6.13</v>
      </c>
      <c r="F370">
        <v>7.42</v>
      </c>
      <c r="G370">
        <v>8.84</v>
      </c>
      <c r="H370">
        <v>10.48</v>
      </c>
      <c r="I370">
        <v>12.55</v>
      </c>
      <c r="J370">
        <v>15.74</v>
      </c>
      <c r="K370">
        <v>28.05</v>
      </c>
      <c r="L370">
        <f t="shared" si="224"/>
        <v>8.5</v>
      </c>
      <c r="M370">
        <f t="shared" si="225"/>
        <v>309326225</v>
      </c>
      <c r="N370">
        <f t="shared" si="226"/>
        <v>43952.446494287382</v>
      </c>
      <c r="O370">
        <f t="shared" si="237"/>
        <v>-1.3000000000000007</v>
      </c>
      <c r="P370" s="8">
        <f t="shared" si="243"/>
        <v>8878.3941918460514</v>
      </c>
      <c r="Q370" s="8">
        <f t="shared" si="243"/>
        <v>16701.929667829208</v>
      </c>
      <c r="R370" s="8">
        <f t="shared" si="243"/>
        <v>21800.413461166543</v>
      </c>
      <c r="S370" s="8">
        <f t="shared" si="243"/>
        <v>26942.849700998166</v>
      </c>
      <c r="T370" s="8">
        <f t="shared" si="243"/>
        <v>32612.715298761235</v>
      </c>
      <c r="U370" s="8">
        <f t="shared" si="241"/>
        <v>38853.962700950047</v>
      </c>
      <c r="V370" s="8">
        <f t="shared" si="241"/>
        <v>46062.163926013178</v>
      </c>
      <c r="W370" s="8">
        <f t="shared" si="241"/>
        <v>55160.320350330672</v>
      </c>
      <c r="X370" s="8">
        <f t="shared" si="241"/>
        <v>69181.150782008335</v>
      </c>
      <c r="Y370" s="8">
        <f t="shared" si="241"/>
        <v>123286.6124164761</v>
      </c>
      <c r="Z370">
        <f t="shared" si="245"/>
        <v>9.091375985382161</v>
      </c>
      <c r="AA370">
        <f t="shared" si="245"/>
        <v>9.7232795407013874</v>
      </c>
      <c r="AB370">
        <f t="shared" si="245"/>
        <v>9.9896842147058837</v>
      </c>
      <c r="AC370">
        <f t="shared" si="245"/>
        <v>10.201473223917167</v>
      </c>
      <c r="AD370">
        <f t="shared" si="245"/>
        <v>10.392457531148336</v>
      </c>
      <c r="AE370">
        <f t="shared" si="220"/>
        <v>10.567565350618599</v>
      </c>
      <c r="AF370">
        <f t="shared" si="220"/>
        <v>10.737747152861942</v>
      </c>
      <c r="AG370">
        <f t="shared" si="220"/>
        <v>10.91799913954684</v>
      </c>
      <c r="AH370">
        <f t="shared" si="220"/>
        <v>11.144483716958304</v>
      </c>
      <c r="AI370">
        <f t="shared" si="220"/>
        <v>11.722267105937751</v>
      </c>
      <c r="AJ370">
        <f t="shared" si="238"/>
        <v>16.576287651395322</v>
      </c>
      <c r="AK370">
        <f t="shared" si="227"/>
        <v>17.728436140001758</v>
      </c>
      <c r="AL370">
        <f t="shared" si="228"/>
        <v>18.214171249304808</v>
      </c>
      <c r="AM370">
        <f t="shared" si="229"/>
        <v>18.600325726221726</v>
      </c>
      <c r="AN370">
        <f t="shared" si="230"/>
        <v>18.948547031627701</v>
      </c>
      <c r="AO370">
        <f t="shared" si="231"/>
        <v>19.267820768652193</v>
      </c>
      <c r="AP370">
        <f t="shared" si="232"/>
        <v>19.578112908318875</v>
      </c>
      <c r="AQ370">
        <f t="shared" si="233"/>
        <v>19.906765995137476</v>
      </c>
      <c r="AR370">
        <f t="shared" si="234"/>
        <v>20.319714872162642</v>
      </c>
      <c r="AS370">
        <f t="shared" si="235"/>
        <v>21.373186169722093</v>
      </c>
      <c r="AT370">
        <f t="shared" si="236"/>
        <v>30.223512122213791</v>
      </c>
      <c r="AU370">
        <f t="shared" si="239"/>
        <v>-21.206979895213333</v>
      </c>
      <c r="AV370" s="5">
        <f t="shared" si="244"/>
        <v>-4.6306922438180109</v>
      </c>
      <c r="AW370" s="5">
        <f t="shared" si="244"/>
        <v>-3.4785437552115752</v>
      </c>
      <c r="AX370" s="5">
        <f t="shared" si="244"/>
        <v>-2.992808645908525</v>
      </c>
      <c r="AY370" s="5">
        <f t="shared" si="244"/>
        <v>-2.6066541689916072</v>
      </c>
      <c r="AZ370" s="5">
        <f t="shared" si="244"/>
        <v>-2.2584328635856323</v>
      </c>
      <c r="BA370" s="5">
        <f t="shared" si="242"/>
        <v>-1.9391591265611403</v>
      </c>
      <c r="BB370" s="5">
        <f t="shared" si="242"/>
        <v>-1.6288669868944581</v>
      </c>
      <c r="BC370" s="5">
        <f t="shared" si="242"/>
        <v>-1.3002139000758568</v>
      </c>
      <c r="BD370" s="5">
        <f t="shared" si="242"/>
        <v>-0.88726502305069133</v>
      </c>
      <c r="BE370" s="5">
        <f t="shared" si="242"/>
        <v>0.16620627450875958</v>
      </c>
      <c r="BH370" s="1"/>
      <c r="BS370" s="8"/>
      <c r="BT370" s="8"/>
    </row>
    <row r="371" spans="1:72" x14ac:dyDescent="0.35">
      <c r="A371" t="s">
        <v>201</v>
      </c>
      <c r="B371">
        <v>1.9100000000000001</v>
      </c>
      <c r="C371">
        <v>3.2800000000000002</v>
      </c>
      <c r="D371">
        <v>4.4400000000000004</v>
      </c>
      <c r="E371">
        <v>5.6000000000000005</v>
      </c>
      <c r="F371">
        <v>6.84</v>
      </c>
      <c r="G371">
        <v>8.25</v>
      </c>
      <c r="H371">
        <v>10.01</v>
      </c>
      <c r="I371">
        <v>12.46</v>
      </c>
      <c r="J371">
        <v>16.420000000000002</v>
      </c>
      <c r="K371">
        <v>30.78</v>
      </c>
      <c r="L371">
        <f t="shared" si="224"/>
        <v>17.5</v>
      </c>
      <c r="M371">
        <f t="shared" si="225"/>
        <v>3371982</v>
      </c>
      <c r="N371">
        <f t="shared" si="226"/>
        <v>6791.0504176996537</v>
      </c>
      <c r="O371">
        <f t="shared" si="237"/>
        <v>-0.68215700312491734</v>
      </c>
      <c r="P371" s="8">
        <f t="shared" si="243"/>
        <v>1297.0906297806339</v>
      </c>
      <c r="Q371" s="8">
        <f t="shared" si="243"/>
        <v>2227.4645370054868</v>
      </c>
      <c r="R371" s="8">
        <f t="shared" si="243"/>
        <v>3015.2263854586463</v>
      </c>
      <c r="S371" s="8">
        <f t="shared" si="243"/>
        <v>3802.9882339118062</v>
      </c>
      <c r="T371" s="8">
        <f t="shared" si="243"/>
        <v>4645.0784857065628</v>
      </c>
      <c r="U371" s="8">
        <f t="shared" si="241"/>
        <v>5602.6165946022138</v>
      </c>
      <c r="V371" s="8">
        <f t="shared" si="241"/>
        <v>6797.8414681173526</v>
      </c>
      <c r="W371" s="8">
        <f t="shared" si="241"/>
        <v>8461.6488204537691</v>
      </c>
      <c r="X371" s="8">
        <f t="shared" si="241"/>
        <v>11150.904785862833</v>
      </c>
      <c r="Y371" s="8">
        <f t="shared" si="241"/>
        <v>20902.853185679534</v>
      </c>
      <c r="Z371">
        <f t="shared" si="245"/>
        <v>7.16787905834446</v>
      </c>
      <c r="AA371">
        <f t="shared" si="245"/>
        <v>7.7086192386819743</v>
      </c>
      <c r="AB371">
        <f t="shared" si="245"/>
        <v>8.0114301927300549</v>
      </c>
      <c r="AC371">
        <f t="shared" si="245"/>
        <v>8.2435424140270257</v>
      </c>
      <c r="AD371">
        <f t="shared" si="245"/>
        <v>8.4435635479203803</v>
      </c>
      <c r="AE371">
        <f t="shared" si="220"/>
        <v>8.6309890166325118</v>
      </c>
      <c r="AF371">
        <f t="shared" si="220"/>
        <v>8.8243604096130497</v>
      </c>
      <c r="AG371">
        <f t="shared" si="220"/>
        <v>9.0432993296452278</v>
      </c>
      <c r="AH371">
        <f t="shared" si="220"/>
        <v>9.3192759203102042</v>
      </c>
      <c r="AI371">
        <f t="shared" si="220"/>
        <v>9.9476409446966549</v>
      </c>
      <c r="AJ371">
        <f t="shared" si="238"/>
        <v>13.069179551321337</v>
      </c>
      <c r="AK371">
        <f t="shared" si="227"/>
        <v>14.055110040650368</v>
      </c>
      <c r="AL371">
        <f t="shared" si="228"/>
        <v>14.607224647544324</v>
      </c>
      <c r="AM371">
        <f t="shared" si="229"/>
        <v>15.030434396410648</v>
      </c>
      <c r="AN371">
        <f t="shared" si="230"/>
        <v>15.395132529796134</v>
      </c>
      <c r="AO371">
        <f t="shared" si="231"/>
        <v>15.736865012048026</v>
      </c>
      <c r="AP371">
        <f t="shared" si="232"/>
        <v>16.089438686126655</v>
      </c>
      <c r="AQ371">
        <f t="shared" si="233"/>
        <v>16.488629581143485</v>
      </c>
      <c r="AR371">
        <f t="shared" si="234"/>
        <v>16.991817146949757</v>
      </c>
      <c r="AS371">
        <f t="shared" si="235"/>
        <v>18.137513839183523</v>
      </c>
      <c r="AT371">
        <f t="shared" si="236"/>
        <v>23.829008937565092</v>
      </c>
      <c r="AU371">
        <f t="shared" si="239"/>
        <v>-17.273847833575108</v>
      </c>
      <c r="AV371" s="5">
        <f t="shared" si="244"/>
        <v>-4.2046682822537704</v>
      </c>
      <c r="AW371" s="5">
        <f t="shared" si="244"/>
        <v>-3.21873779292474</v>
      </c>
      <c r="AX371" s="5">
        <f t="shared" si="244"/>
        <v>-2.6666231860307832</v>
      </c>
      <c r="AY371" s="5">
        <f t="shared" si="244"/>
        <v>-2.2434134371644596</v>
      </c>
      <c r="AZ371" s="5">
        <f t="shared" si="244"/>
        <v>-1.8787153037789732</v>
      </c>
      <c r="BA371" s="5">
        <f t="shared" si="242"/>
        <v>-1.5369828215270811</v>
      </c>
      <c r="BB371" s="5">
        <f t="shared" si="242"/>
        <v>-1.1844091474484522</v>
      </c>
      <c r="BC371" s="5">
        <f t="shared" si="242"/>
        <v>-0.78521825243162269</v>
      </c>
      <c r="BD371" s="5">
        <f t="shared" si="242"/>
        <v>-0.28203068662535102</v>
      </c>
      <c r="BE371" s="5">
        <f t="shared" si="242"/>
        <v>0.86366600560841533</v>
      </c>
      <c r="BH371" s="1"/>
      <c r="BS371" s="8"/>
      <c r="BT371" s="8"/>
    </row>
    <row r="372" spans="1:72" x14ac:dyDescent="0.35">
      <c r="A372" t="s">
        <v>417</v>
      </c>
      <c r="B372">
        <v>2.88</v>
      </c>
      <c r="C372">
        <v>4.54</v>
      </c>
      <c r="D372">
        <v>5.58</v>
      </c>
      <c r="E372">
        <v>6.44</v>
      </c>
      <c r="F372">
        <v>7.36</v>
      </c>
      <c r="G372">
        <v>8.43</v>
      </c>
      <c r="H372">
        <v>9.75</v>
      </c>
      <c r="I372">
        <v>11.620000000000001</v>
      </c>
      <c r="J372">
        <v>15.06</v>
      </c>
      <c r="K372">
        <v>28.330000000000002</v>
      </c>
      <c r="L372">
        <f t="shared" si="224"/>
        <v>12.1</v>
      </c>
      <c r="M372">
        <f t="shared" si="225"/>
        <v>28562400</v>
      </c>
      <c r="N372">
        <f t="shared" si="226"/>
        <v>752.42831016735465</v>
      </c>
      <c r="O372">
        <f t="shared" si="237"/>
        <v>-9.2927105264958616</v>
      </c>
      <c r="P372" s="8">
        <f t="shared" si="243"/>
        <v>216.69935332819813</v>
      </c>
      <c r="Q372" s="8">
        <f t="shared" si="243"/>
        <v>341.60245281597901</v>
      </c>
      <c r="R372" s="8">
        <f t="shared" si="243"/>
        <v>419.85499707338386</v>
      </c>
      <c r="S372" s="8">
        <f t="shared" si="243"/>
        <v>484.56383174777636</v>
      </c>
      <c r="T372" s="8">
        <f t="shared" si="243"/>
        <v>553.787236283173</v>
      </c>
      <c r="U372" s="8">
        <f t="shared" si="241"/>
        <v>634.29706547108003</v>
      </c>
      <c r="V372" s="8">
        <f t="shared" si="241"/>
        <v>733.61760241317074</v>
      </c>
      <c r="W372" s="8">
        <f t="shared" si="241"/>
        <v>874.32169641446615</v>
      </c>
      <c r="X372" s="8">
        <f t="shared" si="241"/>
        <v>1133.1570351120361</v>
      </c>
      <c r="Y372" s="8">
        <f t="shared" si="241"/>
        <v>2131.6294027041158</v>
      </c>
      <c r="Z372">
        <f t="shared" si="245"/>
        <v>5.3785109243578795</v>
      </c>
      <c r="AA372">
        <f t="shared" si="245"/>
        <v>5.8336476422632817</v>
      </c>
      <c r="AB372">
        <f t="shared" si="245"/>
        <v>6.039909406603245</v>
      </c>
      <c r="AC372">
        <f t="shared" si="245"/>
        <v>6.1832491703262873</v>
      </c>
      <c r="AD372">
        <f t="shared" si="245"/>
        <v>6.31678056295081</v>
      </c>
      <c r="AE372">
        <f t="shared" si="220"/>
        <v>6.4525174022237897</v>
      </c>
      <c r="AF372">
        <f t="shared" si="220"/>
        <v>6.5979879152197807</v>
      </c>
      <c r="AG372">
        <f t="shared" si="220"/>
        <v>6.7734483816337905</v>
      </c>
      <c r="AH372">
        <f t="shared" si="220"/>
        <v>7.0327628525817731</v>
      </c>
      <c r="AI372">
        <f t="shared" si="220"/>
        <v>7.66464194405245</v>
      </c>
      <c r="AJ372">
        <f t="shared" si="238"/>
        <v>9.8066282113598735</v>
      </c>
      <c r="AK372">
        <f t="shared" si="227"/>
        <v>10.636478078843357</v>
      </c>
      <c r="AL372">
        <f t="shared" si="228"/>
        <v>11.012554741240884</v>
      </c>
      <c r="AM372">
        <f t="shared" si="229"/>
        <v>11.273905845757579</v>
      </c>
      <c r="AN372">
        <f t="shared" si="230"/>
        <v>11.517373366867087</v>
      </c>
      <c r="AO372">
        <f t="shared" si="231"/>
        <v>11.764862074439831</v>
      </c>
      <c r="AP372">
        <f t="shared" si="232"/>
        <v>12.030098169844397</v>
      </c>
      <c r="AQ372">
        <f t="shared" si="233"/>
        <v>12.350014887336128</v>
      </c>
      <c r="AR372">
        <f t="shared" si="234"/>
        <v>12.822822443586642</v>
      </c>
      <c r="AS372">
        <f t="shared" si="235"/>
        <v>13.974926327306944</v>
      </c>
      <c r="AT372">
        <f t="shared" si="236"/>
        <v>17.880405604516035</v>
      </c>
      <c r="AU372">
        <f t="shared" si="239"/>
        <v>-21.737498636276708</v>
      </c>
      <c r="AV372" s="5">
        <f t="shared" si="244"/>
        <v>-11.930870424916835</v>
      </c>
      <c r="AW372" s="5">
        <f t="shared" si="244"/>
        <v>-11.101020557433351</v>
      </c>
      <c r="AX372" s="5">
        <f t="shared" si="244"/>
        <v>-10.724943895035825</v>
      </c>
      <c r="AY372" s="5">
        <f t="shared" si="244"/>
        <v>-10.463592790519129</v>
      </c>
      <c r="AZ372" s="5">
        <f t="shared" si="244"/>
        <v>-10.220125269409621</v>
      </c>
      <c r="BA372" s="5">
        <f t="shared" si="242"/>
        <v>-9.9726365618368771</v>
      </c>
      <c r="BB372" s="5">
        <f t="shared" si="242"/>
        <v>-9.7074004664323112</v>
      </c>
      <c r="BC372" s="5">
        <f t="shared" si="242"/>
        <v>-9.3874837489405802</v>
      </c>
      <c r="BD372" s="5">
        <f t="shared" si="242"/>
        <v>-8.9146761926900666</v>
      </c>
      <c r="BE372" s="5">
        <f t="shared" si="242"/>
        <v>-7.762572308969764</v>
      </c>
      <c r="BH372" s="1"/>
      <c r="BS372" s="8"/>
      <c r="BT372" s="8"/>
    </row>
    <row r="373" spans="1:72" x14ac:dyDescent="0.35">
      <c r="A373" t="s">
        <v>418</v>
      </c>
      <c r="B373">
        <v>2.69</v>
      </c>
      <c r="C373">
        <v>4.01</v>
      </c>
      <c r="D373">
        <v>5.09</v>
      </c>
      <c r="E373">
        <v>6.2</v>
      </c>
      <c r="F373">
        <v>7.24</v>
      </c>
      <c r="G373">
        <v>8.4600000000000009</v>
      </c>
      <c r="H373">
        <v>10.06</v>
      </c>
      <c r="I373">
        <v>12.1</v>
      </c>
      <c r="J373">
        <v>15.25</v>
      </c>
      <c r="K373">
        <v>28.92</v>
      </c>
      <c r="L373">
        <f t="shared" si="224"/>
        <v>24</v>
      </c>
      <c r="M373">
        <f t="shared" si="225"/>
        <v>236299</v>
      </c>
      <c r="N373">
        <f t="shared" si="226"/>
        <v>2131.0935359039281</v>
      </c>
      <c r="O373">
        <f t="shared" si="237"/>
        <v>-5.2128321884859865</v>
      </c>
      <c r="P373" s="8">
        <f t="shared" si="243"/>
        <v>573.26416115815664</v>
      </c>
      <c r="Q373" s="8">
        <f t="shared" si="243"/>
        <v>854.56850789747511</v>
      </c>
      <c r="R373" s="8">
        <f t="shared" si="243"/>
        <v>1084.7266097750994</v>
      </c>
      <c r="S373" s="8">
        <f t="shared" si="243"/>
        <v>1321.2779922604354</v>
      </c>
      <c r="T373" s="8">
        <f t="shared" si="243"/>
        <v>1542.911719994444</v>
      </c>
      <c r="U373" s="8">
        <f t="shared" si="241"/>
        <v>1802.9051313747234</v>
      </c>
      <c r="V373" s="8">
        <f t="shared" si="241"/>
        <v>2143.8800971193518</v>
      </c>
      <c r="W373" s="8">
        <f t="shared" si="241"/>
        <v>2578.6231784437527</v>
      </c>
      <c r="X373" s="8">
        <f t="shared" si="241"/>
        <v>3249.9176422534902</v>
      </c>
      <c r="Y373" s="8">
        <f t="shared" si="241"/>
        <v>6163.1225058341606</v>
      </c>
      <c r="Z373">
        <f t="shared" si="245"/>
        <v>6.3513466247179453</v>
      </c>
      <c r="AA373">
        <f t="shared" si="245"/>
        <v>6.7505966724226756</v>
      </c>
      <c r="AB373">
        <f t="shared" si="245"/>
        <v>6.9890832616666296</v>
      </c>
      <c r="AC373">
        <f t="shared" si="245"/>
        <v>7.1863547231552438</v>
      </c>
      <c r="AD373">
        <f t="shared" si="245"/>
        <v>7.3414266375018231</v>
      </c>
      <c r="AE373">
        <f t="shared" si="220"/>
        <v>7.4971546047223301</v>
      </c>
      <c r="AF373">
        <f t="shared" si="220"/>
        <v>7.6703725957757909</v>
      </c>
      <c r="AG373">
        <f t="shared" si="220"/>
        <v>7.8550108837068935</v>
      </c>
      <c r="AH373">
        <f t="shared" si="220"/>
        <v>8.0863849341576177</v>
      </c>
      <c r="AI373">
        <f t="shared" si="220"/>
        <v>8.7263388283947627</v>
      </c>
      <c r="AJ373">
        <f t="shared" si="238"/>
        <v>11.580397598154981</v>
      </c>
      <c r="AK373">
        <f t="shared" si="227"/>
        <v>12.30834941163492</v>
      </c>
      <c r="AL373">
        <f t="shared" si="228"/>
        <v>12.743181532830244</v>
      </c>
      <c r="AM373">
        <f t="shared" si="229"/>
        <v>13.10286619401951</v>
      </c>
      <c r="AN373">
        <f t="shared" si="230"/>
        <v>13.3856085053038</v>
      </c>
      <c r="AO373">
        <f t="shared" si="231"/>
        <v>13.669546996481015</v>
      </c>
      <c r="AP373">
        <f t="shared" si="232"/>
        <v>13.985375013132808</v>
      </c>
      <c r="AQ373">
        <f t="shared" si="233"/>
        <v>14.322025634241012</v>
      </c>
      <c r="AR373">
        <f t="shared" si="234"/>
        <v>14.743889477679717</v>
      </c>
      <c r="AS373">
        <f t="shared" si="235"/>
        <v>15.910716133134514</v>
      </c>
      <c r="AT373">
        <f t="shared" si="236"/>
        <v>21.114515779920783</v>
      </c>
      <c r="AU373">
        <f t="shared" si="239"/>
        <v>-19.591317453079533</v>
      </c>
      <c r="AV373" s="5">
        <f t="shared" si="244"/>
        <v>-8.0109198549245519</v>
      </c>
      <c r="AW373" s="5">
        <f t="shared" si="244"/>
        <v>-7.2829680414446134</v>
      </c>
      <c r="AX373" s="5">
        <f t="shared" si="244"/>
        <v>-6.8481359202492893</v>
      </c>
      <c r="AY373" s="5">
        <f t="shared" si="244"/>
        <v>-6.4884512590600227</v>
      </c>
      <c r="AZ373" s="5">
        <f t="shared" si="244"/>
        <v>-6.205708947775733</v>
      </c>
      <c r="BA373" s="5">
        <f t="shared" si="242"/>
        <v>-5.9217704565985176</v>
      </c>
      <c r="BB373" s="5">
        <f t="shared" si="242"/>
        <v>-5.605942439946725</v>
      </c>
      <c r="BC373" s="5">
        <f t="shared" si="242"/>
        <v>-5.2692918188385214</v>
      </c>
      <c r="BD373" s="5">
        <f t="shared" si="242"/>
        <v>-4.8474279753998157</v>
      </c>
      <c r="BE373" s="5">
        <f t="shared" si="242"/>
        <v>-3.6806013199450192</v>
      </c>
      <c r="BH373" s="1"/>
      <c r="BS373" s="8"/>
      <c r="BT373" s="8"/>
    </row>
    <row r="374" spans="1:72" x14ac:dyDescent="0.35">
      <c r="A374" t="s">
        <v>202</v>
      </c>
      <c r="B374">
        <v>1.6</v>
      </c>
      <c r="C374">
        <v>3.4</v>
      </c>
      <c r="D374">
        <v>4.6000000000000005</v>
      </c>
      <c r="E374">
        <v>5.8</v>
      </c>
      <c r="F374">
        <v>7</v>
      </c>
      <c r="G374">
        <v>8.4</v>
      </c>
      <c r="H374">
        <v>10.200000000000001</v>
      </c>
      <c r="I374">
        <v>12.6</v>
      </c>
      <c r="J374">
        <v>16.2</v>
      </c>
      <c r="K374">
        <v>29.8</v>
      </c>
      <c r="L374">
        <f t="shared" si="224"/>
        <v>25.3</v>
      </c>
      <c r="M374">
        <f t="shared" si="225"/>
        <v>29043283</v>
      </c>
      <c r="N374">
        <f t="shared" si="226"/>
        <v>6010.0797889966334</v>
      </c>
      <c r="O374">
        <f t="shared" si="237"/>
        <v>-3.8059371144438767</v>
      </c>
      <c r="P374" s="8">
        <f t="shared" si="243"/>
        <v>961.61276623946139</v>
      </c>
      <c r="Q374" s="8">
        <f t="shared" si="243"/>
        <v>2043.4271282588554</v>
      </c>
      <c r="R374" s="8">
        <f t="shared" si="243"/>
        <v>2764.6367029384519</v>
      </c>
      <c r="S374" s="8">
        <f t="shared" si="243"/>
        <v>3485.8462776180472</v>
      </c>
      <c r="T374" s="8">
        <f t="shared" si="243"/>
        <v>4207.0558522976435</v>
      </c>
      <c r="U374" s="8">
        <f t="shared" si="241"/>
        <v>5048.4670227571723</v>
      </c>
      <c r="V374" s="8">
        <f t="shared" si="241"/>
        <v>6130.2813847765665</v>
      </c>
      <c r="W374" s="8">
        <f t="shared" si="241"/>
        <v>7572.7005341357581</v>
      </c>
      <c r="X374" s="8">
        <f t="shared" si="241"/>
        <v>9736.3292581745445</v>
      </c>
      <c r="Y374" s="8">
        <f t="shared" si="241"/>
        <v>17910.037771209965</v>
      </c>
      <c r="Z374">
        <f t="shared" si="245"/>
        <v>6.8686118397321909</v>
      </c>
      <c r="AA374">
        <f t="shared" si="245"/>
        <v>7.6223836421085709</v>
      </c>
      <c r="AB374">
        <f t="shared" si="245"/>
        <v>7.9246645139815044</v>
      </c>
      <c r="AC374">
        <f t="shared" si="245"/>
        <v>8.1564661280388293</v>
      </c>
      <c r="AD374">
        <f t="shared" si="245"/>
        <v>8.3445183595417678</v>
      </c>
      <c r="AE374">
        <f t="shared" si="245"/>
        <v>8.5268399163357227</v>
      </c>
      <c r="AF374">
        <f t="shared" si="245"/>
        <v>8.7209959307766809</v>
      </c>
      <c r="AG374">
        <f t="shared" si="245"/>
        <v>8.9323050244438882</v>
      </c>
      <c r="AH374">
        <f t="shared" si="245"/>
        <v>9.183619452724793</v>
      </c>
      <c r="AI374">
        <f t="shared" si="245"/>
        <v>9.793116603997813</v>
      </c>
      <c r="AJ374">
        <f t="shared" si="238"/>
        <v>12.523526230160025</v>
      </c>
      <c r="AK374">
        <f t="shared" si="227"/>
        <v>13.897876849889274</v>
      </c>
      <c r="AL374">
        <f t="shared" si="228"/>
        <v>14.44902495901345</v>
      </c>
      <c r="AM374">
        <f t="shared" si="229"/>
        <v>14.871668378320942</v>
      </c>
      <c r="AN374">
        <f t="shared" si="230"/>
        <v>15.214543635915787</v>
      </c>
      <c r="AO374">
        <f t="shared" si="231"/>
        <v>15.546970165775091</v>
      </c>
      <c r="AP374">
        <f t="shared" si="232"/>
        <v>15.900974438593261</v>
      </c>
      <c r="AQ374">
        <f t="shared" si="233"/>
        <v>16.286253886458493</v>
      </c>
      <c r="AR374">
        <f t="shared" si="234"/>
        <v>16.744474980914209</v>
      </c>
      <c r="AS374">
        <f t="shared" si="235"/>
        <v>17.855769917836007</v>
      </c>
      <c r="AT374">
        <f t="shared" si="236"/>
        <v>22.834120328398313</v>
      </c>
      <c r="AU374">
        <f t="shared" si="239"/>
        <v>-20.149984764974761</v>
      </c>
      <c r="AV374" s="5">
        <f t="shared" si="244"/>
        <v>-7.626458534814736</v>
      </c>
      <c r="AW374" s="5">
        <f t="shared" si="244"/>
        <v>-6.252107915085487</v>
      </c>
      <c r="AX374" s="5">
        <f t="shared" si="244"/>
        <v>-5.7009598059613111</v>
      </c>
      <c r="AY374" s="5">
        <f t="shared" si="244"/>
        <v>-5.2783163866538185</v>
      </c>
      <c r="AZ374" s="5">
        <f t="shared" si="244"/>
        <v>-4.9354411290589741</v>
      </c>
      <c r="BA374" s="5">
        <f t="shared" si="242"/>
        <v>-4.6030145991996694</v>
      </c>
      <c r="BB374" s="5">
        <f t="shared" si="242"/>
        <v>-4.2490103263814998</v>
      </c>
      <c r="BC374" s="5">
        <f t="shared" si="242"/>
        <v>-3.8637308785162681</v>
      </c>
      <c r="BD374" s="5">
        <f t="shared" si="242"/>
        <v>-3.4055097840605519</v>
      </c>
      <c r="BE374" s="5">
        <f t="shared" si="242"/>
        <v>-2.294214847138754</v>
      </c>
      <c r="BH374" s="1"/>
      <c r="BS374" s="8"/>
      <c r="BT374" s="8"/>
    </row>
    <row r="375" spans="1:72" x14ac:dyDescent="0.35">
      <c r="A375" t="s">
        <v>419</v>
      </c>
      <c r="B375">
        <v>2.56</v>
      </c>
      <c r="C375">
        <v>4.03</v>
      </c>
      <c r="D375">
        <v>5.08</v>
      </c>
      <c r="E375">
        <v>6.1000000000000005</v>
      </c>
      <c r="F375">
        <v>7.16</v>
      </c>
      <c r="G375">
        <v>8.43</v>
      </c>
      <c r="H375">
        <v>9.99</v>
      </c>
      <c r="I375">
        <v>12.040000000000001</v>
      </c>
      <c r="J375">
        <v>15.55</v>
      </c>
      <c r="K375">
        <v>29.060000000000002</v>
      </c>
      <c r="L375">
        <f t="shared" si="224"/>
        <v>24.4</v>
      </c>
      <c r="M375">
        <f t="shared" si="225"/>
        <v>86932500</v>
      </c>
      <c r="N375">
        <f t="shared" si="226"/>
        <v>900.49369266691042</v>
      </c>
      <c r="O375">
        <f t="shared" si="237"/>
        <v>-6.9322783239410413</v>
      </c>
      <c r="P375" s="8">
        <f t="shared" si="243"/>
        <v>230.52638532272908</v>
      </c>
      <c r="Q375" s="8">
        <f t="shared" si="243"/>
        <v>362.89895814476489</v>
      </c>
      <c r="R375" s="8">
        <f t="shared" si="243"/>
        <v>457.45079587479051</v>
      </c>
      <c r="S375" s="8">
        <f t="shared" si="243"/>
        <v>549.30115252681549</v>
      </c>
      <c r="T375" s="8">
        <f t="shared" si="243"/>
        <v>644.75348394950788</v>
      </c>
      <c r="U375" s="8">
        <f t="shared" si="241"/>
        <v>759.11618291820537</v>
      </c>
      <c r="V375" s="8">
        <f t="shared" si="241"/>
        <v>899.59319897424359</v>
      </c>
      <c r="W375" s="8">
        <f t="shared" si="241"/>
        <v>1084.1944059709601</v>
      </c>
      <c r="X375" s="8">
        <f t="shared" si="241"/>
        <v>1400.2676920970457</v>
      </c>
      <c r="Y375" s="8">
        <f t="shared" si="241"/>
        <v>2616.8346708900417</v>
      </c>
      <c r="Z375">
        <f t="shared" si="245"/>
        <v>5.4403653258322828</v>
      </c>
      <c r="AA375">
        <f t="shared" si="245"/>
        <v>5.8941244432994031</v>
      </c>
      <c r="AB375">
        <f t="shared" si="245"/>
        <v>6.1256693289312025</v>
      </c>
      <c r="AC375">
        <f t="shared" si="245"/>
        <v>6.3086468385200769</v>
      </c>
      <c r="AD375">
        <f t="shared" si="245"/>
        <v>6.4688680483133654</v>
      </c>
      <c r="AE375">
        <f t="shared" si="245"/>
        <v>6.6321548393545751</v>
      </c>
      <c r="AF375">
        <f t="shared" si="245"/>
        <v>6.8019426600012736</v>
      </c>
      <c r="AG375">
        <f t="shared" si="245"/>
        <v>6.9885925072214867</v>
      </c>
      <c r="AH375">
        <f t="shared" si="245"/>
        <v>7.244418705966055</v>
      </c>
      <c r="AI375">
        <f t="shared" si="245"/>
        <v>7.8697207254829484</v>
      </c>
      <c r="AJ375">
        <f t="shared" si="238"/>
        <v>9.9194072178593498</v>
      </c>
      <c r="AK375">
        <f t="shared" si="227"/>
        <v>10.746745309218916</v>
      </c>
      <c r="AL375">
        <f t="shared" si="228"/>
        <v>11.168920636101603</v>
      </c>
      <c r="AM375">
        <f t="shared" si="229"/>
        <v>11.502543163379979</v>
      </c>
      <c r="AN375">
        <f t="shared" si="230"/>
        <v>11.794674174753663</v>
      </c>
      <c r="AO375">
        <f t="shared" si="231"/>
        <v>12.092394654285519</v>
      </c>
      <c r="AP375">
        <f t="shared" si="232"/>
        <v>12.401968448095003</v>
      </c>
      <c r="AQ375">
        <f t="shared" si="233"/>
        <v>12.742286741231922</v>
      </c>
      <c r="AR375">
        <f t="shared" si="234"/>
        <v>13.208734137750497</v>
      </c>
      <c r="AS375">
        <f t="shared" si="235"/>
        <v>14.34884605933161</v>
      </c>
      <c r="AT375">
        <f t="shared" si="236"/>
        <v>18.086035341508516</v>
      </c>
      <c r="AU375">
        <f t="shared" si="239"/>
        <v>-19.749093621099519</v>
      </c>
      <c r="AV375" s="5">
        <f t="shared" si="244"/>
        <v>-9.829686403240169</v>
      </c>
      <c r="AW375" s="5">
        <f t="shared" si="244"/>
        <v>-9.0023483118806027</v>
      </c>
      <c r="AX375" s="5">
        <f t="shared" si="244"/>
        <v>-8.5801729849979154</v>
      </c>
      <c r="AY375" s="5">
        <f t="shared" si="244"/>
        <v>-8.2465504577195397</v>
      </c>
      <c r="AZ375" s="5">
        <f t="shared" si="244"/>
        <v>-7.954419446345856</v>
      </c>
      <c r="BA375" s="5">
        <f t="shared" si="242"/>
        <v>-7.656698966814</v>
      </c>
      <c r="BB375" s="5">
        <f t="shared" si="242"/>
        <v>-7.3471251730045157</v>
      </c>
      <c r="BC375" s="5">
        <f t="shared" si="242"/>
        <v>-7.0068068798675966</v>
      </c>
      <c r="BD375" s="5">
        <f t="shared" si="242"/>
        <v>-6.5403594833490217</v>
      </c>
      <c r="BE375" s="5">
        <f t="shared" si="242"/>
        <v>-5.4002475617679089</v>
      </c>
      <c r="BH375" s="1"/>
      <c r="BS375" s="8"/>
      <c r="BT375" s="8"/>
    </row>
    <row r="376" spans="1:72" x14ac:dyDescent="0.35">
      <c r="A376" t="s">
        <v>420</v>
      </c>
      <c r="B376">
        <v>2.44</v>
      </c>
      <c r="C376">
        <v>3.71</v>
      </c>
      <c r="D376">
        <v>4.84</v>
      </c>
      <c r="E376">
        <v>5.95</v>
      </c>
      <c r="F376">
        <v>7.07</v>
      </c>
      <c r="G376">
        <v>8.31</v>
      </c>
      <c r="H376">
        <v>9.81</v>
      </c>
      <c r="I376">
        <v>11.81</v>
      </c>
      <c r="J376">
        <v>15.200000000000001</v>
      </c>
      <c r="K376">
        <v>30.86</v>
      </c>
      <c r="L376">
        <f t="shared" si="224"/>
        <v>23.8</v>
      </c>
      <c r="M376">
        <f t="shared" si="225"/>
        <v>22763008</v>
      </c>
      <c r="N376">
        <f t="shared" si="226"/>
        <v>878.13958248017809</v>
      </c>
      <c r="O376">
        <f t="shared" si="237"/>
        <v>-6.7549553426038802</v>
      </c>
      <c r="P376" s="8">
        <f t="shared" si="243"/>
        <v>214.26605812516345</v>
      </c>
      <c r="Q376" s="8">
        <f t="shared" si="243"/>
        <v>325.7897851001461</v>
      </c>
      <c r="R376" s="8">
        <f t="shared" si="243"/>
        <v>425.01955792040616</v>
      </c>
      <c r="S376" s="8">
        <f t="shared" si="243"/>
        <v>522.49305157570598</v>
      </c>
      <c r="T376" s="8">
        <f t="shared" si="243"/>
        <v>620.84468481348597</v>
      </c>
      <c r="U376" s="8">
        <f t="shared" si="241"/>
        <v>729.73399304102804</v>
      </c>
      <c r="V376" s="8">
        <f t="shared" si="241"/>
        <v>861.45493041305474</v>
      </c>
      <c r="W376" s="8">
        <f t="shared" si="241"/>
        <v>1037.0828469090904</v>
      </c>
      <c r="X376" s="8">
        <f t="shared" si="241"/>
        <v>1334.7721653698707</v>
      </c>
      <c r="Y376" s="8">
        <f t="shared" si="241"/>
        <v>2709.9387515338294</v>
      </c>
      <c r="Z376">
        <f t="shared" si="245"/>
        <v>5.3672185050784122</v>
      </c>
      <c r="AA376">
        <f t="shared" si="245"/>
        <v>5.7862523423926451</v>
      </c>
      <c r="AB376">
        <f t="shared" si="245"/>
        <v>6.0521351865018413</v>
      </c>
      <c r="AC376">
        <f t="shared" si="245"/>
        <v>6.2586116853308402</v>
      </c>
      <c r="AD376">
        <f t="shared" si="245"/>
        <v>6.4310809456817832</v>
      </c>
      <c r="AE376">
        <f t="shared" si="245"/>
        <v>6.5926800746406586</v>
      </c>
      <c r="AF376">
        <f t="shared" si="245"/>
        <v>6.7586227393505736</v>
      </c>
      <c r="AG376">
        <f t="shared" si="245"/>
        <v>6.9441670959825723</v>
      </c>
      <c r="AH376">
        <f t="shared" si="245"/>
        <v>7.1965158936255325</v>
      </c>
      <c r="AI376">
        <f t="shared" si="245"/>
        <v>7.9046813127083162</v>
      </c>
      <c r="AJ376">
        <f t="shared" si="238"/>
        <v>9.7860387658724601</v>
      </c>
      <c r="AK376">
        <f t="shared" si="227"/>
        <v>10.550062323379825</v>
      </c>
      <c r="AL376">
        <f t="shared" si="228"/>
        <v>11.034845981278435</v>
      </c>
      <c r="AM376">
        <f t="shared" si="229"/>
        <v>11.411314168640351</v>
      </c>
      <c r="AN376">
        <f t="shared" si="230"/>
        <v>11.725777026099705</v>
      </c>
      <c r="AO376">
        <f t="shared" si="231"/>
        <v>12.020420394732165</v>
      </c>
      <c r="AP376">
        <f t="shared" si="232"/>
        <v>12.322983323412423</v>
      </c>
      <c r="AQ376">
        <f t="shared" si="233"/>
        <v>12.661285977770833</v>
      </c>
      <c r="AR376">
        <f t="shared" si="234"/>
        <v>13.121393035815647</v>
      </c>
      <c r="AS376">
        <f t="shared" si="235"/>
        <v>14.412589628098448</v>
      </c>
      <c r="AT376">
        <f t="shared" si="236"/>
        <v>17.842864909737724</v>
      </c>
      <c r="AU376">
        <f t="shared" si="239"/>
        <v>-19.572470548440684</v>
      </c>
      <c r="AV376" s="5">
        <f t="shared" si="244"/>
        <v>-9.7864317825682239</v>
      </c>
      <c r="AW376" s="5">
        <f t="shared" si="244"/>
        <v>-9.0224082250608593</v>
      </c>
      <c r="AX376" s="5">
        <f t="shared" si="244"/>
        <v>-8.5376245671622488</v>
      </c>
      <c r="AY376" s="5">
        <f t="shared" si="244"/>
        <v>-8.1611563798003335</v>
      </c>
      <c r="AZ376" s="5">
        <f t="shared" si="244"/>
        <v>-7.8466935223409795</v>
      </c>
      <c r="BA376" s="5">
        <f t="shared" si="242"/>
        <v>-7.5520501537085192</v>
      </c>
      <c r="BB376" s="5">
        <f t="shared" si="242"/>
        <v>-7.2494872250282612</v>
      </c>
      <c r="BC376" s="5">
        <f t="shared" si="242"/>
        <v>-6.9111845706698514</v>
      </c>
      <c r="BD376" s="5">
        <f t="shared" si="242"/>
        <v>-6.4510775126250373</v>
      </c>
      <c r="BE376" s="5">
        <f t="shared" si="242"/>
        <v>-5.1598809203422356</v>
      </c>
      <c r="BH376" s="1"/>
      <c r="BS376" s="8"/>
      <c r="BT376" s="8"/>
    </row>
    <row r="377" spans="1:72" x14ac:dyDescent="0.35">
      <c r="A377" t="s">
        <v>204</v>
      </c>
      <c r="B377">
        <v>1.49</v>
      </c>
      <c r="C377">
        <v>2.3199999999999998</v>
      </c>
      <c r="D377">
        <v>3.02</v>
      </c>
      <c r="E377">
        <v>3.74</v>
      </c>
      <c r="F377">
        <v>4.66</v>
      </c>
      <c r="G377">
        <v>5.83</v>
      </c>
      <c r="H377">
        <v>7.5200000000000005</v>
      </c>
      <c r="I377">
        <v>10.370000000000001</v>
      </c>
      <c r="J377">
        <v>15.82</v>
      </c>
      <c r="K377">
        <v>45.230000000000004</v>
      </c>
      <c r="L377">
        <f t="shared" si="224"/>
        <v>21.4</v>
      </c>
      <c r="M377">
        <f t="shared" si="225"/>
        <v>13216985</v>
      </c>
      <c r="N377">
        <f t="shared" si="226"/>
        <v>741.44209139426641</v>
      </c>
      <c r="O377">
        <f t="shared" si="237"/>
        <v>-6.1708475764165724</v>
      </c>
      <c r="P377" s="8">
        <f t="shared" si="243"/>
        <v>110.47487161774571</v>
      </c>
      <c r="Q377" s="8">
        <f t="shared" si="243"/>
        <v>172.0145652034698</v>
      </c>
      <c r="R377" s="8">
        <f t="shared" si="243"/>
        <v>223.91551160106846</v>
      </c>
      <c r="S377" s="8">
        <f t="shared" si="243"/>
        <v>277.2993421814557</v>
      </c>
      <c r="T377" s="8">
        <f t="shared" si="243"/>
        <v>345.51201458972815</v>
      </c>
      <c r="U377" s="8">
        <f t="shared" si="241"/>
        <v>432.26073928285734</v>
      </c>
      <c r="V377" s="8">
        <f t="shared" si="241"/>
        <v>557.56445272848839</v>
      </c>
      <c r="W377" s="8">
        <f t="shared" si="241"/>
        <v>768.87544877585435</v>
      </c>
      <c r="X377" s="8">
        <f t="shared" si="241"/>
        <v>1172.9613885857293</v>
      </c>
      <c r="Y377" s="8">
        <f t="shared" si="241"/>
        <v>3353.5425793762674</v>
      </c>
      <c r="Z377">
        <f t="shared" si="245"/>
        <v>4.7047880889228555</v>
      </c>
      <c r="AA377">
        <f t="shared" si="245"/>
        <v>5.1475791546437062</v>
      </c>
      <c r="AB377">
        <f t="shared" si="245"/>
        <v>5.411268800352266</v>
      </c>
      <c r="AC377">
        <f t="shared" si="245"/>
        <v>5.6250975803919285</v>
      </c>
      <c r="AD377">
        <f t="shared" si="245"/>
        <v>5.8450274171030427</v>
      </c>
      <c r="AE377">
        <f t="shared" si="245"/>
        <v>6.0690289693278894</v>
      </c>
      <c r="AF377">
        <f t="shared" si="245"/>
        <v>6.3235781069272363</v>
      </c>
      <c r="AG377">
        <f t="shared" si="245"/>
        <v>6.6449289912069238</v>
      </c>
      <c r="AH377">
        <f t="shared" si="245"/>
        <v>7.067286931304996</v>
      </c>
      <c r="AI377">
        <f t="shared" si="245"/>
        <v>8.1177725524552393</v>
      </c>
      <c r="AJ377">
        <f t="shared" si="238"/>
        <v>8.5782307129568647</v>
      </c>
      <c r="AK377">
        <f t="shared" si="227"/>
        <v>9.3855707775035615</v>
      </c>
      <c r="AL377">
        <f t="shared" si="228"/>
        <v>9.8663555811446866</v>
      </c>
      <c r="AM377">
        <f t="shared" si="229"/>
        <v>10.256229168133443</v>
      </c>
      <c r="AN377">
        <f t="shared" si="230"/>
        <v>10.657226799549145</v>
      </c>
      <c r="AO377">
        <f t="shared" si="231"/>
        <v>11.065648381717603</v>
      </c>
      <c r="AP377">
        <f t="shared" si="232"/>
        <v>11.529767315204216</v>
      </c>
      <c r="AQ377">
        <f t="shared" si="233"/>
        <v>12.115685739809603</v>
      </c>
      <c r="AR377">
        <f t="shared" si="234"/>
        <v>12.885770127274537</v>
      </c>
      <c r="AS377">
        <f t="shared" si="235"/>
        <v>14.801118459346533</v>
      </c>
      <c r="AT377">
        <f t="shared" si="236"/>
        <v>15.640670902472825</v>
      </c>
      <c r="AU377">
        <f t="shared" si="239"/>
        <v>-19.19621926164848</v>
      </c>
      <c r="AV377" s="5">
        <f t="shared" si="244"/>
        <v>-10.617988548691615</v>
      </c>
      <c r="AW377" s="5">
        <f t="shared" si="244"/>
        <v>-9.8106484841449184</v>
      </c>
      <c r="AX377" s="5">
        <f t="shared" si="244"/>
        <v>-9.3298636805037933</v>
      </c>
      <c r="AY377" s="5">
        <f t="shared" si="244"/>
        <v>-8.9399900935150374</v>
      </c>
      <c r="AZ377" s="5">
        <f t="shared" si="244"/>
        <v>-8.5389924620993352</v>
      </c>
      <c r="BA377" s="5">
        <f t="shared" si="242"/>
        <v>-8.1305708799308771</v>
      </c>
      <c r="BB377" s="5">
        <f t="shared" si="242"/>
        <v>-7.6664519464442638</v>
      </c>
      <c r="BC377" s="5">
        <f t="shared" si="242"/>
        <v>-7.080533521838877</v>
      </c>
      <c r="BD377" s="5">
        <f t="shared" si="242"/>
        <v>-6.3104491343739433</v>
      </c>
      <c r="BE377" s="5">
        <f t="shared" si="242"/>
        <v>-4.3951008023019469</v>
      </c>
      <c r="BH377" s="1"/>
      <c r="BS377" s="8"/>
      <c r="BT377" s="8"/>
    </row>
    <row r="378" spans="1:72" x14ac:dyDescent="0.35">
      <c r="A378" t="s">
        <v>205</v>
      </c>
      <c r="B378">
        <v>2.48</v>
      </c>
      <c r="C378">
        <v>3.35</v>
      </c>
      <c r="D378">
        <v>4.26</v>
      </c>
      <c r="E378">
        <v>5.24</v>
      </c>
      <c r="F378">
        <v>6.3500000000000005</v>
      </c>
      <c r="G378">
        <v>7.66</v>
      </c>
      <c r="H378">
        <v>9.32</v>
      </c>
      <c r="I378">
        <v>11.69</v>
      </c>
      <c r="J378">
        <v>15.83</v>
      </c>
      <c r="K378">
        <v>33.83</v>
      </c>
      <c r="L378">
        <f t="shared" si="224"/>
        <v>21</v>
      </c>
      <c r="M378">
        <f t="shared" si="225"/>
        <v>13076978</v>
      </c>
      <c r="N378">
        <f t="shared" si="226"/>
        <v>397.82159673579832</v>
      </c>
      <c r="O378">
        <f t="shared" si="237"/>
        <v>-7.1572500094405758</v>
      </c>
      <c r="P378" s="8">
        <f t="shared" si="243"/>
        <v>98.659755990477976</v>
      </c>
      <c r="Q378" s="8">
        <f t="shared" si="243"/>
        <v>133.27023490649245</v>
      </c>
      <c r="R378" s="8">
        <f t="shared" si="243"/>
        <v>169.47200020945007</v>
      </c>
      <c r="S378" s="8">
        <f t="shared" si="243"/>
        <v>208.45851668955834</v>
      </c>
      <c r="T378" s="8">
        <f t="shared" si="243"/>
        <v>252.61671392723196</v>
      </c>
      <c r="U378" s="8">
        <f t="shared" si="241"/>
        <v>304.73134309962154</v>
      </c>
      <c r="V378" s="8">
        <f t="shared" si="241"/>
        <v>370.76972815776401</v>
      </c>
      <c r="W378" s="8">
        <f t="shared" si="241"/>
        <v>465.05344658414822</v>
      </c>
      <c r="X378" s="8">
        <f t="shared" si="241"/>
        <v>629.75158763276875</v>
      </c>
      <c r="Y378" s="8">
        <f t="shared" si="241"/>
        <v>1345.8304617572057</v>
      </c>
      <c r="Z378">
        <f t="shared" si="245"/>
        <v>4.591677122565943</v>
      </c>
      <c r="AA378">
        <f t="shared" si="245"/>
        <v>4.8923789082260276</v>
      </c>
      <c r="AB378">
        <f t="shared" si="245"/>
        <v>5.1326877226703314</v>
      </c>
      <c r="AC378">
        <f t="shared" si="245"/>
        <v>5.3397400607220034</v>
      </c>
      <c r="AD378">
        <f t="shared" si="245"/>
        <v>5.5318733752936531</v>
      </c>
      <c r="AE378">
        <f t="shared" si="245"/>
        <v>5.7194305461415524</v>
      </c>
      <c r="AF378">
        <f t="shared" si="245"/>
        <v>5.9155811910865523</v>
      </c>
      <c r="AG378">
        <f t="shared" si="245"/>
        <v>6.1421523378730294</v>
      </c>
      <c r="AH378">
        <f t="shared" si="245"/>
        <v>6.4453254362819736</v>
      </c>
      <c r="AI378">
        <f t="shared" si="245"/>
        <v>7.2047665451816698</v>
      </c>
      <c r="AJ378">
        <f t="shared" si="238"/>
        <v>8.3719957142202386</v>
      </c>
      <c r="AK378">
        <f t="shared" si="227"/>
        <v>8.9202646786106996</v>
      </c>
      <c r="AL378">
        <f t="shared" si="228"/>
        <v>9.35841925936937</v>
      </c>
      <c r="AM378">
        <f t="shared" si="229"/>
        <v>9.7359373732343073</v>
      </c>
      <c r="AN378">
        <f t="shared" si="230"/>
        <v>10.086253661426168</v>
      </c>
      <c r="AO378">
        <f t="shared" si="231"/>
        <v>10.428226275918801</v>
      </c>
      <c r="AP378">
        <f t="shared" si="232"/>
        <v>10.785867354545729</v>
      </c>
      <c r="AQ378">
        <f t="shared" si="233"/>
        <v>11.198974073339219</v>
      </c>
      <c r="AR378">
        <f t="shared" si="234"/>
        <v>11.75174897732205</v>
      </c>
      <c r="AS378">
        <f t="shared" si="235"/>
        <v>13.136436432296648</v>
      </c>
      <c r="AT378">
        <f t="shared" si="236"/>
        <v>15.264643041746334</v>
      </c>
      <c r="AU378">
        <f t="shared" si="239"/>
        <v>-18.629429385764674</v>
      </c>
      <c r="AV378" s="5">
        <f t="shared" si="244"/>
        <v>-10.257433671544435</v>
      </c>
      <c r="AW378" s="5">
        <f t="shared" si="244"/>
        <v>-9.7091647071539739</v>
      </c>
      <c r="AX378" s="5">
        <f t="shared" si="244"/>
        <v>-9.2710101263953035</v>
      </c>
      <c r="AY378" s="5">
        <f t="shared" si="244"/>
        <v>-8.8934920125303663</v>
      </c>
      <c r="AZ378" s="5">
        <f t="shared" si="244"/>
        <v>-8.5431757243385054</v>
      </c>
      <c r="BA378" s="5">
        <f t="shared" si="242"/>
        <v>-8.2012031098458724</v>
      </c>
      <c r="BB378" s="5">
        <f t="shared" si="242"/>
        <v>-7.8435620312189442</v>
      </c>
      <c r="BC378" s="5">
        <f t="shared" si="242"/>
        <v>-7.4304553124254547</v>
      </c>
      <c r="BD378" s="5">
        <f t="shared" si="242"/>
        <v>-6.8776804084426235</v>
      </c>
      <c r="BE378" s="5">
        <f t="shared" si="242"/>
        <v>-5.4929929534680255</v>
      </c>
      <c r="BH378" s="1"/>
      <c r="BS378" s="8"/>
      <c r="BT378" s="8"/>
    </row>
    <row r="379" spans="1:72" x14ac:dyDescent="0.35">
      <c r="BH379" s="1"/>
      <c r="BS379" s="8"/>
      <c r="BT379" s="8"/>
    </row>
    <row r="380" spans="1:72" x14ac:dyDescent="0.35">
      <c r="Z380">
        <f>MAX(0,Z208-LN(365))</f>
        <v>0</v>
      </c>
      <c r="AA380">
        <f t="shared" ref="AA380:AI380" si="246">MAX(0,AA208-LN(365))</f>
        <v>0</v>
      </c>
      <c r="AB380">
        <f t="shared" si="246"/>
        <v>0</v>
      </c>
      <c r="AC380">
        <f t="shared" si="246"/>
        <v>0</v>
      </c>
      <c r="AD380">
        <f t="shared" si="246"/>
        <v>0</v>
      </c>
      <c r="AE380">
        <f t="shared" si="246"/>
        <v>0</v>
      </c>
      <c r="AF380">
        <f t="shared" si="246"/>
        <v>0</v>
      </c>
      <c r="AG380">
        <f t="shared" si="246"/>
        <v>0.18184825678939642</v>
      </c>
      <c r="AH380">
        <f t="shared" si="246"/>
        <v>0.21229758226343343</v>
      </c>
      <c r="AI380">
        <f t="shared" si="246"/>
        <v>0.90315983488377594</v>
      </c>
      <c r="BH380" s="1"/>
      <c r="BS380" s="8"/>
      <c r="BT380" s="8"/>
    </row>
    <row r="381" spans="1:72" x14ac:dyDescent="0.35">
      <c r="E381" s="19"/>
      <c r="Z381">
        <f t="shared" ref="Z381:AI381" si="247">MAX(0,Z209-LN(365))</f>
        <v>1.2278796020664693</v>
      </c>
      <c r="AA381">
        <f t="shared" si="247"/>
        <v>1.5771501518309918</v>
      </c>
      <c r="AB381">
        <f t="shared" si="247"/>
        <v>1.7452411968122457</v>
      </c>
      <c r="AC381">
        <f t="shared" si="247"/>
        <v>1.8806031604757676</v>
      </c>
      <c r="AD381">
        <f t="shared" si="247"/>
        <v>2.0198083271861984</v>
      </c>
      <c r="AE381">
        <f t="shared" si="247"/>
        <v>2.1561205033112829</v>
      </c>
      <c r="AF381">
        <f t="shared" si="247"/>
        <v>2.2836946619627581</v>
      </c>
      <c r="AG381">
        <f t="shared" si="247"/>
        <v>2.4392023782311378</v>
      </c>
      <c r="AH381">
        <f t="shared" si="247"/>
        <v>2.6311063013491127</v>
      </c>
      <c r="AI381">
        <f t="shared" si="247"/>
        <v>3.0628625515230068</v>
      </c>
      <c r="BH381" s="1"/>
      <c r="BS381" s="8"/>
      <c r="BT381" s="8"/>
    </row>
    <row r="382" spans="1:72" x14ac:dyDescent="0.35">
      <c r="E382" s="19"/>
      <c r="Z382">
        <f t="shared" ref="Z382:AI382" si="248">MAX(0,Z210-LN(365))</f>
        <v>0.90496277098602995</v>
      </c>
      <c r="AA382">
        <f t="shared" si="248"/>
        <v>1.2616377149247615</v>
      </c>
      <c r="AB382">
        <f t="shared" si="248"/>
        <v>1.5031481431090468</v>
      </c>
      <c r="AC382">
        <f t="shared" si="248"/>
        <v>1.6959509773705843</v>
      </c>
      <c r="AD382">
        <f t="shared" si="248"/>
        <v>1.8628835332008853</v>
      </c>
      <c r="AE382">
        <f t="shared" si="248"/>
        <v>2.0197044415840226</v>
      </c>
      <c r="AF382">
        <f t="shared" si="248"/>
        <v>2.181823291060458</v>
      </c>
      <c r="AG382">
        <f t="shared" si="248"/>
        <v>2.3634967596917411</v>
      </c>
      <c r="AH382">
        <f t="shared" si="248"/>
        <v>2.6062204582846862</v>
      </c>
      <c r="AI382">
        <f t="shared" si="248"/>
        <v>3.1424052114952721</v>
      </c>
      <c r="BH382" s="1"/>
      <c r="BS382" s="8"/>
      <c r="BT382" s="8"/>
    </row>
    <row r="383" spans="1:72" x14ac:dyDescent="0.35">
      <c r="E383" s="19"/>
      <c r="Z383">
        <f t="shared" ref="Z383:AI383" si="249">MAX(0,Z211-LN(365))</f>
        <v>0.3793097637516496</v>
      </c>
      <c r="AA383">
        <f t="shared" si="249"/>
        <v>0.86370213044948496</v>
      </c>
      <c r="AB383">
        <f t="shared" si="249"/>
        <v>1.1150165587303906</v>
      </c>
      <c r="AC383">
        <f t="shared" si="249"/>
        <v>1.3194679770324482</v>
      </c>
      <c r="AD383">
        <f t="shared" si="249"/>
        <v>1.5296983219434788</v>
      </c>
      <c r="AE383">
        <f t="shared" si="249"/>
        <v>1.7211523623007059</v>
      </c>
      <c r="AF383">
        <f t="shared" si="249"/>
        <v>1.918719071825266</v>
      </c>
      <c r="AG383">
        <f t="shared" si="249"/>
        <v>2.1605470800523152</v>
      </c>
      <c r="AH383">
        <f t="shared" si="249"/>
        <v>2.4386225380008719</v>
      </c>
      <c r="AI383">
        <f t="shared" si="249"/>
        <v>3.1271379363107785</v>
      </c>
      <c r="BH383" s="1"/>
      <c r="BS383" s="8"/>
      <c r="BT383" s="8"/>
    </row>
    <row r="384" spans="1:72" x14ac:dyDescent="0.35">
      <c r="E384" s="19"/>
      <c r="Z384">
        <f t="shared" ref="Z384:AI384" si="250">MAX(0,Z212-LN(365))</f>
        <v>0</v>
      </c>
      <c r="AA384">
        <f t="shared" si="250"/>
        <v>0.44021851683864188</v>
      </c>
      <c r="AB384">
        <f t="shared" si="250"/>
        <v>0.85773196346298075</v>
      </c>
      <c r="AC384">
        <f t="shared" si="250"/>
        <v>1.1558385532506463</v>
      </c>
      <c r="AD384">
        <f t="shared" si="250"/>
        <v>1.385185048689463</v>
      </c>
      <c r="AE384">
        <f t="shared" si="250"/>
        <v>1.6047887732985489</v>
      </c>
      <c r="AF384">
        <f t="shared" si="250"/>
        <v>1.8276485964224598</v>
      </c>
      <c r="AG384">
        <f t="shared" si="250"/>
        <v>2.0809789004017833</v>
      </c>
      <c r="AH384">
        <f t="shared" si="250"/>
        <v>2.4161916910126893</v>
      </c>
      <c r="AI384">
        <f t="shared" si="250"/>
        <v>3.3468711603389449</v>
      </c>
      <c r="BH384" s="1"/>
      <c r="BS384" s="8"/>
      <c r="BT384" s="8"/>
    </row>
    <row r="385" spans="5:72" x14ac:dyDescent="0.35">
      <c r="E385" s="19"/>
      <c r="Z385">
        <f t="shared" ref="Z385:AI385" si="251">MAX(0,Z213-LN(365))</f>
        <v>1.1720590046997614</v>
      </c>
      <c r="AA385">
        <f t="shared" si="251"/>
        <v>1.8433644433446581</v>
      </c>
      <c r="AB385">
        <f t="shared" si="251"/>
        <v>2.1389020157367478</v>
      </c>
      <c r="AC385">
        <f t="shared" si="251"/>
        <v>2.3723212296291623</v>
      </c>
      <c r="AD385">
        <f t="shared" si="251"/>
        <v>2.5917403818523885</v>
      </c>
      <c r="AE385">
        <f t="shared" si="251"/>
        <v>2.7962030645235574</v>
      </c>
      <c r="AF385">
        <f t="shared" si="251"/>
        <v>3.0051341737160611</v>
      </c>
      <c r="AG385">
        <f t="shared" si="251"/>
        <v>3.2351641270599041</v>
      </c>
      <c r="AH385">
        <f t="shared" si="251"/>
        <v>3.5246093501300662</v>
      </c>
      <c r="AI385">
        <f t="shared" si="251"/>
        <v>4.1155228497079959</v>
      </c>
      <c r="BH385" s="1"/>
      <c r="BS385" s="8"/>
      <c r="BT385" s="8"/>
    </row>
    <row r="386" spans="5:72" x14ac:dyDescent="0.35">
      <c r="E386" s="19"/>
      <c r="Z386">
        <f t="shared" ref="Z386:AI386" si="252">MAX(0,Z214-LN(365))</f>
        <v>0.65539936147138178</v>
      </c>
      <c r="AA386">
        <f t="shared" si="252"/>
        <v>0.99227735991597488</v>
      </c>
      <c r="AB386">
        <f t="shared" si="252"/>
        <v>1.1633800331051409</v>
      </c>
      <c r="AC386">
        <f t="shared" si="252"/>
        <v>1.3153304920227971</v>
      </c>
      <c r="AD386">
        <f t="shared" si="252"/>
        <v>1.4587249783024916</v>
      </c>
      <c r="AE386">
        <f t="shared" si="252"/>
        <v>1.5952734434816227</v>
      </c>
      <c r="AF386">
        <f t="shared" si="252"/>
        <v>1.7183452190960091</v>
      </c>
      <c r="AG386">
        <f t="shared" si="252"/>
        <v>1.8633415500848169</v>
      </c>
      <c r="AH386">
        <f t="shared" si="252"/>
        <v>2.0578969654297357</v>
      </c>
      <c r="AI386">
        <f t="shared" si="252"/>
        <v>2.6449845740293574</v>
      </c>
      <c r="BH386" s="1"/>
      <c r="BS386" s="8"/>
      <c r="BT386" s="8"/>
    </row>
    <row r="387" spans="5:72" x14ac:dyDescent="0.35">
      <c r="E387" s="19"/>
      <c r="Z387">
        <f t="shared" ref="Z387:AI387" si="253">MAX(0,Z215-LN(365))</f>
        <v>3.2404654285690784</v>
      </c>
      <c r="AA387">
        <f t="shared" si="253"/>
        <v>3.7989731831501397</v>
      </c>
      <c r="AB387">
        <f t="shared" si="253"/>
        <v>3.9937811305954769</v>
      </c>
      <c r="AC387">
        <f t="shared" si="253"/>
        <v>4.1411308425401527</v>
      </c>
      <c r="AD387">
        <f t="shared" si="253"/>
        <v>4.2968550868148414</v>
      </c>
      <c r="AE387">
        <f t="shared" si="253"/>
        <v>4.4582952675564416</v>
      </c>
      <c r="AF387">
        <f t="shared" si="253"/>
        <v>4.6277283127670996</v>
      </c>
      <c r="AG387">
        <f t="shared" si="253"/>
        <v>4.8151995429948604</v>
      </c>
      <c r="AH387">
        <f t="shared" si="253"/>
        <v>5.0418681740689388</v>
      </c>
      <c r="AI387">
        <f t="shared" si="253"/>
        <v>5.5709521977852008</v>
      </c>
      <c r="BS387" s="8"/>
      <c r="BT387" s="8"/>
    </row>
    <row r="388" spans="5:72" x14ac:dyDescent="0.35">
      <c r="E388" s="19"/>
      <c r="Z388">
        <f t="shared" ref="Z388:AI388" si="254">MAX(0,Z216-LN(365))</f>
        <v>3.6165394407633285</v>
      </c>
      <c r="AA388">
        <f t="shared" si="254"/>
        <v>4.0685245645063857</v>
      </c>
      <c r="AB388">
        <f t="shared" si="254"/>
        <v>4.2355786491695513</v>
      </c>
      <c r="AC388">
        <f t="shared" si="254"/>
        <v>4.3919247195602447</v>
      </c>
      <c r="AD388">
        <f t="shared" si="254"/>
        <v>4.5155386755274227</v>
      </c>
      <c r="AE388">
        <f t="shared" si="254"/>
        <v>4.6150682708744553</v>
      </c>
      <c r="AF388">
        <f t="shared" si="254"/>
        <v>4.7151517294314376</v>
      </c>
      <c r="AG388">
        <f t="shared" si="254"/>
        <v>4.8486831220559603</v>
      </c>
      <c r="AH388">
        <f t="shared" si="254"/>
        <v>5.0028338018832192</v>
      </c>
      <c r="AI388">
        <f t="shared" si="254"/>
        <v>5.4683631507340325</v>
      </c>
      <c r="BS388" s="8"/>
      <c r="BT388" s="8"/>
    </row>
    <row r="389" spans="5:72" x14ac:dyDescent="0.35">
      <c r="E389" s="19"/>
      <c r="Z389">
        <f t="shared" ref="Z389:AI389" si="255">MAX(0,Z217-LN(365))</f>
        <v>1.0836328935364623</v>
      </c>
      <c r="AA389">
        <f t="shared" si="255"/>
        <v>1.448678502601731</v>
      </c>
      <c r="AB389">
        <f t="shared" si="255"/>
        <v>1.6168154244037298</v>
      </c>
      <c r="AC389">
        <f t="shared" si="255"/>
        <v>1.7548011673776323</v>
      </c>
      <c r="AD389">
        <f t="shared" si="255"/>
        <v>1.8864789913528321</v>
      </c>
      <c r="AE389">
        <f t="shared" si="255"/>
        <v>2.021146102441282</v>
      </c>
      <c r="AF389">
        <f t="shared" si="255"/>
        <v>2.1558119251364163</v>
      </c>
      <c r="AG389">
        <f t="shared" si="255"/>
        <v>2.3234763241303975</v>
      </c>
      <c r="AH389">
        <f t="shared" si="255"/>
        <v>2.533786197106541</v>
      </c>
      <c r="AI389">
        <f t="shared" si="255"/>
        <v>3.0933048646611754</v>
      </c>
      <c r="BS389" s="8"/>
      <c r="BT389" s="8"/>
    </row>
    <row r="390" spans="5:72" x14ac:dyDescent="0.35">
      <c r="E390" s="19"/>
      <c r="Z390">
        <f t="shared" ref="Z390:AI390" si="256">MAX(0,Z218-LN(365))</f>
        <v>2.2136647794883233</v>
      </c>
      <c r="AA390">
        <f t="shared" si="256"/>
        <v>2.6710728206890257</v>
      </c>
      <c r="AB390">
        <f t="shared" si="256"/>
        <v>3.4889588399079736</v>
      </c>
      <c r="AC390">
        <f t="shared" si="256"/>
        <v>3.6690230594002786</v>
      </c>
      <c r="AD390">
        <f t="shared" si="256"/>
        <v>3.6963538009170831</v>
      </c>
      <c r="AE390">
        <f t="shared" si="256"/>
        <v>3.8546023872399351</v>
      </c>
      <c r="AF390">
        <f t="shared" si="256"/>
        <v>4.1627472526803055</v>
      </c>
      <c r="AG390">
        <f t="shared" si="256"/>
        <v>4.3561427774255703</v>
      </c>
      <c r="AH390">
        <f t="shared" si="256"/>
        <v>4.4145674448695074</v>
      </c>
      <c r="AI390">
        <f t="shared" si="256"/>
        <v>5.1054296974898508</v>
      </c>
      <c r="BS390" s="8"/>
      <c r="BT390" s="8"/>
    </row>
    <row r="391" spans="5:72" x14ac:dyDescent="0.35">
      <c r="E391" s="19"/>
      <c r="Z391">
        <f t="shared" ref="Z391:AI391" si="257">MAX(0,Z219-LN(365))</f>
        <v>0</v>
      </c>
      <c r="AA391">
        <f t="shared" si="257"/>
        <v>0</v>
      </c>
      <c r="AB391">
        <f t="shared" si="257"/>
        <v>0</v>
      </c>
      <c r="AC391">
        <f t="shared" si="257"/>
        <v>0</v>
      </c>
      <c r="AD391">
        <f t="shared" si="257"/>
        <v>0</v>
      </c>
      <c r="AE391">
        <f t="shared" si="257"/>
        <v>0.1221241563732578</v>
      </c>
      <c r="AF391">
        <f t="shared" si="257"/>
        <v>0.31850759982378829</v>
      </c>
      <c r="AG391">
        <f t="shared" si="257"/>
        <v>0.5297655439040172</v>
      </c>
      <c r="AH391">
        <f t="shared" si="257"/>
        <v>0.83083585347431477</v>
      </c>
      <c r="AI391">
        <f t="shared" si="257"/>
        <v>1.610538494153773</v>
      </c>
      <c r="BS391" s="8"/>
      <c r="BT391" s="8"/>
    </row>
    <row r="392" spans="5:72" x14ac:dyDescent="0.35">
      <c r="E392" s="19"/>
      <c r="Z392">
        <f t="shared" ref="Z392:AI392" si="258">MAX(0,Z220-LN(365))</f>
        <v>1.7078391725302167</v>
      </c>
      <c r="AA392">
        <f t="shared" si="258"/>
        <v>2.4360776729014324</v>
      </c>
      <c r="AB392">
        <f t="shared" si="258"/>
        <v>2.732343489044605</v>
      </c>
      <c r="AC392">
        <f t="shared" si="258"/>
        <v>2.9399828538228485</v>
      </c>
      <c r="AD392">
        <f t="shared" si="258"/>
        <v>3.111833110749509</v>
      </c>
      <c r="AE392">
        <f t="shared" si="258"/>
        <v>3.3028883475122166</v>
      </c>
      <c r="AF392">
        <f t="shared" si="258"/>
        <v>3.4995986417582712</v>
      </c>
      <c r="AG392">
        <f t="shared" si="258"/>
        <v>3.7692622087073735</v>
      </c>
      <c r="AH392">
        <f t="shared" si="258"/>
        <v>4.0794171370112133</v>
      </c>
      <c r="AI392">
        <f t="shared" si="258"/>
        <v>5.0577432598048206</v>
      </c>
      <c r="BS392" s="8"/>
      <c r="BT392" s="8"/>
    </row>
    <row r="393" spans="5:72" x14ac:dyDescent="0.35">
      <c r="E393" s="19"/>
      <c r="Z393">
        <f t="shared" ref="Z393:AI393" si="259">MAX(0,Z221-LN(365))</f>
        <v>1.5812870161029364</v>
      </c>
      <c r="AA393">
        <f t="shared" si="259"/>
        <v>1.9034444551589553</v>
      </c>
      <c r="AB393">
        <f t="shared" si="259"/>
        <v>2.0839158726647486</v>
      </c>
      <c r="AC393">
        <f t="shared" si="259"/>
        <v>2.2300983828428302</v>
      </c>
      <c r="AD393">
        <f t="shared" si="259"/>
        <v>2.3386537893971751</v>
      </c>
      <c r="AE393">
        <f t="shared" si="259"/>
        <v>2.4452097624597764</v>
      </c>
      <c r="AF393">
        <f t="shared" si="259"/>
        <v>2.5656177847087713</v>
      </c>
      <c r="AG393">
        <f t="shared" si="259"/>
        <v>2.6892095709221424</v>
      </c>
      <c r="AH393">
        <f t="shared" si="259"/>
        <v>2.8627875943656607</v>
      </c>
      <c r="AI393">
        <f t="shared" si="259"/>
        <v>3.3313737889304234</v>
      </c>
      <c r="BS393" s="8"/>
      <c r="BT393" s="8"/>
    </row>
    <row r="394" spans="5:72" x14ac:dyDescent="0.35">
      <c r="E394" s="19"/>
      <c r="Z394">
        <f t="shared" ref="Z394:AI394" si="260">MAX(0,Z222-LN(365))</f>
        <v>3.6176698354386341</v>
      </c>
      <c r="AA394">
        <f t="shared" si="260"/>
        <v>4.0140851080268805</v>
      </c>
      <c r="AB394">
        <f t="shared" si="260"/>
        <v>4.1811391926900479</v>
      </c>
      <c r="AC394">
        <f t="shared" si="260"/>
        <v>4.3374852630807412</v>
      </c>
      <c r="AD394">
        <f t="shared" si="260"/>
        <v>4.4610992190479175</v>
      </c>
      <c r="AE394">
        <f t="shared" si="260"/>
        <v>4.5917194014649825</v>
      </c>
      <c r="AF394">
        <f t="shared" si="260"/>
        <v>4.6980998050235536</v>
      </c>
      <c r="AG394">
        <f t="shared" si="260"/>
        <v>4.8189362781668281</v>
      </c>
      <c r="AH394">
        <f t="shared" si="260"/>
        <v>4.9765652223704118</v>
      </c>
      <c r="AI394">
        <f t="shared" si="260"/>
        <v>5.3442900024957281</v>
      </c>
      <c r="BS394" s="8"/>
      <c r="BT394" s="8"/>
    </row>
    <row r="395" spans="5:72" x14ac:dyDescent="0.35">
      <c r="E395" s="19"/>
      <c r="Z395">
        <f t="shared" ref="Z395:AI395" si="261">MAX(0,Z223-LN(365))</f>
        <v>5.3149498846478238E-2</v>
      </c>
      <c r="AA395">
        <f t="shared" si="261"/>
        <v>0.94989563464766302</v>
      </c>
      <c r="AB395">
        <f t="shared" si="261"/>
        <v>1.3494956233034294</v>
      </c>
      <c r="AC395">
        <f t="shared" si="261"/>
        <v>1.5796732012750185</v>
      </c>
      <c r="AD395">
        <f t="shared" si="261"/>
        <v>1.800945844653417</v>
      </c>
      <c r="AE395">
        <f t="shared" si="261"/>
        <v>2.0233400516088462</v>
      </c>
      <c r="AF395">
        <f t="shared" si="261"/>
        <v>2.2634306414851251</v>
      </c>
      <c r="AG395">
        <f t="shared" si="261"/>
        <v>2.5163161619980725</v>
      </c>
      <c r="AH395">
        <f t="shared" si="261"/>
        <v>2.8509552175376252</v>
      </c>
      <c r="AI395">
        <f t="shared" si="261"/>
        <v>3.8735758508955476</v>
      </c>
      <c r="BS395" s="8"/>
      <c r="BT395" s="8"/>
    </row>
    <row r="396" spans="5:72" x14ac:dyDescent="0.35">
      <c r="E396" s="19"/>
      <c r="Z396">
        <f t="shared" ref="Z396:AI396" si="262">MAX(0,Z224-LN(365))</f>
        <v>0</v>
      </c>
      <c r="AA396">
        <f t="shared" si="262"/>
        <v>0</v>
      </c>
      <c r="AB396">
        <f t="shared" si="262"/>
        <v>0</v>
      </c>
      <c r="AC396">
        <f t="shared" si="262"/>
        <v>0</v>
      </c>
      <c r="AD396">
        <f t="shared" si="262"/>
        <v>0</v>
      </c>
      <c r="AE396">
        <f t="shared" si="262"/>
        <v>9.1273109624149917E-2</v>
      </c>
      <c r="AF396">
        <f t="shared" si="262"/>
        <v>0.28906358269571175</v>
      </c>
      <c r="AG396">
        <f t="shared" si="262"/>
        <v>0.53673456200613412</v>
      </c>
      <c r="AH396">
        <f t="shared" si="262"/>
        <v>0.89499415281225403</v>
      </c>
      <c r="AI396">
        <f t="shared" si="262"/>
        <v>1.6478962638742143</v>
      </c>
      <c r="BS396" s="8"/>
      <c r="BT396" s="8"/>
    </row>
    <row r="397" spans="5:72" x14ac:dyDescent="0.35">
      <c r="E397" s="19"/>
      <c r="Z397">
        <f t="shared" ref="Z397:AI397" si="263">MAX(0,Z225-LN(365))</f>
        <v>0.30289705526296373</v>
      </c>
      <c r="AA397">
        <f t="shared" si="263"/>
        <v>0.67257796288082972</v>
      </c>
      <c r="AB397">
        <f t="shared" si="263"/>
        <v>0.8846046740887008</v>
      </c>
      <c r="AC397">
        <f t="shared" si="263"/>
        <v>1.0594457471734051</v>
      </c>
      <c r="AD397">
        <f t="shared" si="263"/>
        <v>1.2257119132140621</v>
      </c>
      <c r="AE397">
        <f t="shared" si="263"/>
        <v>1.3856262977580709</v>
      </c>
      <c r="AF397">
        <f t="shared" si="263"/>
        <v>1.5623905694871585</v>
      </c>
      <c r="AG397">
        <f t="shared" si="263"/>
        <v>1.7525929277333505</v>
      </c>
      <c r="AH397">
        <f t="shared" si="263"/>
        <v>2.0198023532540761</v>
      </c>
      <c r="AI397">
        <f t="shared" si="263"/>
        <v>2.7168608816949336</v>
      </c>
    </row>
    <row r="398" spans="5:72" x14ac:dyDescent="0.35">
      <c r="E398" s="19"/>
      <c r="Z398">
        <f t="shared" ref="Z398:AI398" si="264">MAX(0,Z226-LN(365))</f>
        <v>0</v>
      </c>
      <c r="AA398">
        <f t="shared" si="264"/>
        <v>0</v>
      </c>
      <c r="AB398">
        <f t="shared" si="264"/>
        <v>0.20322104071737535</v>
      </c>
      <c r="AC398">
        <f t="shared" si="264"/>
        <v>0.45745517910161659</v>
      </c>
      <c r="AD398">
        <f t="shared" si="264"/>
        <v>0.68467205580346135</v>
      </c>
      <c r="AE398">
        <f t="shared" si="264"/>
        <v>0.89373317363931548</v>
      </c>
      <c r="AF398">
        <f t="shared" si="264"/>
        <v>1.1046652644745363</v>
      </c>
      <c r="AG398">
        <f t="shared" si="264"/>
        <v>1.3455983573522436</v>
      </c>
      <c r="AH398">
        <f t="shared" si="264"/>
        <v>1.659385081797752</v>
      </c>
      <c r="AI398">
        <f t="shared" si="264"/>
        <v>2.4630634361723773</v>
      </c>
    </row>
    <row r="399" spans="5:72" x14ac:dyDescent="0.35">
      <c r="E399" s="19"/>
      <c r="Z399">
        <f t="shared" ref="Z399:AI399" si="265">MAX(0,Z227-LN(365))</f>
        <v>0.96919901086670457</v>
      </c>
      <c r="AA399">
        <f t="shared" si="265"/>
        <v>1.3872717358294437</v>
      </c>
      <c r="AB399">
        <f t="shared" si="265"/>
        <v>1.6145071319071871</v>
      </c>
      <c r="AC399">
        <f t="shared" si="265"/>
        <v>1.7874075583895239</v>
      </c>
      <c r="AD399">
        <f t="shared" si="265"/>
        <v>1.9413401119207929</v>
      </c>
      <c r="AE399">
        <f t="shared" si="265"/>
        <v>2.0973589036307718</v>
      </c>
      <c r="AF399">
        <f t="shared" si="265"/>
        <v>2.247823386480106</v>
      </c>
      <c r="AG399">
        <f t="shared" si="265"/>
        <v>2.4248322043834145</v>
      </c>
      <c r="AH399">
        <f t="shared" si="265"/>
        <v>2.6552134229978543</v>
      </c>
      <c r="AI399">
        <f t="shared" si="265"/>
        <v>3.1563771358521082</v>
      </c>
    </row>
    <row r="400" spans="5:72" x14ac:dyDescent="0.35">
      <c r="E400" s="19"/>
      <c r="Z400">
        <f t="shared" ref="Z400:AI400" si="266">MAX(0,Z228-LN(365))</f>
        <v>0.57095829290274036</v>
      </c>
      <c r="AA400">
        <f t="shared" si="266"/>
        <v>1.1043837485859722</v>
      </c>
      <c r="AB400">
        <f t="shared" si="266"/>
        <v>1.4384588606074633</v>
      </c>
      <c r="AC400">
        <f t="shared" si="266"/>
        <v>1.6821890455300617</v>
      </c>
      <c r="AD400">
        <f t="shared" si="266"/>
        <v>1.9404455357062496</v>
      </c>
      <c r="AE400">
        <f t="shared" si="266"/>
        <v>2.2104172215916984</v>
      </c>
      <c r="AF400">
        <f t="shared" si="266"/>
        <v>2.4864793631595132</v>
      </c>
      <c r="AG400">
        <f t="shared" si="266"/>
        <v>2.8004605291583085</v>
      </c>
      <c r="AH400">
        <f t="shared" si="266"/>
        <v>3.258481795108378</v>
      </c>
      <c r="AI400">
        <f t="shared" si="266"/>
        <v>4.4263605550462666</v>
      </c>
    </row>
    <row r="401" spans="5:35" x14ac:dyDescent="0.35">
      <c r="E401" s="19"/>
      <c r="Z401">
        <f t="shared" ref="Z401:AI401" si="267">MAX(0,Z229-LN(365))</f>
        <v>0.59682077650560217</v>
      </c>
      <c r="AA401">
        <f t="shared" si="267"/>
        <v>1.3233043773331392</v>
      </c>
      <c r="AB401">
        <f t="shared" si="267"/>
        <v>1.6667778094133352</v>
      </c>
      <c r="AC401">
        <f t="shared" si="267"/>
        <v>1.9264551040600013</v>
      </c>
      <c r="AD401">
        <f t="shared" si="267"/>
        <v>2.1629618831863775</v>
      </c>
      <c r="AE401">
        <f t="shared" si="267"/>
        <v>2.3757868942737472</v>
      </c>
      <c r="AF401">
        <f t="shared" si="267"/>
        <v>2.577237620976697</v>
      </c>
      <c r="AG401">
        <f t="shared" si="267"/>
        <v>2.831925171293439</v>
      </c>
      <c r="AH401">
        <f t="shared" si="267"/>
        <v>3.1779360210977137</v>
      </c>
      <c r="AI401">
        <f t="shared" si="267"/>
        <v>4.1365511462282294</v>
      </c>
    </row>
    <row r="402" spans="5:35" x14ac:dyDescent="0.35">
      <c r="E402" s="19"/>
      <c r="Z402">
        <f t="shared" ref="Z402:AI402" si="268">MAX(0,Z230-LN(365))</f>
        <v>0.97052296839653884</v>
      </c>
      <c r="AA402">
        <f t="shared" si="268"/>
        <v>1.5683599691521595</v>
      </c>
      <c r="AB402">
        <f t="shared" si="268"/>
        <v>1.8497724285903443</v>
      </c>
      <c r="AC402">
        <f t="shared" si="268"/>
        <v>2.0383635983978943</v>
      </c>
      <c r="AD402">
        <f t="shared" si="268"/>
        <v>2.2102138553245547</v>
      </c>
      <c r="AE402">
        <f t="shared" si="268"/>
        <v>2.3568173295164287</v>
      </c>
      <c r="AF402">
        <f t="shared" si="268"/>
        <v>2.5044533283224935</v>
      </c>
      <c r="AG402">
        <f t="shared" si="268"/>
        <v>2.6752710606349632</v>
      </c>
      <c r="AH402">
        <f t="shared" si="268"/>
        <v>2.9033610358844983</v>
      </c>
      <c r="AI402">
        <f t="shared" si="268"/>
        <v>3.528454753199429</v>
      </c>
    </row>
    <row r="403" spans="5:35" x14ac:dyDescent="0.35">
      <c r="E403" s="19"/>
      <c r="Z403">
        <f t="shared" ref="Z403:AI403" si="269">MAX(0,Z231-LN(365))</f>
        <v>0</v>
      </c>
      <c r="AA403">
        <f t="shared" si="269"/>
        <v>0</v>
      </c>
      <c r="AB403">
        <f t="shared" si="269"/>
        <v>0</v>
      </c>
      <c r="AC403">
        <f t="shared" si="269"/>
        <v>0</v>
      </c>
      <c r="AD403">
        <f t="shared" si="269"/>
        <v>0</v>
      </c>
      <c r="AE403">
        <f t="shared" si="269"/>
        <v>5.8860323634224443E-3</v>
      </c>
      <c r="AF403">
        <f t="shared" si="269"/>
        <v>0.1570077566455037</v>
      </c>
      <c r="AG403">
        <f t="shared" si="269"/>
        <v>0.34750423012304754</v>
      </c>
      <c r="AH403">
        <f t="shared" si="269"/>
        <v>0.61190861770548288</v>
      </c>
      <c r="AI403">
        <f t="shared" si="269"/>
        <v>1.3104758657347677</v>
      </c>
    </row>
    <row r="404" spans="5:35" x14ac:dyDescent="0.35">
      <c r="E404" s="19"/>
      <c r="Z404">
        <f t="shared" ref="Z404:AI404" si="270">MAX(0,Z232-LN(365))</f>
        <v>0</v>
      </c>
      <c r="AA404">
        <f t="shared" si="270"/>
        <v>0</v>
      </c>
      <c r="AB404">
        <f t="shared" si="270"/>
        <v>0</v>
      </c>
      <c r="AC404">
        <f t="shared" si="270"/>
        <v>0</v>
      </c>
      <c r="AD404">
        <f t="shared" si="270"/>
        <v>0</v>
      </c>
      <c r="AE404">
        <f t="shared" si="270"/>
        <v>0</v>
      </c>
      <c r="AF404">
        <f t="shared" si="270"/>
        <v>0</v>
      </c>
      <c r="AG404">
        <f t="shared" si="270"/>
        <v>0</v>
      </c>
      <c r="AH404">
        <f t="shared" si="270"/>
        <v>0</v>
      </c>
      <c r="AI404">
        <f t="shared" si="270"/>
        <v>0.14422217107612045</v>
      </c>
    </row>
    <row r="405" spans="5:35" x14ac:dyDescent="0.35">
      <c r="E405" s="19"/>
      <c r="Z405">
        <f t="shared" ref="Z405:AI405" si="271">MAX(0,Z233-LN(365))</f>
        <v>0</v>
      </c>
      <c r="AA405">
        <f t="shared" si="271"/>
        <v>0</v>
      </c>
      <c r="AB405">
        <f t="shared" si="271"/>
        <v>0</v>
      </c>
      <c r="AC405">
        <f t="shared" si="271"/>
        <v>0.11256624106183466</v>
      </c>
      <c r="AD405">
        <f t="shared" si="271"/>
        <v>0.23380010587595113</v>
      </c>
      <c r="AE405">
        <f t="shared" si="271"/>
        <v>0.36404526484965505</v>
      </c>
      <c r="AF405">
        <f t="shared" si="271"/>
        <v>0.50260432015114365</v>
      </c>
      <c r="AG405">
        <f t="shared" si="271"/>
        <v>0.67197036638666763</v>
      </c>
      <c r="AH405">
        <f t="shared" si="271"/>
        <v>0.90973971426647005</v>
      </c>
      <c r="AI405">
        <f t="shared" si="271"/>
        <v>1.4310574988303628</v>
      </c>
    </row>
    <row r="406" spans="5:35" x14ac:dyDescent="0.35">
      <c r="E406" s="19"/>
      <c r="Z406">
        <f t="shared" ref="Z406:AI406" si="272">MAX(0,Z234-LN(365))</f>
        <v>0</v>
      </c>
      <c r="AA406">
        <f t="shared" si="272"/>
        <v>0</v>
      </c>
      <c r="AB406">
        <f t="shared" si="272"/>
        <v>0</v>
      </c>
      <c r="AC406">
        <f t="shared" si="272"/>
        <v>0.20075327263874243</v>
      </c>
      <c r="AD406">
        <f t="shared" si="272"/>
        <v>0.44251163239518387</v>
      </c>
      <c r="AE406">
        <f t="shared" si="272"/>
        <v>0.66499923091447322</v>
      </c>
      <c r="AF406">
        <f t="shared" si="272"/>
        <v>0.88971634667611355</v>
      </c>
      <c r="AG406">
        <f t="shared" si="272"/>
        <v>1.1266015258426201</v>
      </c>
      <c r="AH406">
        <f t="shared" si="272"/>
        <v>1.4478335579786217</v>
      </c>
      <c r="AI406">
        <f t="shared" si="272"/>
        <v>2.1884274120032527</v>
      </c>
    </row>
    <row r="407" spans="5:35" x14ac:dyDescent="0.35">
      <c r="E407" s="19"/>
      <c r="Z407">
        <f t="shared" ref="Z407:AI407" si="273">MAX(0,Z235-LN(365))</f>
        <v>3.2839323433888117</v>
      </c>
      <c r="AA407">
        <f t="shared" si="273"/>
        <v>3.784255244955653</v>
      </c>
      <c r="AB407">
        <f t="shared" si="273"/>
        <v>4.0315394410811392</v>
      </c>
      <c r="AC407">
        <f t="shared" si="273"/>
        <v>4.204690692522683</v>
      </c>
      <c r="AD407">
        <f t="shared" si="273"/>
        <v>4.3548001034232664</v>
      </c>
      <c r="AE407">
        <f t="shared" si="273"/>
        <v>4.4920012249367511</v>
      </c>
      <c r="AF407">
        <f t="shared" si="273"/>
        <v>4.6437601313205397</v>
      </c>
      <c r="AG407">
        <f t="shared" si="273"/>
        <v>4.808527489062409</v>
      </c>
      <c r="AH407">
        <f t="shared" si="273"/>
        <v>5.0213827157731172</v>
      </c>
      <c r="AI407">
        <f t="shared" si="273"/>
        <v>5.5461617510340284</v>
      </c>
    </row>
    <row r="408" spans="5:35" x14ac:dyDescent="0.35">
      <c r="E408" s="19"/>
      <c r="Z408">
        <f t="shared" ref="Z408:AI408" si="274">MAX(0,Z236-LN(365))</f>
        <v>0.34715679786260534</v>
      </c>
      <c r="AA408">
        <f t="shared" si="274"/>
        <v>0.78458425667372733</v>
      </c>
      <c r="AB408">
        <f t="shared" si="274"/>
        <v>1.0325819323286396</v>
      </c>
      <c r="AC408">
        <f t="shared" si="274"/>
        <v>1.2624213623814482</v>
      </c>
      <c r="AD408">
        <f t="shared" si="274"/>
        <v>1.4559732567049561</v>
      </c>
      <c r="AE408">
        <f t="shared" si="274"/>
        <v>1.6436386597131545</v>
      </c>
      <c r="AF408">
        <f t="shared" si="274"/>
        <v>1.8437992161513614</v>
      </c>
      <c r="AG408">
        <f t="shared" si="274"/>
        <v>2.1005840479984945</v>
      </c>
      <c r="AH408">
        <f t="shared" si="274"/>
        <v>2.4600083174240668</v>
      </c>
      <c r="AI408">
        <f t="shared" si="274"/>
        <v>3.2940219812115084</v>
      </c>
    </row>
    <row r="409" spans="5:35" x14ac:dyDescent="0.35">
      <c r="E409" s="19"/>
      <c r="Z409">
        <f t="shared" ref="Z409:AI409" si="275">MAX(0,Z237-LN(365))</f>
        <v>0</v>
      </c>
      <c r="AA409">
        <f t="shared" si="275"/>
        <v>0</v>
      </c>
      <c r="AB409">
        <f t="shared" si="275"/>
        <v>0</v>
      </c>
      <c r="AC409">
        <f t="shared" si="275"/>
        <v>0</v>
      </c>
      <c r="AD409">
        <f t="shared" si="275"/>
        <v>0</v>
      </c>
      <c r="AE409">
        <f t="shared" si="275"/>
        <v>0</v>
      </c>
      <c r="AF409">
        <f t="shared" si="275"/>
        <v>0</v>
      </c>
      <c r="AG409">
        <f t="shared" si="275"/>
        <v>0.18311420803508494</v>
      </c>
      <c r="AH409">
        <f t="shared" si="275"/>
        <v>0.55762125839552468</v>
      </c>
      <c r="AI409">
        <f t="shared" si="275"/>
        <v>1.7079596482097266</v>
      </c>
    </row>
    <row r="410" spans="5:35" x14ac:dyDescent="0.35">
      <c r="E410" s="19"/>
      <c r="Z410">
        <f t="shared" ref="Z410:AI410" si="276">MAX(0,Z238-LN(365))</f>
        <v>0</v>
      </c>
      <c r="AA410">
        <f t="shared" si="276"/>
        <v>0</v>
      </c>
      <c r="AB410">
        <f t="shared" si="276"/>
        <v>0</v>
      </c>
      <c r="AC410">
        <f t="shared" si="276"/>
        <v>7.2582042699772309E-2</v>
      </c>
      <c r="AD410">
        <f t="shared" si="276"/>
        <v>0.28022140747801672</v>
      </c>
      <c r="AE410">
        <f t="shared" si="276"/>
        <v>0.46452512547596214</v>
      </c>
      <c r="AF410">
        <f t="shared" si="276"/>
        <v>0.6431269011673848</v>
      </c>
      <c r="AG410">
        <f t="shared" si="276"/>
        <v>0.87410715994239396</v>
      </c>
      <c r="AH410">
        <f t="shared" si="276"/>
        <v>1.170583644326002</v>
      </c>
      <c r="AI410">
        <f t="shared" si="276"/>
        <v>1.8545254821901702</v>
      </c>
    </row>
    <row r="411" spans="5:35" x14ac:dyDescent="0.35">
      <c r="E411" s="19"/>
      <c r="Z411">
        <f t="shared" ref="Z411:AI411" si="277">MAX(0,Z239-LN(365))</f>
        <v>1.4005240017769767</v>
      </c>
      <c r="AA411">
        <f t="shared" si="277"/>
        <v>1.9263527921350159</v>
      </c>
      <c r="AB411">
        <f t="shared" si="277"/>
        <v>2.1772853223780553</v>
      </c>
      <c r="AC411">
        <f t="shared" si="277"/>
        <v>2.3733269439144733</v>
      </c>
      <c r="AD411">
        <f t="shared" si="277"/>
        <v>2.5556485007084282</v>
      </c>
      <c r="AE411">
        <f t="shared" si="277"/>
        <v>2.7437530594660311</v>
      </c>
      <c r="AF411">
        <f t="shared" si="277"/>
        <v>2.9376412526314502</v>
      </c>
      <c r="AG411">
        <f t="shared" si="277"/>
        <v>3.1932519940831616</v>
      </c>
      <c r="AH411">
        <f t="shared" si="277"/>
        <v>3.5808100633851536</v>
      </c>
      <c r="AI411">
        <f t="shared" si="277"/>
        <v>4.5831699852099037</v>
      </c>
    </row>
    <row r="412" spans="5:35" x14ac:dyDescent="0.35">
      <c r="E412" s="19"/>
      <c r="Z412">
        <f t="shared" ref="Z412:AI412" si="278">MAX(0,Z240-LN(365))</f>
        <v>0.9382583020686992</v>
      </c>
      <c r="AA412">
        <f t="shared" si="278"/>
        <v>1.2480028897840976</v>
      </c>
      <c r="AB412">
        <f t="shared" si="278"/>
        <v>1.4625315612484924</v>
      </c>
      <c r="AC412">
        <f t="shared" si="278"/>
        <v>1.6329427619475307</v>
      </c>
      <c r="AD412">
        <f t="shared" si="278"/>
        <v>1.7824744959184953</v>
      </c>
      <c r="AE412">
        <f t="shared" si="278"/>
        <v>1.9240750965914648</v>
      </c>
      <c r="AF412">
        <f t="shared" si="278"/>
        <v>2.0711481400925704</v>
      </c>
      <c r="AG412">
        <f t="shared" si="278"/>
        <v>2.2394974136915087</v>
      </c>
      <c r="AH412">
        <f t="shared" si="278"/>
        <v>2.4689859520630426</v>
      </c>
      <c r="AI412">
        <f t="shared" si="278"/>
        <v>3.0554401717313828</v>
      </c>
    </row>
    <row r="413" spans="5:35" x14ac:dyDescent="0.35">
      <c r="E413" s="19"/>
      <c r="Z413">
        <f t="shared" ref="Z413:AI413" si="279">MAX(0,Z241-LN(365))</f>
        <v>0.17122226950036623</v>
      </c>
      <c r="AA413">
        <f t="shared" si="279"/>
        <v>0.89127690298023587</v>
      </c>
      <c r="AB413">
        <f t="shared" si="279"/>
        <v>1.2421830268379663</v>
      </c>
      <c r="AC413">
        <f t="shared" si="279"/>
        <v>1.503828125506752</v>
      </c>
      <c r="AD413">
        <f t="shared" si="279"/>
        <v>1.737942452249313</v>
      </c>
      <c r="AE413">
        <f t="shared" si="279"/>
        <v>1.9584259221925606</v>
      </c>
      <c r="AF413">
        <f t="shared" si="279"/>
        <v>2.1933716985633991</v>
      </c>
      <c r="AG413">
        <f t="shared" si="279"/>
        <v>2.473807362494413</v>
      </c>
      <c r="AH413">
        <f t="shared" si="279"/>
        <v>2.8453709189268954</v>
      </c>
      <c r="AI413">
        <f t="shared" si="279"/>
        <v>3.8173839939291492</v>
      </c>
    </row>
    <row r="414" spans="5:35" x14ac:dyDescent="0.35">
      <c r="E414" s="19"/>
      <c r="Z414">
        <f t="shared" ref="Z414:AI414" si="280">MAX(0,Z242-LN(365))</f>
        <v>0</v>
      </c>
      <c r="AA414">
        <f t="shared" si="280"/>
        <v>0</v>
      </c>
      <c r="AB414">
        <f t="shared" si="280"/>
        <v>0</v>
      </c>
      <c r="AC414">
        <f t="shared" si="280"/>
        <v>0</v>
      </c>
      <c r="AD414">
        <f t="shared" si="280"/>
        <v>0</v>
      </c>
      <c r="AE414">
        <f t="shared" si="280"/>
        <v>0</v>
      </c>
      <c r="AF414">
        <f t="shared" si="280"/>
        <v>0.1916106929070498</v>
      </c>
      <c r="AG414">
        <f t="shared" si="280"/>
        <v>0.4269909706696966</v>
      </c>
      <c r="AH414">
        <f t="shared" si="280"/>
        <v>0.79088305155238281</v>
      </c>
      <c r="AI414">
        <f t="shared" si="280"/>
        <v>2.0756495962570778</v>
      </c>
    </row>
    <row r="415" spans="5:35" x14ac:dyDescent="0.35">
      <c r="E415" s="19"/>
      <c r="Z415">
        <f t="shared" ref="Z415:AI415" si="281">MAX(0,Z243-LN(365))</f>
        <v>0</v>
      </c>
      <c r="AA415">
        <f t="shared" si="281"/>
        <v>0.32306473190019513</v>
      </c>
      <c r="AB415">
        <f t="shared" si="281"/>
        <v>0.62485141053351789</v>
      </c>
      <c r="AC415">
        <f t="shared" si="281"/>
        <v>0.88915303434123505</v>
      </c>
      <c r="AD415">
        <f t="shared" si="281"/>
        <v>1.1272381656536439</v>
      </c>
      <c r="AE415">
        <f t="shared" si="281"/>
        <v>1.3360421062873984</v>
      </c>
      <c r="AF415">
        <f t="shared" si="281"/>
        <v>1.5506208863622168</v>
      </c>
      <c r="AG415">
        <f t="shared" si="281"/>
        <v>1.8084499956643167</v>
      </c>
      <c r="AH415">
        <f t="shared" si="281"/>
        <v>2.1129284659633507</v>
      </c>
      <c r="AI415">
        <f t="shared" si="281"/>
        <v>2.9880281704427771</v>
      </c>
    </row>
    <row r="416" spans="5:35" x14ac:dyDescent="0.35">
      <c r="E416" s="19"/>
      <c r="Z416">
        <f t="shared" ref="Z416:AI416" si="282">MAX(0,Z244-LN(365))</f>
        <v>0.7690308842468081</v>
      </c>
      <c r="AA416">
        <f t="shared" si="282"/>
        <v>1.3880700926530318</v>
      </c>
      <c r="AB416">
        <f t="shared" si="282"/>
        <v>1.6893949415085991</v>
      </c>
      <c r="AC416">
        <f t="shared" si="282"/>
        <v>1.9141631885498107</v>
      </c>
      <c r="AD416">
        <f t="shared" si="282"/>
        <v>2.1259875071240826</v>
      </c>
      <c r="AE416">
        <f t="shared" si="282"/>
        <v>2.3522784644287169</v>
      </c>
      <c r="AF416">
        <f t="shared" si="282"/>
        <v>2.5887407475832083</v>
      </c>
      <c r="AG416">
        <f t="shared" si="282"/>
        <v>2.8484724259266434</v>
      </c>
      <c r="AH416">
        <f t="shared" si="282"/>
        <v>3.2140363172826225</v>
      </c>
      <c r="AI416">
        <f t="shared" si="282"/>
        <v>3.9906241020915099</v>
      </c>
    </row>
    <row r="417" spans="5:35" x14ac:dyDescent="0.35">
      <c r="E417" s="19"/>
      <c r="Z417">
        <f t="shared" ref="Z417:AI417" si="283">MAX(0,Z245-LN(365))</f>
        <v>0</v>
      </c>
      <c r="AA417">
        <f t="shared" si="283"/>
        <v>0</v>
      </c>
      <c r="AB417">
        <f t="shared" si="283"/>
        <v>0.1504088537569146</v>
      </c>
      <c r="AC417">
        <f t="shared" si="283"/>
        <v>0.34840822327009935</v>
      </c>
      <c r="AD417">
        <f t="shared" si="283"/>
        <v>0.52763858749438075</v>
      </c>
      <c r="AE417">
        <f t="shared" si="283"/>
        <v>0.72379587614098551</v>
      </c>
      <c r="AF417">
        <f t="shared" si="283"/>
        <v>0.92377236817366093</v>
      </c>
      <c r="AG417">
        <f t="shared" si="283"/>
        <v>1.1568662503410394</v>
      </c>
      <c r="AH417">
        <f t="shared" si="283"/>
        <v>1.4574596610829138</v>
      </c>
      <c r="AI417">
        <f t="shared" si="283"/>
        <v>2.1475477997957766</v>
      </c>
    </row>
    <row r="418" spans="5:35" x14ac:dyDescent="0.35">
      <c r="E418" s="19"/>
      <c r="Z418">
        <f t="shared" ref="Z418:AI418" si="284">MAX(0,Z246-LN(365))</f>
        <v>2.0010028786674354</v>
      </c>
      <c r="AA418">
        <f t="shared" si="284"/>
        <v>2.5930539423560122</v>
      </c>
      <c r="AB418">
        <f t="shared" si="284"/>
        <v>2.8372509028680541</v>
      </c>
      <c r="AC418">
        <f t="shared" si="284"/>
        <v>2.9770128452432116</v>
      </c>
      <c r="AD418">
        <f t="shared" si="284"/>
        <v>3.2088144593005365</v>
      </c>
      <c r="AE418">
        <f t="shared" si="284"/>
        <v>3.3072545321137889</v>
      </c>
      <c r="AF418">
        <f t="shared" si="284"/>
        <v>3.4433867064383685</v>
      </c>
      <c r="AG418">
        <f t="shared" si="284"/>
        <v>3.5712200779482535</v>
      </c>
      <c r="AH418">
        <f t="shared" si="284"/>
        <v>3.7733442620383881</v>
      </c>
      <c r="AI418">
        <f t="shared" si="284"/>
        <v>4.1722519696003948</v>
      </c>
    </row>
    <row r="419" spans="5:35" x14ac:dyDescent="0.35">
      <c r="E419" s="19"/>
      <c r="Z419">
        <f t="shared" ref="Z419:AI419" si="285">MAX(0,Z247-LN(365))</f>
        <v>1.5211055065394605</v>
      </c>
      <c r="AA419">
        <f t="shared" si="285"/>
        <v>1.7789346158415595</v>
      </c>
      <c r="AB419">
        <f t="shared" si="285"/>
        <v>1.9650368954754205</v>
      </c>
      <c r="AC419">
        <f t="shared" si="285"/>
        <v>2.2574248589646144</v>
      </c>
      <c r="AD419">
        <f t="shared" si="285"/>
        <v>2.5273444750765544</v>
      </c>
      <c r="AE419">
        <f t="shared" si="285"/>
        <v>2.6391358810646723</v>
      </c>
      <c r="AF419">
        <f t="shared" si="285"/>
        <v>2.8310268888747769</v>
      </c>
      <c r="AG419">
        <f t="shared" si="285"/>
        <v>2.9435048723014665</v>
      </c>
      <c r="AH419">
        <f t="shared" si="285"/>
        <v>3.0251829033157334</v>
      </c>
      <c r="AI419">
        <f t="shared" si="285"/>
        <v>3.193242013189125</v>
      </c>
    </row>
    <row r="420" spans="5:35" x14ac:dyDescent="0.35">
      <c r="E420" s="19"/>
      <c r="Z420">
        <f t="shared" ref="Z420:AI420" si="286">MAX(0,Z248-LN(365))</f>
        <v>2.7558205913015579</v>
      </c>
      <c r="AA420">
        <f t="shared" si="286"/>
        <v>3.1094606315451356</v>
      </c>
      <c r="AB420">
        <f t="shared" si="286"/>
        <v>3.284664720570226</v>
      </c>
      <c r="AC420">
        <f t="shared" si="286"/>
        <v>3.433700299730714</v>
      </c>
      <c r="AD420">
        <f t="shared" si="286"/>
        <v>3.5768011433713882</v>
      </c>
      <c r="AE420">
        <f t="shared" si="286"/>
        <v>3.7366498443132832</v>
      </c>
      <c r="AF420">
        <f t="shared" si="286"/>
        <v>3.8744335466763369</v>
      </c>
      <c r="AG420">
        <f t="shared" si="286"/>
        <v>4.0299976543007423</v>
      </c>
      <c r="AH420">
        <f t="shared" si="286"/>
        <v>4.2360467722556523</v>
      </c>
      <c r="AI420">
        <f t="shared" si="286"/>
        <v>4.865115096131075</v>
      </c>
    </row>
    <row r="421" spans="5:35" x14ac:dyDescent="0.35">
      <c r="E421" s="19"/>
      <c r="Z421">
        <f t="shared" ref="Z421:AI421" si="287">MAX(0,Z249-LN(365))</f>
        <v>2.7634569174520882</v>
      </c>
      <c r="AA421">
        <f t="shared" si="287"/>
        <v>3.1442294129698807</v>
      </c>
      <c r="AB421">
        <f t="shared" si="287"/>
        <v>3.2839913553450399</v>
      </c>
      <c r="AC421">
        <f t="shared" si="287"/>
        <v>3.3936902726014653</v>
      </c>
      <c r="AD421">
        <f t="shared" si="287"/>
        <v>3.4807016495910945</v>
      </c>
      <c r="AE421">
        <f t="shared" si="287"/>
        <v>3.5824843439010374</v>
      </c>
      <c r="AF421">
        <f t="shared" si="287"/>
        <v>3.684613838977417</v>
      </c>
      <c r="AG421">
        <f t="shared" si="287"/>
        <v>3.8120587855455375</v>
      </c>
      <c r="AH421">
        <f t="shared" si="287"/>
        <v>3.9698657765759053</v>
      </c>
      <c r="AI421">
        <f t="shared" si="287"/>
        <v>4.42978220428824</v>
      </c>
    </row>
    <row r="422" spans="5:35" x14ac:dyDescent="0.35">
      <c r="E422" s="19"/>
      <c r="Z422">
        <f t="shared" ref="Z422:AI422" si="288">MAX(0,Z250-LN(365))</f>
        <v>3.7034087132606563</v>
      </c>
      <c r="AA422">
        <f t="shared" si="288"/>
        <v>4.2807240782954787</v>
      </c>
      <c r="AB422">
        <f t="shared" si="288"/>
        <v>4.442365429851896</v>
      </c>
      <c r="AC422">
        <f t="shared" si="288"/>
        <v>4.5684061507472604</v>
      </c>
      <c r="AD422">
        <f t="shared" si="288"/>
        <v>4.680324066951246</v>
      </c>
      <c r="AE422">
        <f t="shared" si="288"/>
        <v>4.7915497020614692</v>
      </c>
      <c r="AF422">
        <f t="shared" si="288"/>
        <v>4.8916331606184533</v>
      </c>
      <c r="AG422">
        <f t="shared" si="288"/>
        <v>5.0083574349265936</v>
      </c>
      <c r="AH422">
        <f t="shared" si="288"/>
        <v>5.1649264956181336</v>
      </c>
      <c r="AI422">
        <f t="shared" si="288"/>
        <v>5.6582078097332156</v>
      </c>
    </row>
    <row r="423" spans="5:35" x14ac:dyDescent="0.35">
      <c r="E423" s="19"/>
      <c r="Z423">
        <f t="shared" ref="Z423:AI423" si="289">MAX(0,Z251-LN(365))</f>
        <v>0</v>
      </c>
      <c r="AA423">
        <f t="shared" si="289"/>
        <v>0</v>
      </c>
      <c r="AB423">
        <f t="shared" si="289"/>
        <v>0.22512748242544678</v>
      </c>
      <c r="AC423">
        <f t="shared" si="289"/>
        <v>0.48694345116504678</v>
      </c>
      <c r="AD423">
        <f t="shared" si="289"/>
        <v>0.68077679821949921</v>
      </c>
      <c r="AE423">
        <f t="shared" si="289"/>
        <v>0.85579261651071903</v>
      </c>
      <c r="AF423">
        <f t="shared" si="289"/>
        <v>1.0304999233194279</v>
      </c>
      <c r="AG423">
        <f t="shared" si="289"/>
        <v>1.22652754601775</v>
      </c>
      <c r="AH423">
        <f t="shared" si="289"/>
        <v>1.5520953692694741</v>
      </c>
      <c r="AI423">
        <f t="shared" si="289"/>
        <v>2.3169622190206285</v>
      </c>
    </row>
    <row r="424" spans="5:35" x14ac:dyDescent="0.35">
      <c r="E424" s="19"/>
      <c r="Z424">
        <f t="shared" ref="Z424:AI424" si="290">MAX(0,Z252-LN(365))</f>
        <v>1.0575098727341894</v>
      </c>
      <c r="AA424">
        <f t="shared" si="290"/>
        <v>1.5218154808652873</v>
      </c>
      <c r="AB424">
        <f t="shared" si="290"/>
        <v>1.773129909146193</v>
      </c>
      <c r="AC424">
        <f t="shared" si="290"/>
        <v>1.9554514659401478</v>
      </c>
      <c r="AD424">
        <f t="shared" si="290"/>
        <v>2.140854689271511</v>
      </c>
      <c r="AE424">
        <f t="shared" si="290"/>
        <v>2.3231762460654659</v>
      </c>
      <c r="AF424">
        <f t="shared" si="290"/>
        <v>2.5203443109764132</v>
      </c>
      <c r="AG424">
        <f t="shared" si="290"/>
        <v>2.7455909124874021</v>
      </c>
      <c r="AH424">
        <f t="shared" si="290"/>
        <v>3.0602176201826348</v>
      </c>
      <c r="AI424">
        <f t="shared" si="290"/>
        <v>3.7472109351682024</v>
      </c>
    </row>
    <row r="425" spans="5:35" x14ac:dyDescent="0.35">
      <c r="E425" s="19"/>
      <c r="Z425">
        <f t="shared" ref="Z425:AI425" si="291">MAX(0,Z253-LN(365))</f>
        <v>0.4147855571754997</v>
      </c>
      <c r="AA425">
        <f t="shared" si="291"/>
        <v>1.0283801060334916</v>
      </c>
      <c r="AB425">
        <f t="shared" si="291"/>
        <v>1.3144685526499948</v>
      </c>
      <c r="AC425">
        <f t="shared" si="291"/>
        <v>1.5347371618786054</v>
      </c>
      <c r="AD425">
        <f t="shared" si="291"/>
        <v>1.7231183768256786</v>
      </c>
      <c r="AE425">
        <f t="shared" si="291"/>
        <v>1.908350373562687</v>
      </c>
      <c r="AF425">
        <f t="shared" si="291"/>
        <v>2.1141717062725407</v>
      </c>
      <c r="AG425">
        <f t="shared" si="291"/>
        <v>2.3360241018231305</v>
      </c>
      <c r="AH425">
        <f t="shared" si="291"/>
        <v>2.6416323905430632</v>
      </c>
      <c r="AI425">
        <f t="shared" si="291"/>
        <v>3.4463391071813083</v>
      </c>
    </row>
    <row r="426" spans="5:35" x14ac:dyDescent="0.35">
      <c r="E426" s="19"/>
      <c r="Z426">
        <f t="shared" ref="Z426:AI426" si="292">MAX(0,Z254-LN(365))</f>
        <v>0</v>
      </c>
      <c r="AA426">
        <f t="shared" si="292"/>
        <v>0.15528386158069818</v>
      </c>
      <c r="AB426">
        <f t="shared" si="292"/>
        <v>0.47075795136213738</v>
      </c>
      <c r="AC426">
        <f t="shared" si="292"/>
        <v>0.62755763936097253</v>
      </c>
      <c r="AD426">
        <f t="shared" si="292"/>
        <v>0.86107800384141076</v>
      </c>
      <c r="AE426">
        <f t="shared" si="292"/>
        <v>1.0838624242485464</v>
      </c>
      <c r="AF426">
        <f t="shared" si="292"/>
        <v>1.2551075374351051</v>
      </c>
      <c r="AG426">
        <f t="shared" si="292"/>
        <v>1.5083034338157164</v>
      </c>
      <c r="AH426">
        <f t="shared" si="292"/>
        <v>1.8205864220075911</v>
      </c>
      <c r="AI426">
        <f t="shared" si="292"/>
        <v>2.8763400263620413</v>
      </c>
    </row>
    <row r="427" spans="5:35" x14ac:dyDescent="0.35">
      <c r="E427" s="19"/>
      <c r="Z427">
        <f t="shared" ref="Z427:AI427" si="293">MAX(0,Z255-LN(365))</f>
        <v>0.57084859859639447</v>
      </c>
      <c r="AA427">
        <f t="shared" si="293"/>
        <v>1.0482449257131901</v>
      </c>
      <c r="AB427">
        <f t="shared" si="293"/>
        <v>1.299874066821241</v>
      </c>
      <c r="AC427">
        <f t="shared" si="293"/>
        <v>1.5007449825263279</v>
      </c>
      <c r="AD427">
        <f t="shared" si="293"/>
        <v>1.6830665393202828</v>
      </c>
      <c r="AE427">
        <f t="shared" si="293"/>
        <v>1.8563382605943195</v>
      </c>
      <c r="AF427">
        <f t="shared" si="293"/>
        <v>2.0403419035712584</v>
      </c>
      <c r="AG427">
        <f t="shared" si="293"/>
        <v>2.2575857327582805</v>
      </c>
      <c r="AH427">
        <f t="shared" si="293"/>
        <v>2.5564058839988393</v>
      </c>
      <c r="AI427">
        <f t="shared" si="293"/>
        <v>3.2623238346043921</v>
      </c>
    </row>
    <row r="428" spans="5:35" x14ac:dyDescent="0.35">
      <c r="E428" s="19"/>
      <c r="Z428">
        <f t="shared" ref="Z428:AI428" si="294">MAX(0,Z256-LN(365))</f>
        <v>1.8770834996083536</v>
      </c>
      <c r="AA428">
        <f t="shared" si="294"/>
        <v>2.5257789175974645</v>
      </c>
      <c r="AB428">
        <f t="shared" si="294"/>
        <v>2.7305733302434776</v>
      </c>
      <c r="AC428">
        <f t="shared" si="294"/>
        <v>2.9004723670388755</v>
      </c>
      <c r="AD428">
        <f t="shared" si="294"/>
        <v>3.0723226239655341</v>
      </c>
      <c r="AE428">
        <f t="shared" si="294"/>
        <v>3.2524487901960528</v>
      </c>
      <c r="AF428">
        <f t="shared" si="294"/>
        <v>3.4144181181411097</v>
      </c>
      <c r="AG428">
        <f t="shared" si="294"/>
        <v>3.5857763701377943</v>
      </c>
      <c r="AH428">
        <f t="shared" si="294"/>
        <v>3.8104934858994346</v>
      </c>
      <c r="AI428">
        <f t="shared" si="294"/>
        <v>4.2867667281587662</v>
      </c>
    </row>
    <row r="429" spans="5:35" x14ac:dyDescent="0.35">
      <c r="E429" s="19"/>
      <c r="Z429">
        <f t="shared" ref="Z429:AI429" si="295">MAX(0,Z257-LN(365))</f>
        <v>0</v>
      </c>
      <c r="AA429">
        <f t="shared" si="295"/>
        <v>0</v>
      </c>
      <c r="AB429">
        <f t="shared" si="295"/>
        <v>0</v>
      </c>
      <c r="AC429">
        <f t="shared" si="295"/>
        <v>0</v>
      </c>
      <c r="AD429">
        <f t="shared" si="295"/>
        <v>0</v>
      </c>
      <c r="AE429">
        <f t="shared" si="295"/>
        <v>0</v>
      </c>
      <c r="AF429">
        <f t="shared" si="295"/>
        <v>0</v>
      </c>
      <c r="AG429">
        <f t="shared" si="295"/>
        <v>0</v>
      </c>
      <c r="AH429">
        <f t="shared" si="295"/>
        <v>0</v>
      </c>
      <c r="AI429">
        <f t="shared" si="295"/>
        <v>0.56448746744852052</v>
      </c>
    </row>
    <row r="430" spans="5:35" x14ac:dyDescent="0.35">
      <c r="E430" s="19"/>
      <c r="Z430">
        <f t="shared" ref="Z430:AI430" si="296">MAX(0,Z258-LN(365))</f>
        <v>0.86077823318873392</v>
      </c>
      <c r="AA430">
        <f t="shared" si="296"/>
        <v>1.259417376226498</v>
      </c>
      <c r="AB430">
        <f t="shared" si="296"/>
        <v>1.4929180656406551</v>
      </c>
      <c r="AC430">
        <f t="shared" si="296"/>
        <v>1.6730680689211015</v>
      </c>
      <c r="AD430">
        <f t="shared" si="296"/>
        <v>1.8225494795646764</v>
      </c>
      <c r="AE430">
        <f t="shared" si="296"/>
        <v>1.9755852077768239</v>
      </c>
      <c r="AF430">
        <f t="shared" si="296"/>
        <v>2.1518644501148154</v>
      </c>
      <c r="AG430">
        <f t="shared" si="296"/>
        <v>2.3850583372825271</v>
      </c>
      <c r="AH430">
        <f t="shared" si="296"/>
        <v>2.6773962212705014</v>
      </c>
      <c r="AI430">
        <f t="shared" si="296"/>
        <v>3.5102764929195578</v>
      </c>
    </row>
    <row r="431" spans="5:35" x14ac:dyDescent="0.35">
      <c r="E431" s="19"/>
      <c r="Z431">
        <f t="shared" ref="Z431:AI431" si="297">MAX(0,Z259-LN(365))</f>
        <v>3.7555459233274631</v>
      </c>
      <c r="AA431">
        <f t="shared" si="297"/>
        <v>4.0850251244577054</v>
      </c>
      <c r="AB431">
        <f t="shared" si="297"/>
        <v>4.2466664760141226</v>
      </c>
      <c r="AC431">
        <f t="shared" si="297"/>
        <v>4.3857792784768401</v>
      </c>
      <c r="AD431">
        <f t="shared" si="297"/>
        <v>4.4963211528766633</v>
      </c>
      <c r="AE431">
        <f t="shared" si="297"/>
        <v>4.5958507482236977</v>
      </c>
      <c r="AF431">
        <f t="shared" si="297"/>
        <v>4.7148026910850627</v>
      </c>
      <c r="AG431">
        <f t="shared" si="297"/>
        <v>4.8294655994052027</v>
      </c>
      <c r="AH431">
        <f t="shared" si="297"/>
        <v>4.9836162792324599</v>
      </c>
      <c r="AI431">
        <f t="shared" si="297"/>
        <v>5.3890813873406254</v>
      </c>
    </row>
    <row r="432" spans="5:35" x14ac:dyDescent="0.35">
      <c r="E432" s="19"/>
      <c r="Z432">
        <f t="shared" ref="Z432:AI432" si="298">MAX(0,Z260-LN(365))</f>
        <v>3.5369696224627285</v>
      </c>
      <c r="AA432">
        <f t="shared" si="298"/>
        <v>3.896343623370627</v>
      </c>
      <c r="AB432">
        <f t="shared" si="298"/>
        <v>4.0691864362100381</v>
      </c>
      <c r="AC432">
        <f t="shared" si="298"/>
        <v>4.2027178288345608</v>
      </c>
      <c r="AD432">
        <f t="shared" si="298"/>
        <v>4.3205008644909428</v>
      </c>
      <c r="AE432">
        <f t="shared" si="298"/>
        <v>4.4369112163353543</v>
      </c>
      <c r="AF432">
        <f t="shared" si="298"/>
        <v>4.5510245231027762</v>
      </c>
      <c r="AG432">
        <f t="shared" si="298"/>
        <v>4.67964190092487</v>
      </c>
      <c r="AH432">
        <f t="shared" si="298"/>
        <v>4.8605256429491961</v>
      </c>
      <c r="AI432">
        <f t="shared" si="298"/>
        <v>5.4313832457508679</v>
      </c>
    </row>
    <row r="433" spans="5:35" x14ac:dyDescent="0.35">
      <c r="E433" s="19"/>
      <c r="Z433">
        <f t="shared" ref="Z433:AI433" si="299">MAX(0,Z261-LN(365))</f>
        <v>1.3533281142992637</v>
      </c>
      <c r="AA433">
        <f t="shared" si="299"/>
        <v>1.8004958862932767</v>
      </c>
      <c r="AB433">
        <f t="shared" si="299"/>
        <v>2.048675515768811</v>
      </c>
      <c r="AC433">
        <f t="shared" si="299"/>
        <v>2.2401129059707747</v>
      </c>
      <c r="AD433">
        <f t="shared" si="299"/>
        <v>2.4145388857619503</v>
      </c>
      <c r="AE433">
        <f t="shared" si="299"/>
        <v>2.5889532466575469</v>
      </c>
      <c r="AF433">
        <f t="shared" si="299"/>
        <v>2.7763833713942239</v>
      </c>
      <c r="AG433">
        <f t="shared" si="299"/>
        <v>2.9897124637282984</v>
      </c>
      <c r="AH433">
        <f t="shared" si="299"/>
        <v>3.2763219199665476</v>
      </c>
      <c r="AI433">
        <f t="shared" si="299"/>
        <v>4.0345909994378237</v>
      </c>
    </row>
    <row r="434" spans="5:35" x14ac:dyDescent="0.35">
      <c r="E434" s="19"/>
      <c r="Z434">
        <f t="shared" ref="Z434:AI434" si="300">MAX(0,Z262-LN(365))</f>
        <v>0</v>
      </c>
      <c r="AA434">
        <f t="shared" si="300"/>
        <v>0</v>
      </c>
      <c r="AB434">
        <f t="shared" si="300"/>
        <v>0</v>
      </c>
      <c r="AC434">
        <f t="shared" si="300"/>
        <v>0</v>
      </c>
      <c r="AD434">
        <f t="shared" si="300"/>
        <v>0</v>
      </c>
      <c r="AE434">
        <f t="shared" si="300"/>
        <v>0</v>
      </c>
      <c r="AF434">
        <f t="shared" si="300"/>
        <v>0.15357314881001383</v>
      </c>
      <c r="AG434">
        <f t="shared" si="300"/>
        <v>0.39324600207543448</v>
      </c>
      <c r="AH434">
        <f t="shared" si="300"/>
        <v>0.71318893674543649</v>
      </c>
      <c r="AI434">
        <f t="shared" si="300"/>
        <v>1.5499589633591198</v>
      </c>
    </row>
    <row r="435" spans="5:35" x14ac:dyDescent="0.35">
      <c r="E435" s="19"/>
      <c r="Z435">
        <f t="shared" ref="Z435:AI435" si="301">MAX(0,Z263-LN(365))</f>
        <v>3.8741869154238273E-2</v>
      </c>
      <c r="AA435">
        <f t="shared" si="301"/>
        <v>0.58502880314960493</v>
      </c>
      <c r="AB435">
        <f t="shared" si="301"/>
        <v>0.86420018593347692</v>
      </c>
      <c r="AC435">
        <f t="shared" si="301"/>
        <v>1.0804826468677415</v>
      </c>
      <c r="AD435">
        <f t="shared" si="301"/>
        <v>1.2639509927782031</v>
      </c>
      <c r="AE435">
        <f t="shared" si="301"/>
        <v>1.4455559605053061</v>
      </c>
      <c r="AF435">
        <f t="shared" si="301"/>
        <v>1.631455338647144</v>
      </c>
      <c r="AG435">
        <f t="shared" si="301"/>
        <v>1.8418191633149554</v>
      </c>
      <c r="AH435">
        <f t="shared" si="301"/>
        <v>2.1071471246911893</v>
      </c>
      <c r="AI435">
        <f t="shared" si="301"/>
        <v>2.7164166745305787</v>
      </c>
    </row>
    <row r="436" spans="5:35" x14ac:dyDescent="0.35">
      <c r="E436" s="19"/>
      <c r="Z436">
        <f t="shared" ref="Z436:AI436" si="302">MAX(0,Z264-LN(365))</f>
        <v>3.3570253979674023</v>
      </c>
      <c r="AA436">
        <f t="shared" si="302"/>
        <v>3.9017525734090741</v>
      </c>
      <c r="AB436">
        <f t="shared" si="302"/>
        <v>4.1168639530260203</v>
      </c>
      <c r="AC436">
        <f t="shared" si="302"/>
        <v>4.2801890091293204</v>
      </c>
      <c r="AD436">
        <f t="shared" si="302"/>
        <v>4.408570175777526</v>
      </c>
      <c r="AE436">
        <f t="shared" si="302"/>
        <v>4.5330243502509324</v>
      </c>
      <c r="AF436">
        <f t="shared" si="302"/>
        <v>4.6531686620929955</v>
      </c>
      <c r="AG436">
        <f t="shared" si="302"/>
        <v>4.7937506127141853</v>
      </c>
      <c r="AH436">
        <f t="shared" si="302"/>
        <v>4.9733361896892658</v>
      </c>
      <c r="AI436">
        <f t="shared" si="302"/>
        <v>5.4535613730065391</v>
      </c>
    </row>
    <row r="437" spans="5:35" x14ac:dyDescent="0.35">
      <c r="E437" s="19"/>
      <c r="Z437">
        <f t="shared" ref="Z437:AI437" si="303">MAX(0,Z265-LN(365))</f>
        <v>0</v>
      </c>
      <c r="AA437">
        <f t="shared" si="303"/>
        <v>0</v>
      </c>
      <c r="AB437">
        <f t="shared" si="303"/>
        <v>0</v>
      </c>
      <c r="AC437">
        <f t="shared" si="303"/>
        <v>0</v>
      </c>
      <c r="AD437">
        <f t="shared" si="303"/>
        <v>0.10889740191919284</v>
      </c>
      <c r="AE437">
        <f t="shared" si="303"/>
        <v>0.28570654184795252</v>
      </c>
      <c r="AF437">
        <f t="shared" si="303"/>
        <v>0.47927119021608711</v>
      </c>
      <c r="AG437">
        <f t="shared" si="303"/>
        <v>0.69535051103108358</v>
      </c>
      <c r="AH437">
        <f t="shared" si="303"/>
        <v>0.97696752254028496</v>
      </c>
      <c r="AI437">
        <f t="shared" si="303"/>
        <v>1.6983467627277795</v>
      </c>
    </row>
    <row r="438" spans="5:35" x14ac:dyDescent="0.35">
      <c r="E438" s="19"/>
      <c r="Z438">
        <f t="shared" ref="Z438:AI438" si="304">MAX(0,Z266-LN(365))</f>
        <v>2.4062544582819951</v>
      </c>
      <c r="AA438">
        <f t="shared" si="304"/>
        <v>3.2230155948091168</v>
      </c>
      <c r="AB438">
        <f t="shared" si="304"/>
        <v>3.5048667469501043</v>
      </c>
      <c r="AC438">
        <f t="shared" si="304"/>
        <v>3.6959219837128137</v>
      </c>
      <c r="AD438">
        <f t="shared" si="304"/>
        <v>3.8438421137894361</v>
      </c>
      <c r="AE438">
        <f t="shared" si="304"/>
        <v>3.9944149722688111</v>
      </c>
      <c r="AF438">
        <f t="shared" si="304"/>
        <v>4.1346443135774615</v>
      </c>
      <c r="AG438">
        <f t="shared" si="304"/>
        <v>4.2901292164178555</v>
      </c>
      <c r="AH438">
        <f t="shared" si="304"/>
        <v>4.4987680815291844</v>
      </c>
      <c r="AI438">
        <f t="shared" si="304"/>
        <v>4.9952049678430752</v>
      </c>
    </row>
    <row r="439" spans="5:35" x14ac:dyDescent="0.35">
      <c r="E439" s="19"/>
      <c r="Z439">
        <f t="shared" ref="Z439:AI439" si="305">MAX(0,Z267-LN(365))</f>
        <v>1.9791256949299729E-2</v>
      </c>
      <c r="AA439">
        <f t="shared" si="305"/>
        <v>0.55471443229435025</v>
      </c>
      <c r="AB439">
        <f t="shared" si="305"/>
        <v>0.84951397251499561</v>
      </c>
      <c r="AC439">
        <f t="shared" si="305"/>
        <v>1.081132150820177</v>
      </c>
      <c r="AD439">
        <f t="shared" si="305"/>
        <v>1.3000473660248657</v>
      </c>
      <c r="AE439">
        <f t="shared" si="305"/>
        <v>1.496394398173325</v>
      </c>
      <c r="AF439">
        <f t="shared" si="305"/>
        <v>1.7032500297290607</v>
      </c>
      <c r="AG439">
        <f t="shared" si="305"/>
        <v>1.9436837838635439</v>
      </c>
      <c r="AH439">
        <f t="shared" si="305"/>
        <v>2.2691556537384345</v>
      </c>
      <c r="AI439">
        <f t="shared" si="305"/>
        <v>3.1721102651284303</v>
      </c>
    </row>
    <row r="440" spans="5:35" x14ac:dyDescent="0.35">
      <c r="E440" s="19"/>
      <c r="Z440">
        <f t="shared" ref="Z440:AI440" si="306">MAX(0,Z268-LN(365))</f>
        <v>0</v>
      </c>
      <c r="AA440">
        <f t="shared" si="306"/>
        <v>0</v>
      </c>
      <c r="AB440">
        <f t="shared" si="306"/>
        <v>0</v>
      </c>
      <c r="AC440">
        <f t="shared" si="306"/>
        <v>0</v>
      </c>
      <c r="AD440">
        <f t="shared" si="306"/>
        <v>0</v>
      </c>
      <c r="AE440">
        <f t="shared" si="306"/>
        <v>0</v>
      </c>
      <c r="AF440">
        <f t="shared" si="306"/>
        <v>0</v>
      </c>
      <c r="AG440">
        <f t="shared" si="306"/>
        <v>9.2175073073708091E-4</v>
      </c>
      <c r="AH440">
        <f t="shared" si="306"/>
        <v>0.21680214697247369</v>
      </c>
      <c r="AI440">
        <f t="shared" si="306"/>
        <v>0.77651260050175708</v>
      </c>
    </row>
    <row r="441" spans="5:35" x14ac:dyDescent="0.35">
      <c r="E441" s="19"/>
      <c r="Z441">
        <f t="shared" ref="Z441:AI441" si="307">MAX(0,Z269-LN(365))</f>
        <v>0</v>
      </c>
      <c r="AA441">
        <f t="shared" si="307"/>
        <v>0</v>
      </c>
      <c r="AB441">
        <f t="shared" si="307"/>
        <v>0</v>
      </c>
      <c r="AC441">
        <f t="shared" si="307"/>
        <v>0</v>
      </c>
      <c r="AD441">
        <f t="shared" si="307"/>
        <v>0</v>
      </c>
      <c r="AE441">
        <f t="shared" si="307"/>
        <v>0</v>
      </c>
      <c r="AF441">
        <f t="shared" si="307"/>
        <v>0</v>
      </c>
      <c r="AG441">
        <f t="shared" si="307"/>
        <v>0.14583438484971989</v>
      </c>
      <c r="AH441">
        <f t="shared" si="307"/>
        <v>0.50835729867087487</v>
      </c>
      <c r="AI441">
        <f t="shared" si="307"/>
        <v>1.5581794231695527</v>
      </c>
    </row>
    <row r="442" spans="5:35" x14ac:dyDescent="0.35">
      <c r="E442" s="19"/>
      <c r="Z442">
        <f t="shared" ref="Z442:AI442" si="308">MAX(0,Z270-LN(365))</f>
        <v>0</v>
      </c>
      <c r="AA442">
        <f t="shared" si="308"/>
        <v>0.36763242872784652</v>
      </c>
      <c r="AB442">
        <f t="shared" si="308"/>
        <v>0.56244037617318376</v>
      </c>
      <c r="AC442">
        <f t="shared" si="308"/>
        <v>0.70979008811786048</v>
      </c>
      <c r="AD442">
        <f t="shared" si="308"/>
        <v>0.86551433239254916</v>
      </c>
      <c r="AE442">
        <f t="shared" si="308"/>
        <v>1.0269545131341484</v>
      </c>
      <c r="AF442">
        <f t="shared" si="308"/>
        <v>1.1963875583448074</v>
      </c>
      <c r="AG442">
        <f t="shared" si="308"/>
        <v>1.3838587885725673</v>
      </c>
      <c r="AH442">
        <f t="shared" si="308"/>
        <v>1.6105274196466448</v>
      </c>
      <c r="AI442">
        <f t="shared" si="308"/>
        <v>2.1396114433629085</v>
      </c>
    </row>
    <row r="443" spans="5:35" x14ac:dyDescent="0.35">
      <c r="E443" s="19"/>
      <c r="Z443">
        <f t="shared" ref="Z443:AI443" si="309">MAX(0,Z271-LN(365))</f>
        <v>0</v>
      </c>
      <c r="AA443">
        <f t="shared" si="309"/>
        <v>0</v>
      </c>
      <c r="AB443">
        <f t="shared" si="309"/>
        <v>0</v>
      </c>
      <c r="AC443">
        <f t="shared" si="309"/>
        <v>0</v>
      </c>
      <c r="AD443">
        <f t="shared" si="309"/>
        <v>0</v>
      </c>
      <c r="AE443">
        <f t="shared" si="309"/>
        <v>0</v>
      </c>
      <c r="AF443">
        <f t="shared" si="309"/>
        <v>0</v>
      </c>
      <c r="AG443">
        <f t="shared" si="309"/>
        <v>0.23831315017309151</v>
      </c>
      <c r="AH443">
        <f t="shared" si="309"/>
        <v>0.65220922157005567</v>
      </c>
      <c r="AI443">
        <f t="shared" si="309"/>
        <v>1.7501994262367662</v>
      </c>
    </row>
    <row r="444" spans="5:35" x14ac:dyDescent="0.35">
      <c r="E444" s="19"/>
      <c r="Z444">
        <f t="shared" ref="Z444:AI444" si="310">MAX(0,Z272-LN(365))</f>
        <v>0</v>
      </c>
      <c r="AA444">
        <f t="shared" si="310"/>
        <v>0</v>
      </c>
      <c r="AB444">
        <f t="shared" si="310"/>
        <v>0.31460548806870747</v>
      </c>
      <c r="AC444">
        <f t="shared" si="310"/>
        <v>0.60908260365331746</v>
      </c>
      <c r="AD444">
        <f t="shared" si="310"/>
        <v>0.86639855032292168</v>
      </c>
      <c r="AE444">
        <f t="shared" si="310"/>
        <v>1.0975379725010077</v>
      </c>
      <c r="AF444">
        <f t="shared" si="310"/>
        <v>1.3190180912165195</v>
      </c>
      <c r="AG444">
        <f t="shared" si="310"/>
        <v>1.5777044658947377</v>
      </c>
      <c r="AH444">
        <f t="shared" si="310"/>
        <v>1.9402745954313909</v>
      </c>
      <c r="AI444">
        <f t="shared" si="310"/>
        <v>2.7676982696115102</v>
      </c>
    </row>
    <row r="445" spans="5:35" x14ac:dyDescent="0.35">
      <c r="E445" s="19"/>
      <c r="Z445">
        <f t="shared" ref="Z445:AI445" si="311">MAX(0,Z273-LN(365))</f>
        <v>2.6198074078791977</v>
      </c>
      <c r="AA445">
        <f t="shared" si="311"/>
        <v>3.1794231958146204</v>
      </c>
      <c r="AB445">
        <f t="shared" si="311"/>
        <v>3.4848048453658018</v>
      </c>
      <c r="AC445">
        <f t="shared" si="311"/>
        <v>3.7184196965473069</v>
      </c>
      <c r="AD445">
        <f t="shared" si="311"/>
        <v>3.9076616961858361</v>
      </c>
      <c r="AE445">
        <f t="shared" si="311"/>
        <v>4.1238848046554724</v>
      </c>
      <c r="AF445">
        <f t="shared" si="311"/>
        <v>4.324555500117623</v>
      </c>
      <c r="AG445">
        <f t="shared" si="311"/>
        <v>4.5657175569345112</v>
      </c>
      <c r="AH445">
        <f t="shared" si="311"/>
        <v>4.8841712880530457</v>
      </c>
      <c r="AI445">
        <f t="shared" si="311"/>
        <v>5.8082240252626898</v>
      </c>
    </row>
    <row r="446" spans="5:35" x14ac:dyDescent="0.35">
      <c r="E446" s="19"/>
      <c r="Z446">
        <f t="shared" ref="Z446:AI446" si="312">MAX(0,Z274-LN(365))</f>
        <v>2.2903834906247456</v>
      </c>
      <c r="AA446">
        <f t="shared" si="312"/>
        <v>2.7641678427103864</v>
      </c>
      <c r="AB446">
        <f t="shared" si="312"/>
        <v>2.9527590125179364</v>
      </c>
      <c r="AC446">
        <f t="shared" si="312"/>
        <v>3.0979410223624351</v>
      </c>
      <c r="AD446">
        <f t="shared" si="312"/>
        <v>3.2246927280015791</v>
      </c>
      <c r="AE446">
        <f t="shared" si="312"/>
        <v>3.3371707114282687</v>
      </c>
      <c r="AF446">
        <f t="shared" si="312"/>
        <v>3.4667047636201707</v>
      </c>
      <c r="AG446">
        <f t="shared" si="312"/>
        <v>3.5978969738915216</v>
      </c>
      <c r="AH446">
        <f t="shared" si="312"/>
        <v>3.77060967157884</v>
      </c>
      <c r="AI446">
        <f t="shared" si="312"/>
        <v>4.2055219810133044</v>
      </c>
    </row>
    <row r="447" spans="5:35" x14ac:dyDescent="0.35">
      <c r="E447" s="19"/>
      <c r="Z447">
        <f t="shared" ref="Z447:AI447" si="313">MAX(0,Z275-LN(365))</f>
        <v>3.9283394874168875</v>
      </c>
      <c r="AA447">
        <f t="shared" si="313"/>
        <v>4.4879552753523102</v>
      </c>
      <c r="AB447">
        <f t="shared" si="313"/>
        <v>4.6488856421649478</v>
      </c>
      <c r="AC447">
        <f t="shared" si="313"/>
        <v>4.7392697036332168</v>
      </c>
      <c r="AD447">
        <f t="shared" si="313"/>
        <v>4.8221573634389854</v>
      </c>
      <c r="AE447">
        <f t="shared" si="313"/>
        <v>4.9195315274641613</v>
      </c>
      <c r="AF447">
        <f t="shared" si="313"/>
        <v>5.0082596430728445</v>
      </c>
      <c r="AG447">
        <f t="shared" si="313"/>
        <v>5.1155051734264427</v>
      </c>
      <c r="AH447">
        <f t="shared" si="313"/>
        <v>5.25747543469683</v>
      </c>
      <c r="AI447">
        <f t="shared" si="313"/>
        <v>5.6530882463619827</v>
      </c>
    </row>
    <row r="448" spans="5:35" x14ac:dyDescent="0.35">
      <c r="E448" s="19"/>
      <c r="Z448">
        <f t="shared" ref="Z448:AI448" si="314">MAX(0,Z276-LN(365))</f>
        <v>0</v>
      </c>
      <c r="AA448">
        <f t="shared" si="314"/>
        <v>0.13998912691664511</v>
      </c>
      <c r="AB448">
        <f t="shared" si="314"/>
        <v>0.33573370404274083</v>
      </c>
      <c r="AC448">
        <f t="shared" si="314"/>
        <v>0.49764638920548787</v>
      </c>
      <c r="AD448">
        <f t="shared" si="314"/>
        <v>0.65179706903274592</v>
      </c>
      <c r="AE448">
        <f t="shared" si="314"/>
        <v>0.80951805612838168</v>
      </c>
      <c r="AF448">
        <f t="shared" si="314"/>
        <v>0.97279141795164215</v>
      </c>
      <c r="AG448">
        <f t="shared" si="314"/>
        <v>1.1699594828625912</v>
      </c>
      <c r="AH448">
        <f t="shared" si="314"/>
        <v>1.4356918879342055</v>
      </c>
      <c r="AI448">
        <f t="shared" si="314"/>
        <v>2.1976974319440439</v>
      </c>
    </row>
    <row r="449" spans="5:35" x14ac:dyDescent="0.35">
      <c r="E449" s="19"/>
      <c r="Z449">
        <f t="shared" ref="Z449:AI449" si="315">MAX(0,Z277-LN(365))</f>
        <v>0.13852433121813945</v>
      </c>
      <c r="AA449">
        <f t="shared" si="315"/>
        <v>0.42057258595166491</v>
      </c>
      <c r="AB449">
        <f t="shared" si="315"/>
        <v>0.60336484174230698</v>
      </c>
      <c r="AC449">
        <f t="shared" si="315"/>
        <v>0.79544257348162617</v>
      </c>
      <c r="AD449">
        <f t="shared" si="315"/>
        <v>0.98582219160534379</v>
      </c>
      <c r="AE449">
        <f t="shared" si="315"/>
        <v>1.1740119967677298</v>
      </c>
      <c r="AF449">
        <f t="shared" si="315"/>
        <v>1.386460258965192</v>
      </c>
      <c r="AG449">
        <f t="shared" si="315"/>
        <v>1.6270845367962767</v>
      </c>
      <c r="AH449">
        <f t="shared" si="315"/>
        <v>1.9302838004461949</v>
      </c>
      <c r="AI449">
        <f t="shared" si="315"/>
        <v>2.6670953740292171</v>
      </c>
    </row>
    <row r="450" spans="5:35" x14ac:dyDescent="0.35">
      <c r="E450" s="19"/>
      <c r="Z450">
        <f t="shared" ref="Z450:AI450" si="316">MAX(0,Z278-LN(365))</f>
        <v>0.93413456432174957</v>
      </c>
      <c r="AA450">
        <f t="shared" si="316"/>
        <v>1.2630595953075794</v>
      </c>
      <c r="AB450">
        <f t="shared" si="316"/>
        <v>1.4982514851379634</v>
      </c>
      <c r="AC450">
        <f t="shared" si="316"/>
        <v>1.688525370122413</v>
      </c>
      <c r="AD450">
        <f t="shared" si="316"/>
        <v>1.8567212246527189</v>
      </c>
      <c r="AE450">
        <f t="shared" si="316"/>
        <v>2.0174253982954253</v>
      </c>
      <c r="AF450">
        <f t="shared" si="316"/>
        <v>2.1833825907096722</v>
      </c>
      <c r="AG450">
        <f t="shared" si="316"/>
        <v>2.3725552061330815</v>
      </c>
      <c r="AH450">
        <f t="shared" si="316"/>
        <v>2.6283005472296379</v>
      </c>
      <c r="AI450">
        <f t="shared" si="316"/>
        <v>3.2568662227065088</v>
      </c>
    </row>
    <row r="451" spans="5:35" x14ac:dyDescent="0.35">
      <c r="E451" s="19"/>
      <c r="Z451">
        <f t="shared" ref="Z451:AI451" si="317">MAX(0,Z279-LN(365))</f>
        <v>0.69676785254383322</v>
      </c>
      <c r="AA451">
        <f t="shared" si="317"/>
        <v>1.1541758937445374</v>
      </c>
      <c r="AB451">
        <f t="shared" si="317"/>
        <v>1.2395284883093884</v>
      </c>
      <c r="AC451">
        <f t="shared" si="317"/>
        <v>1.4195927078016926</v>
      </c>
      <c r="AD451">
        <f t="shared" si="317"/>
        <v>1.5206351318438314</v>
      </c>
      <c r="AE451">
        <f t="shared" si="317"/>
        <v>1.6788837181666825</v>
      </c>
      <c r="AF451">
        <f t="shared" si="317"/>
        <v>1.7768439791270838</v>
      </c>
      <c r="AG451">
        <f t="shared" si="317"/>
        <v>1.9702395038723486</v>
      </c>
      <c r="AH451">
        <f t="shared" si="317"/>
        <v>2.0700092953748177</v>
      </c>
      <c r="AI451">
        <f t="shared" si="317"/>
        <v>2.7608715479951593</v>
      </c>
    </row>
    <row r="452" spans="5:35" x14ac:dyDescent="0.35">
      <c r="E452" s="19"/>
      <c r="Z452">
        <f t="shared" ref="Z452:AI452" si="318">MAX(0,Z280-LN(365))</f>
        <v>3.6530294661629457</v>
      </c>
      <c r="AA452">
        <f t="shared" si="318"/>
        <v>4.1508678944021247</v>
      </c>
      <c r="AB452">
        <f t="shared" si="318"/>
        <v>4.3299161258511107</v>
      </c>
      <c r="AC452">
        <f t="shared" si="318"/>
        <v>4.4675375037271587</v>
      </c>
      <c r="AD452">
        <f t="shared" si="318"/>
        <v>4.6010688963516815</v>
      </c>
      <c r="AE452">
        <f t="shared" si="318"/>
        <v>4.7299017681946482</v>
      </c>
      <c r="AF452">
        <f t="shared" si="318"/>
        <v>4.863433160819171</v>
      </c>
      <c r="AG452">
        <f t="shared" si="318"/>
        <v>5.0148328072745398</v>
      </c>
      <c r="AH452">
        <f t="shared" si="318"/>
        <v>5.2094748484565363</v>
      </c>
      <c r="AI452">
        <f t="shared" si="318"/>
        <v>5.7203004722225268</v>
      </c>
    </row>
    <row r="453" spans="5:35" x14ac:dyDescent="0.35">
      <c r="E453" s="19"/>
      <c r="Z453">
        <f t="shared" ref="Z453:AI453" si="319">MAX(0,Z281-LN(365))</f>
        <v>2.5218257448422987</v>
      </c>
      <c r="AA453">
        <f t="shared" si="319"/>
        <v>3.0959696333406308</v>
      </c>
      <c r="AB453">
        <f t="shared" si="319"/>
        <v>3.3788324193564625</v>
      </c>
      <c r="AC453">
        <f t="shared" si="319"/>
        <v>3.6269210383884873</v>
      </c>
      <c r="AD453">
        <f t="shared" si="319"/>
        <v>3.8215520896537312</v>
      </c>
      <c r="AE453">
        <f t="shared" si="319"/>
        <v>4.0078550717468699</v>
      </c>
      <c r="AF453">
        <f t="shared" si="319"/>
        <v>4.1853822251103177</v>
      </c>
      <c r="AG453">
        <f t="shared" si="319"/>
        <v>4.3720075081904897</v>
      </c>
      <c r="AH453">
        <f t="shared" si="319"/>
        <v>4.5957643683249048</v>
      </c>
      <c r="AI453">
        <f t="shared" si="319"/>
        <v>5.0833922763002155</v>
      </c>
    </row>
    <row r="454" spans="5:35" x14ac:dyDescent="0.35">
      <c r="E454" s="19"/>
      <c r="Z454">
        <f t="shared" ref="Z454:AI454" si="320">MAX(0,Z282-LN(365))</f>
        <v>2.8201159677539076</v>
      </c>
      <c r="AA454">
        <f t="shared" si="320"/>
        <v>3.6042349265195801</v>
      </c>
      <c r="AB454">
        <f t="shared" si="320"/>
        <v>3.8531309739362039</v>
      </c>
      <c r="AC454">
        <f t="shared" si="320"/>
        <v>4.0382734070717996</v>
      </c>
      <c r="AD454">
        <f t="shared" si="320"/>
        <v>4.1944341378270833</v>
      </c>
      <c r="AE454">
        <f t="shared" si="320"/>
        <v>4.3294704216310249</v>
      </c>
      <c r="AF454">
        <f t="shared" si="320"/>
        <v>4.4669414122596285</v>
      </c>
      <c r="AG454">
        <f t="shared" si="320"/>
        <v>4.6039072673327857</v>
      </c>
      <c r="AH454">
        <f t="shared" si="320"/>
        <v>4.7928733668454084</v>
      </c>
      <c r="AI454">
        <f t="shared" si="320"/>
        <v>5.2603904635211398</v>
      </c>
    </row>
    <row r="455" spans="5:35" x14ac:dyDescent="0.35">
      <c r="E455" s="19"/>
      <c r="Z455">
        <f t="shared" ref="Z455:AI455" si="321">MAX(0,Z283-LN(365))</f>
        <v>3.7834427566539715</v>
      </c>
      <c r="AA455">
        <f t="shared" si="321"/>
        <v>4.1736403926313459</v>
      </c>
      <c r="AB455">
        <f t="shared" si="321"/>
        <v>4.3559619494253008</v>
      </c>
      <c r="AC455">
        <f t="shared" si="321"/>
        <v>4.4180937305323065</v>
      </c>
      <c r="AD455">
        <f t="shared" si="321"/>
        <v>4.5318526158889645</v>
      </c>
      <c r="AE455">
        <f t="shared" si="321"/>
        <v>4.6143736395769688</v>
      </c>
      <c r="AF455">
        <f t="shared" si="321"/>
        <v>4.6532134728932322</v>
      </c>
      <c r="AG455">
        <f t="shared" si="321"/>
        <v>4.7783766158472387</v>
      </c>
      <c r="AH455">
        <f t="shared" si="321"/>
        <v>4.9265068078929142</v>
      </c>
      <c r="AI455">
        <f t="shared" si="321"/>
        <v>5.1583084219502391</v>
      </c>
    </row>
    <row r="456" spans="5:35" x14ac:dyDescent="0.35">
      <c r="E456" s="19"/>
      <c r="Z456">
        <f t="shared" ref="Z456:AI456" si="322">MAX(0,Z284-LN(365))</f>
        <v>0.92590874983786264</v>
      </c>
      <c r="AA456">
        <f t="shared" si="322"/>
        <v>1.1974054978686262</v>
      </c>
      <c r="AB456">
        <f t="shared" si="322"/>
        <v>1.3974402632616512</v>
      </c>
      <c r="AC456">
        <f t="shared" si="322"/>
        <v>1.5640538516252054</v>
      </c>
      <c r="AD456">
        <f t="shared" si="322"/>
        <v>1.7124181479888332</v>
      </c>
      <c r="AE456">
        <f t="shared" si="322"/>
        <v>1.8561687340759043</v>
      </c>
      <c r="AF456">
        <f t="shared" si="322"/>
        <v>2.0070398735511548</v>
      </c>
      <c r="AG456">
        <f t="shared" si="322"/>
        <v>2.1808536960699803</v>
      </c>
      <c r="AH456">
        <f t="shared" si="322"/>
        <v>2.4214551274633953</v>
      </c>
      <c r="AI456">
        <f t="shared" si="322"/>
        <v>3.1369685402642604</v>
      </c>
    </row>
    <row r="457" spans="5:35" x14ac:dyDescent="0.35">
      <c r="E457" s="19"/>
      <c r="Z457">
        <f t="shared" ref="Z457:AI457" si="323">MAX(0,Z285-LN(365))</f>
        <v>1.7206043172948959</v>
      </c>
      <c r="AA457">
        <f t="shared" si="323"/>
        <v>1.991321958337589</v>
      </c>
      <c r="AB457">
        <f t="shared" si="323"/>
        <v>2.129928943895238</v>
      </c>
      <c r="AC457">
        <f t="shared" si="323"/>
        <v>2.2516419290777998</v>
      </c>
      <c r="AD457">
        <f t="shared" si="323"/>
        <v>2.3662366222473272</v>
      </c>
      <c r="AE457">
        <f t="shared" si="323"/>
        <v>2.4821254616939994</v>
      </c>
      <c r="AF457">
        <f t="shared" si="323"/>
        <v>2.6033934495044599</v>
      </c>
      <c r="AG457">
        <f t="shared" si="323"/>
        <v>2.7429050058665423</v>
      </c>
      <c r="AH457">
        <f t="shared" si="323"/>
        <v>2.924112976799317</v>
      </c>
      <c r="AI457">
        <f t="shared" si="323"/>
        <v>3.3502542177459089</v>
      </c>
    </row>
    <row r="458" spans="5:35" x14ac:dyDescent="0.35">
      <c r="E458" s="19"/>
      <c r="Z458">
        <f t="shared" ref="Z458:AI458" si="324">MAX(0,Z286-LN(365))</f>
        <v>0</v>
      </c>
      <c r="AA458">
        <f t="shared" si="324"/>
        <v>0</v>
      </c>
      <c r="AB458">
        <f t="shared" si="324"/>
        <v>0</v>
      </c>
      <c r="AC458">
        <f t="shared" si="324"/>
        <v>0</v>
      </c>
      <c r="AD458">
        <f t="shared" si="324"/>
        <v>0</v>
      </c>
      <c r="AE458">
        <f t="shared" si="324"/>
        <v>9.7902601025959157E-2</v>
      </c>
      <c r="AF458">
        <f t="shared" si="324"/>
        <v>0.34921702930686571</v>
      </c>
      <c r="AG458">
        <f t="shared" si="324"/>
        <v>0.4545775449646916</v>
      </c>
      <c r="AH458">
        <f t="shared" si="324"/>
        <v>0.79104978158590455</v>
      </c>
      <c r="AI458">
        <f t="shared" si="324"/>
        <v>1.815554098100292</v>
      </c>
    </row>
    <row r="459" spans="5:35" x14ac:dyDescent="0.35">
      <c r="E459" s="19"/>
      <c r="Z459">
        <f t="shared" ref="Z459:AI459" si="325">MAX(0,Z287-LN(365))</f>
        <v>0</v>
      </c>
      <c r="AA459">
        <f t="shared" si="325"/>
        <v>0.20076929782710451</v>
      </c>
      <c r="AB459">
        <f t="shared" si="325"/>
        <v>0.46274301356867831</v>
      </c>
      <c r="AC459">
        <f t="shared" si="325"/>
        <v>0.66695855499736911</v>
      </c>
      <c r="AD459">
        <f t="shared" si="325"/>
        <v>0.82564850725804728</v>
      </c>
      <c r="AE459">
        <f t="shared" si="325"/>
        <v>0.97551985746593139</v>
      </c>
      <c r="AF459">
        <f t="shared" si="325"/>
        <v>1.1381557391888553</v>
      </c>
      <c r="AG459">
        <f t="shared" si="325"/>
        <v>1.3359305050253276</v>
      </c>
      <c r="AH459">
        <f t="shared" si="325"/>
        <v>1.5838860267847918</v>
      </c>
      <c r="AI459">
        <f t="shared" si="325"/>
        <v>2.1794926617918664</v>
      </c>
    </row>
    <row r="460" spans="5:35" x14ac:dyDescent="0.35">
      <c r="E460" s="19"/>
      <c r="Z460">
        <f t="shared" ref="Z460:AI460" si="326">MAX(0,Z288-LN(365))</f>
        <v>2.6866206294221575</v>
      </c>
      <c r="AA460">
        <f t="shared" si="326"/>
        <v>3.3352217389281522</v>
      </c>
      <c r="AB460">
        <f t="shared" si="326"/>
        <v>3.5887030152941479</v>
      </c>
      <c r="AC460">
        <f t="shared" si="326"/>
        <v>3.782462833216452</v>
      </c>
      <c r="AD460">
        <f t="shared" si="326"/>
        <v>3.9328417964135864</v>
      </c>
      <c r="AE460">
        <f t="shared" si="326"/>
        <v>4.0666714739023631</v>
      </c>
      <c r="AF460">
        <f t="shared" si="326"/>
        <v>4.2003333381821042</v>
      </c>
      <c r="AG460">
        <f t="shared" si="326"/>
        <v>4.349382967120957</v>
      </c>
      <c r="AH460">
        <f t="shared" si="326"/>
        <v>4.5296042343531342</v>
      </c>
      <c r="AI460">
        <f t="shared" si="326"/>
        <v>4.9424880978487442</v>
      </c>
    </row>
    <row r="461" spans="5:35" x14ac:dyDescent="0.35">
      <c r="E461" s="19"/>
      <c r="Z461">
        <f t="shared" ref="Z461:AI461" si="327">MAX(0,Z289-LN(365))</f>
        <v>1.0402337083952453</v>
      </c>
      <c r="AA461">
        <f t="shared" si="327"/>
        <v>1.4085592695539528</v>
      </c>
      <c r="AB461">
        <f t="shared" si="327"/>
        <v>1.587873305283952</v>
      </c>
      <c r="AC461">
        <f t="shared" si="327"/>
        <v>1.7176325319870509</v>
      </c>
      <c r="AD461">
        <f t="shared" si="327"/>
        <v>1.8206092562896012</v>
      </c>
      <c r="AE461">
        <f t="shared" si="327"/>
        <v>1.9247757419548197</v>
      </c>
      <c r="AF461">
        <f t="shared" si="327"/>
        <v>2.0375282244224868</v>
      </c>
      <c r="AG461">
        <f t="shared" si="327"/>
        <v>2.1763290903180961</v>
      </c>
      <c r="AH461">
        <f t="shared" si="327"/>
        <v>2.3585112840012394</v>
      </c>
      <c r="AI461">
        <f t="shared" si="327"/>
        <v>2.7867124730901436</v>
      </c>
    </row>
    <row r="462" spans="5:35" x14ac:dyDescent="0.35">
      <c r="E462" s="19"/>
      <c r="Z462">
        <f t="shared" ref="Z462:AI462" si="328">MAX(0,Z290-LN(365))</f>
        <v>0</v>
      </c>
      <c r="AA462">
        <f t="shared" si="328"/>
        <v>0</v>
      </c>
      <c r="AB462">
        <f t="shared" si="328"/>
        <v>4.2571537009639115E-4</v>
      </c>
      <c r="AC462">
        <f t="shared" si="328"/>
        <v>0.1135898051701858</v>
      </c>
      <c r="AD462">
        <f t="shared" si="328"/>
        <v>0.21895032082801169</v>
      </c>
      <c r="AE462">
        <f t="shared" si="328"/>
        <v>0.33205852327666374</v>
      </c>
      <c r="AF462">
        <f t="shared" si="328"/>
        <v>0.45241083911315361</v>
      </c>
      <c r="AG462">
        <f t="shared" si="328"/>
        <v>0.5909394997397861</v>
      </c>
      <c r="AH462">
        <f t="shared" si="328"/>
        <v>0.77609391961804519</v>
      </c>
      <c r="AI462">
        <f t="shared" si="328"/>
        <v>1.2577863931140936</v>
      </c>
    </row>
    <row r="463" spans="5:35" x14ac:dyDescent="0.35">
      <c r="E463" s="19"/>
      <c r="Z463">
        <f t="shared" ref="Z463:AI463" si="329">MAX(0,Z291-LN(365))</f>
        <v>0</v>
      </c>
      <c r="AA463">
        <f t="shared" si="329"/>
        <v>0</v>
      </c>
      <c r="AB463">
        <f t="shared" si="329"/>
        <v>0</v>
      </c>
      <c r="AC463">
        <f t="shared" si="329"/>
        <v>3.4805396601073291E-2</v>
      </c>
      <c r="AD463">
        <f t="shared" si="329"/>
        <v>0.18299587282638985</v>
      </c>
      <c r="AE463">
        <f t="shared" si="329"/>
        <v>0.32456517601262735</v>
      </c>
      <c r="AF463">
        <f t="shared" si="329"/>
        <v>0.47782593854345823</v>
      </c>
      <c r="AG463">
        <f t="shared" si="329"/>
        <v>0.67587081192794152</v>
      </c>
      <c r="AH463">
        <f t="shared" si="329"/>
        <v>0.95076329438994645</v>
      </c>
      <c r="AI463">
        <f t="shared" si="329"/>
        <v>1.6701931967490866</v>
      </c>
    </row>
    <row r="464" spans="5:35" x14ac:dyDescent="0.35">
      <c r="E464" s="19"/>
      <c r="Z464">
        <f t="shared" ref="Z464:AI464" si="330">MAX(0,Z292-LN(365))</f>
        <v>1.4287077805837178</v>
      </c>
      <c r="AA464">
        <f t="shared" si="330"/>
        <v>2.0753349455087706</v>
      </c>
      <c r="AB464">
        <f t="shared" si="330"/>
        <v>2.3079572407775233</v>
      </c>
      <c r="AC464">
        <f t="shared" si="330"/>
        <v>2.4965484105850733</v>
      </c>
      <c r="AD464">
        <f t="shared" si="330"/>
        <v>2.6683986675117337</v>
      </c>
      <c r="AE464">
        <f t="shared" si="330"/>
        <v>2.8485248337422524</v>
      </c>
      <c r="AF464">
        <f t="shared" si="330"/>
        <v>3.0011044213374687</v>
      </c>
      <c r="AG464">
        <f t="shared" si="330"/>
        <v>3.1818524136839939</v>
      </c>
      <c r="AH464">
        <f t="shared" si="330"/>
        <v>3.3875213344749389</v>
      </c>
      <c r="AI464">
        <f t="shared" si="330"/>
        <v>3.9098193594031665</v>
      </c>
    </row>
    <row r="465" spans="5:35" x14ac:dyDescent="0.35">
      <c r="E465" s="19"/>
      <c r="Z465">
        <f t="shared" ref="Z465:AI465" si="331">MAX(0,Z293-LN(365))</f>
        <v>1.6030997250939816</v>
      </c>
      <c r="AA465">
        <f t="shared" si="331"/>
        <v>2.0137596500792494</v>
      </c>
      <c r="AB465">
        <f t="shared" si="331"/>
        <v>2.2543664084089388</v>
      </c>
      <c r="AC465">
        <f t="shared" si="331"/>
        <v>2.4664510716739168</v>
      </c>
      <c r="AD465">
        <f t="shared" si="331"/>
        <v>2.6495960126230775</v>
      </c>
      <c r="AE465">
        <f t="shared" si="331"/>
        <v>2.8078534744029886</v>
      </c>
      <c r="AF465">
        <f t="shared" si="331"/>
        <v>2.9606650177730112</v>
      </c>
      <c r="AG465">
        <f t="shared" si="331"/>
        <v>3.1726917289808823</v>
      </c>
      <c r="AH465">
        <f t="shared" si="331"/>
        <v>3.4148405229704393</v>
      </c>
      <c r="AI465">
        <f t="shared" si="331"/>
        <v>4.025549019948234</v>
      </c>
    </row>
    <row r="466" spans="5:35" x14ac:dyDescent="0.35">
      <c r="E466" s="19"/>
      <c r="Z466">
        <f t="shared" ref="Z466:AI466" si="332">MAX(0,Z294-LN(365))</f>
        <v>0</v>
      </c>
      <c r="AA466">
        <f t="shared" si="332"/>
        <v>0</v>
      </c>
      <c r="AB466">
        <f t="shared" si="332"/>
        <v>0</v>
      </c>
      <c r="AC466">
        <f t="shared" si="332"/>
        <v>0</v>
      </c>
      <c r="AD466">
        <f t="shared" si="332"/>
        <v>0.20602931748222719</v>
      </c>
      <c r="AE466">
        <f t="shared" si="332"/>
        <v>0.47360774646321868</v>
      </c>
      <c r="AF466">
        <f t="shared" si="332"/>
        <v>0.73035562846712043</v>
      </c>
      <c r="AG466">
        <f t="shared" si="332"/>
        <v>1.0163120749514318</v>
      </c>
      <c r="AH466">
        <f t="shared" si="332"/>
        <v>1.4194717065340976</v>
      </c>
      <c r="AI466">
        <f t="shared" si="332"/>
        <v>2.2776735487020323</v>
      </c>
    </row>
    <row r="467" spans="5:35" x14ac:dyDescent="0.35">
      <c r="E467" s="19"/>
      <c r="Z467">
        <f t="shared" ref="Z467:AI467" si="333">MAX(0,Z295-LN(365))</f>
        <v>0</v>
      </c>
      <c r="AA467">
        <f t="shared" si="333"/>
        <v>0</v>
      </c>
      <c r="AB467">
        <f t="shared" si="333"/>
        <v>0</v>
      </c>
      <c r="AC467">
        <f t="shared" si="333"/>
        <v>0</v>
      </c>
      <c r="AD467">
        <f t="shared" si="333"/>
        <v>0</v>
      </c>
      <c r="AE467">
        <f t="shared" si="333"/>
        <v>0</v>
      </c>
      <c r="AF467">
        <f t="shared" si="333"/>
        <v>0</v>
      </c>
      <c r="AG467">
        <f t="shared" si="333"/>
        <v>0</v>
      </c>
      <c r="AH467">
        <f t="shared" si="333"/>
        <v>1.0276164008397259E-2</v>
      </c>
      <c r="AI467">
        <f t="shared" si="333"/>
        <v>0.63148912146964253</v>
      </c>
    </row>
    <row r="468" spans="5:35" x14ac:dyDescent="0.35">
      <c r="E468" s="19"/>
      <c r="Z468">
        <f t="shared" ref="Z468:AI468" si="334">MAX(0,Z296-LN(365))</f>
        <v>1.6124129256785835</v>
      </c>
      <c r="AA468">
        <f t="shared" si="334"/>
        <v>2.1589566320466522</v>
      </c>
      <c r="AB468">
        <f t="shared" si="334"/>
        <v>2.491662385872389</v>
      </c>
      <c r="AC468">
        <f t="shared" si="334"/>
        <v>2.6322443364935788</v>
      </c>
      <c r="AD468">
        <f t="shared" si="334"/>
        <v>2.7980365913363228</v>
      </c>
      <c r="AE468">
        <f t="shared" si="334"/>
        <v>2.9757177685737739</v>
      </c>
      <c r="AF468">
        <f t="shared" si="334"/>
        <v>3.1657613714616391</v>
      </c>
      <c r="AG468">
        <f t="shared" si="334"/>
        <v>3.3171610179170079</v>
      </c>
      <c r="AH468">
        <f t="shared" si="334"/>
        <v>3.5712264795698045</v>
      </c>
      <c r="AI468">
        <f t="shared" si="334"/>
        <v>4.1843309524562136</v>
      </c>
    </row>
    <row r="469" spans="5:35" x14ac:dyDescent="0.35">
      <c r="E469" s="19"/>
      <c r="Z469">
        <f t="shared" ref="Z469:AI469" si="335">MAX(0,Z297-LN(365))</f>
        <v>4.3435066386179306</v>
      </c>
      <c r="AA469">
        <f t="shared" si="335"/>
        <v>4.7584504906806382</v>
      </c>
      <c r="AB469">
        <f t="shared" si="335"/>
        <v>4.9312933035200492</v>
      </c>
      <c r="AC469">
        <f t="shared" si="335"/>
        <v>5.0786180182769085</v>
      </c>
      <c r="AD469">
        <f t="shared" si="335"/>
        <v>5.206999184925114</v>
      </c>
      <c r="AE469">
        <f t="shared" si="335"/>
        <v>5.3314533593985205</v>
      </c>
      <c r="AF469">
        <f t="shared" si="335"/>
        <v>5.4515976712405836</v>
      </c>
      <c r="AG469">
        <f t="shared" si="335"/>
        <v>5.5921796218617734</v>
      </c>
      <c r="AH469">
        <f t="shared" si="335"/>
        <v>5.7648923195490918</v>
      </c>
      <c r="AI469">
        <f t="shared" si="335"/>
        <v>6.2131085946099196</v>
      </c>
    </row>
    <row r="470" spans="5:35" x14ac:dyDescent="0.35">
      <c r="E470" s="19"/>
      <c r="Z470">
        <f t="shared" ref="Z470:AI470" si="336">MAX(0,Z298-LN(365))</f>
        <v>0.45871095813929141</v>
      </c>
      <c r="AA470">
        <f t="shared" si="336"/>
        <v>1.3143770681970111</v>
      </c>
      <c r="AB470">
        <f t="shared" si="336"/>
        <v>1.6328307993155464</v>
      </c>
      <c r="AC470">
        <f t="shared" si="336"/>
        <v>1.8151523561095004</v>
      </c>
      <c r="AD470">
        <f t="shared" si="336"/>
        <v>1.9822064407726669</v>
      </c>
      <c r="AE470">
        <f t="shared" si="336"/>
        <v>2.1580971072363306</v>
      </c>
      <c r="AF470">
        <f t="shared" si="336"/>
        <v>2.3350278153954092</v>
      </c>
      <c r="AG470">
        <f t="shared" si="336"/>
        <v>2.5006949372842273</v>
      </c>
      <c r="AH470">
        <f t="shared" si="336"/>
        <v>2.7069019790675375</v>
      </c>
      <c r="AI470">
        <f t="shared" si="336"/>
        <v>3.1389263602480577</v>
      </c>
    </row>
    <row r="471" spans="5:35" x14ac:dyDescent="0.35">
      <c r="E471" s="19"/>
      <c r="Z471">
        <f t="shared" ref="Z471:AI471" si="337">MAX(0,Z299-LN(365))</f>
        <v>0</v>
      </c>
      <c r="AA471">
        <f t="shared" si="337"/>
        <v>0</v>
      </c>
      <c r="AB471">
        <f t="shared" si="337"/>
        <v>0</v>
      </c>
      <c r="AC471">
        <f t="shared" si="337"/>
        <v>0</v>
      </c>
      <c r="AD471">
        <f t="shared" si="337"/>
        <v>0</v>
      </c>
      <c r="AE471">
        <f t="shared" si="337"/>
        <v>0</v>
      </c>
      <c r="AF471">
        <f t="shared" si="337"/>
        <v>0</v>
      </c>
      <c r="AG471">
        <f t="shared" si="337"/>
        <v>0</v>
      </c>
      <c r="AH471">
        <f t="shared" si="337"/>
        <v>0.17601658811802956</v>
      </c>
      <c r="AI471">
        <f t="shared" si="337"/>
        <v>0.91905935100218539</v>
      </c>
    </row>
    <row r="472" spans="5:35" x14ac:dyDescent="0.35">
      <c r="E472" s="19"/>
      <c r="Z472">
        <f t="shared" ref="Z472:AI472" si="338">MAX(0,Z300-LN(365))</f>
        <v>0</v>
      </c>
      <c r="AA472">
        <f t="shared" si="338"/>
        <v>0</v>
      </c>
      <c r="AB472">
        <f t="shared" si="338"/>
        <v>0</v>
      </c>
      <c r="AC472">
        <f t="shared" si="338"/>
        <v>0</v>
      </c>
      <c r="AD472">
        <f t="shared" si="338"/>
        <v>0</v>
      </c>
      <c r="AE472">
        <f t="shared" si="338"/>
        <v>0</v>
      </c>
      <c r="AF472">
        <f t="shared" si="338"/>
        <v>0</v>
      </c>
      <c r="AG472">
        <f t="shared" si="338"/>
        <v>0</v>
      </c>
      <c r="AH472">
        <f t="shared" si="338"/>
        <v>0</v>
      </c>
      <c r="AI472">
        <f t="shared" si="338"/>
        <v>0.81241807703105806</v>
      </c>
    </row>
    <row r="473" spans="5:35" x14ac:dyDescent="0.35">
      <c r="E473" s="19"/>
      <c r="Z473">
        <f t="shared" ref="Z473:AI473" si="339">MAX(0,Z301-LN(365))</f>
        <v>1.1084339546539228</v>
      </c>
      <c r="AA473">
        <f t="shared" si="339"/>
        <v>1.5820026500641546</v>
      </c>
      <c r="AB473">
        <f t="shared" si="339"/>
        <v>1.8838192334508408</v>
      </c>
      <c r="AC473">
        <f t="shared" si="339"/>
        <v>2.1257328874470405</v>
      </c>
      <c r="AD473">
        <f t="shared" si="339"/>
        <v>2.3538228626965756</v>
      </c>
      <c r="AE473">
        <f t="shared" si="339"/>
        <v>2.5756497581260396</v>
      </c>
      <c r="AF473">
        <f t="shared" si="339"/>
        <v>2.8043116521786962</v>
      </c>
      <c r="AG473">
        <f t="shared" si="339"/>
        <v>3.0510734548411138</v>
      </c>
      <c r="AH473">
        <f t="shared" si="339"/>
        <v>3.369601637807949</v>
      </c>
      <c r="AI473">
        <f t="shared" si="339"/>
        <v>4.0923827896675773</v>
      </c>
    </row>
    <row r="474" spans="5:35" x14ac:dyDescent="0.35">
      <c r="E474" s="19"/>
      <c r="Z474">
        <f t="shared" ref="Z474:AI474" si="340">MAX(0,Z302-LN(365))</f>
        <v>1.1850200947193885</v>
      </c>
      <c r="AA474">
        <f t="shared" si="340"/>
        <v>1.5956800197046572</v>
      </c>
      <c r="AB474">
        <f t="shared" si="340"/>
        <v>1.8362867780343466</v>
      </c>
      <c r="AC474">
        <f t="shared" si="340"/>
        <v>2.0483714412993246</v>
      </c>
      <c r="AD474">
        <f t="shared" si="340"/>
        <v>2.2315163822484836</v>
      </c>
      <c r="AE474">
        <f t="shared" si="340"/>
        <v>2.3897738440283964</v>
      </c>
      <c r="AF474">
        <f t="shared" si="340"/>
        <v>2.542585387398419</v>
      </c>
      <c r="AG474">
        <f t="shared" si="340"/>
        <v>2.7546120986062901</v>
      </c>
      <c r="AH474">
        <f t="shared" si="340"/>
        <v>2.9967608925958471</v>
      </c>
      <c r="AI474">
        <f t="shared" si="340"/>
        <v>3.6074693895736418</v>
      </c>
    </row>
    <row r="475" spans="5:35" x14ac:dyDescent="0.35">
      <c r="E475" s="19"/>
      <c r="Z475">
        <f t="shared" ref="Z475:AI475" si="341">MAX(0,Z303-LN(365))</f>
        <v>0</v>
      </c>
      <c r="AA475">
        <f t="shared" si="341"/>
        <v>0</v>
      </c>
      <c r="AB475">
        <f t="shared" si="341"/>
        <v>0</v>
      </c>
      <c r="AC475">
        <f t="shared" si="341"/>
        <v>0</v>
      </c>
      <c r="AD475">
        <f t="shared" si="341"/>
        <v>2.1304080224105348E-2</v>
      </c>
      <c r="AE475">
        <f t="shared" si="341"/>
        <v>0.17009281690997824</v>
      </c>
      <c r="AF475">
        <f t="shared" si="341"/>
        <v>0.33439586820125466</v>
      </c>
      <c r="AG475">
        <f t="shared" si="341"/>
        <v>0.51622854696053988</v>
      </c>
      <c r="AH475">
        <f t="shared" si="341"/>
        <v>0.75762343264926013</v>
      </c>
      <c r="AI475">
        <f t="shared" si="341"/>
        <v>1.2547837670594797</v>
      </c>
    </row>
    <row r="476" spans="5:35" x14ac:dyDescent="0.35">
      <c r="E476" s="19"/>
      <c r="Z476">
        <f t="shared" ref="Z476:AI476" si="342">MAX(0,Z304-LN(365))</f>
        <v>2.7857214498873821</v>
      </c>
      <c r="AA476">
        <f t="shared" si="342"/>
        <v>3.1260472558245853</v>
      </c>
      <c r="AB476">
        <f t="shared" si="342"/>
        <v>3.301937922288249</v>
      </c>
      <c r="AC476">
        <f t="shared" si="342"/>
        <v>3.4514696562592126</v>
      </c>
      <c r="AD476">
        <f t="shared" si="342"/>
        <v>3.5936441450397565</v>
      </c>
      <c r="AE476">
        <f t="shared" si="342"/>
        <v>3.7180983195131612</v>
      </c>
      <c r="AF476">
        <f t="shared" si="342"/>
        <v>3.8476323717050631</v>
      </c>
      <c r="AG476">
        <f t="shared" si="342"/>
        <v>3.9788245819764141</v>
      </c>
      <c r="AH476">
        <f t="shared" si="342"/>
        <v>4.1515372796637324</v>
      </c>
      <c r="AI476">
        <f t="shared" si="342"/>
        <v>4.5909039394475775</v>
      </c>
    </row>
    <row r="477" spans="5:35" x14ac:dyDescent="0.35">
      <c r="E477" s="19"/>
      <c r="Z477">
        <f t="shared" ref="Z477:AI477" si="343">MAX(0,Z305-LN(365))</f>
        <v>0</v>
      </c>
      <c r="AA477">
        <f t="shared" si="343"/>
        <v>0</v>
      </c>
      <c r="AB477">
        <f t="shared" si="343"/>
        <v>0.19329629748416721</v>
      </c>
      <c r="AC477">
        <f t="shared" si="343"/>
        <v>0.36440498967532342</v>
      </c>
      <c r="AD477">
        <f t="shared" si="343"/>
        <v>0.51940312718041959</v>
      </c>
      <c r="AE477">
        <f t="shared" si="343"/>
        <v>0.6646194782739121</v>
      </c>
      <c r="AF477">
        <f t="shared" si="343"/>
        <v>0.81814201737699932</v>
      </c>
      <c r="AG477">
        <f t="shared" si="343"/>
        <v>0.97886857811041494</v>
      </c>
      <c r="AH477">
        <f t="shared" si="343"/>
        <v>1.1802686150096076</v>
      </c>
      <c r="AI477">
        <f t="shared" si="343"/>
        <v>1.6651705537658072</v>
      </c>
    </row>
    <row r="478" spans="5:35" x14ac:dyDescent="0.35">
      <c r="E478" s="19"/>
      <c r="Z478">
        <f t="shared" ref="Z478:AI478" si="344">MAX(0,Z306-LN(365))</f>
        <v>1.6070861060739317</v>
      </c>
      <c r="AA478">
        <f t="shared" si="344"/>
        <v>2.0058171820007527</v>
      </c>
      <c r="AB478">
        <f t="shared" si="344"/>
        <v>2.1997081904775238</v>
      </c>
      <c r="AC478">
        <f t="shared" si="344"/>
        <v>2.3651911829086503</v>
      </c>
      <c r="AD478">
        <f t="shared" si="344"/>
        <v>2.5071383214551792</v>
      </c>
      <c r="AE478">
        <f t="shared" si="344"/>
        <v>2.6422033260357347</v>
      </c>
      <c r="AF478">
        <f t="shared" si="344"/>
        <v>2.7872886910659558</v>
      </c>
      <c r="AG478">
        <f t="shared" si="344"/>
        <v>2.960115139837586</v>
      </c>
      <c r="AH478">
        <f t="shared" si="344"/>
        <v>3.2124890432958528</v>
      </c>
      <c r="AI478">
        <f t="shared" si="344"/>
        <v>3.8838369955132146</v>
      </c>
    </row>
    <row r="479" spans="5:35" x14ac:dyDescent="0.35">
      <c r="E479" s="19"/>
      <c r="Z479">
        <f t="shared" ref="Z479:AI479" si="345">MAX(0,Z307-LN(365))</f>
        <v>1.2270198533836796</v>
      </c>
      <c r="AA479">
        <f t="shared" si="345"/>
        <v>1.8633905181415429</v>
      </c>
      <c r="AB479">
        <f t="shared" si="345"/>
        <v>2.1510725905933237</v>
      </c>
      <c r="AC479">
        <f t="shared" si="345"/>
        <v>2.3638533548719876</v>
      </c>
      <c r="AD479">
        <f t="shared" si="345"/>
        <v>2.5530953545105151</v>
      </c>
      <c r="AE479">
        <f t="shared" si="345"/>
        <v>2.7339790965348429</v>
      </c>
      <c r="AF479">
        <f t="shared" si="345"/>
        <v>2.9364793795434254</v>
      </c>
      <c r="AG479">
        <f t="shared" si="345"/>
        <v>3.1775574979710415</v>
      </c>
      <c r="AH479">
        <f t="shared" si="345"/>
        <v>3.5211275561886834</v>
      </c>
      <c r="AI479">
        <f t="shared" si="345"/>
        <v>4.4717912413814416</v>
      </c>
    </row>
    <row r="480" spans="5:35" x14ac:dyDescent="0.35">
      <c r="E480" s="19"/>
      <c r="Z480">
        <f t="shared" ref="Z480:AI480" si="346">MAX(0,Z308-LN(365))</f>
        <v>6.6279006512567129E-2</v>
      </c>
      <c r="AA480">
        <f t="shared" si="346"/>
        <v>0.78649550904072996</v>
      </c>
      <c r="AB480">
        <f t="shared" si="346"/>
        <v>1.077879918191047</v>
      </c>
      <c r="AC480">
        <f t="shared" si="346"/>
        <v>1.2708613811103495</v>
      </c>
      <c r="AD480">
        <f t="shared" si="346"/>
        <v>1.4661996193442226</v>
      </c>
      <c r="AE480">
        <f t="shared" si="346"/>
        <v>1.6646806328037815</v>
      </c>
      <c r="AF480">
        <f t="shared" si="346"/>
        <v>1.8560038870428341</v>
      </c>
      <c r="AG480">
        <f t="shared" si="346"/>
        <v>2.0844287831537018</v>
      </c>
      <c r="AH480">
        <f t="shared" si="346"/>
        <v>2.3893838297377892</v>
      </c>
      <c r="AI480">
        <f t="shared" si="346"/>
        <v>3.0167970317553889</v>
      </c>
    </row>
    <row r="481" spans="5:35" x14ac:dyDescent="0.35">
      <c r="E481" s="19"/>
      <c r="Z481">
        <f t="shared" ref="Z481:AI481" si="347">MAX(0,Z309-LN(365))</f>
        <v>0.12318931821320067</v>
      </c>
      <c r="AA481">
        <f t="shared" si="347"/>
        <v>0.39648265321288179</v>
      </c>
      <c r="AB481">
        <f t="shared" si="347"/>
        <v>0.5490793311734059</v>
      </c>
      <c r="AC481">
        <f t="shared" si="347"/>
        <v>0.67597914107822366</v>
      </c>
      <c r="AD481">
        <f t="shared" si="347"/>
        <v>0.79101869078885567</v>
      </c>
      <c r="AE481">
        <f t="shared" si="347"/>
        <v>0.9051319975562766</v>
      </c>
      <c r="AF481">
        <f t="shared" si="347"/>
        <v>1.0327910619365586</v>
      </c>
      <c r="AG481">
        <f t="shared" si="347"/>
        <v>1.1813102455265732</v>
      </c>
      <c r="AH481">
        <f t="shared" si="347"/>
        <v>1.3663828356924181</v>
      </c>
      <c r="AI481">
        <f t="shared" si="347"/>
        <v>1.7832298103559037</v>
      </c>
    </row>
    <row r="482" spans="5:35" x14ac:dyDescent="0.35">
      <c r="E482" s="19"/>
      <c r="Z482">
        <f t="shared" ref="Z482:AI482" si="348">MAX(0,Z310-LN(365))</f>
        <v>0.1406926376238129</v>
      </c>
      <c r="AA482">
        <f t="shared" si="348"/>
        <v>0.51121071565474363</v>
      </c>
      <c r="AB482">
        <f t="shared" si="348"/>
        <v>0.70635074001519804</v>
      </c>
      <c r="AC482">
        <f t="shared" si="348"/>
        <v>0.85927125607556221</v>
      </c>
      <c r="AD482">
        <f t="shared" si="348"/>
        <v>0.99704033353093457</v>
      </c>
      <c r="AE482">
        <f t="shared" si="348"/>
        <v>1.133944410634097</v>
      </c>
      <c r="AF482">
        <f t="shared" si="348"/>
        <v>1.275023008894002</v>
      </c>
      <c r="AG482">
        <f t="shared" si="348"/>
        <v>1.4366643604504175</v>
      </c>
      <c r="AH482">
        <f t="shared" si="348"/>
        <v>1.6461159296234422</v>
      </c>
      <c r="AI482">
        <f t="shared" si="348"/>
        <v>2.1842714581427449</v>
      </c>
    </row>
    <row r="483" spans="5:35" x14ac:dyDescent="0.35">
      <c r="E483" s="19"/>
      <c r="Z483">
        <f t="shared" ref="Z483:AI483" si="349">MAX(0,Z311-LN(365))</f>
        <v>1.4811296689649716</v>
      </c>
      <c r="AA483">
        <f t="shared" si="349"/>
        <v>1.805456007284076</v>
      </c>
      <c r="AB483">
        <f t="shared" si="349"/>
        <v>1.9476059576927378</v>
      </c>
      <c r="AC483">
        <f t="shared" si="349"/>
        <v>2.1057868696754172</v>
      </c>
      <c r="AD483">
        <f t="shared" si="349"/>
        <v>2.2579964295143311</v>
      </c>
      <c r="AE483">
        <f t="shared" si="349"/>
        <v>2.3968568617991357</v>
      </c>
      <c r="AF483">
        <f t="shared" si="349"/>
        <v>2.5316557709654424</v>
      </c>
      <c r="AG483">
        <f t="shared" si="349"/>
        <v>2.6990887152656464</v>
      </c>
      <c r="AH483">
        <f t="shared" si="349"/>
        <v>2.9081333422003555</v>
      </c>
      <c r="AI483">
        <f t="shared" si="349"/>
        <v>3.4614509648470646</v>
      </c>
    </row>
    <row r="484" spans="5:35" x14ac:dyDescent="0.35">
      <c r="E484" s="19"/>
      <c r="Z484">
        <f t="shared" ref="Z484:AI484" si="350">MAX(0,Z312-LN(365))</f>
        <v>0.54599888408576014</v>
      </c>
      <c r="AA484">
        <f t="shared" si="350"/>
        <v>0.93619652006313636</v>
      </c>
      <c r="AB484">
        <f t="shared" si="350"/>
        <v>1.1459170510452052</v>
      </c>
      <c r="AC484">
        <f t="shared" si="350"/>
        <v>1.313930215065775</v>
      </c>
      <c r="AD484">
        <f t="shared" si="350"/>
        <v>1.4713394514798335</v>
      </c>
      <c r="AE484">
        <f t="shared" si="350"/>
        <v>1.6280608268101924</v>
      </c>
      <c r="AF484">
        <f t="shared" si="350"/>
        <v>1.7944234509825305</v>
      </c>
      <c r="AG484">
        <f t="shared" si="350"/>
        <v>1.9973642949792207</v>
      </c>
      <c r="AH484">
        <f t="shared" si="350"/>
        <v>2.2792621466322069</v>
      </c>
      <c r="AI484">
        <f t="shared" si="350"/>
        <v>3.0747532493105529</v>
      </c>
    </row>
    <row r="485" spans="5:35" x14ac:dyDescent="0.35">
      <c r="E485" s="19"/>
      <c r="Z485">
        <f t="shared" ref="Z485:AI485" si="351">MAX(0,Z313-LN(365))</f>
        <v>0</v>
      </c>
      <c r="AA485">
        <f t="shared" si="351"/>
        <v>0</v>
      </c>
      <c r="AB485">
        <f t="shared" si="351"/>
        <v>0</v>
      </c>
      <c r="AC485">
        <f t="shared" si="351"/>
        <v>0</v>
      </c>
      <c r="AD485">
        <f t="shared" si="351"/>
        <v>0</v>
      </c>
      <c r="AE485">
        <f t="shared" si="351"/>
        <v>0</v>
      </c>
      <c r="AF485">
        <f t="shared" si="351"/>
        <v>0</v>
      </c>
      <c r="AG485">
        <f t="shared" si="351"/>
        <v>0.14865332530527997</v>
      </c>
      <c r="AH485">
        <f t="shared" si="351"/>
        <v>0.42366554501600895</v>
      </c>
      <c r="AI485">
        <f t="shared" si="351"/>
        <v>1.3448622556590184</v>
      </c>
    </row>
    <row r="486" spans="5:35" x14ac:dyDescent="0.35">
      <c r="E486" s="19"/>
      <c r="Z486">
        <f t="shared" ref="Z486:AI486" si="352">MAX(0,Z314-LN(365))</f>
        <v>0.99206249764774768</v>
      </c>
      <c r="AA486">
        <f t="shared" si="352"/>
        <v>1.3105162287662822</v>
      </c>
      <c r="AB486">
        <f t="shared" si="352"/>
        <v>1.4775703134294478</v>
      </c>
      <c r="AC486">
        <f t="shared" si="352"/>
        <v>1.620671157070122</v>
      </c>
      <c r="AD486">
        <f t="shared" si="352"/>
        <v>1.7458343000241276</v>
      </c>
      <c r="AE486">
        <f t="shared" si="352"/>
        <v>1.9248825314731128</v>
      </c>
      <c r="AF486">
        <f t="shared" si="352"/>
        <v>2.1314967808361116</v>
      </c>
      <c r="AG486">
        <f t="shared" si="352"/>
        <v>2.4774477614118693</v>
      </c>
      <c r="AH486">
        <f t="shared" si="352"/>
        <v>2.7976152890081378</v>
      </c>
      <c r="AI486">
        <f t="shared" si="352"/>
        <v>3.8518795872219398</v>
      </c>
    </row>
    <row r="487" spans="5:35" x14ac:dyDescent="0.35">
      <c r="E487" s="19"/>
      <c r="Z487">
        <f t="shared" ref="Z487:AI487" si="353">MAX(0,Z315-LN(365))</f>
        <v>0</v>
      </c>
      <c r="AA487">
        <f t="shared" si="353"/>
        <v>0</v>
      </c>
      <c r="AB487">
        <f t="shared" si="353"/>
        <v>0</v>
      </c>
      <c r="AC487">
        <f t="shared" si="353"/>
        <v>0</v>
      </c>
      <c r="AD487">
        <f t="shared" si="353"/>
        <v>0</v>
      </c>
      <c r="AE487">
        <f t="shared" si="353"/>
        <v>0</v>
      </c>
      <c r="AF487">
        <f t="shared" si="353"/>
        <v>3.1601008210225601E-2</v>
      </c>
      <c r="AG487">
        <f t="shared" si="353"/>
        <v>0.19950004433895607</v>
      </c>
      <c r="AH487">
        <f t="shared" si="353"/>
        <v>0.44271115870397537</v>
      </c>
      <c r="AI487">
        <f t="shared" si="353"/>
        <v>1.0017591411921378</v>
      </c>
    </row>
    <row r="488" spans="5:35" x14ac:dyDescent="0.35">
      <c r="E488" s="19"/>
      <c r="Z488">
        <f t="shared" ref="Z488:AI488" si="354">MAX(0,Z316-LN(365))</f>
        <v>3.7024648508993865</v>
      </c>
      <c r="AA488">
        <f t="shared" si="354"/>
        <v>4.1793889229896957</v>
      </c>
      <c r="AB488">
        <f t="shared" si="354"/>
        <v>4.3236385318342423</v>
      </c>
      <c r="AC488">
        <f t="shared" si="354"/>
        <v>4.4496792527296067</v>
      </c>
      <c r="AD488">
        <f t="shared" si="354"/>
        <v>4.5615971689335924</v>
      </c>
      <c r="AE488">
        <f t="shared" si="354"/>
        <v>4.6728228040438173</v>
      </c>
      <c r="AF488">
        <f t="shared" si="354"/>
        <v>4.7823850065553435</v>
      </c>
      <c r="AG488">
        <f t="shared" si="354"/>
        <v>4.9064376552253224</v>
      </c>
      <c r="AH488">
        <f t="shared" si="354"/>
        <v>5.0605883350525795</v>
      </c>
      <c r="AI488">
        <f t="shared" si="354"/>
        <v>5.5034409752323645</v>
      </c>
    </row>
    <row r="489" spans="5:35" x14ac:dyDescent="0.35">
      <c r="E489" s="19"/>
      <c r="Z489">
        <f t="shared" ref="Z489:AI489" si="355">MAX(0,Z317-LN(365))</f>
        <v>3.0835697943533011</v>
      </c>
      <c r="AA489">
        <f t="shared" si="355"/>
        <v>3.522936454137148</v>
      </c>
      <c r="AB489">
        <f t="shared" si="355"/>
        <v>3.7236071495992986</v>
      </c>
      <c r="AC489">
        <f t="shared" si="355"/>
        <v>3.8906612342624642</v>
      </c>
      <c r="AD489">
        <f t="shared" si="355"/>
        <v>4.0600793862205107</v>
      </c>
      <c r="AE489">
        <f t="shared" si="355"/>
        <v>4.2160836346970934</v>
      </c>
      <c r="AF489">
        <f t="shared" si="355"/>
        <v>4.3702343145243505</v>
      </c>
      <c r="AG489">
        <f t="shared" si="355"/>
        <v>4.544587701669129</v>
      </c>
      <c r="AH489">
        <f t="shared" si="355"/>
        <v>4.7401544852131048</v>
      </c>
      <c r="AI489">
        <f t="shared" si="355"/>
        <v>5.2653500492620475</v>
      </c>
    </row>
    <row r="490" spans="5:35" x14ac:dyDescent="0.35">
      <c r="E490" s="19"/>
      <c r="Z490">
        <f t="shared" ref="Z490:AI490" si="356">MAX(0,Z318-LN(365))</f>
        <v>0</v>
      </c>
      <c r="AA490">
        <f t="shared" si="356"/>
        <v>2.7701225474014102E-2</v>
      </c>
      <c r="AB490">
        <f t="shared" si="356"/>
        <v>0.3063260108132857</v>
      </c>
      <c r="AC490">
        <f t="shared" si="356"/>
        <v>0.5239955499514668</v>
      </c>
      <c r="AD490">
        <f t="shared" si="356"/>
        <v>0.73387790632429351</v>
      </c>
      <c r="AE490">
        <f t="shared" si="356"/>
        <v>0.91133327346707471</v>
      </c>
      <c r="AF490">
        <f t="shared" si="356"/>
        <v>1.0963611918587723</v>
      </c>
      <c r="AG490">
        <f t="shared" si="356"/>
        <v>1.3013224240897916</v>
      </c>
      <c r="AH490">
        <f t="shared" si="356"/>
        <v>1.6139208478061073</v>
      </c>
      <c r="AI490">
        <f t="shared" si="356"/>
        <v>2.5467188767683977</v>
      </c>
    </row>
    <row r="491" spans="5:35" x14ac:dyDescent="0.35">
      <c r="E491" s="19"/>
      <c r="Z491">
        <f t="shared" ref="Z491:AI491" si="357">MAX(0,Z319-LN(365))</f>
        <v>0</v>
      </c>
      <c r="AA491">
        <f t="shared" si="357"/>
        <v>0</v>
      </c>
      <c r="AB491">
        <f t="shared" si="357"/>
        <v>0</v>
      </c>
      <c r="AC491">
        <f t="shared" si="357"/>
        <v>0</v>
      </c>
      <c r="AD491">
        <f t="shared" si="357"/>
        <v>0</v>
      </c>
      <c r="AE491">
        <f t="shared" si="357"/>
        <v>0</v>
      </c>
      <c r="AF491">
        <f t="shared" si="357"/>
        <v>0</v>
      </c>
      <c r="AG491">
        <f t="shared" si="357"/>
        <v>0</v>
      </c>
      <c r="AH491">
        <f t="shared" si="357"/>
        <v>0.1537308524656007</v>
      </c>
      <c r="AI491">
        <f t="shared" si="357"/>
        <v>0.70442464813199646</v>
      </c>
    </row>
    <row r="492" spans="5:35" x14ac:dyDescent="0.35">
      <c r="E492" s="19"/>
      <c r="Z492">
        <f t="shared" ref="Z492:AI492" si="358">MAX(0,Z320-LN(365))</f>
        <v>0</v>
      </c>
      <c r="AA492">
        <f t="shared" si="358"/>
        <v>0</v>
      </c>
      <c r="AB492">
        <f t="shared" si="358"/>
        <v>0.16651121852794759</v>
      </c>
      <c r="AC492">
        <f t="shared" si="358"/>
        <v>0.38363205068724149</v>
      </c>
      <c r="AD492">
        <f t="shared" si="358"/>
        <v>0.57581805245211015</v>
      </c>
      <c r="AE492">
        <f t="shared" si="358"/>
        <v>0.76018251087586552</v>
      </c>
      <c r="AF492">
        <f t="shared" si="358"/>
        <v>0.95748483100618831</v>
      </c>
      <c r="AG492">
        <f t="shared" si="358"/>
        <v>1.1883472065001364</v>
      </c>
      <c r="AH492">
        <f t="shared" si="358"/>
        <v>1.4896517806332135</v>
      </c>
      <c r="AI492">
        <f t="shared" si="358"/>
        <v>2.1892357650266385</v>
      </c>
    </row>
    <row r="493" spans="5:35" x14ac:dyDescent="0.35">
      <c r="E493" s="19"/>
      <c r="Z493">
        <f t="shared" ref="Z493:AI493" si="359">MAX(0,Z321-LN(365))</f>
        <v>4.1542658855906405</v>
      </c>
      <c r="AA493">
        <f t="shared" si="359"/>
        <v>4.6650915093566327</v>
      </c>
      <c r="AB493">
        <f t="shared" si="359"/>
        <v>4.8474130661505859</v>
      </c>
      <c r="AC493">
        <f t="shared" si="359"/>
        <v>4.9651961018069697</v>
      </c>
      <c r="AD493">
        <f t="shared" si="359"/>
        <v>5.0593833168666711</v>
      </c>
      <c r="AE493">
        <f t="shared" si="359"/>
        <v>5.1557144258051038</v>
      </c>
      <c r="AF493">
        <f t="shared" si="359"/>
        <v>5.2435757815964381</v>
      </c>
      <c r="AG493">
        <f t="shared" si="359"/>
        <v>5.3414315716001957</v>
      </c>
      <c r="AH493">
        <f t="shared" si="359"/>
        <v>5.4834018328705829</v>
      </c>
      <c r="AI493">
        <f t="shared" si="359"/>
        <v>5.8790146445357356</v>
      </c>
    </row>
    <row r="494" spans="5:35" x14ac:dyDescent="0.35">
      <c r="E494" s="19"/>
      <c r="Z494">
        <f t="shared" ref="Z494:AI494" si="360">MAX(0,Z322-LN(365))</f>
        <v>0</v>
      </c>
      <c r="AA494">
        <f t="shared" si="360"/>
        <v>6.1668249651168239E-2</v>
      </c>
      <c r="AB494">
        <f t="shared" si="360"/>
        <v>0.21168156321246556</v>
      </c>
      <c r="AC494">
        <f t="shared" si="360"/>
        <v>0.33918320474750541</v>
      </c>
      <c r="AD494">
        <f t="shared" si="360"/>
        <v>0.45745274004860903</v>
      </c>
      <c r="AE494">
        <f t="shared" si="360"/>
        <v>0.57249387341715874</v>
      </c>
      <c r="AF494">
        <f t="shared" si="360"/>
        <v>0.69935567483974559</v>
      </c>
      <c r="AG494">
        <f t="shared" si="360"/>
        <v>0.85292428247362029</v>
      </c>
      <c r="AH494">
        <f t="shared" si="360"/>
        <v>1.0702869645751321</v>
      </c>
      <c r="AI494">
        <f t="shared" si="360"/>
        <v>1.6749523206727472</v>
      </c>
    </row>
    <row r="495" spans="5:35" x14ac:dyDescent="0.35">
      <c r="E495" s="19"/>
      <c r="Z495">
        <f t="shared" ref="Z495:AI495" si="361">MAX(0,Z323-LN(365))</f>
        <v>0.56975629536048444</v>
      </c>
      <c r="AA495">
        <f t="shared" si="361"/>
        <v>1.3625333168692713</v>
      </c>
      <c r="AB495">
        <f t="shared" si="361"/>
        <v>1.7593403622343207</v>
      </c>
      <c r="AC495">
        <f t="shared" si="361"/>
        <v>2.0448461552635058</v>
      </c>
      <c r="AD495">
        <f t="shared" si="361"/>
        <v>2.2770984227759561</v>
      </c>
      <c r="AE495">
        <f t="shared" si="361"/>
        <v>2.4950471572130626</v>
      </c>
      <c r="AF495">
        <f t="shared" si="361"/>
        <v>2.7159660135051604</v>
      </c>
      <c r="AG495">
        <f t="shared" si="361"/>
        <v>2.9633131665602575</v>
      </c>
      <c r="AH495">
        <f t="shared" si="361"/>
        <v>3.3072111798783199</v>
      </c>
      <c r="AI495">
        <f t="shared" si="361"/>
        <v>4.1817032793587083</v>
      </c>
    </row>
    <row r="496" spans="5:35" x14ac:dyDescent="0.35">
      <c r="E496" s="19"/>
      <c r="Z496">
        <f t="shared" ref="Z496:AI496" si="362">MAX(0,Z324-LN(365))</f>
        <v>0</v>
      </c>
      <c r="AA496">
        <f t="shared" si="362"/>
        <v>0</v>
      </c>
      <c r="AB496">
        <f t="shared" si="362"/>
        <v>8.9984473862171122E-2</v>
      </c>
      <c r="AC496">
        <f t="shared" si="362"/>
        <v>0.33676978823342107</v>
      </c>
      <c r="AD496">
        <f t="shared" si="362"/>
        <v>0.53761039279461365</v>
      </c>
      <c r="AE496">
        <f t="shared" si="362"/>
        <v>0.7391147690053419</v>
      </c>
      <c r="AF496">
        <f t="shared" si="362"/>
        <v>0.94001271137223164</v>
      </c>
      <c r="AG496">
        <f t="shared" si="362"/>
        <v>1.1708971854308796</v>
      </c>
      <c r="AH496">
        <f t="shared" si="362"/>
        <v>1.4575641324275059</v>
      </c>
      <c r="AI496">
        <f t="shared" si="362"/>
        <v>2.1464364973173078</v>
      </c>
    </row>
    <row r="497" spans="5:35" x14ac:dyDescent="0.35">
      <c r="E497" s="19"/>
      <c r="Z497">
        <f t="shared" ref="Z497:AI497" si="363">MAX(0,Z325-LN(365))</f>
        <v>0</v>
      </c>
      <c r="AA497">
        <f t="shared" si="363"/>
        <v>0.18312461160585425</v>
      </c>
      <c r="AB497">
        <f t="shared" si="363"/>
        <v>0.51225840152061419</v>
      </c>
      <c r="AC497">
        <f t="shared" si="363"/>
        <v>0.76388754262866598</v>
      </c>
      <c r="AD497">
        <f t="shared" si="363"/>
        <v>0.97014930696862844</v>
      </c>
      <c r="AE497">
        <f t="shared" si="363"/>
        <v>1.1752091828495432</v>
      </c>
      <c r="AF497">
        <f t="shared" si="363"/>
        <v>1.3910266940716793</v>
      </c>
      <c r="AG497">
        <f t="shared" si="363"/>
        <v>1.6202692556123628</v>
      </c>
      <c r="AH497">
        <f t="shared" si="363"/>
        <v>1.9509785599803546</v>
      </c>
      <c r="AI497">
        <f t="shared" si="363"/>
        <v>2.9785798130052763</v>
      </c>
    </row>
    <row r="498" spans="5:35" x14ac:dyDescent="0.35">
      <c r="E498" s="19"/>
      <c r="Z498">
        <f t="shared" ref="Z498:AI498" si="364">MAX(0,Z326-LN(365))</f>
        <v>0.43841075854448608</v>
      </c>
      <c r="AA498">
        <f t="shared" si="364"/>
        <v>1.0569690821133584</v>
      </c>
      <c r="AB498">
        <f t="shared" si="364"/>
        <v>1.3915154635413574</v>
      </c>
      <c r="AC498">
        <f t="shared" si="364"/>
        <v>1.6473711043814614</v>
      </c>
      <c r="AD498">
        <f t="shared" si="364"/>
        <v>1.8585024992476677</v>
      </c>
      <c r="AE498">
        <f t="shared" si="364"/>
        <v>2.0565606115806077</v>
      </c>
      <c r="AF498">
        <f t="shared" si="364"/>
        <v>2.2518094028760229</v>
      </c>
      <c r="AG498">
        <f t="shared" si="364"/>
        <v>2.4690230727919298</v>
      </c>
      <c r="AH498">
        <f t="shared" si="364"/>
        <v>2.7552685108252506</v>
      </c>
      <c r="AI498">
        <f t="shared" si="364"/>
        <v>3.4649146907652311</v>
      </c>
    </row>
    <row r="499" spans="5:35" x14ac:dyDescent="0.35">
      <c r="E499" s="19"/>
      <c r="Z499">
        <f t="shared" ref="Z499:AI499" si="365">MAX(0,Z327-LN(365))</f>
        <v>0</v>
      </c>
      <c r="AA499">
        <f t="shared" si="365"/>
        <v>0.28825854731155065</v>
      </c>
      <c r="AB499">
        <f t="shared" si="365"/>
        <v>0.49805696294648794</v>
      </c>
      <c r="AC499">
        <f t="shared" si="365"/>
        <v>0.68697664187312046</v>
      </c>
      <c r="AD499">
        <f t="shared" si="365"/>
        <v>0.87508413573411925</v>
      </c>
      <c r="AE499">
        <f t="shared" si="365"/>
        <v>1.0669751435442247</v>
      </c>
      <c r="AF499">
        <f t="shared" si="365"/>
        <v>1.2751930446417585</v>
      </c>
      <c r="AG499">
        <f t="shared" si="365"/>
        <v>1.5181181619743596</v>
      </c>
      <c r="AH499">
        <f t="shared" si="365"/>
        <v>1.8315812880863147</v>
      </c>
      <c r="AI499">
        <f t="shared" si="365"/>
        <v>2.5526598533354372</v>
      </c>
    </row>
    <row r="500" spans="5:35" x14ac:dyDescent="0.35">
      <c r="E500" s="19"/>
      <c r="Z500">
        <f t="shared" ref="Z500:AI500" si="366">MAX(0,Z328-LN(365))</f>
        <v>0</v>
      </c>
      <c r="AA500">
        <f t="shared" si="366"/>
        <v>0.18193695517417385</v>
      </c>
      <c r="AB500">
        <f t="shared" si="366"/>
        <v>0.4076413273500572</v>
      </c>
      <c r="AC500">
        <f t="shared" si="366"/>
        <v>0.60645025825303289</v>
      </c>
      <c r="AD500">
        <f t="shared" si="366"/>
        <v>0.80196187090515636</v>
      </c>
      <c r="AE500">
        <f t="shared" si="366"/>
        <v>1.0112163100586988</v>
      </c>
      <c r="AF500">
        <f t="shared" si="366"/>
        <v>1.232399899944701</v>
      </c>
      <c r="AG500">
        <f t="shared" si="366"/>
        <v>1.4899232144327366</v>
      </c>
      <c r="AH500">
        <f t="shared" si="366"/>
        <v>1.8419948584547825</v>
      </c>
      <c r="AI500">
        <f t="shared" si="366"/>
        <v>2.6350949066475939</v>
      </c>
    </row>
    <row r="501" spans="5:35" x14ac:dyDescent="0.35">
      <c r="E501" s="19"/>
      <c r="Z501">
        <f t="shared" ref="Z501:AI501" si="367">MAX(0,Z329-LN(365))</f>
        <v>2.110048862244553</v>
      </c>
      <c r="AA501">
        <f t="shared" si="367"/>
        <v>2.600671778693024</v>
      </c>
      <c r="AB501">
        <f t="shared" si="367"/>
        <v>2.8197253447557094</v>
      </c>
      <c r="AC501">
        <f t="shared" si="367"/>
        <v>2.9715313576237135</v>
      </c>
      <c r="AD501">
        <f t="shared" si="367"/>
        <v>3.1155707278466513</v>
      </c>
      <c r="AE501">
        <f t="shared" si="367"/>
        <v>3.2414509737356534</v>
      </c>
      <c r="AF501">
        <f t="shared" si="367"/>
        <v>3.3628118307399211</v>
      </c>
      <c r="AG501">
        <f t="shared" si="367"/>
        <v>3.5128725253156547</v>
      </c>
      <c r="AH501">
        <f t="shared" si="367"/>
        <v>3.7127977865278572</v>
      </c>
      <c r="AI501">
        <f t="shared" si="367"/>
        <v>4.1853150325139081</v>
      </c>
    </row>
    <row r="502" spans="5:35" x14ac:dyDescent="0.35">
      <c r="E502" s="19"/>
      <c r="Z502">
        <f t="shared" ref="Z502:AI502" si="368">MAX(0,Z330-LN(365))</f>
        <v>2.5412314811995769</v>
      </c>
      <c r="AA502">
        <f t="shared" si="368"/>
        <v>3.1065452902496373</v>
      </c>
      <c r="AB502">
        <f t="shared" si="368"/>
        <v>3.365406924165927</v>
      </c>
      <c r="AC502">
        <f t="shared" si="368"/>
        <v>3.5418633615074837</v>
      </c>
      <c r="AD502">
        <f t="shared" si="368"/>
        <v>3.6790644830209684</v>
      </c>
      <c r="AE502">
        <f t="shared" si="368"/>
        <v>3.8221653266616427</v>
      </c>
      <c r="AF502">
        <f t="shared" si="368"/>
        <v>3.9570846445610117</v>
      </c>
      <c r="AG502">
        <f t="shared" si="368"/>
        <v>4.1263767010646335</v>
      </c>
      <c r="AH502">
        <f t="shared" si="368"/>
        <v>4.3462361771776523</v>
      </c>
      <c r="AI502">
        <f t="shared" si="368"/>
        <v>4.8868760636540705</v>
      </c>
    </row>
    <row r="503" spans="5:35" x14ac:dyDescent="0.35">
      <c r="E503" s="19"/>
      <c r="Z503">
        <f t="shared" ref="Z503:AI503" si="369">MAX(0,Z331-LN(365))</f>
        <v>1.777437958806078</v>
      </c>
      <c r="AA503">
        <f t="shared" si="369"/>
        <v>2.2348460000067822</v>
      </c>
      <c r="AB503">
        <f t="shared" si="369"/>
        <v>2.8865893237345484</v>
      </c>
      <c r="AC503">
        <f t="shared" si="369"/>
        <v>3.0666535432268534</v>
      </c>
      <c r="AD503">
        <f t="shared" si="369"/>
        <v>3.500868120288815</v>
      </c>
      <c r="AE503">
        <f t="shared" si="369"/>
        <v>3.659116706611667</v>
      </c>
      <c r="AF503">
        <f t="shared" si="369"/>
        <v>4.01200963719229</v>
      </c>
      <c r="AG503">
        <f t="shared" si="369"/>
        <v>4.2054051619375548</v>
      </c>
      <c r="AH503">
        <f t="shared" si="369"/>
        <v>4.6726499199273848</v>
      </c>
      <c r="AI503">
        <f t="shared" si="369"/>
        <v>5.3635121725477282</v>
      </c>
    </row>
    <row r="504" spans="5:35" x14ac:dyDescent="0.35">
      <c r="E504" s="19"/>
      <c r="Z504">
        <f t="shared" ref="Z504:AI504" si="370">MAX(0,Z332-LN(365))</f>
        <v>3.603045642154366</v>
      </c>
      <c r="AA504">
        <f t="shared" si="370"/>
        <v>4.0945554766210668</v>
      </c>
      <c r="AB504">
        <f t="shared" si="370"/>
        <v>4.3134346291488184</v>
      </c>
      <c r="AC504">
        <f t="shared" si="370"/>
        <v>4.505325636958923</v>
      </c>
      <c r="AD504">
        <f t="shared" si="370"/>
        <v>4.6943851714933968</v>
      </c>
      <c r="AE504">
        <f t="shared" si="370"/>
        <v>4.8632343873465844</v>
      </c>
      <c r="AF504">
        <f t="shared" si="370"/>
        <v>5.0370944345701565</v>
      </c>
      <c r="AG504">
        <f t="shared" si="370"/>
        <v>5.2592011791559274</v>
      </c>
      <c r="AH504">
        <f t="shared" si="370"/>
        <v>5.5351969750382528</v>
      </c>
      <c r="AI504">
        <f t="shared" si="370"/>
        <v>6.2057353275987497</v>
      </c>
    </row>
    <row r="505" spans="5:35" x14ac:dyDescent="0.35">
      <c r="E505" s="19"/>
      <c r="Z505">
        <f t="shared" ref="Z505:AI505" si="371">MAX(0,Z333-LN(365))</f>
        <v>0.7825514489689116</v>
      </c>
      <c r="AA505">
        <f t="shared" si="371"/>
        <v>1.6580201863228119</v>
      </c>
      <c r="AB505">
        <f t="shared" si="371"/>
        <v>2.0063268805910273</v>
      </c>
      <c r="AC505">
        <f t="shared" si="371"/>
        <v>2.2641559898931272</v>
      </c>
      <c r="AD505">
        <f t="shared" si="371"/>
        <v>2.4565278825405832</v>
      </c>
      <c r="AE505">
        <f t="shared" si="371"/>
        <v>2.6071007410199583</v>
      </c>
      <c r="AF505">
        <f t="shared" si="371"/>
        <v>2.7566324749909219</v>
      </c>
      <c r="AG505">
        <f t="shared" si="371"/>
        <v>2.9186883343252932</v>
      </c>
      <c r="AH505">
        <f t="shared" si="371"/>
        <v>3.1049391692591373</v>
      </c>
      <c r="AI505">
        <f t="shared" si="371"/>
        <v>3.676620068746403</v>
      </c>
    </row>
    <row r="506" spans="5:35" x14ac:dyDescent="0.35">
      <c r="E506" s="19"/>
      <c r="Z506">
        <f t="shared" ref="Z506:AI506" si="372">MAX(0,Z334-LN(365))</f>
        <v>1.5376471208084235</v>
      </c>
      <c r="AA506">
        <f t="shared" si="372"/>
        <v>2.0633983947910899</v>
      </c>
      <c r="AB506">
        <f t="shared" si="372"/>
        <v>2.282087595755919</v>
      </c>
      <c r="AC506">
        <f t="shared" si="372"/>
        <v>2.4718220849390002</v>
      </c>
      <c r="AD506">
        <f t="shared" si="372"/>
        <v>2.6057226856164517</v>
      </c>
      <c r="AE506">
        <f t="shared" si="372"/>
        <v>2.7464952394975333</v>
      </c>
      <c r="AF506">
        <f t="shared" si="372"/>
        <v>2.9011268041621419</v>
      </c>
      <c r="AG506">
        <f t="shared" si="372"/>
        <v>3.084249322152302</v>
      </c>
      <c r="AH506">
        <f t="shared" si="372"/>
        <v>3.2871738264132047</v>
      </c>
      <c r="AI506">
        <f t="shared" si="372"/>
        <v>3.8034746300672859</v>
      </c>
    </row>
    <row r="507" spans="5:35" x14ac:dyDescent="0.35">
      <c r="E507" s="19"/>
      <c r="Z507">
        <f t="shared" ref="Z507:AI507" si="373">MAX(0,Z335-LN(365))</f>
        <v>0</v>
      </c>
      <c r="AA507">
        <f t="shared" si="373"/>
        <v>0</v>
      </c>
      <c r="AB507">
        <f t="shared" si="373"/>
        <v>0</v>
      </c>
      <c r="AC507">
        <f t="shared" si="373"/>
        <v>0</v>
      </c>
      <c r="AD507">
        <f t="shared" si="373"/>
        <v>0</v>
      </c>
      <c r="AE507">
        <f t="shared" si="373"/>
        <v>0</v>
      </c>
      <c r="AF507">
        <f t="shared" si="373"/>
        <v>0</v>
      </c>
      <c r="AG507">
        <f t="shared" si="373"/>
        <v>0</v>
      </c>
      <c r="AH507">
        <f t="shared" si="373"/>
        <v>0.28905664347647075</v>
      </c>
      <c r="AI507">
        <f t="shared" si="373"/>
        <v>1.4191861221817055</v>
      </c>
    </row>
    <row r="508" spans="5:35" x14ac:dyDescent="0.35">
      <c r="E508" s="19"/>
      <c r="Z508">
        <f t="shared" ref="Z508:AI508" si="374">MAX(0,Z336-LN(365))</f>
        <v>1.2132505602151982</v>
      </c>
      <c r="AA508">
        <f t="shared" si="374"/>
        <v>1.684497197700531</v>
      </c>
      <c r="AB508">
        <f t="shared" si="374"/>
        <v>1.9875878955051567</v>
      </c>
      <c r="AC508">
        <f t="shared" si="374"/>
        <v>2.2216804613090373</v>
      </c>
      <c r="AD508">
        <f t="shared" si="374"/>
        <v>2.420203992679272</v>
      </c>
      <c r="AE508">
        <f t="shared" si="374"/>
        <v>2.6045077106772174</v>
      </c>
      <c r="AF508">
        <f t="shared" si="374"/>
        <v>2.7913569557986575</v>
      </c>
      <c r="AG508">
        <f t="shared" si="374"/>
        <v>3.0008554742361051</v>
      </c>
      <c r="AH508">
        <f t="shared" si="374"/>
        <v>3.2789160543509164</v>
      </c>
      <c r="AI508">
        <f t="shared" si="374"/>
        <v>3.9957403534376903</v>
      </c>
    </row>
    <row r="509" spans="5:35" x14ac:dyDescent="0.35">
      <c r="E509" s="19"/>
      <c r="Z509">
        <f t="shared" ref="Z509:AI509" si="375">MAX(0,Z337-LN(365))</f>
        <v>0.49775005493024072</v>
      </c>
      <c r="AA509">
        <f t="shared" si="375"/>
        <v>0.84290855680741394</v>
      </c>
      <c r="AB509">
        <f t="shared" si="375"/>
        <v>1.020715433246842</v>
      </c>
      <c r="AC509">
        <f t="shared" si="375"/>
        <v>1.2154036456780082</v>
      </c>
      <c r="AD509">
        <f t="shared" si="375"/>
        <v>1.3846041145092656</v>
      </c>
      <c r="AE509">
        <f t="shared" si="375"/>
        <v>1.5481445346863634</v>
      </c>
      <c r="AF509">
        <f t="shared" si="375"/>
        <v>1.7306885856407632</v>
      </c>
      <c r="AG509">
        <f t="shared" si="375"/>
        <v>1.9576069832271479</v>
      </c>
      <c r="AH509">
        <f t="shared" si="375"/>
        <v>2.2479450997370458</v>
      </c>
      <c r="AI509">
        <f t="shared" si="375"/>
        <v>3.0813154241100493</v>
      </c>
    </row>
    <row r="510" spans="5:35" x14ac:dyDescent="0.35">
      <c r="E510" s="19"/>
      <c r="Z510">
        <f t="shared" ref="Z510:AI510" si="376">MAX(0,Z338-LN(365))</f>
        <v>0</v>
      </c>
      <c r="AA510">
        <f t="shared" si="376"/>
        <v>0.23087919811075697</v>
      </c>
      <c r="AB510">
        <f t="shared" si="376"/>
        <v>0.41558861208570708</v>
      </c>
      <c r="AC510">
        <f t="shared" si="376"/>
        <v>0.57289808447995938</v>
      </c>
      <c r="AD510">
        <f t="shared" si="376"/>
        <v>0.70624751004001851</v>
      </c>
      <c r="AE510">
        <f t="shared" si="376"/>
        <v>0.84073386055981025</v>
      </c>
      <c r="AF510">
        <f t="shared" si="376"/>
        <v>0.9875397843930287</v>
      </c>
      <c r="AG510">
        <f t="shared" si="376"/>
        <v>1.1438858547837221</v>
      </c>
      <c r="AH510">
        <f t="shared" si="376"/>
        <v>1.3742401879152943</v>
      </c>
      <c r="AI510">
        <f t="shared" si="376"/>
        <v>1.8312598234323483</v>
      </c>
    </row>
    <row r="511" spans="5:35" x14ac:dyDescent="0.35">
      <c r="E511" s="19"/>
      <c r="Z511">
        <f t="shared" ref="Z511:AI511" si="377">MAX(0,Z339-LN(365))</f>
        <v>0</v>
      </c>
      <c r="AA511">
        <f t="shared" si="377"/>
        <v>0</v>
      </c>
      <c r="AB511">
        <f t="shared" si="377"/>
        <v>2.596612474796256E-2</v>
      </c>
      <c r="AC511">
        <f t="shared" si="377"/>
        <v>0.21785713255806805</v>
      </c>
      <c r="AD511">
        <f t="shared" si="377"/>
        <v>0.40691666709254104</v>
      </c>
      <c r="AE511">
        <f t="shared" si="377"/>
        <v>0.57576588294572861</v>
      </c>
      <c r="AF511">
        <f t="shared" si="377"/>
        <v>0.74962593016930157</v>
      </c>
      <c r="AG511">
        <f t="shared" si="377"/>
        <v>0.97173267475507163</v>
      </c>
      <c r="AH511">
        <f t="shared" si="377"/>
        <v>1.247728470637397</v>
      </c>
      <c r="AI511">
        <f t="shared" si="377"/>
        <v>1.9182668231978948</v>
      </c>
    </row>
    <row r="512" spans="5:35" x14ac:dyDescent="0.35">
      <c r="E512" s="19"/>
      <c r="Z512">
        <f t="shared" ref="Z512:AI512" si="378">MAX(0,Z340-LN(365))</f>
        <v>0.22868749410294242</v>
      </c>
      <c r="AA512">
        <f t="shared" si="378"/>
        <v>1.3272997827710515</v>
      </c>
      <c r="AB512">
        <f t="shared" si="378"/>
        <v>1.655803849743088</v>
      </c>
      <c r="AC512">
        <f t="shared" si="378"/>
        <v>1.902663927674614</v>
      </c>
      <c r="AD512">
        <f t="shared" si="378"/>
        <v>2.1004896710045342</v>
      </c>
      <c r="AE512">
        <f t="shared" si="378"/>
        <v>2.2763803374681979</v>
      </c>
      <c r="AF512">
        <f t="shared" si="378"/>
        <v>2.4442612101073573</v>
      </c>
      <c r="AG512">
        <f t="shared" si="378"/>
        <v>2.6035932486766145</v>
      </c>
      <c r="AH512">
        <f t="shared" si="378"/>
        <v>2.7936368515644796</v>
      </c>
      <c r="AI512">
        <f t="shared" si="378"/>
        <v>3.3495829106109385</v>
      </c>
    </row>
    <row r="513" spans="5:35" x14ac:dyDescent="0.35">
      <c r="E513" s="19"/>
      <c r="Z513">
        <f t="shared" ref="Z513:AI513" si="379">MAX(0,Z341-LN(365))</f>
        <v>1.8843952989470063</v>
      </c>
      <c r="AA513">
        <f t="shared" si="379"/>
        <v>2.5010024023846169</v>
      </c>
      <c r="AB513">
        <f t="shared" si="379"/>
        <v>2.7399298214000884</v>
      </c>
      <c r="AC513">
        <f t="shared" si="379"/>
        <v>2.9121332480284599</v>
      </c>
      <c r="AD513">
        <f t="shared" si="379"/>
        <v>3.0606181903200396</v>
      </c>
      <c r="AE513">
        <f t="shared" si="379"/>
        <v>3.2124470673861412</v>
      </c>
      <c r="AF513">
        <f t="shared" si="379"/>
        <v>3.369581933253726</v>
      </c>
      <c r="AG513">
        <f t="shared" si="379"/>
        <v>3.5501140472796964</v>
      </c>
      <c r="AH513">
        <f t="shared" si="379"/>
        <v>3.8189631713983863</v>
      </c>
      <c r="AI513">
        <f t="shared" si="379"/>
        <v>4.9284163578682501</v>
      </c>
    </row>
    <row r="514" spans="5:35" x14ac:dyDescent="0.35">
      <c r="E514" s="19"/>
      <c r="Z514">
        <f t="shared" ref="Z514:AI514" si="380">MAX(0,Z342-LN(365))</f>
        <v>0</v>
      </c>
      <c r="AA514">
        <f t="shared" si="380"/>
        <v>0</v>
      </c>
      <c r="AB514">
        <f t="shared" si="380"/>
        <v>0</v>
      </c>
      <c r="AC514">
        <f t="shared" si="380"/>
        <v>0</v>
      </c>
      <c r="AD514">
        <f t="shared" si="380"/>
        <v>0</v>
      </c>
      <c r="AE514">
        <f t="shared" si="380"/>
        <v>0</v>
      </c>
      <c r="AF514">
        <f t="shared" si="380"/>
        <v>4.7387693625395855E-3</v>
      </c>
      <c r="AG514">
        <f t="shared" si="380"/>
        <v>0.20043845210267097</v>
      </c>
      <c r="AH514">
        <f t="shared" si="380"/>
        <v>0.453688989410443</v>
      </c>
      <c r="AI514">
        <f t="shared" si="380"/>
        <v>1.0035865278769442</v>
      </c>
    </row>
    <row r="515" spans="5:35" x14ac:dyDescent="0.35">
      <c r="E515" s="19"/>
      <c r="Z515">
        <f t="shared" ref="Z515:AI515" si="381">MAX(0,Z343-LN(365))</f>
        <v>2.7174282427716827</v>
      </c>
      <c r="AA515">
        <f t="shared" si="381"/>
        <v>3.4137151433362964</v>
      </c>
      <c r="AB515">
        <f t="shared" si="381"/>
        <v>3.7840889316331898</v>
      </c>
      <c r="AC515">
        <f t="shared" si="381"/>
        <v>4.0421147945020843</v>
      </c>
      <c r="AD515">
        <f t="shared" si="381"/>
        <v>4.2483945397642886</v>
      </c>
      <c r="AE515">
        <f t="shared" si="381"/>
        <v>4.4318492411554109</v>
      </c>
      <c r="AF515">
        <f t="shared" si="381"/>
        <v>4.6079225526854275</v>
      </c>
      <c r="AG515">
        <f t="shared" si="381"/>
        <v>4.7984408766835598</v>
      </c>
      <c r="AH515">
        <f t="shared" si="381"/>
        <v>5.0149691888790509</v>
      </c>
      <c r="AI515">
        <f t="shared" si="381"/>
        <v>5.6333274302858571</v>
      </c>
    </row>
    <row r="516" spans="5:35" x14ac:dyDescent="0.35">
      <c r="E516" s="19"/>
      <c r="Z516">
        <f t="shared" ref="Z516:AI516" si="382">MAX(0,Z344-LN(365))</f>
        <v>2.5497433264058236</v>
      </c>
      <c r="AA516">
        <f t="shared" si="382"/>
        <v>3.164109629112656</v>
      </c>
      <c r="AB516">
        <f t="shared" si="382"/>
        <v>3.3436952060877347</v>
      </c>
      <c r="AC516">
        <f t="shared" si="382"/>
        <v>3.447684919611782</v>
      </c>
      <c r="AD516">
        <f t="shared" si="382"/>
        <v>3.5530454352696088</v>
      </c>
      <c r="AE516">
        <f t="shared" si="382"/>
        <v>3.6483556150739345</v>
      </c>
      <c r="AF516">
        <f t="shared" si="382"/>
        <v>3.7537161307317595</v>
      </c>
      <c r="AG516">
        <f t="shared" si="382"/>
        <v>3.8572568096725997</v>
      </c>
      <c r="AH516">
        <f t="shared" si="382"/>
        <v>3.9877096980700353</v>
      </c>
      <c r="AI516">
        <f t="shared" si="382"/>
        <v>4.3159259538442294</v>
      </c>
    </row>
    <row r="517" spans="5:35" x14ac:dyDescent="0.35">
      <c r="E517" s="19"/>
      <c r="Z517">
        <f t="shared" ref="Z517:AI517" si="383">MAX(0,Z345-LN(365))</f>
        <v>2.9875644657627758</v>
      </c>
      <c r="AA517">
        <f t="shared" si="383"/>
        <v>3.3930295738709395</v>
      </c>
      <c r="AB517">
        <f t="shared" si="383"/>
        <v>3.5840848106336489</v>
      </c>
      <c r="AC517">
        <f t="shared" si="383"/>
        <v>3.7194261585034107</v>
      </c>
      <c r="AD517">
        <f t="shared" si="383"/>
        <v>3.8386146757685298</v>
      </c>
      <c r="AE517">
        <f t="shared" si="383"/>
        <v>3.9349457847069624</v>
      </c>
      <c r="AF517">
        <f t="shared" si="383"/>
        <v>4.03210953316061</v>
      </c>
      <c r="AG517">
        <f t="shared" si="383"/>
        <v>4.1374700488184351</v>
      </c>
      <c r="AH517">
        <f t="shared" si="383"/>
        <v>4.291620728645694</v>
      </c>
      <c r="AI517">
        <f t="shared" si="383"/>
        <v>4.6582460034375943</v>
      </c>
    </row>
    <row r="518" spans="5:35" x14ac:dyDescent="0.35">
      <c r="E518" s="19"/>
      <c r="Z518">
        <f t="shared" ref="Z518:AI518" si="384">MAX(0,Z346-LN(365))</f>
        <v>0</v>
      </c>
      <c r="AA518">
        <f t="shared" si="384"/>
        <v>0</v>
      </c>
      <c r="AB518">
        <f t="shared" si="384"/>
        <v>9.6682557672970404E-2</v>
      </c>
      <c r="AC518">
        <f t="shared" si="384"/>
        <v>0.30740358898862308</v>
      </c>
      <c r="AD518">
        <f t="shared" si="384"/>
        <v>0.49471268729361739</v>
      </c>
      <c r="AE518">
        <f t="shared" si="384"/>
        <v>0.68172196809995089</v>
      </c>
      <c r="AF518">
        <f t="shared" si="384"/>
        <v>0.89741001062905568</v>
      </c>
      <c r="AG518">
        <f t="shared" si="384"/>
        <v>1.1498324722643227</v>
      </c>
      <c r="AH518">
        <f t="shared" si="384"/>
        <v>1.4885170991684769</v>
      </c>
      <c r="AI518">
        <f t="shared" si="384"/>
        <v>2.2745159456945396</v>
      </c>
    </row>
    <row r="519" spans="5:35" x14ac:dyDescent="0.35">
      <c r="E519" s="19"/>
      <c r="Z519">
        <f t="shared" ref="Z519:AI519" si="385">MAX(0,Z347-LN(365))</f>
        <v>0.2012906125833247</v>
      </c>
      <c r="AA519">
        <f t="shared" si="385"/>
        <v>0.95735161855383932</v>
      </c>
      <c r="AB519">
        <f t="shared" si="385"/>
        <v>1.3255453318647721</v>
      </c>
      <c r="AC519">
        <f t="shared" si="385"/>
        <v>1.5940574882088328</v>
      </c>
      <c r="AD519">
        <f t="shared" si="385"/>
        <v>1.8638383503313731</v>
      </c>
      <c r="AE519">
        <f t="shared" si="385"/>
        <v>2.1151527786122797</v>
      </c>
      <c r="AF519">
        <f t="shared" si="385"/>
        <v>2.4142635468876827</v>
      </c>
      <c r="AG519">
        <f t="shared" si="385"/>
        <v>2.7977076598492792</v>
      </c>
      <c r="AH519">
        <f t="shared" si="385"/>
        <v>3.3005635650781562</v>
      </c>
      <c r="AI519">
        <f t="shared" si="385"/>
        <v>4.3417418818996127</v>
      </c>
    </row>
    <row r="520" spans="5:35" x14ac:dyDescent="0.35">
      <c r="E520" s="19"/>
      <c r="Z520">
        <f t="shared" ref="Z520:AI520" si="386">MAX(0,Z348-LN(365))</f>
        <v>2.4783367862389225</v>
      </c>
      <c r="AA520">
        <f t="shared" si="386"/>
        <v>3.3827930604660752</v>
      </c>
      <c r="AB520">
        <f t="shared" si="386"/>
        <v>3.6704751329178569</v>
      </c>
      <c r="AC520">
        <f t="shared" si="386"/>
        <v>3.8646311473588133</v>
      </c>
      <c r="AD520">
        <f t="shared" si="386"/>
        <v>4.0271500768565884</v>
      </c>
      <c r="AE520">
        <f t="shared" si="386"/>
        <v>4.1777229353359635</v>
      </c>
      <c r="AF520">
        <f t="shared" si="386"/>
        <v>4.3364713244118507</v>
      </c>
      <c r="AG520">
        <f t="shared" si="386"/>
        <v>4.5049358465443783</v>
      </c>
      <c r="AH520">
        <f t="shared" si="386"/>
        <v>4.7077184752096732</v>
      </c>
      <c r="AI520">
        <f t="shared" si="386"/>
        <v>5.1585521883476888</v>
      </c>
    </row>
    <row r="521" spans="5:35" x14ac:dyDescent="0.35">
      <c r="E521" s="19"/>
      <c r="Z521">
        <f t="shared" ref="Z521:AI521" si="387">MAX(0,Z349-LN(365))</f>
        <v>0.27348300436811535</v>
      </c>
      <c r="AA521">
        <f t="shared" si="387"/>
        <v>0.60707477812397403</v>
      </c>
      <c r="AB521">
        <f t="shared" si="387"/>
        <v>0.79498963755443963</v>
      </c>
      <c r="AC521">
        <f t="shared" si="387"/>
        <v>0.94285996559414809</v>
      </c>
      <c r="AD521">
        <f t="shared" si="387"/>
        <v>1.0881348475074386</v>
      </c>
      <c r="AE521">
        <f t="shared" si="387"/>
        <v>1.2369646677023969</v>
      </c>
      <c r="AF521">
        <f t="shared" si="387"/>
        <v>1.4061832553751357</v>
      </c>
      <c r="AG521">
        <f t="shared" si="387"/>
        <v>1.6037040319024864</v>
      </c>
      <c r="AH521">
        <f t="shared" si="387"/>
        <v>1.8728027866366306</v>
      </c>
      <c r="AI521">
        <f t="shared" si="387"/>
        <v>2.65383666719391</v>
      </c>
    </row>
    <row r="522" spans="5:35" x14ac:dyDescent="0.35">
      <c r="E522" s="19"/>
      <c r="Z522">
        <f t="shared" ref="Z522:AI522" si="388">MAX(0,Z350-LN(365))</f>
        <v>0</v>
      </c>
      <c r="AA522">
        <f t="shared" si="388"/>
        <v>0.14034833079636311</v>
      </c>
      <c r="AB522">
        <f t="shared" si="388"/>
        <v>0.3720674468129701</v>
      </c>
      <c r="AC522">
        <f t="shared" si="388"/>
        <v>0.56320518161639743</v>
      </c>
      <c r="AD522">
        <f t="shared" si="388"/>
        <v>0.72494010480196369</v>
      </c>
      <c r="AE522">
        <f t="shared" si="388"/>
        <v>0.88365179595678445</v>
      </c>
      <c r="AF522">
        <f t="shared" si="388"/>
        <v>1.0489541065011352</v>
      </c>
      <c r="AG522">
        <f t="shared" si="388"/>
        <v>1.2357657285679542</v>
      </c>
      <c r="AH522">
        <f t="shared" si="388"/>
        <v>1.46306065100464</v>
      </c>
      <c r="AI522">
        <f t="shared" si="388"/>
        <v>1.9939513053071218</v>
      </c>
    </row>
    <row r="523" spans="5:35" x14ac:dyDescent="0.35">
      <c r="E523" s="19"/>
      <c r="Z523">
        <f t="shared" ref="Z523:AI523" si="389">MAX(0,Z351-LN(365))</f>
        <v>0</v>
      </c>
      <c r="AA523">
        <f t="shared" si="389"/>
        <v>0.66371896300519051</v>
      </c>
      <c r="AB523">
        <f t="shared" si="389"/>
        <v>1.0493814438171754</v>
      </c>
      <c r="AC523">
        <f t="shared" si="389"/>
        <v>1.4140245574050851</v>
      </c>
      <c r="AD523">
        <f t="shared" si="389"/>
        <v>1.6371681087192949</v>
      </c>
      <c r="AE523">
        <f t="shared" si="389"/>
        <v>1.8194896655132489</v>
      </c>
      <c r="AF523">
        <f t="shared" si="389"/>
        <v>2.0500133241250813</v>
      </c>
      <c r="AG523">
        <f t="shared" si="389"/>
        <v>2.3631051121022315</v>
      </c>
      <c r="AH523">
        <f t="shared" si="389"/>
        <v>2.7577593041061794</v>
      </c>
      <c r="AI523">
        <f t="shared" si="389"/>
        <v>4.0746725196127107</v>
      </c>
    </row>
    <row r="524" spans="5:35" x14ac:dyDescent="0.35">
      <c r="E524" s="19"/>
      <c r="Z524">
        <f t="shared" ref="Z524:AI524" si="390">MAX(0,Z352-LN(365))</f>
        <v>0</v>
      </c>
      <c r="AA524">
        <f t="shared" si="390"/>
        <v>0.52360969142370362</v>
      </c>
      <c r="AB524">
        <f t="shared" si="390"/>
        <v>0.80232309389272416</v>
      </c>
      <c r="AC524">
        <f t="shared" si="390"/>
        <v>1.0368134375946614</v>
      </c>
      <c r="AD524">
        <f t="shared" si="390"/>
        <v>1.2594818166499904</v>
      </c>
      <c r="AE524">
        <f t="shared" si="390"/>
        <v>1.4818646223968903</v>
      </c>
      <c r="AF524">
        <f t="shared" si="390"/>
        <v>1.7417671307415956</v>
      </c>
      <c r="AG524">
        <f t="shared" si="390"/>
        <v>2.0303290976628166</v>
      </c>
      <c r="AH524">
        <f t="shared" si="390"/>
        <v>2.417749048171447</v>
      </c>
      <c r="AI524">
        <f t="shared" si="390"/>
        <v>3.2877301189726262</v>
      </c>
    </row>
    <row r="525" spans="5:35" x14ac:dyDescent="0.35">
      <c r="E525" s="19"/>
      <c r="Z525">
        <f t="shared" ref="Z525:AI525" si="391">MAX(0,Z353-LN(365))</f>
        <v>3.7151736285755037</v>
      </c>
      <c r="AA525">
        <f t="shared" si="391"/>
        <v>4.1851772578212403</v>
      </c>
      <c r="AB525">
        <f t="shared" si="391"/>
        <v>4.3793332722621967</v>
      </c>
      <c r="AC525">
        <f t="shared" si="391"/>
        <v>4.5292734195531112</v>
      </c>
      <c r="AD525">
        <f t="shared" si="391"/>
        <v>4.6484619368182303</v>
      </c>
      <c r="AE525">
        <f t="shared" si="391"/>
        <v>4.7549454172206795</v>
      </c>
      <c r="AF525">
        <f t="shared" si="391"/>
        <v>4.8603059328785063</v>
      </c>
      <c r="AG525">
        <f t="shared" si="391"/>
        <v>4.9720099224585086</v>
      </c>
      <c r="AH525">
        <f t="shared" si="391"/>
        <v>5.1085854574642591</v>
      </c>
      <c r="AI525">
        <f t="shared" si="391"/>
        <v>5.4631304751451664</v>
      </c>
    </row>
    <row r="526" spans="5:35" x14ac:dyDescent="0.35">
      <c r="E526" s="19"/>
      <c r="Z526">
        <f t="shared" ref="Z526:AI526" si="392">MAX(0,Z354-LN(365))</f>
        <v>3.9588534621451315</v>
      </c>
      <c r="AA526">
        <f t="shared" si="392"/>
        <v>4.3547491192371455</v>
      </c>
      <c r="AB526">
        <f t="shared" si="392"/>
        <v>4.5466401270472501</v>
      </c>
      <c r="AC526">
        <f t="shared" si="392"/>
        <v>4.6801715196717728</v>
      </c>
      <c r="AD526">
        <f t="shared" si="392"/>
        <v>4.7979545553281566</v>
      </c>
      <c r="AE526">
        <f t="shared" si="392"/>
        <v>4.9143649071725681</v>
      </c>
      <c r="AF526">
        <f t="shared" si="392"/>
        <v>5.0382343888853525</v>
      </c>
      <c r="AG526">
        <f t="shared" si="392"/>
        <v>5.1826288937672471</v>
      </c>
      <c r="AH526">
        <f t="shared" si="392"/>
        <v>5.3593324582569783</v>
      </c>
      <c r="AI526">
        <f t="shared" si="392"/>
        <v>5.8965668439962657</v>
      </c>
    </row>
    <row r="527" spans="5:35" x14ac:dyDescent="0.35">
      <c r="E527" s="19"/>
      <c r="Z527">
        <f t="shared" ref="Z527:AI527" si="393">MAX(0,Z355-LN(365))</f>
        <v>0</v>
      </c>
      <c r="AA527">
        <f t="shared" si="393"/>
        <v>0</v>
      </c>
      <c r="AB527">
        <f t="shared" si="393"/>
        <v>0</v>
      </c>
      <c r="AC527">
        <f t="shared" si="393"/>
        <v>0</v>
      </c>
      <c r="AD527">
        <f t="shared" si="393"/>
        <v>0</v>
      </c>
      <c r="AE527">
        <f t="shared" si="393"/>
        <v>7.8799358913759221E-3</v>
      </c>
      <c r="AF527">
        <f t="shared" si="393"/>
        <v>0.13643866784651948</v>
      </c>
      <c r="AG527">
        <f t="shared" si="393"/>
        <v>0.29385988027262577</v>
      </c>
      <c r="AH527">
        <f t="shared" si="393"/>
        <v>0.49947419772947921</v>
      </c>
      <c r="AI527">
        <f t="shared" si="393"/>
        <v>1.0663943316339841</v>
      </c>
    </row>
    <row r="528" spans="5:35" x14ac:dyDescent="0.35">
      <c r="E528" s="19"/>
      <c r="Z528">
        <f t="shared" ref="Z528:AI528" si="394">MAX(0,Z356-LN(365))</f>
        <v>0</v>
      </c>
      <c r="AA528">
        <f t="shared" si="394"/>
        <v>0</v>
      </c>
      <c r="AB528">
        <f t="shared" si="394"/>
        <v>0</v>
      </c>
      <c r="AC528">
        <f t="shared" si="394"/>
        <v>0</v>
      </c>
      <c r="AD528">
        <f t="shared" si="394"/>
        <v>0</v>
      </c>
      <c r="AE528">
        <f t="shared" si="394"/>
        <v>0</v>
      </c>
      <c r="AF528">
        <f t="shared" si="394"/>
        <v>0.11943908085102439</v>
      </c>
      <c r="AG528">
        <f t="shared" si="394"/>
        <v>0.30919561613249691</v>
      </c>
      <c r="AH528">
        <f t="shared" si="394"/>
        <v>0.58087734723783679</v>
      </c>
      <c r="AI528">
        <f t="shared" si="394"/>
        <v>1.3132323169634965</v>
      </c>
    </row>
    <row r="529" spans="5:35" x14ac:dyDescent="0.35">
      <c r="E529" s="19"/>
      <c r="Z529">
        <f t="shared" ref="Z529:AI529" si="395">MAX(0,Z357-LN(365))</f>
        <v>0.91486978569078126</v>
      </c>
      <c r="AA529">
        <f t="shared" si="395"/>
        <v>1.2557963726613739</v>
      </c>
      <c r="AB529">
        <f t="shared" si="395"/>
        <v>1.4564670681235254</v>
      </c>
      <c r="AC529">
        <f t="shared" si="395"/>
        <v>1.6218102883830623</v>
      </c>
      <c r="AD529">
        <f t="shared" si="395"/>
        <v>1.7900491293225054</v>
      </c>
      <c r="AE529">
        <f t="shared" si="395"/>
        <v>1.9587716421575818</v>
      </c>
      <c r="AF529">
        <f t="shared" si="395"/>
        <v>2.1475920033027025</v>
      </c>
      <c r="AG529">
        <f t="shared" si="395"/>
        <v>2.3576954350361072</v>
      </c>
      <c r="AH529">
        <f t="shared" si="395"/>
        <v>2.6227694720915506</v>
      </c>
      <c r="AI529">
        <f t="shared" si="395"/>
        <v>3.2322750706660814</v>
      </c>
    </row>
    <row r="530" spans="5:35" x14ac:dyDescent="0.35">
      <c r="E530" s="19"/>
      <c r="Z530">
        <f t="shared" ref="Z530:AI530" si="396">MAX(0,Z358-LN(365))</f>
        <v>0</v>
      </c>
      <c r="AA530">
        <f t="shared" si="396"/>
        <v>0</v>
      </c>
      <c r="AB530">
        <f t="shared" si="396"/>
        <v>4.294344880978862E-2</v>
      </c>
      <c r="AC530">
        <f t="shared" si="396"/>
        <v>0.16334184183215594</v>
      </c>
      <c r="AD530">
        <f t="shared" si="396"/>
        <v>0.28145649745509971</v>
      </c>
      <c r="AE530">
        <f t="shared" si="396"/>
        <v>0.40833450558888629</v>
      </c>
      <c r="AF530">
        <f t="shared" si="396"/>
        <v>0.54870577061923242</v>
      </c>
      <c r="AG530">
        <f t="shared" si="396"/>
        <v>0.70271140729589998</v>
      </c>
      <c r="AH530">
        <f t="shared" si="396"/>
        <v>0.92009427234667385</v>
      </c>
      <c r="AI530">
        <f t="shared" si="396"/>
        <v>1.5443986301857979</v>
      </c>
    </row>
    <row r="531" spans="5:35" x14ac:dyDescent="0.35">
      <c r="E531" s="19"/>
      <c r="Z531">
        <f t="shared" ref="Z531:AI531" si="397">MAX(0,Z359-LN(365))</f>
        <v>0</v>
      </c>
      <c r="AA531">
        <f t="shared" si="397"/>
        <v>0</v>
      </c>
      <c r="AB531">
        <f t="shared" si="397"/>
        <v>0</v>
      </c>
      <c r="AC531">
        <f t="shared" si="397"/>
        <v>0</v>
      </c>
      <c r="AD531">
        <f t="shared" si="397"/>
        <v>0</v>
      </c>
      <c r="AE531">
        <f t="shared" si="397"/>
        <v>0</v>
      </c>
      <c r="AF531">
        <f t="shared" si="397"/>
        <v>4.1932991504483041E-3</v>
      </c>
      <c r="AG531">
        <f t="shared" si="397"/>
        <v>0.26746406992254812</v>
      </c>
      <c r="AH531">
        <f t="shared" si="397"/>
        <v>0.60886647265161908</v>
      </c>
      <c r="AI531">
        <f t="shared" si="397"/>
        <v>1.3127867956930963</v>
      </c>
    </row>
    <row r="532" spans="5:35" x14ac:dyDescent="0.35">
      <c r="E532" s="19"/>
      <c r="Z532">
        <f t="shared" ref="Z532:AI532" si="398">MAX(0,Z360-LN(365))</f>
        <v>0.61728377208598229</v>
      </c>
      <c r="AA532">
        <f t="shared" si="398"/>
        <v>1.0303534795793654</v>
      </c>
      <c r="AB532">
        <f t="shared" si="398"/>
        <v>1.2575292944215137</v>
      </c>
      <c r="AC532">
        <f t="shared" si="398"/>
        <v>1.4391799353902348</v>
      </c>
      <c r="AD532">
        <f t="shared" si="398"/>
        <v>1.605717624482927</v>
      </c>
      <c r="AE532">
        <f t="shared" si="398"/>
        <v>1.7739729104917279</v>
      </c>
      <c r="AF532">
        <f t="shared" si="398"/>
        <v>1.9516820054834776</v>
      </c>
      <c r="AG532">
        <f t="shared" si="398"/>
        <v>2.1398490904048684</v>
      </c>
      <c r="AH532">
        <f t="shared" si="398"/>
        <v>2.4115845387427095</v>
      </c>
      <c r="AI532">
        <f t="shared" si="398"/>
        <v>3.0347639347438031</v>
      </c>
    </row>
    <row r="533" spans="5:35" x14ac:dyDescent="0.35">
      <c r="E533" s="19"/>
      <c r="Z533">
        <f t="shared" ref="Z533:AI533" si="399">MAX(0,Z361-LN(365))</f>
        <v>2.092933372638659</v>
      </c>
      <c r="AA533">
        <f t="shared" si="399"/>
        <v>2.5979450265392297</v>
      </c>
      <c r="AB533">
        <f t="shared" si="399"/>
        <v>2.8870837634874738</v>
      </c>
      <c r="AC533">
        <f t="shared" si="399"/>
        <v>3.1163222400691799</v>
      </c>
      <c r="AD533">
        <f t="shared" si="399"/>
        <v>3.3169929355313323</v>
      </c>
      <c r="AE533">
        <f t="shared" si="399"/>
        <v>3.5042737656846361</v>
      </c>
      <c r="AF533">
        <f t="shared" si="399"/>
        <v>3.6907093453249162</v>
      </c>
      <c r="AG533">
        <f t="shared" si="399"/>
        <v>3.8911134096696367</v>
      </c>
      <c r="AH533">
        <f t="shared" si="399"/>
        <v>4.1385982923700046</v>
      </c>
      <c r="AI533">
        <f t="shared" si="399"/>
        <v>4.7629087416572267</v>
      </c>
    </row>
    <row r="534" spans="5:35" x14ac:dyDescent="0.35">
      <c r="E534" s="19"/>
      <c r="Z534">
        <f t="shared" ref="Z534:AI534" si="400">MAX(0,Z362-LN(365))</f>
        <v>1.0118422912053235</v>
      </c>
      <c r="AA534">
        <f t="shared" si="400"/>
        <v>1.4746082531508291</v>
      </c>
      <c r="AB534">
        <f t="shared" si="400"/>
        <v>1.7221490920480953</v>
      </c>
      <c r="AC534">
        <f t="shared" si="400"/>
        <v>1.8984665227310096</v>
      </c>
      <c r="AD534">
        <f t="shared" si="400"/>
        <v>2.0618567049075551</v>
      </c>
      <c r="AE534">
        <f t="shared" si="400"/>
        <v>2.2208026370422997</v>
      </c>
      <c r="AF534">
        <f t="shared" si="400"/>
        <v>2.3836085517623049</v>
      </c>
      <c r="AG534">
        <f t="shared" si="400"/>
        <v>2.5716050325822843</v>
      </c>
      <c r="AH534">
        <f t="shared" si="400"/>
        <v>2.8220208267265123</v>
      </c>
      <c r="AI534">
        <f t="shared" si="400"/>
        <v>3.3532782064662436</v>
      </c>
    </row>
    <row r="535" spans="5:35" x14ac:dyDescent="0.35">
      <c r="E535" s="19"/>
      <c r="Z535">
        <f t="shared" ref="Z535:AI535" si="401">MAX(0,Z363-LN(365))</f>
        <v>0.98058974770121932</v>
      </c>
      <c r="AA535">
        <f t="shared" si="401"/>
        <v>1.4224224999802582</v>
      </c>
      <c r="AB535">
        <f t="shared" si="401"/>
        <v>1.6776973294772617</v>
      </c>
      <c r="AC535">
        <f t="shared" si="401"/>
        <v>1.8662576193613916</v>
      </c>
      <c r="AD535">
        <f t="shared" si="401"/>
        <v>2.0276302292380199</v>
      </c>
      <c r="AE535">
        <f t="shared" si="401"/>
        <v>2.1916800197960198</v>
      </c>
      <c r="AF535">
        <f t="shared" si="401"/>
        <v>2.3599154395050173</v>
      </c>
      <c r="AG535">
        <f t="shared" si="401"/>
        <v>2.5470538812873285</v>
      </c>
      <c r="AH535">
        <f t="shared" si="401"/>
        <v>2.8029605292475717</v>
      </c>
      <c r="AI535">
        <f t="shared" si="401"/>
        <v>3.4263814988432069</v>
      </c>
    </row>
    <row r="536" spans="5:35" x14ac:dyDescent="0.35">
      <c r="E536" s="19"/>
      <c r="Z536">
        <f t="shared" ref="Z536:AI536" si="402">MAX(0,Z364-LN(365))</f>
        <v>1.5566784058028595</v>
      </c>
      <c r="AA536">
        <f t="shared" si="402"/>
        <v>2.0529185385499575</v>
      </c>
      <c r="AB536">
        <f t="shared" si="402"/>
        <v>2.3176110927770397</v>
      </c>
      <c r="AC536">
        <f t="shared" si="402"/>
        <v>2.5146233649809977</v>
      </c>
      <c r="AD536">
        <f t="shared" si="402"/>
        <v>2.6981016599027763</v>
      </c>
      <c r="AE536">
        <f t="shared" si="402"/>
        <v>2.8714719049621769</v>
      </c>
      <c r="AF536">
        <f t="shared" si="402"/>
        <v>3.0511573454571961</v>
      </c>
      <c r="AG536">
        <f t="shared" si="402"/>
        <v>3.2568913428758934</v>
      </c>
      <c r="AH536">
        <f t="shared" si="402"/>
        <v>3.5362746125129787</v>
      </c>
      <c r="AI536">
        <f t="shared" si="402"/>
        <v>4.1840320907741146</v>
      </c>
    </row>
    <row r="537" spans="5:35" x14ac:dyDescent="0.35">
      <c r="E537" s="19"/>
      <c r="Z537">
        <f t="shared" ref="Z537:AI537" si="403">MAX(0,Z365-LN(365))</f>
        <v>0.6170851354478879</v>
      </c>
      <c r="AA537">
        <f t="shared" si="403"/>
        <v>0.94574483233230744</v>
      </c>
      <c r="AB537">
        <f t="shared" si="403"/>
        <v>1.1905018600670543</v>
      </c>
      <c r="AC537">
        <f t="shared" si="403"/>
        <v>1.3941585237077678</v>
      </c>
      <c r="AD537">
        <f t="shared" si="403"/>
        <v>1.5782673910758183</v>
      </c>
      <c r="AE537">
        <f t="shared" si="403"/>
        <v>1.7551176584191825</v>
      </c>
      <c r="AF537">
        <f t="shared" si="403"/>
        <v>1.9380624623507936</v>
      </c>
      <c r="AG537">
        <f t="shared" si="403"/>
        <v>2.1480355504752593</v>
      </c>
      <c r="AH537">
        <f t="shared" si="403"/>
        <v>2.4293844795300172</v>
      </c>
      <c r="AI537">
        <f t="shared" si="403"/>
        <v>3.1304418421358635</v>
      </c>
    </row>
    <row r="538" spans="5:35" x14ac:dyDescent="0.35">
      <c r="E538" s="19"/>
      <c r="Z538">
        <f t="shared" ref="Z538:AI538" si="404">MAX(0,Z366-LN(365))</f>
        <v>0.53039444528910717</v>
      </c>
      <c r="AA538">
        <f t="shared" si="404"/>
        <v>0.90411085508269107</v>
      </c>
      <c r="AB538">
        <f t="shared" si="404"/>
        <v>1.1142672108700893</v>
      </c>
      <c r="AC538">
        <f t="shared" si="404"/>
        <v>1.2804830022491904</v>
      </c>
      <c r="AD538">
        <f t="shared" si="404"/>
        <v>1.4591076971618193</v>
      </c>
      <c r="AE538">
        <f t="shared" si="404"/>
        <v>1.6457921506492301</v>
      </c>
      <c r="AF538">
        <f t="shared" si="404"/>
        <v>1.8353431669550453</v>
      </c>
      <c r="AG538">
        <f t="shared" si="404"/>
        <v>2.0610258647879309</v>
      </c>
      <c r="AH538">
        <f t="shared" si="404"/>
        <v>2.3949589548904671</v>
      </c>
      <c r="AI538">
        <f t="shared" si="404"/>
        <v>3.0448093296970891</v>
      </c>
    </row>
    <row r="539" spans="5:35" x14ac:dyDescent="0.35">
      <c r="E539" s="19"/>
      <c r="Z539">
        <f t="shared" ref="Z539:AI539" si="405">MAX(0,Z367-LN(365))</f>
        <v>0</v>
      </c>
      <c r="AA539">
        <f t="shared" si="405"/>
        <v>0</v>
      </c>
      <c r="AB539">
        <f t="shared" si="405"/>
        <v>0</v>
      </c>
      <c r="AC539">
        <f t="shared" si="405"/>
        <v>0</v>
      </c>
      <c r="AD539">
        <f t="shared" si="405"/>
        <v>0</v>
      </c>
      <c r="AE539">
        <f t="shared" si="405"/>
        <v>0</v>
      </c>
      <c r="AF539">
        <f t="shared" si="405"/>
        <v>0</v>
      </c>
      <c r="AG539">
        <f t="shared" si="405"/>
        <v>0.2061960812383985</v>
      </c>
      <c r="AH539">
        <f t="shared" si="405"/>
        <v>0.5073712854995982</v>
      </c>
      <c r="AI539">
        <f t="shared" si="405"/>
        <v>1.2642663050405423</v>
      </c>
    </row>
    <row r="540" spans="5:35" x14ac:dyDescent="0.35">
      <c r="E540" s="19"/>
      <c r="Z540">
        <f t="shared" ref="Z540:AI540" si="406">MAX(0,Z368-LN(365))</f>
        <v>0.8852724521454185</v>
      </c>
      <c r="AA540">
        <f t="shared" si="406"/>
        <v>1.1723963331230349</v>
      </c>
      <c r="AB540">
        <f t="shared" si="406"/>
        <v>1.3098980579926582</v>
      </c>
      <c r="AC540">
        <f t="shared" si="406"/>
        <v>1.4281675932937627</v>
      </c>
      <c r="AD540">
        <f t="shared" si="406"/>
        <v>1.5304104135190029</v>
      </c>
      <c r="AE540">
        <f t="shared" si="406"/>
        <v>1.630605385875934</v>
      </c>
      <c r="AF540">
        <f t="shared" si="406"/>
        <v>1.7379765906073841</v>
      </c>
      <c r="AG540">
        <f t="shared" si="406"/>
        <v>1.8571330351743844</v>
      </c>
      <c r="AH540">
        <f t="shared" si="406"/>
        <v>2.0275598043161898</v>
      </c>
      <c r="AI540">
        <f t="shared" si="406"/>
        <v>2.4119108843073382</v>
      </c>
    </row>
    <row r="541" spans="5:35" x14ac:dyDescent="0.35">
      <c r="E541" s="19"/>
      <c r="Z541">
        <f t="shared" ref="Z541:AI541" si="407">MAX(0,Z369-LN(365))</f>
        <v>3.3698247736636473</v>
      </c>
      <c r="AA541">
        <f t="shared" si="407"/>
        <v>3.92944056159907</v>
      </c>
      <c r="AB541">
        <f t="shared" si="407"/>
        <v>4.1151577073941619</v>
      </c>
      <c r="AC541">
        <f t="shared" si="407"/>
        <v>4.2571279686645491</v>
      </c>
      <c r="AD541">
        <f t="shared" si="407"/>
        <v>4.4070681159554654</v>
      </c>
      <c r="AE541">
        <f t="shared" si="407"/>
        <v>4.5374299338187081</v>
      </c>
      <c r="AF541">
        <f t="shared" si="407"/>
        <v>4.691580613645967</v>
      </c>
      <c r="AG541">
        <f t="shared" si="407"/>
        <v>4.849804618860861</v>
      </c>
      <c r="AH541">
        <f t="shared" si="407"/>
        <v>5.0415665694339031</v>
      </c>
      <c r="AI541">
        <f t="shared" si="407"/>
        <v>5.5670493509998673</v>
      </c>
    </row>
    <row r="542" spans="5:35" x14ac:dyDescent="0.35">
      <c r="E542" s="19"/>
      <c r="Z542">
        <f t="shared" ref="Z542:AI542" si="408">MAX(0,Z370-LN(365))</f>
        <v>3.1914786317996695</v>
      </c>
      <c r="AA542">
        <f t="shared" si="408"/>
        <v>3.823382187118896</v>
      </c>
      <c r="AB542">
        <f t="shared" si="408"/>
        <v>4.0897868611233923</v>
      </c>
      <c r="AC542">
        <f t="shared" si="408"/>
        <v>4.301575870334676</v>
      </c>
      <c r="AD542">
        <f t="shared" si="408"/>
        <v>4.4925601775658448</v>
      </c>
      <c r="AE542">
        <f t="shared" si="408"/>
        <v>4.6676679970361077</v>
      </c>
      <c r="AF542">
        <f t="shared" si="408"/>
        <v>4.8378497992794509</v>
      </c>
      <c r="AG542">
        <f t="shared" si="408"/>
        <v>5.0181017859643484</v>
      </c>
      <c r="AH542">
        <f t="shared" si="408"/>
        <v>5.2445863633758121</v>
      </c>
      <c r="AI542">
        <f t="shared" si="408"/>
        <v>5.82236975235526</v>
      </c>
    </row>
    <row r="543" spans="5:35" x14ac:dyDescent="0.35">
      <c r="E543" s="19"/>
      <c r="Z543">
        <f t="shared" ref="Z543:AI543" si="409">MAX(0,Z371-LN(365))</f>
        <v>1.2679817047619686</v>
      </c>
      <c r="AA543">
        <f t="shared" si="409"/>
        <v>1.8087218850994828</v>
      </c>
      <c r="AB543">
        <f t="shared" si="409"/>
        <v>2.1115328391475634</v>
      </c>
      <c r="AC543">
        <f t="shared" si="409"/>
        <v>2.3436450604445342</v>
      </c>
      <c r="AD543">
        <f t="shared" si="409"/>
        <v>2.5436661943378889</v>
      </c>
      <c r="AE543">
        <f t="shared" si="409"/>
        <v>2.7310916630500204</v>
      </c>
      <c r="AF543">
        <f t="shared" si="409"/>
        <v>2.9244630560305582</v>
      </c>
      <c r="AG543">
        <f t="shared" si="409"/>
        <v>3.1434019760627363</v>
      </c>
      <c r="AH543">
        <f t="shared" si="409"/>
        <v>3.4193785667277128</v>
      </c>
      <c r="AI543">
        <f t="shared" si="409"/>
        <v>4.0477435911141635</v>
      </c>
    </row>
    <row r="544" spans="5:35" x14ac:dyDescent="0.35">
      <c r="E544" s="19"/>
      <c r="Z544">
        <f t="shared" ref="Z544:AI544" si="410">MAX(0,Z372-LN(365))</f>
        <v>0</v>
      </c>
      <c r="AA544">
        <f t="shared" si="410"/>
        <v>0</v>
      </c>
      <c r="AB544">
        <f t="shared" si="410"/>
        <v>0.14001205302075359</v>
      </c>
      <c r="AC544">
        <f t="shared" si="410"/>
        <v>0.28335181674379584</v>
      </c>
      <c r="AD544">
        <f t="shared" si="410"/>
        <v>0.41688320936831857</v>
      </c>
      <c r="AE544">
        <f t="shared" si="410"/>
        <v>0.55262004864129821</v>
      </c>
      <c r="AF544">
        <f t="shared" si="410"/>
        <v>0.69809056163728922</v>
      </c>
      <c r="AG544">
        <f t="shared" si="410"/>
        <v>0.87355102805129903</v>
      </c>
      <c r="AH544">
        <f t="shared" si="410"/>
        <v>1.1328654989992817</v>
      </c>
      <c r="AI544">
        <f t="shared" si="410"/>
        <v>1.7647445904699586</v>
      </c>
    </row>
    <row r="545" spans="5:35" x14ac:dyDescent="0.35">
      <c r="E545" s="19"/>
      <c r="Z545">
        <f t="shared" ref="Z545:AI545" si="411">MAX(0,Z373-LN(365))</f>
        <v>0.45144927113545386</v>
      </c>
      <c r="AA545">
        <f t="shared" si="411"/>
        <v>0.85069931884018413</v>
      </c>
      <c r="AB545">
        <f t="shared" si="411"/>
        <v>1.0891859080841382</v>
      </c>
      <c r="AC545">
        <f t="shared" si="411"/>
        <v>1.2864573695727524</v>
      </c>
      <c r="AD545">
        <f t="shared" si="411"/>
        <v>1.4415292839193317</v>
      </c>
      <c r="AE545">
        <f t="shared" si="411"/>
        <v>1.5972572511398386</v>
      </c>
      <c r="AF545">
        <f t="shared" si="411"/>
        <v>1.7704752421932994</v>
      </c>
      <c r="AG545">
        <f t="shared" si="411"/>
        <v>1.955113530124402</v>
      </c>
      <c r="AH545">
        <f t="shared" si="411"/>
        <v>2.1864875805751263</v>
      </c>
      <c r="AI545">
        <f t="shared" si="411"/>
        <v>2.8264414748122713</v>
      </c>
    </row>
    <row r="546" spans="5:35" x14ac:dyDescent="0.35">
      <c r="E546" s="19"/>
      <c r="Z546">
        <f t="shared" ref="Z546:AI546" si="412">MAX(0,Z374-LN(365))</f>
        <v>0.96871448614969946</v>
      </c>
      <c r="AA546">
        <f t="shared" si="412"/>
        <v>1.7224862885260794</v>
      </c>
      <c r="AB546">
        <f t="shared" si="412"/>
        <v>2.0247671603990129</v>
      </c>
      <c r="AC546">
        <f t="shared" si="412"/>
        <v>2.2565687744563379</v>
      </c>
      <c r="AD546">
        <f t="shared" si="412"/>
        <v>2.4446210059592763</v>
      </c>
      <c r="AE546">
        <f t="shared" si="412"/>
        <v>2.6269425627532312</v>
      </c>
      <c r="AF546">
        <f t="shared" si="412"/>
        <v>2.8210985771941894</v>
      </c>
      <c r="AG546">
        <f t="shared" si="412"/>
        <v>3.0324076708613967</v>
      </c>
      <c r="AH546">
        <f t="shared" si="412"/>
        <v>3.2837220991423015</v>
      </c>
      <c r="AI546">
        <f t="shared" si="412"/>
        <v>3.8932192504153216</v>
      </c>
    </row>
    <row r="547" spans="5:35" x14ac:dyDescent="0.35">
      <c r="E547" s="19"/>
      <c r="Z547">
        <f t="shared" ref="Z547:AI547" si="413">MAX(0,Z375-LN(365))</f>
        <v>0</v>
      </c>
      <c r="AA547">
        <f t="shared" si="413"/>
        <v>0</v>
      </c>
      <c r="AB547">
        <f t="shared" si="413"/>
        <v>0.22577197534871107</v>
      </c>
      <c r="AC547">
        <f t="shared" si="413"/>
        <v>0.40874948493758545</v>
      </c>
      <c r="AD547">
        <f t="shared" si="413"/>
        <v>0.56897069473087392</v>
      </c>
      <c r="AE547">
        <f t="shared" si="413"/>
        <v>0.73225748577208361</v>
      </c>
      <c r="AF547">
        <f t="shared" si="413"/>
        <v>0.90204530641878211</v>
      </c>
      <c r="AG547">
        <f t="shared" si="413"/>
        <v>1.0886951536389953</v>
      </c>
      <c r="AH547">
        <f t="shared" si="413"/>
        <v>1.3445213523835635</v>
      </c>
      <c r="AI547">
        <f t="shared" si="413"/>
        <v>1.969823371900457</v>
      </c>
    </row>
    <row r="548" spans="5:35" x14ac:dyDescent="0.35">
      <c r="E548" s="19"/>
      <c r="Z548">
        <f t="shared" ref="Z548:AI548" si="414">MAX(0,Z376-LN(365))</f>
        <v>0</v>
      </c>
      <c r="AA548">
        <f t="shared" si="414"/>
        <v>0</v>
      </c>
      <c r="AB548">
        <f t="shared" si="414"/>
        <v>0.15223783291934989</v>
      </c>
      <c r="AC548">
        <f t="shared" si="414"/>
        <v>0.35871433174834877</v>
      </c>
      <c r="AD548">
        <f t="shared" si="414"/>
        <v>0.53118359209929178</v>
      </c>
      <c r="AE548">
        <f t="shared" si="414"/>
        <v>0.69278272105816718</v>
      </c>
      <c r="AF548">
        <f t="shared" si="414"/>
        <v>0.85872538576808211</v>
      </c>
      <c r="AG548">
        <f t="shared" si="414"/>
        <v>1.0442697424000809</v>
      </c>
      <c r="AH548">
        <f t="shared" si="414"/>
        <v>1.296618540043041</v>
      </c>
      <c r="AI548">
        <f t="shared" si="414"/>
        <v>2.0047839591258247</v>
      </c>
    </row>
    <row r="549" spans="5:35" x14ac:dyDescent="0.35">
      <c r="E549" s="19"/>
      <c r="Z549">
        <f t="shared" ref="Z549:AI549" si="415">MAX(0,Z377-LN(365))</f>
        <v>0</v>
      </c>
      <c r="AA549">
        <f t="shared" si="415"/>
        <v>0</v>
      </c>
      <c r="AB549">
        <f t="shared" si="415"/>
        <v>0</v>
      </c>
      <c r="AC549">
        <f t="shared" si="415"/>
        <v>0</v>
      </c>
      <c r="AD549">
        <f t="shared" si="415"/>
        <v>0</v>
      </c>
      <c r="AE549">
        <f t="shared" si="415"/>
        <v>0.16913161574539792</v>
      </c>
      <c r="AF549">
        <f t="shared" si="415"/>
        <v>0.42368075334474486</v>
      </c>
      <c r="AG549">
        <f t="shared" si="415"/>
        <v>0.74503163762443236</v>
      </c>
      <c r="AH549">
        <f t="shared" si="415"/>
        <v>1.1673895777225045</v>
      </c>
      <c r="AI549">
        <f t="shared" si="415"/>
        <v>2.2178751988727479</v>
      </c>
    </row>
    <row r="550" spans="5:35" x14ac:dyDescent="0.35">
      <c r="E550" s="19"/>
      <c r="Z550">
        <f t="shared" ref="Z550:AI550" si="416">MAX(0,Z378-LN(365))</f>
        <v>0</v>
      </c>
      <c r="AA550">
        <f t="shared" si="416"/>
        <v>0</v>
      </c>
      <c r="AB550">
        <f t="shared" si="416"/>
        <v>0</v>
      </c>
      <c r="AC550">
        <f t="shared" si="416"/>
        <v>0</v>
      </c>
      <c r="AD550">
        <f t="shared" si="416"/>
        <v>0</v>
      </c>
      <c r="AE550">
        <f t="shared" si="416"/>
        <v>0</v>
      </c>
      <c r="AF550">
        <f t="shared" si="416"/>
        <v>1.5683837504060882E-2</v>
      </c>
      <c r="AG550">
        <f t="shared" si="416"/>
        <v>0.24225498429053793</v>
      </c>
      <c r="AH550">
        <f t="shared" si="416"/>
        <v>0.54542808269948218</v>
      </c>
      <c r="AI550">
        <f t="shared" si="416"/>
        <v>1.3048691915991784</v>
      </c>
    </row>
    <row r="551" spans="5:35" x14ac:dyDescent="0.35">
      <c r="E551" s="19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G840"/>
  <sheetViews>
    <sheetView workbookViewId="0">
      <pane xSplit="1" ySplit="3" topLeftCell="FU4" activePane="bottomRight" state="frozen"/>
      <selection sqref="A1:A1048576"/>
      <selection pane="topRight" sqref="A1:A1048576"/>
      <selection pane="bottomLeft" sqref="A1:A1048576"/>
      <selection pane="bottomRight" activeCell="FZ4" sqref="FZ4"/>
    </sheetView>
  </sheetViews>
  <sheetFormatPr defaultRowHeight="14.5" x14ac:dyDescent="0.35"/>
  <cols>
    <col min="1" max="1" width="25.54296875" customWidth="1"/>
    <col min="3" max="4" width="12" bestFit="1" customWidth="1"/>
    <col min="5" max="6" width="12" customWidth="1"/>
    <col min="33" max="33" width="12.54296875" bestFit="1" customWidth="1"/>
  </cols>
  <sheetData>
    <row r="1" spans="1:189" x14ac:dyDescent="0.35">
      <c r="B1" t="s">
        <v>295</v>
      </c>
      <c r="C1" t="s">
        <v>72</v>
      </c>
      <c r="D1" t="s">
        <v>492</v>
      </c>
      <c r="E1" t="s">
        <v>594</v>
      </c>
      <c r="F1" t="s">
        <v>596</v>
      </c>
      <c r="H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  <c r="Q1" t="s">
        <v>429</v>
      </c>
      <c r="R1" t="s">
        <v>430</v>
      </c>
      <c r="S1" t="s">
        <v>431</v>
      </c>
      <c r="T1" t="s">
        <v>432</v>
      </c>
      <c r="U1" t="s">
        <v>433</v>
      </c>
      <c r="V1" t="s">
        <v>434</v>
      </c>
      <c r="W1" t="s">
        <v>435</v>
      </c>
      <c r="X1" t="s">
        <v>436</v>
      </c>
      <c r="Y1" t="s">
        <v>437</v>
      </c>
      <c r="Z1" t="s">
        <v>438</v>
      </c>
      <c r="AB1" t="s">
        <v>667</v>
      </c>
      <c r="AE1" t="s">
        <v>668</v>
      </c>
      <c r="AG1" t="s">
        <v>65</v>
      </c>
      <c r="AH1" t="s">
        <v>64</v>
      </c>
      <c r="AI1" t="s">
        <v>494</v>
      </c>
      <c r="AJ1" t="s">
        <v>152</v>
      </c>
      <c r="AK1" t="s">
        <v>495</v>
      </c>
      <c r="AL1" t="s">
        <v>200</v>
      </c>
      <c r="AM1" t="s">
        <v>129</v>
      </c>
      <c r="AN1" t="s">
        <v>233</v>
      </c>
      <c r="AO1" t="s">
        <v>496</v>
      </c>
      <c r="AP1" t="s">
        <v>497</v>
      </c>
      <c r="AQ1" t="s">
        <v>498</v>
      </c>
      <c r="AR1" t="s">
        <v>499</v>
      </c>
      <c r="AS1" t="s">
        <v>500</v>
      </c>
      <c r="AT1" t="s">
        <v>502</v>
      </c>
      <c r="AU1" t="s">
        <v>501</v>
      </c>
      <c r="AX1" t="s">
        <v>63</v>
      </c>
      <c r="AY1" t="s">
        <v>327</v>
      </c>
      <c r="AZ1" t="s">
        <v>326</v>
      </c>
      <c r="BA1" t="s">
        <v>328</v>
      </c>
      <c r="BB1" t="s">
        <v>67</v>
      </c>
      <c r="BC1" t="s">
        <v>329</v>
      </c>
      <c r="BD1" t="s">
        <v>330</v>
      </c>
      <c r="BE1" t="s">
        <v>331</v>
      </c>
      <c r="BF1" t="s">
        <v>332</v>
      </c>
      <c r="BG1" t="s">
        <v>104</v>
      </c>
      <c r="BH1" t="s">
        <v>333</v>
      </c>
      <c r="BI1" t="s">
        <v>65</v>
      </c>
      <c r="BJ1" t="s">
        <v>334</v>
      </c>
      <c r="BK1" t="s">
        <v>335</v>
      </c>
      <c r="BN1" t="s">
        <v>64</v>
      </c>
      <c r="BO1" t="s">
        <v>66</v>
      </c>
      <c r="BP1" t="s">
        <v>1000</v>
      </c>
      <c r="BQ1" t="s">
        <v>1001</v>
      </c>
      <c r="BR1" t="s">
        <v>1002</v>
      </c>
      <c r="BS1" t="s">
        <v>63</v>
      </c>
      <c r="BT1" t="s">
        <v>501</v>
      </c>
      <c r="BU1" t="s">
        <v>1003</v>
      </c>
      <c r="BX1" t="s">
        <v>63</v>
      </c>
      <c r="BY1" t="s">
        <v>65</v>
      </c>
      <c r="BZ1" t="s">
        <v>64</v>
      </c>
      <c r="CA1" t="s">
        <v>300</v>
      </c>
      <c r="CB1" t="s">
        <v>233</v>
      </c>
      <c r="CC1" t="s">
        <v>152</v>
      </c>
      <c r="CD1" t="s">
        <v>301</v>
      </c>
      <c r="CE1" t="s">
        <v>302</v>
      </c>
      <c r="CF1" t="s">
        <v>303</v>
      </c>
      <c r="CG1" t="s">
        <v>304</v>
      </c>
      <c r="CH1" t="s">
        <v>305</v>
      </c>
      <c r="CI1" t="s">
        <v>306</v>
      </c>
      <c r="CJ1" t="s">
        <v>307</v>
      </c>
      <c r="CM1" t="s">
        <v>308</v>
      </c>
      <c r="CN1" t="s">
        <v>309</v>
      </c>
      <c r="CO1" t="s">
        <v>310</v>
      </c>
      <c r="CP1" t="s">
        <v>311</v>
      </c>
      <c r="CQ1" t="s">
        <v>97</v>
      </c>
      <c r="CR1" t="s">
        <v>312</v>
      </c>
      <c r="CS1" t="s">
        <v>313</v>
      </c>
      <c r="CT1" t="s">
        <v>65</v>
      </c>
      <c r="CU1" t="s">
        <v>306</v>
      </c>
      <c r="CX1" t="s">
        <v>308</v>
      </c>
      <c r="CY1" t="s">
        <v>309</v>
      </c>
      <c r="CZ1" t="s">
        <v>310</v>
      </c>
      <c r="DA1" t="s">
        <v>311</v>
      </c>
      <c r="DB1" t="s">
        <v>97</v>
      </c>
      <c r="DC1" t="s">
        <v>312</v>
      </c>
      <c r="DD1" t="s">
        <v>313</v>
      </c>
      <c r="DE1" t="s">
        <v>65</v>
      </c>
      <c r="DF1" t="s">
        <v>306</v>
      </c>
      <c r="DH1" t="s">
        <v>63</v>
      </c>
      <c r="DI1" t="s">
        <v>64</v>
      </c>
      <c r="DJ1" t="s">
        <v>65</v>
      </c>
      <c r="DK1" t="s">
        <v>66</v>
      </c>
      <c r="DL1" t="s">
        <v>67</v>
      </c>
      <c r="DM1" t="s">
        <v>68</v>
      </c>
      <c r="DP1" t="s">
        <v>66</v>
      </c>
      <c r="DQ1" t="s">
        <v>63</v>
      </c>
      <c r="DR1" t="s">
        <v>82</v>
      </c>
      <c r="DS1" t="s">
        <v>83</v>
      </c>
      <c r="DT1" t="s">
        <v>65</v>
      </c>
      <c r="DU1" t="s">
        <v>510</v>
      </c>
      <c r="DV1" t="s">
        <v>85</v>
      </c>
      <c r="DW1" t="s">
        <v>86</v>
      </c>
      <c r="DZ1" t="s">
        <v>66</v>
      </c>
      <c r="EA1" t="s">
        <v>63</v>
      </c>
      <c r="EB1" t="s">
        <v>82</v>
      </c>
      <c r="EC1" t="s">
        <v>83</v>
      </c>
      <c r="ED1" t="s">
        <v>65</v>
      </c>
      <c r="EE1" t="s">
        <v>510</v>
      </c>
      <c r="EF1" t="s">
        <v>85</v>
      </c>
      <c r="EG1" t="s">
        <v>86</v>
      </c>
      <c r="EI1" t="s">
        <v>66</v>
      </c>
      <c r="EJ1" t="s">
        <v>63</v>
      </c>
      <c r="EK1" t="s">
        <v>293</v>
      </c>
      <c r="EL1" t="s">
        <v>96</v>
      </c>
      <c r="EM1" t="s">
        <v>65</v>
      </c>
      <c r="EN1" t="s">
        <v>294</v>
      </c>
      <c r="EQ1" t="s">
        <v>66</v>
      </c>
      <c r="ER1" t="s">
        <v>63</v>
      </c>
      <c r="ES1" t="s">
        <v>293</v>
      </c>
      <c r="ET1" t="s">
        <v>96</v>
      </c>
      <c r="EU1" t="s">
        <v>65</v>
      </c>
      <c r="EV1" t="s">
        <v>294</v>
      </c>
      <c r="EY1" t="s">
        <v>131</v>
      </c>
      <c r="EZ1" t="s">
        <v>132</v>
      </c>
      <c r="FA1" t="s">
        <v>167</v>
      </c>
      <c r="FB1" t="s">
        <v>63</v>
      </c>
      <c r="FC1" t="s">
        <v>693</v>
      </c>
      <c r="FD1" t="s">
        <v>694</v>
      </c>
      <c r="FE1" t="s">
        <v>697</v>
      </c>
      <c r="FF1" t="s">
        <v>695</v>
      </c>
      <c r="FG1" t="s">
        <v>64</v>
      </c>
      <c r="FH1" t="s">
        <v>186</v>
      </c>
      <c r="FI1" t="s">
        <v>65</v>
      </c>
      <c r="FJ1" t="s">
        <v>696</v>
      </c>
      <c r="FK1" t="s">
        <v>233</v>
      </c>
      <c r="FL1" t="s">
        <v>698</v>
      </c>
      <c r="FM1" t="s">
        <v>699</v>
      </c>
      <c r="FN1" t="s">
        <v>129</v>
      </c>
      <c r="FO1" t="s">
        <v>700</v>
      </c>
      <c r="FP1" t="s">
        <v>701</v>
      </c>
      <c r="FQ1" t="s">
        <v>702</v>
      </c>
      <c r="FR1" t="s">
        <v>703</v>
      </c>
      <c r="FS1" t="s">
        <v>153</v>
      </c>
      <c r="FT1" t="s">
        <v>152</v>
      </c>
      <c r="FU1" t="s">
        <v>704</v>
      </c>
      <c r="FV1" t="s">
        <v>237</v>
      </c>
      <c r="FW1" t="s">
        <v>705</v>
      </c>
      <c r="FZ1" t="s">
        <v>306</v>
      </c>
      <c r="GA1" t="s">
        <v>616</v>
      </c>
      <c r="GB1" t="s">
        <v>498</v>
      </c>
      <c r="GC1" t="s">
        <v>1100</v>
      </c>
      <c r="GD1" t="s">
        <v>617</v>
      </c>
      <c r="GE1" t="s">
        <v>619</v>
      </c>
      <c r="GF1" t="s">
        <v>1101</v>
      </c>
    </row>
    <row r="2" spans="1:189" x14ac:dyDescent="0.35">
      <c r="AB2">
        <f>Mendelsohn!C5</f>
        <v>-1.4</v>
      </c>
      <c r="AC2">
        <f>Mendelsohn!C6</f>
        <v>1.6</v>
      </c>
      <c r="AD2">
        <f>Mendelsohn!C7</f>
        <v>2.1</v>
      </c>
      <c r="AE2">
        <f>Mendelsohn!C8</f>
        <v>0.9</v>
      </c>
    </row>
    <row r="3" spans="1:189" x14ac:dyDescent="0.35">
      <c r="AA3" t="s">
        <v>666</v>
      </c>
      <c r="AB3">
        <f>Mendelsohn!B5</f>
        <v>-0.2</v>
      </c>
      <c r="AC3">
        <f>Mendelsohn!B6</f>
        <v>-0.4</v>
      </c>
      <c r="AD3">
        <f>Mendelsohn!B7</f>
        <v>0.8</v>
      </c>
      <c r="AE3">
        <f>Mendelsohn!B8</f>
        <v>0.2</v>
      </c>
      <c r="AF3" t="s">
        <v>493</v>
      </c>
      <c r="AG3">
        <f>Roson!$B2</f>
        <v>-5</v>
      </c>
      <c r="AH3">
        <f>Roson!$B3</f>
        <v>0.2</v>
      </c>
      <c r="AI3">
        <f>Roson!$B4</f>
        <v>-12.5</v>
      </c>
      <c r="AJ3">
        <f>Roson!$B5</f>
        <v>-5.6</v>
      </c>
      <c r="AK3">
        <f>Roson!$B6</f>
        <v>-6.1</v>
      </c>
      <c r="AL3">
        <f>Roson!$B7</f>
        <v>-0.7</v>
      </c>
      <c r="AM3">
        <f>Roson!$B8</f>
        <v>-5.8</v>
      </c>
      <c r="AN3">
        <f>Roson!$B9</f>
        <v>2.4</v>
      </c>
      <c r="AO3">
        <f>Roson!$B10</f>
        <v>-2.8</v>
      </c>
      <c r="AP3">
        <f>Roson!$B11</f>
        <v>-8.4</v>
      </c>
      <c r="AQ3">
        <f>Roson!$B12</f>
        <v>1.4</v>
      </c>
      <c r="AR3">
        <f>Roson!$B13</f>
        <v>-10.4</v>
      </c>
      <c r="AS3">
        <f>Roson!$B14</f>
        <v>0.5</v>
      </c>
      <c r="AT3">
        <f>Roson!$B15</f>
        <v>-0.4</v>
      </c>
      <c r="AU3">
        <f>Roson!$B16</f>
        <v>-8.4</v>
      </c>
      <c r="AW3" t="s">
        <v>505</v>
      </c>
      <c r="AX3">
        <f>Bosello!$B2</f>
        <v>0.2</v>
      </c>
      <c r="AY3">
        <f>Bosello!$B3</f>
        <v>-0.1</v>
      </c>
      <c r="AZ3">
        <f>Bosello!$B4</f>
        <v>0.2</v>
      </c>
      <c r="BA3">
        <f>Bosello!$B5</f>
        <v>-0.2</v>
      </c>
      <c r="BB3">
        <f>Bosello!$B6</f>
        <v>0.8</v>
      </c>
      <c r="BC3">
        <f>Bosello!$B7</f>
        <v>0.1</v>
      </c>
      <c r="BD3">
        <f>Bosello!$B8</f>
        <v>-0.1</v>
      </c>
      <c r="BE3">
        <f>Bosello!$B9</f>
        <v>-2.7</v>
      </c>
      <c r="BF3">
        <f>Bosello!$B10</f>
        <v>-0.8</v>
      </c>
      <c r="BG3">
        <f>Bosello!$B11</f>
        <v>-1.5</v>
      </c>
      <c r="BH3">
        <f>Bosello!$B12</f>
        <v>-3.4</v>
      </c>
      <c r="BI3">
        <f>Bosello!$B13</f>
        <v>0.1</v>
      </c>
      <c r="BJ3">
        <f>Bosello!$B14</f>
        <v>-2.8</v>
      </c>
      <c r="BK3">
        <f>Bosello!$B15</f>
        <v>-0.7</v>
      </c>
      <c r="BM3" t="s">
        <v>1008</v>
      </c>
      <c r="BN3">
        <f>Eboli!B2</f>
        <v>2.9847328244274798</v>
      </c>
      <c r="BO3">
        <f>Eboli!B3</f>
        <v>1.24427480916031</v>
      </c>
      <c r="BP3">
        <f>Eboli!B4</f>
        <v>1.12213740458015</v>
      </c>
      <c r="BQ3">
        <f>Eboli!B5</f>
        <v>-5.3435114503816598E-2</v>
      </c>
      <c r="BR3">
        <f>Eboli!B6</f>
        <v>-0.84732824427480902</v>
      </c>
      <c r="BS3">
        <f>Eboli!B7</f>
        <v>-1.03053435114504</v>
      </c>
      <c r="BT3">
        <f>Eboli!B8</f>
        <v>-4.1297709923664101</v>
      </c>
      <c r="BU3">
        <f>Eboli!B9</f>
        <v>-4.8931297709923696</v>
      </c>
      <c r="BW3" t="s">
        <v>506</v>
      </c>
      <c r="BX3">
        <f>-NordhausBoyer!$B2</f>
        <v>-0.45</v>
      </c>
      <c r="BY3">
        <f>-NordhausBoyer!$B3</f>
        <v>-0.22</v>
      </c>
      <c r="BZ3">
        <f>-NordhausBoyer!$B4</f>
        <v>-0.5</v>
      </c>
      <c r="CA3">
        <f>-NordhausBoyer!$B5</f>
        <v>-2.83</v>
      </c>
      <c r="CB3">
        <f>-NordhausBoyer!$B6</f>
        <v>0.65</v>
      </c>
      <c r="CC3">
        <f>-NordhausBoyer!$B7</f>
        <v>-4.93</v>
      </c>
      <c r="CD3">
        <f>-NordhausBoyer!$B8</f>
        <v>0.39</v>
      </c>
      <c r="CE3">
        <f>-NordhausBoyer!$B9</f>
        <v>-1.95</v>
      </c>
      <c r="CF3">
        <f>-NordhausBoyer!$B10</f>
        <v>-0.71</v>
      </c>
      <c r="CG3">
        <f>-NordhausBoyer!$B11</f>
        <v>-2.44</v>
      </c>
      <c r="CH3">
        <f>-NordhausBoyer!$B12</f>
        <v>-1.81</v>
      </c>
      <c r="CI3">
        <f>-NordhausBoyer!$B13</f>
        <v>-3.91</v>
      </c>
      <c r="CJ3">
        <f>-NordhausBoyer!$B14</f>
        <v>-2.64</v>
      </c>
      <c r="CL3" t="s">
        <v>507</v>
      </c>
      <c r="CM3">
        <f>-'Tol1995'!$B2</f>
        <v>-1.5</v>
      </c>
      <c r="CN3">
        <f>-'Tol1995'!$B3</f>
        <v>-1.3</v>
      </c>
      <c r="CO3">
        <f>-'Tol1995'!$B4</f>
        <v>-2.8</v>
      </c>
      <c r="CP3">
        <f>-'Tol1995'!$B5</f>
        <v>0.3</v>
      </c>
      <c r="CQ3">
        <f>-'Tol1995'!$B6</f>
        <v>-4.0999999999999996</v>
      </c>
      <c r="CR3">
        <f>-'Tol1995'!$B7</f>
        <v>-4.3</v>
      </c>
      <c r="CS3">
        <f>-'Tol1995'!$B8</f>
        <v>-8.6</v>
      </c>
      <c r="CT3">
        <f>-'Tol1995'!$B9</f>
        <v>-5.2</v>
      </c>
      <c r="CU3">
        <f>-'Tol1995'!$B10</f>
        <v>-8.6999999999999993</v>
      </c>
      <c r="CW3" t="s">
        <v>513</v>
      </c>
      <c r="CX3">
        <f>'Tol2002'!$B2</f>
        <v>3.4</v>
      </c>
      <c r="CY3">
        <f>'Tol2002'!$B3</f>
        <v>3.7</v>
      </c>
      <c r="CZ3">
        <f>'Tol2002'!$B4</f>
        <v>1</v>
      </c>
      <c r="DA3">
        <f>'Tol2002'!$B5</f>
        <v>2</v>
      </c>
      <c r="DB3">
        <f>'Tol2002'!$B6</f>
        <v>1.1000000000000001</v>
      </c>
      <c r="DC3">
        <f>'Tol2002'!$B7</f>
        <v>-0.1</v>
      </c>
      <c r="DD3">
        <f>'Tol2002'!$B8</f>
        <v>-1.7</v>
      </c>
      <c r="DE3">
        <f>'Tol2002'!$B9</f>
        <v>2.1</v>
      </c>
      <c r="DF3">
        <f>'Tol2002'!$B10</f>
        <v>-4.0999999999999996</v>
      </c>
      <c r="DG3" t="s">
        <v>508</v>
      </c>
      <c r="DH3">
        <f>-NordhausYang!$M2</f>
        <v>-1.1020000000000001</v>
      </c>
      <c r="DI3">
        <f>-NordhausYang!$M3</f>
        <v>-1.1739999999999999</v>
      </c>
      <c r="DJ3">
        <f>-NordhausYang!$M4</f>
        <v>-1.5230000000000001</v>
      </c>
      <c r="DK3">
        <f>-NordhausYang!$M5</f>
        <v>-1.1739999999999999</v>
      </c>
      <c r="DL3">
        <f>-NordhausYang!$M6</f>
        <v>-0.85699999999999998</v>
      </c>
      <c r="DM3">
        <f>-NordhausYang!$M7</f>
        <v>-2.093</v>
      </c>
      <c r="DO3" t="s">
        <v>509</v>
      </c>
      <c r="DP3" s="5">
        <f>-PlambeckHope!$Q4</f>
        <v>-1.2999999999999998</v>
      </c>
      <c r="DQ3" s="5">
        <f>-PlambeckHope!$Q5</f>
        <v>-1.5599999999999998</v>
      </c>
      <c r="DR3" s="5">
        <f>-PlambeckHope!$Q6</f>
        <v>-2.86</v>
      </c>
      <c r="DS3" s="5">
        <f>-PlambeckHope!$Q7</f>
        <v>0</v>
      </c>
      <c r="DT3" s="5">
        <f>-PlambeckHope!$Q8</f>
        <v>-5.1999999999999993</v>
      </c>
      <c r="DU3" s="5">
        <f>-PlambeckHope!$Q9</f>
        <v>-8.5799999999999983</v>
      </c>
      <c r="DV3" s="5">
        <f>-PlambeckHope!$Q10</f>
        <v>-5.85</v>
      </c>
      <c r="DW3" s="5">
        <f>-PlambeckHope!$Q11</f>
        <v>-4.2899999999999991</v>
      </c>
      <c r="DY3" t="s">
        <v>286</v>
      </c>
      <c r="DZ3" s="5">
        <f>-Hope!$Q4</f>
        <v>-1.23</v>
      </c>
      <c r="EA3" s="5">
        <f>-Hope!$Q5</f>
        <v>-0.3075</v>
      </c>
      <c r="EB3" s="5">
        <f>-Hope!$Q6</f>
        <v>-0.3075</v>
      </c>
      <c r="EC3" s="5">
        <f>-Hope!$Q7</f>
        <v>0.43049999999999999</v>
      </c>
      <c r="ED3" s="5">
        <f>-Hope!$Q8</f>
        <v>-0.246</v>
      </c>
      <c r="EE3" s="5">
        <f>-Hope!$Q9</f>
        <v>-3.0750000000000002</v>
      </c>
      <c r="EF3" s="5">
        <f>-Hope!$Q10</f>
        <v>-2.2509000000000001</v>
      </c>
      <c r="EG3" s="5">
        <f>-Hope!$Q11</f>
        <v>-2.2509000000000001</v>
      </c>
      <c r="EH3" t="s">
        <v>296</v>
      </c>
      <c r="EI3">
        <f>-Fankhauser!$B2</f>
        <v>-1.4</v>
      </c>
      <c r="EJ3">
        <f>-Fankhauser!$B3</f>
        <v>-1.3</v>
      </c>
      <c r="EK3">
        <f>-Fankhauser!$B4</f>
        <v>-1.4</v>
      </c>
      <c r="EL3">
        <f>-Fankhauser!$B5</f>
        <v>-0.7</v>
      </c>
      <c r="EM3">
        <f>-Fankhauser!$B6</f>
        <v>-4.7</v>
      </c>
      <c r="EN3">
        <f>-Fankhauser!$B7</f>
        <v>-2</v>
      </c>
      <c r="EP3" t="s">
        <v>297</v>
      </c>
      <c r="EQ3">
        <f>-Berz!$B2</f>
        <v>-1.6</v>
      </c>
      <c r="ER3">
        <f>-Berz!$B3</f>
        <v>-1.4</v>
      </c>
      <c r="ES3">
        <f>-Berz!$B4</f>
        <v>-1.056431537895876</v>
      </c>
      <c r="ET3">
        <f>-Berz!$B5</f>
        <v>-0.8</v>
      </c>
      <c r="EU3">
        <f>-Berz!$B6</f>
        <v>-6.1</v>
      </c>
      <c r="EV3">
        <f>-Berz!$B7</f>
        <v>-1.4990120670152702</v>
      </c>
      <c r="EX3" t="s">
        <v>708</v>
      </c>
      <c r="EY3">
        <f>Dellink!B2</f>
        <v>0.90126677133885402</v>
      </c>
      <c r="EZ3">
        <f>Dellink!B3</f>
        <v>-0.583735369683128</v>
      </c>
      <c r="FA3">
        <f>Dellink!B4</f>
        <v>-1.9756672851841299</v>
      </c>
      <c r="FB3">
        <f>Dellink!B5</f>
        <v>-0.456244647445047</v>
      </c>
      <c r="FC3">
        <f>Dellink!B6</f>
        <v>-0.14448686839851499</v>
      </c>
      <c r="FD3">
        <f>Dellink!B7</f>
        <v>-0.40611261775620799</v>
      </c>
      <c r="FE3">
        <f>Dellink!B8</f>
        <v>-0.23403511276049099</v>
      </c>
      <c r="FF3">
        <f>Dellink!B9</f>
        <v>-0.898165857836139</v>
      </c>
      <c r="FG3">
        <f>Dellink!B10</f>
        <v>4.8397801884101803E-2</v>
      </c>
      <c r="FH3">
        <f>Dellink!B11</f>
        <v>-0.42989223522694697</v>
      </c>
      <c r="FI3">
        <f>Dellink!B12</f>
        <v>-2.50346488723951</v>
      </c>
      <c r="FJ3">
        <f>Dellink!B13</f>
        <v>-0.79797673422780302</v>
      </c>
      <c r="FK3">
        <f>Dellink!B14</f>
        <v>1.1549992863260099</v>
      </c>
      <c r="FL3">
        <f>Dellink!B15</f>
        <v>-2.3586140451041899</v>
      </c>
      <c r="FM3">
        <f>Dellink!B16</f>
        <v>-0.63778903796745501</v>
      </c>
      <c r="FN3">
        <f>Dellink!B17</f>
        <v>-1.1934377676277499</v>
      </c>
      <c r="FO3">
        <f>Dellink!B18</f>
        <v>-1.6716528689694501</v>
      </c>
      <c r="FP3">
        <f>Dellink!B19</f>
        <v>-3.17214173565515</v>
      </c>
      <c r="FQ3">
        <f>Dellink!B20</f>
        <v>-3.5112011133314298</v>
      </c>
      <c r="FR3">
        <f>Dellink!B21</f>
        <v>-2.7040929203539799</v>
      </c>
      <c r="FS3">
        <f>Dellink!B22</f>
        <v>-2.3151263202968901</v>
      </c>
      <c r="FT3">
        <f>Dellink!B23</f>
        <v>-4.3110405366828397</v>
      </c>
      <c r="FU3">
        <f>Dellink!B24</f>
        <v>-3.1015022837567798</v>
      </c>
      <c r="FV3">
        <f>Dellink!B25</f>
        <v>-2.1859120753639698</v>
      </c>
      <c r="FW3">
        <f>Dellink!B26</f>
        <v>-4.04237082500714</v>
      </c>
      <c r="FY3" t="s">
        <v>707</v>
      </c>
      <c r="FZ3">
        <f>Takakura!G2</f>
        <v>1.6039518138982864</v>
      </c>
      <c r="GA3">
        <f>Takakura!H2</f>
        <v>2.3829564229979132</v>
      </c>
      <c r="GB3">
        <f>Takakura!I2</f>
        <v>1.1443155776584417</v>
      </c>
      <c r="GC3">
        <f>Takakura!J2</f>
        <v>1.3630204816814462</v>
      </c>
      <c r="GD3">
        <f>Takakura!K2</f>
        <v>0.93864792529988528</v>
      </c>
      <c r="GE3">
        <f>Takakura!L2</f>
        <v>0.74933792132820543</v>
      </c>
      <c r="GF3">
        <f>Takakura!M2</f>
        <v>1.5762756497433714</v>
      </c>
    </row>
    <row r="4" spans="1:189" x14ac:dyDescent="0.35">
      <c r="A4" t="s">
        <v>349</v>
      </c>
      <c r="B4">
        <f>[1]Population!$BB3</f>
        <v>28397812</v>
      </c>
      <c r="C4">
        <f>[1]RealGDP!$BB3</f>
        <v>10243250245.699793</v>
      </c>
      <c r="D4" s="8">
        <f>[1]GDPcap!$BB3</f>
        <v>360.70561512625665</v>
      </c>
      <c r="E4" s="8">
        <v>9.1236511208979501</v>
      </c>
      <c r="F4">
        <v>26.078252781962274</v>
      </c>
      <c r="G4">
        <f>RANK(D4,D4:D$4:D$201)</f>
        <v>188</v>
      </c>
      <c r="H4" t="s">
        <v>349</v>
      </c>
      <c r="J4">
        <v>-0.2</v>
      </c>
      <c r="K4">
        <v>1.7</v>
      </c>
      <c r="L4">
        <v>7.1</v>
      </c>
      <c r="M4">
        <v>13.1</v>
      </c>
      <c r="N4">
        <v>17.8</v>
      </c>
      <c r="O4">
        <v>22.9</v>
      </c>
      <c r="P4">
        <v>24.9</v>
      </c>
      <c r="Q4">
        <v>23.4</v>
      </c>
      <c r="R4">
        <v>18.7</v>
      </c>
      <c r="S4">
        <v>12.7</v>
      </c>
      <c r="T4">
        <v>6.7</v>
      </c>
      <c r="U4">
        <v>2.2000000000000002</v>
      </c>
      <c r="V4">
        <v>12.7</v>
      </c>
      <c r="W4">
        <v>23.7</v>
      </c>
      <c r="X4">
        <v>12.7</v>
      </c>
      <c r="Y4">
        <v>1.2</v>
      </c>
      <c r="Z4">
        <v>12.6</v>
      </c>
      <c r="AB4">
        <f>IF(G4&gt;150,1,0)</f>
        <v>1</v>
      </c>
      <c r="AC4">
        <f>IF(AND(G4&lt;151,G4&gt;100),1,0)</f>
        <v>0</v>
      </c>
      <c r="AD4">
        <f>IF(AND(G4&lt;101,G4&gt;50),1,0)</f>
        <v>0</v>
      </c>
      <c r="AE4">
        <f>IF(G4&lt;51,1,0)</f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f t="shared" ref="AV4:AV57" si="0">SUM(AG4:AU4)</f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f t="shared" ref="BL4:BL57" si="1">SUM(AW4:BK4)</f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f t="shared" ref="BV4:BV35" si="2">SUM(BN4:BU4)</f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f>SUM(BX4:CJ4)</f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f>SUM(CM4:CU4)</f>
        <v>1</v>
      </c>
      <c r="CX4">
        <f>CM4</f>
        <v>0</v>
      </c>
      <c r="CY4">
        <f t="shared" ref="CY4:CY70" si="3">CN4</f>
        <v>0</v>
      </c>
      <c r="CZ4">
        <f t="shared" ref="CZ4:CZ70" si="4">CO4</f>
        <v>0</v>
      </c>
      <c r="DA4">
        <f t="shared" ref="DA4:DA70" si="5">CP4</f>
        <v>0</v>
      </c>
      <c r="DB4">
        <f t="shared" ref="DB4:DB70" si="6">CQ4</f>
        <v>0</v>
      </c>
      <c r="DC4">
        <f t="shared" ref="DC4:DC70" si="7">CR4</f>
        <v>0</v>
      </c>
      <c r="DD4">
        <f t="shared" ref="DD4:DD70" si="8">CS4</f>
        <v>1</v>
      </c>
      <c r="DE4">
        <f t="shared" ref="DE4:DE70" si="9">CT4</f>
        <v>0</v>
      </c>
      <c r="DF4">
        <f t="shared" ref="DF4:DF70" si="10">CU4</f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f>1-SUM(DH4:DL4)</f>
        <v>1</v>
      </c>
      <c r="DN4">
        <f>SUM(DH4:DM4)</f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f>CQ4+CU4</f>
        <v>0</v>
      </c>
      <c r="DW4">
        <v>0</v>
      </c>
      <c r="DX4">
        <f>SUM(DP4:DW4)</f>
        <v>1</v>
      </c>
      <c r="DZ4">
        <f>DP4</f>
        <v>0</v>
      </c>
      <c r="EA4">
        <f t="shared" ref="EA4:EA70" si="11">DQ4</f>
        <v>0</v>
      </c>
      <c r="EB4">
        <f t="shared" ref="EB4:EB70" si="12">DR4</f>
        <v>0</v>
      </c>
      <c r="EC4">
        <f t="shared" ref="EC4:EC70" si="13">DS4</f>
        <v>0</v>
      </c>
      <c r="ED4">
        <f t="shared" ref="ED4:ED70" si="14">DT4</f>
        <v>0</v>
      </c>
      <c r="EE4">
        <f t="shared" ref="EE4:EE70" si="15">DU4</f>
        <v>1</v>
      </c>
      <c r="EF4">
        <f t="shared" ref="EF4:EF70" si="16">DV4</f>
        <v>0</v>
      </c>
      <c r="EG4">
        <f t="shared" ref="EG4:EG70" si="17">DW4</f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f>1-SUM(EI4:EM4)</f>
        <v>1</v>
      </c>
      <c r="EO4">
        <f>SUM(EI4:EN4)</f>
        <v>1</v>
      </c>
      <c r="EQ4">
        <f>EI4</f>
        <v>0</v>
      </c>
      <c r="ER4">
        <f t="shared" ref="ER4:ER70" si="18">EJ4</f>
        <v>0</v>
      </c>
      <c r="ES4">
        <f t="shared" ref="ES4:ES70" si="19">EK4</f>
        <v>0</v>
      </c>
      <c r="ET4">
        <f t="shared" ref="ET4:ET70" si="20">EL4</f>
        <v>0</v>
      </c>
      <c r="EU4">
        <f t="shared" ref="EU4:EU70" si="21">EM4</f>
        <v>0</v>
      </c>
      <c r="EV4">
        <f t="shared" ref="EV4:EV70" si="22">EN4</f>
        <v>1</v>
      </c>
      <c r="EW4">
        <f>SUM(EQ4:EV4)</f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f>SUM(EY4:FW4)</f>
        <v>1</v>
      </c>
      <c r="FZ4">
        <v>0</v>
      </c>
      <c r="GA4">
        <v>1</v>
      </c>
      <c r="GB4">
        <v>0</v>
      </c>
      <c r="GC4">
        <v>0</v>
      </c>
      <c r="GD4">
        <v>0</v>
      </c>
      <c r="GE4">
        <v>0</v>
      </c>
      <c r="GF4">
        <v>0</v>
      </c>
      <c r="GG4">
        <f>SUM(FZ4:GF4)</f>
        <v>1</v>
      </c>
    </row>
    <row r="5" spans="1:189" x14ac:dyDescent="0.35">
      <c r="A5" t="s">
        <v>244</v>
      </c>
      <c r="B5">
        <f>[1]Population!$BB4</f>
        <v>3150143</v>
      </c>
      <c r="C5">
        <f>[1]RealGDP!$BB4</f>
        <v>10725150216.110325</v>
      </c>
      <c r="D5" s="8">
        <f>[1]GDPcap!$BB4</f>
        <v>3404.6550318859572</v>
      </c>
      <c r="E5" s="8">
        <v>18.022012167107807</v>
      </c>
      <c r="F5">
        <v>17.955855665990551</v>
      </c>
      <c r="G5">
        <f>RANK(D5,D$4:D5:D$201)</f>
        <v>103</v>
      </c>
      <c r="H5" t="s">
        <v>244</v>
      </c>
      <c r="J5">
        <v>2</v>
      </c>
      <c r="K5">
        <v>3.3</v>
      </c>
      <c r="L5">
        <v>6.2</v>
      </c>
      <c r="M5">
        <v>10.199999999999999</v>
      </c>
      <c r="N5">
        <v>14.7</v>
      </c>
      <c r="O5">
        <v>18.100000000000001</v>
      </c>
      <c r="P5">
        <v>20.7</v>
      </c>
      <c r="Q5">
        <v>20.6</v>
      </c>
      <c r="R5">
        <v>17.399999999999999</v>
      </c>
      <c r="S5">
        <v>12.4</v>
      </c>
      <c r="T5">
        <v>7.7</v>
      </c>
      <c r="U5">
        <v>3.6</v>
      </c>
      <c r="V5">
        <v>10.4</v>
      </c>
      <c r="W5">
        <v>19.8</v>
      </c>
      <c r="X5">
        <v>12.5</v>
      </c>
      <c r="Y5">
        <v>2.9</v>
      </c>
      <c r="Z5">
        <v>11.4</v>
      </c>
      <c r="AB5">
        <f t="shared" ref="AB5:AB68" si="23">IF(G5&gt;150,1,0)</f>
        <v>0</v>
      </c>
      <c r="AC5">
        <f t="shared" ref="AC5:AC68" si="24">IF(AND(G5&lt;151,G5&gt;100),1,0)</f>
        <v>1</v>
      </c>
      <c r="AD5">
        <f t="shared" ref="AD5:AD68" si="25">IF(AND(G5&lt;101,G5&gt;50),1,0)</f>
        <v>0</v>
      </c>
      <c r="AE5">
        <f t="shared" ref="AE5:AE68" si="26">IF(G5&lt;51,1,0)</f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f t="shared" si="0"/>
        <v>1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f t="shared" si="1"/>
        <v>1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f t="shared" si="2"/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f t="shared" ref="CK5:CK58" si="27">SUM(BX5:CJ5)</f>
        <v>1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f t="shared" ref="CV5:CV58" si="28">SUM(CM5:CU5)</f>
        <v>1</v>
      </c>
      <c r="CX5">
        <f t="shared" ref="CX5:CX71" si="29">CM5</f>
        <v>0</v>
      </c>
      <c r="CY5">
        <f t="shared" si="3"/>
        <v>0</v>
      </c>
      <c r="CZ5">
        <f t="shared" si="4"/>
        <v>0</v>
      </c>
      <c r="DA5">
        <f t="shared" si="5"/>
        <v>1</v>
      </c>
      <c r="DB5">
        <f t="shared" si="6"/>
        <v>0</v>
      </c>
      <c r="DC5">
        <f t="shared" si="7"/>
        <v>0</v>
      </c>
      <c r="DD5">
        <f t="shared" si="8"/>
        <v>0</v>
      </c>
      <c r="DE5">
        <f t="shared" si="9"/>
        <v>0</v>
      </c>
      <c r="DF5">
        <f t="shared" si="10"/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f t="shared" ref="DM5:DM58" si="30">1-SUM(DH5:DL5)</f>
        <v>1</v>
      </c>
      <c r="DN5">
        <f t="shared" ref="DN5:DN58" si="31">SUM(DH5:DM5)</f>
        <v>1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f t="shared" ref="DV5:DV58" si="32">CQ5+CU5</f>
        <v>0</v>
      </c>
      <c r="DW5">
        <v>0</v>
      </c>
      <c r="DX5">
        <f t="shared" ref="DX5:DX58" si="33">SUM(DP5:DW5)</f>
        <v>1</v>
      </c>
      <c r="DZ5">
        <f t="shared" ref="DZ5:DZ71" si="34">DP5</f>
        <v>0</v>
      </c>
      <c r="EA5">
        <f t="shared" si="11"/>
        <v>0</v>
      </c>
      <c r="EB5">
        <f t="shared" si="12"/>
        <v>0</v>
      </c>
      <c r="EC5">
        <f t="shared" si="13"/>
        <v>1</v>
      </c>
      <c r="ED5">
        <f t="shared" si="14"/>
        <v>0</v>
      </c>
      <c r="EE5">
        <f t="shared" si="15"/>
        <v>0</v>
      </c>
      <c r="EF5">
        <f t="shared" si="16"/>
        <v>0</v>
      </c>
      <c r="EG5">
        <f t="shared" si="17"/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f t="shared" ref="EN5:EN58" si="35">1-SUM(EI5:EM5)</f>
        <v>1</v>
      </c>
      <c r="EO5">
        <f t="shared" ref="EO5:EO58" si="36">SUM(EI5:EN5)</f>
        <v>1</v>
      </c>
      <c r="EQ5">
        <f t="shared" ref="EQ5:EQ71" si="37">EI5</f>
        <v>0</v>
      </c>
      <c r="ER5">
        <f t="shared" si="18"/>
        <v>0</v>
      </c>
      <c r="ES5">
        <f t="shared" si="19"/>
        <v>0</v>
      </c>
      <c r="ET5">
        <f t="shared" si="20"/>
        <v>0</v>
      </c>
      <c r="EU5">
        <f t="shared" si="21"/>
        <v>0</v>
      </c>
      <c r="EV5">
        <f t="shared" si="22"/>
        <v>1</v>
      </c>
      <c r="EW5">
        <f t="shared" ref="EW5:EW68" si="38">SUM(EQ5:EV5)</f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f t="shared" ref="FX5:FX68" si="39">SUM(EY5:FW5)</f>
        <v>1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f t="shared" ref="GG5:GG68" si="40">SUM(FZ5:GF5)</f>
        <v>1</v>
      </c>
    </row>
    <row r="6" spans="1:189" x14ac:dyDescent="0.35">
      <c r="A6" t="s">
        <v>245</v>
      </c>
      <c r="B6">
        <f>[1]Population!$BB5</f>
        <v>37062820</v>
      </c>
      <c r="C6">
        <f>[1]RealGDP!$BB5</f>
        <v>116511760871.08984</v>
      </c>
      <c r="D6" s="8">
        <f>[1]GDPcap!$BB5</f>
        <v>3143.6291375316246</v>
      </c>
      <c r="E6" s="8">
        <v>34.402768806056919</v>
      </c>
      <c r="F6">
        <v>8.4664418555812304</v>
      </c>
      <c r="G6">
        <f>RANK(D6,D$4:D6:D$201)</f>
        <v>109</v>
      </c>
      <c r="H6" t="s">
        <v>245</v>
      </c>
      <c r="J6">
        <v>12.1</v>
      </c>
      <c r="K6">
        <v>14.7</v>
      </c>
      <c r="L6">
        <v>17.8</v>
      </c>
      <c r="M6">
        <v>21.8</v>
      </c>
      <c r="N6">
        <v>26.3</v>
      </c>
      <c r="O6">
        <v>30.7</v>
      </c>
      <c r="P6">
        <v>32.4</v>
      </c>
      <c r="Q6">
        <v>31.9</v>
      </c>
      <c r="R6">
        <v>28.7</v>
      </c>
      <c r="S6">
        <v>23.2</v>
      </c>
      <c r="T6">
        <v>17.3</v>
      </c>
      <c r="U6">
        <v>12.8</v>
      </c>
      <c r="V6">
        <v>22</v>
      </c>
      <c r="W6">
        <v>31.7</v>
      </c>
      <c r="X6">
        <v>23.1</v>
      </c>
      <c r="Y6">
        <v>12.8</v>
      </c>
      <c r="Z6">
        <v>22.5</v>
      </c>
      <c r="AB6">
        <f t="shared" si="23"/>
        <v>0</v>
      </c>
      <c r="AC6">
        <f t="shared" si="24"/>
        <v>1</v>
      </c>
      <c r="AD6">
        <f t="shared" si="25"/>
        <v>0</v>
      </c>
      <c r="AE6">
        <f t="shared" si="26"/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f t="shared" si="0"/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f t="shared" si="1"/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f t="shared" si="2"/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f t="shared" si="27"/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f t="shared" si="28"/>
        <v>1</v>
      </c>
      <c r="CX6">
        <f t="shared" si="29"/>
        <v>0</v>
      </c>
      <c r="CY6">
        <f t="shared" si="3"/>
        <v>0</v>
      </c>
      <c r="CZ6">
        <f t="shared" si="4"/>
        <v>0</v>
      </c>
      <c r="DA6">
        <f t="shared" si="5"/>
        <v>0</v>
      </c>
      <c r="DB6">
        <f t="shared" si="6"/>
        <v>0</v>
      </c>
      <c r="DC6">
        <f t="shared" si="7"/>
        <v>0</v>
      </c>
      <c r="DD6">
        <f t="shared" si="8"/>
        <v>0</v>
      </c>
      <c r="DE6">
        <f t="shared" si="9"/>
        <v>0</v>
      </c>
      <c r="DF6">
        <f t="shared" si="10"/>
        <v>1</v>
      </c>
      <c r="DH6">
        <v>0</v>
      </c>
      <c r="DI6">
        <v>0</v>
      </c>
      <c r="DJ6">
        <v>0</v>
      </c>
      <c r="DK6">
        <v>0</v>
      </c>
      <c r="DL6">
        <v>0</v>
      </c>
      <c r="DM6">
        <f t="shared" si="30"/>
        <v>1</v>
      </c>
      <c r="DN6">
        <f t="shared" si="31"/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f t="shared" si="32"/>
        <v>1</v>
      </c>
      <c r="DW6">
        <v>0</v>
      </c>
      <c r="DX6">
        <f t="shared" si="33"/>
        <v>1</v>
      </c>
      <c r="DZ6">
        <f t="shared" si="34"/>
        <v>0</v>
      </c>
      <c r="EA6">
        <f t="shared" si="11"/>
        <v>0</v>
      </c>
      <c r="EB6">
        <f t="shared" si="12"/>
        <v>0</v>
      </c>
      <c r="EC6">
        <f t="shared" si="13"/>
        <v>0</v>
      </c>
      <c r="ED6">
        <f t="shared" si="14"/>
        <v>0</v>
      </c>
      <c r="EE6">
        <f t="shared" si="15"/>
        <v>0</v>
      </c>
      <c r="EF6">
        <f t="shared" si="16"/>
        <v>1</v>
      </c>
      <c r="EG6">
        <f t="shared" si="17"/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f t="shared" si="35"/>
        <v>1</v>
      </c>
      <c r="EO6">
        <f t="shared" si="36"/>
        <v>1</v>
      </c>
      <c r="EQ6">
        <f t="shared" si="37"/>
        <v>0</v>
      </c>
      <c r="ER6">
        <f t="shared" si="18"/>
        <v>0</v>
      </c>
      <c r="ES6">
        <f t="shared" si="19"/>
        <v>0</v>
      </c>
      <c r="ET6">
        <f t="shared" si="20"/>
        <v>0</v>
      </c>
      <c r="EU6">
        <f t="shared" si="21"/>
        <v>0</v>
      </c>
      <c r="EV6">
        <f t="shared" si="22"/>
        <v>1</v>
      </c>
      <c r="EW6">
        <f t="shared" si="38"/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f t="shared" si="39"/>
        <v>1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f t="shared" si="40"/>
        <v>1</v>
      </c>
    </row>
    <row r="7" spans="1:189" x14ac:dyDescent="0.35">
      <c r="A7" t="s">
        <v>600</v>
      </c>
      <c r="B7">
        <f>[1]Population!$BB7</f>
        <v>77907</v>
      </c>
      <c r="C7">
        <f>B7*D7</f>
        <v>2831797756.6024532</v>
      </c>
      <c r="D7" s="8">
        <f>[2]YpC3!$AZ$5</f>
        <v>36348.437965811201</v>
      </c>
      <c r="E7" s="8"/>
      <c r="G7">
        <f>RANK(D7,D$4:D7:D$201)</f>
        <v>23</v>
      </c>
      <c r="J7" s="27">
        <v>0.2</v>
      </c>
      <c r="K7" s="27">
        <v>1</v>
      </c>
      <c r="L7" s="27">
        <v>3</v>
      </c>
      <c r="M7" s="27">
        <v>5.2</v>
      </c>
      <c r="N7" s="27">
        <v>9.1</v>
      </c>
      <c r="O7" s="27">
        <v>13</v>
      </c>
      <c r="P7" s="27">
        <v>16.399999999999999</v>
      </c>
      <c r="Q7" s="27">
        <v>16</v>
      </c>
      <c r="R7" s="27">
        <v>13.5</v>
      </c>
      <c r="S7" s="27">
        <v>9</v>
      </c>
      <c r="T7" s="27">
        <v>3.7</v>
      </c>
      <c r="U7" s="27">
        <v>1</v>
      </c>
      <c r="V7" s="27">
        <v>5.8</v>
      </c>
      <c r="W7" s="27">
        <v>15.1</v>
      </c>
      <c r="X7" s="27">
        <v>8.6999999999999993</v>
      </c>
      <c r="Y7" s="27">
        <v>0.7</v>
      </c>
      <c r="Z7" s="27">
        <v>7.6</v>
      </c>
      <c r="AA7" s="27"/>
      <c r="AB7">
        <f t="shared" si="23"/>
        <v>0</v>
      </c>
      <c r="AC7">
        <f t="shared" si="24"/>
        <v>0</v>
      </c>
      <c r="AD7">
        <f t="shared" si="25"/>
        <v>0</v>
      </c>
      <c r="AE7">
        <f t="shared" si="26"/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f t="shared" si="0"/>
        <v>1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f t="shared" si="1"/>
        <v>1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f t="shared" si="2"/>
        <v>1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f t="shared" si="27"/>
        <v>1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f t="shared" si="28"/>
        <v>1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f t="shared" si="31"/>
        <v>1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f t="shared" si="33"/>
        <v>1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f t="shared" si="36"/>
        <v>1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f t="shared" si="38"/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f t="shared" si="39"/>
        <v>1</v>
      </c>
      <c r="FZ7">
        <v>0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f t="shared" si="40"/>
        <v>1</v>
      </c>
    </row>
    <row r="8" spans="1:189" x14ac:dyDescent="0.35">
      <c r="A8" t="s">
        <v>350</v>
      </c>
      <c r="B8">
        <f>[1]Population!$BB8</f>
        <v>19549124</v>
      </c>
      <c r="C8">
        <f>[1]RealGDP!$BB8</f>
        <v>50371160616.47271</v>
      </c>
      <c r="D8" s="8">
        <f>[1]GDPcap!$BB8</f>
        <v>2576.6454096087737</v>
      </c>
      <c r="E8" s="8">
        <v>16.856078410225532</v>
      </c>
      <c r="G8">
        <f>RANK(D8,D$4:D8:D$201)</f>
        <v>119</v>
      </c>
      <c r="H8" t="s">
        <v>350</v>
      </c>
      <c r="J8">
        <v>22.6</v>
      </c>
      <c r="K8">
        <v>22.7</v>
      </c>
      <c r="L8">
        <v>22.8</v>
      </c>
      <c r="M8">
        <v>22.4</v>
      </c>
      <c r="N8">
        <v>20.8</v>
      </c>
      <c r="O8">
        <v>18.5</v>
      </c>
      <c r="P8">
        <v>18</v>
      </c>
      <c r="Q8">
        <v>19.899999999999999</v>
      </c>
      <c r="R8">
        <v>22.1</v>
      </c>
      <c r="S8">
        <v>23</v>
      </c>
      <c r="T8">
        <v>22.7</v>
      </c>
      <c r="U8">
        <v>22.6</v>
      </c>
      <c r="V8">
        <v>22</v>
      </c>
      <c r="W8">
        <v>18.8</v>
      </c>
      <c r="X8">
        <v>22.6</v>
      </c>
      <c r="Y8">
        <v>21.9</v>
      </c>
      <c r="Z8">
        <v>21.5</v>
      </c>
      <c r="AB8">
        <f t="shared" si="23"/>
        <v>0</v>
      </c>
      <c r="AC8">
        <f t="shared" si="24"/>
        <v>1</v>
      </c>
      <c r="AD8">
        <f t="shared" si="25"/>
        <v>0</v>
      </c>
      <c r="AE8">
        <f t="shared" si="26"/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f t="shared" si="0"/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f t="shared" si="1"/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f t="shared" si="2"/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f t="shared" si="27"/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f t="shared" si="28"/>
        <v>1</v>
      </c>
      <c r="CX8">
        <f t="shared" si="29"/>
        <v>0</v>
      </c>
      <c r="CY8">
        <f t="shared" si="3"/>
        <v>0</v>
      </c>
      <c r="CZ8">
        <f t="shared" si="4"/>
        <v>0</v>
      </c>
      <c r="DA8">
        <f t="shared" si="5"/>
        <v>0</v>
      </c>
      <c r="DB8">
        <f t="shared" si="6"/>
        <v>0</v>
      </c>
      <c r="DC8">
        <f t="shared" si="7"/>
        <v>0</v>
      </c>
      <c r="DD8">
        <f t="shared" si="8"/>
        <v>0</v>
      </c>
      <c r="DE8">
        <f t="shared" si="9"/>
        <v>0</v>
      </c>
      <c r="DF8">
        <f t="shared" si="10"/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f t="shared" si="30"/>
        <v>1</v>
      </c>
      <c r="DN8">
        <f t="shared" si="31"/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f t="shared" si="32"/>
        <v>1</v>
      </c>
      <c r="DW8">
        <v>0</v>
      </c>
      <c r="DX8">
        <f t="shared" si="33"/>
        <v>1</v>
      </c>
      <c r="DZ8">
        <f t="shared" si="34"/>
        <v>0</v>
      </c>
      <c r="EA8">
        <f t="shared" si="11"/>
        <v>0</v>
      </c>
      <c r="EB8">
        <f t="shared" si="12"/>
        <v>0</v>
      </c>
      <c r="EC8">
        <f t="shared" si="13"/>
        <v>0</v>
      </c>
      <c r="ED8">
        <f t="shared" si="14"/>
        <v>0</v>
      </c>
      <c r="EE8">
        <f t="shared" si="15"/>
        <v>0</v>
      </c>
      <c r="EF8">
        <f t="shared" si="16"/>
        <v>1</v>
      </c>
      <c r="EG8">
        <f t="shared" si="17"/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f t="shared" si="35"/>
        <v>1</v>
      </c>
      <c r="EO8">
        <f t="shared" si="36"/>
        <v>1</v>
      </c>
      <c r="EQ8">
        <f t="shared" si="37"/>
        <v>0</v>
      </c>
      <c r="ER8">
        <f t="shared" si="18"/>
        <v>0</v>
      </c>
      <c r="ES8">
        <f t="shared" si="19"/>
        <v>0</v>
      </c>
      <c r="ET8">
        <f t="shared" si="20"/>
        <v>0</v>
      </c>
      <c r="EU8">
        <f t="shared" si="21"/>
        <v>0</v>
      </c>
      <c r="EV8">
        <f t="shared" si="22"/>
        <v>1</v>
      </c>
      <c r="EW8">
        <f t="shared" si="38"/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</v>
      </c>
      <c r="FX8">
        <f t="shared" si="39"/>
        <v>1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f t="shared" si="40"/>
        <v>1</v>
      </c>
    </row>
    <row r="9" spans="1:189" x14ac:dyDescent="0.35">
      <c r="A9" t="s">
        <v>351</v>
      </c>
      <c r="B9">
        <f>[1]Population!$BB11</f>
        <v>87233</v>
      </c>
      <c r="C9">
        <f>[1]RealGDP!$BB11</f>
        <v>1012173532.2035601</v>
      </c>
      <c r="D9" s="8">
        <f>[1]GDPcap!$BB11</f>
        <v>11603.103552595465</v>
      </c>
      <c r="E9" s="8">
        <v>18.525586626973041</v>
      </c>
      <c r="F9">
        <v>1.6276262253683036</v>
      </c>
      <c r="G9">
        <f>RANK(D9,D$4:D9:D$201)</f>
        <v>55</v>
      </c>
      <c r="J9">
        <f>(J209+J215)/2</f>
        <v>0</v>
      </c>
      <c r="K9">
        <f t="shared" ref="K9:Z9" si="41">(K209+K215)/2</f>
        <v>0</v>
      </c>
      <c r="L9">
        <f t="shared" si="41"/>
        <v>0</v>
      </c>
      <c r="M9">
        <f t="shared" si="41"/>
        <v>0</v>
      </c>
      <c r="N9">
        <f t="shared" si="41"/>
        <v>0</v>
      </c>
      <c r="O9">
        <f t="shared" si="41"/>
        <v>0</v>
      </c>
      <c r="P9">
        <f t="shared" si="41"/>
        <v>0</v>
      </c>
      <c r="Q9">
        <f t="shared" si="41"/>
        <v>0</v>
      </c>
      <c r="R9">
        <f t="shared" si="41"/>
        <v>0</v>
      </c>
      <c r="S9">
        <f t="shared" si="41"/>
        <v>0</v>
      </c>
      <c r="T9">
        <f t="shared" si="41"/>
        <v>0</v>
      </c>
      <c r="U9">
        <f t="shared" si="41"/>
        <v>0</v>
      </c>
      <c r="V9">
        <f t="shared" si="41"/>
        <v>0</v>
      </c>
      <c r="W9">
        <f t="shared" si="41"/>
        <v>0</v>
      </c>
      <c r="X9">
        <f t="shared" si="41"/>
        <v>0</v>
      </c>
      <c r="Y9">
        <f t="shared" si="41"/>
        <v>0</v>
      </c>
      <c r="Z9">
        <f t="shared" si="41"/>
        <v>0</v>
      </c>
      <c r="AB9">
        <f t="shared" si="23"/>
        <v>0</v>
      </c>
      <c r="AC9">
        <f t="shared" si="24"/>
        <v>0</v>
      </c>
      <c r="AD9">
        <f t="shared" si="25"/>
        <v>1</v>
      </c>
      <c r="AE9">
        <f t="shared" si="26"/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f t="shared" si="0"/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f t="shared" si="1"/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f t="shared" si="2"/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f t="shared" si="27"/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f t="shared" si="28"/>
        <v>1</v>
      </c>
      <c r="CX9">
        <f t="shared" si="29"/>
        <v>0</v>
      </c>
      <c r="CY9">
        <f t="shared" si="3"/>
        <v>0</v>
      </c>
      <c r="CZ9">
        <f t="shared" si="4"/>
        <v>0</v>
      </c>
      <c r="DA9">
        <f t="shared" si="5"/>
        <v>0</v>
      </c>
      <c r="DB9">
        <f t="shared" si="6"/>
        <v>0</v>
      </c>
      <c r="DC9">
        <f t="shared" si="7"/>
        <v>1</v>
      </c>
      <c r="DD9">
        <f t="shared" si="8"/>
        <v>0</v>
      </c>
      <c r="DE9">
        <f t="shared" si="9"/>
        <v>0</v>
      </c>
      <c r="DF9">
        <f t="shared" si="10"/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f t="shared" si="30"/>
        <v>1</v>
      </c>
      <c r="DN9">
        <f t="shared" si="31"/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f t="shared" si="32"/>
        <v>0</v>
      </c>
      <c r="DW9">
        <v>1</v>
      </c>
      <c r="DX9">
        <f t="shared" si="33"/>
        <v>1</v>
      </c>
      <c r="DZ9">
        <f t="shared" si="34"/>
        <v>0</v>
      </c>
      <c r="EA9">
        <f t="shared" si="11"/>
        <v>0</v>
      </c>
      <c r="EB9">
        <f t="shared" si="12"/>
        <v>0</v>
      </c>
      <c r="EC9">
        <f t="shared" si="13"/>
        <v>0</v>
      </c>
      <c r="ED9">
        <f t="shared" si="14"/>
        <v>0</v>
      </c>
      <c r="EE9">
        <f t="shared" si="15"/>
        <v>0</v>
      </c>
      <c r="EF9">
        <f t="shared" si="16"/>
        <v>0</v>
      </c>
      <c r="EG9">
        <f t="shared" si="17"/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f t="shared" si="35"/>
        <v>1</v>
      </c>
      <c r="EO9">
        <f t="shared" si="36"/>
        <v>1</v>
      </c>
      <c r="EQ9">
        <f t="shared" si="37"/>
        <v>0</v>
      </c>
      <c r="ER9">
        <f t="shared" si="18"/>
        <v>0</v>
      </c>
      <c r="ES9">
        <f t="shared" si="19"/>
        <v>0</v>
      </c>
      <c r="ET9">
        <f t="shared" si="20"/>
        <v>0</v>
      </c>
      <c r="EU9">
        <f t="shared" si="21"/>
        <v>0</v>
      </c>
      <c r="EV9">
        <f t="shared" si="22"/>
        <v>1</v>
      </c>
      <c r="EW9">
        <f t="shared" si="38"/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f t="shared" si="39"/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f t="shared" si="40"/>
        <v>1</v>
      </c>
    </row>
    <row r="10" spans="1:189" x14ac:dyDescent="0.35">
      <c r="A10" t="s">
        <v>118</v>
      </c>
      <c r="B10">
        <f>[1]Population!$BB12</f>
        <v>40374224</v>
      </c>
      <c r="C10">
        <f>[1]RealGDP!$BB12</f>
        <v>293697869622.22595</v>
      </c>
      <c r="D10" s="8">
        <f>[1]GDPcap!$BB12</f>
        <v>7274.3904532313973</v>
      </c>
      <c r="E10" s="8">
        <v>12.853042690325553</v>
      </c>
      <c r="F10">
        <v>7.1321674507896393</v>
      </c>
      <c r="G10">
        <f>RANK(D10,D$4:D10:D$201)</f>
        <v>68</v>
      </c>
      <c r="H10" t="s">
        <v>118</v>
      </c>
      <c r="J10">
        <v>21.4</v>
      </c>
      <c r="K10">
        <v>20.5</v>
      </c>
      <c r="L10">
        <v>18.100000000000001</v>
      </c>
      <c r="M10">
        <v>14.6</v>
      </c>
      <c r="N10">
        <v>11.2</v>
      </c>
      <c r="O10">
        <v>8.1999999999999993</v>
      </c>
      <c r="P10">
        <v>8</v>
      </c>
      <c r="Q10">
        <v>9.6</v>
      </c>
      <c r="R10">
        <v>12.1</v>
      </c>
      <c r="S10">
        <v>15.3</v>
      </c>
      <c r="T10">
        <v>18.100000000000001</v>
      </c>
      <c r="U10">
        <v>20.399999999999999</v>
      </c>
      <c r="V10">
        <v>14.7</v>
      </c>
      <c r="W10">
        <v>8.6</v>
      </c>
      <c r="X10">
        <v>15.2</v>
      </c>
      <c r="Y10">
        <v>20.100000000000001</v>
      </c>
      <c r="Z10">
        <v>14.8</v>
      </c>
      <c r="AB10">
        <f t="shared" si="23"/>
        <v>0</v>
      </c>
      <c r="AC10">
        <f t="shared" si="24"/>
        <v>0</v>
      </c>
      <c r="AD10">
        <f t="shared" si="25"/>
        <v>1</v>
      </c>
      <c r="AE10">
        <f t="shared" si="26"/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f t="shared" si="0"/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f t="shared" si="1"/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f t="shared" si="2"/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f t="shared" si="27"/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f t="shared" si="28"/>
        <v>1</v>
      </c>
      <c r="CX10">
        <f t="shared" si="29"/>
        <v>0</v>
      </c>
      <c r="CY10">
        <f t="shared" si="3"/>
        <v>0</v>
      </c>
      <c r="CZ10">
        <f t="shared" si="4"/>
        <v>0</v>
      </c>
      <c r="DA10">
        <f t="shared" si="5"/>
        <v>0</v>
      </c>
      <c r="DB10">
        <f t="shared" si="6"/>
        <v>0</v>
      </c>
      <c r="DC10">
        <f t="shared" si="7"/>
        <v>1</v>
      </c>
      <c r="DD10">
        <f t="shared" si="8"/>
        <v>0</v>
      </c>
      <c r="DE10">
        <f t="shared" si="9"/>
        <v>0</v>
      </c>
      <c r="DF10">
        <f t="shared" si="10"/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f t="shared" si="30"/>
        <v>1</v>
      </c>
      <c r="DN10">
        <f t="shared" si="31"/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f t="shared" si="32"/>
        <v>0</v>
      </c>
      <c r="DW10">
        <v>1</v>
      </c>
      <c r="DX10">
        <f t="shared" si="33"/>
        <v>1</v>
      </c>
      <c r="DZ10">
        <f t="shared" si="34"/>
        <v>0</v>
      </c>
      <c r="EA10">
        <f t="shared" si="11"/>
        <v>0</v>
      </c>
      <c r="EB10">
        <f t="shared" si="12"/>
        <v>0</v>
      </c>
      <c r="EC10">
        <f t="shared" si="13"/>
        <v>0</v>
      </c>
      <c r="ED10">
        <f t="shared" si="14"/>
        <v>0</v>
      </c>
      <c r="EE10">
        <f t="shared" si="15"/>
        <v>0</v>
      </c>
      <c r="EF10">
        <f t="shared" si="16"/>
        <v>0</v>
      </c>
      <c r="EG10">
        <f t="shared" si="17"/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f t="shared" si="35"/>
        <v>1</v>
      </c>
      <c r="EO10">
        <f t="shared" si="36"/>
        <v>1</v>
      </c>
      <c r="EQ10">
        <f t="shared" si="37"/>
        <v>0</v>
      </c>
      <c r="ER10">
        <f t="shared" si="18"/>
        <v>0</v>
      </c>
      <c r="ES10">
        <f t="shared" si="19"/>
        <v>0</v>
      </c>
      <c r="ET10">
        <f t="shared" si="20"/>
        <v>0</v>
      </c>
      <c r="EU10">
        <f t="shared" si="21"/>
        <v>0</v>
      </c>
      <c r="EV10">
        <f t="shared" si="22"/>
        <v>1</v>
      </c>
      <c r="EW10">
        <f t="shared" si="38"/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f t="shared" si="39"/>
        <v>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f t="shared" si="40"/>
        <v>1</v>
      </c>
    </row>
    <row r="11" spans="1:189" x14ac:dyDescent="0.35">
      <c r="A11" t="s">
        <v>212</v>
      </c>
      <c r="B11">
        <f>[1]Population!$BB13</f>
        <v>2963496</v>
      </c>
      <c r="C11">
        <f>[1]RealGDP!$BB13</f>
        <v>5918216827.4621973</v>
      </c>
      <c r="D11" s="8">
        <f>[1]GDPcap!$BB13</f>
        <v>1997.0389119682286</v>
      </c>
      <c r="E11" s="8">
        <v>17.070051399010236</v>
      </c>
      <c r="F11">
        <v>16.999148633691316</v>
      </c>
      <c r="G11">
        <f>RANK(D11,D$4:D11:D$201)</f>
        <v>128</v>
      </c>
      <c r="H11" t="s">
        <v>212</v>
      </c>
      <c r="J11">
        <v>-7.3</v>
      </c>
      <c r="K11">
        <v>-5.4</v>
      </c>
      <c r="L11">
        <v>0.3</v>
      </c>
      <c r="M11">
        <v>7.1</v>
      </c>
      <c r="N11">
        <v>12.1</v>
      </c>
      <c r="O11">
        <v>16.3</v>
      </c>
      <c r="P11">
        <v>20.399999999999999</v>
      </c>
      <c r="Q11">
        <v>19.7</v>
      </c>
      <c r="R11">
        <v>15.4</v>
      </c>
      <c r="S11">
        <v>8.4</v>
      </c>
      <c r="T11">
        <v>2.2999999999999998</v>
      </c>
      <c r="U11">
        <v>-3.9</v>
      </c>
      <c r="V11">
        <v>6.5</v>
      </c>
      <c r="W11">
        <v>18.8</v>
      </c>
      <c r="X11">
        <v>8.6999999999999993</v>
      </c>
      <c r="Y11">
        <v>-5.4</v>
      </c>
      <c r="Z11">
        <v>7.1</v>
      </c>
      <c r="AB11">
        <f t="shared" si="23"/>
        <v>0</v>
      </c>
      <c r="AC11">
        <f t="shared" si="24"/>
        <v>1</v>
      </c>
      <c r="AD11">
        <f t="shared" si="25"/>
        <v>0</v>
      </c>
      <c r="AE11">
        <f t="shared" si="26"/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f t="shared" si="0"/>
        <v>1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f t="shared" si="1"/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f t="shared" si="2"/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f t="shared" si="27"/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f t="shared" si="28"/>
        <v>1</v>
      </c>
      <c r="CX11">
        <f t="shared" si="29"/>
        <v>0</v>
      </c>
      <c r="CY11">
        <f t="shared" si="3"/>
        <v>0</v>
      </c>
      <c r="CZ11">
        <f t="shared" si="4"/>
        <v>0</v>
      </c>
      <c r="DA11">
        <f t="shared" si="5"/>
        <v>1</v>
      </c>
      <c r="DB11">
        <f t="shared" si="6"/>
        <v>0</v>
      </c>
      <c r="DC11">
        <f t="shared" si="7"/>
        <v>0</v>
      </c>
      <c r="DD11">
        <f t="shared" si="8"/>
        <v>0</v>
      </c>
      <c r="DE11">
        <f t="shared" si="9"/>
        <v>0</v>
      </c>
      <c r="DF11">
        <f t="shared" si="10"/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f t="shared" si="30"/>
        <v>0</v>
      </c>
      <c r="DN11">
        <f t="shared" si="31"/>
        <v>1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0</v>
      </c>
      <c r="DV11">
        <f t="shared" si="32"/>
        <v>0</v>
      </c>
      <c r="DW11">
        <v>0</v>
      </c>
      <c r="DX11">
        <f t="shared" si="33"/>
        <v>1</v>
      </c>
      <c r="DZ11">
        <f t="shared" si="34"/>
        <v>0</v>
      </c>
      <c r="EA11">
        <f t="shared" si="11"/>
        <v>0</v>
      </c>
      <c r="EB11">
        <f t="shared" si="12"/>
        <v>0</v>
      </c>
      <c r="EC11">
        <f t="shared" si="13"/>
        <v>1</v>
      </c>
      <c r="ED11">
        <f t="shared" si="14"/>
        <v>0</v>
      </c>
      <c r="EE11">
        <f t="shared" si="15"/>
        <v>0</v>
      </c>
      <c r="EF11">
        <f t="shared" si="16"/>
        <v>0</v>
      </c>
      <c r="EG11">
        <f t="shared" si="17"/>
        <v>0</v>
      </c>
      <c r="EI11">
        <v>0</v>
      </c>
      <c r="EJ11">
        <v>0</v>
      </c>
      <c r="EK11">
        <v>0</v>
      </c>
      <c r="EL11">
        <v>1</v>
      </c>
      <c r="EM11">
        <v>0</v>
      </c>
      <c r="EN11">
        <f t="shared" si="35"/>
        <v>0</v>
      </c>
      <c r="EO11">
        <f t="shared" si="36"/>
        <v>1</v>
      </c>
      <c r="EQ11">
        <f t="shared" si="37"/>
        <v>0</v>
      </c>
      <c r="ER11">
        <f t="shared" si="18"/>
        <v>0</v>
      </c>
      <c r="ES11">
        <f t="shared" si="19"/>
        <v>0</v>
      </c>
      <c r="ET11">
        <f t="shared" si="20"/>
        <v>1</v>
      </c>
      <c r="EU11">
        <f t="shared" si="21"/>
        <v>0</v>
      </c>
      <c r="EV11">
        <f t="shared" si="22"/>
        <v>0</v>
      </c>
      <c r="EW11">
        <f t="shared" si="38"/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f t="shared" si="39"/>
        <v>1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f t="shared" si="40"/>
        <v>1</v>
      </c>
    </row>
    <row r="12" spans="1:189" x14ac:dyDescent="0.35">
      <c r="A12" t="s">
        <v>601</v>
      </c>
      <c r="B12">
        <f>[1]Population!$BB14</f>
        <v>101597</v>
      </c>
      <c r="C12">
        <f>B12*D12</f>
        <v>2037483991.0949256</v>
      </c>
      <c r="D12" s="8">
        <f>[2]YpC3!$AZ$10</f>
        <v>20054.5684527587</v>
      </c>
      <c r="E12" s="8"/>
      <c r="G12">
        <f>RANK(D12,D$4:D12:D$201)</f>
        <v>42</v>
      </c>
      <c r="Z12" s="27">
        <v>27.8</v>
      </c>
      <c r="AA12" s="27"/>
      <c r="AB12">
        <f t="shared" si="23"/>
        <v>0</v>
      </c>
      <c r="AC12">
        <f t="shared" si="24"/>
        <v>0</v>
      </c>
      <c r="AD12">
        <f t="shared" si="25"/>
        <v>0</v>
      </c>
      <c r="AE12">
        <f t="shared" si="26"/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f t="shared" si="0"/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f t="shared" si="1"/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f t="shared" si="2"/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f t="shared" si="27"/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f t="shared" si="28"/>
        <v>1</v>
      </c>
      <c r="CX12">
        <f t="shared" si="29"/>
        <v>0</v>
      </c>
      <c r="CY12">
        <f t="shared" si="3"/>
        <v>0</v>
      </c>
      <c r="CZ12">
        <f t="shared" si="4"/>
        <v>0</v>
      </c>
      <c r="DA12">
        <f t="shared" si="5"/>
        <v>0</v>
      </c>
      <c r="DB12">
        <f t="shared" si="6"/>
        <v>0</v>
      </c>
      <c r="DC12">
        <f t="shared" si="7"/>
        <v>1</v>
      </c>
      <c r="DD12">
        <f t="shared" si="8"/>
        <v>0</v>
      </c>
      <c r="DE12">
        <f t="shared" si="9"/>
        <v>0</v>
      </c>
      <c r="DF12">
        <f t="shared" si="10"/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f t="shared" si="30"/>
        <v>1</v>
      </c>
      <c r="DN12">
        <f t="shared" si="31"/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f t="shared" si="32"/>
        <v>0</v>
      </c>
      <c r="DW12">
        <v>1</v>
      </c>
      <c r="DX12">
        <f t="shared" si="33"/>
        <v>1</v>
      </c>
      <c r="DZ12">
        <f t="shared" si="34"/>
        <v>0</v>
      </c>
      <c r="EA12">
        <f t="shared" si="11"/>
        <v>0</v>
      </c>
      <c r="EB12">
        <f t="shared" si="12"/>
        <v>0</v>
      </c>
      <c r="EC12">
        <f t="shared" si="13"/>
        <v>0</v>
      </c>
      <c r="ED12">
        <f t="shared" si="14"/>
        <v>0</v>
      </c>
      <c r="EE12">
        <f t="shared" si="15"/>
        <v>0</v>
      </c>
      <c r="EF12">
        <f t="shared" si="16"/>
        <v>0</v>
      </c>
      <c r="EG12">
        <f t="shared" si="17"/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f t="shared" si="35"/>
        <v>1</v>
      </c>
      <c r="EO12">
        <f t="shared" si="36"/>
        <v>1</v>
      </c>
      <c r="EQ12">
        <f t="shared" si="37"/>
        <v>0</v>
      </c>
      <c r="ER12">
        <f t="shared" si="18"/>
        <v>0</v>
      </c>
      <c r="ES12">
        <f t="shared" si="19"/>
        <v>0</v>
      </c>
      <c r="ET12">
        <f t="shared" si="20"/>
        <v>0</v>
      </c>
      <c r="EU12">
        <f t="shared" si="21"/>
        <v>0</v>
      </c>
      <c r="EV12">
        <f t="shared" si="22"/>
        <v>1</v>
      </c>
      <c r="EW12">
        <f t="shared" si="38"/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f t="shared" si="39"/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f t="shared" si="40"/>
        <v>1</v>
      </c>
    </row>
    <row r="13" spans="1:189" x14ac:dyDescent="0.35">
      <c r="A13" t="s">
        <v>119</v>
      </c>
      <c r="B13">
        <f>[1]Population!$BB15</f>
        <v>22065300</v>
      </c>
      <c r="C13">
        <f>[1]RealGDP!$BB15</f>
        <v>797442264201.02002</v>
      </c>
      <c r="D13" s="8">
        <f>[1]GDPcap!$BB15</f>
        <v>36140.105242213795</v>
      </c>
      <c r="E13" s="8">
        <v>20.565415960076329</v>
      </c>
      <c r="F13">
        <v>2.2011748323235154</v>
      </c>
      <c r="G13">
        <f>RANK(D13,D$4:D13:D$201)</f>
        <v>25</v>
      </c>
      <c r="H13" t="s">
        <v>119</v>
      </c>
      <c r="J13">
        <v>27.6</v>
      </c>
      <c r="K13">
        <v>27.1</v>
      </c>
      <c r="L13">
        <v>25.3</v>
      </c>
      <c r="M13">
        <v>22</v>
      </c>
      <c r="N13">
        <v>18.2</v>
      </c>
      <c r="O13">
        <v>15.2</v>
      </c>
      <c r="P13">
        <v>14.3</v>
      </c>
      <c r="Q13">
        <v>16</v>
      </c>
      <c r="R13">
        <v>19.100000000000001</v>
      </c>
      <c r="S13">
        <v>22.5</v>
      </c>
      <c r="T13">
        <v>25.1</v>
      </c>
      <c r="U13">
        <v>26.9</v>
      </c>
      <c r="V13">
        <v>21.8</v>
      </c>
      <c r="W13">
        <v>15.2</v>
      </c>
      <c r="X13">
        <v>22.3</v>
      </c>
      <c r="Y13">
        <v>26.3</v>
      </c>
      <c r="Z13">
        <v>21.6</v>
      </c>
      <c r="AB13">
        <f t="shared" si="23"/>
        <v>0</v>
      </c>
      <c r="AC13">
        <f t="shared" si="24"/>
        <v>0</v>
      </c>
      <c r="AD13">
        <f t="shared" si="25"/>
        <v>0</v>
      </c>
      <c r="AE13">
        <f t="shared" si="26"/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f t="shared" si="0"/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f t="shared" si="1"/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f t="shared" si="2"/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f t="shared" si="27"/>
        <v>1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f t="shared" si="28"/>
        <v>1</v>
      </c>
      <c r="CX13">
        <f t="shared" si="29"/>
        <v>0</v>
      </c>
      <c r="CY13">
        <f t="shared" si="3"/>
        <v>0</v>
      </c>
      <c r="CZ13">
        <f t="shared" si="4"/>
        <v>1</v>
      </c>
      <c r="DA13">
        <f t="shared" si="5"/>
        <v>0</v>
      </c>
      <c r="DB13">
        <f t="shared" si="6"/>
        <v>0</v>
      </c>
      <c r="DC13">
        <f t="shared" si="7"/>
        <v>0</v>
      </c>
      <c r="DD13">
        <f t="shared" si="8"/>
        <v>0</v>
      </c>
      <c r="DE13">
        <f t="shared" si="9"/>
        <v>0</v>
      </c>
      <c r="DF13">
        <f t="shared" si="10"/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f t="shared" si="30"/>
        <v>1</v>
      </c>
      <c r="DN13">
        <f t="shared" si="31"/>
        <v>1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f t="shared" si="32"/>
        <v>0</v>
      </c>
      <c r="DW13">
        <v>0</v>
      </c>
      <c r="DX13">
        <f t="shared" si="33"/>
        <v>1</v>
      </c>
      <c r="DZ13">
        <f t="shared" si="34"/>
        <v>0</v>
      </c>
      <c r="EA13">
        <f t="shared" si="11"/>
        <v>0</v>
      </c>
      <c r="EB13">
        <f t="shared" si="12"/>
        <v>1</v>
      </c>
      <c r="EC13">
        <f t="shared" si="13"/>
        <v>0</v>
      </c>
      <c r="ED13">
        <f t="shared" si="14"/>
        <v>0</v>
      </c>
      <c r="EE13">
        <f t="shared" si="15"/>
        <v>0</v>
      </c>
      <c r="EF13">
        <f t="shared" si="16"/>
        <v>0</v>
      </c>
      <c r="EG13">
        <f t="shared" si="17"/>
        <v>0</v>
      </c>
      <c r="EI13">
        <v>0</v>
      </c>
      <c r="EJ13">
        <v>0</v>
      </c>
      <c r="EK13">
        <v>1</v>
      </c>
      <c r="EL13">
        <v>0</v>
      </c>
      <c r="EM13">
        <v>0</v>
      </c>
      <c r="EN13">
        <f t="shared" si="35"/>
        <v>0</v>
      </c>
      <c r="EO13">
        <f t="shared" si="36"/>
        <v>1</v>
      </c>
      <c r="EQ13">
        <f t="shared" si="37"/>
        <v>0</v>
      </c>
      <c r="ER13">
        <f t="shared" si="18"/>
        <v>0</v>
      </c>
      <c r="ES13">
        <f t="shared" si="19"/>
        <v>1</v>
      </c>
      <c r="ET13">
        <f t="shared" si="20"/>
        <v>0</v>
      </c>
      <c r="EU13">
        <f t="shared" si="21"/>
        <v>0</v>
      </c>
      <c r="EV13">
        <f t="shared" si="22"/>
        <v>0</v>
      </c>
      <c r="EW13">
        <f t="shared" si="38"/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f t="shared" si="39"/>
        <v>1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0</v>
      </c>
      <c r="GG13">
        <f t="shared" si="40"/>
        <v>1</v>
      </c>
    </row>
    <row r="14" spans="1:189" x14ac:dyDescent="0.35">
      <c r="A14" t="s">
        <v>120</v>
      </c>
      <c r="B14">
        <f>[1]Population!$BB16</f>
        <v>8389771</v>
      </c>
      <c r="C14">
        <f>[1]RealGDP!$BB16</f>
        <v>325550262356.948</v>
      </c>
      <c r="D14" s="8">
        <f>[1]GDPcap!$BB16</f>
        <v>38803.235792365253</v>
      </c>
      <c r="E14" s="8">
        <v>25.281635506236235</v>
      </c>
      <c r="F14">
        <v>1.2673276722574476</v>
      </c>
      <c r="G14">
        <f>RANK(D14,D$4:D14:D$201)</f>
        <v>16</v>
      </c>
      <c r="H14" t="s">
        <v>120</v>
      </c>
      <c r="J14">
        <v>-3.4</v>
      </c>
      <c r="K14">
        <v>-1.8</v>
      </c>
      <c r="L14">
        <v>1.6</v>
      </c>
      <c r="M14">
        <v>5.7</v>
      </c>
      <c r="N14">
        <v>10.3</v>
      </c>
      <c r="O14">
        <v>13.5</v>
      </c>
      <c r="P14">
        <v>15.4</v>
      </c>
      <c r="Q14">
        <v>15.2</v>
      </c>
      <c r="R14">
        <v>12.2</v>
      </c>
      <c r="S14">
        <v>7.6</v>
      </c>
      <c r="T14">
        <v>1.8</v>
      </c>
      <c r="U14">
        <v>-2.1</v>
      </c>
      <c r="V14">
        <v>5.9</v>
      </c>
      <c r="W14">
        <v>14.7</v>
      </c>
      <c r="X14">
        <v>7.2</v>
      </c>
      <c r="Y14">
        <v>-2.4</v>
      </c>
      <c r="Z14">
        <v>6.3</v>
      </c>
      <c r="AB14">
        <f t="shared" si="23"/>
        <v>0</v>
      </c>
      <c r="AC14">
        <f t="shared" si="24"/>
        <v>0</v>
      </c>
      <c r="AD14">
        <f t="shared" si="25"/>
        <v>0</v>
      </c>
      <c r="AE14">
        <f t="shared" si="26"/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f t="shared" si="0"/>
        <v>1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f t="shared" si="1"/>
        <v>1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f t="shared" si="2"/>
        <v>1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f t="shared" si="27"/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f t="shared" si="28"/>
        <v>1</v>
      </c>
      <c r="CX14">
        <f t="shared" si="29"/>
        <v>0</v>
      </c>
      <c r="CY14">
        <f t="shared" si="3"/>
        <v>1</v>
      </c>
      <c r="CZ14">
        <f t="shared" si="4"/>
        <v>0</v>
      </c>
      <c r="DA14">
        <f t="shared" si="5"/>
        <v>0</v>
      </c>
      <c r="DB14">
        <f t="shared" si="6"/>
        <v>0</v>
      </c>
      <c r="DC14">
        <f t="shared" si="7"/>
        <v>0</v>
      </c>
      <c r="DD14">
        <f t="shared" si="8"/>
        <v>0</v>
      </c>
      <c r="DE14">
        <f t="shared" si="9"/>
        <v>0</v>
      </c>
      <c r="DF14">
        <f t="shared" si="10"/>
        <v>0</v>
      </c>
      <c r="DH14">
        <v>0</v>
      </c>
      <c r="DI14">
        <v>0</v>
      </c>
      <c r="DJ14">
        <v>0</v>
      </c>
      <c r="DK14">
        <v>1</v>
      </c>
      <c r="DL14">
        <v>0</v>
      </c>
      <c r="DM14">
        <f t="shared" si="30"/>
        <v>0</v>
      </c>
      <c r="DN14">
        <f t="shared" si="31"/>
        <v>1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f t="shared" si="32"/>
        <v>0</v>
      </c>
      <c r="DW14">
        <v>0</v>
      </c>
      <c r="DX14">
        <f t="shared" si="33"/>
        <v>1</v>
      </c>
      <c r="DZ14">
        <f t="shared" si="34"/>
        <v>1</v>
      </c>
      <c r="EA14">
        <f t="shared" si="11"/>
        <v>0</v>
      </c>
      <c r="EB14">
        <f t="shared" si="12"/>
        <v>0</v>
      </c>
      <c r="EC14">
        <f t="shared" si="13"/>
        <v>0</v>
      </c>
      <c r="ED14">
        <f t="shared" si="14"/>
        <v>0</v>
      </c>
      <c r="EE14">
        <f t="shared" si="15"/>
        <v>0</v>
      </c>
      <c r="EF14">
        <f t="shared" si="16"/>
        <v>0</v>
      </c>
      <c r="EG14">
        <f t="shared" si="17"/>
        <v>0</v>
      </c>
      <c r="EI14">
        <v>1</v>
      </c>
      <c r="EJ14">
        <v>0</v>
      </c>
      <c r="EK14">
        <v>0</v>
      </c>
      <c r="EL14">
        <v>0</v>
      </c>
      <c r="EM14">
        <v>0</v>
      </c>
      <c r="EN14">
        <f t="shared" si="35"/>
        <v>0</v>
      </c>
      <c r="EO14">
        <f t="shared" si="36"/>
        <v>1</v>
      </c>
      <c r="EQ14">
        <f t="shared" si="37"/>
        <v>1</v>
      </c>
      <c r="ER14">
        <f t="shared" si="18"/>
        <v>0</v>
      </c>
      <c r="ES14">
        <f t="shared" si="19"/>
        <v>0</v>
      </c>
      <c r="ET14">
        <f t="shared" si="20"/>
        <v>0</v>
      </c>
      <c r="EU14">
        <f t="shared" si="21"/>
        <v>0</v>
      </c>
      <c r="EV14">
        <f t="shared" si="22"/>
        <v>0</v>
      </c>
      <c r="EW14">
        <f t="shared" si="38"/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f t="shared" si="39"/>
        <v>1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f t="shared" si="40"/>
        <v>1</v>
      </c>
    </row>
    <row r="15" spans="1:189" x14ac:dyDescent="0.35">
      <c r="A15" t="s">
        <v>213</v>
      </c>
      <c r="B15">
        <f>[1]Population!$BB17</f>
        <v>9054332</v>
      </c>
      <c r="C15">
        <f>[1]RealGDP!$BB17</f>
        <v>28310397706.794827</v>
      </c>
      <c r="D15" s="8">
        <f>[1]GDPcap!$BB17</f>
        <v>3126.7240594662121</v>
      </c>
      <c r="E15" s="8">
        <v>12.157776992817615</v>
      </c>
      <c r="F15">
        <v>5.5</v>
      </c>
      <c r="G15">
        <f>RANK(D15,D$4:D15:D$201)</f>
        <v>110</v>
      </c>
      <c r="H15" t="s">
        <v>213</v>
      </c>
      <c r="J15">
        <v>-0.4</v>
      </c>
      <c r="K15">
        <v>0.6</v>
      </c>
      <c r="L15">
        <v>4.5999999999999996</v>
      </c>
      <c r="M15">
        <v>11.3</v>
      </c>
      <c r="N15">
        <v>16.600000000000001</v>
      </c>
      <c r="O15">
        <v>21.4</v>
      </c>
      <c r="P15">
        <v>24.4</v>
      </c>
      <c r="Q15">
        <v>23.8</v>
      </c>
      <c r="R15">
        <v>19.399999999999999</v>
      </c>
      <c r="S15">
        <v>12.4</v>
      </c>
      <c r="T15">
        <v>7</v>
      </c>
      <c r="U15">
        <v>1.8</v>
      </c>
      <c r="V15">
        <v>10.8</v>
      </c>
      <c r="W15">
        <v>23.2</v>
      </c>
      <c r="X15">
        <v>12.9</v>
      </c>
      <c r="Y15">
        <v>0.6</v>
      </c>
      <c r="Z15">
        <v>11.9</v>
      </c>
      <c r="AB15">
        <f t="shared" si="23"/>
        <v>0</v>
      </c>
      <c r="AC15">
        <f t="shared" si="24"/>
        <v>1</v>
      </c>
      <c r="AD15">
        <f t="shared" si="25"/>
        <v>0</v>
      </c>
      <c r="AE15">
        <f t="shared" si="26"/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f t="shared" si="0"/>
        <v>1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f t="shared" si="1"/>
        <v>1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f t="shared" si="2"/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f t="shared" si="27"/>
        <v>1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f t="shared" si="28"/>
        <v>1</v>
      </c>
      <c r="CX15">
        <f t="shared" si="29"/>
        <v>0</v>
      </c>
      <c r="CY15">
        <f t="shared" si="3"/>
        <v>0</v>
      </c>
      <c r="CZ15">
        <f t="shared" si="4"/>
        <v>0</v>
      </c>
      <c r="DA15">
        <f t="shared" si="5"/>
        <v>1</v>
      </c>
      <c r="DB15">
        <f t="shared" si="6"/>
        <v>0</v>
      </c>
      <c r="DC15">
        <f t="shared" si="7"/>
        <v>0</v>
      </c>
      <c r="DD15">
        <f t="shared" si="8"/>
        <v>0</v>
      </c>
      <c r="DE15">
        <f t="shared" si="9"/>
        <v>0</v>
      </c>
      <c r="DF15">
        <f t="shared" si="10"/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f t="shared" si="30"/>
        <v>0</v>
      </c>
      <c r="DN15">
        <f t="shared" si="31"/>
        <v>1</v>
      </c>
      <c r="DP15">
        <v>0</v>
      </c>
      <c r="DQ15">
        <v>0</v>
      </c>
      <c r="DR15">
        <v>0</v>
      </c>
      <c r="DS15">
        <v>1</v>
      </c>
      <c r="DT15">
        <v>0</v>
      </c>
      <c r="DU15">
        <v>0</v>
      </c>
      <c r="DV15">
        <f t="shared" si="32"/>
        <v>0</v>
      </c>
      <c r="DW15">
        <v>0</v>
      </c>
      <c r="DX15">
        <f t="shared" si="33"/>
        <v>1</v>
      </c>
      <c r="DZ15">
        <f t="shared" si="34"/>
        <v>0</v>
      </c>
      <c r="EA15">
        <f t="shared" si="11"/>
        <v>0</v>
      </c>
      <c r="EB15">
        <f t="shared" si="12"/>
        <v>0</v>
      </c>
      <c r="EC15">
        <f t="shared" si="13"/>
        <v>1</v>
      </c>
      <c r="ED15">
        <f t="shared" si="14"/>
        <v>0</v>
      </c>
      <c r="EE15">
        <f t="shared" si="15"/>
        <v>0</v>
      </c>
      <c r="EF15">
        <f t="shared" si="16"/>
        <v>0</v>
      </c>
      <c r="EG15">
        <f t="shared" si="17"/>
        <v>0</v>
      </c>
      <c r="EI15">
        <v>0</v>
      </c>
      <c r="EJ15">
        <v>0</v>
      </c>
      <c r="EK15">
        <v>0</v>
      </c>
      <c r="EL15">
        <v>1</v>
      </c>
      <c r="EM15">
        <v>0</v>
      </c>
      <c r="EN15">
        <f t="shared" si="35"/>
        <v>0</v>
      </c>
      <c r="EO15">
        <f t="shared" si="36"/>
        <v>1</v>
      </c>
      <c r="EQ15">
        <f t="shared" si="37"/>
        <v>0</v>
      </c>
      <c r="ER15">
        <f t="shared" si="18"/>
        <v>0</v>
      </c>
      <c r="ES15">
        <f t="shared" si="19"/>
        <v>0</v>
      </c>
      <c r="ET15">
        <f t="shared" si="20"/>
        <v>1</v>
      </c>
      <c r="EU15">
        <f t="shared" si="21"/>
        <v>0</v>
      </c>
      <c r="EV15">
        <f t="shared" si="22"/>
        <v>0</v>
      </c>
      <c r="EW15">
        <f t="shared" si="38"/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f t="shared" si="39"/>
        <v>1</v>
      </c>
      <c r="FZ15">
        <v>0</v>
      </c>
      <c r="GA15">
        <v>0</v>
      </c>
      <c r="GB15">
        <v>0</v>
      </c>
      <c r="GC15">
        <v>1</v>
      </c>
      <c r="GD15">
        <v>0</v>
      </c>
      <c r="GE15">
        <v>0</v>
      </c>
      <c r="GF15">
        <v>0</v>
      </c>
      <c r="GG15">
        <f t="shared" si="40"/>
        <v>1</v>
      </c>
    </row>
    <row r="16" spans="1:189" x14ac:dyDescent="0.35">
      <c r="A16" t="s">
        <v>121</v>
      </c>
      <c r="B16">
        <f>[1]Population!$BB18</f>
        <v>360498</v>
      </c>
      <c r="C16">
        <f>[1]RealGDP!$BB18</f>
        <v>7575468595.4633093</v>
      </c>
      <c r="D16" s="8">
        <f>[1]GDPcap!$BB18</f>
        <v>21013.899093651864</v>
      </c>
      <c r="E16" s="8">
        <v>10.876902778988406</v>
      </c>
      <c r="F16">
        <v>1.097490431626742</v>
      </c>
      <c r="G16">
        <f>RANK(D16,D$4:D16:D$201)</f>
        <v>40</v>
      </c>
      <c r="H16" t="s">
        <v>121</v>
      </c>
      <c r="J16">
        <v>21.3</v>
      </c>
      <c r="K16">
        <v>21.5</v>
      </c>
      <c r="L16">
        <v>22.7</v>
      </c>
      <c r="M16">
        <v>23.9</v>
      </c>
      <c r="N16">
        <v>25.6</v>
      </c>
      <c r="O16">
        <v>27.1</v>
      </c>
      <c r="P16">
        <v>27.8</v>
      </c>
      <c r="Q16">
        <v>27.9</v>
      </c>
      <c r="R16">
        <v>27.5</v>
      </c>
      <c r="S16">
        <v>26.2</v>
      </c>
      <c r="T16">
        <v>24.1</v>
      </c>
      <c r="U16">
        <v>22.2</v>
      </c>
      <c r="V16">
        <v>24.1</v>
      </c>
      <c r="W16">
        <v>27.6</v>
      </c>
      <c r="X16">
        <v>25.9</v>
      </c>
      <c r="Y16">
        <v>20.9</v>
      </c>
      <c r="Z16">
        <v>24.8</v>
      </c>
      <c r="AB16">
        <f t="shared" si="23"/>
        <v>0</v>
      </c>
      <c r="AC16">
        <f t="shared" si="24"/>
        <v>0</v>
      </c>
      <c r="AD16">
        <f t="shared" si="25"/>
        <v>0</v>
      </c>
      <c r="AE16">
        <f t="shared" si="26"/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f t="shared" si="0"/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f t="shared" si="1"/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f t="shared" si="2"/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f t="shared" si="27"/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f t="shared" si="28"/>
        <v>1</v>
      </c>
      <c r="CX16">
        <f t="shared" si="29"/>
        <v>0</v>
      </c>
      <c r="CY16">
        <f t="shared" si="3"/>
        <v>0</v>
      </c>
      <c r="CZ16">
        <f t="shared" si="4"/>
        <v>0</v>
      </c>
      <c r="DA16">
        <f t="shared" si="5"/>
        <v>0</v>
      </c>
      <c r="DB16">
        <f t="shared" si="6"/>
        <v>0</v>
      </c>
      <c r="DC16">
        <f t="shared" si="7"/>
        <v>1</v>
      </c>
      <c r="DD16">
        <f t="shared" si="8"/>
        <v>0</v>
      </c>
      <c r="DE16">
        <f t="shared" si="9"/>
        <v>0</v>
      </c>
      <c r="DF16">
        <f t="shared" si="10"/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f t="shared" si="30"/>
        <v>1</v>
      </c>
      <c r="DN16">
        <f t="shared" si="31"/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f t="shared" si="32"/>
        <v>0</v>
      </c>
      <c r="DW16">
        <v>1</v>
      </c>
      <c r="DX16">
        <f t="shared" si="33"/>
        <v>1</v>
      </c>
      <c r="DZ16">
        <f t="shared" si="34"/>
        <v>0</v>
      </c>
      <c r="EA16">
        <f t="shared" si="11"/>
        <v>0</v>
      </c>
      <c r="EB16">
        <f t="shared" si="12"/>
        <v>0</v>
      </c>
      <c r="EC16">
        <f t="shared" si="13"/>
        <v>0</v>
      </c>
      <c r="ED16">
        <f t="shared" si="14"/>
        <v>0</v>
      </c>
      <c r="EE16">
        <f t="shared" si="15"/>
        <v>0</v>
      </c>
      <c r="EF16">
        <f t="shared" si="16"/>
        <v>0</v>
      </c>
      <c r="EG16">
        <f t="shared" si="17"/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f t="shared" si="35"/>
        <v>1</v>
      </c>
      <c r="EO16">
        <f t="shared" si="36"/>
        <v>1</v>
      </c>
      <c r="EQ16">
        <f t="shared" si="37"/>
        <v>0</v>
      </c>
      <c r="ER16">
        <f t="shared" si="18"/>
        <v>0</v>
      </c>
      <c r="ES16">
        <f t="shared" si="19"/>
        <v>0</v>
      </c>
      <c r="ET16">
        <f t="shared" si="20"/>
        <v>0</v>
      </c>
      <c r="EU16">
        <f t="shared" si="21"/>
        <v>0</v>
      </c>
      <c r="EV16">
        <f t="shared" si="22"/>
        <v>1</v>
      </c>
      <c r="EW16">
        <f t="shared" si="38"/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f t="shared" si="39"/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f t="shared" si="40"/>
        <v>1</v>
      </c>
    </row>
    <row r="17" spans="1:189" x14ac:dyDescent="0.35">
      <c r="A17" t="s">
        <v>352</v>
      </c>
      <c r="B17">
        <f>[1]Population!$BB19</f>
        <v>1251513</v>
      </c>
      <c r="C17">
        <f>[1]RealGDP!$BB19</f>
        <v>20928102319.771168</v>
      </c>
      <c r="D17" s="8">
        <f>[1]GDPcap!$BB19</f>
        <v>16722.241255001882</v>
      </c>
      <c r="E17" s="8">
        <v>1.1762284357258181</v>
      </c>
      <c r="F17">
        <v>0.29767722810577779</v>
      </c>
      <c r="G17">
        <f>RANK(D17,D$4:D17:D$201)</f>
        <v>46</v>
      </c>
      <c r="H17" t="s">
        <v>352</v>
      </c>
      <c r="J17">
        <v>15.8</v>
      </c>
      <c r="K17">
        <v>18</v>
      </c>
      <c r="L17">
        <v>21.9</v>
      </c>
      <c r="M17">
        <v>26.8</v>
      </c>
      <c r="N17">
        <v>32.4</v>
      </c>
      <c r="O17">
        <v>35.1</v>
      </c>
      <c r="P17">
        <v>36.799999999999997</v>
      </c>
      <c r="Q17">
        <v>36.1</v>
      </c>
      <c r="R17">
        <v>33.299999999999997</v>
      </c>
      <c r="S17">
        <v>28.7</v>
      </c>
      <c r="T17">
        <v>22.9</v>
      </c>
      <c r="U17">
        <v>17.899999999999999</v>
      </c>
      <c r="V17">
        <v>27.1</v>
      </c>
      <c r="W17">
        <v>36</v>
      </c>
      <c r="X17">
        <v>28.3</v>
      </c>
      <c r="Y17">
        <v>16.600000000000001</v>
      </c>
      <c r="Z17">
        <v>27.1</v>
      </c>
      <c r="AB17">
        <f t="shared" si="23"/>
        <v>0</v>
      </c>
      <c r="AC17">
        <f t="shared" si="24"/>
        <v>0</v>
      </c>
      <c r="AD17">
        <f t="shared" si="25"/>
        <v>0</v>
      </c>
      <c r="AE17">
        <f t="shared" si="26"/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f t="shared" si="0"/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f t="shared" si="1"/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f t="shared" si="2"/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f t="shared" si="27"/>
        <v>1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f t="shared" si="28"/>
        <v>1</v>
      </c>
      <c r="CX17">
        <f t="shared" si="29"/>
        <v>0</v>
      </c>
      <c r="CY17">
        <f t="shared" si="3"/>
        <v>0</v>
      </c>
      <c r="CZ17">
        <f t="shared" si="4"/>
        <v>0</v>
      </c>
      <c r="DA17">
        <f t="shared" si="5"/>
        <v>0</v>
      </c>
      <c r="DB17">
        <f t="shared" si="6"/>
        <v>1</v>
      </c>
      <c r="DC17">
        <f t="shared" si="7"/>
        <v>0</v>
      </c>
      <c r="DD17">
        <f t="shared" si="8"/>
        <v>0</v>
      </c>
      <c r="DE17">
        <f t="shared" si="9"/>
        <v>0</v>
      </c>
      <c r="DF17">
        <f t="shared" si="10"/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f t="shared" si="30"/>
        <v>1</v>
      </c>
      <c r="DN17">
        <f t="shared" si="31"/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f t="shared" si="32"/>
        <v>1</v>
      </c>
      <c r="DW17">
        <v>0</v>
      </c>
      <c r="DX17">
        <f t="shared" si="33"/>
        <v>1</v>
      </c>
      <c r="DZ17">
        <f t="shared" si="34"/>
        <v>0</v>
      </c>
      <c r="EA17">
        <f t="shared" si="11"/>
        <v>0</v>
      </c>
      <c r="EB17">
        <f t="shared" si="12"/>
        <v>0</v>
      </c>
      <c r="EC17">
        <f t="shared" si="13"/>
        <v>0</v>
      </c>
      <c r="ED17">
        <f t="shared" si="14"/>
        <v>0</v>
      </c>
      <c r="EE17">
        <f t="shared" si="15"/>
        <v>0</v>
      </c>
      <c r="EF17">
        <f t="shared" si="16"/>
        <v>1</v>
      </c>
      <c r="EG17">
        <f t="shared" si="17"/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f t="shared" si="35"/>
        <v>1</v>
      </c>
      <c r="EO17">
        <f t="shared" si="36"/>
        <v>1</v>
      </c>
      <c r="EQ17">
        <f t="shared" si="37"/>
        <v>0</v>
      </c>
      <c r="ER17">
        <f t="shared" si="18"/>
        <v>0</v>
      </c>
      <c r="ES17">
        <f t="shared" si="19"/>
        <v>0</v>
      </c>
      <c r="ET17">
        <f t="shared" si="20"/>
        <v>0</v>
      </c>
      <c r="EU17">
        <f t="shared" si="21"/>
        <v>0</v>
      </c>
      <c r="EV17">
        <f t="shared" si="22"/>
        <v>1</v>
      </c>
      <c r="EW17">
        <f t="shared" si="38"/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f t="shared" si="39"/>
        <v>1</v>
      </c>
      <c r="FZ17">
        <v>0</v>
      </c>
      <c r="GA17">
        <v>1</v>
      </c>
      <c r="GB17">
        <v>0</v>
      </c>
      <c r="GC17">
        <v>0</v>
      </c>
      <c r="GD17">
        <v>0</v>
      </c>
      <c r="GE17">
        <v>0</v>
      </c>
      <c r="GF17">
        <v>0</v>
      </c>
      <c r="GG17">
        <f t="shared" si="40"/>
        <v>1</v>
      </c>
    </row>
    <row r="18" spans="1:189" x14ac:dyDescent="0.35">
      <c r="A18" t="s">
        <v>122</v>
      </c>
      <c r="B18">
        <f>[1]Population!$BB20</f>
        <v>151125475</v>
      </c>
      <c r="C18">
        <f>[1]RealGDP!$BB20</f>
        <v>81471733197.377762</v>
      </c>
      <c r="D18" s="8">
        <f>[1]GDPcap!$BB20</f>
        <v>539.09993134762863</v>
      </c>
      <c r="E18" s="8">
        <v>7.8346847494673302</v>
      </c>
      <c r="F18">
        <v>17.001181259291869</v>
      </c>
      <c r="G18">
        <f>RANK(D18,D$4:D18:D$201)</f>
        <v>173</v>
      </c>
      <c r="H18" t="s">
        <v>122</v>
      </c>
      <c r="J18">
        <v>18.5</v>
      </c>
      <c r="K18">
        <v>20.8</v>
      </c>
      <c r="L18">
        <v>24.9</v>
      </c>
      <c r="M18">
        <v>27.3</v>
      </c>
      <c r="N18">
        <v>27.8</v>
      </c>
      <c r="O18">
        <v>27.7</v>
      </c>
      <c r="P18">
        <v>27.6</v>
      </c>
      <c r="Q18">
        <v>27.7</v>
      </c>
      <c r="R18">
        <v>27.8</v>
      </c>
      <c r="S18">
        <v>26.7</v>
      </c>
      <c r="T18">
        <v>23.4</v>
      </c>
      <c r="U18">
        <v>19.600000000000001</v>
      </c>
      <c r="V18">
        <v>26.6</v>
      </c>
      <c r="W18">
        <v>27.7</v>
      </c>
      <c r="X18">
        <v>26</v>
      </c>
      <c r="Y18">
        <v>19</v>
      </c>
      <c r="Z18">
        <v>25</v>
      </c>
      <c r="AB18">
        <f t="shared" si="23"/>
        <v>1</v>
      </c>
      <c r="AC18">
        <f t="shared" si="24"/>
        <v>0</v>
      </c>
      <c r="AD18">
        <f t="shared" si="25"/>
        <v>0</v>
      </c>
      <c r="AE18">
        <f t="shared" si="26"/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f t="shared" si="0"/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f t="shared" si="1"/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f t="shared" si="2"/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f t="shared" si="27"/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f t="shared" si="28"/>
        <v>1</v>
      </c>
      <c r="CX18">
        <f t="shared" si="29"/>
        <v>0</v>
      </c>
      <c r="CY18">
        <f t="shared" si="3"/>
        <v>0</v>
      </c>
      <c r="CZ18">
        <f t="shared" si="4"/>
        <v>0</v>
      </c>
      <c r="DA18">
        <f t="shared" si="5"/>
        <v>0</v>
      </c>
      <c r="DB18">
        <f t="shared" si="6"/>
        <v>0</v>
      </c>
      <c r="DC18">
        <f t="shared" si="7"/>
        <v>0</v>
      </c>
      <c r="DD18">
        <f t="shared" si="8"/>
        <v>1</v>
      </c>
      <c r="DE18">
        <f t="shared" si="9"/>
        <v>0</v>
      </c>
      <c r="DF18">
        <f t="shared" si="10"/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f t="shared" si="30"/>
        <v>1</v>
      </c>
      <c r="DN18">
        <f t="shared" si="31"/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f t="shared" si="32"/>
        <v>0</v>
      </c>
      <c r="DW18">
        <v>0</v>
      </c>
      <c r="DX18">
        <f t="shared" si="33"/>
        <v>1</v>
      </c>
      <c r="DZ18">
        <f t="shared" si="34"/>
        <v>0</v>
      </c>
      <c r="EA18">
        <f t="shared" si="11"/>
        <v>0</v>
      </c>
      <c r="EB18">
        <f t="shared" si="12"/>
        <v>0</v>
      </c>
      <c r="EC18">
        <f t="shared" si="13"/>
        <v>0</v>
      </c>
      <c r="ED18">
        <f t="shared" si="14"/>
        <v>0</v>
      </c>
      <c r="EE18">
        <f t="shared" si="15"/>
        <v>1</v>
      </c>
      <c r="EF18">
        <f t="shared" si="16"/>
        <v>0</v>
      </c>
      <c r="EG18">
        <f t="shared" si="17"/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f t="shared" si="35"/>
        <v>1</v>
      </c>
      <c r="EO18">
        <f t="shared" si="36"/>
        <v>1</v>
      </c>
      <c r="EQ18">
        <f t="shared" si="37"/>
        <v>0</v>
      </c>
      <c r="ER18">
        <f t="shared" si="18"/>
        <v>0</v>
      </c>
      <c r="ES18">
        <f t="shared" si="19"/>
        <v>0</v>
      </c>
      <c r="ET18">
        <f t="shared" si="20"/>
        <v>0</v>
      </c>
      <c r="EU18">
        <f t="shared" si="21"/>
        <v>0</v>
      </c>
      <c r="EV18">
        <f t="shared" si="22"/>
        <v>1</v>
      </c>
      <c r="EW18">
        <f t="shared" si="38"/>
        <v>1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0</v>
      </c>
      <c r="FX18">
        <f t="shared" si="39"/>
        <v>1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f t="shared" si="40"/>
        <v>1</v>
      </c>
    </row>
    <row r="19" spans="1:189" x14ac:dyDescent="0.35">
      <c r="A19" t="s">
        <v>123</v>
      </c>
      <c r="B19">
        <f>[1]Population!$BB21</f>
        <v>280396</v>
      </c>
      <c r="C19">
        <f>[1]RealGDP!$BB21</f>
        <v>4033125824.922358</v>
      </c>
      <c r="D19" s="8">
        <f>[1]GDPcap!$BB21</f>
        <v>14383.678172735552</v>
      </c>
      <c r="E19" s="8">
        <v>25.091518866338685</v>
      </c>
      <c r="F19">
        <v>1.3178980870305828</v>
      </c>
      <c r="G19">
        <f>RANK(D19,D$4:D19:D$201)</f>
        <v>50</v>
      </c>
      <c r="H19" t="s">
        <v>123</v>
      </c>
      <c r="J19">
        <v>24.9</v>
      </c>
      <c r="K19">
        <v>25</v>
      </c>
      <c r="L19">
        <v>25.2</v>
      </c>
      <c r="M19">
        <v>25.9</v>
      </c>
      <c r="N19">
        <v>26.5</v>
      </c>
      <c r="O19">
        <v>26.7</v>
      </c>
      <c r="P19">
        <v>26.5</v>
      </c>
      <c r="Q19">
        <v>26.7</v>
      </c>
      <c r="R19">
        <v>26.7</v>
      </c>
      <c r="S19">
        <v>26.5</v>
      </c>
      <c r="T19">
        <v>26.1</v>
      </c>
      <c r="U19">
        <v>25.5</v>
      </c>
      <c r="V19">
        <v>25.9</v>
      </c>
      <c r="W19">
        <v>26.6</v>
      </c>
      <c r="X19">
        <v>26.5</v>
      </c>
      <c r="Y19">
        <v>24.2</v>
      </c>
      <c r="Z19">
        <v>26</v>
      </c>
      <c r="AB19">
        <f t="shared" si="23"/>
        <v>0</v>
      </c>
      <c r="AC19">
        <f t="shared" si="24"/>
        <v>0</v>
      </c>
      <c r="AD19">
        <f t="shared" si="25"/>
        <v>0</v>
      </c>
      <c r="AE19">
        <f t="shared" si="26"/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f t="shared" si="0"/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f t="shared" si="1"/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f t="shared" si="2"/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f t="shared" si="27"/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f t="shared" si="28"/>
        <v>1</v>
      </c>
      <c r="CX19">
        <f t="shared" si="29"/>
        <v>0</v>
      </c>
      <c r="CY19">
        <f t="shared" si="3"/>
        <v>0</v>
      </c>
      <c r="CZ19">
        <f t="shared" si="4"/>
        <v>0</v>
      </c>
      <c r="DA19">
        <f t="shared" si="5"/>
        <v>0</v>
      </c>
      <c r="DB19">
        <f t="shared" si="6"/>
        <v>0</v>
      </c>
      <c r="DC19">
        <f t="shared" si="7"/>
        <v>1</v>
      </c>
      <c r="DD19">
        <f t="shared" si="8"/>
        <v>0</v>
      </c>
      <c r="DE19">
        <f t="shared" si="9"/>
        <v>0</v>
      </c>
      <c r="DF19">
        <f t="shared" si="10"/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f t="shared" si="30"/>
        <v>1</v>
      </c>
      <c r="DN19">
        <f t="shared" si="31"/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f t="shared" si="32"/>
        <v>0</v>
      </c>
      <c r="DW19">
        <v>1</v>
      </c>
      <c r="DX19">
        <f t="shared" si="33"/>
        <v>1</v>
      </c>
      <c r="DZ19">
        <f t="shared" si="34"/>
        <v>0</v>
      </c>
      <c r="EA19">
        <f t="shared" si="11"/>
        <v>0</v>
      </c>
      <c r="EB19">
        <f t="shared" si="12"/>
        <v>0</v>
      </c>
      <c r="EC19">
        <f t="shared" si="13"/>
        <v>0</v>
      </c>
      <c r="ED19">
        <f t="shared" si="14"/>
        <v>0</v>
      </c>
      <c r="EE19">
        <f t="shared" si="15"/>
        <v>0</v>
      </c>
      <c r="EF19">
        <f t="shared" si="16"/>
        <v>0</v>
      </c>
      <c r="EG19">
        <f t="shared" si="17"/>
        <v>1</v>
      </c>
      <c r="EI19">
        <v>0</v>
      </c>
      <c r="EJ19">
        <v>0</v>
      </c>
      <c r="EK19">
        <v>0</v>
      </c>
      <c r="EL19">
        <v>0</v>
      </c>
      <c r="EM19">
        <v>0</v>
      </c>
      <c r="EN19">
        <f t="shared" si="35"/>
        <v>1</v>
      </c>
      <c r="EO19">
        <f t="shared" si="36"/>
        <v>1</v>
      </c>
      <c r="EQ19">
        <f t="shared" si="37"/>
        <v>0</v>
      </c>
      <c r="ER19">
        <f t="shared" si="18"/>
        <v>0</v>
      </c>
      <c r="ES19">
        <f t="shared" si="19"/>
        <v>0</v>
      </c>
      <c r="ET19">
        <f t="shared" si="20"/>
        <v>0</v>
      </c>
      <c r="EU19">
        <f t="shared" si="21"/>
        <v>0</v>
      </c>
      <c r="EV19">
        <f t="shared" si="22"/>
        <v>1</v>
      </c>
      <c r="EW19">
        <f t="shared" si="38"/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f t="shared" si="39"/>
        <v>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f t="shared" si="40"/>
        <v>1</v>
      </c>
    </row>
    <row r="20" spans="1:189" x14ac:dyDescent="0.35">
      <c r="A20" t="s">
        <v>214</v>
      </c>
      <c r="B20">
        <f>[1]Population!$BB22</f>
        <v>9490000</v>
      </c>
      <c r="C20">
        <f>[1]RealGDP!$BB22</f>
        <v>42955347353.866852</v>
      </c>
      <c r="D20" s="8">
        <f>[1]GDPcap!$BB22</f>
        <v>4526.3801215876556</v>
      </c>
      <c r="E20" s="8">
        <v>16.321438373620982</v>
      </c>
      <c r="F20">
        <v>8.8919302288200921</v>
      </c>
      <c r="G20">
        <f>RANK(D20,D$4:D20:D$201)</f>
        <v>91</v>
      </c>
      <c r="H20" t="s">
        <v>214</v>
      </c>
      <c r="J20">
        <v>-7</v>
      </c>
      <c r="K20">
        <v>-5.7</v>
      </c>
      <c r="L20">
        <v>-0.9</v>
      </c>
      <c r="M20">
        <v>6.8</v>
      </c>
      <c r="N20">
        <v>13.3</v>
      </c>
      <c r="O20">
        <v>16.5</v>
      </c>
      <c r="P20">
        <v>17.7</v>
      </c>
      <c r="Q20">
        <v>16.899999999999999</v>
      </c>
      <c r="R20">
        <v>12.3</v>
      </c>
      <c r="S20">
        <v>6.7</v>
      </c>
      <c r="T20">
        <v>1</v>
      </c>
      <c r="U20">
        <v>-3.7</v>
      </c>
      <c r="V20">
        <v>6.4</v>
      </c>
      <c r="W20">
        <v>17</v>
      </c>
      <c r="X20">
        <v>6.7</v>
      </c>
      <c r="Y20">
        <v>-5.4</v>
      </c>
      <c r="Z20">
        <v>6.2</v>
      </c>
      <c r="AB20">
        <f t="shared" si="23"/>
        <v>0</v>
      </c>
      <c r="AC20">
        <f t="shared" si="24"/>
        <v>0</v>
      </c>
      <c r="AD20">
        <f t="shared" si="25"/>
        <v>1</v>
      </c>
      <c r="AE20">
        <f t="shared" si="26"/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f t="shared" si="0"/>
        <v>1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f t="shared" si="1"/>
        <v>1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f t="shared" si="2"/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f t="shared" si="27"/>
        <v>1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f t="shared" si="28"/>
        <v>1</v>
      </c>
      <c r="CX20">
        <f t="shared" si="29"/>
        <v>0</v>
      </c>
      <c r="CY20">
        <f t="shared" si="3"/>
        <v>0</v>
      </c>
      <c r="CZ20">
        <f t="shared" si="4"/>
        <v>0</v>
      </c>
      <c r="DA20">
        <f t="shared" si="5"/>
        <v>1</v>
      </c>
      <c r="DB20">
        <f t="shared" si="6"/>
        <v>0</v>
      </c>
      <c r="DC20">
        <f t="shared" si="7"/>
        <v>0</v>
      </c>
      <c r="DD20">
        <f t="shared" si="8"/>
        <v>0</v>
      </c>
      <c r="DE20">
        <f t="shared" si="9"/>
        <v>0</v>
      </c>
      <c r="DF20">
        <f t="shared" si="10"/>
        <v>0</v>
      </c>
      <c r="DH20">
        <v>0</v>
      </c>
      <c r="DI20">
        <v>0</v>
      </c>
      <c r="DJ20">
        <v>0</v>
      </c>
      <c r="DK20">
        <v>0</v>
      </c>
      <c r="DL20">
        <v>1</v>
      </c>
      <c r="DM20">
        <f t="shared" si="30"/>
        <v>0</v>
      </c>
      <c r="DN20">
        <f t="shared" si="31"/>
        <v>1</v>
      </c>
      <c r="DP20">
        <v>0</v>
      </c>
      <c r="DQ20">
        <v>0</v>
      </c>
      <c r="DR20">
        <v>0</v>
      </c>
      <c r="DS20">
        <v>1</v>
      </c>
      <c r="DT20">
        <v>0</v>
      </c>
      <c r="DU20">
        <v>0</v>
      </c>
      <c r="DV20">
        <f t="shared" si="32"/>
        <v>0</v>
      </c>
      <c r="DW20">
        <v>0</v>
      </c>
      <c r="DX20">
        <f t="shared" si="33"/>
        <v>1</v>
      </c>
      <c r="DZ20">
        <f t="shared" si="34"/>
        <v>0</v>
      </c>
      <c r="EA20">
        <f t="shared" si="11"/>
        <v>0</v>
      </c>
      <c r="EB20">
        <f t="shared" si="12"/>
        <v>0</v>
      </c>
      <c r="EC20">
        <f t="shared" si="13"/>
        <v>1</v>
      </c>
      <c r="ED20">
        <f t="shared" si="14"/>
        <v>0</v>
      </c>
      <c r="EE20">
        <f t="shared" si="15"/>
        <v>0</v>
      </c>
      <c r="EF20">
        <f t="shared" si="16"/>
        <v>0</v>
      </c>
      <c r="EG20">
        <f t="shared" si="17"/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f t="shared" si="35"/>
        <v>0</v>
      </c>
      <c r="EO20">
        <f t="shared" si="36"/>
        <v>1</v>
      </c>
      <c r="EQ20">
        <f t="shared" si="37"/>
        <v>0</v>
      </c>
      <c r="ER20">
        <f t="shared" si="18"/>
        <v>0</v>
      </c>
      <c r="ES20">
        <f t="shared" si="19"/>
        <v>0</v>
      </c>
      <c r="ET20">
        <f t="shared" si="20"/>
        <v>1</v>
      </c>
      <c r="EU20">
        <f t="shared" si="21"/>
        <v>0</v>
      </c>
      <c r="EV20">
        <f t="shared" si="22"/>
        <v>0</v>
      </c>
      <c r="EW20">
        <f t="shared" si="38"/>
        <v>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f t="shared" si="39"/>
        <v>1</v>
      </c>
      <c r="FZ20">
        <v>0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f t="shared" si="40"/>
        <v>1</v>
      </c>
    </row>
    <row r="21" spans="1:189" x14ac:dyDescent="0.35">
      <c r="A21" t="s">
        <v>124</v>
      </c>
      <c r="B21">
        <f>[1]Population!$BB23</f>
        <v>10895586</v>
      </c>
      <c r="C21">
        <f>[1]RealGDP!$BB23</f>
        <v>400383139123.5824</v>
      </c>
      <c r="D21" s="8">
        <f>[1]GDPcap!$BB23</f>
        <v>36747.279047091397</v>
      </c>
      <c r="E21" s="8">
        <v>24.333929972706144</v>
      </c>
      <c r="F21">
        <v>0.76242021032565011</v>
      </c>
      <c r="G21">
        <f>RANK(D21,D$4:D21:D$201)</f>
        <v>20</v>
      </c>
      <c r="H21" t="s">
        <v>124</v>
      </c>
      <c r="J21">
        <v>2</v>
      </c>
      <c r="K21">
        <v>2.6</v>
      </c>
      <c r="L21">
        <v>5.3</v>
      </c>
      <c r="M21">
        <v>8.1999999999999993</v>
      </c>
      <c r="N21">
        <v>12.5</v>
      </c>
      <c r="O21">
        <v>15.4</v>
      </c>
      <c r="P21">
        <v>17.2</v>
      </c>
      <c r="Q21">
        <v>17.2</v>
      </c>
      <c r="R21">
        <v>14.5</v>
      </c>
      <c r="S21">
        <v>10.8</v>
      </c>
      <c r="T21">
        <v>5.8</v>
      </c>
      <c r="U21">
        <v>3.1</v>
      </c>
      <c r="V21">
        <v>8.6999999999999993</v>
      </c>
      <c r="W21">
        <v>16.600000000000001</v>
      </c>
      <c r="X21">
        <v>10.3</v>
      </c>
      <c r="Y21">
        <v>2.4</v>
      </c>
      <c r="Z21">
        <v>9.6</v>
      </c>
      <c r="AB21">
        <f t="shared" si="23"/>
        <v>0</v>
      </c>
      <c r="AC21">
        <f t="shared" si="24"/>
        <v>0</v>
      </c>
      <c r="AD21">
        <f t="shared" si="25"/>
        <v>0</v>
      </c>
      <c r="AE21">
        <f t="shared" si="26"/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f t="shared" si="0"/>
        <v>1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f t="shared" si="1"/>
        <v>1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f t="shared" si="2"/>
        <v>1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f t="shared" si="27"/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f t="shared" si="28"/>
        <v>1</v>
      </c>
      <c r="CX21">
        <f t="shared" si="29"/>
        <v>0</v>
      </c>
      <c r="CY21">
        <f t="shared" si="3"/>
        <v>1</v>
      </c>
      <c r="CZ21">
        <f t="shared" si="4"/>
        <v>0</v>
      </c>
      <c r="DA21">
        <f t="shared" si="5"/>
        <v>0</v>
      </c>
      <c r="DB21">
        <f t="shared" si="6"/>
        <v>0</v>
      </c>
      <c r="DC21">
        <f t="shared" si="7"/>
        <v>0</v>
      </c>
      <c r="DD21">
        <f t="shared" si="8"/>
        <v>0</v>
      </c>
      <c r="DE21">
        <f t="shared" si="9"/>
        <v>0</v>
      </c>
      <c r="DF21">
        <f t="shared" si="10"/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f t="shared" si="30"/>
        <v>0</v>
      </c>
      <c r="DN21">
        <f t="shared" si="31"/>
        <v>1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f t="shared" si="32"/>
        <v>0</v>
      </c>
      <c r="DW21">
        <v>0</v>
      </c>
      <c r="DX21">
        <f t="shared" si="33"/>
        <v>1</v>
      </c>
      <c r="DZ21">
        <f t="shared" si="34"/>
        <v>1</v>
      </c>
      <c r="EA21">
        <f t="shared" si="11"/>
        <v>0</v>
      </c>
      <c r="EB21">
        <f t="shared" si="12"/>
        <v>0</v>
      </c>
      <c r="EC21">
        <f t="shared" si="13"/>
        <v>0</v>
      </c>
      <c r="ED21">
        <f t="shared" si="14"/>
        <v>0</v>
      </c>
      <c r="EE21">
        <f t="shared" si="15"/>
        <v>0</v>
      </c>
      <c r="EF21">
        <f t="shared" si="16"/>
        <v>0</v>
      </c>
      <c r="EG21">
        <f t="shared" si="17"/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f t="shared" si="35"/>
        <v>0</v>
      </c>
      <c r="EO21">
        <f t="shared" si="36"/>
        <v>1</v>
      </c>
      <c r="EQ21">
        <f t="shared" si="37"/>
        <v>1</v>
      </c>
      <c r="ER21">
        <f t="shared" si="18"/>
        <v>0</v>
      </c>
      <c r="ES21">
        <f t="shared" si="19"/>
        <v>0</v>
      </c>
      <c r="ET21">
        <f t="shared" si="20"/>
        <v>0</v>
      </c>
      <c r="EU21">
        <f t="shared" si="21"/>
        <v>0</v>
      </c>
      <c r="EV21">
        <f t="shared" si="22"/>
        <v>0</v>
      </c>
      <c r="EW21">
        <f t="shared" si="38"/>
        <v>1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1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f t="shared" si="39"/>
        <v>1</v>
      </c>
      <c r="FZ21">
        <v>0</v>
      </c>
      <c r="GA21">
        <v>0</v>
      </c>
      <c r="GB21">
        <v>1</v>
      </c>
      <c r="GC21">
        <v>0</v>
      </c>
      <c r="GD21">
        <v>0</v>
      </c>
      <c r="GE21">
        <v>0</v>
      </c>
      <c r="GF21">
        <v>0</v>
      </c>
      <c r="GG21">
        <f t="shared" si="40"/>
        <v>1</v>
      </c>
    </row>
    <row r="22" spans="1:189" x14ac:dyDescent="0.35">
      <c r="A22" t="s">
        <v>353</v>
      </c>
      <c r="B22">
        <f>[1]Population!$BB24</f>
        <v>308595</v>
      </c>
      <c r="C22">
        <f>[1]RealGDP!$BB24</f>
        <v>1277265951.2394526</v>
      </c>
      <c r="D22" s="8">
        <f>[1]GDPcap!$BB24</f>
        <v>4138.971633498445</v>
      </c>
      <c r="E22" s="8">
        <v>23.596652082907081</v>
      </c>
      <c r="F22">
        <v>11.49666478409466</v>
      </c>
      <c r="G22">
        <f>RANK(D22,D$4:D22:D$201)</f>
        <v>96</v>
      </c>
      <c r="H22" t="s">
        <v>353</v>
      </c>
      <c r="J22">
        <v>22.7</v>
      </c>
      <c r="K22">
        <v>23.3</v>
      </c>
      <c r="L22">
        <v>24.7</v>
      </c>
      <c r="M22">
        <v>26.2</v>
      </c>
      <c r="N22">
        <v>27</v>
      </c>
      <c r="O22">
        <v>27.1</v>
      </c>
      <c r="P22">
        <v>26.6</v>
      </c>
      <c r="Q22">
        <v>26.9</v>
      </c>
      <c r="R22">
        <v>26.7</v>
      </c>
      <c r="S22">
        <v>25.6</v>
      </c>
      <c r="T22">
        <v>23.9</v>
      </c>
      <c r="U22">
        <v>22.9</v>
      </c>
      <c r="V22">
        <v>26</v>
      </c>
      <c r="W22">
        <v>26.8</v>
      </c>
      <c r="X22">
        <v>25.4</v>
      </c>
      <c r="Y22">
        <v>22.2</v>
      </c>
      <c r="Z22">
        <v>25.3</v>
      </c>
      <c r="AB22">
        <f t="shared" si="23"/>
        <v>0</v>
      </c>
      <c r="AC22">
        <f t="shared" si="24"/>
        <v>0</v>
      </c>
      <c r="AD22">
        <f t="shared" si="25"/>
        <v>1</v>
      </c>
      <c r="AE22">
        <f t="shared" si="26"/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f t="shared" si="0"/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f t="shared" si="1"/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f t="shared" si="2"/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f t="shared" si="27"/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f t="shared" si="28"/>
        <v>1</v>
      </c>
      <c r="CX22">
        <f t="shared" si="29"/>
        <v>0</v>
      </c>
      <c r="CY22">
        <f t="shared" si="3"/>
        <v>0</v>
      </c>
      <c r="CZ22">
        <f t="shared" si="4"/>
        <v>0</v>
      </c>
      <c r="DA22">
        <f t="shared" si="5"/>
        <v>0</v>
      </c>
      <c r="DB22">
        <f t="shared" si="6"/>
        <v>0</v>
      </c>
      <c r="DC22">
        <f t="shared" si="7"/>
        <v>1</v>
      </c>
      <c r="DD22">
        <f t="shared" si="8"/>
        <v>0</v>
      </c>
      <c r="DE22">
        <f t="shared" si="9"/>
        <v>0</v>
      </c>
      <c r="DF22">
        <f t="shared" si="10"/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f t="shared" si="30"/>
        <v>1</v>
      </c>
      <c r="DN22">
        <f t="shared" si="31"/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f t="shared" si="32"/>
        <v>0</v>
      </c>
      <c r="DW22">
        <v>1</v>
      </c>
      <c r="DX22">
        <f t="shared" si="33"/>
        <v>1</v>
      </c>
      <c r="DZ22">
        <f t="shared" si="34"/>
        <v>0</v>
      </c>
      <c r="EA22">
        <f t="shared" si="11"/>
        <v>0</v>
      </c>
      <c r="EB22">
        <f t="shared" si="12"/>
        <v>0</v>
      </c>
      <c r="EC22">
        <f t="shared" si="13"/>
        <v>0</v>
      </c>
      <c r="ED22">
        <f t="shared" si="14"/>
        <v>0</v>
      </c>
      <c r="EE22">
        <f t="shared" si="15"/>
        <v>0</v>
      </c>
      <c r="EF22">
        <f t="shared" si="16"/>
        <v>0</v>
      </c>
      <c r="EG22">
        <f t="shared" si="17"/>
        <v>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f t="shared" si="35"/>
        <v>1</v>
      </c>
      <c r="EO22">
        <f t="shared" si="36"/>
        <v>1</v>
      </c>
      <c r="EQ22">
        <f t="shared" si="37"/>
        <v>0</v>
      </c>
      <c r="ER22">
        <f t="shared" si="18"/>
        <v>0</v>
      </c>
      <c r="ES22">
        <f t="shared" si="19"/>
        <v>0</v>
      </c>
      <c r="ET22">
        <f t="shared" si="20"/>
        <v>0</v>
      </c>
      <c r="EU22">
        <f t="shared" si="21"/>
        <v>0</v>
      </c>
      <c r="EV22">
        <f t="shared" si="22"/>
        <v>1</v>
      </c>
      <c r="EW22">
        <f t="shared" si="38"/>
        <v>1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f t="shared" si="39"/>
        <v>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f t="shared" si="40"/>
        <v>1</v>
      </c>
    </row>
    <row r="23" spans="1:189" x14ac:dyDescent="0.35">
      <c r="A23" t="s">
        <v>125</v>
      </c>
      <c r="B23">
        <f>[1]Population!$BB25</f>
        <v>9509798</v>
      </c>
      <c r="C23">
        <f>[1]RealGDP!$BB25</f>
        <v>5230812507.6709518</v>
      </c>
      <c r="D23" s="8">
        <f>[1]GDPcap!$BB25</f>
        <v>550.04454433952765</v>
      </c>
      <c r="E23" s="8">
        <v>15.533592341724118</v>
      </c>
      <c r="F23">
        <v>22.736226174613289</v>
      </c>
      <c r="G23">
        <f>RANK(D23,D$4:D23:D$201)</f>
        <v>172</v>
      </c>
      <c r="H23" t="s">
        <v>125</v>
      </c>
      <c r="J23">
        <v>26.4</v>
      </c>
      <c r="K23">
        <v>28.6</v>
      </c>
      <c r="L23">
        <v>30.2</v>
      </c>
      <c r="M23">
        <v>30.4</v>
      </c>
      <c r="N23">
        <v>29.1</v>
      </c>
      <c r="O23">
        <v>27.3</v>
      </c>
      <c r="P23">
        <v>26</v>
      </c>
      <c r="Q23">
        <v>25.6</v>
      </c>
      <c r="R23">
        <v>25.9</v>
      </c>
      <c r="S23">
        <v>27.2</v>
      </c>
      <c r="T23">
        <v>27.2</v>
      </c>
      <c r="U23">
        <v>26.3</v>
      </c>
      <c r="V23">
        <v>29.9</v>
      </c>
      <c r="W23">
        <v>26.3</v>
      </c>
      <c r="X23">
        <v>26.8</v>
      </c>
      <c r="Y23">
        <v>26.2</v>
      </c>
      <c r="Z23">
        <v>27.5</v>
      </c>
      <c r="AB23">
        <f t="shared" si="23"/>
        <v>1</v>
      </c>
      <c r="AC23">
        <f t="shared" si="24"/>
        <v>0</v>
      </c>
      <c r="AD23">
        <f t="shared" si="25"/>
        <v>0</v>
      </c>
      <c r="AE23">
        <f t="shared" si="26"/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f t="shared" si="0"/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f t="shared" si="1"/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f t="shared" si="2"/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f t="shared" si="27"/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f t="shared" si="28"/>
        <v>1</v>
      </c>
      <c r="CX23">
        <f t="shared" si="29"/>
        <v>0</v>
      </c>
      <c r="CY23">
        <f t="shared" si="3"/>
        <v>0</v>
      </c>
      <c r="CZ23">
        <f t="shared" si="4"/>
        <v>0</v>
      </c>
      <c r="DA23">
        <f t="shared" si="5"/>
        <v>0</v>
      </c>
      <c r="DB23">
        <f t="shared" si="6"/>
        <v>0</v>
      </c>
      <c r="DC23">
        <f t="shared" si="7"/>
        <v>0</v>
      </c>
      <c r="DD23">
        <f t="shared" si="8"/>
        <v>0</v>
      </c>
      <c r="DE23">
        <f t="shared" si="9"/>
        <v>0</v>
      </c>
      <c r="DF23">
        <f t="shared" si="10"/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f t="shared" si="30"/>
        <v>1</v>
      </c>
      <c r="DN23">
        <f t="shared" si="31"/>
        <v>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f t="shared" si="32"/>
        <v>1</v>
      </c>
      <c r="DW23">
        <v>0</v>
      </c>
      <c r="DX23">
        <f t="shared" si="33"/>
        <v>1</v>
      </c>
      <c r="DZ23">
        <f t="shared" si="34"/>
        <v>0</v>
      </c>
      <c r="EA23">
        <f t="shared" si="11"/>
        <v>0</v>
      </c>
      <c r="EB23">
        <f t="shared" si="12"/>
        <v>0</v>
      </c>
      <c r="EC23">
        <f t="shared" si="13"/>
        <v>0</v>
      </c>
      <c r="ED23">
        <f t="shared" si="14"/>
        <v>0</v>
      </c>
      <c r="EE23">
        <f t="shared" si="15"/>
        <v>0</v>
      </c>
      <c r="EF23">
        <f t="shared" si="16"/>
        <v>1</v>
      </c>
      <c r="EG23">
        <f t="shared" si="17"/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f t="shared" si="35"/>
        <v>1</v>
      </c>
      <c r="EO23">
        <f t="shared" si="36"/>
        <v>1</v>
      </c>
      <c r="EQ23">
        <f t="shared" si="37"/>
        <v>0</v>
      </c>
      <c r="ER23">
        <f t="shared" si="18"/>
        <v>0</v>
      </c>
      <c r="ES23">
        <f t="shared" si="19"/>
        <v>0</v>
      </c>
      <c r="ET23">
        <f t="shared" si="20"/>
        <v>0</v>
      </c>
      <c r="EU23">
        <f t="shared" si="21"/>
        <v>0</v>
      </c>
      <c r="EV23">
        <f t="shared" si="22"/>
        <v>1</v>
      </c>
      <c r="EW23">
        <f t="shared" si="38"/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</v>
      </c>
      <c r="FX23">
        <f t="shared" si="39"/>
        <v>1</v>
      </c>
      <c r="FZ23">
        <v>1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f t="shared" si="40"/>
        <v>1</v>
      </c>
    </row>
    <row r="24" spans="1:189" x14ac:dyDescent="0.35">
      <c r="A24" t="s">
        <v>354</v>
      </c>
      <c r="B24">
        <f>[1]Population!$BB26</f>
        <v>65124</v>
      </c>
      <c r="C24">
        <f>[1]RealGDP!$BB26</f>
        <v>4975071875.076025</v>
      </c>
      <c r="D24" s="8">
        <f>[1]GDPcap!$BB26</f>
        <v>76393.831384374804</v>
      </c>
      <c r="E24" s="8"/>
      <c r="F24">
        <v>0.74804845193957126</v>
      </c>
      <c r="G24">
        <f>RANK(D24,D$4:D24:D$201)</f>
        <v>4</v>
      </c>
      <c r="H24" t="s">
        <v>354</v>
      </c>
      <c r="J24">
        <v>17.2</v>
      </c>
      <c r="K24">
        <v>17.100000000000001</v>
      </c>
      <c r="L24">
        <v>17.3</v>
      </c>
      <c r="M24">
        <v>18.3</v>
      </c>
      <c r="N24">
        <v>20.9</v>
      </c>
      <c r="O24">
        <v>23.7</v>
      </c>
      <c r="P24">
        <v>25.9</v>
      </c>
      <c r="Q24">
        <v>26.5</v>
      </c>
      <c r="R24">
        <v>25.8</v>
      </c>
      <c r="S24">
        <v>23.9</v>
      </c>
      <c r="T24">
        <v>20.7</v>
      </c>
      <c r="U24">
        <v>18.399999999999999</v>
      </c>
      <c r="V24">
        <v>18.8</v>
      </c>
      <c r="W24">
        <v>25.4</v>
      </c>
      <c r="X24">
        <v>23.4</v>
      </c>
      <c r="Y24">
        <v>17</v>
      </c>
      <c r="Z24">
        <v>21.3</v>
      </c>
      <c r="AB24">
        <f t="shared" si="23"/>
        <v>0</v>
      </c>
      <c r="AC24">
        <f t="shared" si="24"/>
        <v>0</v>
      </c>
      <c r="AD24">
        <f t="shared" si="25"/>
        <v>0</v>
      </c>
      <c r="AE24">
        <f t="shared" si="26"/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f t="shared" si="0"/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f t="shared" si="1"/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f t="shared" si="2"/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f t="shared" si="27"/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f t="shared" si="28"/>
        <v>1</v>
      </c>
      <c r="CX24">
        <f t="shared" si="29"/>
        <v>0</v>
      </c>
      <c r="CY24">
        <f t="shared" si="3"/>
        <v>0</v>
      </c>
      <c r="CZ24">
        <f t="shared" si="4"/>
        <v>0</v>
      </c>
      <c r="DA24">
        <f t="shared" si="5"/>
        <v>0</v>
      </c>
      <c r="DB24">
        <f t="shared" si="6"/>
        <v>0</v>
      </c>
      <c r="DC24">
        <f t="shared" si="7"/>
        <v>1</v>
      </c>
      <c r="DD24">
        <f t="shared" si="8"/>
        <v>0</v>
      </c>
      <c r="DE24">
        <f t="shared" si="9"/>
        <v>0</v>
      </c>
      <c r="DF24">
        <f t="shared" si="10"/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f t="shared" si="30"/>
        <v>1</v>
      </c>
      <c r="DN24">
        <f t="shared" si="31"/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f t="shared" si="32"/>
        <v>0</v>
      </c>
      <c r="DW24">
        <v>1</v>
      </c>
      <c r="DX24">
        <f t="shared" si="33"/>
        <v>1</v>
      </c>
      <c r="DZ24">
        <f t="shared" si="34"/>
        <v>0</v>
      </c>
      <c r="EA24">
        <f t="shared" si="11"/>
        <v>0</v>
      </c>
      <c r="EB24">
        <f t="shared" si="12"/>
        <v>0</v>
      </c>
      <c r="EC24">
        <f t="shared" si="13"/>
        <v>0</v>
      </c>
      <c r="ED24">
        <f t="shared" si="14"/>
        <v>0</v>
      </c>
      <c r="EE24">
        <f t="shared" si="15"/>
        <v>0</v>
      </c>
      <c r="EF24">
        <f t="shared" si="16"/>
        <v>0</v>
      </c>
      <c r="EG24">
        <f t="shared" si="17"/>
        <v>1</v>
      </c>
      <c r="EI24">
        <v>0</v>
      </c>
      <c r="EJ24">
        <v>0</v>
      </c>
      <c r="EK24">
        <v>0</v>
      </c>
      <c r="EL24">
        <v>0</v>
      </c>
      <c r="EM24">
        <v>0</v>
      </c>
      <c r="EN24">
        <f t="shared" si="35"/>
        <v>1</v>
      </c>
      <c r="EO24">
        <f t="shared" si="36"/>
        <v>1</v>
      </c>
      <c r="EQ24">
        <f t="shared" si="37"/>
        <v>0</v>
      </c>
      <c r="ER24">
        <f t="shared" si="18"/>
        <v>0</v>
      </c>
      <c r="ES24">
        <f t="shared" si="19"/>
        <v>0</v>
      </c>
      <c r="ET24">
        <f t="shared" si="20"/>
        <v>0</v>
      </c>
      <c r="EU24">
        <f t="shared" si="21"/>
        <v>0</v>
      </c>
      <c r="EV24">
        <f t="shared" si="22"/>
        <v>1</v>
      </c>
      <c r="EW24">
        <f t="shared" si="38"/>
        <v>1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f t="shared" si="39"/>
        <v>1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f t="shared" si="40"/>
        <v>1</v>
      </c>
    </row>
    <row r="25" spans="1:189" x14ac:dyDescent="0.35">
      <c r="A25" t="s">
        <v>355</v>
      </c>
      <c r="B25">
        <f>[1]Population!$BB27</f>
        <v>716939</v>
      </c>
      <c r="C25">
        <f>[1]RealGDP!$BB27</f>
        <v>1288216614.4579239</v>
      </c>
      <c r="D25" s="8">
        <f>[1]GDPcap!$BB27</f>
        <v>1796.8287601287193</v>
      </c>
      <c r="E25" s="8">
        <v>13.143296522614728</v>
      </c>
      <c r="F25">
        <v>16.797701973874783</v>
      </c>
      <c r="G25">
        <f>RANK(D25,D$4:D25:D$201)</f>
        <v>132</v>
      </c>
      <c r="H25" t="s">
        <v>355</v>
      </c>
      <c r="J25">
        <v>-0.8</v>
      </c>
      <c r="K25">
        <v>0.8</v>
      </c>
      <c r="L25">
        <v>4.2</v>
      </c>
      <c r="M25">
        <v>7.4</v>
      </c>
      <c r="N25">
        <v>10.4</v>
      </c>
      <c r="O25">
        <v>13.5</v>
      </c>
      <c r="P25">
        <v>13.9</v>
      </c>
      <c r="Q25">
        <v>13.6</v>
      </c>
      <c r="R25">
        <v>12.4</v>
      </c>
      <c r="S25">
        <v>8.4</v>
      </c>
      <c r="T25">
        <v>3.8</v>
      </c>
      <c r="U25">
        <v>0.8</v>
      </c>
      <c r="V25">
        <v>7.3</v>
      </c>
      <c r="W25">
        <v>13.7</v>
      </c>
      <c r="X25">
        <v>8.1999999999999993</v>
      </c>
      <c r="Y25">
        <v>0.2</v>
      </c>
      <c r="Z25">
        <v>7.4</v>
      </c>
      <c r="AB25">
        <f t="shared" si="23"/>
        <v>0</v>
      </c>
      <c r="AC25">
        <f t="shared" si="24"/>
        <v>1</v>
      </c>
      <c r="AD25">
        <f t="shared" si="25"/>
        <v>0</v>
      </c>
      <c r="AE25">
        <f t="shared" si="26"/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f t="shared" si="0"/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>
        <f t="shared" si="1"/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f t="shared" si="2"/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f t="shared" si="27"/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f t="shared" si="28"/>
        <v>1</v>
      </c>
      <c r="CX25">
        <f t="shared" si="29"/>
        <v>0</v>
      </c>
      <c r="CY25">
        <f t="shared" si="3"/>
        <v>0</v>
      </c>
      <c r="CZ25">
        <f t="shared" si="4"/>
        <v>0</v>
      </c>
      <c r="DA25">
        <f t="shared" si="5"/>
        <v>0</v>
      </c>
      <c r="DB25">
        <f t="shared" si="6"/>
        <v>0</v>
      </c>
      <c r="DC25">
        <f t="shared" si="7"/>
        <v>0</v>
      </c>
      <c r="DD25">
        <f t="shared" si="8"/>
        <v>1</v>
      </c>
      <c r="DE25">
        <f t="shared" si="9"/>
        <v>0</v>
      </c>
      <c r="DF25">
        <f t="shared" si="10"/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f t="shared" si="30"/>
        <v>1</v>
      </c>
      <c r="DN25">
        <f t="shared" si="31"/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</v>
      </c>
      <c r="DV25">
        <f t="shared" si="32"/>
        <v>0</v>
      </c>
      <c r="DW25">
        <v>0</v>
      </c>
      <c r="DX25">
        <f t="shared" si="33"/>
        <v>1</v>
      </c>
      <c r="DZ25">
        <f t="shared" si="34"/>
        <v>0</v>
      </c>
      <c r="EA25">
        <f t="shared" si="11"/>
        <v>0</v>
      </c>
      <c r="EB25">
        <f t="shared" si="12"/>
        <v>0</v>
      </c>
      <c r="EC25">
        <f t="shared" si="13"/>
        <v>0</v>
      </c>
      <c r="ED25">
        <f t="shared" si="14"/>
        <v>0</v>
      </c>
      <c r="EE25">
        <f t="shared" si="15"/>
        <v>1</v>
      </c>
      <c r="EF25">
        <f t="shared" si="16"/>
        <v>0</v>
      </c>
      <c r="EG25">
        <f t="shared" si="17"/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f t="shared" si="35"/>
        <v>1</v>
      </c>
      <c r="EO25">
        <f t="shared" si="36"/>
        <v>1</v>
      </c>
      <c r="EQ25">
        <f t="shared" si="37"/>
        <v>0</v>
      </c>
      <c r="ER25">
        <f t="shared" si="18"/>
        <v>0</v>
      </c>
      <c r="ES25">
        <f t="shared" si="19"/>
        <v>0</v>
      </c>
      <c r="ET25">
        <f t="shared" si="20"/>
        <v>0</v>
      </c>
      <c r="EU25">
        <f t="shared" si="21"/>
        <v>0</v>
      </c>
      <c r="EV25">
        <f t="shared" si="22"/>
        <v>1</v>
      </c>
      <c r="EW25">
        <f t="shared" si="38"/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0</v>
      </c>
      <c r="FX25">
        <f t="shared" si="39"/>
        <v>1</v>
      </c>
      <c r="FZ25">
        <v>0</v>
      </c>
      <c r="GA25">
        <v>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f t="shared" si="40"/>
        <v>1</v>
      </c>
    </row>
    <row r="26" spans="1:189" x14ac:dyDescent="0.35">
      <c r="A26" t="s">
        <v>126</v>
      </c>
      <c r="B26">
        <f>[1]Population!$BB28</f>
        <v>10156601</v>
      </c>
      <c r="C26">
        <f>[1]RealGDP!$BB28</f>
        <v>11954060130.08857</v>
      </c>
      <c r="D26" s="8">
        <f>[1]GDPcap!$BB28</f>
        <v>1176.9744750324021</v>
      </c>
      <c r="E26" s="8"/>
      <c r="F26">
        <v>10.389905338413545</v>
      </c>
      <c r="G26">
        <f>RANK(D26,D$4:D26:D$201)</f>
        <v>143</v>
      </c>
      <c r="H26" t="s">
        <v>126</v>
      </c>
      <c r="J26">
        <v>23</v>
      </c>
      <c r="K26">
        <v>22.9</v>
      </c>
      <c r="L26">
        <v>22.5</v>
      </c>
      <c r="M26">
        <v>21.5</v>
      </c>
      <c r="N26">
        <v>19.899999999999999</v>
      </c>
      <c r="O26">
        <v>18.3</v>
      </c>
      <c r="P26">
        <v>18.399999999999999</v>
      </c>
      <c r="Q26">
        <v>20.100000000000001</v>
      </c>
      <c r="R26">
        <v>22</v>
      </c>
      <c r="S26">
        <v>23.1</v>
      </c>
      <c r="T26">
        <v>23.4</v>
      </c>
      <c r="U26">
        <v>23.2</v>
      </c>
      <c r="V26">
        <v>21.3</v>
      </c>
      <c r="W26">
        <v>18.899999999999999</v>
      </c>
      <c r="X26">
        <v>22.8</v>
      </c>
      <c r="Y26">
        <v>22.3</v>
      </c>
      <c r="Z26">
        <v>21.5</v>
      </c>
      <c r="AB26">
        <f t="shared" si="23"/>
        <v>0</v>
      </c>
      <c r="AC26">
        <f t="shared" si="24"/>
        <v>1</v>
      </c>
      <c r="AD26">
        <f t="shared" si="25"/>
        <v>0</v>
      </c>
      <c r="AE26">
        <f t="shared" si="26"/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f t="shared" si="0"/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f t="shared" si="1"/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f t="shared" si="2"/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f t="shared" si="27"/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f t="shared" si="28"/>
        <v>1</v>
      </c>
      <c r="CX26">
        <f t="shared" si="29"/>
        <v>0</v>
      </c>
      <c r="CY26">
        <f t="shared" si="3"/>
        <v>0</v>
      </c>
      <c r="CZ26">
        <f t="shared" si="4"/>
        <v>0</v>
      </c>
      <c r="DA26">
        <f t="shared" si="5"/>
        <v>0</v>
      </c>
      <c r="DB26">
        <f t="shared" si="6"/>
        <v>0</v>
      </c>
      <c r="DC26">
        <f t="shared" si="7"/>
        <v>1</v>
      </c>
      <c r="DD26">
        <f t="shared" si="8"/>
        <v>0</v>
      </c>
      <c r="DE26">
        <f t="shared" si="9"/>
        <v>0</v>
      </c>
      <c r="DF26">
        <f t="shared" si="10"/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f t="shared" si="30"/>
        <v>1</v>
      </c>
      <c r="DN26">
        <f t="shared" si="31"/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f t="shared" si="32"/>
        <v>0</v>
      </c>
      <c r="DW26">
        <v>1</v>
      </c>
      <c r="DX26">
        <f t="shared" si="33"/>
        <v>1</v>
      </c>
      <c r="DZ26">
        <f t="shared" si="34"/>
        <v>0</v>
      </c>
      <c r="EA26">
        <f t="shared" si="11"/>
        <v>0</v>
      </c>
      <c r="EB26">
        <f t="shared" si="12"/>
        <v>0</v>
      </c>
      <c r="EC26">
        <f t="shared" si="13"/>
        <v>0</v>
      </c>
      <c r="ED26">
        <f t="shared" si="14"/>
        <v>0</v>
      </c>
      <c r="EE26">
        <f t="shared" si="15"/>
        <v>0</v>
      </c>
      <c r="EF26">
        <f t="shared" si="16"/>
        <v>0</v>
      </c>
      <c r="EG26">
        <f t="shared" si="17"/>
        <v>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f t="shared" si="35"/>
        <v>1</v>
      </c>
      <c r="EO26">
        <f t="shared" si="36"/>
        <v>1</v>
      </c>
      <c r="EQ26">
        <f t="shared" si="37"/>
        <v>0</v>
      </c>
      <c r="ER26">
        <f t="shared" si="18"/>
        <v>0</v>
      </c>
      <c r="ES26">
        <f t="shared" si="19"/>
        <v>0</v>
      </c>
      <c r="ET26">
        <f t="shared" si="20"/>
        <v>0</v>
      </c>
      <c r="EU26">
        <f t="shared" si="21"/>
        <v>0</v>
      </c>
      <c r="EV26">
        <f t="shared" si="22"/>
        <v>1</v>
      </c>
      <c r="EW26">
        <f t="shared" si="38"/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f t="shared" si="39"/>
        <v>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f t="shared" si="40"/>
        <v>1</v>
      </c>
    </row>
    <row r="27" spans="1:189" x14ac:dyDescent="0.35">
      <c r="A27" t="s">
        <v>246</v>
      </c>
      <c r="B27">
        <f>[1]Population!$BB29</f>
        <v>3845929</v>
      </c>
      <c r="C27">
        <f>[1]RealGDP!$BB29</f>
        <v>12803068421.085346</v>
      </c>
      <c r="D27" s="8">
        <f>[1]GDPcap!$BB29</f>
        <v>3328.9924023780331</v>
      </c>
      <c r="E27" s="8">
        <v>19.685676092677955</v>
      </c>
      <c r="F27">
        <v>6.7967600807302881</v>
      </c>
      <c r="G27">
        <f>RANK(D27,D$4:D27:D$201)</f>
        <v>105</v>
      </c>
      <c r="H27" t="s">
        <v>440</v>
      </c>
      <c r="J27">
        <v>-0.6</v>
      </c>
      <c r="K27">
        <v>1.2</v>
      </c>
      <c r="L27">
        <v>4.9000000000000004</v>
      </c>
      <c r="M27">
        <v>9.4</v>
      </c>
      <c r="N27">
        <v>13.9</v>
      </c>
      <c r="O27">
        <v>17.3</v>
      </c>
      <c r="P27">
        <v>19.399999999999999</v>
      </c>
      <c r="Q27">
        <v>19.2</v>
      </c>
      <c r="R27">
        <v>15.8</v>
      </c>
      <c r="S27">
        <v>10.7</v>
      </c>
      <c r="T27">
        <v>5.5</v>
      </c>
      <c r="U27">
        <v>1.4</v>
      </c>
      <c r="V27">
        <v>9.4</v>
      </c>
      <c r="W27">
        <v>18.600000000000001</v>
      </c>
      <c r="X27">
        <v>10.7</v>
      </c>
      <c r="Y27">
        <v>0.6</v>
      </c>
      <c r="Z27">
        <v>9.8000000000000007</v>
      </c>
      <c r="AB27">
        <f t="shared" si="23"/>
        <v>0</v>
      </c>
      <c r="AC27">
        <f t="shared" si="24"/>
        <v>1</v>
      </c>
      <c r="AD27">
        <f t="shared" si="25"/>
        <v>0</v>
      </c>
      <c r="AE27">
        <f t="shared" si="26"/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f t="shared" si="0"/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f t="shared" si="1"/>
        <v>1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f t="shared" si="2"/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f t="shared" si="27"/>
        <v>1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f t="shared" si="28"/>
        <v>1</v>
      </c>
      <c r="CX27">
        <f t="shared" si="29"/>
        <v>0</v>
      </c>
      <c r="CY27">
        <f t="shared" si="3"/>
        <v>0</v>
      </c>
      <c r="CZ27">
        <f t="shared" si="4"/>
        <v>0</v>
      </c>
      <c r="DA27">
        <f t="shared" si="5"/>
        <v>1</v>
      </c>
      <c r="DB27">
        <f t="shared" si="6"/>
        <v>0</v>
      </c>
      <c r="DC27">
        <f t="shared" si="7"/>
        <v>0</v>
      </c>
      <c r="DD27">
        <f t="shared" si="8"/>
        <v>0</v>
      </c>
      <c r="DE27">
        <f t="shared" si="9"/>
        <v>0</v>
      </c>
      <c r="DF27">
        <f t="shared" si="10"/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f t="shared" si="30"/>
        <v>1</v>
      </c>
      <c r="DN27">
        <f t="shared" si="31"/>
        <v>1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f t="shared" si="32"/>
        <v>0</v>
      </c>
      <c r="DW27">
        <v>0</v>
      </c>
      <c r="DX27">
        <f t="shared" si="33"/>
        <v>1</v>
      </c>
      <c r="DZ27">
        <f t="shared" si="34"/>
        <v>0</v>
      </c>
      <c r="EA27">
        <f t="shared" si="11"/>
        <v>0</v>
      </c>
      <c r="EB27">
        <f t="shared" si="12"/>
        <v>0</v>
      </c>
      <c r="EC27">
        <f t="shared" si="13"/>
        <v>1</v>
      </c>
      <c r="ED27">
        <f t="shared" si="14"/>
        <v>0</v>
      </c>
      <c r="EE27">
        <f t="shared" si="15"/>
        <v>0</v>
      </c>
      <c r="EF27">
        <f t="shared" si="16"/>
        <v>0</v>
      </c>
      <c r="EG27">
        <f t="shared" si="17"/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f t="shared" si="35"/>
        <v>1</v>
      </c>
      <c r="EO27">
        <f t="shared" si="36"/>
        <v>1</v>
      </c>
      <c r="EQ27">
        <f t="shared" si="37"/>
        <v>0</v>
      </c>
      <c r="ER27">
        <f t="shared" si="18"/>
        <v>0</v>
      </c>
      <c r="ES27">
        <f t="shared" si="19"/>
        <v>0</v>
      </c>
      <c r="ET27">
        <f t="shared" si="20"/>
        <v>0</v>
      </c>
      <c r="EU27">
        <f t="shared" si="21"/>
        <v>0</v>
      </c>
      <c r="EV27">
        <f t="shared" si="22"/>
        <v>1</v>
      </c>
      <c r="EW27">
        <f t="shared" si="38"/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f t="shared" si="39"/>
        <v>1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0</v>
      </c>
      <c r="GG27">
        <f t="shared" si="40"/>
        <v>1</v>
      </c>
    </row>
    <row r="28" spans="1:189" x14ac:dyDescent="0.35">
      <c r="A28" t="s">
        <v>128</v>
      </c>
      <c r="B28">
        <f>[1]Population!$BB30</f>
        <v>1969341</v>
      </c>
      <c r="C28">
        <f>[1]RealGDP!$BB30</f>
        <v>12116816308.861942</v>
      </c>
      <c r="D28" s="8">
        <f>[1]GDPcap!$BB30</f>
        <v>6152.7263733715708</v>
      </c>
      <c r="E28" s="8">
        <v>23.604432083532782</v>
      </c>
      <c r="F28">
        <v>2.4880377728656509</v>
      </c>
      <c r="G28">
        <f>RANK(D28,D$4:D28:D$201)</f>
        <v>77</v>
      </c>
      <c r="H28" t="s">
        <v>128</v>
      </c>
      <c r="J28">
        <v>26.1</v>
      </c>
      <c r="K28">
        <v>25.3</v>
      </c>
      <c r="L28">
        <v>24.2</v>
      </c>
      <c r="M28">
        <v>21.4</v>
      </c>
      <c r="N28">
        <v>17.600000000000001</v>
      </c>
      <c r="O28">
        <v>14.5</v>
      </c>
      <c r="P28">
        <v>14.4</v>
      </c>
      <c r="Q28">
        <v>17.3</v>
      </c>
      <c r="R28">
        <v>21.5</v>
      </c>
      <c r="S28">
        <v>24.4</v>
      </c>
      <c r="T28">
        <v>25.4</v>
      </c>
      <c r="U28">
        <v>25.8</v>
      </c>
      <c r="V28">
        <v>21.1</v>
      </c>
      <c r="W28">
        <v>15.4</v>
      </c>
      <c r="X28">
        <v>23.8</v>
      </c>
      <c r="Y28">
        <v>24.9</v>
      </c>
      <c r="Z28">
        <v>21.5</v>
      </c>
      <c r="AB28">
        <f t="shared" si="23"/>
        <v>0</v>
      </c>
      <c r="AC28">
        <f t="shared" si="24"/>
        <v>0</v>
      </c>
      <c r="AD28">
        <f t="shared" si="25"/>
        <v>1</v>
      </c>
      <c r="AE28">
        <f t="shared" si="26"/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f t="shared" si="0"/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f t="shared" si="1"/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f t="shared" si="2"/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f t="shared" si="27"/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f t="shared" si="28"/>
        <v>1</v>
      </c>
      <c r="CX28">
        <f t="shared" si="29"/>
        <v>0</v>
      </c>
      <c r="CY28">
        <f t="shared" si="3"/>
        <v>0</v>
      </c>
      <c r="CZ28">
        <f t="shared" si="4"/>
        <v>0</v>
      </c>
      <c r="DA28">
        <f t="shared" si="5"/>
        <v>0</v>
      </c>
      <c r="DB28">
        <f t="shared" si="6"/>
        <v>0</v>
      </c>
      <c r="DC28">
        <f t="shared" si="7"/>
        <v>0</v>
      </c>
      <c r="DD28">
        <f t="shared" si="8"/>
        <v>0</v>
      </c>
      <c r="DE28">
        <f t="shared" si="9"/>
        <v>0</v>
      </c>
      <c r="DF28">
        <f t="shared" si="10"/>
        <v>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f t="shared" si="30"/>
        <v>1</v>
      </c>
      <c r="DN28">
        <f t="shared" si="31"/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f t="shared" si="32"/>
        <v>1</v>
      </c>
      <c r="DW28">
        <v>0</v>
      </c>
      <c r="DX28">
        <f t="shared" si="33"/>
        <v>1</v>
      </c>
      <c r="DZ28">
        <f t="shared" si="34"/>
        <v>0</v>
      </c>
      <c r="EA28">
        <f t="shared" si="11"/>
        <v>0</v>
      </c>
      <c r="EB28">
        <f t="shared" si="12"/>
        <v>0</v>
      </c>
      <c r="EC28">
        <f t="shared" si="13"/>
        <v>0</v>
      </c>
      <c r="ED28">
        <f t="shared" si="14"/>
        <v>0</v>
      </c>
      <c r="EE28">
        <f t="shared" si="15"/>
        <v>0</v>
      </c>
      <c r="EF28">
        <f t="shared" si="16"/>
        <v>1</v>
      </c>
      <c r="EG28">
        <f t="shared" si="17"/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f t="shared" si="35"/>
        <v>1</v>
      </c>
      <c r="EO28">
        <f t="shared" si="36"/>
        <v>1</v>
      </c>
      <c r="EQ28">
        <f t="shared" si="37"/>
        <v>0</v>
      </c>
      <c r="ER28">
        <f t="shared" si="18"/>
        <v>0</v>
      </c>
      <c r="ES28">
        <f t="shared" si="19"/>
        <v>0</v>
      </c>
      <c r="ET28">
        <f t="shared" si="20"/>
        <v>0</v>
      </c>
      <c r="EU28">
        <f t="shared" si="21"/>
        <v>0</v>
      </c>
      <c r="EV28">
        <f t="shared" si="22"/>
        <v>1</v>
      </c>
      <c r="EW28">
        <f t="shared" si="38"/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</v>
      </c>
      <c r="FX28">
        <f t="shared" si="39"/>
        <v>1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f t="shared" si="40"/>
        <v>1</v>
      </c>
    </row>
    <row r="29" spans="1:189" x14ac:dyDescent="0.35">
      <c r="A29" t="s">
        <v>129</v>
      </c>
      <c r="B29">
        <f>[1]Population!$BB32</f>
        <v>195210154</v>
      </c>
      <c r="C29">
        <f>[1]RealGDP!$BB32</f>
        <v>1096754010432.5254</v>
      </c>
      <c r="D29" s="8">
        <f>[1]GDPcap!$BB32</f>
        <v>5618.3246002281494</v>
      </c>
      <c r="E29" s="8">
        <v>13.623447382747958</v>
      </c>
      <c r="F29">
        <v>4.1157564875817298</v>
      </c>
      <c r="G29">
        <f>RANK(D29,D$4:D29:D$201)</f>
        <v>83</v>
      </c>
      <c r="H29" t="s">
        <v>129</v>
      </c>
      <c r="J29">
        <v>25.6</v>
      </c>
      <c r="K29">
        <v>25.6</v>
      </c>
      <c r="L29">
        <v>25.5</v>
      </c>
      <c r="M29">
        <v>25.1</v>
      </c>
      <c r="N29">
        <v>24.3</v>
      </c>
      <c r="O29">
        <v>23.4</v>
      </c>
      <c r="P29">
        <v>23.3</v>
      </c>
      <c r="Q29">
        <v>24.3</v>
      </c>
      <c r="R29">
        <v>25.2</v>
      </c>
      <c r="S29">
        <v>25.7</v>
      </c>
      <c r="T29">
        <v>25.7</v>
      </c>
      <c r="U29">
        <v>25.6</v>
      </c>
      <c r="V29">
        <v>24.9</v>
      </c>
      <c r="W29">
        <v>23.7</v>
      </c>
      <c r="X29">
        <v>25.5</v>
      </c>
      <c r="Y29">
        <v>24.8</v>
      </c>
      <c r="Z29">
        <v>24.9</v>
      </c>
      <c r="AB29">
        <f t="shared" si="23"/>
        <v>0</v>
      </c>
      <c r="AC29">
        <f t="shared" si="24"/>
        <v>0</v>
      </c>
      <c r="AD29">
        <f t="shared" si="25"/>
        <v>1</v>
      </c>
      <c r="AE29">
        <f t="shared" si="26"/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f t="shared" si="0"/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f t="shared" si="1"/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f t="shared" si="2"/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f t="shared" si="27"/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f t="shared" si="28"/>
        <v>1</v>
      </c>
      <c r="CX29">
        <f t="shared" si="29"/>
        <v>0</v>
      </c>
      <c r="CY29">
        <f t="shared" si="3"/>
        <v>0</v>
      </c>
      <c r="CZ29">
        <f t="shared" si="4"/>
        <v>0</v>
      </c>
      <c r="DA29">
        <f t="shared" si="5"/>
        <v>0</v>
      </c>
      <c r="DB29">
        <f t="shared" si="6"/>
        <v>0</v>
      </c>
      <c r="DC29">
        <f t="shared" si="7"/>
        <v>1</v>
      </c>
      <c r="DD29">
        <f t="shared" si="8"/>
        <v>0</v>
      </c>
      <c r="DE29">
        <f t="shared" si="9"/>
        <v>0</v>
      </c>
      <c r="DF29">
        <f t="shared" si="10"/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f t="shared" si="30"/>
        <v>1</v>
      </c>
      <c r="DN29">
        <f t="shared" si="31"/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f t="shared" si="32"/>
        <v>0</v>
      </c>
      <c r="DW29">
        <v>1</v>
      </c>
      <c r="DX29">
        <f t="shared" si="33"/>
        <v>1</v>
      </c>
      <c r="DZ29">
        <f t="shared" si="34"/>
        <v>0</v>
      </c>
      <c r="EA29">
        <f t="shared" si="11"/>
        <v>0</v>
      </c>
      <c r="EB29">
        <f t="shared" si="12"/>
        <v>0</v>
      </c>
      <c r="EC29">
        <f t="shared" si="13"/>
        <v>0</v>
      </c>
      <c r="ED29">
        <f t="shared" si="14"/>
        <v>0</v>
      </c>
      <c r="EE29">
        <f t="shared" si="15"/>
        <v>0</v>
      </c>
      <c r="EF29">
        <f t="shared" si="16"/>
        <v>0</v>
      </c>
      <c r="EG29">
        <f t="shared" si="17"/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f t="shared" si="35"/>
        <v>1</v>
      </c>
      <c r="EO29">
        <f t="shared" si="36"/>
        <v>1</v>
      </c>
      <c r="EQ29">
        <f t="shared" si="37"/>
        <v>0</v>
      </c>
      <c r="ER29">
        <f t="shared" si="18"/>
        <v>0</v>
      </c>
      <c r="ES29">
        <f t="shared" si="19"/>
        <v>0</v>
      </c>
      <c r="ET29">
        <f t="shared" si="20"/>
        <v>0</v>
      </c>
      <c r="EU29">
        <f t="shared" si="21"/>
        <v>0</v>
      </c>
      <c r="EV29">
        <f t="shared" si="22"/>
        <v>1</v>
      </c>
      <c r="EW29">
        <f t="shared" si="38"/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f t="shared" si="39"/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f t="shared" si="40"/>
        <v>1</v>
      </c>
    </row>
    <row r="30" spans="1:189" x14ac:dyDescent="0.35">
      <c r="A30" t="s">
        <v>356</v>
      </c>
      <c r="B30">
        <f>[1]Population!$BB35</f>
        <v>400569</v>
      </c>
      <c r="C30">
        <f>[1]RealGDP!$BB35</f>
        <v>9849702194.2507877</v>
      </c>
      <c r="D30" s="8">
        <f>[1]GDPcap!$BB35</f>
        <v>24589.277238754839</v>
      </c>
      <c r="E30" s="8"/>
      <c r="F30">
        <v>0.73301230604601397</v>
      </c>
      <c r="G30">
        <f>RANK(D30,D$4:D30:D$201)</f>
        <v>35</v>
      </c>
      <c r="H30" t="s">
        <v>356</v>
      </c>
      <c r="J30">
        <v>26.1</v>
      </c>
      <c r="K30">
        <v>26.2</v>
      </c>
      <c r="L30">
        <v>26.8</v>
      </c>
      <c r="M30">
        <v>27.3</v>
      </c>
      <c r="N30">
        <v>27.6</v>
      </c>
      <c r="O30">
        <v>27.4</v>
      </c>
      <c r="P30">
        <v>27.1</v>
      </c>
      <c r="Q30">
        <v>27.1</v>
      </c>
      <c r="R30">
        <v>27.1</v>
      </c>
      <c r="S30">
        <v>26.8</v>
      </c>
      <c r="T30">
        <v>26.5</v>
      </c>
      <c r="U30">
        <v>26.3</v>
      </c>
      <c r="V30">
        <v>27.2</v>
      </c>
      <c r="W30">
        <v>27.2</v>
      </c>
      <c r="X30">
        <v>26.8</v>
      </c>
      <c r="Y30">
        <v>25.3</v>
      </c>
      <c r="Z30">
        <v>26.9</v>
      </c>
      <c r="AB30">
        <f t="shared" si="23"/>
        <v>0</v>
      </c>
      <c r="AC30">
        <f t="shared" si="24"/>
        <v>0</v>
      </c>
      <c r="AD30">
        <f t="shared" si="25"/>
        <v>0</v>
      </c>
      <c r="AE30">
        <f t="shared" si="26"/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f t="shared" si="0"/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f t="shared" si="1"/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f t="shared" si="2"/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f t="shared" si="27"/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f t="shared" si="28"/>
        <v>1</v>
      </c>
      <c r="CX30">
        <f t="shared" si="29"/>
        <v>0</v>
      </c>
      <c r="CY30">
        <f t="shared" si="3"/>
        <v>0</v>
      </c>
      <c r="CZ30">
        <f t="shared" si="4"/>
        <v>0</v>
      </c>
      <c r="DA30">
        <f t="shared" si="5"/>
        <v>0</v>
      </c>
      <c r="DB30">
        <f t="shared" si="6"/>
        <v>0</v>
      </c>
      <c r="DC30">
        <f t="shared" si="7"/>
        <v>0</v>
      </c>
      <c r="DD30">
        <f t="shared" si="8"/>
        <v>1</v>
      </c>
      <c r="DE30">
        <f t="shared" si="9"/>
        <v>0</v>
      </c>
      <c r="DF30">
        <f t="shared" si="10"/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f t="shared" si="30"/>
        <v>1</v>
      </c>
      <c r="DN30">
        <f t="shared" si="31"/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</v>
      </c>
      <c r="DV30">
        <f t="shared" si="32"/>
        <v>0</v>
      </c>
      <c r="DW30">
        <v>0</v>
      </c>
      <c r="DX30">
        <f t="shared" si="33"/>
        <v>1</v>
      </c>
      <c r="DZ30">
        <f t="shared" si="34"/>
        <v>0</v>
      </c>
      <c r="EA30">
        <f t="shared" si="11"/>
        <v>0</v>
      </c>
      <c r="EB30">
        <f t="shared" si="12"/>
        <v>0</v>
      </c>
      <c r="EC30">
        <f t="shared" si="13"/>
        <v>0</v>
      </c>
      <c r="ED30">
        <f t="shared" si="14"/>
        <v>0</v>
      </c>
      <c r="EE30">
        <f t="shared" si="15"/>
        <v>1</v>
      </c>
      <c r="EF30">
        <f t="shared" si="16"/>
        <v>0</v>
      </c>
      <c r="EG30">
        <f t="shared" si="17"/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f t="shared" si="35"/>
        <v>1</v>
      </c>
      <c r="EO30">
        <f t="shared" si="36"/>
        <v>1</v>
      </c>
      <c r="EQ30">
        <f t="shared" si="37"/>
        <v>0</v>
      </c>
      <c r="ER30">
        <f t="shared" si="18"/>
        <v>0</v>
      </c>
      <c r="ES30">
        <f t="shared" si="19"/>
        <v>0</v>
      </c>
      <c r="ET30">
        <f t="shared" si="20"/>
        <v>0</v>
      </c>
      <c r="EU30">
        <f t="shared" si="21"/>
        <v>0</v>
      </c>
      <c r="EV30">
        <f t="shared" si="22"/>
        <v>1</v>
      </c>
      <c r="EW30">
        <f t="shared" si="38"/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f t="shared" si="39"/>
        <v>1</v>
      </c>
      <c r="FZ30">
        <v>0</v>
      </c>
      <c r="GA30">
        <v>1</v>
      </c>
      <c r="GB30">
        <v>0</v>
      </c>
      <c r="GC30">
        <v>0</v>
      </c>
      <c r="GD30">
        <v>0</v>
      </c>
      <c r="GE30">
        <v>0</v>
      </c>
      <c r="GF30">
        <v>0</v>
      </c>
      <c r="GG30">
        <f t="shared" si="40"/>
        <v>1</v>
      </c>
    </row>
    <row r="31" spans="1:189" x14ac:dyDescent="0.35">
      <c r="A31" t="s">
        <v>216</v>
      </c>
      <c r="B31">
        <f>[1]Population!$BB36</f>
        <v>7534289</v>
      </c>
      <c r="C31">
        <f>[1]RealGDP!$BB36</f>
        <v>32991740544.129009</v>
      </c>
      <c r="D31" s="8">
        <f>[1]GDPcap!$BB36</f>
        <v>4378.8790878779682</v>
      </c>
      <c r="E31" s="8">
        <v>18.450904290817466</v>
      </c>
      <c r="F31">
        <v>4.1587427261529486</v>
      </c>
      <c r="G31">
        <f>RANK(D31,D$4:D31:D$201)</f>
        <v>93</v>
      </c>
      <c r="H31" t="s">
        <v>216</v>
      </c>
      <c r="J31">
        <v>-1</v>
      </c>
      <c r="K31">
        <v>0.9</v>
      </c>
      <c r="L31">
        <v>4.7</v>
      </c>
      <c r="M31">
        <v>10.199999999999999</v>
      </c>
      <c r="N31">
        <v>15.2</v>
      </c>
      <c r="O31">
        <v>18.8</v>
      </c>
      <c r="P31">
        <v>21</v>
      </c>
      <c r="Q31">
        <v>20.7</v>
      </c>
      <c r="R31">
        <v>17</v>
      </c>
      <c r="S31">
        <v>11.6</v>
      </c>
      <c r="T31">
        <v>6</v>
      </c>
      <c r="U31">
        <v>1.3</v>
      </c>
      <c r="V31">
        <v>10</v>
      </c>
      <c r="W31">
        <v>20.2</v>
      </c>
      <c r="X31">
        <v>11.5</v>
      </c>
      <c r="Y31">
        <v>0.4</v>
      </c>
      <c r="Z31">
        <v>10.5</v>
      </c>
      <c r="AB31">
        <f t="shared" si="23"/>
        <v>0</v>
      </c>
      <c r="AC31">
        <f t="shared" si="24"/>
        <v>0</v>
      </c>
      <c r="AD31">
        <f t="shared" si="25"/>
        <v>1</v>
      </c>
      <c r="AE31">
        <f t="shared" si="26"/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f t="shared" si="0"/>
        <v>1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f t="shared" si="1"/>
        <v>1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f t="shared" si="2"/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f t="shared" si="27"/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f t="shared" si="28"/>
        <v>1</v>
      </c>
      <c r="CX31">
        <f t="shared" si="29"/>
        <v>0</v>
      </c>
      <c r="CY31">
        <f t="shared" si="3"/>
        <v>0</v>
      </c>
      <c r="CZ31">
        <f t="shared" si="4"/>
        <v>0</v>
      </c>
      <c r="DA31">
        <f t="shared" si="5"/>
        <v>1</v>
      </c>
      <c r="DB31">
        <f t="shared" si="6"/>
        <v>0</v>
      </c>
      <c r="DC31">
        <f t="shared" si="7"/>
        <v>0</v>
      </c>
      <c r="DD31">
        <f t="shared" si="8"/>
        <v>0</v>
      </c>
      <c r="DE31">
        <f t="shared" si="9"/>
        <v>0</v>
      </c>
      <c r="DF31">
        <f t="shared" si="10"/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f t="shared" si="30"/>
        <v>1</v>
      </c>
      <c r="DN31">
        <f t="shared" si="31"/>
        <v>1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f t="shared" si="32"/>
        <v>0</v>
      </c>
      <c r="DW31">
        <v>0</v>
      </c>
      <c r="DX31">
        <f t="shared" si="33"/>
        <v>1</v>
      </c>
      <c r="DZ31">
        <f t="shared" si="34"/>
        <v>0</v>
      </c>
      <c r="EA31">
        <f t="shared" si="11"/>
        <v>0</v>
      </c>
      <c r="EB31">
        <f t="shared" si="12"/>
        <v>0</v>
      </c>
      <c r="EC31">
        <f t="shared" si="13"/>
        <v>1</v>
      </c>
      <c r="ED31">
        <f t="shared" si="14"/>
        <v>0</v>
      </c>
      <c r="EE31">
        <f t="shared" si="15"/>
        <v>0</v>
      </c>
      <c r="EF31">
        <f t="shared" si="16"/>
        <v>0</v>
      </c>
      <c r="EG31">
        <f t="shared" si="17"/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f t="shared" si="35"/>
        <v>1</v>
      </c>
      <c r="EO31">
        <f t="shared" si="36"/>
        <v>1</v>
      </c>
      <c r="EQ31">
        <f t="shared" si="37"/>
        <v>0</v>
      </c>
      <c r="ER31">
        <f t="shared" si="18"/>
        <v>0</v>
      </c>
      <c r="ES31">
        <f t="shared" si="19"/>
        <v>0</v>
      </c>
      <c r="ET31">
        <f t="shared" si="20"/>
        <v>0</v>
      </c>
      <c r="EU31">
        <f t="shared" si="21"/>
        <v>0</v>
      </c>
      <c r="EV31">
        <f t="shared" si="22"/>
        <v>1</v>
      </c>
      <c r="EW31">
        <f t="shared" si="38"/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f t="shared" si="39"/>
        <v>1</v>
      </c>
      <c r="FZ31">
        <v>0</v>
      </c>
      <c r="GA31">
        <v>0</v>
      </c>
      <c r="GB31">
        <v>1</v>
      </c>
      <c r="GC31">
        <v>0</v>
      </c>
      <c r="GD31">
        <v>0</v>
      </c>
      <c r="GE31">
        <v>0</v>
      </c>
      <c r="GF31">
        <v>0</v>
      </c>
      <c r="GG31">
        <f t="shared" si="40"/>
        <v>1</v>
      </c>
    </row>
    <row r="32" spans="1:189" x14ac:dyDescent="0.35">
      <c r="A32" t="s">
        <v>247</v>
      </c>
      <c r="B32">
        <f>[1]Population!$BB37</f>
        <v>15540284</v>
      </c>
      <c r="C32">
        <f>[1]RealGDP!$BB37</f>
        <v>7105465610.4591045</v>
      </c>
      <c r="D32" s="8">
        <f>[1]GDPcap!$BB37</f>
        <v>457.22881322240346</v>
      </c>
      <c r="E32" s="8">
        <v>12.720426497969342</v>
      </c>
      <c r="F32">
        <v>32.540256243239284</v>
      </c>
      <c r="G32">
        <f>RANK(D32,D$4:D32:D$201)</f>
        <v>176</v>
      </c>
      <c r="H32" t="s">
        <v>441</v>
      </c>
      <c r="I32" t="s">
        <v>442</v>
      </c>
      <c r="J32">
        <v>24.8</v>
      </c>
      <c r="K32">
        <v>27.7</v>
      </c>
      <c r="L32">
        <v>30.5</v>
      </c>
      <c r="M32">
        <v>32.1</v>
      </c>
      <c r="N32">
        <v>31.7</v>
      </c>
      <c r="O32">
        <v>29.5</v>
      </c>
      <c r="P32">
        <v>27.3</v>
      </c>
      <c r="Q32">
        <v>26.6</v>
      </c>
      <c r="R32">
        <v>27.2</v>
      </c>
      <c r="S32">
        <v>28.8</v>
      </c>
      <c r="T32">
        <v>27.4</v>
      </c>
      <c r="U32">
        <v>25.2</v>
      </c>
      <c r="V32">
        <v>31.5</v>
      </c>
      <c r="W32">
        <v>27.8</v>
      </c>
      <c r="X32">
        <v>27.8</v>
      </c>
      <c r="Y32">
        <v>25</v>
      </c>
      <c r="Z32">
        <v>28.2</v>
      </c>
      <c r="AB32">
        <f t="shared" si="23"/>
        <v>1</v>
      </c>
      <c r="AC32">
        <f t="shared" si="24"/>
        <v>0</v>
      </c>
      <c r="AD32">
        <f t="shared" si="25"/>
        <v>0</v>
      </c>
      <c r="AE32">
        <f t="shared" si="26"/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f t="shared" si="0"/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f t="shared" si="1"/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f t="shared" si="2"/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f t="shared" si="27"/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f t="shared" si="28"/>
        <v>1</v>
      </c>
      <c r="CX32">
        <f t="shared" si="29"/>
        <v>0</v>
      </c>
      <c r="CY32">
        <f t="shared" si="3"/>
        <v>0</v>
      </c>
      <c r="CZ32">
        <f t="shared" si="4"/>
        <v>0</v>
      </c>
      <c r="DA32">
        <f t="shared" si="5"/>
        <v>0</v>
      </c>
      <c r="DB32">
        <f t="shared" si="6"/>
        <v>0</v>
      </c>
      <c r="DC32">
        <f t="shared" si="7"/>
        <v>0</v>
      </c>
      <c r="DD32">
        <f t="shared" si="8"/>
        <v>0</v>
      </c>
      <c r="DE32">
        <f t="shared" si="9"/>
        <v>0</v>
      </c>
      <c r="DF32">
        <f t="shared" si="10"/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f t="shared" si="30"/>
        <v>1</v>
      </c>
      <c r="DN32">
        <f t="shared" si="31"/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f t="shared" si="32"/>
        <v>1</v>
      </c>
      <c r="DW32">
        <v>0</v>
      </c>
      <c r="DX32">
        <f t="shared" si="33"/>
        <v>1</v>
      </c>
      <c r="DZ32">
        <f t="shared" si="34"/>
        <v>0</v>
      </c>
      <c r="EA32">
        <f t="shared" si="11"/>
        <v>0</v>
      </c>
      <c r="EB32">
        <f t="shared" si="12"/>
        <v>0</v>
      </c>
      <c r="EC32">
        <f t="shared" si="13"/>
        <v>0</v>
      </c>
      <c r="ED32">
        <f t="shared" si="14"/>
        <v>0</v>
      </c>
      <c r="EE32">
        <f t="shared" si="15"/>
        <v>0</v>
      </c>
      <c r="EF32">
        <f t="shared" si="16"/>
        <v>1</v>
      </c>
      <c r="EG32">
        <f t="shared" si="17"/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f t="shared" si="35"/>
        <v>1</v>
      </c>
      <c r="EO32">
        <f t="shared" si="36"/>
        <v>1</v>
      </c>
      <c r="EQ32">
        <f t="shared" si="37"/>
        <v>0</v>
      </c>
      <c r="ER32">
        <f t="shared" si="18"/>
        <v>0</v>
      </c>
      <c r="ES32">
        <f t="shared" si="19"/>
        <v>0</v>
      </c>
      <c r="ET32">
        <f t="shared" si="20"/>
        <v>0</v>
      </c>
      <c r="EU32">
        <f t="shared" si="21"/>
        <v>0</v>
      </c>
      <c r="EV32">
        <f t="shared" si="22"/>
        <v>1</v>
      </c>
      <c r="EW32">
        <f t="shared" si="38"/>
        <v>1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</v>
      </c>
      <c r="FX32">
        <f t="shared" si="39"/>
        <v>1</v>
      </c>
      <c r="FZ32">
        <v>1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f t="shared" si="40"/>
        <v>1</v>
      </c>
    </row>
    <row r="33" spans="1:189" x14ac:dyDescent="0.35">
      <c r="A33" t="s">
        <v>357</v>
      </c>
      <c r="B33">
        <f>[1]Population!$BB38</f>
        <v>9232753</v>
      </c>
      <c r="C33">
        <f>[1]RealGDP!$BB38</f>
        <v>1391766915.34813</v>
      </c>
      <c r="D33" s="8">
        <f>[1]GDPcap!$BB38</f>
        <v>150.74235337478757</v>
      </c>
      <c r="E33" s="8">
        <v>13.891988967994356</v>
      </c>
      <c r="F33">
        <v>36.968873845487785</v>
      </c>
      <c r="G33">
        <f>RANK(D33,D$4:D33:D$201)</f>
        <v>198</v>
      </c>
      <c r="H33" t="s">
        <v>357</v>
      </c>
      <c r="J33">
        <v>19.8</v>
      </c>
      <c r="K33">
        <v>19.8</v>
      </c>
      <c r="L33">
        <v>20</v>
      </c>
      <c r="M33">
        <v>19.7</v>
      </c>
      <c r="N33">
        <v>19.5</v>
      </c>
      <c r="O33">
        <v>18.899999999999999</v>
      </c>
      <c r="P33">
        <v>19</v>
      </c>
      <c r="Q33">
        <v>20</v>
      </c>
      <c r="R33">
        <v>20.5</v>
      </c>
      <c r="S33">
        <v>20.3</v>
      </c>
      <c r="T33">
        <v>19.600000000000001</v>
      </c>
      <c r="U33">
        <v>19.600000000000001</v>
      </c>
      <c r="V33">
        <v>19.7</v>
      </c>
      <c r="W33">
        <v>19.3</v>
      </c>
      <c r="X33">
        <v>20.2</v>
      </c>
      <c r="Y33">
        <v>19.100000000000001</v>
      </c>
      <c r="Z33">
        <v>19.7</v>
      </c>
      <c r="AB33">
        <f t="shared" si="23"/>
        <v>1</v>
      </c>
      <c r="AC33">
        <f t="shared" si="24"/>
        <v>0</v>
      </c>
      <c r="AD33">
        <f t="shared" si="25"/>
        <v>0</v>
      </c>
      <c r="AE33">
        <f t="shared" si="26"/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f t="shared" si="0"/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f t="shared" si="1"/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f t="shared" si="2"/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f t="shared" si="27"/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f t="shared" si="28"/>
        <v>1</v>
      </c>
      <c r="CX33">
        <f t="shared" si="29"/>
        <v>0</v>
      </c>
      <c r="CY33">
        <f t="shared" si="3"/>
        <v>0</v>
      </c>
      <c r="CZ33">
        <f t="shared" si="4"/>
        <v>0</v>
      </c>
      <c r="DA33">
        <f t="shared" si="5"/>
        <v>0</v>
      </c>
      <c r="DB33">
        <f t="shared" si="6"/>
        <v>0</v>
      </c>
      <c r="DC33">
        <f t="shared" si="7"/>
        <v>0</v>
      </c>
      <c r="DD33">
        <f t="shared" si="8"/>
        <v>0</v>
      </c>
      <c r="DE33">
        <f t="shared" si="9"/>
        <v>0</v>
      </c>
      <c r="DF33">
        <f t="shared" si="10"/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f t="shared" si="30"/>
        <v>1</v>
      </c>
      <c r="DN33">
        <f t="shared" si="31"/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f t="shared" si="32"/>
        <v>1</v>
      </c>
      <c r="DW33">
        <v>0</v>
      </c>
      <c r="DX33">
        <f t="shared" si="33"/>
        <v>1</v>
      </c>
      <c r="DZ33">
        <f t="shared" si="34"/>
        <v>0</v>
      </c>
      <c r="EA33">
        <f t="shared" si="11"/>
        <v>0</v>
      </c>
      <c r="EB33">
        <f t="shared" si="12"/>
        <v>0</v>
      </c>
      <c r="EC33">
        <f t="shared" si="13"/>
        <v>0</v>
      </c>
      <c r="ED33">
        <f t="shared" si="14"/>
        <v>0</v>
      </c>
      <c r="EE33">
        <f t="shared" si="15"/>
        <v>0</v>
      </c>
      <c r="EF33">
        <f t="shared" si="16"/>
        <v>1</v>
      </c>
      <c r="EG33">
        <f t="shared" si="17"/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f t="shared" si="35"/>
        <v>1</v>
      </c>
      <c r="EO33">
        <f t="shared" si="36"/>
        <v>1</v>
      </c>
      <c r="EQ33">
        <f t="shared" si="37"/>
        <v>0</v>
      </c>
      <c r="ER33">
        <f t="shared" si="18"/>
        <v>0</v>
      </c>
      <c r="ES33">
        <f t="shared" si="19"/>
        <v>0</v>
      </c>
      <c r="ET33">
        <f t="shared" si="20"/>
        <v>0</v>
      </c>
      <c r="EU33">
        <f t="shared" si="21"/>
        <v>0</v>
      </c>
      <c r="EV33">
        <f t="shared" si="22"/>
        <v>1</v>
      </c>
      <c r="EW33">
        <f t="shared" si="38"/>
        <v>1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f t="shared" si="39"/>
        <v>1</v>
      </c>
      <c r="FZ33">
        <v>1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f t="shared" si="40"/>
        <v>1</v>
      </c>
    </row>
    <row r="34" spans="1:189" x14ac:dyDescent="0.35">
      <c r="A34" t="s">
        <v>358</v>
      </c>
      <c r="B34">
        <f>[1]Population!$BB39</f>
        <v>18976588</v>
      </c>
      <c r="C34">
        <f>[1]RealGDP!$BB39</f>
        <v>18173099407.3027</v>
      </c>
      <c r="D34" s="8">
        <f>[1]GDPcap!$BB39</f>
        <v>957.65895361709386</v>
      </c>
      <c r="E34" s="8">
        <v>14.325514658625593</v>
      </c>
      <c r="F34">
        <v>24.529427557925644</v>
      </c>
      <c r="G34">
        <f>RANK(D34,D$4:D34:D$201)</f>
        <v>152</v>
      </c>
      <c r="H34" t="s">
        <v>458</v>
      </c>
      <c r="I34" t="s">
        <v>459</v>
      </c>
      <c r="J34">
        <v>26</v>
      </c>
      <c r="K34">
        <v>27.9</v>
      </c>
      <c r="L34">
        <v>28.3</v>
      </c>
      <c r="M34">
        <v>28.1</v>
      </c>
      <c r="N34">
        <v>27.2</v>
      </c>
      <c r="O34">
        <v>25.9</v>
      </c>
      <c r="P34">
        <v>24.9</v>
      </c>
      <c r="Q34">
        <v>24.8</v>
      </c>
      <c r="R34">
        <v>25.3</v>
      </c>
      <c r="S34">
        <v>26</v>
      </c>
      <c r="T34">
        <v>26.3</v>
      </c>
      <c r="U34">
        <v>25.5</v>
      </c>
      <c r="V34">
        <v>27.9</v>
      </c>
      <c r="W34">
        <v>25.2</v>
      </c>
      <c r="X34">
        <v>25.9</v>
      </c>
      <c r="Y34">
        <v>25.6</v>
      </c>
      <c r="Z34">
        <v>26.3</v>
      </c>
      <c r="AB34">
        <f t="shared" si="23"/>
        <v>1</v>
      </c>
      <c r="AC34">
        <f t="shared" si="24"/>
        <v>0</v>
      </c>
      <c r="AD34">
        <f t="shared" si="25"/>
        <v>0</v>
      </c>
      <c r="AE34">
        <f t="shared" si="26"/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f t="shared" si="0"/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f t="shared" si="1"/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f t="shared" si="2"/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f t="shared" si="27"/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f t="shared" si="28"/>
        <v>1</v>
      </c>
      <c r="CX34">
        <f t="shared" si="29"/>
        <v>0</v>
      </c>
      <c r="CY34">
        <f t="shared" si="3"/>
        <v>0</v>
      </c>
      <c r="CZ34">
        <f t="shared" si="4"/>
        <v>0</v>
      </c>
      <c r="DA34">
        <f t="shared" si="5"/>
        <v>0</v>
      </c>
      <c r="DB34">
        <f t="shared" si="6"/>
        <v>0</v>
      </c>
      <c r="DC34">
        <f t="shared" si="7"/>
        <v>0</v>
      </c>
      <c r="DD34">
        <f t="shared" si="8"/>
        <v>0</v>
      </c>
      <c r="DE34">
        <f t="shared" si="9"/>
        <v>0</v>
      </c>
      <c r="DF34">
        <f t="shared" si="10"/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f t="shared" si="30"/>
        <v>1</v>
      </c>
      <c r="DN34">
        <f t="shared" si="31"/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f t="shared" si="32"/>
        <v>1</v>
      </c>
      <c r="DW34">
        <v>0</v>
      </c>
      <c r="DX34">
        <f t="shared" si="33"/>
        <v>1</v>
      </c>
      <c r="DZ34">
        <f t="shared" si="34"/>
        <v>0</v>
      </c>
      <c r="EA34">
        <f t="shared" si="11"/>
        <v>0</v>
      </c>
      <c r="EB34">
        <f t="shared" si="12"/>
        <v>0</v>
      </c>
      <c r="EC34">
        <f t="shared" si="13"/>
        <v>0</v>
      </c>
      <c r="ED34">
        <f t="shared" si="14"/>
        <v>0</v>
      </c>
      <c r="EE34">
        <f t="shared" si="15"/>
        <v>0</v>
      </c>
      <c r="EF34">
        <f t="shared" si="16"/>
        <v>1</v>
      </c>
      <c r="EG34">
        <f t="shared" si="17"/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f t="shared" si="35"/>
        <v>1</v>
      </c>
      <c r="EO34">
        <f t="shared" si="36"/>
        <v>1</v>
      </c>
      <c r="EQ34">
        <f t="shared" si="37"/>
        <v>0</v>
      </c>
      <c r="ER34">
        <f t="shared" si="18"/>
        <v>0</v>
      </c>
      <c r="ES34">
        <f t="shared" si="19"/>
        <v>0</v>
      </c>
      <c r="ET34">
        <f t="shared" si="20"/>
        <v>0</v>
      </c>
      <c r="EU34">
        <f t="shared" si="21"/>
        <v>0</v>
      </c>
      <c r="EV34">
        <f t="shared" si="22"/>
        <v>1</v>
      </c>
      <c r="EW34">
        <f t="shared" si="38"/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</v>
      </c>
      <c r="FX34">
        <f t="shared" si="39"/>
        <v>1</v>
      </c>
      <c r="FZ34">
        <v>1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f t="shared" si="40"/>
        <v>1</v>
      </c>
    </row>
    <row r="35" spans="1:189" x14ac:dyDescent="0.35">
      <c r="A35" t="s">
        <v>359</v>
      </c>
      <c r="B35">
        <f>[1]Population!$BB40</f>
        <v>14364931</v>
      </c>
      <c r="C35">
        <f>[1]RealGDP!$BB40</f>
        <v>8693197235.5684757</v>
      </c>
      <c r="D35" s="8">
        <f>[1]GDPcap!$BB40</f>
        <v>605.16804679176505</v>
      </c>
      <c r="E35" s="8">
        <v>10.003040138112446</v>
      </c>
      <c r="F35">
        <v>33.876678756743679</v>
      </c>
      <c r="G35">
        <f>RANK(D35,D$4:D35:D$201)</f>
        <v>168</v>
      </c>
      <c r="H35" t="s">
        <v>359</v>
      </c>
      <c r="J35">
        <v>24.7</v>
      </c>
      <c r="K35">
        <v>26.4</v>
      </c>
      <c r="L35">
        <v>27.7</v>
      </c>
      <c r="M35">
        <v>28.9</v>
      </c>
      <c r="N35">
        <v>28.4</v>
      </c>
      <c r="O35">
        <v>27.7</v>
      </c>
      <c r="P35">
        <v>27.2</v>
      </c>
      <c r="Q35">
        <v>27.2</v>
      </c>
      <c r="R35">
        <v>26.9</v>
      </c>
      <c r="S35">
        <v>26.5</v>
      </c>
      <c r="T35">
        <v>25.7</v>
      </c>
      <c r="U35">
        <v>24.7</v>
      </c>
      <c r="V35">
        <v>28.3</v>
      </c>
      <c r="W35">
        <v>27.4</v>
      </c>
      <c r="X35">
        <v>26.3</v>
      </c>
      <c r="Y35">
        <v>24.4</v>
      </c>
      <c r="Z35">
        <v>26.8</v>
      </c>
      <c r="AB35">
        <f t="shared" si="23"/>
        <v>1</v>
      </c>
      <c r="AC35">
        <f t="shared" si="24"/>
        <v>0</v>
      </c>
      <c r="AD35">
        <f t="shared" si="25"/>
        <v>0</v>
      </c>
      <c r="AE35">
        <f t="shared" si="26"/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f t="shared" si="0"/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f t="shared" si="1"/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f t="shared" si="2"/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f t="shared" si="27"/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f t="shared" si="28"/>
        <v>1</v>
      </c>
      <c r="CX35">
        <f t="shared" si="29"/>
        <v>0</v>
      </c>
      <c r="CY35">
        <f t="shared" si="3"/>
        <v>0</v>
      </c>
      <c r="CZ35">
        <f t="shared" si="4"/>
        <v>0</v>
      </c>
      <c r="DA35">
        <f t="shared" si="5"/>
        <v>0</v>
      </c>
      <c r="DB35">
        <f t="shared" si="6"/>
        <v>0</v>
      </c>
      <c r="DC35">
        <f t="shared" si="7"/>
        <v>0</v>
      </c>
      <c r="DD35">
        <f t="shared" si="8"/>
        <v>1</v>
      </c>
      <c r="DE35">
        <f t="shared" si="9"/>
        <v>0</v>
      </c>
      <c r="DF35">
        <f t="shared" si="10"/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f t="shared" si="30"/>
        <v>1</v>
      </c>
      <c r="DN35">
        <f t="shared" si="31"/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f t="shared" si="32"/>
        <v>0</v>
      </c>
      <c r="DW35">
        <v>0</v>
      </c>
      <c r="DX35">
        <f t="shared" si="33"/>
        <v>1</v>
      </c>
      <c r="DZ35">
        <f t="shared" si="34"/>
        <v>0</v>
      </c>
      <c r="EA35">
        <f t="shared" si="11"/>
        <v>0</v>
      </c>
      <c r="EB35">
        <f t="shared" si="12"/>
        <v>0</v>
      </c>
      <c r="EC35">
        <f t="shared" si="13"/>
        <v>0</v>
      </c>
      <c r="ED35">
        <f t="shared" si="14"/>
        <v>0</v>
      </c>
      <c r="EE35">
        <f t="shared" si="15"/>
        <v>1</v>
      </c>
      <c r="EF35">
        <f t="shared" si="16"/>
        <v>0</v>
      </c>
      <c r="EG35">
        <f t="shared" si="17"/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f t="shared" si="35"/>
        <v>1</v>
      </c>
      <c r="EO35">
        <f t="shared" si="36"/>
        <v>1</v>
      </c>
      <c r="EQ35">
        <f t="shared" si="37"/>
        <v>0</v>
      </c>
      <c r="ER35">
        <f t="shared" si="18"/>
        <v>0</v>
      </c>
      <c r="ES35">
        <f t="shared" si="19"/>
        <v>0</v>
      </c>
      <c r="ET35">
        <f t="shared" si="20"/>
        <v>0</v>
      </c>
      <c r="EU35">
        <f t="shared" si="21"/>
        <v>0</v>
      </c>
      <c r="EV35">
        <f t="shared" si="22"/>
        <v>1</v>
      </c>
      <c r="EW35">
        <f t="shared" si="38"/>
        <v>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f t="shared" si="39"/>
        <v>1</v>
      </c>
      <c r="FZ35">
        <v>0</v>
      </c>
      <c r="GA35">
        <v>1</v>
      </c>
      <c r="GB35">
        <v>0</v>
      </c>
      <c r="GC35">
        <v>0</v>
      </c>
      <c r="GD35">
        <v>0</v>
      </c>
      <c r="GE35">
        <v>0</v>
      </c>
      <c r="GF35">
        <v>0</v>
      </c>
      <c r="GG35">
        <f t="shared" si="40"/>
        <v>1</v>
      </c>
    </row>
    <row r="36" spans="1:189" x14ac:dyDescent="0.35">
      <c r="A36" t="s">
        <v>130</v>
      </c>
      <c r="B36">
        <f>[1]Population!$BB41</f>
        <v>20624343</v>
      </c>
      <c r="C36">
        <f>[1]RealGDP!$BB41</f>
        <v>19209829592.645119</v>
      </c>
      <c r="D36" s="8">
        <f>[1]GDPcap!$BB41</f>
        <v>931.41534703166633</v>
      </c>
      <c r="E36" s="8"/>
      <c r="F36">
        <v>14.067656995070909</v>
      </c>
      <c r="G36">
        <f>RANK(D36,D$4:D36:D$201)</f>
        <v>155</v>
      </c>
      <c r="H36" t="s">
        <v>130</v>
      </c>
      <c r="J36">
        <v>23.9</v>
      </c>
      <c r="K36">
        <v>25.5</v>
      </c>
      <c r="L36">
        <v>26.4</v>
      </c>
      <c r="M36">
        <v>26.5</v>
      </c>
      <c r="N36">
        <v>25.6</v>
      </c>
      <c r="O36">
        <v>24.4</v>
      </c>
      <c r="P36">
        <v>23.4</v>
      </c>
      <c r="Q36">
        <v>23.3</v>
      </c>
      <c r="R36">
        <v>23.7</v>
      </c>
      <c r="S36">
        <v>24.3</v>
      </c>
      <c r="T36">
        <v>24.2</v>
      </c>
      <c r="U36">
        <v>23.6</v>
      </c>
      <c r="V36">
        <v>26.2</v>
      </c>
      <c r="W36">
        <v>23.7</v>
      </c>
      <c r="X36">
        <v>24.1</v>
      </c>
      <c r="Y36">
        <v>23.5</v>
      </c>
      <c r="Z36">
        <v>24.6</v>
      </c>
      <c r="AB36">
        <f t="shared" si="23"/>
        <v>1</v>
      </c>
      <c r="AC36">
        <f t="shared" si="24"/>
        <v>0</v>
      </c>
      <c r="AD36">
        <f t="shared" si="25"/>
        <v>0</v>
      </c>
      <c r="AE36">
        <f t="shared" si="26"/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f t="shared" si="0"/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f t="shared" si="1"/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f t="shared" ref="BV36:BV67" si="42">SUM(BN36:BU36)</f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f t="shared" si="27"/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f t="shared" si="28"/>
        <v>1</v>
      </c>
      <c r="CX36">
        <f t="shared" si="29"/>
        <v>0</v>
      </c>
      <c r="CY36">
        <f t="shared" si="3"/>
        <v>0</v>
      </c>
      <c r="CZ36">
        <f t="shared" si="4"/>
        <v>0</v>
      </c>
      <c r="DA36">
        <f t="shared" si="5"/>
        <v>0</v>
      </c>
      <c r="DB36">
        <f t="shared" si="6"/>
        <v>0</v>
      </c>
      <c r="DC36">
        <f t="shared" si="7"/>
        <v>0</v>
      </c>
      <c r="DD36">
        <f t="shared" si="8"/>
        <v>0</v>
      </c>
      <c r="DE36">
        <f t="shared" si="9"/>
        <v>0</v>
      </c>
      <c r="DF36">
        <f t="shared" si="10"/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f t="shared" si="30"/>
        <v>1</v>
      </c>
      <c r="DN36">
        <f t="shared" si="31"/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f t="shared" si="32"/>
        <v>1</v>
      </c>
      <c r="DW36">
        <v>0</v>
      </c>
      <c r="DX36">
        <f t="shared" si="33"/>
        <v>1</v>
      </c>
      <c r="DZ36">
        <f t="shared" si="34"/>
        <v>0</v>
      </c>
      <c r="EA36">
        <f t="shared" si="11"/>
        <v>0</v>
      </c>
      <c r="EB36">
        <f t="shared" si="12"/>
        <v>0</v>
      </c>
      <c r="EC36">
        <f t="shared" si="13"/>
        <v>0</v>
      </c>
      <c r="ED36">
        <f t="shared" si="14"/>
        <v>0</v>
      </c>
      <c r="EE36">
        <f t="shared" si="15"/>
        <v>0</v>
      </c>
      <c r="EF36">
        <f t="shared" si="16"/>
        <v>1</v>
      </c>
      <c r="EG36">
        <f t="shared" si="17"/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f t="shared" si="35"/>
        <v>1</v>
      </c>
      <c r="EO36">
        <f t="shared" si="36"/>
        <v>1</v>
      </c>
      <c r="EQ36">
        <f t="shared" si="37"/>
        <v>0</v>
      </c>
      <c r="ER36">
        <f t="shared" si="18"/>
        <v>0</v>
      </c>
      <c r="ES36">
        <f t="shared" si="19"/>
        <v>0</v>
      </c>
      <c r="ET36">
        <f t="shared" si="20"/>
        <v>0</v>
      </c>
      <c r="EU36">
        <f t="shared" si="21"/>
        <v>0</v>
      </c>
      <c r="EV36">
        <f t="shared" si="22"/>
        <v>1</v>
      </c>
      <c r="EW36">
        <f t="shared" si="38"/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f t="shared" si="39"/>
        <v>1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f t="shared" si="40"/>
        <v>1</v>
      </c>
    </row>
    <row r="37" spans="1:189" x14ac:dyDescent="0.35">
      <c r="A37" t="s">
        <v>131</v>
      </c>
      <c r="B37">
        <f>[1]Population!$BB42</f>
        <v>34126547</v>
      </c>
      <c r="C37">
        <f>[1]RealGDP!$BB42</f>
        <v>1240064039807.2598</v>
      </c>
      <c r="D37" s="8">
        <f>[1]GDPcap!$BB42</f>
        <v>36337.22567382102</v>
      </c>
      <c r="E37" s="8">
        <v>11.760444874681959</v>
      </c>
      <c r="F37">
        <v>1.3316639903834295</v>
      </c>
      <c r="G37">
        <f>RANK(D37,D$4:D37:D$201)</f>
        <v>24</v>
      </c>
      <c r="H37" t="s">
        <v>131</v>
      </c>
      <c r="J37">
        <v>-22.7</v>
      </c>
      <c r="K37">
        <v>-21.2</v>
      </c>
      <c r="L37">
        <v>-16.3</v>
      </c>
      <c r="M37">
        <v>-7.5</v>
      </c>
      <c r="N37">
        <v>1.3</v>
      </c>
      <c r="O37">
        <v>8.3000000000000007</v>
      </c>
      <c r="P37">
        <v>12</v>
      </c>
      <c r="Q37">
        <v>10.6</v>
      </c>
      <c r="R37">
        <v>4.9000000000000004</v>
      </c>
      <c r="S37">
        <v>-2.4</v>
      </c>
      <c r="T37">
        <v>-12.1</v>
      </c>
      <c r="U37">
        <v>-19.5</v>
      </c>
      <c r="V37">
        <v>-7.5</v>
      </c>
      <c r="W37">
        <v>10.3</v>
      </c>
      <c r="X37">
        <v>-3.2</v>
      </c>
      <c r="Y37">
        <v>-20.399999999999999</v>
      </c>
      <c r="Z37">
        <v>-5.4</v>
      </c>
      <c r="AB37">
        <f t="shared" si="23"/>
        <v>0</v>
      </c>
      <c r="AC37">
        <f t="shared" si="24"/>
        <v>0</v>
      </c>
      <c r="AD37">
        <f t="shared" si="25"/>
        <v>0</v>
      </c>
      <c r="AE37">
        <f t="shared" si="26"/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f t="shared" si="0"/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f t="shared" si="1"/>
        <v>1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f t="shared" si="42"/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f t="shared" si="27"/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f t="shared" si="28"/>
        <v>1</v>
      </c>
      <c r="CX37">
        <f t="shared" si="29"/>
        <v>1</v>
      </c>
      <c r="CY37">
        <f t="shared" si="3"/>
        <v>0</v>
      </c>
      <c r="CZ37">
        <f t="shared" si="4"/>
        <v>0</v>
      </c>
      <c r="DA37">
        <f t="shared" si="5"/>
        <v>0</v>
      </c>
      <c r="DB37">
        <f t="shared" si="6"/>
        <v>0</v>
      </c>
      <c r="DC37">
        <f t="shared" si="7"/>
        <v>0</v>
      </c>
      <c r="DD37">
        <f t="shared" si="8"/>
        <v>0</v>
      </c>
      <c r="DE37">
        <f t="shared" si="9"/>
        <v>0</v>
      </c>
      <c r="DF37">
        <f t="shared" si="10"/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f t="shared" si="30"/>
        <v>1</v>
      </c>
      <c r="DN37">
        <f t="shared" si="31"/>
        <v>1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V37">
        <f t="shared" si="32"/>
        <v>0</v>
      </c>
      <c r="DW37">
        <v>0</v>
      </c>
      <c r="DX37">
        <f t="shared" si="33"/>
        <v>1</v>
      </c>
      <c r="DZ37">
        <f t="shared" si="34"/>
        <v>0</v>
      </c>
      <c r="EA37">
        <f t="shared" si="11"/>
        <v>0</v>
      </c>
      <c r="EB37">
        <f t="shared" si="12"/>
        <v>1</v>
      </c>
      <c r="EC37">
        <f t="shared" si="13"/>
        <v>0</v>
      </c>
      <c r="ED37">
        <f t="shared" si="14"/>
        <v>0</v>
      </c>
      <c r="EE37">
        <f t="shared" si="15"/>
        <v>0</v>
      </c>
      <c r="EF37">
        <f t="shared" si="16"/>
        <v>0</v>
      </c>
      <c r="EG37">
        <f t="shared" si="17"/>
        <v>0</v>
      </c>
      <c r="EI37">
        <v>0</v>
      </c>
      <c r="EJ37">
        <v>0</v>
      </c>
      <c r="EK37">
        <v>1</v>
      </c>
      <c r="EL37">
        <v>0</v>
      </c>
      <c r="EM37">
        <v>0</v>
      </c>
      <c r="EN37">
        <f t="shared" si="35"/>
        <v>0</v>
      </c>
      <c r="EO37">
        <f t="shared" si="36"/>
        <v>1</v>
      </c>
      <c r="EQ37">
        <f t="shared" si="37"/>
        <v>0</v>
      </c>
      <c r="ER37">
        <f t="shared" si="18"/>
        <v>0</v>
      </c>
      <c r="ES37">
        <f t="shared" si="19"/>
        <v>1</v>
      </c>
      <c r="ET37">
        <f t="shared" si="20"/>
        <v>0</v>
      </c>
      <c r="EU37">
        <f t="shared" si="21"/>
        <v>0</v>
      </c>
      <c r="EV37">
        <f t="shared" si="22"/>
        <v>0</v>
      </c>
      <c r="EW37">
        <f t="shared" si="38"/>
        <v>1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f t="shared" si="39"/>
        <v>1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0</v>
      </c>
      <c r="GF37">
        <v>0</v>
      </c>
      <c r="GG37">
        <f t="shared" si="40"/>
        <v>1</v>
      </c>
    </row>
    <row r="38" spans="1:189" x14ac:dyDescent="0.35">
      <c r="A38" t="s">
        <v>360</v>
      </c>
      <c r="B38">
        <f>[1]Population!$BB43</f>
        <v>487601</v>
      </c>
      <c r="C38">
        <f>[1]RealGDP!$BB43</f>
        <v>1291490221.8474941</v>
      </c>
      <c r="D38" s="8">
        <f>[1]GDPcap!$BB43</f>
        <v>2648.6619630548216</v>
      </c>
      <c r="E38" s="8"/>
      <c r="F38">
        <v>7.9897773139757362</v>
      </c>
      <c r="G38">
        <f>RANK(D38,D$4:D38:D$201)</f>
        <v>116</v>
      </c>
      <c r="H38" t="s">
        <v>443</v>
      </c>
      <c r="I38" t="s">
        <v>444</v>
      </c>
      <c r="J38">
        <v>21.2</v>
      </c>
      <c r="K38">
        <v>21.2</v>
      </c>
      <c r="L38">
        <v>21.7</v>
      </c>
      <c r="M38">
        <v>22.1</v>
      </c>
      <c r="N38">
        <v>22.7</v>
      </c>
      <c r="O38">
        <v>23.4</v>
      </c>
      <c r="P38">
        <v>24.3</v>
      </c>
      <c r="Q38">
        <v>25.4</v>
      </c>
      <c r="R38">
        <v>25.8</v>
      </c>
      <c r="S38">
        <v>25.3</v>
      </c>
      <c r="T38">
        <v>24</v>
      </c>
      <c r="U38">
        <v>22.2</v>
      </c>
      <c r="V38">
        <v>22.2</v>
      </c>
      <c r="W38">
        <v>24.4</v>
      </c>
      <c r="X38">
        <v>25</v>
      </c>
      <c r="Y38">
        <v>20.8</v>
      </c>
      <c r="Z38">
        <v>23.3</v>
      </c>
      <c r="AB38">
        <f t="shared" si="23"/>
        <v>0</v>
      </c>
      <c r="AC38">
        <f t="shared" si="24"/>
        <v>1</v>
      </c>
      <c r="AD38">
        <f t="shared" si="25"/>
        <v>0</v>
      </c>
      <c r="AE38">
        <f t="shared" si="26"/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f t="shared" si="0"/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f t="shared" si="1"/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f t="shared" si="42"/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f t="shared" si="27"/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f t="shared" si="28"/>
        <v>1</v>
      </c>
      <c r="CX38">
        <f t="shared" si="29"/>
        <v>0</v>
      </c>
      <c r="CY38">
        <f t="shared" si="3"/>
        <v>0</v>
      </c>
      <c r="CZ38">
        <f t="shared" si="4"/>
        <v>0</v>
      </c>
      <c r="DA38">
        <f t="shared" si="5"/>
        <v>0</v>
      </c>
      <c r="DB38">
        <f t="shared" si="6"/>
        <v>0</v>
      </c>
      <c r="DC38">
        <f t="shared" si="7"/>
        <v>0</v>
      </c>
      <c r="DD38">
        <f t="shared" si="8"/>
        <v>0</v>
      </c>
      <c r="DE38">
        <f t="shared" si="9"/>
        <v>0</v>
      </c>
      <c r="DF38">
        <f t="shared" si="10"/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f t="shared" si="30"/>
        <v>1</v>
      </c>
      <c r="DN38">
        <f t="shared" si="31"/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f t="shared" si="32"/>
        <v>1</v>
      </c>
      <c r="DW38">
        <v>0</v>
      </c>
      <c r="DX38">
        <f t="shared" si="33"/>
        <v>1</v>
      </c>
      <c r="DZ38">
        <f t="shared" si="34"/>
        <v>0</v>
      </c>
      <c r="EA38">
        <f t="shared" si="11"/>
        <v>0</v>
      </c>
      <c r="EB38">
        <f t="shared" si="12"/>
        <v>0</v>
      </c>
      <c r="EC38">
        <f t="shared" si="13"/>
        <v>0</v>
      </c>
      <c r="ED38">
        <f t="shared" si="14"/>
        <v>0</v>
      </c>
      <c r="EE38">
        <f t="shared" si="15"/>
        <v>0</v>
      </c>
      <c r="EF38">
        <f t="shared" si="16"/>
        <v>1</v>
      </c>
      <c r="EG38">
        <f t="shared" si="17"/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f t="shared" si="35"/>
        <v>1</v>
      </c>
      <c r="EO38">
        <f t="shared" si="36"/>
        <v>1</v>
      </c>
      <c r="EQ38">
        <f t="shared" si="37"/>
        <v>0</v>
      </c>
      <c r="ER38">
        <f t="shared" si="18"/>
        <v>0</v>
      </c>
      <c r="ES38">
        <f t="shared" si="19"/>
        <v>0</v>
      </c>
      <c r="ET38">
        <f t="shared" si="20"/>
        <v>0</v>
      </c>
      <c r="EU38">
        <f t="shared" si="21"/>
        <v>0</v>
      </c>
      <c r="EV38">
        <f t="shared" si="22"/>
        <v>1</v>
      </c>
      <c r="EW38">
        <f t="shared" si="38"/>
        <v>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f t="shared" si="39"/>
        <v>1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f t="shared" si="40"/>
        <v>1</v>
      </c>
    </row>
    <row r="39" spans="1:189" x14ac:dyDescent="0.35">
      <c r="A39" t="s">
        <v>361</v>
      </c>
      <c r="B39">
        <f>[1]Population!$BB45</f>
        <v>4349921</v>
      </c>
      <c r="C39">
        <f>[1]RealGDP!$BB45</f>
        <v>1895403784.9660907</v>
      </c>
      <c r="D39" s="8">
        <f>[1]GDPcap!$BB45</f>
        <v>435.73292134870741</v>
      </c>
      <c r="E39" s="8">
        <v>10.072053007234443</v>
      </c>
      <c r="F39">
        <v>50.288828703534264</v>
      </c>
      <c r="G39">
        <f>RANK(D39,D$4:D39:D$201)</f>
        <v>179</v>
      </c>
      <c r="H39" t="s">
        <v>445</v>
      </c>
      <c r="I39" t="s">
        <v>446</v>
      </c>
      <c r="J39">
        <v>24.2</v>
      </c>
      <c r="K39">
        <v>26.1</v>
      </c>
      <c r="L39">
        <v>27.1</v>
      </c>
      <c r="M39">
        <v>26.9</v>
      </c>
      <c r="N39">
        <v>26</v>
      </c>
      <c r="O39">
        <v>24.7</v>
      </c>
      <c r="P39">
        <v>23.8</v>
      </c>
      <c r="Q39">
        <v>23.7</v>
      </c>
      <c r="R39">
        <v>23.9</v>
      </c>
      <c r="S39">
        <v>24.3</v>
      </c>
      <c r="T39">
        <v>24.3</v>
      </c>
      <c r="U39">
        <v>23.6</v>
      </c>
      <c r="V39">
        <v>26.6</v>
      </c>
      <c r="W39">
        <v>24.1</v>
      </c>
      <c r="X39">
        <v>24.2</v>
      </c>
      <c r="Y39">
        <v>23.8</v>
      </c>
      <c r="Z39">
        <v>24.9</v>
      </c>
      <c r="AB39">
        <f t="shared" si="23"/>
        <v>1</v>
      </c>
      <c r="AC39">
        <f t="shared" si="24"/>
        <v>0</v>
      </c>
      <c r="AD39">
        <f t="shared" si="25"/>
        <v>0</v>
      </c>
      <c r="AE39">
        <f t="shared" si="26"/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f t="shared" si="0"/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f t="shared" si="1"/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f t="shared" si="42"/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f t="shared" si="27"/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f t="shared" si="28"/>
        <v>1</v>
      </c>
      <c r="CX39">
        <f t="shared" si="29"/>
        <v>0</v>
      </c>
      <c r="CY39">
        <f t="shared" si="3"/>
        <v>0</v>
      </c>
      <c r="CZ39">
        <f t="shared" si="4"/>
        <v>0</v>
      </c>
      <c r="DA39">
        <f t="shared" si="5"/>
        <v>0</v>
      </c>
      <c r="DB39">
        <f t="shared" si="6"/>
        <v>0</v>
      </c>
      <c r="DC39">
        <f t="shared" si="7"/>
        <v>0</v>
      </c>
      <c r="DD39">
        <f t="shared" si="8"/>
        <v>0</v>
      </c>
      <c r="DE39">
        <f t="shared" si="9"/>
        <v>0</v>
      </c>
      <c r="DF39">
        <f t="shared" si="10"/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f t="shared" si="30"/>
        <v>1</v>
      </c>
      <c r="DN39">
        <f t="shared" si="31"/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f t="shared" si="32"/>
        <v>1</v>
      </c>
      <c r="DW39">
        <v>0</v>
      </c>
      <c r="DX39">
        <f t="shared" si="33"/>
        <v>1</v>
      </c>
      <c r="DZ39">
        <f t="shared" si="34"/>
        <v>0</v>
      </c>
      <c r="EA39">
        <f t="shared" si="11"/>
        <v>0</v>
      </c>
      <c r="EB39">
        <f t="shared" si="12"/>
        <v>0</v>
      </c>
      <c r="EC39">
        <f t="shared" si="13"/>
        <v>0</v>
      </c>
      <c r="ED39">
        <f t="shared" si="14"/>
        <v>0</v>
      </c>
      <c r="EE39">
        <f t="shared" si="15"/>
        <v>0</v>
      </c>
      <c r="EF39">
        <f t="shared" si="16"/>
        <v>1</v>
      </c>
      <c r="EG39">
        <f t="shared" si="17"/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f t="shared" si="35"/>
        <v>1</v>
      </c>
      <c r="EO39">
        <f t="shared" si="36"/>
        <v>1</v>
      </c>
      <c r="EQ39">
        <f t="shared" si="37"/>
        <v>0</v>
      </c>
      <c r="ER39">
        <f t="shared" si="18"/>
        <v>0</v>
      </c>
      <c r="ES39">
        <f t="shared" si="19"/>
        <v>0</v>
      </c>
      <c r="ET39">
        <f t="shared" si="20"/>
        <v>0</v>
      </c>
      <c r="EU39">
        <f t="shared" si="21"/>
        <v>0</v>
      </c>
      <c r="EV39">
        <f t="shared" si="22"/>
        <v>1</v>
      </c>
      <c r="EW39">
        <f t="shared" si="38"/>
        <v>1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f t="shared" si="39"/>
        <v>1</v>
      </c>
      <c r="FZ39">
        <v>1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f t="shared" si="40"/>
        <v>1</v>
      </c>
    </row>
    <row r="40" spans="1:189" x14ac:dyDescent="0.35">
      <c r="A40" t="s">
        <v>362</v>
      </c>
      <c r="B40">
        <f>[1]Population!$BB46</f>
        <v>11720781</v>
      </c>
      <c r="C40">
        <f>[1]RealGDP!$BB46</f>
        <v>8425171572.2620554</v>
      </c>
      <c r="D40" s="8">
        <f>[1]GDPcap!$BB46</f>
        <v>718.82339344639706</v>
      </c>
      <c r="E40" s="8"/>
      <c r="F40">
        <v>51.945623024181465</v>
      </c>
      <c r="G40">
        <f>RANK(D40,D$4:D40:D$201)</f>
        <v>164</v>
      </c>
      <c r="H40" t="s">
        <v>362</v>
      </c>
      <c r="J40">
        <v>20.5</v>
      </c>
      <c r="K40">
        <v>22.9</v>
      </c>
      <c r="L40">
        <v>26.4</v>
      </c>
      <c r="M40">
        <v>29.4</v>
      </c>
      <c r="N40">
        <v>30.9</v>
      </c>
      <c r="O40">
        <v>30.7</v>
      </c>
      <c r="P40">
        <v>29.2</v>
      </c>
      <c r="Q40">
        <v>28.1</v>
      </c>
      <c r="R40">
        <v>28.3</v>
      </c>
      <c r="S40">
        <v>27.1</v>
      </c>
      <c r="T40">
        <v>23.7</v>
      </c>
      <c r="U40">
        <v>21.1</v>
      </c>
      <c r="V40">
        <v>28.9</v>
      </c>
      <c r="W40">
        <v>29.3</v>
      </c>
      <c r="X40">
        <v>26.4</v>
      </c>
      <c r="Y40">
        <v>20.8</v>
      </c>
      <c r="Z40">
        <v>26.5</v>
      </c>
      <c r="AB40">
        <f t="shared" si="23"/>
        <v>1</v>
      </c>
      <c r="AC40">
        <f t="shared" si="24"/>
        <v>0</v>
      </c>
      <c r="AD40">
        <f t="shared" si="25"/>
        <v>0</v>
      </c>
      <c r="AE40">
        <f t="shared" si="26"/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f t="shared" si="0"/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f t="shared" si="1"/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f t="shared" si="42"/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f t="shared" si="27"/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f t="shared" si="28"/>
        <v>1</v>
      </c>
      <c r="CX40">
        <f t="shared" si="29"/>
        <v>0</v>
      </c>
      <c r="CY40">
        <f t="shared" si="3"/>
        <v>0</v>
      </c>
      <c r="CZ40">
        <f t="shared" si="4"/>
        <v>0</v>
      </c>
      <c r="DA40">
        <f t="shared" si="5"/>
        <v>0</v>
      </c>
      <c r="DB40">
        <f t="shared" si="6"/>
        <v>0</v>
      </c>
      <c r="DC40">
        <f t="shared" si="7"/>
        <v>0</v>
      </c>
      <c r="DD40">
        <f t="shared" si="8"/>
        <v>0</v>
      </c>
      <c r="DE40">
        <f t="shared" si="9"/>
        <v>0</v>
      </c>
      <c r="DF40">
        <f t="shared" si="10"/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f t="shared" si="30"/>
        <v>1</v>
      </c>
      <c r="DN40">
        <f t="shared" si="31"/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f t="shared" si="32"/>
        <v>1</v>
      </c>
      <c r="DW40">
        <v>0</v>
      </c>
      <c r="DX40">
        <f t="shared" si="33"/>
        <v>1</v>
      </c>
      <c r="DZ40">
        <f t="shared" si="34"/>
        <v>0</v>
      </c>
      <c r="EA40">
        <f t="shared" si="11"/>
        <v>0</v>
      </c>
      <c r="EB40">
        <f t="shared" si="12"/>
        <v>0</v>
      </c>
      <c r="EC40">
        <f t="shared" si="13"/>
        <v>0</v>
      </c>
      <c r="ED40">
        <f t="shared" si="14"/>
        <v>0</v>
      </c>
      <c r="EE40">
        <f t="shared" si="15"/>
        <v>0</v>
      </c>
      <c r="EF40">
        <f t="shared" si="16"/>
        <v>1</v>
      </c>
      <c r="EG40">
        <f t="shared" si="17"/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f t="shared" si="35"/>
        <v>1</v>
      </c>
      <c r="EO40">
        <f t="shared" si="36"/>
        <v>1</v>
      </c>
      <c r="EQ40">
        <f t="shared" si="37"/>
        <v>0</v>
      </c>
      <c r="ER40">
        <f t="shared" si="18"/>
        <v>0</v>
      </c>
      <c r="ES40">
        <f t="shared" si="19"/>
        <v>0</v>
      </c>
      <c r="ET40">
        <f t="shared" si="20"/>
        <v>0</v>
      </c>
      <c r="EU40">
        <f t="shared" si="21"/>
        <v>0</v>
      </c>
      <c r="EV40">
        <f t="shared" si="22"/>
        <v>1</v>
      </c>
      <c r="EW40">
        <f t="shared" si="38"/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FX40">
        <f t="shared" si="39"/>
        <v>1</v>
      </c>
      <c r="FZ40">
        <v>1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f t="shared" si="40"/>
        <v>1</v>
      </c>
    </row>
    <row r="41" spans="1:189" x14ac:dyDescent="0.35">
      <c r="A41" t="s">
        <v>132</v>
      </c>
      <c r="B41">
        <f>[1]Population!$BB47</f>
        <v>17150760</v>
      </c>
      <c r="C41">
        <f>[1]RealGDP!$BB47</f>
        <v>147668421646.38379</v>
      </c>
      <c r="D41" s="8">
        <f>[1]GDPcap!$BB47</f>
        <v>8610.0220425441075</v>
      </c>
      <c r="E41" s="8">
        <v>17.356514395849796</v>
      </c>
      <c r="F41">
        <v>3.615889644675824</v>
      </c>
      <c r="G41">
        <f>RANK(D41,D$4:D41:D$201)</f>
        <v>64</v>
      </c>
      <c r="H41" t="s">
        <v>132</v>
      </c>
      <c r="J41">
        <v>12.6</v>
      </c>
      <c r="K41">
        <v>12.2</v>
      </c>
      <c r="L41">
        <v>10.9</v>
      </c>
      <c r="M41">
        <v>8.8000000000000007</v>
      </c>
      <c r="N41">
        <v>6.6</v>
      </c>
      <c r="O41">
        <v>4.7</v>
      </c>
      <c r="P41">
        <v>4.3</v>
      </c>
      <c r="Q41">
        <v>5</v>
      </c>
      <c r="R41">
        <v>6.4</v>
      </c>
      <c r="S41">
        <v>8.1999999999999993</v>
      </c>
      <c r="T41">
        <v>10.1</v>
      </c>
      <c r="U41">
        <v>11.7</v>
      </c>
      <c r="V41">
        <v>8.8000000000000007</v>
      </c>
      <c r="W41">
        <v>4.7</v>
      </c>
      <c r="X41">
        <v>8.1999999999999993</v>
      </c>
      <c r="Y41">
        <v>11.8</v>
      </c>
      <c r="Z41">
        <v>8.5</v>
      </c>
      <c r="AB41">
        <f t="shared" si="23"/>
        <v>0</v>
      </c>
      <c r="AC41">
        <f t="shared" si="24"/>
        <v>0</v>
      </c>
      <c r="AD41">
        <f t="shared" si="25"/>
        <v>1</v>
      </c>
      <c r="AE41">
        <f t="shared" si="26"/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f t="shared" si="0"/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f t="shared" si="1"/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f t="shared" si="42"/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f t="shared" si="27"/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f t="shared" si="28"/>
        <v>1</v>
      </c>
      <c r="CX41">
        <f t="shared" si="29"/>
        <v>0</v>
      </c>
      <c r="CY41">
        <f t="shared" si="3"/>
        <v>0</v>
      </c>
      <c r="CZ41">
        <f t="shared" si="4"/>
        <v>0</v>
      </c>
      <c r="DA41">
        <f t="shared" si="5"/>
        <v>0</v>
      </c>
      <c r="DB41">
        <f t="shared" si="6"/>
        <v>0</v>
      </c>
      <c r="DC41">
        <f t="shared" si="7"/>
        <v>1</v>
      </c>
      <c r="DD41">
        <f t="shared" si="8"/>
        <v>0</v>
      </c>
      <c r="DE41">
        <f t="shared" si="9"/>
        <v>0</v>
      </c>
      <c r="DF41">
        <f t="shared" si="10"/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f t="shared" si="30"/>
        <v>1</v>
      </c>
      <c r="DN41">
        <f t="shared" si="31"/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f t="shared" si="32"/>
        <v>0</v>
      </c>
      <c r="DW41">
        <v>1</v>
      </c>
      <c r="DX41">
        <f t="shared" si="33"/>
        <v>1</v>
      </c>
      <c r="DZ41">
        <f t="shared" si="34"/>
        <v>0</v>
      </c>
      <c r="EA41">
        <f t="shared" si="11"/>
        <v>0</v>
      </c>
      <c r="EB41">
        <f t="shared" si="12"/>
        <v>0</v>
      </c>
      <c r="EC41">
        <f t="shared" si="13"/>
        <v>0</v>
      </c>
      <c r="ED41">
        <f t="shared" si="14"/>
        <v>0</v>
      </c>
      <c r="EE41">
        <f t="shared" si="15"/>
        <v>0</v>
      </c>
      <c r="EF41">
        <f t="shared" si="16"/>
        <v>0</v>
      </c>
      <c r="EG41">
        <f t="shared" si="17"/>
        <v>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f t="shared" si="35"/>
        <v>1</v>
      </c>
      <c r="EO41">
        <f t="shared" si="36"/>
        <v>1</v>
      </c>
      <c r="EQ41">
        <f t="shared" si="37"/>
        <v>0</v>
      </c>
      <c r="ER41">
        <f t="shared" si="18"/>
        <v>0</v>
      </c>
      <c r="ES41">
        <f t="shared" si="19"/>
        <v>0</v>
      </c>
      <c r="ET41">
        <f t="shared" si="20"/>
        <v>0</v>
      </c>
      <c r="EU41">
        <f t="shared" si="21"/>
        <v>0</v>
      </c>
      <c r="EV41">
        <f t="shared" si="22"/>
        <v>1</v>
      </c>
      <c r="EW41">
        <f t="shared" si="38"/>
        <v>1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f t="shared" si="39"/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f t="shared" si="40"/>
        <v>1</v>
      </c>
    </row>
    <row r="42" spans="1:189" x14ac:dyDescent="0.35">
      <c r="A42" t="s">
        <v>65</v>
      </c>
      <c r="B42">
        <f>[1]Population!$BB48</f>
        <v>1337705000</v>
      </c>
      <c r="C42">
        <f>[1]RealGDP!$BB48</f>
        <v>3839284159376.0742</v>
      </c>
      <c r="D42" s="8">
        <f>[1]GDPcap!$BB48</f>
        <v>2870.0529334764196</v>
      </c>
      <c r="E42" s="8">
        <v>10.189523096860571</v>
      </c>
      <c r="F42">
        <v>9.5301929409305757</v>
      </c>
      <c r="G42">
        <f>RANK(D42,D$4:D42:D$201)</f>
        <v>112</v>
      </c>
      <c r="H42" t="s">
        <v>65</v>
      </c>
      <c r="J42">
        <v>-7.4</v>
      </c>
      <c r="K42">
        <v>-5</v>
      </c>
      <c r="L42">
        <v>1.2</v>
      </c>
      <c r="M42">
        <v>8.1</v>
      </c>
      <c r="N42">
        <v>13.5</v>
      </c>
      <c r="O42">
        <v>17.399999999999999</v>
      </c>
      <c r="P42">
        <v>19.7</v>
      </c>
      <c r="Q42">
        <v>18.8</v>
      </c>
      <c r="R42">
        <v>14.4</v>
      </c>
      <c r="S42">
        <v>8</v>
      </c>
      <c r="T42">
        <v>0.4</v>
      </c>
      <c r="U42">
        <v>-5.5</v>
      </c>
      <c r="V42">
        <v>7.6</v>
      </c>
      <c r="W42">
        <v>18.600000000000001</v>
      </c>
      <c r="X42">
        <v>7.6</v>
      </c>
      <c r="Y42">
        <v>-5.8</v>
      </c>
      <c r="Z42">
        <v>6.9</v>
      </c>
      <c r="AB42">
        <f t="shared" si="23"/>
        <v>0</v>
      </c>
      <c r="AC42">
        <f t="shared" si="24"/>
        <v>1</v>
      </c>
      <c r="AD42">
        <f t="shared" si="25"/>
        <v>0</v>
      </c>
      <c r="AE42">
        <f t="shared" si="26"/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f t="shared" si="0"/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f t="shared" si="1"/>
        <v>1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f t="shared" si="42"/>
        <v>1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f t="shared" si="27"/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f t="shared" si="28"/>
        <v>1</v>
      </c>
      <c r="CX42">
        <f t="shared" si="29"/>
        <v>0</v>
      </c>
      <c r="CY42">
        <f t="shared" si="3"/>
        <v>0</v>
      </c>
      <c r="CZ42">
        <f t="shared" si="4"/>
        <v>0</v>
      </c>
      <c r="DA42">
        <f t="shared" si="5"/>
        <v>0</v>
      </c>
      <c r="DB42">
        <f t="shared" si="6"/>
        <v>0</v>
      </c>
      <c r="DC42">
        <f t="shared" si="7"/>
        <v>0</v>
      </c>
      <c r="DD42">
        <f t="shared" si="8"/>
        <v>0</v>
      </c>
      <c r="DE42">
        <f t="shared" si="9"/>
        <v>1</v>
      </c>
      <c r="DF42">
        <f t="shared" si="10"/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f t="shared" si="30"/>
        <v>0</v>
      </c>
      <c r="DN42">
        <f t="shared" si="31"/>
        <v>1</v>
      </c>
      <c r="DP42">
        <v>0</v>
      </c>
      <c r="DQ42">
        <v>0</v>
      </c>
      <c r="DR42">
        <v>0</v>
      </c>
      <c r="DS42">
        <v>0</v>
      </c>
      <c r="DT42">
        <v>1</v>
      </c>
      <c r="DU42">
        <v>0</v>
      </c>
      <c r="DV42">
        <f t="shared" si="32"/>
        <v>0</v>
      </c>
      <c r="DW42">
        <v>0</v>
      </c>
      <c r="DX42">
        <f t="shared" si="33"/>
        <v>1</v>
      </c>
      <c r="DZ42">
        <f t="shared" si="34"/>
        <v>0</v>
      </c>
      <c r="EA42">
        <f t="shared" si="11"/>
        <v>0</v>
      </c>
      <c r="EB42">
        <f t="shared" si="12"/>
        <v>0</v>
      </c>
      <c r="EC42">
        <f t="shared" si="13"/>
        <v>0</v>
      </c>
      <c r="ED42">
        <f t="shared" si="14"/>
        <v>1</v>
      </c>
      <c r="EE42">
        <f t="shared" si="15"/>
        <v>0</v>
      </c>
      <c r="EF42">
        <f t="shared" si="16"/>
        <v>0</v>
      </c>
      <c r="EG42">
        <f t="shared" si="17"/>
        <v>0</v>
      </c>
      <c r="EI42">
        <v>0</v>
      </c>
      <c r="EJ42">
        <v>0</v>
      </c>
      <c r="EK42">
        <v>0</v>
      </c>
      <c r="EL42">
        <v>0</v>
      </c>
      <c r="EM42">
        <v>1</v>
      </c>
      <c r="EN42">
        <f t="shared" si="35"/>
        <v>0</v>
      </c>
      <c r="EO42">
        <f t="shared" si="36"/>
        <v>1</v>
      </c>
      <c r="EQ42">
        <f t="shared" si="37"/>
        <v>0</v>
      </c>
      <c r="ER42">
        <f t="shared" si="18"/>
        <v>0</v>
      </c>
      <c r="ES42">
        <f t="shared" si="19"/>
        <v>0</v>
      </c>
      <c r="ET42">
        <f t="shared" si="20"/>
        <v>0</v>
      </c>
      <c r="EU42">
        <f t="shared" si="21"/>
        <v>1</v>
      </c>
      <c r="EV42">
        <f t="shared" si="22"/>
        <v>0</v>
      </c>
      <c r="EW42">
        <f t="shared" si="38"/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f t="shared" si="39"/>
        <v>1</v>
      </c>
      <c r="FZ42">
        <v>0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f t="shared" si="40"/>
        <v>1</v>
      </c>
    </row>
    <row r="43" spans="1:189" x14ac:dyDescent="0.35">
      <c r="A43" t="s">
        <v>133</v>
      </c>
      <c r="B43">
        <f>[1]Population!$BB51</f>
        <v>46444798</v>
      </c>
      <c r="C43">
        <f>[1]RealGDP!$BB51</f>
        <v>182893446717.7428</v>
      </c>
      <c r="D43" s="8">
        <f>[1]GDPcap!$BB51</f>
        <v>3937.8672013546661</v>
      </c>
      <c r="E43" s="8">
        <v>12.12291328699048</v>
      </c>
      <c r="F43">
        <v>6.5020076194111471</v>
      </c>
      <c r="G43">
        <f>RANK(D43,D$4:D43:D$201)</f>
        <v>98</v>
      </c>
      <c r="H43" t="s">
        <v>133</v>
      </c>
      <c r="J43">
        <v>24.7</v>
      </c>
      <c r="K43">
        <v>25.1</v>
      </c>
      <c r="L43">
        <v>25.2</v>
      </c>
      <c r="M43">
        <v>24.8</v>
      </c>
      <c r="N43">
        <v>24.4</v>
      </c>
      <c r="O43">
        <v>24</v>
      </c>
      <c r="P43">
        <v>23.9</v>
      </c>
      <c r="Q43">
        <v>24.1</v>
      </c>
      <c r="R43">
        <v>24.3</v>
      </c>
      <c r="S43">
        <v>24.3</v>
      </c>
      <c r="T43">
        <v>24.5</v>
      </c>
      <c r="U43">
        <v>24.4</v>
      </c>
      <c r="V43">
        <v>24.8</v>
      </c>
      <c r="W43">
        <v>24</v>
      </c>
      <c r="X43">
        <v>24.4</v>
      </c>
      <c r="Y43">
        <v>23.9</v>
      </c>
      <c r="Z43">
        <v>24.5</v>
      </c>
      <c r="AB43">
        <f t="shared" si="23"/>
        <v>0</v>
      </c>
      <c r="AC43">
        <f t="shared" si="24"/>
        <v>0</v>
      </c>
      <c r="AD43">
        <f t="shared" si="25"/>
        <v>1</v>
      </c>
      <c r="AE43">
        <f t="shared" si="26"/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f t="shared" si="0"/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f t="shared" si="1"/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f t="shared" si="42"/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f t="shared" si="27"/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f t="shared" si="28"/>
        <v>1</v>
      </c>
      <c r="CX43">
        <f t="shared" si="29"/>
        <v>0</v>
      </c>
      <c r="CY43">
        <f t="shared" si="3"/>
        <v>0</v>
      </c>
      <c r="CZ43">
        <f t="shared" si="4"/>
        <v>0</v>
      </c>
      <c r="DA43">
        <f t="shared" si="5"/>
        <v>0</v>
      </c>
      <c r="DB43">
        <f t="shared" si="6"/>
        <v>0</v>
      </c>
      <c r="DC43">
        <f t="shared" si="7"/>
        <v>1</v>
      </c>
      <c r="DD43">
        <f t="shared" si="8"/>
        <v>0</v>
      </c>
      <c r="DE43">
        <f t="shared" si="9"/>
        <v>0</v>
      </c>
      <c r="DF43">
        <f t="shared" si="10"/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f t="shared" si="30"/>
        <v>1</v>
      </c>
      <c r="DN43">
        <f t="shared" si="31"/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f t="shared" si="32"/>
        <v>0</v>
      </c>
      <c r="DW43">
        <v>1</v>
      </c>
      <c r="DX43">
        <f t="shared" si="33"/>
        <v>1</v>
      </c>
      <c r="DZ43">
        <f t="shared" si="34"/>
        <v>0</v>
      </c>
      <c r="EA43">
        <f t="shared" si="11"/>
        <v>0</v>
      </c>
      <c r="EB43">
        <f t="shared" si="12"/>
        <v>0</v>
      </c>
      <c r="EC43">
        <f t="shared" si="13"/>
        <v>0</v>
      </c>
      <c r="ED43">
        <f t="shared" si="14"/>
        <v>0</v>
      </c>
      <c r="EE43">
        <f t="shared" si="15"/>
        <v>0</v>
      </c>
      <c r="EF43">
        <f t="shared" si="16"/>
        <v>0</v>
      </c>
      <c r="EG43">
        <f t="shared" si="17"/>
        <v>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f t="shared" si="35"/>
        <v>1</v>
      </c>
      <c r="EO43">
        <f t="shared" si="36"/>
        <v>1</v>
      </c>
      <c r="EQ43">
        <f t="shared" si="37"/>
        <v>0</v>
      </c>
      <c r="ER43">
        <f t="shared" si="18"/>
        <v>0</v>
      </c>
      <c r="ES43">
        <f t="shared" si="19"/>
        <v>0</v>
      </c>
      <c r="ET43">
        <f t="shared" si="20"/>
        <v>0</v>
      </c>
      <c r="EU43">
        <f t="shared" si="21"/>
        <v>0</v>
      </c>
      <c r="EV43">
        <f t="shared" si="22"/>
        <v>1</v>
      </c>
      <c r="EW43">
        <f t="shared" si="38"/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f t="shared" si="39"/>
        <v>1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f t="shared" si="40"/>
        <v>1</v>
      </c>
    </row>
    <row r="44" spans="1:189" x14ac:dyDescent="0.35">
      <c r="A44" t="s">
        <v>363</v>
      </c>
      <c r="B44">
        <f>[1]Population!$BB52</f>
        <v>683081</v>
      </c>
      <c r="C44">
        <f>[1]RealGDP!$BB52</f>
        <v>413107576.03941357</v>
      </c>
      <c r="D44" s="8">
        <f>[1]GDPcap!$BB52</f>
        <v>604.77099500559018</v>
      </c>
      <c r="E44" s="8"/>
      <c r="F44">
        <v>39.57402971744073</v>
      </c>
      <c r="G44">
        <f>RANK(D44,D$4:D44:D$201)</f>
        <v>169</v>
      </c>
      <c r="H44" t="s">
        <v>363</v>
      </c>
      <c r="J44">
        <v>26.6</v>
      </c>
      <c r="K44">
        <v>26.6</v>
      </c>
      <c r="L44">
        <v>26.8</v>
      </c>
      <c r="M44">
        <v>26.6</v>
      </c>
      <c r="N44">
        <v>25.7</v>
      </c>
      <c r="O44">
        <v>24.1</v>
      </c>
      <c r="P44">
        <v>23.6</v>
      </c>
      <c r="Q44">
        <v>23.8</v>
      </c>
      <c r="R44">
        <v>24.4</v>
      </c>
      <c r="S44">
        <v>25.6</v>
      </c>
      <c r="T44">
        <v>26.4</v>
      </c>
      <c r="U44">
        <v>26.6</v>
      </c>
      <c r="V44">
        <v>26.3</v>
      </c>
      <c r="W44">
        <v>23.8</v>
      </c>
      <c r="X44">
        <v>25.5</v>
      </c>
      <c r="Y44">
        <v>25.7</v>
      </c>
      <c r="Z44">
        <v>25.6</v>
      </c>
      <c r="AB44">
        <f t="shared" si="23"/>
        <v>1</v>
      </c>
      <c r="AC44">
        <f t="shared" si="24"/>
        <v>0</v>
      </c>
      <c r="AD44">
        <f t="shared" si="25"/>
        <v>0</v>
      </c>
      <c r="AE44">
        <f t="shared" si="26"/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f t="shared" si="0"/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f t="shared" si="1"/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f t="shared" si="42"/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f t="shared" si="27"/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f t="shared" si="28"/>
        <v>1</v>
      </c>
      <c r="CX44">
        <f t="shared" si="29"/>
        <v>0</v>
      </c>
      <c r="CY44">
        <f t="shared" si="3"/>
        <v>0</v>
      </c>
      <c r="CZ44">
        <f t="shared" si="4"/>
        <v>0</v>
      </c>
      <c r="DA44">
        <f t="shared" si="5"/>
        <v>0</v>
      </c>
      <c r="DB44">
        <f t="shared" si="6"/>
        <v>0</v>
      </c>
      <c r="DC44">
        <f t="shared" si="7"/>
        <v>0</v>
      </c>
      <c r="DD44">
        <f t="shared" si="8"/>
        <v>0</v>
      </c>
      <c r="DE44">
        <f t="shared" si="9"/>
        <v>0</v>
      </c>
      <c r="DF44">
        <f t="shared" si="10"/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f t="shared" si="30"/>
        <v>1</v>
      </c>
      <c r="DN44">
        <f t="shared" si="31"/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f t="shared" si="32"/>
        <v>1</v>
      </c>
      <c r="DW44">
        <v>0</v>
      </c>
      <c r="DX44">
        <f t="shared" si="33"/>
        <v>1</v>
      </c>
      <c r="DZ44">
        <f t="shared" si="34"/>
        <v>0</v>
      </c>
      <c r="EA44">
        <f t="shared" si="11"/>
        <v>0</v>
      </c>
      <c r="EB44">
        <f t="shared" si="12"/>
        <v>0</v>
      </c>
      <c r="EC44">
        <f t="shared" si="13"/>
        <v>0</v>
      </c>
      <c r="ED44">
        <f t="shared" si="14"/>
        <v>0</v>
      </c>
      <c r="EE44">
        <f t="shared" si="15"/>
        <v>0</v>
      </c>
      <c r="EF44">
        <f t="shared" si="16"/>
        <v>1</v>
      </c>
      <c r="EG44">
        <f t="shared" si="17"/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f t="shared" si="35"/>
        <v>1</v>
      </c>
      <c r="EO44">
        <f t="shared" si="36"/>
        <v>1</v>
      </c>
      <c r="EQ44">
        <f t="shared" si="37"/>
        <v>0</v>
      </c>
      <c r="ER44">
        <f t="shared" si="18"/>
        <v>0</v>
      </c>
      <c r="ES44">
        <f t="shared" si="19"/>
        <v>0</v>
      </c>
      <c r="ET44">
        <f t="shared" si="20"/>
        <v>0</v>
      </c>
      <c r="EU44">
        <f t="shared" si="21"/>
        <v>0</v>
      </c>
      <c r="EV44">
        <f t="shared" si="22"/>
        <v>1</v>
      </c>
      <c r="EW44">
        <f t="shared" si="38"/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f t="shared" si="39"/>
        <v>1</v>
      </c>
      <c r="FZ44">
        <v>1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f t="shared" si="40"/>
        <v>1</v>
      </c>
    </row>
    <row r="45" spans="1:189" x14ac:dyDescent="0.35">
      <c r="A45" t="s">
        <v>364</v>
      </c>
      <c r="B45">
        <f>[1]Population!$BB53</f>
        <v>62191161</v>
      </c>
      <c r="C45">
        <f>[1]RealGDP!$BB53</f>
        <v>15665220568.04055</v>
      </c>
      <c r="D45" s="8">
        <f>[1]GDPcap!$BB53</f>
        <v>251.88821556234575</v>
      </c>
      <c r="E45" s="8">
        <v>8.3504477564013406</v>
      </c>
      <c r="F45">
        <v>21.428491122613849</v>
      </c>
      <c r="G45">
        <f>RANK(D45,D$4:D45:D$201)</f>
        <v>193</v>
      </c>
      <c r="H45" t="s">
        <v>490</v>
      </c>
      <c r="J45">
        <v>24.1</v>
      </c>
      <c r="K45">
        <v>24.4</v>
      </c>
      <c r="L45">
        <v>24.7</v>
      </c>
      <c r="M45">
        <v>24.6</v>
      </c>
      <c r="N45">
        <v>24.3</v>
      </c>
      <c r="O45">
        <v>23.3</v>
      </c>
      <c r="P45">
        <v>22.8</v>
      </c>
      <c r="Q45">
        <v>23.4</v>
      </c>
      <c r="R45">
        <v>24</v>
      </c>
      <c r="S45">
        <v>24.2</v>
      </c>
      <c r="T45">
        <v>24.1</v>
      </c>
      <c r="U45">
        <v>23.9</v>
      </c>
      <c r="V45">
        <v>24.5</v>
      </c>
      <c r="W45">
        <v>23.2</v>
      </c>
      <c r="X45">
        <v>24.1</v>
      </c>
      <c r="Y45">
        <v>23.3</v>
      </c>
      <c r="Z45">
        <v>24</v>
      </c>
      <c r="AB45">
        <f t="shared" si="23"/>
        <v>1</v>
      </c>
      <c r="AC45">
        <f t="shared" si="24"/>
        <v>0</v>
      </c>
      <c r="AD45">
        <f t="shared" si="25"/>
        <v>0</v>
      </c>
      <c r="AE45">
        <f t="shared" si="26"/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f t="shared" si="0"/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f t="shared" si="1"/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f t="shared" si="42"/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f t="shared" si="27"/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f t="shared" si="28"/>
        <v>1</v>
      </c>
      <c r="CX45">
        <f t="shared" si="29"/>
        <v>0</v>
      </c>
      <c r="CY45">
        <f t="shared" si="3"/>
        <v>0</v>
      </c>
      <c r="CZ45">
        <f t="shared" si="4"/>
        <v>0</v>
      </c>
      <c r="DA45">
        <f t="shared" si="5"/>
        <v>0</v>
      </c>
      <c r="DB45">
        <f t="shared" si="6"/>
        <v>0</v>
      </c>
      <c r="DC45">
        <f t="shared" si="7"/>
        <v>0</v>
      </c>
      <c r="DD45">
        <f t="shared" si="8"/>
        <v>0</v>
      </c>
      <c r="DE45">
        <f t="shared" si="9"/>
        <v>0</v>
      </c>
      <c r="DF45">
        <f t="shared" si="10"/>
        <v>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f t="shared" si="30"/>
        <v>1</v>
      </c>
      <c r="DN45">
        <f t="shared" si="31"/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f t="shared" si="32"/>
        <v>1</v>
      </c>
      <c r="DW45">
        <v>0</v>
      </c>
      <c r="DX45">
        <f t="shared" si="33"/>
        <v>1</v>
      </c>
      <c r="DZ45">
        <f t="shared" si="34"/>
        <v>0</v>
      </c>
      <c r="EA45">
        <f t="shared" si="11"/>
        <v>0</v>
      </c>
      <c r="EB45">
        <f t="shared" si="12"/>
        <v>0</v>
      </c>
      <c r="EC45">
        <f t="shared" si="13"/>
        <v>0</v>
      </c>
      <c r="ED45">
        <f t="shared" si="14"/>
        <v>0</v>
      </c>
      <c r="EE45">
        <f t="shared" si="15"/>
        <v>0</v>
      </c>
      <c r="EF45">
        <f t="shared" si="16"/>
        <v>1</v>
      </c>
      <c r="EG45">
        <f t="shared" si="17"/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f t="shared" si="35"/>
        <v>1</v>
      </c>
      <c r="EO45">
        <f t="shared" si="36"/>
        <v>1</v>
      </c>
      <c r="EQ45">
        <f t="shared" si="37"/>
        <v>0</v>
      </c>
      <c r="ER45">
        <f t="shared" si="18"/>
        <v>0</v>
      </c>
      <c r="ES45">
        <f t="shared" si="19"/>
        <v>0</v>
      </c>
      <c r="ET45">
        <f t="shared" si="20"/>
        <v>0</v>
      </c>
      <c r="EU45">
        <f t="shared" si="21"/>
        <v>0</v>
      </c>
      <c r="EV45">
        <f t="shared" si="22"/>
        <v>1</v>
      </c>
      <c r="EW45">
        <f t="shared" si="38"/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</v>
      </c>
      <c r="FX45">
        <f t="shared" si="39"/>
        <v>1</v>
      </c>
      <c r="FZ45">
        <v>1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f t="shared" si="40"/>
        <v>1</v>
      </c>
    </row>
    <row r="46" spans="1:189" x14ac:dyDescent="0.35">
      <c r="A46" t="s">
        <v>365</v>
      </c>
      <c r="B46">
        <f>[1]Population!$BB54</f>
        <v>4111715</v>
      </c>
      <c r="C46">
        <f>[1]RealGDP!$BB54</f>
        <v>7852666838.4847937</v>
      </c>
      <c r="D46" s="8">
        <f>[1]GDPcap!$BB54</f>
        <v>1909.827611710635</v>
      </c>
      <c r="E46" s="8">
        <v>7.5959770831010829</v>
      </c>
      <c r="F46">
        <v>3.8304070115366371</v>
      </c>
      <c r="G46">
        <f>RANK(D46,D$4:D46:D$201)</f>
        <v>130</v>
      </c>
      <c r="H46" t="s">
        <v>134</v>
      </c>
      <c r="J46">
        <v>24.7</v>
      </c>
      <c r="K46">
        <v>25.3</v>
      </c>
      <c r="L46">
        <v>25.6</v>
      </c>
      <c r="M46">
        <v>25.6</v>
      </c>
      <c r="N46">
        <v>25.2</v>
      </c>
      <c r="O46">
        <v>23.8</v>
      </c>
      <c r="P46">
        <v>23.1</v>
      </c>
      <c r="Q46">
        <v>23.4</v>
      </c>
      <c r="R46">
        <v>24</v>
      </c>
      <c r="S46">
        <v>24.5</v>
      </c>
      <c r="T46">
        <v>24.5</v>
      </c>
      <c r="U46">
        <v>24.5</v>
      </c>
      <c r="V46">
        <v>25.5</v>
      </c>
      <c r="W46">
        <v>23.4</v>
      </c>
      <c r="X46">
        <v>24.3</v>
      </c>
      <c r="Y46">
        <v>24</v>
      </c>
      <c r="Z46">
        <v>24.5</v>
      </c>
      <c r="AB46">
        <f t="shared" si="23"/>
        <v>0</v>
      </c>
      <c r="AC46">
        <f t="shared" si="24"/>
        <v>1</v>
      </c>
      <c r="AD46">
        <f t="shared" si="25"/>
        <v>0</v>
      </c>
      <c r="AE46">
        <f t="shared" si="26"/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f t="shared" si="0"/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f t="shared" si="1"/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f t="shared" si="42"/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f t="shared" si="27"/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f t="shared" si="28"/>
        <v>1</v>
      </c>
      <c r="CX46">
        <f t="shared" si="29"/>
        <v>0</v>
      </c>
      <c r="CY46">
        <f t="shared" si="3"/>
        <v>0</v>
      </c>
      <c r="CZ46">
        <f t="shared" si="4"/>
        <v>0</v>
      </c>
      <c r="DA46">
        <f t="shared" si="5"/>
        <v>0</v>
      </c>
      <c r="DB46">
        <f t="shared" si="6"/>
        <v>0</v>
      </c>
      <c r="DC46">
        <f t="shared" si="7"/>
        <v>0</v>
      </c>
      <c r="DD46">
        <f t="shared" si="8"/>
        <v>0</v>
      </c>
      <c r="DE46">
        <f t="shared" si="9"/>
        <v>0</v>
      </c>
      <c r="DF46">
        <f t="shared" si="10"/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f t="shared" si="30"/>
        <v>1</v>
      </c>
      <c r="DN46">
        <f t="shared" si="31"/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f t="shared" si="32"/>
        <v>1</v>
      </c>
      <c r="DW46">
        <v>0</v>
      </c>
      <c r="DX46">
        <f t="shared" si="33"/>
        <v>1</v>
      </c>
      <c r="DZ46">
        <f t="shared" si="34"/>
        <v>0</v>
      </c>
      <c r="EA46">
        <f t="shared" si="11"/>
        <v>0</v>
      </c>
      <c r="EB46">
        <f t="shared" si="12"/>
        <v>0</v>
      </c>
      <c r="EC46">
        <f t="shared" si="13"/>
        <v>0</v>
      </c>
      <c r="ED46">
        <f t="shared" si="14"/>
        <v>0</v>
      </c>
      <c r="EE46">
        <f t="shared" si="15"/>
        <v>0</v>
      </c>
      <c r="EF46">
        <f t="shared" si="16"/>
        <v>1</v>
      </c>
      <c r="EG46">
        <f t="shared" si="17"/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f t="shared" si="35"/>
        <v>1</v>
      </c>
      <c r="EO46">
        <f t="shared" si="36"/>
        <v>1</v>
      </c>
      <c r="EQ46">
        <f t="shared" si="37"/>
        <v>0</v>
      </c>
      <c r="ER46">
        <f t="shared" si="18"/>
        <v>0</v>
      </c>
      <c r="ES46">
        <f t="shared" si="19"/>
        <v>0</v>
      </c>
      <c r="ET46">
        <f t="shared" si="20"/>
        <v>0</v>
      </c>
      <c r="EU46">
        <f t="shared" si="21"/>
        <v>0</v>
      </c>
      <c r="EV46">
        <f t="shared" si="22"/>
        <v>1</v>
      </c>
      <c r="EW46">
        <f t="shared" si="38"/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</v>
      </c>
      <c r="FX46">
        <f t="shared" si="39"/>
        <v>1</v>
      </c>
      <c r="FZ46">
        <v>1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f t="shared" si="40"/>
        <v>1</v>
      </c>
    </row>
    <row r="47" spans="1:189" x14ac:dyDescent="0.35">
      <c r="A47" t="s">
        <v>135</v>
      </c>
      <c r="B47">
        <f>[1]Population!$BB56</f>
        <v>4669685</v>
      </c>
      <c r="C47">
        <f>[1]RealGDP!$BB56</f>
        <v>25017792422.605213</v>
      </c>
      <c r="D47" s="8">
        <f>[1]GDPcap!$BB56</f>
        <v>5357.4903708933716</v>
      </c>
      <c r="E47" s="8">
        <v>13.08808510540038</v>
      </c>
      <c r="F47">
        <v>6.5871780998434932</v>
      </c>
      <c r="G47">
        <f>RANK(D47,D$4:D47:D$201)</f>
        <v>85</v>
      </c>
      <c r="H47" t="s">
        <v>447</v>
      </c>
      <c r="I47" t="s">
        <v>448</v>
      </c>
      <c r="J47">
        <v>24.3</v>
      </c>
      <c r="K47">
        <v>24.8</v>
      </c>
      <c r="L47">
        <v>25.6</v>
      </c>
      <c r="M47">
        <v>26.1</v>
      </c>
      <c r="N47">
        <v>25.5</v>
      </c>
      <c r="O47">
        <v>24.7</v>
      </c>
      <c r="P47">
        <v>24.9</v>
      </c>
      <c r="Q47">
        <v>24.7</v>
      </c>
      <c r="R47">
        <v>24.4</v>
      </c>
      <c r="S47">
        <v>24.2</v>
      </c>
      <c r="T47">
        <v>24</v>
      </c>
      <c r="U47">
        <v>23.9</v>
      </c>
      <c r="V47">
        <v>25.7</v>
      </c>
      <c r="W47">
        <v>24.8</v>
      </c>
      <c r="X47">
        <v>24.2</v>
      </c>
      <c r="Y47">
        <v>23.5</v>
      </c>
      <c r="Z47">
        <v>24.8</v>
      </c>
      <c r="AB47">
        <f t="shared" si="23"/>
        <v>0</v>
      </c>
      <c r="AC47">
        <f t="shared" si="24"/>
        <v>0</v>
      </c>
      <c r="AD47">
        <f t="shared" si="25"/>
        <v>1</v>
      </c>
      <c r="AE47">
        <f t="shared" si="26"/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f t="shared" si="0"/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f t="shared" si="1"/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f t="shared" si="42"/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f t="shared" si="27"/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f t="shared" si="28"/>
        <v>1</v>
      </c>
      <c r="CX47">
        <f t="shared" si="29"/>
        <v>0</v>
      </c>
      <c r="CY47">
        <f t="shared" si="3"/>
        <v>0</v>
      </c>
      <c r="CZ47">
        <f t="shared" si="4"/>
        <v>0</v>
      </c>
      <c r="DA47">
        <f t="shared" si="5"/>
        <v>0</v>
      </c>
      <c r="DB47">
        <f t="shared" si="6"/>
        <v>0</v>
      </c>
      <c r="DC47">
        <f t="shared" si="7"/>
        <v>1</v>
      </c>
      <c r="DD47">
        <f t="shared" si="8"/>
        <v>0</v>
      </c>
      <c r="DE47">
        <f t="shared" si="9"/>
        <v>0</v>
      </c>
      <c r="DF47">
        <f t="shared" si="10"/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f t="shared" si="30"/>
        <v>1</v>
      </c>
      <c r="DN47">
        <f t="shared" si="31"/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f t="shared" si="32"/>
        <v>0</v>
      </c>
      <c r="DW47">
        <v>1</v>
      </c>
      <c r="DX47">
        <f t="shared" si="33"/>
        <v>1</v>
      </c>
      <c r="DZ47">
        <f t="shared" si="34"/>
        <v>0</v>
      </c>
      <c r="EA47">
        <f t="shared" si="11"/>
        <v>0</v>
      </c>
      <c r="EB47">
        <f t="shared" si="12"/>
        <v>0</v>
      </c>
      <c r="EC47">
        <f t="shared" si="13"/>
        <v>0</v>
      </c>
      <c r="ED47">
        <f t="shared" si="14"/>
        <v>0</v>
      </c>
      <c r="EE47">
        <f t="shared" si="15"/>
        <v>0</v>
      </c>
      <c r="EF47">
        <f t="shared" si="16"/>
        <v>0</v>
      </c>
      <c r="EG47">
        <f t="shared" si="17"/>
        <v>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f t="shared" si="35"/>
        <v>1</v>
      </c>
      <c r="EO47">
        <f t="shared" si="36"/>
        <v>1</v>
      </c>
      <c r="EQ47">
        <f t="shared" si="37"/>
        <v>0</v>
      </c>
      <c r="ER47">
        <f t="shared" si="18"/>
        <v>0</v>
      </c>
      <c r="ES47">
        <f t="shared" si="19"/>
        <v>0</v>
      </c>
      <c r="ET47">
        <f t="shared" si="20"/>
        <v>0</v>
      </c>
      <c r="EU47">
        <f t="shared" si="21"/>
        <v>0</v>
      </c>
      <c r="EV47">
        <f t="shared" si="22"/>
        <v>1</v>
      </c>
      <c r="EW47">
        <f t="shared" si="38"/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f t="shared" si="39"/>
        <v>1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f t="shared" si="40"/>
        <v>1</v>
      </c>
    </row>
    <row r="48" spans="1:189" x14ac:dyDescent="0.35">
      <c r="A48" t="s">
        <v>217</v>
      </c>
      <c r="B48">
        <f>[1]Population!$BB57</f>
        <v>4417800</v>
      </c>
      <c r="C48">
        <f>[1]RealGDP!$BB57</f>
        <v>45872253522.123985</v>
      </c>
      <c r="D48" s="8">
        <f>[1]GDPcap!$BB57</f>
        <v>10383.506161918598</v>
      </c>
      <c r="E48" s="8">
        <v>19.108654630133486</v>
      </c>
      <c r="F48">
        <v>4.1601294449190283</v>
      </c>
      <c r="G48">
        <f>RANK(D48,D$4:D48:D$201)</f>
        <v>59</v>
      </c>
      <c r="H48" t="s">
        <v>217</v>
      </c>
      <c r="J48">
        <v>0.9</v>
      </c>
      <c r="K48">
        <v>2.8</v>
      </c>
      <c r="L48">
        <v>6.1</v>
      </c>
      <c r="M48">
        <v>10.199999999999999</v>
      </c>
      <c r="N48">
        <v>14.7</v>
      </c>
      <c r="O48">
        <v>18</v>
      </c>
      <c r="P48">
        <v>20.3</v>
      </c>
      <c r="Q48">
        <v>19.899999999999999</v>
      </c>
      <c r="R48">
        <v>16.7</v>
      </c>
      <c r="S48">
        <v>11.9</v>
      </c>
      <c r="T48">
        <v>6.6</v>
      </c>
      <c r="U48">
        <v>2.4</v>
      </c>
      <c r="V48">
        <v>10.3</v>
      </c>
      <c r="W48">
        <v>19.399999999999999</v>
      </c>
      <c r="X48">
        <v>11.7</v>
      </c>
      <c r="Y48">
        <v>1.9</v>
      </c>
      <c r="Z48">
        <v>10.9</v>
      </c>
      <c r="AB48">
        <f t="shared" si="23"/>
        <v>0</v>
      </c>
      <c r="AC48">
        <f t="shared" si="24"/>
        <v>0</v>
      </c>
      <c r="AD48">
        <f t="shared" si="25"/>
        <v>1</v>
      </c>
      <c r="AE48">
        <f t="shared" si="26"/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f t="shared" si="0"/>
        <v>1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f t="shared" si="1"/>
        <v>1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f t="shared" si="42"/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f t="shared" si="27"/>
        <v>1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f t="shared" si="28"/>
        <v>1</v>
      </c>
      <c r="CX48">
        <f t="shared" si="29"/>
        <v>0</v>
      </c>
      <c r="CY48">
        <f t="shared" si="3"/>
        <v>0</v>
      </c>
      <c r="CZ48">
        <f t="shared" si="4"/>
        <v>0</v>
      </c>
      <c r="DA48">
        <f t="shared" si="5"/>
        <v>1</v>
      </c>
      <c r="DB48">
        <f t="shared" si="6"/>
        <v>0</v>
      </c>
      <c r="DC48">
        <f t="shared" si="7"/>
        <v>0</v>
      </c>
      <c r="DD48">
        <f t="shared" si="8"/>
        <v>0</v>
      </c>
      <c r="DE48">
        <f t="shared" si="9"/>
        <v>0</v>
      </c>
      <c r="DF48">
        <f t="shared" si="10"/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f t="shared" si="30"/>
        <v>1</v>
      </c>
      <c r="DN48">
        <f t="shared" si="31"/>
        <v>1</v>
      </c>
      <c r="DP48">
        <v>0</v>
      </c>
      <c r="DQ48">
        <v>0</v>
      </c>
      <c r="DR48">
        <v>0</v>
      </c>
      <c r="DS48">
        <v>1</v>
      </c>
      <c r="DT48">
        <v>0</v>
      </c>
      <c r="DU48">
        <v>0</v>
      </c>
      <c r="DV48">
        <f t="shared" si="32"/>
        <v>0</v>
      </c>
      <c r="DW48">
        <v>0</v>
      </c>
      <c r="DX48">
        <f t="shared" si="33"/>
        <v>1</v>
      </c>
      <c r="DZ48">
        <f t="shared" si="34"/>
        <v>0</v>
      </c>
      <c r="EA48">
        <f t="shared" si="11"/>
        <v>0</v>
      </c>
      <c r="EB48">
        <f t="shared" si="12"/>
        <v>0</v>
      </c>
      <c r="EC48">
        <f t="shared" si="13"/>
        <v>1</v>
      </c>
      <c r="ED48">
        <f t="shared" si="14"/>
        <v>0</v>
      </c>
      <c r="EE48">
        <f t="shared" si="15"/>
        <v>0</v>
      </c>
      <c r="EF48">
        <f t="shared" si="16"/>
        <v>0</v>
      </c>
      <c r="EG48">
        <f t="shared" si="17"/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f t="shared" si="35"/>
        <v>1</v>
      </c>
      <c r="EO48">
        <f t="shared" si="36"/>
        <v>1</v>
      </c>
      <c r="EQ48">
        <f t="shared" si="37"/>
        <v>0</v>
      </c>
      <c r="ER48">
        <f t="shared" si="18"/>
        <v>0</v>
      </c>
      <c r="ES48">
        <f t="shared" si="19"/>
        <v>0</v>
      </c>
      <c r="ET48">
        <f t="shared" si="20"/>
        <v>0</v>
      </c>
      <c r="EU48">
        <f t="shared" si="21"/>
        <v>0</v>
      </c>
      <c r="EV48">
        <f t="shared" si="22"/>
        <v>1</v>
      </c>
      <c r="EW48">
        <f t="shared" si="38"/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f t="shared" si="39"/>
        <v>1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0</v>
      </c>
      <c r="GF48">
        <v>0</v>
      </c>
      <c r="GG48">
        <f t="shared" si="40"/>
        <v>1</v>
      </c>
    </row>
    <row r="49" spans="1:189" x14ac:dyDescent="0.35">
      <c r="A49" t="s">
        <v>366</v>
      </c>
      <c r="B49">
        <f>[1]Population!$BB58</f>
        <v>11281768</v>
      </c>
      <c r="C49">
        <f>[1]RealGDP!$BB58</f>
        <v>55436887630.693001</v>
      </c>
      <c r="D49" s="8">
        <f>[1]GDPcap!$BB58</f>
        <v>4913.8475131462556</v>
      </c>
      <c r="E49" s="8"/>
      <c r="F49">
        <v>3.6142892675040414</v>
      </c>
      <c r="G49">
        <f>RANK(D49,D$4:D49:D$201)</f>
        <v>87</v>
      </c>
      <c r="H49" t="s">
        <v>366</v>
      </c>
      <c r="J49">
        <v>22.3</v>
      </c>
      <c r="K49">
        <v>22.5</v>
      </c>
      <c r="L49">
        <v>23.7</v>
      </c>
      <c r="M49">
        <v>24.7</v>
      </c>
      <c r="N49">
        <v>26</v>
      </c>
      <c r="O49">
        <v>26.9</v>
      </c>
      <c r="P49">
        <v>27.4</v>
      </c>
      <c r="Q49">
        <v>27.4</v>
      </c>
      <c r="R49">
        <v>27</v>
      </c>
      <c r="S49">
        <v>26.1</v>
      </c>
      <c r="T49">
        <v>24.6</v>
      </c>
      <c r="U49">
        <v>23.1</v>
      </c>
      <c r="V49">
        <v>24.8</v>
      </c>
      <c r="W49">
        <v>27.3</v>
      </c>
      <c r="X49">
        <v>25.9</v>
      </c>
      <c r="Y49">
        <v>21.9</v>
      </c>
      <c r="Z49">
        <v>25.2</v>
      </c>
      <c r="AB49">
        <f t="shared" si="23"/>
        <v>0</v>
      </c>
      <c r="AC49">
        <f t="shared" si="24"/>
        <v>0</v>
      </c>
      <c r="AD49">
        <f t="shared" si="25"/>
        <v>1</v>
      </c>
      <c r="AE49">
        <f t="shared" si="26"/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f t="shared" si="0"/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f t="shared" si="1"/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f t="shared" si="42"/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f t="shared" si="27"/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f t="shared" si="28"/>
        <v>1</v>
      </c>
      <c r="CX49">
        <f t="shared" si="29"/>
        <v>0</v>
      </c>
      <c r="CY49">
        <f t="shared" si="3"/>
        <v>0</v>
      </c>
      <c r="CZ49">
        <f t="shared" si="4"/>
        <v>0</v>
      </c>
      <c r="DA49">
        <f t="shared" si="5"/>
        <v>0</v>
      </c>
      <c r="DB49">
        <f t="shared" si="6"/>
        <v>0</v>
      </c>
      <c r="DC49">
        <f t="shared" si="7"/>
        <v>1</v>
      </c>
      <c r="DD49">
        <f t="shared" si="8"/>
        <v>0</v>
      </c>
      <c r="DE49">
        <f t="shared" si="9"/>
        <v>0</v>
      </c>
      <c r="DF49">
        <f t="shared" si="10"/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f t="shared" si="30"/>
        <v>1</v>
      </c>
      <c r="DN49">
        <f t="shared" si="31"/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f t="shared" si="32"/>
        <v>0</v>
      </c>
      <c r="DW49">
        <v>1</v>
      </c>
      <c r="DX49">
        <f t="shared" si="33"/>
        <v>1</v>
      </c>
      <c r="DZ49">
        <f t="shared" si="34"/>
        <v>0</v>
      </c>
      <c r="EA49">
        <f t="shared" si="11"/>
        <v>0</v>
      </c>
      <c r="EB49">
        <f t="shared" si="12"/>
        <v>0</v>
      </c>
      <c r="EC49">
        <f t="shared" si="13"/>
        <v>0</v>
      </c>
      <c r="ED49">
        <f t="shared" si="14"/>
        <v>0</v>
      </c>
      <c r="EE49">
        <f t="shared" si="15"/>
        <v>0</v>
      </c>
      <c r="EF49">
        <f t="shared" si="16"/>
        <v>0</v>
      </c>
      <c r="EG49">
        <f t="shared" si="17"/>
        <v>1</v>
      </c>
      <c r="EI49">
        <v>0</v>
      </c>
      <c r="EJ49">
        <v>0</v>
      </c>
      <c r="EK49">
        <v>0</v>
      </c>
      <c r="EL49">
        <v>0</v>
      </c>
      <c r="EM49">
        <v>0</v>
      </c>
      <c r="EN49">
        <f t="shared" si="35"/>
        <v>1</v>
      </c>
      <c r="EO49">
        <f t="shared" si="36"/>
        <v>1</v>
      </c>
      <c r="EQ49">
        <f t="shared" si="37"/>
        <v>0</v>
      </c>
      <c r="ER49">
        <f t="shared" si="18"/>
        <v>0</v>
      </c>
      <c r="ES49">
        <f t="shared" si="19"/>
        <v>0</v>
      </c>
      <c r="ET49">
        <f t="shared" si="20"/>
        <v>0</v>
      </c>
      <c r="EU49">
        <f t="shared" si="21"/>
        <v>0</v>
      </c>
      <c r="EV49">
        <f t="shared" si="22"/>
        <v>1</v>
      </c>
      <c r="EW49">
        <f t="shared" si="38"/>
        <v>1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f t="shared" si="39"/>
        <v>1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f t="shared" si="40"/>
        <v>1</v>
      </c>
    </row>
    <row r="50" spans="1:189" x14ac:dyDescent="0.35">
      <c r="A50" t="s">
        <v>248</v>
      </c>
      <c r="B50">
        <f>[1]Population!$BB59</f>
        <v>1103685</v>
      </c>
      <c r="C50">
        <f>[1]RealGDP!$BB59</f>
        <v>19207097486.442326</v>
      </c>
      <c r="D50" s="8">
        <f>[1]GDPcap!$BB59</f>
        <v>17402.698674388368</v>
      </c>
      <c r="E50" s="8">
        <v>23.247234384310474</v>
      </c>
      <c r="F50">
        <v>2.1041995906629709</v>
      </c>
      <c r="G50">
        <f>RANK(D50,D$4:D50:D$201)</f>
        <v>45</v>
      </c>
      <c r="H50" t="s">
        <v>248</v>
      </c>
      <c r="J50">
        <v>10</v>
      </c>
      <c r="K50">
        <v>10.6</v>
      </c>
      <c r="L50">
        <v>12.7</v>
      </c>
      <c r="M50">
        <v>16.5</v>
      </c>
      <c r="N50">
        <v>20.399999999999999</v>
      </c>
      <c r="O50">
        <v>24.5</v>
      </c>
      <c r="P50">
        <v>27.1</v>
      </c>
      <c r="Q50">
        <v>27.1</v>
      </c>
      <c r="R50">
        <v>24.7</v>
      </c>
      <c r="S50">
        <v>20.399999999999999</v>
      </c>
      <c r="T50">
        <v>15.6</v>
      </c>
      <c r="U50">
        <v>11.6</v>
      </c>
      <c r="V50">
        <v>16.600000000000001</v>
      </c>
      <c r="W50">
        <v>26.2</v>
      </c>
      <c r="X50">
        <v>20.2</v>
      </c>
      <c r="Y50">
        <v>10.3</v>
      </c>
      <c r="Z50">
        <v>18.399999999999999</v>
      </c>
      <c r="AB50">
        <f t="shared" si="23"/>
        <v>0</v>
      </c>
      <c r="AC50">
        <f t="shared" si="24"/>
        <v>0</v>
      </c>
      <c r="AD50">
        <f t="shared" si="25"/>
        <v>0</v>
      </c>
      <c r="AE50">
        <f t="shared" si="26"/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f t="shared" si="0"/>
        <v>1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f t="shared" si="1"/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f t="shared" si="42"/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f t="shared" si="27"/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f t="shared" si="28"/>
        <v>1</v>
      </c>
      <c r="CX50">
        <f t="shared" si="29"/>
        <v>0</v>
      </c>
      <c r="CY50">
        <f t="shared" si="3"/>
        <v>1</v>
      </c>
      <c r="CZ50">
        <f t="shared" si="4"/>
        <v>0</v>
      </c>
      <c r="DA50">
        <f t="shared" si="5"/>
        <v>0</v>
      </c>
      <c r="DB50">
        <f t="shared" si="6"/>
        <v>0</v>
      </c>
      <c r="DC50">
        <f t="shared" si="7"/>
        <v>0</v>
      </c>
      <c r="DD50">
        <f t="shared" si="8"/>
        <v>0</v>
      </c>
      <c r="DE50">
        <f t="shared" si="9"/>
        <v>0</v>
      </c>
      <c r="DF50">
        <f t="shared" si="10"/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f t="shared" si="30"/>
        <v>1</v>
      </c>
      <c r="DN50">
        <f t="shared" si="31"/>
        <v>1</v>
      </c>
      <c r="DP50">
        <v>0</v>
      </c>
      <c r="DQ50">
        <v>0</v>
      </c>
      <c r="DR50">
        <v>1</v>
      </c>
      <c r="DS50">
        <v>0</v>
      </c>
      <c r="DT50">
        <v>0</v>
      </c>
      <c r="DU50">
        <v>0</v>
      </c>
      <c r="DV50">
        <f t="shared" si="32"/>
        <v>0</v>
      </c>
      <c r="DW50">
        <v>0</v>
      </c>
      <c r="DX50">
        <f t="shared" si="33"/>
        <v>1</v>
      </c>
      <c r="DZ50">
        <f t="shared" si="34"/>
        <v>0</v>
      </c>
      <c r="EA50">
        <f t="shared" si="11"/>
        <v>0</v>
      </c>
      <c r="EB50">
        <f t="shared" si="12"/>
        <v>1</v>
      </c>
      <c r="EC50">
        <f t="shared" si="13"/>
        <v>0</v>
      </c>
      <c r="ED50">
        <f t="shared" si="14"/>
        <v>0</v>
      </c>
      <c r="EE50">
        <f t="shared" si="15"/>
        <v>0</v>
      </c>
      <c r="EF50">
        <f t="shared" si="16"/>
        <v>0</v>
      </c>
      <c r="EG50">
        <f t="shared" si="17"/>
        <v>0</v>
      </c>
      <c r="EI50">
        <v>0</v>
      </c>
      <c r="EJ50">
        <v>0</v>
      </c>
      <c r="EK50">
        <v>1</v>
      </c>
      <c r="EL50">
        <v>0</v>
      </c>
      <c r="EM50">
        <v>0</v>
      </c>
      <c r="EN50">
        <f t="shared" si="35"/>
        <v>0</v>
      </c>
      <c r="EO50">
        <f t="shared" si="36"/>
        <v>1</v>
      </c>
      <c r="EQ50">
        <f t="shared" si="37"/>
        <v>0</v>
      </c>
      <c r="ER50">
        <f t="shared" si="18"/>
        <v>0</v>
      </c>
      <c r="ES50">
        <f t="shared" si="19"/>
        <v>1</v>
      </c>
      <c r="ET50">
        <f t="shared" si="20"/>
        <v>0</v>
      </c>
      <c r="EU50">
        <f t="shared" si="21"/>
        <v>0</v>
      </c>
      <c r="EV50">
        <f t="shared" si="22"/>
        <v>0</v>
      </c>
      <c r="EW50">
        <f t="shared" si="38"/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f t="shared" si="39"/>
        <v>1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0</v>
      </c>
      <c r="GF50">
        <v>0</v>
      </c>
      <c r="GG50">
        <f t="shared" si="40"/>
        <v>1</v>
      </c>
    </row>
    <row r="51" spans="1:189" x14ac:dyDescent="0.35">
      <c r="A51" t="s">
        <v>249</v>
      </c>
      <c r="B51">
        <f>[1]Population!$BB60</f>
        <v>10519792</v>
      </c>
      <c r="C51">
        <f>[1]RealGDP!$BB60</f>
        <v>148480783612.59024</v>
      </c>
      <c r="D51" s="8">
        <f>[1]GDPcap!$BB60</f>
        <v>14114.421997373165</v>
      </c>
      <c r="E51" s="8">
        <v>13.449560677396692</v>
      </c>
      <c r="F51">
        <v>1.5195090731423679</v>
      </c>
      <c r="G51">
        <f>RANK(D51,D$4:D51:D$201)</f>
        <v>53</v>
      </c>
      <c r="H51" t="s">
        <v>449</v>
      </c>
      <c r="I51" t="s">
        <v>450</v>
      </c>
      <c r="J51">
        <v>-2.9</v>
      </c>
      <c r="K51">
        <v>-1.2</v>
      </c>
      <c r="L51">
        <v>2.7</v>
      </c>
      <c r="M51">
        <v>7.4</v>
      </c>
      <c r="N51">
        <v>12.2</v>
      </c>
      <c r="O51">
        <v>15.3</v>
      </c>
      <c r="P51">
        <v>17</v>
      </c>
      <c r="Q51">
        <v>16.8</v>
      </c>
      <c r="R51">
        <v>13.3</v>
      </c>
      <c r="S51">
        <v>8.5</v>
      </c>
      <c r="T51">
        <v>2.7</v>
      </c>
      <c r="U51">
        <v>-1.1000000000000001</v>
      </c>
      <c r="V51">
        <v>7.4</v>
      </c>
      <c r="W51">
        <v>16.3</v>
      </c>
      <c r="X51">
        <v>8.1999999999999993</v>
      </c>
      <c r="Y51">
        <v>-1.7</v>
      </c>
      <c r="Z51">
        <v>7.5</v>
      </c>
      <c r="AB51">
        <f t="shared" si="23"/>
        <v>0</v>
      </c>
      <c r="AC51">
        <f t="shared" si="24"/>
        <v>0</v>
      </c>
      <c r="AD51">
        <f t="shared" si="25"/>
        <v>1</v>
      </c>
      <c r="AE51">
        <f t="shared" si="26"/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f t="shared" si="0"/>
        <v>1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f t="shared" si="1"/>
        <v>1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f t="shared" si="42"/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f t="shared" si="27"/>
        <v>1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f t="shared" si="28"/>
        <v>1</v>
      </c>
      <c r="CX51">
        <f t="shared" si="29"/>
        <v>0</v>
      </c>
      <c r="CY51">
        <f t="shared" si="3"/>
        <v>0</v>
      </c>
      <c r="CZ51">
        <f t="shared" si="4"/>
        <v>0</v>
      </c>
      <c r="DA51">
        <f t="shared" si="5"/>
        <v>1</v>
      </c>
      <c r="DB51">
        <f t="shared" si="6"/>
        <v>0</v>
      </c>
      <c r="DC51">
        <f t="shared" si="7"/>
        <v>0</v>
      </c>
      <c r="DD51">
        <f t="shared" si="8"/>
        <v>0</v>
      </c>
      <c r="DE51">
        <f t="shared" si="9"/>
        <v>0</v>
      </c>
      <c r="DF51">
        <f t="shared" si="10"/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f t="shared" si="30"/>
        <v>1</v>
      </c>
      <c r="DN51">
        <f t="shared" si="31"/>
        <v>1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f t="shared" si="32"/>
        <v>0</v>
      </c>
      <c r="DW51">
        <v>0</v>
      </c>
      <c r="DX51">
        <f t="shared" si="33"/>
        <v>1</v>
      </c>
      <c r="DZ51">
        <f t="shared" si="34"/>
        <v>0</v>
      </c>
      <c r="EA51">
        <f t="shared" si="11"/>
        <v>0</v>
      </c>
      <c r="EB51">
        <f t="shared" si="12"/>
        <v>0</v>
      </c>
      <c r="EC51">
        <f t="shared" si="13"/>
        <v>1</v>
      </c>
      <c r="ED51">
        <f t="shared" si="14"/>
        <v>0</v>
      </c>
      <c r="EE51">
        <f t="shared" si="15"/>
        <v>0</v>
      </c>
      <c r="EF51">
        <f t="shared" si="16"/>
        <v>0</v>
      </c>
      <c r="EG51">
        <f t="shared" si="17"/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f t="shared" si="35"/>
        <v>1</v>
      </c>
      <c r="EO51">
        <f t="shared" si="36"/>
        <v>1</v>
      </c>
      <c r="EQ51">
        <f t="shared" si="37"/>
        <v>0</v>
      </c>
      <c r="ER51">
        <f t="shared" si="18"/>
        <v>0</v>
      </c>
      <c r="ES51">
        <f t="shared" si="19"/>
        <v>0</v>
      </c>
      <c r="ET51">
        <f t="shared" si="20"/>
        <v>0</v>
      </c>
      <c r="EU51">
        <f t="shared" si="21"/>
        <v>0</v>
      </c>
      <c r="EV51">
        <f t="shared" si="22"/>
        <v>1</v>
      </c>
      <c r="EW51">
        <f t="shared" si="38"/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f t="shared" si="39"/>
        <v>1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f t="shared" si="40"/>
        <v>1</v>
      </c>
    </row>
    <row r="52" spans="1:189" x14ac:dyDescent="0.35">
      <c r="A52" t="s">
        <v>136</v>
      </c>
      <c r="B52">
        <f>[1]Population!$BB61</f>
        <v>5547683</v>
      </c>
      <c r="C52">
        <f>[1]RealGDP!$BB61</f>
        <v>256817427641.90231</v>
      </c>
      <c r="D52" s="8">
        <f>[1]GDPcap!$BB61</f>
        <v>46292.736560813282</v>
      </c>
      <c r="E52" s="8">
        <v>32.737229461612458</v>
      </c>
      <c r="F52">
        <v>1.201926528196072</v>
      </c>
      <c r="G52">
        <f>RANK(D52,D$4:D52:D$201)</f>
        <v>10</v>
      </c>
      <c r="H52" t="s">
        <v>136</v>
      </c>
      <c r="J52">
        <v>-1</v>
      </c>
      <c r="K52">
        <v>-0.9</v>
      </c>
      <c r="L52">
        <v>1.8</v>
      </c>
      <c r="M52">
        <v>5.7</v>
      </c>
      <c r="N52">
        <v>10.9</v>
      </c>
      <c r="O52">
        <v>14.8</v>
      </c>
      <c r="P52">
        <v>16.2</v>
      </c>
      <c r="Q52">
        <v>16</v>
      </c>
      <c r="R52">
        <v>12.7</v>
      </c>
      <c r="S52">
        <v>8.8000000000000007</v>
      </c>
      <c r="T52">
        <v>4.0999999999999996</v>
      </c>
      <c r="U52">
        <v>0.7</v>
      </c>
      <c r="V52">
        <v>6.2</v>
      </c>
      <c r="W52">
        <v>15.7</v>
      </c>
      <c r="X52">
        <v>8.6</v>
      </c>
      <c r="Y52">
        <v>-0.4</v>
      </c>
      <c r="Z52">
        <v>7.5</v>
      </c>
      <c r="AB52">
        <f t="shared" si="23"/>
        <v>0</v>
      </c>
      <c r="AC52">
        <f t="shared" si="24"/>
        <v>0</v>
      </c>
      <c r="AD52">
        <f t="shared" si="25"/>
        <v>0</v>
      </c>
      <c r="AE52">
        <f t="shared" si="26"/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f t="shared" si="0"/>
        <v>1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f t="shared" si="1"/>
        <v>1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f t="shared" si="42"/>
        <v>1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f t="shared" si="27"/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f t="shared" si="28"/>
        <v>1</v>
      </c>
      <c r="CX52">
        <f t="shared" si="29"/>
        <v>0</v>
      </c>
      <c r="CY52">
        <f t="shared" si="3"/>
        <v>1</v>
      </c>
      <c r="CZ52">
        <f t="shared" si="4"/>
        <v>0</v>
      </c>
      <c r="DA52">
        <f t="shared" si="5"/>
        <v>0</v>
      </c>
      <c r="DB52">
        <f t="shared" si="6"/>
        <v>0</v>
      </c>
      <c r="DC52">
        <f t="shared" si="7"/>
        <v>0</v>
      </c>
      <c r="DD52">
        <f t="shared" si="8"/>
        <v>0</v>
      </c>
      <c r="DE52">
        <f t="shared" si="9"/>
        <v>0</v>
      </c>
      <c r="DF52">
        <f t="shared" si="10"/>
        <v>0</v>
      </c>
      <c r="DH52">
        <v>0</v>
      </c>
      <c r="DI52">
        <v>0</v>
      </c>
      <c r="DJ52">
        <v>0</v>
      </c>
      <c r="DK52">
        <v>1</v>
      </c>
      <c r="DL52">
        <v>0</v>
      </c>
      <c r="DM52">
        <f t="shared" si="30"/>
        <v>0</v>
      </c>
      <c r="DN52">
        <f t="shared" si="31"/>
        <v>1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f t="shared" si="32"/>
        <v>0</v>
      </c>
      <c r="DW52">
        <v>0</v>
      </c>
      <c r="DX52">
        <f t="shared" si="33"/>
        <v>1</v>
      </c>
      <c r="DZ52">
        <f t="shared" si="34"/>
        <v>1</v>
      </c>
      <c r="EA52">
        <f t="shared" si="11"/>
        <v>0</v>
      </c>
      <c r="EB52">
        <f t="shared" si="12"/>
        <v>0</v>
      </c>
      <c r="EC52">
        <f t="shared" si="13"/>
        <v>0</v>
      </c>
      <c r="ED52">
        <f t="shared" si="14"/>
        <v>0</v>
      </c>
      <c r="EE52">
        <f t="shared" si="15"/>
        <v>0</v>
      </c>
      <c r="EF52">
        <f t="shared" si="16"/>
        <v>0</v>
      </c>
      <c r="EG52">
        <f t="shared" si="17"/>
        <v>0</v>
      </c>
      <c r="EI52">
        <v>1</v>
      </c>
      <c r="EJ52">
        <v>0</v>
      </c>
      <c r="EK52">
        <v>0</v>
      </c>
      <c r="EL52">
        <v>0</v>
      </c>
      <c r="EM52">
        <v>0</v>
      </c>
      <c r="EN52">
        <f t="shared" si="35"/>
        <v>0</v>
      </c>
      <c r="EO52">
        <f t="shared" si="36"/>
        <v>1</v>
      </c>
      <c r="EQ52">
        <f t="shared" si="37"/>
        <v>1</v>
      </c>
      <c r="ER52">
        <f t="shared" si="18"/>
        <v>0</v>
      </c>
      <c r="ES52">
        <f t="shared" si="19"/>
        <v>0</v>
      </c>
      <c r="ET52">
        <f t="shared" si="20"/>
        <v>0</v>
      </c>
      <c r="EU52">
        <f t="shared" si="21"/>
        <v>0</v>
      </c>
      <c r="EV52">
        <f t="shared" si="22"/>
        <v>0</v>
      </c>
      <c r="EW52">
        <f t="shared" si="38"/>
        <v>1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f t="shared" si="39"/>
        <v>1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f t="shared" si="40"/>
        <v>1</v>
      </c>
    </row>
    <row r="53" spans="1:189" x14ac:dyDescent="0.35">
      <c r="A53" t="s">
        <v>367</v>
      </c>
      <c r="B53">
        <f>[1]Population!$BB62</f>
        <v>834036</v>
      </c>
      <c r="C53">
        <f>[1]RealGDP!$BB62</f>
        <v>905664174.69392717</v>
      </c>
      <c r="D53" s="8">
        <f>[1]GDPcap!$BB62</f>
        <v>1085.8813944409201</v>
      </c>
      <c r="E53" s="8"/>
      <c r="G53">
        <f>RANK(D53,D$4:D53:D$201)</f>
        <v>146</v>
      </c>
      <c r="H53" t="s">
        <v>367</v>
      </c>
      <c r="J53">
        <v>23.7</v>
      </c>
      <c r="K53">
        <v>24.6</v>
      </c>
      <c r="L53">
        <v>26.3</v>
      </c>
      <c r="M53">
        <v>27.9</v>
      </c>
      <c r="N53">
        <v>29.7</v>
      </c>
      <c r="O53">
        <v>31.7</v>
      </c>
      <c r="P53">
        <v>32.4</v>
      </c>
      <c r="Q53">
        <v>31.8</v>
      </c>
      <c r="R53">
        <v>30.4</v>
      </c>
      <c r="S53">
        <v>27.7</v>
      </c>
      <c r="T53">
        <v>25.5</v>
      </c>
      <c r="U53">
        <v>23.9</v>
      </c>
      <c r="V53">
        <v>28</v>
      </c>
      <c r="W53">
        <v>32</v>
      </c>
      <c r="X53">
        <v>27.9</v>
      </c>
      <c r="Y53">
        <v>23.3</v>
      </c>
      <c r="Z53">
        <v>28</v>
      </c>
      <c r="AB53">
        <f t="shared" si="23"/>
        <v>0</v>
      </c>
      <c r="AC53">
        <f t="shared" si="24"/>
        <v>1</v>
      </c>
      <c r="AD53">
        <f t="shared" si="25"/>
        <v>0</v>
      </c>
      <c r="AE53">
        <f t="shared" si="26"/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f t="shared" si="0"/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f t="shared" si="1"/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f t="shared" si="42"/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f t="shared" si="27"/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f t="shared" si="28"/>
        <v>1</v>
      </c>
      <c r="CX53">
        <f t="shared" si="29"/>
        <v>0</v>
      </c>
      <c r="CY53">
        <f t="shared" si="3"/>
        <v>0</v>
      </c>
      <c r="CZ53">
        <f t="shared" si="4"/>
        <v>0</v>
      </c>
      <c r="DA53">
        <f t="shared" si="5"/>
        <v>0</v>
      </c>
      <c r="DB53">
        <f t="shared" si="6"/>
        <v>0</v>
      </c>
      <c r="DC53">
        <f t="shared" si="7"/>
        <v>0</v>
      </c>
      <c r="DD53">
        <f t="shared" si="8"/>
        <v>0</v>
      </c>
      <c r="DE53">
        <f t="shared" si="9"/>
        <v>0</v>
      </c>
      <c r="DF53">
        <f t="shared" si="10"/>
        <v>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f t="shared" si="30"/>
        <v>1</v>
      </c>
      <c r="DN53">
        <f t="shared" si="31"/>
        <v>1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f t="shared" si="32"/>
        <v>1</v>
      </c>
      <c r="DW53">
        <v>0</v>
      </c>
      <c r="DX53">
        <f t="shared" si="33"/>
        <v>1</v>
      </c>
      <c r="DZ53">
        <f t="shared" si="34"/>
        <v>0</v>
      </c>
      <c r="EA53">
        <f t="shared" si="11"/>
        <v>0</v>
      </c>
      <c r="EB53">
        <f t="shared" si="12"/>
        <v>0</v>
      </c>
      <c r="EC53">
        <f t="shared" si="13"/>
        <v>0</v>
      </c>
      <c r="ED53">
        <f t="shared" si="14"/>
        <v>0</v>
      </c>
      <c r="EE53">
        <f t="shared" si="15"/>
        <v>0</v>
      </c>
      <c r="EF53">
        <f t="shared" si="16"/>
        <v>1</v>
      </c>
      <c r="EG53">
        <f t="shared" si="17"/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f t="shared" si="35"/>
        <v>1</v>
      </c>
      <c r="EO53">
        <f t="shared" si="36"/>
        <v>1</v>
      </c>
      <c r="EQ53">
        <f t="shared" si="37"/>
        <v>0</v>
      </c>
      <c r="ER53">
        <f t="shared" si="18"/>
        <v>0</v>
      </c>
      <c r="ES53">
        <f t="shared" si="19"/>
        <v>0</v>
      </c>
      <c r="ET53">
        <f t="shared" si="20"/>
        <v>0</v>
      </c>
      <c r="EU53">
        <f t="shared" si="21"/>
        <v>0</v>
      </c>
      <c r="EV53">
        <f t="shared" si="22"/>
        <v>1</v>
      </c>
      <c r="EW53">
        <f t="shared" si="38"/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f t="shared" si="39"/>
        <v>1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f t="shared" si="40"/>
        <v>1</v>
      </c>
    </row>
    <row r="54" spans="1:189" x14ac:dyDescent="0.35">
      <c r="A54" t="s">
        <v>137</v>
      </c>
      <c r="B54">
        <f>[1]Population!$BB63</f>
        <v>71167</v>
      </c>
      <c r="C54">
        <f>[1]RealGDP!$BB63</f>
        <v>452332573.93279916</v>
      </c>
      <c r="D54" s="8">
        <f>[1]GDPcap!$BB63</f>
        <v>6355.9314560512476</v>
      </c>
      <c r="E54" s="8">
        <v>24.595726371174514</v>
      </c>
      <c r="F54">
        <v>11.46634937489776</v>
      </c>
      <c r="G54">
        <f>RANK(D54,D$4:D54:D$201)</f>
        <v>73</v>
      </c>
      <c r="H54" t="s">
        <v>137</v>
      </c>
      <c r="J54">
        <v>21.1</v>
      </c>
      <c r="K54">
        <v>20.9</v>
      </c>
      <c r="L54">
        <v>21.2</v>
      </c>
      <c r="M54">
        <v>21.6</v>
      </c>
      <c r="N54">
        <v>22.5</v>
      </c>
      <c r="O54">
        <v>23.3</v>
      </c>
      <c r="P54">
        <v>23.3</v>
      </c>
      <c r="Q54">
        <v>23.4</v>
      </c>
      <c r="R54">
        <v>23.3</v>
      </c>
      <c r="S54">
        <v>23</v>
      </c>
      <c r="T54">
        <v>22.4</v>
      </c>
      <c r="U54">
        <v>21.6</v>
      </c>
      <c r="V54">
        <v>21.8</v>
      </c>
      <c r="W54">
        <v>23.3</v>
      </c>
      <c r="X54">
        <v>22.9</v>
      </c>
      <c r="Y54">
        <v>20.5</v>
      </c>
      <c r="Z54">
        <v>22.3</v>
      </c>
      <c r="AB54">
        <f t="shared" si="23"/>
        <v>0</v>
      </c>
      <c r="AC54">
        <f t="shared" si="24"/>
        <v>0</v>
      </c>
      <c r="AD54">
        <f t="shared" si="25"/>
        <v>1</v>
      </c>
      <c r="AE54">
        <f t="shared" si="26"/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f t="shared" si="0"/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f t="shared" si="1"/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f t="shared" si="42"/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f t="shared" si="27"/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f t="shared" si="28"/>
        <v>1</v>
      </c>
      <c r="CX54">
        <f t="shared" si="29"/>
        <v>0</v>
      </c>
      <c r="CY54">
        <f t="shared" si="3"/>
        <v>0</v>
      </c>
      <c r="CZ54">
        <f t="shared" si="4"/>
        <v>0</v>
      </c>
      <c r="DA54">
        <f t="shared" si="5"/>
        <v>0</v>
      </c>
      <c r="DB54">
        <f t="shared" si="6"/>
        <v>0</v>
      </c>
      <c r="DC54">
        <f t="shared" si="7"/>
        <v>1</v>
      </c>
      <c r="DD54">
        <f t="shared" si="8"/>
        <v>0</v>
      </c>
      <c r="DE54">
        <f t="shared" si="9"/>
        <v>0</v>
      </c>
      <c r="DF54">
        <f t="shared" si="10"/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f t="shared" si="30"/>
        <v>1</v>
      </c>
      <c r="DN54">
        <f t="shared" si="31"/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f t="shared" si="32"/>
        <v>0</v>
      </c>
      <c r="DW54">
        <v>1</v>
      </c>
      <c r="DX54">
        <f t="shared" si="33"/>
        <v>1</v>
      </c>
      <c r="DZ54">
        <f t="shared" si="34"/>
        <v>0</v>
      </c>
      <c r="EA54">
        <f t="shared" si="11"/>
        <v>0</v>
      </c>
      <c r="EB54">
        <f t="shared" si="12"/>
        <v>0</v>
      </c>
      <c r="EC54">
        <f t="shared" si="13"/>
        <v>0</v>
      </c>
      <c r="ED54">
        <f t="shared" si="14"/>
        <v>0</v>
      </c>
      <c r="EE54">
        <f t="shared" si="15"/>
        <v>0</v>
      </c>
      <c r="EF54">
        <f t="shared" si="16"/>
        <v>0</v>
      </c>
      <c r="EG54">
        <f t="shared" si="17"/>
        <v>1</v>
      </c>
      <c r="EI54">
        <v>0</v>
      </c>
      <c r="EJ54">
        <v>0</v>
      </c>
      <c r="EK54">
        <v>0</v>
      </c>
      <c r="EL54">
        <v>0</v>
      </c>
      <c r="EM54">
        <v>0</v>
      </c>
      <c r="EN54">
        <f t="shared" si="35"/>
        <v>1</v>
      </c>
      <c r="EO54">
        <f t="shared" si="36"/>
        <v>1</v>
      </c>
      <c r="EQ54">
        <f t="shared" si="37"/>
        <v>0</v>
      </c>
      <c r="ER54">
        <f t="shared" si="18"/>
        <v>0</v>
      </c>
      <c r="ES54">
        <f t="shared" si="19"/>
        <v>0</v>
      </c>
      <c r="ET54">
        <f t="shared" si="20"/>
        <v>0</v>
      </c>
      <c r="EU54">
        <f t="shared" si="21"/>
        <v>0</v>
      </c>
      <c r="EV54">
        <f t="shared" si="22"/>
        <v>1</v>
      </c>
      <c r="EW54">
        <f t="shared" si="38"/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f t="shared" si="39"/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</v>
      </c>
      <c r="GG54">
        <f t="shared" si="40"/>
        <v>1</v>
      </c>
    </row>
    <row r="55" spans="1:189" x14ac:dyDescent="0.35">
      <c r="A55" t="s">
        <v>220</v>
      </c>
      <c r="B55">
        <f>[1]Population!$BB64</f>
        <v>10016797</v>
      </c>
      <c r="C55">
        <f>[1]RealGDP!$BB64</f>
        <v>47848657632.10955</v>
      </c>
      <c r="D55" s="8">
        <f>[1]GDPcap!$BB64</f>
        <v>4776.8421015330105</v>
      </c>
      <c r="E55" s="8">
        <v>12.207401125726012</v>
      </c>
      <c r="F55">
        <v>6.0574578258090188</v>
      </c>
      <c r="G55">
        <f>RANK(D55,D$4:D55:D$201)</f>
        <v>88</v>
      </c>
      <c r="H55" t="s">
        <v>451</v>
      </c>
      <c r="I55" t="s">
        <v>450</v>
      </c>
      <c r="J55">
        <v>22.4</v>
      </c>
      <c r="K55">
        <v>22.7</v>
      </c>
      <c r="L55">
        <v>23.5</v>
      </c>
      <c r="M55">
        <v>24.3</v>
      </c>
      <c r="N55">
        <v>25</v>
      </c>
      <c r="O55">
        <v>25.6</v>
      </c>
      <c r="P55">
        <v>25.8</v>
      </c>
      <c r="Q55">
        <v>26.1</v>
      </c>
      <c r="R55">
        <v>26</v>
      </c>
      <c r="S55">
        <v>25.4</v>
      </c>
      <c r="T55">
        <v>24.4</v>
      </c>
      <c r="U55">
        <v>23.1</v>
      </c>
      <c r="V55">
        <v>24.3</v>
      </c>
      <c r="W55">
        <v>25.8</v>
      </c>
      <c r="X55">
        <v>25.3</v>
      </c>
      <c r="Y55">
        <v>22</v>
      </c>
      <c r="Z55">
        <v>24.5</v>
      </c>
      <c r="AB55">
        <f t="shared" si="23"/>
        <v>0</v>
      </c>
      <c r="AC55">
        <f t="shared" si="24"/>
        <v>0</v>
      </c>
      <c r="AD55">
        <f t="shared" si="25"/>
        <v>1</v>
      </c>
      <c r="AE55">
        <f t="shared" si="26"/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f t="shared" si="0"/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f t="shared" si="1"/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f t="shared" si="42"/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f t="shared" si="27"/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f t="shared" si="28"/>
        <v>1</v>
      </c>
      <c r="CX55">
        <f t="shared" si="29"/>
        <v>0</v>
      </c>
      <c r="CY55">
        <f t="shared" si="3"/>
        <v>0</v>
      </c>
      <c r="CZ55">
        <f t="shared" si="4"/>
        <v>0</v>
      </c>
      <c r="DA55">
        <f t="shared" si="5"/>
        <v>0</v>
      </c>
      <c r="DB55">
        <f t="shared" si="6"/>
        <v>0</v>
      </c>
      <c r="DC55">
        <f t="shared" si="7"/>
        <v>1</v>
      </c>
      <c r="DD55">
        <f t="shared" si="8"/>
        <v>0</v>
      </c>
      <c r="DE55">
        <f t="shared" si="9"/>
        <v>0</v>
      </c>
      <c r="DF55">
        <f t="shared" si="10"/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f t="shared" si="30"/>
        <v>1</v>
      </c>
      <c r="DN55">
        <f t="shared" si="31"/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f t="shared" si="32"/>
        <v>0</v>
      </c>
      <c r="DW55">
        <v>1</v>
      </c>
      <c r="DX55">
        <f t="shared" si="33"/>
        <v>1</v>
      </c>
      <c r="DZ55">
        <f t="shared" si="34"/>
        <v>0</v>
      </c>
      <c r="EA55">
        <f t="shared" si="11"/>
        <v>0</v>
      </c>
      <c r="EB55">
        <f t="shared" si="12"/>
        <v>0</v>
      </c>
      <c r="EC55">
        <f t="shared" si="13"/>
        <v>0</v>
      </c>
      <c r="ED55">
        <f t="shared" si="14"/>
        <v>0</v>
      </c>
      <c r="EE55">
        <f t="shared" si="15"/>
        <v>0</v>
      </c>
      <c r="EF55">
        <f t="shared" si="16"/>
        <v>0</v>
      </c>
      <c r="EG55">
        <f t="shared" si="17"/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f t="shared" si="35"/>
        <v>1</v>
      </c>
      <c r="EO55">
        <f t="shared" si="36"/>
        <v>1</v>
      </c>
      <c r="EQ55">
        <f t="shared" si="37"/>
        <v>0</v>
      </c>
      <c r="ER55">
        <f t="shared" si="18"/>
        <v>0</v>
      </c>
      <c r="ES55">
        <f t="shared" si="19"/>
        <v>0</v>
      </c>
      <c r="ET55">
        <f t="shared" si="20"/>
        <v>0</v>
      </c>
      <c r="EU55">
        <f t="shared" si="21"/>
        <v>0</v>
      </c>
      <c r="EV55">
        <f t="shared" si="22"/>
        <v>1</v>
      </c>
      <c r="EW55">
        <f t="shared" si="38"/>
        <v>1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f t="shared" si="39"/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1</v>
      </c>
      <c r="GG55">
        <f t="shared" si="40"/>
        <v>1</v>
      </c>
    </row>
    <row r="56" spans="1:189" x14ac:dyDescent="0.35">
      <c r="A56" t="s">
        <v>138</v>
      </c>
      <c r="B56">
        <f>[1]Population!$BB65</f>
        <v>15001072</v>
      </c>
      <c r="C56">
        <f>[1]RealGDP!$BB65</f>
        <v>48764673104.869774</v>
      </c>
      <c r="D56" s="8">
        <f>[1]GDPcap!$BB65</f>
        <v>3250.7458870185928</v>
      </c>
      <c r="E56" s="8"/>
      <c r="F56">
        <v>9.7331180784367053</v>
      </c>
      <c r="G56">
        <f>RANK(D56,D$4:D56:D$201)</f>
        <v>107</v>
      </c>
      <c r="H56" t="s">
        <v>138</v>
      </c>
      <c r="J56">
        <v>22.2</v>
      </c>
      <c r="K56">
        <v>22.3</v>
      </c>
      <c r="L56">
        <v>22.4</v>
      </c>
      <c r="M56">
        <v>22.4</v>
      </c>
      <c r="N56">
        <v>22</v>
      </c>
      <c r="O56">
        <v>21.3</v>
      </c>
      <c r="P56">
        <v>20.9</v>
      </c>
      <c r="Q56">
        <v>21.2</v>
      </c>
      <c r="R56">
        <v>21.5</v>
      </c>
      <c r="S56">
        <v>21.7</v>
      </c>
      <c r="T56">
        <v>21.8</v>
      </c>
      <c r="U56">
        <v>22</v>
      </c>
      <c r="V56">
        <v>22.3</v>
      </c>
      <c r="W56">
        <v>21.1</v>
      </c>
      <c r="X56">
        <v>21.7</v>
      </c>
      <c r="Y56">
        <v>21.4</v>
      </c>
      <c r="Z56">
        <v>21.8</v>
      </c>
      <c r="AB56">
        <f t="shared" si="23"/>
        <v>0</v>
      </c>
      <c r="AC56">
        <f t="shared" si="24"/>
        <v>1</v>
      </c>
      <c r="AD56">
        <f t="shared" si="25"/>
        <v>0</v>
      </c>
      <c r="AE56">
        <f t="shared" si="26"/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f t="shared" si="0"/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f t="shared" si="1"/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f t="shared" si="42"/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f t="shared" si="27"/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f t="shared" si="28"/>
        <v>1</v>
      </c>
      <c r="CX56">
        <f t="shared" si="29"/>
        <v>0</v>
      </c>
      <c r="CY56">
        <f t="shared" si="3"/>
        <v>0</v>
      </c>
      <c r="CZ56">
        <f t="shared" si="4"/>
        <v>0</v>
      </c>
      <c r="DA56">
        <f t="shared" si="5"/>
        <v>0</v>
      </c>
      <c r="DB56">
        <f t="shared" si="6"/>
        <v>0</v>
      </c>
      <c r="DC56">
        <f t="shared" si="7"/>
        <v>1</v>
      </c>
      <c r="DD56">
        <f t="shared" si="8"/>
        <v>0</v>
      </c>
      <c r="DE56">
        <f t="shared" si="9"/>
        <v>0</v>
      </c>
      <c r="DF56">
        <f t="shared" si="10"/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f t="shared" si="30"/>
        <v>1</v>
      </c>
      <c r="DN56">
        <f t="shared" si="31"/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f t="shared" si="32"/>
        <v>0</v>
      </c>
      <c r="DW56">
        <v>1</v>
      </c>
      <c r="DX56">
        <f t="shared" si="33"/>
        <v>1</v>
      </c>
      <c r="DZ56">
        <f t="shared" si="34"/>
        <v>0</v>
      </c>
      <c r="EA56">
        <f t="shared" si="11"/>
        <v>0</v>
      </c>
      <c r="EB56">
        <f t="shared" si="12"/>
        <v>0</v>
      </c>
      <c r="EC56">
        <f t="shared" si="13"/>
        <v>0</v>
      </c>
      <c r="ED56">
        <f t="shared" si="14"/>
        <v>0</v>
      </c>
      <c r="EE56">
        <f t="shared" si="15"/>
        <v>0</v>
      </c>
      <c r="EF56">
        <f t="shared" si="16"/>
        <v>0</v>
      </c>
      <c r="EG56">
        <f t="shared" si="17"/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f t="shared" si="35"/>
        <v>1</v>
      </c>
      <c r="EO56">
        <f t="shared" si="36"/>
        <v>1</v>
      </c>
      <c r="EQ56">
        <f t="shared" si="37"/>
        <v>0</v>
      </c>
      <c r="ER56">
        <f t="shared" si="18"/>
        <v>0</v>
      </c>
      <c r="ES56">
        <f t="shared" si="19"/>
        <v>0</v>
      </c>
      <c r="ET56">
        <f t="shared" si="20"/>
        <v>0</v>
      </c>
      <c r="EU56">
        <f t="shared" si="21"/>
        <v>0</v>
      </c>
      <c r="EV56">
        <f t="shared" si="22"/>
        <v>1</v>
      </c>
      <c r="EW56">
        <f t="shared" si="38"/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f t="shared" si="39"/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f t="shared" si="40"/>
        <v>1</v>
      </c>
    </row>
    <row r="57" spans="1:189" x14ac:dyDescent="0.35">
      <c r="A57" t="s">
        <v>139</v>
      </c>
      <c r="B57">
        <f>[1]Population!$BB66</f>
        <v>78075705</v>
      </c>
      <c r="C57">
        <f>[1]RealGDP!$BB66</f>
        <v>121036124473.08067</v>
      </c>
      <c r="D57" s="8">
        <f>[1]GDPcap!$BB66</f>
        <v>1550.2405578416574</v>
      </c>
      <c r="E57" s="8">
        <v>14.13007624730648</v>
      </c>
      <c r="F57">
        <v>13.340759157964529</v>
      </c>
      <c r="G57">
        <f>RANK(D57,D$4:D57:D$201)</f>
        <v>137</v>
      </c>
      <c r="H57" t="s">
        <v>139</v>
      </c>
      <c r="J57">
        <v>12.9</v>
      </c>
      <c r="K57">
        <v>14.6</v>
      </c>
      <c r="L57">
        <v>17.7</v>
      </c>
      <c r="M57">
        <v>22.4</v>
      </c>
      <c r="N57">
        <v>26.2</v>
      </c>
      <c r="O57">
        <v>28.7</v>
      </c>
      <c r="P57">
        <v>29.1</v>
      </c>
      <c r="Q57">
        <v>29.1</v>
      </c>
      <c r="R57">
        <v>27.3</v>
      </c>
      <c r="S57">
        <v>24.1</v>
      </c>
      <c r="T57">
        <v>18.7</v>
      </c>
      <c r="U57">
        <v>14.3</v>
      </c>
      <c r="V57">
        <v>22.1</v>
      </c>
      <c r="W57">
        <v>29</v>
      </c>
      <c r="X57">
        <v>23.3</v>
      </c>
      <c r="Y57">
        <v>13.5</v>
      </c>
      <c r="Z57">
        <v>22.1</v>
      </c>
      <c r="AB57">
        <f t="shared" si="23"/>
        <v>0</v>
      </c>
      <c r="AC57">
        <f t="shared" si="24"/>
        <v>1</v>
      </c>
      <c r="AD57">
        <f t="shared" si="25"/>
        <v>0</v>
      </c>
      <c r="AE57">
        <f t="shared" si="26"/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f t="shared" si="0"/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f t="shared" si="1"/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f t="shared" si="42"/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f t="shared" si="27"/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</v>
      </c>
      <c r="CV57">
        <f t="shared" si="28"/>
        <v>1</v>
      </c>
      <c r="CX57">
        <f t="shared" si="29"/>
        <v>0</v>
      </c>
      <c r="CY57">
        <f t="shared" si="3"/>
        <v>0</v>
      </c>
      <c r="CZ57">
        <f t="shared" si="4"/>
        <v>0</v>
      </c>
      <c r="DA57">
        <f t="shared" si="5"/>
        <v>0</v>
      </c>
      <c r="DB57">
        <f t="shared" si="6"/>
        <v>0</v>
      </c>
      <c r="DC57">
        <f t="shared" si="7"/>
        <v>0</v>
      </c>
      <c r="DD57">
        <f t="shared" si="8"/>
        <v>0</v>
      </c>
      <c r="DE57">
        <f t="shared" si="9"/>
        <v>0</v>
      </c>
      <c r="DF57">
        <f t="shared" si="10"/>
        <v>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f t="shared" si="30"/>
        <v>1</v>
      </c>
      <c r="DN57">
        <f t="shared" si="31"/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f t="shared" si="32"/>
        <v>1</v>
      </c>
      <c r="DW57">
        <v>0</v>
      </c>
      <c r="DX57">
        <f t="shared" si="33"/>
        <v>1</v>
      </c>
      <c r="DZ57">
        <f t="shared" si="34"/>
        <v>0</v>
      </c>
      <c r="EA57">
        <f t="shared" si="11"/>
        <v>0</v>
      </c>
      <c r="EB57">
        <f t="shared" si="12"/>
        <v>0</v>
      </c>
      <c r="EC57">
        <f t="shared" si="13"/>
        <v>0</v>
      </c>
      <c r="ED57">
        <f t="shared" si="14"/>
        <v>0</v>
      </c>
      <c r="EE57">
        <f t="shared" si="15"/>
        <v>0</v>
      </c>
      <c r="EF57">
        <f t="shared" si="16"/>
        <v>1</v>
      </c>
      <c r="EG57">
        <f t="shared" si="17"/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f t="shared" si="35"/>
        <v>1</v>
      </c>
      <c r="EO57">
        <f t="shared" si="36"/>
        <v>1</v>
      </c>
      <c r="EQ57">
        <f t="shared" si="37"/>
        <v>0</v>
      </c>
      <c r="ER57">
        <f t="shared" si="18"/>
        <v>0</v>
      </c>
      <c r="ES57">
        <f t="shared" si="19"/>
        <v>0</v>
      </c>
      <c r="ET57">
        <f t="shared" si="20"/>
        <v>0</v>
      </c>
      <c r="EU57">
        <f t="shared" si="21"/>
        <v>0</v>
      </c>
      <c r="EV57">
        <f t="shared" si="22"/>
        <v>1</v>
      </c>
      <c r="EW57">
        <f t="shared" si="38"/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f t="shared" si="39"/>
        <v>1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f t="shared" si="40"/>
        <v>1</v>
      </c>
    </row>
    <row r="58" spans="1:189" x14ac:dyDescent="0.35">
      <c r="A58" t="s">
        <v>140</v>
      </c>
      <c r="B58">
        <f>[1]Population!$BB67</f>
        <v>6218195</v>
      </c>
      <c r="C58">
        <f>[1]RealGDP!$BB67</f>
        <v>18341273339.874924</v>
      </c>
      <c r="D58" s="8">
        <f>[1]GDPcap!$BB67</f>
        <v>2949.613728722712</v>
      </c>
      <c r="E58" s="8">
        <v>15.812078654450543</v>
      </c>
      <c r="F58">
        <v>6.9817341599398741</v>
      </c>
      <c r="G58">
        <f>RANK(D58,D$4:D58:D$201)</f>
        <v>111</v>
      </c>
      <c r="H58" t="s">
        <v>452</v>
      </c>
      <c r="I58" t="s">
        <v>453</v>
      </c>
      <c r="J58">
        <v>23.5</v>
      </c>
      <c r="K58">
        <v>24</v>
      </c>
      <c r="L58">
        <v>25.3</v>
      </c>
      <c r="M58">
        <v>26</v>
      </c>
      <c r="N58">
        <v>25.7</v>
      </c>
      <c r="O58">
        <v>24.7</v>
      </c>
      <c r="P58">
        <v>24.8</v>
      </c>
      <c r="Q58">
        <v>24.7</v>
      </c>
      <c r="R58">
        <v>24.1</v>
      </c>
      <c r="S58">
        <v>23.9</v>
      </c>
      <c r="T58">
        <v>23.4</v>
      </c>
      <c r="U58">
        <v>23.2</v>
      </c>
      <c r="V58">
        <v>25.7</v>
      </c>
      <c r="W58">
        <v>24.7</v>
      </c>
      <c r="X58">
        <v>23.8</v>
      </c>
      <c r="Y58">
        <v>22.7</v>
      </c>
      <c r="Z58">
        <v>24.4</v>
      </c>
      <c r="AB58">
        <f t="shared" si="23"/>
        <v>0</v>
      </c>
      <c r="AC58">
        <f t="shared" si="24"/>
        <v>1</v>
      </c>
      <c r="AD58">
        <f t="shared" si="25"/>
        <v>0</v>
      </c>
      <c r="AE58">
        <f t="shared" si="26"/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f t="shared" ref="AV58:AV92" si="43">SUM(AG58:AU58)</f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f t="shared" ref="BL58:BL110" si="44">SUM(AW58:BK58)</f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f t="shared" si="42"/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f t="shared" si="27"/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f t="shared" si="28"/>
        <v>1</v>
      </c>
      <c r="CX58">
        <f t="shared" si="29"/>
        <v>0</v>
      </c>
      <c r="CY58">
        <f t="shared" si="3"/>
        <v>0</v>
      </c>
      <c r="CZ58">
        <f t="shared" si="4"/>
        <v>0</v>
      </c>
      <c r="DA58">
        <f t="shared" si="5"/>
        <v>0</v>
      </c>
      <c r="DB58">
        <f t="shared" si="6"/>
        <v>0</v>
      </c>
      <c r="DC58">
        <f t="shared" si="7"/>
        <v>1</v>
      </c>
      <c r="DD58">
        <f t="shared" si="8"/>
        <v>0</v>
      </c>
      <c r="DE58">
        <f t="shared" si="9"/>
        <v>0</v>
      </c>
      <c r="DF58">
        <f t="shared" si="10"/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f t="shared" si="30"/>
        <v>1</v>
      </c>
      <c r="DN58">
        <f t="shared" si="31"/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f t="shared" si="32"/>
        <v>0</v>
      </c>
      <c r="DW58">
        <v>1</v>
      </c>
      <c r="DX58">
        <f t="shared" si="33"/>
        <v>1</v>
      </c>
      <c r="DZ58">
        <f t="shared" si="34"/>
        <v>0</v>
      </c>
      <c r="EA58">
        <f t="shared" si="11"/>
        <v>0</v>
      </c>
      <c r="EB58">
        <f t="shared" si="12"/>
        <v>0</v>
      </c>
      <c r="EC58">
        <f t="shared" si="13"/>
        <v>0</v>
      </c>
      <c r="ED58">
        <f t="shared" si="14"/>
        <v>0</v>
      </c>
      <c r="EE58">
        <f t="shared" si="15"/>
        <v>0</v>
      </c>
      <c r="EF58">
        <f t="shared" si="16"/>
        <v>0</v>
      </c>
      <c r="EG58">
        <f t="shared" si="17"/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f t="shared" si="35"/>
        <v>1</v>
      </c>
      <c r="EO58">
        <f t="shared" si="36"/>
        <v>1</v>
      </c>
      <c r="EQ58">
        <f t="shared" si="37"/>
        <v>0</v>
      </c>
      <c r="ER58">
        <f t="shared" si="18"/>
        <v>0</v>
      </c>
      <c r="ES58">
        <f t="shared" si="19"/>
        <v>0</v>
      </c>
      <c r="ET58">
        <f t="shared" si="20"/>
        <v>0</v>
      </c>
      <c r="EU58">
        <f t="shared" si="21"/>
        <v>0</v>
      </c>
      <c r="EV58">
        <f t="shared" si="22"/>
        <v>1</v>
      </c>
      <c r="EW58">
        <f t="shared" si="38"/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f t="shared" si="39"/>
        <v>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f t="shared" si="40"/>
        <v>1</v>
      </c>
    </row>
    <row r="59" spans="1:189" x14ac:dyDescent="0.35">
      <c r="A59" t="s">
        <v>368</v>
      </c>
      <c r="B59">
        <f>[1]Population!$BB68</f>
        <v>696167</v>
      </c>
      <c r="C59">
        <f>[1]RealGDP!$BB68</f>
        <v>8071655046.0093536</v>
      </c>
      <c r="D59" s="8">
        <f>[1]GDPcap!$BB68</f>
        <v>11594.42353057435</v>
      </c>
      <c r="E59" s="8">
        <v>7.5861592239032953</v>
      </c>
      <c r="F59">
        <v>1.0613712857053132</v>
      </c>
      <c r="G59">
        <f>RANK(D59,D$4:D59:D$201)</f>
        <v>56</v>
      </c>
      <c r="H59" t="s">
        <v>454</v>
      </c>
      <c r="I59" t="s">
        <v>373</v>
      </c>
      <c r="J59">
        <v>25.1</v>
      </c>
      <c r="K59">
        <v>25.5</v>
      </c>
      <c r="L59">
        <v>25.3</v>
      </c>
      <c r="M59">
        <v>25.2</v>
      </c>
      <c r="N59">
        <v>25.1</v>
      </c>
      <c r="O59">
        <v>24.2</v>
      </c>
      <c r="P59">
        <v>23.1</v>
      </c>
      <c r="Q59">
        <v>23.3</v>
      </c>
      <c r="R59">
        <v>24.1</v>
      </c>
      <c r="S59">
        <v>24.2</v>
      </c>
      <c r="T59">
        <v>24.5</v>
      </c>
      <c r="U59">
        <v>24.6</v>
      </c>
      <c r="V59">
        <v>25.2</v>
      </c>
      <c r="W59">
        <v>23.5</v>
      </c>
      <c r="X59">
        <v>24.3</v>
      </c>
      <c r="Y59">
        <v>24.2</v>
      </c>
      <c r="Z59">
        <v>24.5</v>
      </c>
      <c r="AB59">
        <f t="shared" si="23"/>
        <v>0</v>
      </c>
      <c r="AC59">
        <f t="shared" si="24"/>
        <v>0</v>
      </c>
      <c r="AD59">
        <f t="shared" si="25"/>
        <v>1</v>
      </c>
      <c r="AE59">
        <f t="shared" si="26"/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f t="shared" si="43"/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f t="shared" si="44"/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f t="shared" si="42"/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f t="shared" ref="CK59:CK111" si="45">SUM(BX59:CJ59)</f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f t="shared" ref="CV59:CV111" si="46">SUM(CM59:CU59)</f>
        <v>1</v>
      </c>
      <c r="CX59">
        <f t="shared" si="29"/>
        <v>0</v>
      </c>
      <c r="CY59">
        <f t="shared" si="3"/>
        <v>0</v>
      </c>
      <c r="CZ59">
        <f t="shared" si="4"/>
        <v>0</v>
      </c>
      <c r="DA59">
        <f t="shared" si="5"/>
        <v>0</v>
      </c>
      <c r="DB59">
        <f t="shared" si="6"/>
        <v>0</v>
      </c>
      <c r="DC59">
        <f t="shared" si="7"/>
        <v>0</v>
      </c>
      <c r="DD59">
        <f t="shared" si="8"/>
        <v>0</v>
      </c>
      <c r="DE59">
        <f t="shared" si="9"/>
        <v>0</v>
      </c>
      <c r="DF59">
        <f t="shared" si="10"/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f t="shared" ref="DM59:DM111" si="47">1-SUM(DH59:DL59)</f>
        <v>1</v>
      </c>
      <c r="DN59">
        <f t="shared" ref="DN59:DN111" si="48">SUM(DH59:DM59)</f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f t="shared" ref="DV59:DV111" si="49">CQ59+CU59</f>
        <v>1</v>
      </c>
      <c r="DW59">
        <v>0</v>
      </c>
      <c r="DX59">
        <f t="shared" ref="DX59:DX111" si="50">SUM(DP59:DW59)</f>
        <v>1</v>
      </c>
      <c r="DZ59">
        <f t="shared" si="34"/>
        <v>0</v>
      </c>
      <c r="EA59">
        <f t="shared" si="11"/>
        <v>0</v>
      </c>
      <c r="EB59">
        <f t="shared" si="12"/>
        <v>0</v>
      </c>
      <c r="EC59">
        <f t="shared" si="13"/>
        <v>0</v>
      </c>
      <c r="ED59">
        <f t="shared" si="14"/>
        <v>0</v>
      </c>
      <c r="EE59">
        <f t="shared" si="15"/>
        <v>0</v>
      </c>
      <c r="EF59">
        <f t="shared" si="16"/>
        <v>1</v>
      </c>
      <c r="EG59">
        <f t="shared" si="17"/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f t="shared" ref="EN59:EN111" si="51">1-SUM(EI59:EM59)</f>
        <v>1</v>
      </c>
      <c r="EO59">
        <f t="shared" ref="EO59:EO111" si="52">SUM(EI59:EN59)</f>
        <v>1</v>
      </c>
      <c r="EQ59">
        <f t="shared" si="37"/>
        <v>0</v>
      </c>
      <c r="ER59">
        <f t="shared" si="18"/>
        <v>0</v>
      </c>
      <c r="ES59">
        <f t="shared" si="19"/>
        <v>0</v>
      </c>
      <c r="ET59">
        <f t="shared" si="20"/>
        <v>0</v>
      </c>
      <c r="EU59">
        <f t="shared" si="21"/>
        <v>0</v>
      </c>
      <c r="EV59">
        <f t="shared" si="22"/>
        <v>1</v>
      </c>
      <c r="EW59">
        <f t="shared" si="38"/>
        <v>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FX59">
        <f t="shared" si="39"/>
        <v>1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f t="shared" si="40"/>
        <v>1</v>
      </c>
    </row>
    <row r="60" spans="1:189" x14ac:dyDescent="0.35">
      <c r="A60" t="s">
        <v>369</v>
      </c>
      <c r="B60">
        <f>[1]Population!$BB69</f>
        <v>5741159</v>
      </c>
      <c r="C60">
        <f>[1]RealGDP!$BB69</f>
        <v>1056636372.397827</v>
      </c>
      <c r="D60" s="8">
        <f>[1]GDPcap!$BB69</f>
        <v>184.04582983990289</v>
      </c>
      <c r="E60" s="8"/>
      <c r="G60">
        <f>RANK(D60,D$4:D60:D$201)</f>
        <v>197</v>
      </c>
      <c r="H60" t="s">
        <v>369</v>
      </c>
      <c r="J60">
        <v>22.2</v>
      </c>
      <c r="K60">
        <v>23.1</v>
      </c>
      <c r="L60">
        <v>24.8</v>
      </c>
      <c r="M60">
        <v>26.5</v>
      </c>
      <c r="N60">
        <v>27.8</v>
      </c>
      <c r="O60">
        <v>28.3</v>
      </c>
      <c r="P60">
        <v>27.4</v>
      </c>
      <c r="Q60">
        <v>26.8</v>
      </c>
      <c r="R60">
        <v>26.6</v>
      </c>
      <c r="S60">
        <v>25.8</v>
      </c>
      <c r="T60">
        <v>24.3</v>
      </c>
      <c r="U60">
        <v>22.6</v>
      </c>
      <c r="V60">
        <v>26.4</v>
      </c>
      <c r="W60">
        <v>27.5</v>
      </c>
      <c r="X60">
        <v>25.6</v>
      </c>
      <c r="Y60">
        <v>21.8</v>
      </c>
      <c r="Z60">
        <v>25.5</v>
      </c>
      <c r="AB60">
        <f t="shared" si="23"/>
        <v>1</v>
      </c>
      <c r="AC60">
        <f t="shared" si="24"/>
        <v>0</v>
      </c>
      <c r="AD60">
        <f t="shared" si="25"/>
        <v>0</v>
      </c>
      <c r="AE60">
        <f t="shared" si="26"/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f t="shared" si="43"/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f t="shared" si="44"/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f t="shared" si="42"/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f t="shared" si="45"/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f t="shared" si="46"/>
        <v>1</v>
      </c>
      <c r="CX60">
        <f t="shared" si="29"/>
        <v>0</v>
      </c>
      <c r="CY60">
        <f t="shared" si="3"/>
        <v>0</v>
      </c>
      <c r="CZ60">
        <f t="shared" si="4"/>
        <v>0</v>
      </c>
      <c r="DA60">
        <f t="shared" si="5"/>
        <v>0</v>
      </c>
      <c r="DB60">
        <f t="shared" si="6"/>
        <v>0</v>
      </c>
      <c r="DC60">
        <f t="shared" si="7"/>
        <v>0</v>
      </c>
      <c r="DD60">
        <f t="shared" si="8"/>
        <v>0</v>
      </c>
      <c r="DE60">
        <f t="shared" si="9"/>
        <v>0</v>
      </c>
      <c r="DF60">
        <f t="shared" si="10"/>
        <v>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f t="shared" si="47"/>
        <v>1</v>
      </c>
      <c r="DN60">
        <f t="shared" si="48"/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f t="shared" si="49"/>
        <v>1</v>
      </c>
      <c r="DW60">
        <v>0</v>
      </c>
      <c r="DX60">
        <f t="shared" si="50"/>
        <v>1</v>
      </c>
      <c r="DZ60">
        <f t="shared" si="34"/>
        <v>0</v>
      </c>
      <c r="EA60">
        <f t="shared" si="11"/>
        <v>0</v>
      </c>
      <c r="EB60">
        <f t="shared" si="12"/>
        <v>0</v>
      </c>
      <c r="EC60">
        <f t="shared" si="13"/>
        <v>0</v>
      </c>
      <c r="ED60">
        <f t="shared" si="14"/>
        <v>0</v>
      </c>
      <c r="EE60">
        <f t="shared" si="15"/>
        <v>0</v>
      </c>
      <c r="EF60">
        <f t="shared" si="16"/>
        <v>1</v>
      </c>
      <c r="EG60">
        <f t="shared" si="17"/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f t="shared" si="51"/>
        <v>1</v>
      </c>
      <c r="EO60">
        <f t="shared" si="52"/>
        <v>1</v>
      </c>
      <c r="EQ60">
        <f t="shared" si="37"/>
        <v>0</v>
      </c>
      <c r="ER60">
        <f t="shared" si="18"/>
        <v>0</v>
      </c>
      <c r="ES60">
        <f t="shared" si="19"/>
        <v>0</v>
      </c>
      <c r="ET60">
        <f t="shared" si="20"/>
        <v>0</v>
      </c>
      <c r="EU60">
        <f t="shared" si="21"/>
        <v>0</v>
      </c>
      <c r="EV60">
        <f t="shared" si="22"/>
        <v>1</v>
      </c>
      <c r="EW60">
        <f t="shared" si="38"/>
        <v>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f t="shared" si="39"/>
        <v>1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f t="shared" si="40"/>
        <v>1</v>
      </c>
    </row>
    <row r="61" spans="1:189" x14ac:dyDescent="0.35">
      <c r="A61" t="s">
        <v>221</v>
      </c>
      <c r="B61">
        <f>[1]Population!$BB70</f>
        <v>1340161</v>
      </c>
      <c r="C61">
        <f>[1]RealGDP!$BB70</f>
        <v>13897254466.99498</v>
      </c>
      <c r="D61" s="8">
        <f>[1]GDPcap!$BB70</f>
        <v>10369.839494653985</v>
      </c>
      <c r="E61" s="8">
        <v>1.2690970889767594</v>
      </c>
      <c r="F61">
        <v>2.7931517376195076</v>
      </c>
      <c r="G61">
        <f>RANK(D61,D$4:D61:D$201)</f>
        <v>60</v>
      </c>
      <c r="H61" t="s">
        <v>221</v>
      </c>
      <c r="J61">
        <v>-6.3</v>
      </c>
      <c r="K61">
        <v>-6.1</v>
      </c>
      <c r="L61">
        <v>-2.2000000000000002</v>
      </c>
      <c r="M61">
        <v>3.8</v>
      </c>
      <c r="N61">
        <v>10.199999999999999</v>
      </c>
      <c r="O61">
        <v>14.6</v>
      </c>
      <c r="P61">
        <v>16.5</v>
      </c>
      <c r="Q61">
        <v>15.5</v>
      </c>
      <c r="R61">
        <v>11.1</v>
      </c>
      <c r="S61">
        <v>6.3</v>
      </c>
      <c r="T61">
        <v>1</v>
      </c>
      <c r="U61">
        <v>-3.5</v>
      </c>
      <c r="V61">
        <v>3.9</v>
      </c>
      <c r="W61">
        <v>15.6</v>
      </c>
      <c r="X61">
        <v>6.1</v>
      </c>
      <c r="Y61">
        <v>-5.2</v>
      </c>
      <c r="Z61">
        <v>5.0999999999999996</v>
      </c>
      <c r="AB61">
        <f t="shared" si="23"/>
        <v>0</v>
      </c>
      <c r="AC61">
        <f t="shared" si="24"/>
        <v>0</v>
      </c>
      <c r="AD61">
        <f t="shared" si="25"/>
        <v>1</v>
      </c>
      <c r="AE61">
        <f t="shared" si="26"/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f t="shared" si="43"/>
        <v>1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f t="shared" si="44"/>
        <v>1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f t="shared" si="42"/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f t="shared" si="45"/>
        <v>1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f t="shared" si="46"/>
        <v>1</v>
      </c>
      <c r="CX61">
        <f t="shared" si="29"/>
        <v>0</v>
      </c>
      <c r="CY61">
        <f t="shared" si="3"/>
        <v>0</v>
      </c>
      <c r="CZ61">
        <f t="shared" si="4"/>
        <v>0</v>
      </c>
      <c r="DA61">
        <f t="shared" si="5"/>
        <v>1</v>
      </c>
      <c r="DB61">
        <f t="shared" si="6"/>
        <v>0</v>
      </c>
      <c r="DC61">
        <f t="shared" si="7"/>
        <v>0</v>
      </c>
      <c r="DD61">
        <f t="shared" si="8"/>
        <v>0</v>
      </c>
      <c r="DE61">
        <f t="shared" si="9"/>
        <v>0</v>
      </c>
      <c r="DF61">
        <f t="shared" si="10"/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f t="shared" si="47"/>
        <v>0</v>
      </c>
      <c r="DN61">
        <f t="shared" si="48"/>
        <v>1</v>
      </c>
      <c r="DP61">
        <v>0</v>
      </c>
      <c r="DQ61">
        <v>0</v>
      </c>
      <c r="DR61">
        <v>0</v>
      </c>
      <c r="DS61">
        <v>1</v>
      </c>
      <c r="DT61">
        <v>0</v>
      </c>
      <c r="DU61">
        <v>0</v>
      </c>
      <c r="DV61">
        <f t="shared" si="49"/>
        <v>0</v>
      </c>
      <c r="DW61">
        <v>0</v>
      </c>
      <c r="DX61">
        <f t="shared" si="50"/>
        <v>1</v>
      </c>
      <c r="DZ61">
        <f t="shared" si="34"/>
        <v>0</v>
      </c>
      <c r="EA61">
        <f t="shared" si="11"/>
        <v>0</v>
      </c>
      <c r="EB61">
        <f t="shared" si="12"/>
        <v>0</v>
      </c>
      <c r="EC61">
        <f t="shared" si="13"/>
        <v>1</v>
      </c>
      <c r="ED61">
        <f t="shared" si="14"/>
        <v>0</v>
      </c>
      <c r="EE61">
        <f t="shared" si="15"/>
        <v>0</v>
      </c>
      <c r="EF61">
        <f t="shared" si="16"/>
        <v>0</v>
      </c>
      <c r="EG61">
        <f t="shared" si="17"/>
        <v>0</v>
      </c>
      <c r="EI61">
        <v>0</v>
      </c>
      <c r="EJ61">
        <v>0</v>
      </c>
      <c r="EK61">
        <v>0</v>
      </c>
      <c r="EL61">
        <v>1</v>
      </c>
      <c r="EM61">
        <v>0</v>
      </c>
      <c r="EN61">
        <f t="shared" si="51"/>
        <v>0</v>
      </c>
      <c r="EO61">
        <f t="shared" si="52"/>
        <v>1</v>
      </c>
      <c r="EQ61">
        <f t="shared" si="37"/>
        <v>0</v>
      </c>
      <c r="ER61">
        <f t="shared" si="18"/>
        <v>0</v>
      </c>
      <c r="ES61">
        <f t="shared" si="19"/>
        <v>0</v>
      </c>
      <c r="ET61">
        <f t="shared" si="20"/>
        <v>1</v>
      </c>
      <c r="EU61">
        <f t="shared" si="21"/>
        <v>0</v>
      </c>
      <c r="EV61">
        <f t="shared" si="22"/>
        <v>0</v>
      </c>
      <c r="EW61">
        <f t="shared" si="38"/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f t="shared" si="39"/>
        <v>1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f t="shared" si="40"/>
        <v>1</v>
      </c>
    </row>
    <row r="62" spans="1:189" x14ac:dyDescent="0.35">
      <c r="A62" t="s">
        <v>141</v>
      </c>
      <c r="B62">
        <f>[1]Population!$BB71</f>
        <v>87095281</v>
      </c>
      <c r="C62">
        <f>[1]RealGDP!$BB71</f>
        <v>20402844449.621059</v>
      </c>
      <c r="D62" s="8">
        <f>[1]GDPcap!$BB71</f>
        <v>234.25889686975188</v>
      </c>
      <c r="E62" s="8">
        <v>8.1634410798229009</v>
      </c>
      <c r="F62">
        <v>41.446820069975807</v>
      </c>
      <c r="G62">
        <f>RANK(D62,D$4:D62:D$201)</f>
        <v>195</v>
      </c>
      <c r="H62" t="s">
        <v>141</v>
      </c>
      <c r="J62">
        <v>20.9</v>
      </c>
      <c r="K62">
        <v>22.1</v>
      </c>
      <c r="L62">
        <v>23.3</v>
      </c>
      <c r="M62">
        <v>23.5</v>
      </c>
      <c r="N62">
        <v>23.3</v>
      </c>
      <c r="O62">
        <v>23</v>
      </c>
      <c r="P62">
        <v>22.1</v>
      </c>
      <c r="Q62">
        <v>22</v>
      </c>
      <c r="R62">
        <v>22.4</v>
      </c>
      <c r="S62">
        <v>21.8</v>
      </c>
      <c r="T62">
        <v>21</v>
      </c>
      <c r="U62">
        <v>20.5</v>
      </c>
      <c r="V62">
        <v>23.4</v>
      </c>
      <c r="W62">
        <v>22.4</v>
      </c>
      <c r="X62">
        <v>21.7</v>
      </c>
      <c r="Y62">
        <v>20.5</v>
      </c>
      <c r="Z62">
        <v>22.2</v>
      </c>
      <c r="AB62">
        <f t="shared" si="23"/>
        <v>1</v>
      </c>
      <c r="AC62">
        <f t="shared" si="24"/>
        <v>0</v>
      </c>
      <c r="AD62">
        <f t="shared" si="25"/>
        <v>0</v>
      </c>
      <c r="AE62">
        <f t="shared" si="26"/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f t="shared" si="43"/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f t="shared" si="44"/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f t="shared" si="42"/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f t="shared" si="45"/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f t="shared" si="46"/>
        <v>1</v>
      </c>
      <c r="CX62">
        <f t="shared" si="29"/>
        <v>0</v>
      </c>
      <c r="CY62">
        <f t="shared" si="3"/>
        <v>0</v>
      </c>
      <c r="CZ62">
        <f t="shared" si="4"/>
        <v>0</v>
      </c>
      <c r="DA62">
        <f t="shared" si="5"/>
        <v>0</v>
      </c>
      <c r="DB62">
        <f t="shared" si="6"/>
        <v>0</v>
      </c>
      <c r="DC62">
        <f t="shared" si="7"/>
        <v>0</v>
      </c>
      <c r="DD62">
        <f t="shared" si="8"/>
        <v>0</v>
      </c>
      <c r="DE62">
        <f t="shared" si="9"/>
        <v>0</v>
      </c>
      <c r="DF62">
        <f t="shared" si="10"/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f t="shared" si="47"/>
        <v>1</v>
      </c>
      <c r="DN62">
        <f t="shared" si="48"/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f t="shared" si="49"/>
        <v>1</v>
      </c>
      <c r="DW62">
        <v>0</v>
      </c>
      <c r="DX62">
        <f t="shared" si="50"/>
        <v>1</v>
      </c>
      <c r="DZ62">
        <f t="shared" si="34"/>
        <v>0</v>
      </c>
      <c r="EA62">
        <f t="shared" si="11"/>
        <v>0</v>
      </c>
      <c r="EB62">
        <f t="shared" si="12"/>
        <v>0</v>
      </c>
      <c r="EC62">
        <f t="shared" si="13"/>
        <v>0</v>
      </c>
      <c r="ED62">
        <f t="shared" si="14"/>
        <v>0</v>
      </c>
      <c r="EE62">
        <f t="shared" si="15"/>
        <v>0</v>
      </c>
      <c r="EF62">
        <f t="shared" si="16"/>
        <v>1</v>
      </c>
      <c r="EG62">
        <f t="shared" si="17"/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f t="shared" si="51"/>
        <v>1</v>
      </c>
      <c r="EO62">
        <f t="shared" si="52"/>
        <v>1</v>
      </c>
      <c r="EQ62">
        <f t="shared" si="37"/>
        <v>0</v>
      </c>
      <c r="ER62">
        <f t="shared" si="18"/>
        <v>0</v>
      </c>
      <c r="ES62">
        <f t="shared" si="19"/>
        <v>0</v>
      </c>
      <c r="ET62">
        <f t="shared" si="20"/>
        <v>0</v>
      </c>
      <c r="EU62">
        <f t="shared" si="21"/>
        <v>0</v>
      </c>
      <c r="EV62">
        <f t="shared" si="22"/>
        <v>1</v>
      </c>
      <c r="EW62">
        <f t="shared" si="38"/>
        <v>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f t="shared" si="39"/>
        <v>1</v>
      </c>
      <c r="FZ62">
        <v>1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f t="shared" si="40"/>
        <v>1</v>
      </c>
    </row>
    <row r="63" spans="1:189" x14ac:dyDescent="0.35">
      <c r="A63" t="s">
        <v>602</v>
      </c>
      <c r="B63">
        <f>[1]Population!$BB73</f>
        <v>49581</v>
      </c>
      <c r="C63">
        <f>B63*D63</f>
        <v>1812304428.6209128</v>
      </c>
      <c r="D63" s="8">
        <f>[2]YpC3!$AZ$61</f>
        <v>36552.397664849697</v>
      </c>
      <c r="E63" s="8"/>
      <c r="G63">
        <f>RANK(D63,D$4:D63:D$201)</f>
        <v>21</v>
      </c>
      <c r="Z63">
        <v>6.7</v>
      </c>
      <c r="AB63">
        <f t="shared" si="23"/>
        <v>0</v>
      </c>
      <c r="AC63">
        <f t="shared" si="24"/>
        <v>0</v>
      </c>
      <c r="AD63">
        <f t="shared" si="25"/>
        <v>0</v>
      </c>
      <c r="AE63">
        <f t="shared" si="26"/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f t="shared" si="43"/>
        <v>1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f>SUM(AW63:BK63)</f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f t="shared" si="42"/>
        <v>1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f>SUM(BX63:CJ63)</f>
        <v>1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f>SUM(CM63:CU63)</f>
        <v>1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0</v>
      </c>
      <c r="DN63">
        <f>SUM(DH63:DM63)</f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f>SUM(DP63:DW63)</f>
        <v>1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I63">
        <v>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f>SUM(EI63:EN63)</f>
        <v>1</v>
      </c>
      <c r="EQ63">
        <v>1</v>
      </c>
      <c r="ER63">
        <v>0</v>
      </c>
      <c r="ES63">
        <v>0</v>
      </c>
      <c r="ET63">
        <v>0</v>
      </c>
      <c r="EU63">
        <v>0</v>
      </c>
      <c r="EV63">
        <v>0</v>
      </c>
      <c r="EW63">
        <f t="shared" si="38"/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f t="shared" si="39"/>
        <v>1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f t="shared" si="40"/>
        <v>1</v>
      </c>
    </row>
    <row r="64" spans="1:189" x14ac:dyDescent="0.35">
      <c r="A64" t="s">
        <v>370</v>
      </c>
      <c r="B64">
        <f>[1]Population!$BB74</f>
        <v>860559</v>
      </c>
      <c r="C64">
        <f>[1]RealGDP!$BB74</f>
        <v>3032066121.2225323</v>
      </c>
      <c r="D64" s="8">
        <f>[1]GDPcap!$BB74</f>
        <v>3523.3680912320156</v>
      </c>
      <c r="E64" s="8">
        <v>21.779046862478342</v>
      </c>
      <c r="F64">
        <v>9.3818973756241242</v>
      </c>
      <c r="G64">
        <f>RANK(D64,D$4:D64:D$201)</f>
        <v>102</v>
      </c>
      <c r="H64" t="s">
        <v>370</v>
      </c>
      <c r="J64">
        <v>25.9</v>
      </c>
      <c r="K64">
        <v>26.1</v>
      </c>
      <c r="L64">
        <v>26</v>
      </c>
      <c r="M64">
        <v>25.4</v>
      </c>
      <c r="N64">
        <v>24.1</v>
      </c>
      <c r="O64">
        <v>23.3</v>
      </c>
      <c r="P64">
        <v>22.5</v>
      </c>
      <c r="Q64">
        <v>22.6</v>
      </c>
      <c r="R64">
        <v>23</v>
      </c>
      <c r="S64">
        <v>23.8</v>
      </c>
      <c r="T64">
        <v>24.6</v>
      </c>
      <c r="U64">
        <v>25.4</v>
      </c>
      <c r="V64">
        <v>25.2</v>
      </c>
      <c r="W64">
        <v>22.8</v>
      </c>
      <c r="X64">
        <v>23.8</v>
      </c>
      <c r="Y64">
        <v>24.9</v>
      </c>
      <c r="Z64">
        <v>24.4</v>
      </c>
      <c r="AB64">
        <f t="shared" si="23"/>
        <v>0</v>
      </c>
      <c r="AC64">
        <f t="shared" si="24"/>
        <v>1</v>
      </c>
      <c r="AD64">
        <f t="shared" si="25"/>
        <v>0</v>
      </c>
      <c r="AE64">
        <f t="shared" si="26"/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f t="shared" si="43"/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f t="shared" si="44"/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f t="shared" si="42"/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f t="shared" si="45"/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f t="shared" si="46"/>
        <v>1</v>
      </c>
      <c r="CX64">
        <f t="shared" si="29"/>
        <v>0</v>
      </c>
      <c r="CY64">
        <f t="shared" si="3"/>
        <v>0</v>
      </c>
      <c r="CZ64">
        <f t="shared" si="4"/>
        <v>0</v>
      </c>
      <c r="DA64">
        <f t="shared" si="5"/>
        <v>0</v>
      </c>
      <c r="DB64">
        <f t="shared" si="6"/>
        <v>0</v>
      </c>
      <c r="DC64">
        <f t="shared" si="7"/>
        <v>0</v>
      </c>
      <c r="DD64">
        <f t="shared" si="8"/>
        <v>1</v>
      </c>
      <c r="DE64">
        <f t="shared" si="9"/>
        <v>0</v>
      </c>
      <c r="DF64">
        <f t="shared" si="10"/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f t="shared" si="47"/>
        <v>1</v>
      </c>
      <c r="DN64">
        <f t="shared" si="48"/>
        <v>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</v>
      </c>
      <c r="DV64">
        <f t="shared" si="49"/>
        <v>0</v>
      </c>
      <c r="DW64">
        <v>0</v>
      </c>
      <c r="DX64">
        <f t="shared" si="50"/>
        <v>1</v>
      </c>
      <c r="DZ64">
        <f t="shared" si="34"/>
        <v>0</v>
      </c>
      <c r="EA64">
        <f t="shared" si="11"/>
        <v>0</v>
      </c>
      <c r="EB64">
        <f t="shared" si="12"/>
        <v>0</v>
      </c>
      <c r="EC64">
        <f t="shared" si="13"/>
        <v>0</v>
      </c>
      <c r="ED64">
        <f t="shared" si="14"/>
        <v>0</v>
      </c>
      <c r="EE64">
        <f t="shared" si="15"/>
        <v>1</v>
      </c>
      <c r="EF64">
        <f t="shared" si="16"/>
        <v>0</v>
      </c>
      <c r="EG64">
        <f t="shared" si="17"/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f t="shared" si="51"/>
        <v>1</v>
      </c>
      <c r="EO64">
        <f t="shared" si="52"/>
        <v>1</v>
      </c>
      <c r="EQ64">
        <f t="shared" si="37"/>
        <v>0</v>
      </c>
      <c r="ER64">
        <f t="shared" si="18"/>
        <v>0</v>
      </c>
      <c r="ES64">
        <f t="shared" si="19"/>
        <v>0</v>
      </c>
      <c r="ET64">
        <f t="shared" si="20"/>
        <v>0</v>
      </c>
      <c r="EU64">
        <f t="shared" si="21"/>
        <v>0</v>
      </c>
      <c r="EV64">
        <f t="shared" si="22"/>
        <v>1</v>
      </c>
      <c r="EW64">
        <f t="shared" si="38"/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0</v>
      </c>
      <c r="FX64">
        <f t="shared" si="39"/>
        <v>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1</v>
      </c>
      <c r="GF64">
        <v>0</v>
      </c>
      <c r="GG64">
        <f t="shared" si="40"/>
        <v>1</v>
      </c>
    </row>
    <row r="65" spans="1:189" x14ac:dyDescent="0.35">
      <c r="A65" t="s">
        <v>142</v>
      </c>
      <c r="B65">
        <f>[1]Population!$BB75</f>
        <v>5363352</v>
      </c>
      <c r="C65">
        <f>[1]RealGDP!$BB75</f>
        <v>204154134528.24445</v>
      </c>
      <c r="D65" s="8">
        <f>[1]GDPcap!$BB75</f>
        <v>38064.653322818347</v>
      </c>
      <c r="E65" s="8">
        <v>18.704970603955104</v>
      </c>
      <c r="F65">
        <v>2.388027792624265</v>
      </c>
      <c r="G65">
        <f>RANK(D65,D$4:D65:D$201)</f>
        <v>18</v>
      </c>
      <c r="H65" t="s">
        <v>142</v>
      </c>
      <c r="J65">
        <v>-11.3</v>
      </c>
      <c r="K65">
        <v>-10.6</v>
      </c>
      <c r="L65">
        <v>-5.7</v>
      </c>
      <c r="M65">
        <v>0.4</v>
      </c>
      <c r="N65">
        <v>7.3</v>
      </c>
      <c r="O65">
        <v>13</v>
      </c>
      <c r="P65">
        <v>15.3</v>
      </c>
      <c r="Q65">
        <v>13.3</v>
      </c>
      <c r="R65">
        <v>8.1999999999999993</v>
      </c>
      <c r="S65">
        <v>2.6</v>
      </c>
      <c r="T65">
        <v>-3.5</v>
      </c>
      <c r="U65">
        <v>-8.6</v>
      </c>
      <c r="V65">
        <v>0.7</v>
      </c>
      <c r="W65">
        <v>13.9</v>
      </c>
      <c r="X65">
        <v>2.4</v>
      </c>
      <c r="Y65">
        <v>-10</v>
      </c>
      <c r="Z65">
        <v>1.7</v>
      </c>
      <c r="AB65">
        <f t="shared" si="23"/>
        <v>0</v>
      </c>
      <c r="AC65">
        <f t="shared" si="24"/>
        <v>0</v>
      </c>
      <c r="AD65">
        <f t="shared" si="25"/>
        <v>0</v>
      </c>
      <c r="AE65">
        <f t="shared" si="26"/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f t="shared" si="43"/>
        <v>1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f t="shared" si="44"/>
        <v>1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f t="shared" si="42"/>
        <v>1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f t="shared" si="45"/>
        <v>1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f t="shared" si="46"/>
        <v>1</v>
      </c>
      <c r="CX65">
        <f t="shared" si="29"/>
        <v>0</v>
      </c>
      <c r="CY65">
        <f t="shared" si="3"/>
        <v>1</v>
      </c>
      <c r="CZ65">
        <f t="shared" si="4"/>
        <v>0</v>
      </c>
      <c r="DA65">
        <f t="shared" si="5"/>
        <v>0</v>
      </c>
      <c r="DB65">
        <f t="shared" si="6"/>
        <v>0</v>
      </c>
      <c r="DC65">
        <f t="shared" si="7"/>
        <v>0</v>
      </c>
      <c r="DD65">
        <f t="shared" si="8"/>
        <v>0</v>
      </c>
      <c r="DE65">
        <f t="shared" si="9"/>
        <v>0</v>
      </c>
      <c r="DF65">
        <f t="shared" si="10"/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>
        <f t="shared" si="47"/>
        <v>0</v>
      </c>
      <c r="DN65">
        <f t="shared" si="48"/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f t="shared" si="49"/>
        <v>0</v>
      </c>
      <c r="DW65">
        <v>0</v>
      </c>
      <c r="DX65">
        <f t="shared" si="50"/>
        <v>1</v>
      </c>
      <c r="DZ65">
        <f t="shared" si="34"/>
        <v>1</v>
      </c>
      <c r="EA65">
        <f t="shared" si="11"/>
        <v>0</v>
      </c>
      <c r="EB65">
        <f t="shared" si="12"/>
        <v>0</v>
      </c>
      <c r="EC65">
        <f t="shared" si="13"/>
        <v>0</v>
      </c>
      <c r="ED65">
        <f t="shared" si="14"/>
        <v>0</v>
      </c>
      <c r="EE65">
        <f t="shared" si="15"/>
        <v>0</v>
      </c>
      <c r="EF65">
        <f t="shared" si="16"/>
        <v>0</v>
      </c>
      <c r="EG65">
        <f t="shared" si="17"/>
        <v>0</v>
      </c>
      <c r="EI65">
        <v>1</v>
      </c>
      <c r="EJ65">
        <v>0</v>
      </c>
      <c r="EK65">
        <v>0</v>
      </c>
      <c r="EL65">
        <v>0</v>
      </c>
      <c r="EM65">
        <v>0</v>
      </c>
      <c r="EN65">
        <f t="shared" si="51"/>
        <v>0</v>
      </c>
      <c r="EO65">
        <f t="shared" si="52"/>
        <v>1</v>
      </c>
      <c r="EQ65">
        <f t="shared" si="37"/>
        <v>1</v>
      </c>
      <c r="ER65">
        <f t="shared" si="18"/>
        <v>0</v>
      </c>
      <c r="ES65">
        <f t="shared" si="19"/>
        <v>0</v>
      </c>
      <c r="ET65">
        <f t="shared" si="20"/>
        <v>0</v>
      </c>
      <c r="EU65">
        <f t="shared" si="21"/>
        <v>0</v>
      </c>
      <c r="EV65">
        <f t="shared" si="22"/>
        <v>0</v>
      </c>
      <c r="EW65">
        <f t="shared" si="38"/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f t="shared" si="39"/>
        <v>1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0</v>
      </c>
      <c r="GG65">
        <f t="shared" si="40"/>
        <v>1</v>
      </c>
    </row>
    <row r="66" spans="1:189" x14ac:dyDescent="0.35">
      <c r="A66" t="s">
        <v>143</v>
      </c>
      <c r="B66">
        <f>[1]Population!$BB76</f>
        <v>65031235</v>
      </c>
      <c r="C66">
        <f>[1]RealGDP!$BB76</f>
        <v>2204446339914.4404</v>
      </c>
      <c r="D66" s="8">
        <f>[1]GDPcap!$BB76</f>
        <v>33898.26965325878</v>
      </c>
      <c r="E66" s="8">
        <v>21.951957836684311</v>
      </c>
      <c r="F66">
        <v>1.6040282886338773</v>
      </c>
      <c r="G66">
        <f>RANK(D66,D$4:D66:D$201)</f>
        <v>28</v>
      </c>
      <c r="H66" t="s">
        <v>143</v>
      </c>
      <c r="J66">
        <v>3.4</v>
      </c>
      <c r="K66">
        <v>4.4000000000000004</v>
      </c>
      <c r="L66">
        <v>6.5</v>
      </c>
      <c r="M66">
        <v>9.1</v>
      </c>
      <c r="N66">
        <v>12.8</v>
      </c>
      <c r="O66">
        <v>16.100000000000001</v>
      </c>
      <c r="P66">
        <v>18.600000000000001</v>
      </c>
      <c r="Q66">
        <v>18.2</v>
      </c>
      <c r="R66">
        <v>15.9</v>
      </c>
      <c r="S66">
        <v>11.9</v>
      </c>
      <c r="T66">
        <v>6.9</v>
      </c>
      <c r="U66">
        <v>4.2</v>
      </c>
      <c r="V66">
        <v>9.5</v>
      </c>
      <c r="W66">
        <v>17.600000000000001</v>
      </c>
      <c r="X66">
        <v>11.6</v>
      </c>
      <c r="Y66">
        <v>3.8</v>
      </c>
      <c r="Z66">
        <v>10.7</v>
      </c>
      <c r="AB66">
        <f t="shared" si="23"/>
        <v>0</v>
      </c>
      <c r="AC66">
        <f t="shared" si="24"/>
        <v>0</v>
      </c>
      <c r="AD66">
        <f t="shared" si="25"/>
        <v>0</v>
      </c>
      <c r="AE66">
        <f t="shared" si="26"/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f t="shared" si="43"/>
        <v>1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f t="shared" si="44"/>
        <v>1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f t="shared" si="42"/>
        <v>1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f t="shared" si="45"/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f t="shared" si="46"/>
        <v>1</v>
      </c>
      <c r="CX66">
        <f t="shared" si="29"/>
        <v>0</v>
      </c>
      <c r="CY66">
        <f t="shared" si="3"/>
        <v>1</v>
      </c>
      <c r="CZ66">
        <f t="shared" si="4"/>
        <v>0</v>
      </c>
      <c r="DA66">
        <f t="shared" si="5"/>
        <v>0</v>
      </c>
      <c r="DB66">
        <f t="shared" si="6"/>
        <v>0</v>
      </c>
      <c r="DC66">
        <f t="shared" si="7"/>
        <v>0</v>
      </c>
      <c r="DD66">
        <f t="shared" si="8"/>
        <v>0</v>
      </c>
      <c r="DE66">
        <f t="shared" si="9"/>
        <v>0</v>
      </c>
      <c r="DF66">
        <f t="shared" si="10"/>
        <v>0</v>
      </c>
      <c r="DH66">
        <v>0</v>
      </c>
      <c r="DI66">
        <v>0</v>
      </c>
      <c r="DJ66">
        <v>0</v>
      </c>
      <c r="DK66">
        <v>1</v>
      </c>
      <c r="DL66">
        <v>0</v>
      </c>
      <c r="DM66">
        <f t="shared" si="47"/>
        <v>0</v>
      </c>
      <c r="DN66">
        <f t="shared" si="48"/>
        <v>1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f t="shared" si="49"/>
        <v>0</v>
      </c>
      <c r="DW66">
        <v>0</v>
      </c>
      <c r="DX66">
        <f t="shared" si="50"/>
        <v>1</v>
      </c>
      <c r="DZ66">
        <f t="shared" si="34"/>
        <v>1</v>
      </c>
      <c r="EA66">
        <f t="shared" si="11"/>
        <v>0</v>
      </c>
      <c r="EB66">
        <f t="shared" si="12"/>
        <v>0</v>
      </c>
      <c r="EC66">
        <f t="shared" si="13"/>
        <v>0</v>
      </c>
      <c r="ED66">
        <f t="shared" si="14"/>
        <v>0</v>
      </c>
      <c r="EE66">
        <f t="shared" si="15"/>
        <v>0</v>
      </c>
      <c r="EF66">
        <f t="shared" si="16"/>
        <v>0</v>
      </c>
      <c r="EG66">
        <f t="shared" si="17"/>
        <v>0</v>
      </c>
      <c r="EI66">
        <v>1</v>
      </c>
      <c r="EJ66">
        <v>0</v>
      </c>
      <c r="EK66">
        <v>0</v>
      </c>
      <c r="EL66">
        <v>0</v>
      </c>
      <c r="EM66">
        <v>0</v>
      </c>
      <c r="EN66">
        <f t="shared" si="51"/>
        <v>0</v>
      </c>
      <c r="EO66">
        <f t="shared" si="52"/>
        <v>1</v>
      </c>
      <c r="EQ66">
        <f t="shared" si="37"/>
        <v>1</v>
      </c>
      <c r="ER66">
        <f t="shared" si="18"/>
        <v>0</v>
      </c>
      <c r="ES66">
        <f t="shared" si="19"/>
        <v>0</v>
      </c>
      <c r="ET66">
        <f t="shared" si="20"/>
        <v>0</v>
      </c>
      <c r="EU66">
        <f t="shared" si="21"/>
        <v>0</v>
      </c>
      <c r="EV66">
        <f t="shared" si="22"/>
        <v>0</v>
      </c>
      <c r="EW66">
        <f t="shared" si="38"/>
        <v>1</v>
      </c>
      <c r="EY66">
        <v>0</v>
      </c>
      <c r="EZ66">
        <v>0</v>
      </c>
      <c r="FA66">
        <v>0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f t="shared" si="39"/>
        <v>1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f t="shared" si="40"/>
        <v>1</v>
      </c>
    </row>
    <row r="67" spans="1:189" x14ac:dyDescent="0.35">
      <c r="A67" t="s">
        <v>371</v>
      </c>
      <c r="B67">
        <f>[1]Population!$BB80</f>
        <v>1556222</v>
      </c>
      <c r="C67">
        <f>[1]RealGDP!$BB80</f>
        <v>9684595588.4366875</v>
      </c>
      <c r="D67" s="8">
        <f>[1]GDPcap!$BB80</f>
        <v>6223.1452764687092</v>
      </c>
      <c r="E67" s="8"/>
      <c r="F67">
        <v>3.9144484286015606</v>
      </c>
      <c r="G67">
        <f>RANK(D67,D$4:D67:D$201)</f>
        <v>76</v>
      </c>
      <c r="H67" t="s">
        <v>371</v>
      </c>
      <c r="J67">
        <v>25.7</v>
      </c>
      <c r="K67">
        <v>25.9</v>
      </c>
      <c r="L67">
        <v>26.2</v>
      </c>
      <c r="M67">
        <v>26.1</v>
      </c>
      <c r="N67">
        <v>25.7</v>
      </c>
      <c r="O67">
        <v>24.1</v>
      </c>
      <c r="P67">
        <v>23</v>
      </c>
      <c r="Q67">
        <v>23.4</v>
      </c>
      <c r="R67">
        <v>24.5</v>
      </c>
      <c r="S67">
        <v>25.2</v>
      </c>
      <c r="T67">
        <v>25.1</v>
      </c>
      <c r="U67">
        <v>25.1</v>
      </c>
      <c r="V67">
        <v>26</v>
      </c>
      <c r="W67">
        <v>23.5</v>
      </c>
      <c r="X67">
        <v>24.9</v>
      </c>
      <c r="Y67">
        <v>24.7</v>
      </c>
      <c r="Z67">
        <v>25</v>
      </c>
      <c r="AB67">
        <f t="shared" si="23"/>
        <v>0</v>
      </c>
      <c r="AC67">
        <f t="shared" si="24"/>
        <v>0</v>
      </c>
      <c r="AD67">
        <f t="shared" si="25"/>
        <v>1</v>
      </c>
      <c r="AE67">
        <f t="shared" si="26"/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f t="shared" si="43"/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f t="shared" si="44"/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f t="shared" si="42"/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f t="shared" si="45"/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f t="shared" si="46"/>
        <v>1</v>
      </c>
      <c r="CX67">
        <f t="shared" si="29"/>
        <v>0</v>
      </c>
      <c r="CY67">
        <f t="shared" si="3"/>
        <v>0</v>
      </c>
      <c r="CZ67">
        <f t="shared" si="4"/>
        <v>0</v>
      </c>
      <c r="DA67">
        <f t="shared" si="5"/>
        <v>0</v>
      </c>
      <c r="DB67">
        <f t="shared" si="6"/>
        <v>0</v>
      </c>
      <c r="DC67">
        <f t="shared" si="7"/>
        <v>0</v>
      </c>
      <c r="DD67">
        <f t="shared" si="8"/>
        <v>0</v>
      </c>
      <c r="DE67">
        <f t="shared" si="9"/>
        <v>0</v>
      </c>
      <c r="DF67">
        <f t="shared" si="10"/>
        <v>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f t="shared" si="47"/>
        <v>1</v>
      </c>
      <c r="DN67">
        <f t="shared" si="48"/>
        <v>1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f t="shared" si="49"/>
        <v>1</v>
      </c>
      <c r="DW67">
        <v>0</v>
      </c>
      <c r="DX67">
        <f t="shared" si="50"/>
        <v>1</v>
      </c>
      <c r="DZ67">
        <f t="shared" si="34"/>
        <v>0</v>
      </c>
      <c r="EA67">
        <f t="shared" si="11"/>
        <v>0</v>
      </c>
      <c r="EB67">
        <f t="shared" si="12"/>
        <v>0</v>
      </c>
      <c r="EC67">
        <f t="shared" si="13"/>
        <v>0</v>
      </c>
      <c r="ED67">
        <f t="shared" si="14"/>
        <v>0</v>
      </c>
      <c r="EE67">
        <f t="shared" si="15"/>
        <v>0</v>
      </c>
      <c r="EF67">
        <f t="shared" si="16"/>
        <v>1</v>
      </c>
      <c r="EG67">
        <f t="shared" si="17"/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f t="shared" si="51"/>
        <v>1</v>
      </c>
      <c r="EO67">
        <f t="shared" si="52"/>
        <v>1</v>
      </c>
      <c r="EQ67">
        <f t="shared" si="37"/>
        <v>0</v>
      </c>
      <c r="ER67">
        <f t="shared" si="18"/>
        <v>0</v>
      </c>
      <c r="ES67">
        <f t="shared" si="19"/>
        <v>0</v>
      </c>
      <c r="ET67">
        <f t="shared" si="20"/>
        <v>0</v>
      </c>
      <c r="EU67">
        <f t="shared" si="21"/>
        <v>0</v>
      </c>
      <c r="EV67">
        <f t="shared" si="22"/>
        <v>1</v>
      </c>
      <c r="EW67">
        <f t="shared" si="38"/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</v>
      </c>
      <c r="FX67">
        <f t="shared" si="39"/>
        <v>1</v>
      </c>
      <c r="FZ67">
        <v>1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f t="shared" si="40"/>
        <v>1</v>
      </c>
    </row>
    <row r="68" spans="1:189" x14ac:dyDescent="0.35">
      <c r="A68" t="s">
        <v>372</v>
      </c>
      <c r="B68">
        <f>[1]Population!$BB81</f>
        <v>1680640</v>
      </c>
      <c r="C68">
        <f>[1]RealGDP!$BB81</f>
        <v>784275580.67721629</v>
      </c>
      <c r="D68" s="8">
        <f>[1]GDPcap!$BB81</f>
        <v>466.6529302392043</v>
      </c>
      <c r="E68" s="8"/>
      <c r="F68">
        <v>28.952685469957238</v>
      </c>
      <c r="G68">
        <f>RANK(D68,D$4:D68:D$201)</f>
        <v>175</v>
      </c>
      <c r="H68" t="s">
        <v>372</v>
      </c>
      <c r="J68">
        <v>24.2</v>
      </c>
      <c r="K68">
        <v>26.5</v>
      </c>
      <c r="L68">
        <v>28.3</v>
      </c>
      <c r="M68">
        <v>29.6</v>
      </c>
      <c r="N68">
        <v>30.5</v>
      </c>
      <c r="O68">
        <v>29.6</v>
      </c>
      <c r="P68">
        <v>28.1</v>
      </c>
      <c r="Q68">
        <v>27.2</v>
      </c>
      <c r="R68">
        <v>27.1</v>
      </c>
      <c r="S68">
        <v>28.1</v>
      </c>
      <c r="T68">
        <v>26.8</v>
      </c>
      <c r="U68">
        <v>24.1</v>
      </c>
      <c r="V68">
        <v>29.5</v>
      </c>
      <c r="W68">
        <v>28.3</v>
      </c>
      <c r="X68">
        <v>27.3</v>
      </c>
      <c r="Y68">
        <v>24.1</v>
      </c>
      <c r="Z68">
        <v>27.5</v>
      </c>
      <c r="AB68">
        <f t="shared" si="23"/>
        <v>1</v>
      </c>
      <c r="AC68">
        <f t="shared" si="24"/>
        <v>0</v>
      </c>
      <c r="AD68">
        <f t="shared" si="25"/>
        <v>0</v>
      </c>
      <c r="AE68">
        <f t="shared" si="26"/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f t="shared" si="43"/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f t="shared" si="44"/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f t="shared" ref="BV68:BV99" si="53">SUM(BN68:BU68)</f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f t="shared" si="45"/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f t="shared" si="46"/>
        <v>1</v>
      </c>
      <c r="CX68">
        <f t="shared" si="29"/>
        <v>0</v>
      </c>
      <c r="CY68">
        <f t="shared" si="3"/>
        <v>0</v>
      </c>
      <c r="CZ68">
        <f t="shared" si="4"/>
        <v>0</v>
      </c>
      <c r="DA68">
        <f t="shared" si="5"/>
        <v>0</v>
      </c>
      <c r="DB68">
        <f t="shared" si="6"/>
        <v>0</v>
      </c>
      <c r="DC68">
        <f t="shared" si="7"/>
        <v>0</v>
      </c>
      <c r="DD68">
        <f t="shared" si="8"/>
        <v>0</v>
      </c>
      <c r="DE68">
        <f t="shared" si="9"/>
        <v>0</v>
      </c>
      <c r="DF68">
        <f t="shared" si="10"/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f t="shared" si="47"/>
        <v>1</v>
      </c>
      <c r="DN68">
        <f t="shared" si="48"/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f t="shared" si="49"/>
        <v>1</v>
      </c>
      <c r="DW68">
        <v>0</v>
      </c>
      <c r="DX68">
        <f t="shared" si="50"/>
        <v>1</v>
      </c>
      <c r="DZ68">
        <f t="shared" si="34"/>
        <v>0</v>
      </c>
      <c r="EA68">
        <f t="shared" si="11"/>
        <v>0</v>
      </c>
      <c r="EB68">
        <f t="shared" si="12"/>
        <v>0</v>
      </c>
      <c r="EC68">
        <f t="shared" si="13"/>
        <v>0</v>
      </c>
      <c r="ED68">
        <f t="shared" si="14"/>
        <v>0</v>
      </c>
      <c r="EE68">
        <f t="shared" si="15"/>
        <v>0</v>
      </c>
      <c r="EF68">
        <f t="shared" si="16"/>
        <v>1</v>
      </c>
      <c r="EG68">
        <f t="shared" si="17"/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f t="shared" si="51"/>
        <v>1</v>
      </c>
      <c r="EO68">
        <f t="shared" si="52"/>
        <v>1</v>
      </c>
      <c r="EQ68">
        <f t="shared" si="37"/>
        <v>0</v>
      </c>
      <c r="ER68">
        <f t="shared" si="18"/>
        <v>0</v>
      </c>
      <c r="ES68">
        <f t="shared" si="19"/>
        <v>0</v>
      </c>
      <c r="ET68">
        <f t="shared" si="20"/>
        <v>0</v>
      </c>
      <c r="EU68">
        <f t="shared" si="21"/>
        <v>0</v>
      </c>
      <c r="EV68">
        <f t="shared" si="22"/>
        <v>1</v>
      </c>
      <c r="EW68">
        <f t="shared" si="38"/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</v>
      </c>
      <c r="FX68">
        <f t="shared" si="39"/>
        <v>1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f t="shared" si="40"/>
        <v>1</v>
      </c>
    </row>
    <row r="69" spans="1:189" x14ac:dyDescent="0.35">
      <c r="A69" t="s">
        <v>222</v>
      </c>
      <c r="B69">
        <f>[1]Population!$BB83</f>
        <v>4452800</v>
      </c>
      <c r="C69">
        <f>[1]RealGDP!$BB83</f>
        <v>8241335082.6298161</v>
      </c>
      <c r="D69" s="8">
        <f>[1]GDPcap!$BB83</f>
        <v>1850.8208503929698</v>
      </c>
      <c r="E69" s="8">
        <v>22.139128232632583</v>
      </c>
      <c r="F69">
        <v>7.2787470028607988</v>
      </c>
      <c r="G69">
        <f>RANK(D69,D$4:D69:D$201)</f>
        <v>131</v>
      </c>
      <c r="H69" t="s">
        <v>222</v>
      </c>
      <c r="J69">
        <v>-7</v>
      </c>
      <c r="K69">
        <v>-5.7</v>
      </c>
      <c r="L69">
        <v>-1.1000000000000001</v>
      </c>
      <c r="M69">
        <v>6</v>
      </c>
      <c r="N69">
        <v>10.9</v>
      </c>
      <c r="O69">
        <v>14.3</v>
      </c>
      <c r="P69">
        <v>17.3</v>
      </c>
      <c r="Q69">
        <v>17</v>
      </c>
      <c r="R69">
        <v>13.1</v>
      </c>
      <c r="S69">
        <v>7</v>
      </c>
      <c r="T69">
        <v>1.4</v>
      </c>
      <c r="U69">
        <v>-4</v>
      </c>
      <c r="V69">
        <v>5.3</v>
      </c>
      <c r="W69">
        <v>16.2</v>
      </c>
      <c r="X69">
        <v>7.2</v>
      </c>
      <c r="Y69">
        <v>-5.4</v>
      </c>
      <c r="Z69">
        <v>5.8</v>
      </c>
      <c r="AB69">
        <f t="shared" ref="AB69:AB132" si="54">IF(G69&gt;150,1,0)</f>
        <v>0</v>
      </c>
      <c r="AC69">
        <f t="shared" ref="AC69:AC132" si="55">IF(AND(G69&lt;151,G69&gt;100),1,0)</f>
        <v>1</v>
      </c>
      <c r="AD69">
        <f t="shared" ref="AD69:AD132" si="56">IF(AND(G69&lt;101,G69&gt;50),1,0)</f>
        <v>0</v>
      </c>
      <c r="AE69">
        <f t="shared" ref="AE69:AE132" si="57">IF(G69&lt;51,1,0)</f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f t="shared" si="43"/>
        <v>1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f t="shared" si="44"/>
        <v>1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f t="shared" si="53"/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f t="shared" si="45"/>
        <v>1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f t="shared" si="46"/>
        <v>1</v>
      </c>
      <c r="CX69">
        <f t="shared" si="29"/>
        <v>0</v>
      </c>
      <c r="CY69">
        <f t="shared" si="3"/>
        <v>0</v>
      </c>
      <c r="CZ69">
        <f t="shared" si="4"/>
        <v>0</v>
      </c>
      <c r="DA69">
        <f t="shared" si="5"/>
        <v>1</v>
      </c>
      <c r="DB69">
        <f t="shared" si="6"/>
        <v>0</v>
      </c>
      <c r="DC69">
        <f t="shared" si="7"/>
        <v>0</v>
      </c>
      <c r="DD69">
        <f t="shared" si="8"/>
        <v>0</v>
      </c>
      <c r="DE69">
        <f t="shared" si="9"/>
        <v>0</v>
      </c>
      <c r="DF69">
        <f t="shared" si="10"/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f t="shared" si="47"/>
        <v>0</v>
      </c>
      <c r="DN69">
        <f t="shared" si="48"/>
        <v>1</v>
      </c>
      <c r="DP69">
        <v>0</v>
      </c>
      <c r="DQ69">
        <v>0</v>
      </c>
      <c r="DR69">
        <v>0</v>
      </c>
      <c r="DS69">
        <v>1</v>
      </c>
      <c r="DT69">
        <v>0</v>
      </c>
      <c r="DU69">
        <v>0</v>
      </c>
      <c r="DV69">
        <f t="shared" si="49"/>
        <v>0</v>
      </c>
      <c r="DW69">
        <v>0</v>
      </c>
      <c r="DX69">
        <f t="shared" si="50"/>
        <v>1</v>
      </c>
      <c r="DZ69">
        <f t="shared" si="34"/>
        <v>0</v>
      </c>
      <c r="EA69">
        <f t="shared" si="11"/>
        <v>0</v>
      </c>
      <c r="EB69">
        <f t="shared" si="12"/>
        <v>0</v>
      </c>
      <c r="EC69">
        <f t="shared" si="13"/>
        <v>1</v>
      </c>
      <c r="ED69">
        <f t="shared" si="14"/>
        <v>0</v>
      </c>
      <c r="EE69">
        <f t="shared" si="15"/>
        <v>0</v>
      </c>
      <c r="EF69">
        <f t="shared" si="16"/>
        <v>0</v>
      </c>
      <c r="EG69">
        <f t="shared" si="17"/>
        <v>0</v>
      </c>
      <c r="EI69">
        <v>0</v>
      </c>
      <c r="EJ69">
        <v>0</v>
      </c>
      <c r="EK69">
        <v>0</v>
      </c>
      <c r="EL69">
        <v>1</v>
      </c>
      <c r="EM69">
        <v>0</v>
      </c>
      <c r="EN69">
        <f t="shared" si="51"/>
        <v>0</v>
      </c>
      <c r="EO69">
        <f t="shared" si="52"/>
        <v>1</v>
      </c>
      <c r="EQ69">
        <f t="shared" si="37"/>
        <v>0</v>
      </c>
      <c r="ER69">
        <f t="shared" si="18"/>
        <v>0</v>
      </c>
      <c r="ES69">
        <f t="shared" si="19"/>
        <v>0</v>
      </c>
      <c r="ET69">
        <f t="shared" si="20"/>
        <v>1</v>
      </c>
      <c r="EU69">
        <f t="shared" si="21"/>
        <v>0</v>
      </c>
      <c r="EV69">
        <f t="shared" si="22"/>
        <v>0</v>
      </c>
      <c r="EW69">
        <f t="shared" ref="EW69:EW132" si="58">SUM(EQ69:EV69)</f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0</v>
      </c>
      <c r="FW69">
        <v>0</v>
      </c>
      <c r="FX69">
        <f t="shared" ref="FX69:FX132" si="59">SUM(EY69:FW69)</f>
        <v>1</v>
      </c>
      <c r="FZ69">
        <v>0</v>
      </c>
      <c r="GA69">
        <v>0</v>
      </c>
      <c r="GB69">
        <v>0</v>
      </c>
      <c r="GC69">
        <v>1</v>
      </c>
      <c r="GD69">
        <v>0</v>
      </c>
      <c r="GE69">
        <v>0</v>
      </c>
      <c r="GF69">
        <v>0</v>
      </c>
      <c r="GG69">
        <f t="shared" ref="GG69:GG132" si="60">SUM(FZ69:GF69)</f>
        <v>1</v>
      </c>
    </row>
    <row r="70" spans="1:189" x14ac:dyDescent="0.35">
      <c r="A70" t="s">
        <v>144</v>
      </c>
      <c r="B70">
        <f>[1]Population!$BB84</f>
        <v>81776930</v>
      </c>
      <c r="C70">
        <f>[1]RealGDP!$BB84</f>
        <v>2954359050887.9268</v>
      </c>
      <c r="D70" s="8">
        <f>[1]GDPcap!$BB84</f>
        <v>36127.047700224583</v>
      </c>
      <c r="E70" s="8">
        <v>11.115788004930117</v>
      </c>
      <c r="F70">
        <v>0.64727176887359206</v>
      </c>
      <c r="G70">
        <f>RANK(D70,D$4:D70:D$201)</f>
        <v>26</v>
      </c>
      <c r="H70" t="s">
        <v>144</v>
      </c>
      <c r="J70">
        <v>-0.5</v>
      </c>
      <c r="K70">
        <v>0.4</v>
      </c>
      <c r="L70">
        <v>3.7</v>
      </c>
      <c r="M70">
        <v>7.6</v>
      </c>
      <c r="N70">
        <v>12.2</v>
      </c>
      <c r="O70">
        <v>15.5</v>
      </c>
      <c r="P70">
        <v>17.2</v>
      </c>
      <c r="Q70">
        <v>16.899999999999999</v>
      </c>
      <c r="R70">
        <v>13.8</v>
      </c>
      <c r="S70">
        <v>9.4</v>
      </c>
      <c r="T70">
        <v>4.2</v>
      </c>
      <c r="U70">
        <v>0.8</v>
      </c>
      <c r="V70">
        <v>7.8</v>
      </c>
      <c r="W70">
        <v>16.5</v>
      </c>
      <c r="X70">
        <v>9.1</v>
      </c>
      <c r="Y70">
        <v>0.2</v>
      </c>
      <c r="Z70">
        <v>8.4</v>
      </c>
      <c r="AB70">
        <f t="shared" si="54"/>
        <v>0</v>
      </c>
      <c r="AC70">
        <f t="shared" si="55"/>
        <v>0</v>
      </c>
      <c r="AD70">
        <f t="shared" si="56"/>
        <v>0</v>
      </c>
      <c r="AE70">
        <f t="shared" si="57"/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f t="shared" si="43"/>
        <v>1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f t="shared" si="44"/>
        <v>1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f t="shared" si="53"/>
        <v>1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f t="shared" si="45"/>
        <v>1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f t="shared" si="46"/>
        <v>1</v>
      </c>
      <c r="CX70">
        <f t="shared" si="29"/>
        <v>0</v>
      </c>
      <c r="CY70">
        <f t="shared" si="3"/>
        <v>1</v>
      </c>
      <c r="CZ70">
        <f t="shared" si="4"/>
        <v>0</v>
      </c>
      <c r="DA70">
        <f t="shared" si="5"/>
        <v>0</v>
      </c>
      <c r="DB70">
        <f t="shared" si="6"/>
        <v>0</v>
      </c>
      <c r="DC70">
        <f t="shared" si="7"/>
        <v>0</v>
      </c>
      <c r="DD70">
        <f t="shared" si="8"/>
        <v>0</v>
      </c>
      <c r="DE70">
        <f t="shared" si="9"/>
        <v>0</v>
      </c>
      <c r="DF70">
        <f t="shared" si="10"/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f t="shared" si="47"/>
        <v>0</v>
      </c>
      <c r="DN70">
        <f t="shared" si="48"/>
        <v>1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f t="shared" si="49"/>
        <v>0</v>
      </c>
      <c r="DW70">
        <v>0</v>
      </c>
      <c r="DX70">
        <f t="shared" si="50"/>
        <v>1</v>
      </c>
      <c r="DZ70">
        <f t="shared" si="34"/>
        <v>1</v>
      </c>
      <c r="EA70">
        <f t="shared" si="11"/>
        <v>0</v>
      </c>
      <c r="EB70">
        <f t="shared" si="12"/>
        <v>0</v>
      </c>
      <c r="EC70">
        <f t="shared" si="13"/>
        <v>0</v>
      </c>
      <c r="ED70">
        <f t="shared" si="14"/>
        <v>0</v>
      </c>
      <c r="EE70">
        <f t="shared" si="15"/>
        <v>0</v>
      </c>
      <c r="EF70">
        <f t="shared" si="16"/>
        <v>0</v>
      </c>
      <c r="EG70">
        <f t="shared" si="17"/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f t="shared" si="51"/>
        <v>0</v>
      </c>
      <c r="EO70">
        <f t="shared" si="52"/>
        <v>1</v>
      </c>
      <c r="EQ70">
        <f t="shared" si="37"/>
        <v>1</v>
      </c>
      <c r="ER70">
        <f t="shared" si="18"/>
        <v>0</v>
      </c>
      <c r="ES70">
        <f t="shared" si="19"/>
        <v>0</v>
      </c>
      <c r="ET70">
        <f t="shared" si="20"/>
        <v>0</v>
      </c>
      <c r="EU70">
        <f t="shared" si="21"/>
        <v>0</v>
      </c>
      <c r="EV70">
        <f t="shared" si="22"/>
        <v>0</v>
      </c>
      <c r="EW70">
        <f t="shared" si="58"/>
        <v>1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f t="shared" si="59"/>
        <v>1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f t="shared" si="60"/>
        <v>1</v>
      </c>
    </row>
    <row r="71" spans="1:189" x14ac:dyDescent="0.35">
      <c r="A71" t="s">
        <v>224</v>
      </c>
      <c r="B71">
        <f>[1]Population!$BB85</f>
        <v>24262901</v>
      </c>
      <c r="C71">
        <f>[1]RealGDP!$BB85</f>
        <v>14804825656.667994</v>
      </c>
      <c r="D71" s="8">
        <f>[1]GDPcap!$BB85</f>
        <v>610.18365679635724</v>
      </c>
      <c r="E71" s="8">
        <v>13.677687847257861</v>
      </c>
      <c r="F71">
        <v>28.038737963649051</v>
      </c>
      <c r="G71">
        <f>RANK(D71,D$4:D71:D$201)</f>
        <v>167</v>
      </c>
      <c r="H71" t="s">
        <v>224</v>
      </c>
      <c r="J71">
        <v>26.8</v>
      </c>
      <c r="K71">
        <v>28.9</v>
      </c>
      <c r="L71">
        <v>29.4</v>
      </c>
      <c r="M71">
        <v>29.1</v>
      </c>
      <c r="N71">
        <v>28.1</v>
      </c>
      <c r="O71">
        <v>26.6</v>
      </c>
      <c r="P71">
        <v>25.6</v>
      </c>
      <c r="Q71">
        <v>25.3</v>
      </c>
      <c r="R71">
        <v>25.8</v>
      </c>
      <c r="S71">
        <v>26.8</v>
      </c>
      <c r="T71">
        <v>27.2</v>
      </c>
      <c r="U71">
        <v>26.4</v>
      </c>
      <c r="V71">
        <v>28.9</v>
      </c>
      <c r="W71">
        <v>25.8</v>
      </c>
      <c r="X71">
        <v>26.6</v>
      </c>
      <c r="Y71">
        <v>26.5</v>
      </c>
      <c r="Z71">
        <v>27.2</v>
      </c>
      <c r="AB71">
        <f t="shared" si="54"/>
        <v>1</v>
      </c>
      <c r="AC71">
        <f t="shared" si="55"/>
        <v>0</v>
      </c>
      <c r="AD71">
        <f t="shared" si="56"/>
        <v>0</v>
      </c>
      <c r="AE71">
        <f t="shared" si="57"/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f t="shared" si="43"/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f t="shared" si="44"/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f t="shared" si="53"/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f t="shared" si="45"/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f t="shared" si="46"/>
        <v>1</v>
      </c>
      <c r="CX71">
        <f t="shared" si="29"/>
        <v>0</v>
      </c>
      <c r="CY71">
        <f t="shared" ref="CY71:CY139" si="61">CN71</f>
        <v>0</v>
      </c>
      <c r="CZ71">
        <f t="shared" ref="CZ71:CZ139" si="62">CO71</f>
        <v>0</v>
      </c>
      <c r="DA71">
        <f t="shared" ref="DA71:DA139" si="63">CP71</f>
        <v>0</v>
      </c>
      <c r="DB71">
        <f t="shared" ref="DB71:DB139" si="64">CQ71</f>
        <v>0</v>
      </c>
      <c r="DC71">
        <f t="shared" ref="DC71:DC139" si="65">CR71</f>
        <v>0</v>
      </c>
      <c r="DD71">
        <f t="shared" ref="DD71:DD139" si="66">CS71</f>
        <v>0</v>
      </c>
      <c r="DE71">
        <f t="shared" ref="DE71:DE139" si="67">CT71</f>
        <v>0</v>
      </c>
      <c r="DF71">
        <f t="shared" ref="DF71:DF139" si="68">CU71</f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>
        <f t="shared" si="47"/>
        <v>1</v>
      </c>
      <c r="DN71">
        <f t="shared" si="48"/>
        <v>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f t="shared" si="49"/>
        <v>1</v>
      </c>
      <c r="DW71">
        <v>0</v>
      </c>
      <c r="DX71">
        <f t="shared" si="50"/>
        <v>1</v>
      </c>
      <c r="DZ71">
        <f t="shared" si="34"/>
        <v>0</v>
      </c>
      <c r="EA71">
        <f t="shared" ref="EA71:EA139" si="69">DQ71</f>
        <v>0</v>
      </c>
      <c r="EB71">
        <f t="shared" ref="EB71:EB139" si="70">DR71</f>
        <v>0</v>
      </c>
      <c r="EC71">
        <f t="shared" ref="EC71:EC139" si="71">DS71</f>
        <v>0</v>
      </c>
      <c r="ED71">
        <f t="shared" ref="ED71:ED139" si="72">DT71</f>
        <v>0</v>
      </c>
      <c r="EE71">
        <f t="shared" ref="EE71:EE139" si="73">DU71</f>
        <v>0</v>
      </c>
      <c r="EF71">
        <f t="shared" ref="EF71:EF139" si="74">DV71</f>
        <v>1</v>
      </c>
      <c r="EG71">
        <f t="shared" ref="EG71:EG139" si="75">DW71</f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f t="shared" si="51"/>
        <v>1</v>
      </c>
      <c r="EO71">
        <f t="shared" si="52"/>
        <v>1</v>
      </c>
      <c r="EQ71">
        <f t="shared" si="37"/>
        <v>0</v>
      </c>
      <c r="ER71">
        <f t="shared" ref="ER71:ER139" si="76">EJ71</f>
        <v>0</v>
      </c>
      <c r="ES71">
        <f t="shared" ref="ES71:ES139" si="77">EK71</f>
        <v>0</v>
      </c>
      <c r="ET71">
        <f t="shared" ref="ET71:ET139" si="78">EL71</f>
        <v>0</v>
      </c>
      <c r="EU71">
        <f t="shared" ref="EU71:EU139" si="79">EM71</f>
        <v>0</v>
      </c>
      <c r="EV71">
        <f t="shared" ref="EV71:EV139" si="80">EN71</f>
        <v>1</v>
      </c>
      <c r="EW71">
        <f t="shared" si="58"/>
        <v>1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</v>
      </c>
      <c r="FX71">
        <f t="shared" si="59"/>
        <v>1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f t="shared" si="60"/>
        <v>1</v>
      </c>
    </row>
    <row r="72" spans="1:189" x14ac:dyDescent="0.35">
      <c r="A72" t="s">
        <v>145</v>
      </c>
      <c r="B72">
        <f>[1]Population!$BB87</f>
        <v>11307502</v>
      </c>
      <c r="C72">
        <f>[1]RealGDP!$BB87</f>
        <v>240951131470.42734</v>
      </c>
      <c r="D72" s="8">
        <f>[1]GDPcap!$BB87</f>
        <v>21308.962091753539</v>
      </c>
      <c r="E72" s="8">
        <v>20.2140014436009</v>
      </c>
      <c r="F72">
        <v>2.8840308199380496</v>
      </c>
      <c r="G72">
        <f>RANK(D72,D$4:D72:D$201)</f>
        <v>39</v>
      </c>
      <c r="H72" t="s">
        <v>145</v>
      </c>
      <c r="J72">
        <v>6.8</v>
      </c>
      <c r="K72">
        <v>7.7</v>
      </c>
      <c r="L72">
        <v>9.8000000000000007</v>
      </c>
      <c r="M72">
        <v>13.4</v>
      </c>
      <c r="N72">
        <v>17.8</v>
      </c>
      <c r="O72">
        <v>21.9</v>
      </c>
      <c r="P72">
        <v>24.4</v>
      </c>
      <c r="Q72">
        <v>24.2</v>
      </c>
      <c r="R72">
        <v>21.2</v>
      </c>
      <c r="S72">
        <v>16.399999999999999</v>
      </c>
      <c r="T72">
        <v>12.2</v>
      </c>
      <c r="U72">
        <v>8.5</v>
      </c>
      <c r="V72">
        <v>13.7</v>
      </c>
      <c r="W72">
        <v>23.5</v>
      </c>
      <c r="X72">
        <v>16.600000000000001</v>
      </c>
      <c r="Y72">
        <v>7.5</v>
      </c>
      <c r="Z72">
        <v>15.4</v>
      </c>
      <c r="AB72">
        <f t="shared" si="54"/>
        <v>0</v>
      </c>
      <c r="AC72">
        <f t="shared" si="55"/>
        <v>0</v>
      </c>
      <c r="AD72">
        <f t="shared" si="56"/>
        <v>0</v>
      </c>
      <c r="AE72">
        <f t="shared" si="57"/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f t="shared" si="43"/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f t="shared" si="44"/>
        <v>1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f t="shared" si="53"/>
        <v>1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f t="shared" si="45"/>
        <v>1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f t="shared" si="46"/>
        <v>1</v>
      </c>
      <c r="CX72">
        <f t="shared" ref="CX72:CX140" si="81">CM72</f>
        <v>0</v>
      </c>
      <c r="CY72">
        <f t="shared" si="61"/>
        <v>1</v>
      </c>
      <c r="CZ72">
        <f t="shared" si="62"/>
        <v>0</v>
      </c>
      <c r="DA72">
        <f t="shared" si="63"/>
        <v>0</v>
      </c>
      <c r="DB72">
        <f t="shared" si="64"/>
        <v>0</v>
      </c>
      <c r="DC72">
        <f t="shared" si="65"/>
        <v>0</v>
      </c>
      <c r="DD72">
        <f t="shared" si="66"/>
        <v>0</v>
      </c>
      <c r="DE72">
        <f t="shared" si="67"/>
        <v>0</v>
      </c>
      <c r="DF72">
        <f t="shared" si="68"/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f t="shared" si="47"/>
        <v>0</v>
      </c>
      <c r="DN72">
        <f t="shared" si="48"/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f t="shared" si="49"/>
        <v>0</v>
      </c>
      <c r="DW72">
        <v>0</v>
      </c>
      <c r="DX72">
        <f t="shared" si="50"/>
        <v>1</v>
      </c>
      <c r="DZ72">
        <f t="shared" ref="DZ72:DZ140" si="82">DP72</f>
        <v>1</v>
      </c>
      <c r="EA72">
        <f t="shared" si="69"/>
        <v>0</v>
      </c>
      <c r="EB72">
        <f t="shared" si="70"/>
        <v>0</v>
      </c>
      <c r="EC72">
        <f t="shared" si="71"/>
        <v>0</v>
      </c>
      <c r="ED72">
        <f t="shared" si="72"/>
        <v>0</v>
      </c>
      <c r="EE72">
        <f t="shared" si="73"/>
        <v>0</v>
      </c>
      <c r="EF72">
        <f t="shared" si="74"/>
        <v>0</v>
      </c>
      <c r="EG72">
        <f t="shared" si="75"/>
        <v>0</v>
      </c>
      <c r="EI72">
        <v>1</v>
      </c>
      <c r="EJ72">
        <v>0</v>
      </c>
      <c r="EK72">
        <v>0</v>
      </c>
      <c r="EL72">
        <v>0</v>
      </c>
      <c r="EM72">
        <v>0</v>
      </c>
      <c r="EN72">
        <f t="shared" si="51"/>
        <v>0</v>
      </c>
      <c r="EO72">
        <f t="shared" si="52"/>
        <v>1</v>
      </c>
      <c r="EQ72">
        <f t="shared" ref="EQ72:EQ140" si="83">EI72</f>
        <v>1</v>
      </c>
      <c r="ER72">
        <f t="shared" si="76"/>
        <v>0</v>
      </c>
      <c r="ES72">
        <f t="shared" si="77"/>
        <v>0</v>
      </c>
      <c r="ET72">
        <f t="shared" si="78"/>
        <v>0</v>
      </c>
      <c r="EU72">
        <f t="shared" si="79"/>
        <v>0</v>
      </c>
      <c r="EV72">
        <f t="shared" si="80"/>
        <v>0</v>
      </c>
      <c r="EW72">
        <f t="shared" si="58"/>
        <v>1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f t="shared" si="59"/>
        <v>1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0</v>
      </c>
      <c r="GG72">
        <f t="shared" si="60"/>
        <v>1</v>
      </c>
    </row>
    <row r="73" spans="1:189" x14ac:dyDescent="0.35">
      <c r="A73" t="s">
        <v>603</v>
      </c>
      <c r="B73">
        <f>[1]Population!$BB88</f>
        <v>56905</v>
      </c>
      <c r="C73">
        <f>B73*D73</f>
        <v>1809399165.3952253</v>
      </c>
      <c r="D73" s="8">
        <f>[2]YpC3!$AZ$71</f>
        <v>31796.8397398335</v>
      </c>
      <c r="E73" s="8"/>
      <c r="G73">
        <f>RANK(D73,D$4:D73:D$201)</f>
        <v>29</v>
      </c>
      <c r="Z73">
        <v>-1.4</v>
      </c>
      <c r="AB73">
        <f t="shared" si="54"/>
        <v>0</v>
      </c>
      <c r="AC73">
        <f t="shared" si="55"/>
        <v>0</v>
      </c>
      <c r="AD73">
        <f t="shared" si="56"/>
        <v>0</v>
      </c>
      <c r="AE73">
        <f t="shared" si="57"/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f t="shared" si="43"/>
        <v>1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f>SUM(AW73:BK73)</f>
        <v>1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f t="shared" si="53"/>
        <v>1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f>SUM(BX73:CJ73)</f>
        <v>1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f>SUM(CM73:CU73)</f>
        <v>1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0</v>
      </c>
      <c r="DN73">
        <f>SUM(DH73:DM73)</f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f>SUM(DP73:DW73)</f>
        <v>1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f>SUM(EI73:EN73)</f>
        <v>1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f t="shared" si="58"/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1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f t="shared" si="59"/>
        <v>1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f t="shared" si="60"/>
        <v>1</v>
      </c>
    </row>
    <row r="74" spans="1:189" x14ac:dyDescent="0.35">
      <c r="A74" t="s">
        <v>146</v>
      </c>
      <c r="B74">
        <f>[1]Population!$BB89</f>
        <v>104677</v>
      </c>
      <c r="C74">
        <f>[1]RealGDP!$BB89</f>
        <v>664521216.22512019</v>
      </c>
      <c r="D74" s="8">
        <f>[1]GDPcap!$BB89</f>
        <v>6348.3020742390418</v>
      </c>
      <c r="E74" s="8">
        <v>18.729166939875235</v>
      </c>
      <c r="F74">
        <v>4.5131749938957393</v>
      </c>
      <c r="G74">
        <f>RANK(D74,D$4:D74:D$201)</f>
        <v>74</v>
      </c>
      <c r="H74" t="s">
        <v>146</v>
      </c>
      <c r="J74">
        <v>25.2</v>
      </c>
      <c r="K74">
        <v>25.2</v>
      </c>
      <c r="L74">
        <v>25.9</v>
      </c>
      <c r="M74">
        <v>26.6</v>
      </c>
      <c r="N74">
        <v>27.5</v>
      </c>
      <c r="O74">
        <v>27.4</v>
      </c>
      <c r="P74">
        <v>27.2</v>
      </c>
      <c r="Q74">
        <v>27.4</v>
      </c>
      <c r="R74">
        <v>27.4</v>
      </c>
      <c r="S74">
        <v>27.1</v>
      </c>
      <c r="T74">
        <v>26.6</v>
      </c>
      <c r="U74">
        <v>25.8</v>
      </c>
      <c r="V74">
        <v>26.7</v>
      </c>
      <c r="W74">
        <v>27.3</v>
      </c>
      <c r="X74">
        <v>27</v>
      </c>
      <c r="Y74">
        <v>24.5</v>
      </c>
      <c r="Z74">
        <v>26.6</v>
      </c>
      <c r="AB74">
        <f t="shared" si="54"/>
        <v>0</v>
      </c>
      <c r="AC74">
        <f t="shared" si="55"/>
        <v>0</v>
      </c>
      <c r="AD74">
        <f t="shared" si="56"/>
        <v>1</v>
      </c>
      <c r="AE74">
        <f t="shared" si="57"/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f t="shared" si="43"/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f t="shared" si="44"/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f t="shared" si="53"/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f t="shared" si="45"/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f t="shared" si="46"/>
        <v>1</v>
      </c>
      <c r="CX74">
        <f t="shared" si="81"/>
        <v>0</v>
      </c>
      <c r="CY74">
        <f t="shared" si="61"/>
        <v>0</v>
      </c>
      <c r="CZ74">
        <f t="shared" si="62"/>
        <v>0</v>
      </c>
      <c r="DA74">
        <f t="shared" si="63"/>
        <v>0</v>
      </c>
      <c r="DB74">
        <f t="shared" si="64"/>
        <v>0</v>
      </c>
      <c r="DC74">
        <f t="shared" si="65"/>
        <v>1</v>
      </c>
      <c r="DD74">
        <f t="shared" si="66"/>
        <v>0</v>
      </c>
      <c r="DE74">
        <f t="shared" si="67"/>
        <v>0</v>
      </c>
      <c r="DF74">
        <f t="shared" si="68"/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f t="shared" si="47"/>
        <v>1</v>
      </c>
      <c r="DN74">
        <f t="shared" si="48"/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f t="shared" si="49"/>
        <v>0</v>
      </c>
      <c r="DW74">
        <v>1</v>
      </c>
      <c r="DX74">
        <f t="shared" si="50"/>
        <v>1</v>
      </c>
      <c r="DZ74">
        <f t="shared" si="82"/>
        <v>0</v>
      </c>
      <c r="EA74">
        <f t="shared" si="69"/>
        <v>0</v>
      </c>
      <c r="EB74">
        <f t="shared" si="70"/>
        <v>0</v>
      </c>
      <c r="EC74">
        <f t="shared" si="71"/>
        <v>0</v>
      </c>
      <c r="ED74">
        <f t="shared" si="72"/>
        <v>0</v>
      </c>
      <c r="EE74">
        <f t="shared" si="73"/>
        <v>0</v>
      </c>
      <c r="EF74">
        <f t="shared" si="74"/>
        <v>0</v>
      </c>
      <c r="EG74">
        <f t="shared" si="75"/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f t="shared" si="51"/>
        <v>1</v>
      </c>
      <c r="EO74">
        <f t="shared" si="52"/>
        <v>1</v>
      </c>
      <c r="EQ74">
        <f t="shared" si="83"/>
        <v>0</v>
      </c>
      <c r="ER74">
        <f t="shared" si="76"/>
        <v>0</v>
      </c>
      <c r="ES74">
        <f t="shared" si="77"/>
        <v>0</v>
      </c>
      <c r="ET74">
        <f t="shared" si="78"/>
        <v>0</v>
      </c>
      <c r="EU74">
        <f t="shared" si="79"/>
        <v>0</v>
      </c>
      <c r="EV74">
        <f t="shared" si="80"/>
        <v>1</v>
      </c>
      <c r="EW74">
        <f t="shared" si="58"/>
        <v>1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1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f t="shared" si="59"/>
        <v>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1</v>
      </c>
      <c r="GG74">
        <f t="shared" si="60"/>
        <v>1</v>
      </c>
    </row>
    <row r="75" spans="1:189" x14ac:dyDescent="0.35">
      <c r="A75" t="s">
        <v>147</v>
      </c>
      <c r="B75">
        <f>[1]Population!$BB92</f>
        <v>14341576</v>
      </c>
      <c r="C75">
        <f>[1]RealGDP!$BB92</f>
        <v>32556756308.965832</v>
      </c>
      <c r="D75" s="8">
        <f>[1]GDPcap!$BB92</f>
        <v>2270.0961392922113</v>
      </c>
      <c r="E75" s="8">
        <v>10.435279662809897</v>
      </c>
      <c r="F75">
        <v>11.054236942124446</v>
      </c>
      <c r="G75">
        <f>RANK(D75,D$4:D75:D$201)</f>
        <v>125</v>
      </c>
      <c r="H75" t="s">
        <v>147</v>
      </c>
      <c r="J75">
        <v>21.1</v>
      </c>
      <c r="K75">
        <v>21.9</v>
      </c>
      <c r="L75">
        <v>23.3</v>
      </c>
      <c r="M75">
        <v>24.7</v>
      </c>
      <c r="N75">
        <v>25.2</v>
      </c>
      <c r="O75">
        <v>24.8</v>
      </c>
      <c r="P75">
        <v>24.3</v>
      </c>
      <c r="Q75">
        <v>24.4</v>
      </c>
      <c r="R75">
        <v>24.1</v>
      </c>
      <c r="S75">
        <v>23.4</v>
      </c>
      <c r="T75">
        <v>22.3</v>
      </c>
      <c r="U75">
        <v>21.5</v>
      </c>
      <c r="V75">
        <v>24.4</v>
      </c>
      <c r="W75">
        <v>24.5</v>
      </c>
      <c r="X75">
        <v>23.2</v>
      </c>
      <c r="Y75">
        <v>20.8</v>
      </c>
      <c r="Z75">
        <v>23.4</v>
      </c>
      <c r="AB75">
        <f t="shared" si="54"/>
        <v>0</v>
      </c>
      <c r="AC75">
        <f t="shared" si="55"/>
        <v>1</v>
      </c>
      <c r="AD75">
        <f t="shared" si="56"/>
        <v>0</v>
      </c>
      <c r="AE75">
        <f t="shared" si="57"/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f t="shared" si="43"/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f t="shared" si="44"/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f t="shared" si="53"/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f t="shared" si="45"/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f t="shared" si="46"/>
        <v>1</v>
      </c>
      <c r="CX75">
        <f t="shared" si="81"/>
        <v>0</v>
      </c>
      <c r="CY75">
        <f t="shared" si="61"/>
        <v>0</v>
      </c>
      <c r="CZ75">
        <f t="shared" si="62"/>
        <v>0</v>
      </c>
      <c r="DA75">
        <f t="shared" si="63"/>
        <v>0</v>
      </c>
      <c r="DB75">
        <f t="shared" si="64"/>
        <v>0</v>
      </c>
      <c r="DC75">
        <f t="shared" si="65"/>
        <v>1</v>
      </c>
      <c r="DD75">
        <f t="shared" si="66"/>
        <v>0</v>
      </c>
      <c r="DE75">
        <f t="shared" si="67"/>
        <v>0</v>
      </c>
      <c r="DF75">
        <f t="shared" si="68"/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f t="shared" si="47"/>
        <v>1</v>
      </c>
      <c r="DN75">
        <f t="shared" si="48"/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f t="shared" si="49"/>
        <v>0</v>
      </c>
      <c r="DW75">
        <v>1</v>
      </c>
      <c r="DX75">
        <f t="shared" si="50"/>
        <v>1</v>
      </c>
      <c r="DZ75">
        <f t="shared" si="82"/>
        <v>0</v>
      </c>
      <c r="EA75">
        <f t="shared" si="69"/>
        <v>0</v>
      </c>
      <c r="EB75">
        <f t="shared" si="70"/>
        <v>0</v>
      </c>
      <c r="EC75">
        <f t="shared" si="71"/>
        <v>0</v>
      </c>
      <c r="ED75">
        <f t="shared" si="72"/>
        <v>0</v>
      </c>
      <c r="EE75">
        <f t="shared" si="73"/>
        <v>0</v>
      </c>
      <c r="EF75">
        <f t="shared" si="74"/>
        <v>0</v>
      </c>
      <c r="EG75">
        <f t="shared" si="75"/>
        <v>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f t="shared" si="51"/>
        <v>1</v>
      </c>
      <c r="EO75">
        <f t="shared" si="52"/>
        <v>1</v>
      </c>
      <c r="EQ75">
        <f t="shared" si="83"/>
        <v>0</v>
      </c>
      <c r="ER75">
        <f t="shared" si="76"/>
        <v>0</v>
      </c>
      <c r="ES75">
        <f t="shared" si="77"/>
        <v>0</v>
      </c>
      <c r="ET75">
        <f t="shared" si="78"/>
        <v>0</v>
      </c>
      <c r="EU75">
        <f t="shared" si="79"/>
        <v>0</v>
      </c>
      <c r="EV75">
        <f t="shared" si="80"/>
        <v>1</v>
      </c>
      <c r="EW75">
        <f t="shared" si="58"/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f t="shared" si="59"/>
        <v>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f t="shared" si="60"/>
        <v>1</v>
      </c>
    </row>
    <row r="76" spans="1:189" x14ac:dyDescent="0.35">
      <c r="A76" t="s">
        <v>373</v>
      </c>
      <c r="B76">
        <f>[1]Population!$BB94</f>
        <v>10876033</v>
      </c>
      <c r="C76">
        <f>[1]RealGDP!$BB94</f>
        <v>3267609254.7415366</v>
      </c>
      <c r="D76" s="8">
        <f>[1]GDPcap!$BB94</f>
        <v>300.44127805988973</v>
      </c>
      <c r="E76" s="8"/>
      <c r="F76">
        <v>17.484948734047407</v>
      </c>
      <c r="G76">
        <f>RANK(D76,D$4:D76:D$201)</f>
        <v>190</v>
      </c>
      <c r="H76" t="s">
        <v>373</v>
      </c>
      <c r="J76">
        <v>24.3</v>
      </c>
      <c r="K76">
        <v>26.3</v>
      </c>
      <c r="L76">
        <v>27.8</v>
      </c>
      <c r="M76">
        <v>28.5</v>
      </c>
      <c r="N76">
        <v>27.8</v>
      </c>
      <c r="O76">
        <v>25.8</v>
      </c>
      <c r="P76">
        <v>24.6</v>
      </c>
      <c r="Q76">
        <v>24.3</v>
      </c>
      <c r="R76">
        <v>24.7</v>
      </c>
      <c r="S76">
        <v>25.3</v>
      </c>
      <c r="T76">
        <v>25.2</v>
      </c>
      <c r="U76">
        <v>23.7</v>
      </c>
      <c r="V76">
        <v>28</v>
      </c>
      <c r="W76">
        <v>24.9</v>
      </c>
      <c r="X76">
        <v>25.1</v>
      </c>
      <c r="Y76">
        <v>24</v>
      </c>
      <c r="Z76">
        <v>25.7</v>
      </c>
      <c r="AB76">
        <f t="shared" si="54"/>
        <v>1</v>
      </c>
      <c r="AC76">
        <f t="shared" si="55"/>
        <v>0</v>
      </c>
      <c r="AD76">
        <f t="shared" si="56"/>
        <v>0</v>
      </c>
      <c r="AE76">
        <f t="shared" si="57"/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f t="shared" si="43"/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f t="shared" si="44"/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f t="shared" si="53"/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f t="shared" si="45"/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f t="shared" si="46"/>
        <v>1</v>
      </c>
      <c r="CX76">
        <f t="shared" si="81"/>
        <v>0</v>
      </c>
      <c r="CY76">
        <f t="shared" si="61"/>
        <v>0</v>
      </c>
      <c r="CZ76">
        <f t="shared" si="62"/>
        <v>0</v>
      </c>
      <c r="DA76">
        <f t="shared" si="63"/>
        <v>0</v>
      </c>
      <c r="DB76">
        <f t="shared" si="64"/>
        <v>0</v>
      </c>
      <c r="DC76">
        <f t="shared" si="65"/>
        <v>0</v>
      </c>
      <c r="DD76">
        <f t="shared" si="66"/>
        <v>0</v>
      </c>
      <c r="DE76">
        <f t="shared" si="67"/>
        <v>0</v>
      </c>
      <c r="DF76">
        <f t="shared" si="68"/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f t="shared" si="47"/>
        <v>1</v>
      </c>
      <c r="DN76">
        <f t="shared" si="48"/>
        <v>1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f t="shared" si="49"/>
        <v>1</v>
      </c>
      <c r="DW76">
        <v>0</v>
      </c>
      <c r="DX76">
        <f t="shared" si="50"/>
        <v>1</v>
      </c>
      <c r="DZ76">
        <f t="shared" si="82"/>
        <v>0</v>
      </c>
      <c r="EA76">
        <f t="shared" si="69"/>
        <v>0</v>
      </c>
      <c r="EB76">
        <f t="shared" si="70"/>
        <v>0</v>
      </c>
      <c r="EC76">
        <f t="shared" si="71"/>
        <v>0</v>
      </c>
      <c r="ED76">
        <f t="shared" si="72"/>
        <v>0</v>
      </c>
      <c r="EE76">
        <f t="shared" si="73"/>
        <v>0</v>
      </c>
      <c r="EF76">
        <f t="shared" si="74"/>
        <v>1</v>
      </c>
      <c r="EG76">
        <f t="shared" si="75"/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f t="shared" si="51"/>
        <v>1</v>
      </c>
      <c r="EO76">
        <f t="shared" si="52"/>
        <v>1</v>
      </c>
      <c r="EQ76">
        <f t="shared" si="83"/>
        <v>0</v>
      </c>
      <c r="ER76">
        <f t="shared" si="76"/>
        <v>0</v>
      </c>
      <c r="ES76">
        <f t="shared" si="77"/>
        <v>0</v>
      </c>
      <c r="ET76">
        <f t="shared" si="78"/>
        <v>0</v>
      </c>
      <c r="EU76">
        <f t="shared" si="79"/>
        <v>0</v>
      </c>
      <c r="EV76">
        <f t="shared" si="80"/>
        <v>1</v>
      </c>
      <c r="EW76">
        <f t="shared" si="58"/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f t="shared" si="59"/>
        <v>1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f t="shared" si="60"/>
        <v>1</v>
      </c>
    </row>
    <row r="77" spans="1:189" x14ac:dyDescent="0.35">
      <c r="A77" t="s">
        <v>374</v>
      </c>
      <c r="B77">
        <f>[1]Population!$BB95</f>
        <v>1586624</v>
      </c>
      <c r="C77">
        <f>[1]RealGDP!$BB95</f>
        <v>654977405.69626474</v>
      </c>
      <c r="D77" s="8">
        <f>[1]GDPcap!$BB95</f>
        <v>412.81198676955898</v>
      </c>
      <c r="E77" s="8"/>
      <c r="F77">
        <v>45.088046799757443</v>
      </c>
      <c r="G77">
        <f>RANK(D77,D$4:D77:D$201)</f>
        <v>181</v>
      </c>
      <c r="H77" t="s">
        <v>374</v>
      </c>
      <c r="J77">
        <v>24.3</v>
      </c>
      <c r="K77">
        <v>26.2</v>
      </c>
      <c r="L77">
        <v>27.9</v>
      </c>
      <c r="M77">
        <v>28.9</v>
      </c>
      <c r="N77">
        <v>29.1</v>
      </c>
      <c r="O77">
        <v>27.8</v>
      </c>
      <c r="P77">
        <v>26.4</v>
      </c>
      <c r="Q77">
        <v>25.9</v>
      </c>
      <c r="R77">
        <v>26.3</v>
      </c>
      <c r="S77">
        <v>27</v>
      </c>
      <c r="T77">
        <v>26.5</v>
      </c>
      <c r="U77">
        <v>24.2</v>
      </c>
      <c r="V77">
        <v>28.7</v>
      </c>
      <c r="W77">
        <v>26.7</v>
      </c>
      <c r="X77">
        <v>26.6</v>
      </c>
      <c r="Y77">
        <v>24.1</v>
      </c>
      <c r="Z77">
        <v>26.7</v>
      </c>
      <c r="AB77">
        <f t="shared" si="54"/>
        <v>1</v>
      </c>
      <c r="AC77">
        <f t="shared" si="55"/>
        <v>0</v>
      </c>
      <c r="AD77">
        <f t="shared" si="56"/>
        <v>0</v>
      </c>
      <c r="AE77">
        <f t="shared" si="57"/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f t="shared" si="43"/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f t="shared" si="44"/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f t="shared" si="53"/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f t="shared" si="45"/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f t="shared" si="46"/>
        <v>1</v>
      </c>
      <c r="CX77">
        <f t="shared" si="81"/>
        <v>0</v>
      </c>
      <c r="CY77">
        <f t="shared" si="61"/>
        <v>0</v>
      </c>
      <c r="CZ77">
        <f t="shared" si="62"/>
        <v>0</v>
      </c>
      <c r="DA77">
        <f t="shared" si="63"/>
        <v>0</v>
      </c>
      <c r="DB77">
        <f t="shared" si="64"/>
        <v>0</v>
      </c>
      <c r="DC77">
        <f t="shared" si="65"/>
        <v>0</v>
      </c>
      <c r="DD77">
        <f t="shared" si="66"/>
        <v>0</v>
      </c>
      <c r="DE77">
        <f t="shared" si="67"/>
        <v>0</v>
      </c>
      <c r="DF77">
        <f t="shared" si="68"/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f t="shared" si="47"/>
        <v>1</v>
      </c>
      <c r="DN77">
        <f t="shared" si="48"/>
        <v>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f t="shared" si="49"/>
        <v>1</v>
      </c>
      <c r="DW77">
        <v>0</v>
      </c>
      <c r="DX77">
        <f t="shared" si="50"/>
        <v>1</v>
      </c>
      <c r="DZ77">
        <f t="shared" si="82"/>
        <v>0</v>
      </c>
      <c r="EA77">
        <f t="shared" si="69"/>
        <v>0</v>
      </c>
      <c r="EB77">
        <f t="shared" si="70"/>
        <v>0</v>
      </c>
      <c r="EC77">
        <f t="shared" si="71"/>
        <v>0</v>
      </c>
      <c r="ED77">
        <f t="shared" si="72"/>
        <v>0</v>
      </c>
      <c r="EE77">
        <f t="shared" si="73"/>
        <v>0</v>
      </c>
      <c r="EF77">
        <f t="shared" si="74"/>
        <v>1</v>
      </c>
      <c r="EG77">
        <f t="shared" si="75"/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f t="shared" si="51"/>
        <v>1</v>
      </c>
      <c r="EO77">
        <f t="shared" si="52"/>
        <v>1</v>
      </c>
      <c r="EQ77">
        <f t="shared" si="83"/>
        <v>0</v>
      </c>
      <c r="ER77">
        <f t="shared" si="76"/>
        <v>0</v>
      </c>
      <c r="ES77">
        <f t="shared" si="77"/>
        <v>0</v>
      </c>
      <c r="ET77">
        <f t="shared" si="78"/>
        <v>0</v>
      </c>
      <c r="EU77">
        <f t="shared" si="79"/>
        <v>0</v>
      </c>
      <c r="EV77">
        <f t="shared" si="80"/>
        <v>1</v>
      </c>
      <c r="EW77">
        <f t="shared" si="58"/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</v>
      </c>
      <c r="FX77">
        <f t="shared" si="59"/>
        <v>1</v>
      </c>
      <c r="FZ77">
        <v>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f t="shared" si="60"/>
        <v>1</v>
      </c>
    </row>
    <row r="78" spans="1:189" x14ac:dyDescent="0.35">
      <c r="A78" t="s">
        <v>375</v>
      </c>
      <c r="B78">
        <f>[1]Population!$BB96</f>
        <v>786126</v>
      </c>
      <c r="C78">
        <f>[1]RealGDP!$BB96</f>
        <v>918902044.7624557</v>
      </c>
      <c r="D78" s="8">
        <f>[1]GDPcap!$BB96</f>
        <v>1168.8991901583915</v>
      </c>
      <c r="E78" s="8"/>
      <c r="F78">
        <v>16.388282819554554</v>
      </c>
      <c r="G78">
        <f>RANK(D78,D$4:D78:D$201)</f>
        <v>144</v>
      </c>
      <c r="H78" t="s">
        <v>375</v>
      </c>
      <c r="J78">
        <v>25.3</v>
      </c>
      <c r="K78">
        <v>25.4</v>
      </c>
      <c r="L78">
        <v>25.8</v>
      </c>
      <c r="M78">
        <v>26</v>
      </c>
      <c r="N78">
        <v>25.9</v>
      </c>
      <c r="O78">
        <v>25.6</v>
      </c>
      <c r="P78">
        <v>25.6</v>
      </c>
      <c r="Q78">
        <v>26</v>
      </c>
      <c r="R78">
        <v>26.5</v>
      </c>
      <c r="S78">
        <v>26.8</v>
      </c>
      <c r="T78">
        <v>26.5</v>
      </c>
      <c r="U78">
        <v>25.8</v>
      </c>
      <c r="V78">
        <v>25.9</v>
      </c>
      <c r="W78">
        <v>25.7</v>
      </c>
      <c r="X78">
        <v>26.6</v>
      </c>
      <c r="Y78">
        <v>24.7</v>
      </c>
      <c r="Z78">
        <v>25.9</v>
      </c>
      <c r="AB78">
        <f t="shared" si="54"/>
        <v>0</v>
      </c>
      <c r="AC78">
        <f t="shared" si="55"/>
        <v>1</v>
      </c>
      <c r="AD78">
        <f t="shared" si="56"/>
        <v>0</v>
      </c>
      <c r="AE78">
        <f t="shared" si="57"/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f t="shared" si="43"/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f t="shared" si="44"/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f t="shared" si="53"/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f t="shared" si="45"/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f t="shared" si="46"/>
        <v>1</v>
      </c>
      <c r="CX78">
        <f t="shared" si="81"/>
        <v>0</v>
      </c>
      <c r="CY78">
        <f t="shared" si="61"/>
        <v>0</v>
      </c>
      <c r="CZ78">
        <f t="shared" si="62"/>
        <v>0</v>
      </c>
      <c r="DA78">
        <f t="shared" si="63"/>
        <v>0</v>
      </c>
      <c r="DB78">
        <f t="shared" si="64"/>
        <v>0</v>
      </c>
      <c r="DC78">
        <f t="shared" si="65"/>
        <v>1</v>
      </c>
      <c r="DD78">
        <f t="shared" si="66"/>
        <v>0</v>
      </c>
      <c r="DE78">
        <f t="shared" si="67"/>
        <v>0</v>
      </c>
      <c r="DF78">
        <f t="shared" si="68"/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f t="shared" si="47"/>
        <v>1</v>
      </c>
      <c r="DN78">
        <f t="shared" si="48"/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f t="shared" si="49"/>
        <v>0</v>
      </c>
      <c r="DW78">
        <v>1</v>
      </c>
      <c r="DX78">
        <f t="shared" si="50"/>
        <v>1</v>
      </c>
      <c r="DZ78">
        <f t="shared" si="82"/>
        <v>0</v>
      </c>
      <c r="EA78">
        <f t="shared" si="69"/>
        <v>0</v>
      </c>
      <c r="EB78">
        <f t="shared" si="70"/>
        <v>0</v>
      </c>
      <c r="EC78">
        <f t="shared" si="71"/>
        <v>0</v>
      </c>
      <c r="ED78">
        <f t="shared" si="72"/>
        <v>0</v>
      </c>
      <c r="EE78">
        <f t="shared" si="73"/>
        <v>0</v>
      </c>
      <c r="EF78">
        <f t="shared" si="74"/>
        <v>0</v>
      </c>
      <c r="EG78">
        <f t="shared" si="75"/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f t="shared" si="51"/>
        <v>1</v>
      </c>
      <c r="EO78">
        <f t="shared" si="52"/>
        <v>1</v>
      </c>
      <c r="EQ78">
        <f t="shared" si="83"/>
        <v>0</v>
      </c>
      <c r="ER78">
        <f t="shared" si="76"/>
        <v>0</v>
      </c>
      <c r="ES78">
        <f t="shared" si="77"/>
        <v>0</v>
      </c>
      <c r="ET78">
        <f t="shared" si="78"/>
        <v>0</v>
      </c>
      <c r="EU78">
        <f t="shared" si="79"/>
        <v>0</v>
      </c>
      <c r="EV78">
        <f t="shared" si="80"/>
        <v>1</v>
      </c>
      <c r="EW78">
        <f t="shared" si="58"/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f t="shared" si="59"/>
        <v>1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f t="shared" si="60"/>
        <v>1</v>
      </c>
    </row>
    <row r="79" spans="1:189" x14ac:dyDescent="0.35">
      <c r="A79" t="s">
        <v>376</v>
      </c>
      <c r="B79">
        <f>[1]Population!$BB97</f>
        <v>9896400</v>
      </c>
      <c r="C79">
        <f>[1]RealGDP!$BB97</f>
        <v>4312557777.9740305</v>
      </c>
      <c r="D79" s="8">
        <f>[1]GDPcap!$BB97</f>
        <v>435.77035871367673</v>
      </c>
      <c r="E79" s="8"/>
      <c r="F79">
        <v>25.685602093260211</v>
      </c>
      <c r="G79">
        <f>RANK(D79,D$4:D79:D$201)</f>
        <v>178</v>
      </c>
      <c r="H79" t="s">
        <v>376</v>
      </c>
      <c r="J79">
        <v>22.8</v>
      </c>
      <c r="K79">
        <v>23.1</v>
      </c>
      <c r="L79">
        <v>23.8</v>
      </c>
      <c r="M79">
        <v>24.5</v>
      </c>
      <c r="N79">
        <v>25.3</v>
      </c>
      <c r="O79">
        <v>26.1</v>
      </c>
      <c r="P79">
        <v>26.3</v>
      </c>
      <c r="Q79">
        <v>26.5</v>
      </c>
      <c r="R79">
        <v>26.3</v>
      </c>
      <c r="S79">
        <v>25.7</v>
      </c>
      <c r="T79">
        <v>24.6</v>
      </c>
      <c r="U79">
        <v>23.3</v>
      </c>
      <c r="V79">
        <v>24.6</v>
      </c>
      <c r="W79">
        <v>26.3</v>
      </c>
      <c r="X79">
        <v>25.5</v>
      </c>
      <c r="Y79">
        <v>22.3</v>
      </c>
      <c r="Z79">
        <v>24.8</v>
      </c>
      <c r="AB79">
        <f t="shared" si="54"/>
        <v>1</v>
      </c>
      <c r="AC79">
        <f t="shared" si="55"/>
        <v>0</v>
      </c>
      <c r="AD79">
        <f t="shared" si="56"/>
        <v>0</v>
      </c>
      <c r="AE79">
        <f t="shared" si="57"/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f t="shared" si="43"/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f t="shared" si="44"/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f t="shared" si="53"/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f t="shared" si="45"/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f t="shared" si="46"/>
        <v>1</v>
      </c>
      <c r="CX79">
        <f t="shared" si="81"/>
        <v>0</v>
      </c>
      <c r="CY79">
        <f t="shared" si="61"/>
        <v>0</v>
      </c>
      <c r="CZ79">
        <f t="shared" si="62"/>
        <v>0</v>
      </c>
      <c r="DA79">
        <f t="shared" si="63"/>
        <v>0</v>
      </c>
      <c r="DB79">
        <f t="shared" si="64"/>
        <v>0</v>
      </c>
      <c r="DC79">
        <f t="shared" si="65"/>
        <v>1</v>
      </c>
      <c r="DD79">
        <f t="shared" si="66"/>
        <v>0</v>
      </c>
      <c r="DE79">
        <f t="shared" si="67"/>
        <v>0</v>
      </c>
      <c r="DF79">
        <f t="shared" si="68"/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f t="shared" si="47"/>
        <v>1</v>
      </c>
      <c r="DN79">
        <f t="shared" si="48"/>
        <v>1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f t="shared" si="49"/>
        <v>0</v>
      </c>
      <c r="DW79">
        <v>1</v>
      </c>
      <c r="DX79">
        <f t="shared" si="50"/>
        <v>1</v>
      </c>
      <c r="DZ79">
        <f t="shared" si="82"/>
        <v>0</v>
      </c>
      <c r="EA79">
        <f t="shared" si="69"/>
        <v>0</v>
      </c>
      <c r="EB79">
        <f t="shared" si="70"/>
        <v>0</v>
      </c>
      <c r="EC79">
        <f t="shared" si="71"/>
        <v>0</v>
      </c>
      <c r="ED79">
        <f t="shared" si="72"/>
        <v>0</v>
      </c>
      <c r="EE79">
        <f t="shared" si="73"/>
        <v>0</v>
      </c>
      <c r="EF79">
        <f t="shared" si="74"/>
        <v>0</v>
      </c>
      <c r="EG79">
        <f t="shared" si="75"/>
        <v>1</v>
      </c>
      <c r="EI79">
        <v>0</v>
      </c>
      <c r="EJ79">
        <v>0</v>
      </c>
      <c r="EK79">
        <v>0</v>
      </c>
      <c r="EL79">
        <v>0</v>
      </c>
      <c r="EM79">
        <v>0</v>
      </c>
      <c r="EN79">
        <f t="shared" si="51"/>
        <v>1</v>
      </c>
      <c r="EO79">
        <f t="shared" si="52"/>
        <v>1</v>
      </c>
      <c r="EQ79">
        <f t="shared" si="83"/>
        <v>0</v>
      </c>
      <c r="ER79">
        <f t="shared" si="76"/>
        <v>0</v>
      </c>
      <c r="ES79">
        <f t="shared" si="77"/>
        <v>0</v>
      </c>
      <c r="ET79">
        <f t="shared" si="78"/>
        <v>0</v>
      </c>
      <c r="EU79">
        <f t="shared" si="79"/>
        <v>0</v>
      </c>
      <c r="EV79">
        <f t="shared" si="80"/>
        <v>1</v>
      </c>
      <c r="EW79">
        <f t="shared" si="58"/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f t="shared" si="59"/>
        <v>1</v>
      </c>
      <c r="FZ79">
        <v>0</v>
      </c>
      <c r="GA79">
        <v>1</v>
      </c>
      <c r="GB79">
        <v>0</v>
      </c>
      <c r="GC79">
        <v>0</v>
      </c>
      <c r="GD79">
        <v>0</v>
      </c>
      <c r="GE79">
        <v>0</v>
      </c>
      <c r="GF79">
        <v>0</v>
      </c>
      <c r="GG79">
        <f t="shared" si="60"/>
        <v>1</v>
      </c>
    </row>
    <row r="80" spans="1:189" x14ac:dyDescent="0.35">
      <c r="A80" t="s">
        <v>148</v>
      </c>
      <c r="B80">
        <f>[1]Population!$BB99</f>
        <v>7621204</v>
      </c>
      <c r="C80">
        <f>[1]RealGDP!$BB99</f>
        <v>11546063422.563662</v>
      </c>
      <c r="D80" s="8">
        <f>[1]GDPcap!$BB99</f>
        <v>1514.9920435883439</v>
      </c>
      <c r="E80" s="8">
        <v>14.425098400860714</v>
      </c>
      <c r="F80">
        <v>11.591220437975716</v>
      </c>
      <c r="G80">
        <f>RANK(D80,D$4:D80:D$201)</f>
        <v>138</v>
      </c>
      <c r="H80" t="s">
        <v>148</v>
      </c>
      <c r="J80">
        <v>21.3</v>
      </c>
      <c r="K80">
        <v>22</v>
      </c>
      <c r="L80">
        <v>23.4</v>
      </c>
      <c r="M80">
        <v>24.4</v>
      </c>
      <c r="N80">
        <v>25.1</v>
      </c>
      <c r="O80">
        <v>24.6</v>
      </c>
      <c r="P80">
        <v>24.1</v>
      </c>
      <c r="Q80">
        <v>24.4</v>
      </c>
      <c r="R80">
        <v>24.4</v>
      </c>
      <c r="S80">
        <v>23.6</v>
      </c>
      <c r="T80">
        <v>22.5</v>
      </c>
      <c r="U80">
        <v>21.8</v>
      </c>
      <c r="V80">
        <v>24.3</v>
      </c>
      <c r="W80">
        <v>24.3</v>
      </c>
      <c r="X80">
        <v>23.5</v>
      </c>
      <c r="Y80">
        <v>21</v>
      </c>
      <c r="Z80">
        <v>23.5</v>
      </c>
      <c r="AB80">
        <f t="shared" si="54"/>
        <v>0</v>
      </c>
      <c r="AC80">
        <f t="shared" si="55"/>
        <v>1</v>
      </c>
      <c r="AD80">
        <f t="shared" si="56"/>
        <v>0</v>
      </c>
      <c r="AE80">
        <f t="shared" si="57"/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f t="shared" si="43"/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f t="shared" si="44"/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f t="shared" si="53"/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f t="shared" si="45"/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f t="shared" si="46"/>
        <v>1</v>
      </c>
      <c r="CX80">
        <f t="shared" si="81"/>
        <v>0</v>
      </c>
      <c r="CY80">
        <f t="shared" si="61"/>
        <v>0</v>
      </c>
      <c r="CZ80">
        <f t="shared" si="62"/>
        <v>0</v>
      </c>
      <c r="DA80">
        <f t="shared" si="63"/>
        <v>1</v>
      </c>
      <c r="DB80">
        <f t="shared" si="64"/>
        <v>0</v>
      </c>
      <c r="DC80">
        <f t="shared" si="65"/>
        <v>0</v>
      </c>
      <c r="DD80">
        <f t="shared" si="66"/>
        <v>0</v>
      </c>
      <c r="DE80">
        <f t="shared" si="67"/>
        <v>0</v>
      </c>
      <c r="DF80">
        <f t="shared" si="68"/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f t="shared" si="47"/>
        <v>1</v>
      </c>
      <c r="DN80">
        <f t="shared" si="48"/>
        <v>1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f t="shared" si="49"/>
        <v>0</v>
      </c>
      <c r="DW80">
        <v>0</v>
      </c>
      <c r="DX80">
        <f t="shared" si="50"/>
        <v>1</v>
      </c>
      <c r="DZ80">
        <f t="shared" si="82"/>
        <v>0</v>
      </c>
      <c r="EA80">
        <f t="shared" si="69"/>
        <v>0</v>
      </c>
      <c r="EB80">
        <f t="shared" si="70"/>
        <v>0</v>
      </c>
      <c r="EC80">
        <f t="shared" si="71"/>
        <v>1</v>
      </c>
      <c r="ED80">
        <f t="shared" si="72"/>
        <v>0</v>
      </c>
      <c r="EE80">
        <f t="shared" si="73"/>
        <v>0</v>
      </c>
      <c r="EF80">
        <f t="shared" si="74"/>
        <v>0</v>
      </c>
      <c r="EG80">
        <f t="shared" si="75"/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f t="shared" si="51"/>
        <v>1</v>
      </c>
      <c r="EO80">
        <f t="shared" si="52"/>
        <v>1</v>
      </c>
      <c r="EQ80">
        <f t="shared" si="83"/>
        <v>0</v>
      </c>
      <c r="ER80">
        <f t="shared" si="76"/>
        <v>0</v>
      </c>
      <c r="ES80">
        <f t="shared" si="77"/>
        <v>0</v>
      </c>
      <c r="ET80">
        <f t="shared" si="78"/>
        <v>0</v>
      </c>
      <c r="EU80">
        <f t="shared" si="79"/>
        <v>0</v>
      </c>
      <c r="EV80">
        <f t="shared" si="80"/>
        <v>1</v>
      </c>
      <c r="EW80">
        <f t="shared" si="58"/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1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f t="shared" si="59"/>
        <v>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f t="shared" si="60"/>
        <v>1</v>
      </c>
    </row>
    <row r="81" spans="1:189" x14ac:dyDescent="0.35">
      <c r="A81" t="s">
        <v>149</v>
      </c>
      <c r="B81">
        <f>[1]Population!$BB100</f>
        <v>7024200</v>
      </c>
      <c r="C81">
        <f>[1]RealGDP!$BB100</f>
        <v>220058248223.22446</v>
      </c>
      <c r="D81" s="8">
        <f>[1]GDPcap!$BB100</f>
        <v>31328.585208738998</v>
      </c>
      <c r="E81" s="8"/>
      <c r="F81">
        <v>5.3368401852806793E-2</v>
      </c>
      <c r="G81">
        <f>RANK(D81,D$4:D81:D$201)</f>
        <v>30</v>
      </c>
      <c r="H81" t="s">
        <v>456</v>
      </c>
      <c r="I81" t="s">
        <v>457</v>
      </c>
      <c r="J81">
        <v>15.2</v>
      </c>
      <c r="K81">
        <v>15.5</v>
      </c>
      <c r="L81">
        <v>18.600000000000001</v>
      </c>
      <c r="M81">
        <v>22.5</v>
      </c>
      <c r="N81">
        <v>26</v>
      </c>
      <c r="O81">
        <v>27.6</v>
      </c>
      <c r="P81">
        <v>28.6</v>
      </c>
      <c r="Q81">
        <v>28.5</v>
      </c>
      <c r="R81">
        <v>27.4</v>
      </c>
      <c r="S81">
        <v>24.6</v>
      </c>
      <c r="T81">
        <v>20.6</v>
      </c>
      <c r="U81">
        <v>16.7</v>
      </c>
      <c r="V81">
        <v>22.4</v>
      </c>
      <c r="W81">
        <v>28.2</v>
      </c>
      <c r="X81">
        <v>24.2</v>
      </c>
      <c r="Y81">
        <v>15.3</v>
      </c>
      <c r="Z81">
        <v>22.7</v>
      </c>
      <c r="AB81">
        <f t="shared" si="54"/>
        <v>0</v>
      </c>
      <c r="AC81">
        <f t="shared" si="55"/>
        <v>0</v>
      </c>
      <c r="AD81">
        <f t="shared" si="56"/>
        <v>0</v>
      </c>
      <c r="AE81">
        <f t="shared" si="57"/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f t="shared" si="43"/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f t="shared" si="44"/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f t="shared" si="53"/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f t="shared" si="45"/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f t="shared" si="46"/>
        <v>1</v>
      </c>
      <c r="CX81">
        <f t="shared" si="81"/>
        <v>0</v>
      </c>
      <c r="CY81">
        <f t="shared" si="61"/>
        <v>0</v>
      </c>
      <c r="CZ81">
        <f t="shared" si="62"/>
        <v>0</v>
      </c>
      <c r="DA81">
        <f t="shared" si="63"/>
        <v>0</v>
      </c>
      <c r="DB81">
        <f t="shared" si="64"/>
        <v>0</v>
      </c>
      <c r="DC81">
        <f t="shared" si="65"/>
        <v>0</v>
      </c>
      <c r="DD81">
        <f t="shared" si="66"/>
        <v>0</v>
      </c>
      <c r="DE81">
        <f t="shared" si="67"/>
        <v>1</v>
      </c>
      <c r="DF81">
        <f t="shared" si="68"/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f t="shared" si="47"/>
        <v>1</v>
      </c>
      <c r="DN81">
        <f t="shared" si="48"/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f t="shared" si="49"/>
        <v>0</v>
      </c>
      <c r="DW81">
        <v>0</v>
      </c>
      <c r="DX81">
        <f t="shared" si="50"/>
        <v>1</v>
      </c>
      <c r="DZ81">
        <f t="shared" si="82"/>
        <v>0</v>
      </c>
      <c r="EA81">
        <f t="shared" si="69"/>
        <v>0</v>
      </c>
      <c r="EB81">
        <f t="shared" si="70"/>
        <v>0</v>
      </c>
      <c r="EC81">
        <f t="shared" si="71"/>
        <v>0</v>
      </c>
      <c r="ED81">
        <f t="shared" si="72"/>
        <v>0</v>
      </c>
      <c r="EE81">
        <f t="shared" si="73"/>
        <v>1</v>
      </c>
      <c r="EF81">
        <f t="shared" si="74"/>
        <v>0</v>
      </c>
      <c r="EG81">
        <f t="shared" si="75"/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f t="shared" si="51"/>
        <v>1</v>
      </c>
      <c r="EO81">
        <f t="shared" si="52"/>
        <v>1</v>
      </c>
      <c r="EQ81">
        <f t="shared" si="83"/>
        <v>0</v>
      </c>
      <c r="ER81">
        <f t="shared" si="76"/>
        <v>0</v>
      </c>
      <c r="ES81">
        <f t="shared" si="77"/>
        <v>0</v>
      </c>
      <c r="ET81">
        <f t="shared" si="78"/>
        <v>0</v>
      </c>
      <c r="EU81">
        <f t="shared" si="79"/>
        <v>0</v>
      </c>
      <c r="EV81">
        <f t="shared" si="80"/>
        <v>1</v>
      </c>
      <c r="EW81">
        <f t="shared" si="58"/>
        <v>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0</v>
      </c>
      <c r="FW81">
        <v>0</v>
      </c>
      <c r="FX81">
        <f t="shared" si="59"/>
        <v>1</v>
      </c>
      <c r="FZ81">
        <v>0</v>
      </c>
      <c r="GA81">
        <v>1</v>
      </c>
      <c r="GB81">
        <v>0</v>
      </c>
      <c r="GC81">
        <v>0</v>
      </c>
      <c r="GD81">
        <v>0</v>
      </c>
      <c r="GE81">
        <v>0</v>
      </c>
      <c r="GF81">
        <v>0</v>
      </c>
      <c r="GG81">
        <f t="shared" si="60"/>
        <v>1</v>
      </c>
    </row>
    <row r="82" spans="1:189" x14ac:dyDescent="0.35">
      <c r="A82" t="s">
        <v>150</v>
      </c>
      <c r="B82">
        <f>[1]Population!$BB101</f>
        <v>10000023</v>
      </c>
      <c r="C82">
        <f>[1]RealGDP!$BB101</f>
        <v>109264940823.83978</v>
      </c>
      <c r="D82" s="8">
        <f>[1]GDPcap!$BB101</f>
        <v>10926.468951505391</v>
      </c>
      <c r="E82" s="8">
        <v>22.84823001433373</v>
      </c>
      <c r="F82">
        <v>2.9858915460977036</v>
      </c>
      <c r="G82">
        <f>RANK(D82,D$4:D82:D$201)</f>
        <v>57</v>
      </c>
      <c r="H82" t="s">
        <v>150</v>
      </c>
      <c r="J82">
        <v>-2.2000000000000002</v>
      </c>
      <c r="K82">
        <v>0.6</v>
      </c>
      <c r="L82">
        <v>5.0999999999999996</v>
      </c>
      <c r="M82">
        <v>10.4</v>
      </c>
      <c r="N82">
        <v>15.2</v>
      </c>
      <c r="O82">
        <v>18.2</v>
      </c>
      <c r="P82">
        <v>19.8</v>
      </c>
      <c r="Q82">
        <v>19.399999999999999</v>
      </c>
      <c r="R82">
        <v>15.8</v>
      </c>
      <c r="S82">
        <v>10.5</v>
      </c>
      <c r="T82">
        <v>4.5999999999999996</v>
      </c>
      <c r="U82">
        <v>-0.1</v>
      </c>
      <c r="V82">
        <v>10.199999999999999</v>
      </c>
      <c r="W82">
        <v>19.100000000000001</v>
      </c>
      <c r="X82">
        <v>10.3</v>
      </c>
      <c r="Y82">
        <v>-0.6</v>
      </c>
      <c r="Z82">
        <v>9.8000000000000007</v>
      </c>
      <c r="AB82">
        <f t="shared" si="54"/>
        <v>0</v>
      </c>
      <c r="AC82">
        <f t="shared" si="55"/>
        <v>0</v>
      </c>
      <c r="AD82">
        <f t="shared" si="56"/>
        <v>1</v>
      </c>
      <c r="AE82">
        <f t="shared" si="57"/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f t="shared" si="43"/>
        <v>1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f t="shared" si="44"/>
        <v>1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f t="shared" si="53"/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f t="shared" si="45"/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f t="shared" si="46"/>
        <v>1</v>
      </c>
      <c r="CX82">
        <f t="shared" si="81"/>
        <v>0</v>
      </c>
      <c r="CY82">
        <f t="shared" si="61"/>
        <v>0</v>
      </c>
      <c r="CZ82">
        <f t="shared" si="62"/>
        <v>0</v>
      </c>
      <c r="DA82">
        <f t="shared" si="63"/>
        <v>1</v>
      </c>
      <c r="DB82">
        <f t="shared" si="64"/>
        <v>0</v>
      </c>
      <c r="DC82">
        <f t="shared" si="65"/>
        <v>0</v>
      </c>
      <c r="DD82">
        <f t="shared" si="66"/>
        <v>0</v>
      </c>
      <c r="DE82">
        <f t="shared" si="67"/>
        <v>0</v>
      </c>
      <c r="DF82">
        <f t="shared" si="68"/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f t="shared" si="47"/>
        <v>1</v>
      </c>
      <c r="DN82">
        <f t="shared" si="48"/>
        <v>1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f t="shared" si="49"/>
        <v>0</v>
      </c>
      <c r="DW82">
        <v>0</v>
      </c>
      <c r="DX82">
        <f t="shared" si="50"/>
        <v>1</v>
      </c>
      <c r="DZ82">
        <f t="shared" si="82"/>
        <v>0</v>
      </c>
      <c r="EA82">
        <f t="shared" si="69"/>
        <v>0</v>
      </c>
      <c r="EB82">
        <f t="shared" si="70"/>
        <v>0</v>
      </c>
      <c r="EC82">
        <f t="shared" si="71"/>
        <v>1</v>
      </c>
      <c r="ED82">
        <f t="shared" si="72"/>
        <v>0</v>
      </c>
      <c r="EE82">
        <f t="shared" si="73"/>
        <v>0</v>
      </c>
      <c r="EF82">
        <f t="shared" si="74"/>
        <v>0</v>
      </c>
      <c r="EG82">
        <f t="shared" si="75"/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f t="shared" si="51"/>
        <v>1</v>
      </c>
      <c r="EO82">
        <f t="shared" si="52"/>
        <v>1</v>
      </c>
      <c r="EQ82">
        <f t="shared" si="83"/>
        <v>0</v>
      </c>
      <c r="ER82">
        <f t="shared" si="76"/>
        <v>0</v>
      </c>
      <c r="ES82">
        <f t="shared" si="77"/>
        <v>0</v>
      </c>
      <c r="ET82">
        <f t="shared" si="78"/>
        <v>0</v>
      </c>
      <c r="EU82">
        <f t="shared" si="79"/>
        <v>0</v>
      </c>
      <c r="EV82">
        <f t="shared" si="80"/>
        <v>1</v>
      </c>
      <c r="EW82">
        <f t="shared" si="58"/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f t="shared" si="59"/>
        <v>1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0</v>
      </c>
      <c r="GG82">
        <f t="shared" si="60"/>
        <v>1</v>
      </c>
    </row>
    <row r="83" spans="1:189" x14ac:dyDescent="0.35">
      <c r="A83" t="s">
        <v>151</v>
      </c>
      <c r="B83">
        <f>[1]Population!$BB102</f>
        <v>318041</v>
      </c>
      <c r="C83">
        <f>[1]RealGDP!$BB102</f>
        <v>16388138908.052595</v>
      </c>
      <c r="D83" s="8">
        <f>[1]GDPcap!$BB102</f>
        <v>51528.384416011126</v>
      </c>
      <c r="E83" s="8">
        <v>20.655218176458014</v>
      </c>
      <c r="F83">
        <v>6.5166634635150613</v>
      </c>
      <c r="G83">
        <f>RANK(D83,D$4:D83:D$201)</f>
        <v>8</v>
      </c>
      <c r="H83" t="s">
        <v>151</v>
      </c>
      <c r="J83">
        <v>-2.8</v>
      </c>
      <c r="K83">
        <v>-2.4</v>
      </c>
      <c r="L83">
        <v>-2.2999999999999998</v>
      </c>
      <c r="M83">
        <v>0</v>
      </c>
      <c r="N83">
        <v>3.4</v>
      </c>
      <c r="O83">
        <v>6.7</v>
      </c>
      <c r="P83">
        <v>8.5</v>
      </c>
      <c r="Q83">
        <v>7.9</v>
      </c>
      <c r="R83">
        <v>4.8</v>
      </c>
      <c r="S83">
        <v>1.7</v>
      </c>
      <c r="T83">
        <v>-1.7</v>
      </c>
      <c r="U83">
        <v>-2.8</v>
      </c>
      <c r="V83">
        <v>0.4</v>
      </c>
      <c r="W83">
        <v>7.7</v>
      </c>
      <c r="X83">
        <v>1.6</v>
      </c>
      <c r="Y83">
        <v>-2.6</v>
      </c>
      <c r="Z83">
        <v>1.7</v>
      </c>
      <c r="AB83">
        <f t="shared" si="54"/>
        <v>0</v>
      </c>
      <c r="AC83">
        <f t="shared" si="55"/>
        <v>0</v>
      </c>
      <c r="AD83">
        <f t="shared" si="56"/>
        <v>0</v>
      </c>
      <c r="AE83">
        <f t="shared" si="57"/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f t="shared" si="43"/>
        <v>1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f t="shared" si="44"/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f t="shared" si="53"/>
        <v>1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f t="shared" si="45"/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f t="shared" si="46"/>
        <v>1</v>
      </c>
      <c r="CX83">
        <f t="shared" si="81"/>
        <v>0</v>
      </c>
      <c r="CY83">
        <f t="shared" si="61"/>
        <v>1</v>
      </c>
      <c r="CZ83">
        <f t="shared" si="62"/>
        <v>0</v>
      </c>
      <c r="DA83">
        <f t="shared" si="63"/>
        <v>0</v>
      </c>
      <c r="DB83">
        <f t="shared" si="64"/>
        <v>0</v>
      </c>
      <c r="DC83">
        <f t="shared" si="65"/>
        <v>0</v>
      </c>
      <c r="DD83">
        <f t="shared" si="66"/>
        <v>0</v>
      </c>
      <c r="DE83">
        <f t="shared" si="67"/>
        <v>0</v>
      </c>
      <c r="DF83">
        <f t="shared" si="68"/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f t="shared" si="47"/>
        <v>1</v>
      </c>
      <c r="DN83">
        <f t="shared" si="48"/>
        <v>1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0</v>
      </c>
      <c r="DV83">
        <f t="shared" si="49"/>
        <v>0</v>
      </c>
      <c r="DW83">
        <v>0</v>
      </c>
      <c r="DX83">
        <f t="shared" si="50"/>
        <v>1</v>
      </c>
      <c r="DZ83">
        <f t="shared" si="82"/>
        <v>0</v>
      </c>
      <c r="EA83">
        <f t="shared" si="69"/>
        <v>0</v>
      </c>
      <c r="EB83">
        <f t="shared" si="70"/>
        <v>1</v>
      </c>
      <c r="EC83">
        <f t="shared" si="71"/>
        <v>0</v>
      </c>
      <c r="ED83">
        <f t="shared" si="72"/>
        <v>0</v>
      </c>
      <c r="EE83">
        <f t="shared" si="73"/>
        <v>0</v>
      </c>
      <c r="EF83">
        <f t="shared" si="74"/>
        <v>0</v>
      </c>
      <c r="EG83">
        <f t="shared" si="75"/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>
        <f t="shared" si="51"/>
        <v>0</v>
      </c>
      <c r="EO83">
        <f t="shared" si="52"/>
        <v>1</v>
      </c>
      <c r="EQ83">
        <f t="shared" si="83"/>
        <v>0</v>
      </c>
      <c r="ER83">
        <f t="shared" si="76"/>
        <v>0</v>
      </c>
      <c r="ES83">
        <f t="shared" si="77"/>
        <v>1</v>
      </c>
      <c r="ET83">
        <f t="shared" si="78"/>
        <v>0</v>
      </c>
      <c r="EU83">
        <f t="shared" si="79"/>
        <v>0</v>
      </c>
      <c r="EV83">
        <f t="shared" si="80"/>
        <v>0</v>
      </c>
      <c r="EW83">
        <f t="shared" si="58"/>
        <v>1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f t="shared" si="59"/>
        <v>1</v>
      </c>
      <c r="FZ83">
        <v>0</v>
      </c>
      <c r="GA83">
        <v>0</v>
      </c>
      <c r="GB83">
        <v>1</v>
      </c>
      <c r="GC83">
        <v>0</v>
      </c>
      <c r="GD83">
        <v>0</v>
      </c>
      <c r="GE83">
        <v>0</v>
      </c>
      <c r="GF83">
        <v>0</v>
      </c>
      <c r="GG83">
        <f t="shared" si="60"/>
        <v>1</v>
      </c>
    </row>
    <row r="84" spans="1:189" x14ac:dyDescent="0.35">
      <c r="A84" t="s">
        <v>152</v>
      </c>
      <c r="B84">
        <f>[1]Population!$BB103</f>
        <v>1205624648</v>
      </c>
      <c r="C84">
        <f>[1]RealGDP!$BB103</f>
        <v>1243675499465.8105</v>
      </c>
      <c r="D84" s="8">
        <f>[1]GDPcap!$BB103</f>
        <v>1031.5611094455749</v>
      </c>
      <c r="E84" s="8">
        <v>10.507170946291103</v>
      </c>
      <c r="F84">
        <v>17.517352389157136</v>
      </c>
      <c r="G84">
        <f>RANK(D84,D$4:D84:D$201)</f>
        <v>147</v>
      </c>
      <c r="H84" t="s">
        <v>152</v>
      </c>
      <c r="J84">
        <v>16.7</v>
      </c>
      <c r="K84">
        <v>19</v>
      </c>
      <c r="L84">
        <v>23.2</v>
      </c>
      <c r="M84">
        <v>27</v>
      </c>
      <c r="N84">
        <v>29.1</v>
      </c>
      <c r="O84">
        <v>28.5</v>
      </c>
      <c r="P84">
        <v>26.6</v>
      </c>
      <c r="Q84">
        <v>26</v>
      </c>
      <c r="R84">
        <v>25.7</v>
      </c>
      <c r="S84">
        <v>24.2</v>
      </c>
      <c r="T84">
        <v>20.5</v>
      </c>
      <c r="U84">
        <v>17.399999999999999</v>
      </c>
      <c r="V84">
        <v>26.4</v>
      </c>
      <c r="W84">
        <v>27</v>
      </c>
      <c r="X84">
        <v>23.5</v>
      </c>
      <c r="Y84">
        <v>17.100000000000001</v>
      </c>
      <c r="Z84">
        <v>23.7</v>
      </c>
      <c r="AB84">
        <f t="shared" si="54"/>
        <v>0</v>
      </c>
      <c r="AC84">
        <f t="shared" si="55"/>
        <v>1</v>
      </c>
      <c r="AD84">
        <f t="shared" si="56"/>
        <v>0</v>
      </c>
      <c r="AE84">
        <f t="shared" si="57"/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f t="shared" si="43"/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f t="shared" si="44"/>
        <v>1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f t="shared" si="53"/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f t="shared" si="45"/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f t="shared" si="46"/>
        <v>1</v>
      </c>
      <c r="CX84">
        <f t="shared" si="81"/>
        <v>0</v>
      </c>
      <c r="CY84">
        <f t="shared" si="61"/>
        <v>0</v>
      </c>
      <c r="CZ84">
        <f t="shared" si="62"/>
        <v>0</v>
      </c>
      <c r="DA84">
        <f t="shared" si="63"/>
        <v>0</v>
      </c>
      <c r="DB84">
        <f t="shared" si="64"/>
        <v>0</v>
      </c>
      <c r="DC84">
        <f t="shared" si="65"/>
        <v>0</v>
      </c>
      <c r="DD84">
        <f t="shared" si="66"/>
        <v>1</v>
      </c>
      <c r="DE84">
        <f t="shared" si="67"/>
        <v>0</v>
      </c>
      <c r="DF84">
        <f t="shared" si="68"/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f t="shared" si="47"/>
        <v>1</v>
      </c>
      <c r="DN84">
        <f t="shared" si="48"/>
        <v>1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f t="shared" si="49"/>
        <v>0</v>
      </c>
      <c r="DW84">
        <v>0</v>
      </c>
      <c r="DX84">
        <f t="shared" si="50"/>
        <v>1</v>
      </c>
      <c r="DZ84">
        <f t="shared" si="82"/>
        <v>0</v>
      </c>
      <c r="EA84">
        <f t="shared" si="69"/>
        <v>0</v>
      </c>
      <c r="EB84">
        <f t="shared" si="70"/>
        <v>0</v>
      </c>
      <c r="EC84">
        <f t="shared" si="71"/>
        <v>0</v>
      </c>
      <c r="ED84">
        <f t="shared" si="72"/>
        <v>0</v>
      </c>
      <c r="EE84">
        <f t="shared" si="73"/>
        <v>1</v>
      </c>
      <c r="EF84">
        <f t="shared" si="74"/>
        <v>0</v>
      </c>
      <c r="EG84">
        <f t="shared" si="75"/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f t="shared" si="51"/>
        <v>1</v>
      </c>
      <c r="EO84">
        <f t="shared" si="52"/>
        <v>1</v>
      </c>
      <c r="EQ84">
        <f t="shared" si="83"/>
        <v>0</v>
      </c>
      <c r="ER84">
        <f t="shared" si="76"/>
        <v>0</v>
      </c>
      <c r="ES84">
        <f t="shared" si="77"/>
        <v>0</v>
      </c>
      <c r="ET84">
        <f t="shared" si="78"/>
        <v>0</v>
      </c>
      <c r="EU84">
        <f t="shared" si="79"/>
        <v>0</v>
      </c>
      <c r="EV84">
        <f t="shared" si="80"/>
        <v>1</v>
      </c>
      <c r="EW84">
        <f t="shared" si="58"/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</v>
      </c>
      <c r="FU84">
        <v>0</v>
      </c>
      <c r="FV84">
        <v>0</v>
      </c>
      <c r="FW84">
        <v>0</v>
      </c>
      <c r="FX84">
        <f t="shared" si="59"/>
        <v>1</v>
      </c>
      <c r="FZ84">
        <v>0</v>
      </c>
      <c r="GA84">
        <v>1</v>
      </c>
      <c r="GB84">
        <v>0</v>
      </c>
      <c r="GC84">
        <v>0</v>
      </c>
      <c r="GD84">
        <v>0</v>
      </c>
      <c r="GE84">
        <v>0</v>
      </c>
      <c r="GF84">
        <v>0</v>
      </c>
      <c r="GG84">
        <f t="shared" si="60"/>
        <v>1</v>
      </c>
    </row>
    <row r="85" spans="1:189" x14ac:dyDescent="0.35">
      <c r="A85" t="s">
        <v>153</v>
      </c>
      <c r="B85">
        <f>[1]Population!$BB104</f>
        <v>240676485</v>
      </c>
      <c r="C85">
        <f>[1]RealGDP!$BB104</f>
        <v>377898889669.60541</v>
      </c>
      <c r="D85" s="8">
        <f>[1]GDPcap!$BB104</f>
        <v>1570.1529365014842</v>
      </c>
      <c r="E85" s="8">
        <v>10.537485061296378</v>
      </c>
      <c r="F85">
        <v>13.929212707137046</v>
      </c>
      <c r="G85">
        <f>RANK(D85,D$4:D85:D$201)</f>
        <v>136</v>
      </c>
      <c r="H85" t="s">
        <v>153</v>
      </c>
      <c r="J85">
        <v>25.6</v>
      </c>
      <c r="K85">
        <v>25.7</v>
      </c>
      <c r="L85">
        <v>25.9</v>
      </c>
      <c r="M85">
        <v>26.1</v>
      </c>
      <c r="N85">
        <v>26.1</v>
      </c>
      <c r="O85">
        <v>25.6</v>
      </c>
      <c r="P85">
        <v>25.3</v>
      </c>
      <c r="Q85">
        <v>25.5</v>
      </c>
      <c r="R85">
        <v>25.7</v>
      </c>
      <c r="S85">
        <v>26.1</v>
      </c>
      <c r="T85">
        <v>26.2</v>
      </c>
      <c r="U85">
        <v>25.9</v>
      </c>
      <c r="V85">
        <v>26.1</v>
      </c>
      <c r="W85">
        <v>25.5</v>
      </c>
      <c r="X85">
        <v>26</v>
      </c>
      <c r="Y85">
        <v>24.9</v>
      </c>
      <c r="Z85">
        <v>25.8</v>
      </c>
      <c r="AB85">
        <f t="shared" si="54"/>
        <v>0</v>
      </c>
      <c r="AC85">
        <f t="shared" si="55"/>
        <v>1</v>
      </c>
      <c r="AD85">
        <f t="shared" si="56"/>
        <v>0</v>
      </c>
      <c r="AE85">
        <f t="shared" si="57"/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f t="shared" si="43"/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f t="shared" si="44"/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f t="shared" si="53"/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f t="shared" si="45"/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f t="shared" si="46"/>
        <v>1</v>
      </c>
      <c r="CX85">
        <f t="shared" si="81"/>
        <v>0</v>
      </c>
      <c r="CY85">
        <f t="shared" si="61"/>
        <v>0</v>
      </c>
      <c r="CZ85">
        <f t="shared" si="62"/>
        <v>0</v>
      </c>
      <c r="DA85">
        <f t="shared" si="63"/>
        <v>0</v>
      </c>
      <c r="DB85">
        <f t="shared" si="64"/>
        <v>0</v>
      </c>
      <c r="DC85">
        <f t="shared" si="65"/>
        <v>0</v>
      </c>
      <c r="DD85">
        <f t="shared" si="66"/>
        <v>1</v>
      </c>
      <c r="DE85">
        <f t="shared" si="67"/>
        <v>0</v>
      </c>
      <c r="DF85">
        <f t="shared" si="68"/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f t="shared" si="47"/>
        <v>1</v>
      </c>
      <c r="DN85">
        <f t="shared" si="48"/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f t="shared" si="49"/>
        <v>0</v>
      </c>
      <c r="DW85">
        <v>0</v>
      </c>
      <c r="DX85">
        <f t="shared" si="50"/>
        <v>1</v>
      </c>
      <c r="DZ85">
        <f t="shared" si="82"/>
        <v>0</v>
      </c>
      <c r="EA85">
        <f t="shared" si="69"/>
        <v>0</v>
      </c>
      <c r="EB85">
        <f t="shared" si="70"/>
        <v>0</v>
      </c>
      <c r="EC85">
        <f t="shared" si="71"/>
        <v>0</v>
      </c>
      <c r="ED85">
        <f t="shared" si="72"/>
        <v>0</v>
      </c>
      <c r="EE85">
        <f t="shared" si="73"/>
        <v>1</v>
      </c>
      <c r="EF85">
        <f t="shared" si="74"/>
        <v>0</v>
      </c>
      <c r="EG85">
        <f t="shared" si="75"/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f t="shared" si="51"/>
        <v>1</v>
      </c>
      <c r="EO85">
        <f t="shared" si="52"/>
        <v>1</v>
      </c>
      <c r="EQ85">
        <f t="shared" si="83"/>
        <v>0</v>
      </c>
      <c r="ER85">
        <f t="shared" si="76"/>
        <v>0</v>
      </c>
      <c r="ES85">
        <f t="shared" si="77"/>
        <v>0</v>
      </c>
      <c r="ET85">
        <f t="shared" si="78"/>
        <v>0</v>
      </c>
      <c r="EU85">
        <f t="shared" si="79"/>
        <v>0</v>
      </c>
      <c r="EV85">
        <f t="shared" si="80"/>
        <v>1</v>
      </c>
      <c r="EW85">
        <f t="shared" si="58"/>
        <v>1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1</v>
      </c>
      <c r="FT85">
        <v>0</v>
      </c>
      <c r="FU85">
        <v>0</v>
      </c>
      <c r="FV85">
        <v>0</v>
      </c>
      <c r="FW85">
        <v>0</v>
      </c>
      <c r="FX85">
        <f t="shared" si="59"/>
        <v>1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f t="shared" si="60"/>
        <v>1</v>
      </c>
    </row>
    <row r="86" spans="1:189" x14ac:dyDescent="0.35">
      <c r="A86" t="s">
        <v>154</v>
      </c>
      <c r="B86">
        <f>[1]Population!$BB105</f>
        <v>74462314</v>
      </c>
      <c r="C86">
        <f>[1]RealGDP!$BB105</f>
        <v>242702371179.19858</v>
      </c>
      <c r="D86" s="8">
        <f>[1]GDPcap!$BB105</f>
        <v>3259.3987232145187</v>
      </c>
      <c r="E86" s="8"/>
      <c r="F86">
        <v>6.499390725572038</v>
      </c>
      <c r="G86">
        <f>RANK(D86,D$4:D86:D$201)</f>
        <v>106</v>
      </c>
      <c r="H86" t="s">
        <v>154</v>
      </c>
      <c r="J86">
        <v>4.8</v>
      </c>
      <c r="K86">
        <v>6.8</v>
      </c>
      <c r="L86">
        <v>11.7</v>
      </c>
      <c r="M86">
        <v>17.2</v>
      </c>
      <c r="N86">
        <v>22.4</v>
      </c>
      <c r="O86">
        <v>26.8</v>
      </c>
      <c r="P86">
        <v>28.7</v>
      </c>
      <c r="Q86">
        <v>27.4</v>
      </c>
      <c r="R86">
        <v>23.7</v>
      </c>
      <c r="S86">
        <v>18.100000000000001</v>
      </c>
      <c r="T86">
        <v>12.1</v>
      </c>
      <c r="U86">
        <v>7</v>
      </c>
      <c r="V86">
        <v>17.100000000000001</v>
      </c>
      <c r="W86">
        <v>27.6</v>
      </c>
      <c r="X86">
        <v>17.899999999999999</v>
      </c>
      <c r="Y86">
        <v>6</v>
      </c>
      <c r="Z86">
        <v>17.2</v>
      </c>
      <c r="AB86">
        <f t="shared" si="54"/>
        <v>0</v>
      </c>
      <c r="AC86">
        <f t="shared" si="55"/>
        <v>1</v>
      </c>
      <c r="AD86">
        <f t="shared" si="56"/>
        <v>0</v>
      </c>
      <c r="AE86">
        <f t="shared" si="57"/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f t="shared" si="43"/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f t="shared" si="44"/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f t="shared" si="53"/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f t="shared" si="45"/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f t="shared" si="46"/>
        <v>1</v>
      </c>
      <c r="CX86">
        <f t="shared" si="81"/>
        <v>0</v>
      </c>
      <c r="CY86">
        <f t="shared" si="61"/>
        <v>0</v>
      </c>
      <c r="CZ86">
        <f t="shared" si="62"/>
        <v>0</v>
      </c>
      <c r="DA86">
        <f t="shared" si="63"/>
        <v>0</v>
      </c>
      <c r="DB86">
        <f t="shared" si="64"/>
        <v>1</v>
      </c>
      <c r="DC86">
        <f t="shared" si="65"/>
        <v>0</v>
      </c>
      <c r="DD86">
        <f t="shared" si="66"/>
        <v>0</v>
      </c>
      <c r="DE86">
        <f t="shared" si="67"/>
        <v>0</v>
      </c>
      <c r="DF86">
        <f t="shared" si="68"/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f t="shared" si="47"/>
        <v>1</v>
      </c>
      <c r="DN86">
        <f t="shared" si="48"/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f t="shared" si="49"/>
        <v>1</v>
      </c>
      <c r="DW86">
        <v>0</v>
      </c>
      <c r="DX86">
        <f t="shared" si="50"/>
        <v>1</v>
      </c>
      <c r="DZ86">
        <f t="shared" si="82"/>
        <v>0</v>
      </c>
      <c r="EA86">
        <f t="shared" si="69"/>
        <v>0</v>
      </c>
      <c r="EB86">
        <f t="shared" si="70"/>
        <v>0</v>
      </c>
      <c r="EC86">
        <f t="shared" si="71"/>
        <v>0</v>
      </c>
      <c r="ED86">
        <f t="shared" si="72"/>
        <v>0</v>
      </c>
      <c r="EE86">
        <f t="shared" si="73"/>
        <v>0</v>
      </c>
      <c r="EF86">
        <f t="shared" si="74"/>
        <v>1</v>
      </c>
      <c r="EG86">
        <f t="shared" si="75"/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f t="shared" si="51"/>
        <v>1</v>
      </c>
      <c r="EO86">
        <f t="shared" si="52"/>
        <v>1</v>
      </c>
      <c r="EQ86">
        <f t="shared" si="83"/>
        <v>0</v>
      </c>
      <c r="ER86">
        <f t="shared" si="76"/>
        <v>0</v>
      </c>
      <c r="ES86">
        <f t="shared" si="77"/>
        <v>0</v>
      </c>
      <c r="ET86">
        <f t="shared" si="78"/>
        <v>0</v>
      </c>
      <c r="EU86">
        <f t="shared" si="79"/>
        <v>0</v>
      </c>
      <c r="EV86">
        <f t="shared" si="80"/>
        <v>1</v>
      </c>
      <c r="EW86">
        <f t="shared" si="58"/>
        <v>1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f t="shared" si="59"/>
        <v>1</v>
      </c>
      <c r="FZ86">
        <v>0</v>
      </c>
      <c r="GA86">
        <v>1</v>
      </c>
      <c r="GB86">
        <v>0</v>
      </c>
      <c r="GC86">
        <v>0</v>
      </c>
      <c r="GD86">
        <v>0</v>
      </c>
      <c r="GE86">
        <v>0</v>
      </c>
      <c r="GF86">
        <v>0</v>
      </c>
      <c r="GG86">
        <f t="shared" si="60"/>
        <v>1</v>
      </c>
    </row>
    <row r="87" spans="1:189" x14ac:dyDescent="0.35">
      <c r="A87" t="s">
        <v>250</v>
      </c>
      <c r="B87">
        <f>[1]Population!$BB106</f>
        <v>30962380</v>
      </c>
      <c r="C87">
        <f>[1]RealGDP!$BB106</f>
        <v>67270649065.243828</v>
      </c>
      <c r="D87" s="8">
        <f>[1]GDPcap!$BB106</f>
        <v>2172.6575626694016</v>
      </c>
      <c r="E87" s="8"/>
      <c r="F87">
        <v>5.1622835468003645</v>
      </c>
      <c r="G87">
        <f>RANK(D87,D$4:D87:D$201)</f>
        <v>126</v>
      </c>
      <c r="H87" t="s">
        <v>250</v>
      </c>
      <c r="J87">
        <v>8.6</v>
      </c>
      <c r="K87">
        <v>10.8</v>
      </c>
      <c r="L87">
        <v>14.9</v>
      </c>
      <c r="M87">
        <v>20.5</v>
      </c>
      <c r="N87">
        <v>26.3</v>
      </c>
      <c r="O87">
        <v>30.6</v>
      </c>
      <c r="P87">
        <v>33.200000000000003</v>
      </c>
      <c r="Q87">
        <v>32.700000000000003</v>
      </c>
      <c r="R87">
        <v>29.2</v>
      </c>
      <c r="S87">
        <v>23.4</v>
      </c>
      <c r="T87">
        <v>15.9</v>
      </c>
      <c r="U87">
        <v>10.3</v>
      </c>
      <c r="V87">
        <v>20.5</v>
      </c>
      <c r="W87">
        <v>32.200000000000003</v>
      </c>
      <c r="X87">
        <v>22.8</v>
      </c>
      <c r="Y87">
        <v>9.5</v>
      </c>
      <c r="Z87">
        <v>21.4</v>
      </c>
      <c r="AB87">
        <f t="shared" si="54"/>
        <v>0</v>
      </c>
      <c r="AC87">
        <f t="shared" si="55"/>
        <v>1</v>
      </c>
      <c r="AD87">
        <f t="shared" si="56"/>
        <v>0</v>
      </c>
      <c r="AE87">
        <f t="shared" si="57"/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f t="shared" si="43"/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f t="shared" si="44"/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f t="shared" si="53"/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f t="shared" si="45"/>
        <v>1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f t="shared" si="46"/>
        <v>1</v>
      </c>
      <c r="CX87">
        <f t="shared" si="81"/>
        <v>0</v>
      </c>
      <c r="CY87">
        <f t="shared" si="61"/>
        <v>0</v>
      </c>
      <c r="CZ87">
        <f t="shared" si="62"/>
        <v>0</v>
      </c>
      <c r="DA87">
        <f t="shared" si="63"/>
        <v>0</v>
      </c>
      <c r="DB87">
        <f t="shared" si="64"/>
        <v>1</v>
      </c>
      <c r="DC87">
        <f t="shared" si="65"/>
        <v>0</v>
      </c>
      <c r="DD87">
        <f t="shared" si="66"/>
        <v>0</v>
      </c>
      <c r="DE87">
        <f t="shared" si="67"/>
        <v>0</v>
      </c>
      <c r="DF87">
        <f t="shared" si="68"/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f t="shared" si="47"/>
        <v>1</v>
      </c>
      <c r="DN87">
        <f t="shared" si="48"/>
        <v>1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f t="shared" si="49"/>
        <v>1</v>
      </c>
      <c r="DW87">
        <v>0</v>
      </c>
      <c r="DX87">
        <f t="shared" si="50"/>
        <v>1</v>
      </c>
      <c r="DZ87">
        <f t="shared" si="82"/>
        <v>0</v>
      </c>
      <c r="EA87">
        <f t="shared" si="69"/>
        <v>0</v>
      </c>
      <c r="EB87">
        <f t="shared" si="70"/>
        <v>0</v>
      </c>
      <c r="EC87">
        <f t="shared" si="71"/>
        <v>0</v>
      </c>
      <c r="ED87">
        <f t="shared" si="72"/>
        <v>0</v>
      </c>
      <c r="EE87">
        <f t="shared" si="73"/>
        <v>0</v>
      </c>
      <c r="EF87">
        <f t="shared" si="74"/>
        <v>1</v>
      </c>
      <c r="EG87">
        <f t="shared" si="75"/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f t="shared" si="51"/>
        <v>1</v>
      </c>
      <c r="EO87">
        <f t="shared" si="52"/>
        <v>1</v>
      </c>
      <c r="EQ87">
        <f t="shared" si="83"/>
        <v>0</v>
      </c>
      <c r="ER87">
        <f t="shared" si="76"/>
        <v>0</v>
      </c>
      <c r="ES87">
        <f t="shared" si="77"/>
        <v>0</v>
      </c>
      <c r="ET87">
        <f t="shared" si="78"/>
        <v>0</v>
      </c>
      <c r="EU87">
        <f t="shared" si="79"/>
        <v>0</v>
      </c>
      <c r="EV87">
        <f t="shared" si="80"/>
        <v>1</v>
      </c>
      <c r="EW87">
        <f t="shared" si="58"/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f t="shared" si="59"/>
        <v>1</v>
      </c>
      <c r="FZ87">
        <v>0</v>
      </c>
      <c r="GA87">
        <v>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f t="shared" si="60"/>
        <v>1</v>
      </c>
    </row>
    <row r="88" spans="1:189" x14ac:dyDescent="0.35">
      <c r="A88" t="s">
        <v>155</v>
      </c>
      <c r="B88">
        <f>[1]Population!$BB107</f>
        <v>4474356</v>
      </c>
      <c r="C88">
        <f>[1]RealGDP!$BB107</f>
        <v>203306959563.6236</v>
      </c>
      <c r="D88" s="8">
        <f>[1]GDPcap!$BB107</f>
        <v>45438.261855700264</v>
      </c>
      <c r="E88" s="8">
        <v>21.815426064359059</v>
      </c>
      <c r="F88">
        <v>0.95717203240777338</v>
      </c>
      <c r="G88">
        <f>RANK(D88,D$4:D88:D$201)</f>
        <v>11</v>
      </c>
      <c r="H88" t="s">
        <v>155</v>
      </c>
      <c r="J88">
        <v>4.8</v>
      </c>
      <c r="K88">
        <v>4.8</v>
      </c>
      <c r="L88">
        <v>6.2</v>
      </c>
      <c r="M88">
        <v>7.9</v>
      </c>
      <c r="N88">
        <v>10.199999999999999</v>
      </c>
      <c r="O88">
        <v>13</v>
      </c>
      <c r="P88">
        <v>14.6</v>
      </c>
      <c r="Q88">
        <v>14.4</v>
      </c>
      <c r="R88">
        <v>12.6</v>
      </c>
      <c r="S88">
        <v>10.199999999999999</v>
      </c>
      <c r="T88">
        <v>6.8</v>
      </c>
      <c r="U88">
        <v>5.6</v>
      </c>
      <c r="V88">
        <v>8.1</v>
      </c>
      <c r="W88">
        <v>14</v>
      </c>
      <c r="X88">
        <v>9.9</v>
      </c>
      <c r="Y88">
        <v>4.9000000000000004</v>
      </c>
      <c r="Z88">
        <v>9.3000000000000007</v>
      </c>
      <c r="AB88">
        <f t="shared" si="54"/>
        <v>0</v>
      </c>
      <c r="AC88">
        <f t="shared" si="55"/>
        <v>0</v>
      </c>
      <c r="AD88">
        <f t="shared" si="56"/>
        <v>0</v>
      </c>
      <c r="AE88">
        <f t="shared" si="57"/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f t="shared" si="43"/>
        <v>1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f t="shared" si="44"/>
        <v>1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f t="shared" si="53"/>
        <v>1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f t="shared" si="45"/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f t="shared" si="46"/>
        <v>1</v>
      </c>
      <c r="CX88">
        <f t="shared" si="81"/>
        <v>0</v>
      </c>
      <c r="CY88">
        <f t="shared" si="61"/>
        <v>1</v>
      </c>
      <c r="CZ88">
        <f t="shared" si="62"/>
        <v>0</v>
      </c>
      <c r="DA88">
        <f t="shared" si="63"/>
        <v>0</v>
      </c>
      <c r="DB88">
        <f t="shared" si="64"/>
        <v>0</v>
      </c>
      <c r="DC88">
        <f t="shared" si="65"/>
        <v>0</v>
      </c>
      <c r="DD88">
        <f t="shared" si="66"/>
        <v>0</v>
      </c>
      <c r="DE88">
        <f t="shared" si="67"/>
        <v>0</v>
      </c>
      <c r="DF88">
        <f t="shared" si="68"/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f t="shared" si="47"/>
        <v>0</v>
      </c>
      <c r="DN88">
        <f t="shared" si="48"/>
        <v>1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f t="shared" si="49"/>
        <v>0</v>
      </c>
      <c r="DW88">
        <v>0</v>
      </c>
      <c r="DX88">
        <f t="shared" si="50"/>
        <v>1</v>
      </c>
      <c r="DZ88">
        <f t="shared" si="82"/>
        <v>1</v>
      </c>
      <c r="EA88">
        <f t="shared" si="69"/>
        <v>0</v>
      </c>
      <c r="EB88">
        <f t="shared" si="70"/>
        <v>0</v>
      </c>
      <c r="EC88">
        <f t="shared" si="71"/>
        <v>0</v>
      </c>
      <c r="ED88">
        <f t="shared" si="72"/>
        <v>0</v>
      </c>
      <c r="EE88">
        <f t="shared" si="73"/>
        <v>0</v>
      </c>
      <c r="EF88">
        <f t="shared" si="74"/>
        <v>0</v>
      </c>
      <c r="EG88">
        <f t="shared" si="75"/>
        <v>0</v>
      </c>
      <c r="EI88">
        <v>1</v>
      </c>
      <c r="EJ88">
        <v>0</v>
      </c>
      <c r="EK88">
        <v>0</v>
      </c>
      <c r="EL88">
        <v>0</v>
      </c>
      <c r="EM88">
        <v>0</v>
      </c>
      <c r="EN88">
        <f t="shared" si="51"/>
        <v>0</v>
      </c>
      <c r="EO88">
        <f t="shared" si="52"/>
        <v>1</v>
      </c>
      <c r="EQ88">
        <f t="shared" si="83"/>
        <v>1</v>
      </c>
      <c r="ER88">
        <f t="shared" si="76"/>
        <v>0</v>
      </c>
      <c r="ES88">
        <f t="shared" si="77"/>
        <v>0</v>
      </c>
      <c r="ET88">
        <f t="shared" si="78"/>
        <v>0</v>
      </c>
      <c r="EU88">
        <f t="shared" si="79"/>
        <v>0</v>
      </c>
      <c r="EV88">
        <f t="shared" si="80"/>
        <v>0</v>
      </c>
      <c r="EW88">
        <f t="shared" si="58"/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f t="shared" si="59"/>
        <v>1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0</v>
      </c>
      <c r="GG88">
        <f t="shared" si="60"/>
        <v>1</v>
      </c>
    </row>
    <row r="89" spans="1:189" x14ac:dyDescent="0.35">
      <c r="A89" t="s">
        <v>604</v>
      </c>
      <c r="B89">
        <f>[1]Population!$BB108</f>
        <v>83992</v>
      </c>
      <c r="C89">
        <f>B89*D89</f>
        <v>3528469191.2340369</v>
      </c>
      <c r="D89" s="8">
        <f>[2]YpC3!$AZ$87</f>
        <v>42009.586522931197</v>
      </c>
      <c r="E89" s="8"/>
      <c r="G89">
        <f>RANK(D89,D$4:D89:D$201)</f>
        <v>14</v>
      </c>
      <c r="Z89">
        <v>9.3000000000000007</v>
      </c>
      <c r="AB89">
        <f t="shared" si="54"/>
        <v>0</v>
      </c>
      <c r="AC89">
        <f t="shared" si="55"/>
        <v>0</v>
      </c>
      <c r="AD89">
        <f t="shared" si="56"/>
        <v>0</v>
      </c>
      <c r="AE89">
        <f t="shared" si="57"/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f t="shared" si="43"/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f>SUM(AW89:BK89)</f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f t="shared" si="53"/>
        <v>1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f>SUM(BX89:CJ89)</f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f>SUM(CM89:CU89)</f>
        <v>1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f>SUM(DH89:DM89)</f>
        <v>1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f>SUM(DP89:DW89)</f>
        <v>1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I89">
        <v>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f>SUM(EI89:EN89)</f>
        <v>1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f t="shared" si="58"/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f t="shared" si="59"/>
        <v>1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0</v>
      </c>
      <c r="GG89">
        <f t="shared" si="60"/>
        <v>1</v>
      </c>
    </row>
    <row r="90" spans="1:189" x14ac:dyDescent="0.35">
      <c r="A90" t="s">
        <v>156</v>
      </c>
      <c r="B90">
        <f>[1]Population!$BB109</f>
        <v>7623600</v>
      </c>
      <c r="C90">
        <f>[1]RealGDP!$BB109</f>
        <v>169010664818.13025</v>
      </c>
      <c r="D90" s="8">
        <f>[1]GDPcap!$BB109</f>
        <v>22169.403538765182</v>
      </c>
      <c r="E90" s="8">
        <v>22.533284987467191</v>
      </c>
      <c r="F90">
        <v>1.5046946479146832</v>
      </c>
      <c r="G90">
        <f>RANK(D90,D$4:D90:D$201)</f>
        <v>38</v>
      </c>
      <c r="H90" t="s">
        <v>156</v>
      </c>
      <c r="J90">
        <v>11.3</v>
      </c>
      <c r="K90">
        <v>12.2</v>
      </c>
      <c r="L90">
        <v>14.3</v>
      </c>
      <c r="M90">
        <v>18</v>
      </c>
      <c r="N90">
        <v>21.2</v>
      </c>
      <c r="O90">
        <v>24.2</v>
      </c>
      <c r="P90">
        <v>26</v>
      </c>
      <c r="Q90">
        <v>26.3</v>
      </c>
      <c r="R90">
        <v>24.7</v>
      </c>
      <c r="S90">
        <v>21.8</v>
      </c>
      <c r="T90">
        <v>17.2</v>
      </c>
      <c r="U90">
        <v>12.9</v>
      </c>
      <c r="V90">
        <v>17.8</v>
      </c>
      <c r="W90">
        <v>25.5</v>
      </c>
      <c r="X90">
        <v>21.2</v>
      </c>
      <c r="Y90">
        <v>11.7</v>
      </c>
      <c r="Z90">
        <v>19.2</v>
      </c>
      <c r="AB90">
        <f t="shared" si="54"/>
        <v>0</v>
      </c>
      <c r="AC90">
        <f t="shared" si="55"/>
        <v>0</v>
      </c>
      <c r="AD90">
        <f t="shared" si="56"/>
        <v>0</v>
      </c>
      <c r="AE90">
        <f t="shared" si="57"/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f t="shared" si="43"/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f t="shared" si="44"/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f t="shared" si="53"/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f t="shared" si="45"/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f t="shared" si="46"/>
        <v>1</v>
      </c>
      <c r="CX90">
        <f t="shared" si="81"/>
        <v>0</v>
      </c>
      <c r="CY90">
        <f t="shared" si="61"/>
        <v>1</v>
      </c>
      <c r="CZ90">
        <f t="shared" si="62"/>
        <v>0</v>
      </c>
      <c r="DA90">
        <f t="shared" si="63"/>
        <v>0</v>
      </c>
      <c r="DB90">
        <f t="shared" si="64"/>
        <v>0</v>
      </c>
      <c r="DC90">
        <f t="shared" si="65"/>
        <v>0</v>
      </c>
      <c r="DD90">
        <f t="shared" si="66"/>
        <v>0</v>
      </c>
      <c r="DE90">
        <f t="shared" si="67"/>
        <v>0</v>
      </c>
      <c r="DF90">
        <f t="shared" si="68"/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f t="shared" si="47"/>
        <v>1</v>
      </c>
      <c r="DN90">
        <f t="shared" si="48"/>
        <v>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f t="shared" si="50"/>
        <v>1</v>
      </c>
      <c r="DZ90">
        <f t="shared" si="82"/>
        <v>0</v>
      </c>
      <c r="EA90">
        <f t="shared" si="69"/>
        <v>0</v>
      </c>
      <c r="EB90">
        <f t="shared" si="70"/>
        <v>0</v>
      </c>
      <c r="EC90">
        <f t="shared" si="71"/>
        <v>0</v>
      </c>
      <c r="ED90">
        <f t="shared" si="72"/>
        <v>0</v>
      </c>
      <c r="EE90">
        <f t="shared" si="73"/>
        <v>0</v>
      </c>
      <c r="EF90">
        <f t="shared" si="74"/>
        <v>1</v>
      </c>
      <c r="EG90">
        <f t="shared" si="75"/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f t="shared" si="51"/>
        <v>1</v>
      </c>
      <c r="EO90">
        <f t="shared" si="52"/>
        <v>1</v>
      </c>
      <c r="EQ90">
        <f t="shared" si="83"/>
        <v>0</v>
      </c>
      <c r="ER90">
        <f t="shared" si="76"/>
        <v>0</v>
      </c>
      <c r="ES90">
        <f t="shared" si="77"/>
        <v>0</v>
      </c>
      <c r="ET90">
        <f t="shared" si="78"/>
        <v>0</v>
      </c>
      <c r="EU90">
        <f t="shared" si="79"/>
        <v>0</v>
      </c>
      <c r="EV90">
        <f t="shared" si="80"/>
        <v>1</v>
      </c>
      <c r="EW90">
        <f t="shared" si="58"/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f t="shared" si="59"/>
        <v>1</v>
      </c>
      <c r="FZ90">
        <v>0</v>
      </c>
      <c r="GA90">
        <v>1</v>
      </c>
      <c r="GB90">
        <v>0</v>
      </c>
      <c r="GC90">
        <v>0</v>
      </c>
      <c r="GD90">
        <v>0</v>
      </c>
      <c r="GE90">
        <v>0</v>
      </c>
      <c r="GF90">
        <v>0</v>
      </c>
      <c r="GG90">
        <f t="shared" si="60"/>
        <v>1</v>
      </c>
    </row>
    <row r="91" spans="1:189" x14ac:dyDescent="0.35">
      <c r="A91" t="s">
        <v>157</v>
      </c>
      <c r="B91">
        <f>[1]Population!$BB110</f>
        <v>60483385</v>
      </c>
      <c r="C91">
        <f>[1]RealGDP!$BB110</f>
        <v>1763885790470.2776</v>
      </c>
      <c r="D91" s="8">
        <f>[1]GDPcap!$BB110</f>
        <v>29163.146051932734</v>
      </c>
      <c r="E91" s="8">
        <v>22.263245361758962</v>
      </c>
      <c r="F91">
        <v>1.771046631239543</v>
      </c>
      <c r="G91">
        <f>RANK(D91,D$4:D91:D$201)</f>
        <v>31</v>
      </c>
      <c r="H91" t="s">
        <v>157</v>
      </c>
      <c r="J91">
        <v>5.7</v>
      </c>
      <c r="K91">
        <v>6.5</v>
      </c>
      <c r="L91">
        <v>8.4</v>
      </c>
      <c r="M91">
        <v>11.2</v>
      </c>
      <c r="N91">
        <v>15.3</v>
      </c>
      <c r="O91">
        <v>19.100000000000001</v>
      </c>
      <c r="P91">
        <v>21.9</v>
      </c>
      <c r="Q91">
        <v>21.9</v>
      </c>
      <c r="R91">
        <v>19.100000000000001</v>
      </c>
      <c r="S91">
        <v>14.8</v>
      </c>
      <c r="T91">
        <v>10.3</v>
      </c>
      <c r="U91">
        <v>6.8</v>
      </c>
      <c r="V91">
        <v>11.6</v>
      </c>
      <c r="W91">
        <v>21</v>
      </c>
      <c r="X91">
        <v>14.7</v>
      </c>
      <c r="Y91">
        <v>6.1</v>
      </c>
      <c r="Z91">
        <v>13.4</v>
      </c>
      <c r="AB91">
        <f t="shared" si="54"/>
        <v>0</v>
      </c>
      <c r="AC91">
        <f t="shared" si="55"/>
        <v>0</v>
      </c>
      <c r="AD91">
        <f t="shared" si="56"/>
        <v>0</v>
      </c>
      <c r="AE91">
        <f t="shared" si="57"/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f t="shared" si="43"/>
        <v>1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f t="shared" si="44"/>
        <v>1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f t="shared" si="53"/>
        <v>1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f t="shared" si="45"/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f t="shared" si="46"/>
        <v>1</v>
      </c>
      <c r="CX91">
        <f t="shared" si="81"/>
        <v>0</v>
      </c>
      <c r="CY91">
        <f t="shared" si="61"/>
        <v>1</v>
      </c>
      <c r="CZ91">
        <f t="shared" si="62"/>
        <v>0</v>
      </c>
      <c r="DA91">
        <f t="shared" si="63"/>
        <v>0</v>
      </c>
      <c r="DB91">
        <f t="shared" si="64"/>
        <v>0</v>
      </c>
      <c r="DC91">
        <f t="shared" si="65"/>
        <v>0</v>
      </c>
      <c r="DD91">
        <f t="shared" si="66"/>
        <v>0</v>
      </c>
      <c r="DE91">
        <f t="shared" si="67"/>
        <v>0</v>
      </c>
      <c r="DF91">
        <f t="shared" si="68"/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f t="shared" si="47"/>
        <v>0</v>
      </c>
      <c r="DN91">
        <f t="shared" si="48"/>
        <v>1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f t="shared" si="49"/>
        <v>0</v>
      </c>
      <c r="DW91">
        <v>0</v>
      </c>
      <c r="DX91">
        <f t="shared" si="50"/>
        <v>1</v>
      </c>
      <c r="DZ91">
        <f t="shared" si="82"/>
        <v>1</v>
      </c>
      <c r="EA91">
        <f t="shared" si="69"/>
        <v>0</v>
      </c>
      <c r="EB91">
        <f t="shared" si="70"/>
        <v>0</v>
      </c>
      <c r="EC91">
        <f t="shared" si="71"/>
        <v>0</v>
      </c>
      <c r="ED91">
        <f t="shared" si="72"/>
        <v>0</v>
      </c>
      <c r="EE91">
        <f t="shared" si="73"/>
        <v>0</v>
      </c>
      <c r="EF91">
        <f t="shared" si="74"/>
        <v>0</v>
      </c>
      <c r="EG91">
        <f t="shared" si="75"/>
        <v>0</v>
      </c>
      <c r="EI91">
        <v>1</v>
      </c>
      <c r="EJ91">
        <v>0</v>
      </c>
      <c r="EK91">
        <v>0</v>
      </c>
      <c r="EL91">
        <v>0</v>
      </c>
      <c r="EM91">
        <v>0</v>
      </c>
      <c r="EN91">
        <f t="shared" si="51"/>
        <v>0</v>
      </c>
      <c r="EO91">
        <f t="shared" si="52"/>
        <v>1</v>
      </c>
      <c r="EQ91">
        <f t="shared" si="83"/>
        <v>1</v>
      </c>
      <c r="ER91">
        <f t="shared" si="76"/>
        <v>0</v>
      </c>
      <c r="ES91">
        <f t="shared" si="77"/>
        <v>0</v>
      </c>
      <c r="ET91">
        <f t="shared" si="78"/>
        <v>0</v>
      </c>
      <c r="EU91">
        <f t="shared" si="79"/>
        <v>0</v>
      </c>
      <c r="EV91">
        <f t="shared" si="80"/>
        <v>0</v>
      </c>
      <c r="EW91">
        <f t="shared" si="58"/>
        <v>1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f t="shared" si="59"/>
        <v>1</v>
      </c>
      <c r="FZ91">
        <v>0</v>
      </c>
      <c r="GA91">
        <v>0</v>
      </c>
      <c r="GB91">
        <v>1</v>
      </c>
      <c r="GC91">
        <v>0</v>
      </c>
      <c r="GD91">
        <v>0</v>
      </c>
      <c r="GE91">
        <v>0</v>
      </c>
      <c r="GF91">
        <v>0</v>
      </c>
      <c r="GG91">
        <f t="shared" si="60"/>
        <v>1</v>
      </c>
    </row>
    <row r="92" spans="1:189" x14ac:dyDescent="0.35">
      <c r="A92" t="s">
        <v>159</v>
      </c>
      <c r="B92">
        <f>[1]Population!$BB111</f>
        <v>2701200</v>
      </c>
      <c r="C92">
        <f>B92*D92</f>
        <v>11696126739.263338</v>
      </c>
      <c r="D92" s="8">
        <f>[2]YpC3!$AZ$90</f>
        <v>4329.9743592711902</v>
      </c>
      <c r="E92" s="8"/>
      <c r="G92">
        <f>RANK(D92,D$4:D92:D$201)</f>
        <v>94</v>
      </c>
      <c r="Z92">
        <v>27.2</v>
      </c>
      <c r="AB92">
        <f t="shared" si="54"/>
        <v>0</v>
      </c>
      <c r="AC92">
        <f t="shared" si="55"/>
        <v>0</v>
      </c>
      <c r="AD92">
        <f t="shared" si="56"/>
        <v>1</v>
      </c>
      <c r="AE92">
        <f t="shared" si="57"/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f t="shared" si="43"/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f t="shared" si="44"/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f t="shared" si="53"/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f>SUM(BX92:CJ92)</f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f>SUM(CM92:CU92)</f>
        <v>1</v>
      </c>
      <c r="CX92">
        <f t="shared" si="81"/>
        <v>0</v>
      </c>
      <c r="CY92">
        <f t="shared" si="61"/>
        <v>0</v>
      </c>
      <c r="CZ92">
        <f t="shared" si="62"/>
        <v>0</v>
      </c>
      <c r="DA92">
        <f t="shared" si="63"/>
        <v>0</v>
      </c>
      <c r="DB92">
        <f t="shared" si="64"/>
        <v>0</v>
      </c>
      <c r="DC92">
        <f t="shared" si="65"/>
        <v>1</v>
      </c>
      <c r="DD92">
        <f t="shared" si="66"/>
        <v>0</v>
      </c>
      <c r="DE92">
        <f t="shared" si="67"/>
        <v>0</v>
      </c>
      <c r="DF92">
        <f t="shared" si="68"/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f>1-SUM(DH92:DL92)</f>
        <v>1</v>
      </c>
      <c r="DN92">
        <f t="shared" si="48"/>
        <v>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f t="shared" si="49"/>
        <v>0</v>
      </c>
      <c r="DW92">
        <v>1</v>
      </c>
      <c r="DX92">
        <f t="shared" si="50"/>
        <v>1</v>
      </c>
      <c r="DZ92">
        <f t="shared" si="82"/>
        <v>0</v>
      </c>
      <c r="EA92">
        <f t="shared" si="69"/>
        <v>0</v>
      </c>
      <c r="EB92">
        <f t="shared" si="70"/>
        <v>0</v>
      </c>
      <c r="EC92">
        <f t="shared" si="71"/>
        <v>0</v>
      </c>
      <c r="ED92">
        <f t="shared" si="72"/>
        <v>0</v>
      </c>
      <c r="EE92">
        <f t="shared" si="73"/>
        <v>0</v>
      </c>
      <c r="EF92">
        <f t="shared" si="74"/>
        <v>0</v>
      </c>
      <c r="EG92">
        <f t="shared" si="75"/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f t="shared" si="51"/>
        <v>1</v>
      </c>
      <c r="EO92">
        <f t="shared" si="52"/>
        <v>1</v>
      </c>
      <c r="EQ92">
        <f t="shared" si="83"/>
        <v>0</v>
      </c>
      <c r="ER92">
        <f t="shared" si="76"/>
        <v>0</v>
      </c>
      <c r="ES92">
        <f t="shared" si="77"/>
        <v>0</v>
      </c>
      <c r="ET92">
        <f t="shared" si="78"/>
        <v>0</v>
      </c>
      <c r="EU92">
        <f t="shared" si="79"/>
        <v>0</v>
      </c>
      <c r="EV92">
        <f t="shared" si="80"/>
        <v>1</v>
      </c>
      <c r="EW92">
        <f t="shared" si="58"/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f t="shared" si="59"/>
        <v>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f t="shared" si="60"/>
        <v>1</v>
      </c>
    </row>
    <row r="93" spans="1:189" x14ac:dyDescent="0.35">
      <c r="A93" t="s">
        <v>64</v>
      </c>
      <c r="B93">
        <f>[1]Population!$BB112</f>
        <v>127450459</v>
      </c>
      <c r="C93">
        <f>[1]RealGDP!$BB112</f>
        <v>4648468621132.7568</v>
      </c>
      <c r="D93" s="8">
        <f>[1]GDPcap!$BB112</f>
        <v>36472.749157637452</v>
      </c>
      <c r="E93" s="8">
        <v>8.8097844345772067</v>
      </c>
      <c r="F93">
        <v>5.2694315711303865</v>
      </c>
      <c r="G93">
        <f>RANK(D93,D$4:D93:D$201)</f>
        <v>22</v>
      </c>
      <c r="H93" t="s">
        <v>64</v>
      </c>
      <c r="J93">
        <v>-0.3</v>
      </c>
      <c r="K93">
        <v>0.1</v>
      </c>
      <c r="L93">
        <v>3.4</v>
      </c>
      <c r="M93">
        <v>9.4</v>
      </c>
      <c r="N93">
        <v>14.2</v>
      </c>
      <c r="O93">
        <v>17.899999999999999</v>
      </c>
      <c r="P93">
        <v>21.9</v>
      </c>
      <c r="Q93">
        <v>23.3</v>
      </c>
      <c r="R93">
        <v>19.5</v>
      </c>
      <c r="S93">
        <v>13.5</v>
      </c>
      <c r="T93">
        <v>7.9</v>
      </c>
      <c r="U93">
        <v>2.6</v>
      </c>
      <c r="V93">
        <v>9</v>
      </c>
      <c r="W93">
        <v>21.1</v>
      </c>
      <c r="X93">
        <v>13.6</v>
      </c>
      <c r="Y93">
        <v>0.8</v>
      </c>
      <c r="Z93">
        <v>11.1</v>
      </c>
      <c r="AB93">
        <f t="shared" si="54"/>
        <v>0</v>
      </c>
      <c r="AC93">
        <f t="shared" si="55"/>
        <v>0</v>
      </c>
      <c r="AD93">
        <f t="shared" si="56"/>
        <v>0</v>
      </c>
      <c r="AE93">
        <f t="shared" si="57"/>
        <v>1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f t="shared" ref="AV93:AV136" si="84">SUM(AG93:AU93)</f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f t="shared" si="44"/>
        <v>1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f t="shared" si="53"/>
        <v>1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f t="shared" si="45"/>
        <v>1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f t="shared" si="46"/>
        <v>1</v>
      </c>
      <c r="CX93">
        <f t="shared" si="81"/>
        <v>0</v>
      </c>
      <c r="CY93">
        <f t="shared" si="61"/>
        <v>0</v>
      </c>
      <c r="CZ93">
        <f t="shared" si="62"/>
        <v>1</v>
      </c>
      <c r="DA93">
        <f t="shared" si="63"/>
        <v>0</v>
      </c>
      <c r="DB93">
        <f t="shared" si="64"/>
        <v>0</v>
      </c>
      <c r="DC93">
        <f t="shared" si="65"/>
        <v>0</v>
      </c>
      <c r="DD93">
        <f t="shared" si="66"/>
        <v>0</v>
      </c>
      <c r="DE93">
        <f t="shared" si="67"/>
        <v>0</v>
      </c>
      <c r="DF93">
        <f t="shared" si="68"/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f t="shared" si="47"/>
        <v>0</v>
      </c>
      <c r="DN93">
        <f t="shared" si="48"/>
        <v>1</v>
      </c>
      <c r="DP93">
        <v>0</v>
      </c>
      <c r="DQ93">
        <v>0</v>
      </c>
      <c r="DR93">
        <v>1</v>
      </c>
      <c r="DS93">
        <v>0</v>
      </c>
      <c r="DT93">
        <v>0</v>
      </c>
      <c r="DU93">
        <v>0</v>
      </c>
      <c r="DV93">
        <f t="shared" si="49"/>
        <v>0</v>
      </c>
      <c r="DW93">
        <v>0</v>
      </c>
      <c r="DX93">
        <f t="shared" si="50"/>
        <v>1</v>
      </c>
      <c r="DZ93">
        <f t="shared" si="82"/>
        <v>0</v>
      </c>
      <c r="EA93">
        <f t="shared" si="69"/>
        <v>0</v>
      </c>
      <c r="EB93">
        <f t="shared" si="70"/>
        <v>1</v>
      </c>
      <c r="EC93">
        <f t="shared" si="71"/>
        <v>0</v>
      </c>
      <c r="ED93">
        <f t="shared" si="72"/>
        <v>0</v>
      </c>
      <c r="EE93">
        <f t="shared" si="73"/>
        <v>0</v>
      </c>
      <c r="EF93">
        <f t="shared" si="74"/>
        <v>0</v>
      </c>
      <c r="EG93">
        <f t="shared" si="75"/>
        <v>0</v>
      </c>
      <c r="EI93">
        <v>0</v>
      </c>
      <c r="EJ93">
        <v>0</v>
      </c>
      <c r="EK93">
        <v>1</v>
      </c>
      <c r="EL93">
        <v>0</v>
      </c>
      <c r="EM93">
        <v>0</v>
      </c>
      <c r="EN93">
        <f t="shared" si="51"/>
        <v>0</v>
      </c>
      <c r="EO93">
        <f t="shared" si="52"/>
        <v>1</v>
      </c>
      <c r="EQ93">
        <f t="shared" si="83"/>
        <v>0</v>
      </c>
      <c r="ER93">
        <f t="shared" si="76"/>
        <v>0</v>
      </c>
      <c r="ES93">
        <f t="shared" si="77"/>
        <v>1</v>
      </c>
      <c r="ET93">
        <f t="shared" si="78"/>
        <v>0</v>
      </c>
      <c r="EU93">
        <f t="shared" si="79"/>
        <v>0</v>
      </c>
      <c r="EV93">
        <f t="shared" si="80"/>
        <v>0</v>
      </c>
      <c r="EW93">
        <f t="shared" si="58"/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f t="shared" si="59"/>
        <v>1</v>
      </c>
      <c r="FZ93">
        <v>0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f t="shared" si="60"/>
        <v>1</v>
      </c>
    </row>
    <row r="94" spans="1:189" x14ac:dyDescent="0.35">
      <c r="A94" t="s">
        <v>251</v>
      </c>
      <c r="B94">
        <f>[1]Population!$BB114</f>
        <v>6046000</v>
      </c>
      <c r="C94">
        <f>[1]RealGDP!$BB114</f>
        <v>17034536275.580128</v>
      </c>
      <c r="D94" s="8">
        <f>[1]GDPcap!$BB114</f>
        <v>2817.4886330764352</v>
      </c>
      <c r="E94" s="8">
        <v>15.978557190917305</v>
      </c>
      <c r="F94">
        <v>1.1022598204990508</v>
      </c>
      <c r="G94">
        <f>RANK(D94,D$4:D94:D$201)</f>
        <v>113</v>
      </c>
      <c r="H94" t="s">
        <v>251</v>
      </c>
      <c r="J94">
        <v>8.1999999999999993</v>
      </c>
      <c r="K94">
        <v>9.8000000000000007</v>
      </c>
      <c r="L94">
        <v>13</v>
      </c>
      <c r="M94">
        <v>17.600000000000001</v>
      </c>
      <c r="N94">
        <v>21.9</v>
      </c>
      <c r="O94">
        <v>25.3</v>
      </c>
      <c r="P94">
        <v>27</v>
      </c>
      <c r="Q94">
        <v>27</v>
      </c>
      <c r="R94">
        <v>24.8</v>
      </c>
      <c r="S94">
        <v>20.6</v>
      </c>
      <c r="T94">
        <v>14.6</v>
      </c>
      <c r="U94">
        <v>9.6999999999999993</v>
      </c>
      <c r="V94">
        <v>17.5</v>
      </c>
      <c r="W94">
        <v>26.4</v>
      </c>
      <c r="X94">
        <v>20</v>
      </c>
      <c r="Y94">
        <v>8.9</v>
      </c>
      <c r="Z94">
        <v>18.3</v>
      </c>
      <c r="AB94">
        <f t="shared" si="54"/>
        <v>0</v>
      </c>
      <c r="AC94">
        <f t="shared" si="55"/>
        <v>1</v>
      </c>
      <c r="AD94">
        <f t="shared" si="56"/>
        <v>0</v>
      </c>
      <c r="AE94">
        <f t="shared" si="57"/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f t="shared" si="84"/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f t="shared" si="44"/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f t="shared" si="53"/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f t="shared" si="45"/>
        <v>1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f t="shared" si="46"/>
        <v>1</v>
      </c>
      <c r="CX94">
        <f t="shared" si="81"/>
        <v>0</v>
      </c>
      <c r="CY94">
        <f t="shared" si="61"/>
        <v>0</v>
      </c>
      <c r="CZ94">
        <f t="shared" si="62"/>
        <v>0</v>
      </c>
      <c r="DA94">
        <f t="shared" si="63"/>
        <v>0</v>
      </c>
      <c r="DB94">
        <f t="shared" si="64"/>
        <v>1</v>
      </c>
      <c r="DC94">
        <f t="shared" si="65"/>
        <v>0</v>
      </c>
      <c r="DD94">
        <f t="shared" si="66"/>
        <v>0</v>
      </c>
      <c r="DE94">
        <f t="shared" si="67"/>
        <v>0</v>
      </c>
      <c r="DF94">
        <f t="shared" si="68"/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f t="shared" si="47"/>
        <v>1</v>
      </c>
      <c r="DN94">
        <f t="shared" si="48"/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f t="shared" si="49"/>
        <v>1</v>
      </c>
      <c r="DW94">
        <v>0</v>
      </c>
      <c r="DX94">
        <f t="shared" si="50"/>
        <v>1</v>
      </c>
      <c r="DZ94">
        <f t="shared" si="82"/>
        <v>0</v>
      </c>
      <c r="EA94">
        <f t="shared" si="69"/>
        <v>0</v>
      </c>
      <c r="EB94">
        <f t="shared" si="70"/>
        <v>0</v>
      </c>
      <c r="EC94">
        <f t="shared" si="71"/>
        <v>0</v>
      </c>
      <c r="ED94">
        <f t="shared" si="72"/>
        <v>0</v>
      </c>
      <c r="EE94">
        <f t="shared" si="73"/>
        <v>0</v>
      </c>
      <c r="EF94">
        <f t="shared" si="74"/>
        <v>1</v>
      </c>
      <c r="EG94">
        <f t="shared" si="75"/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f t="shared" si="51"/>
        <v>1</v>
      </c>
      <c r="EO94">
        <f t="shared" si="52"/>
        <v>1</v>
      </c>
      <c r="EQ94">
        <f t="shared" si="83"/>
        <v>0</v>
      </c>
      <c r="ER94">
        <f t="shared" si="76"/>
        <v>0</v>
      </c>
      <c r="ES94">
        <f t="shared" si="77"/>
        <v>0</v>
      </c>
      <c r="ET94">
        <f t="shared" si="78"/>
        <v>0</v>
      </c>
      <c r="EU94">
        <f t="shared" si="79"/>
        <v>0</v>
      </c>
      <c r="EV94">
        <f t="shared" si="80"/>
        <v>1</v>
      </c>
      <c r="EW94">
        <f t="shared" si="58"/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f t="shared" si="59"/>
        <v>1</v>
      </c>
      <c r="FZ94">
        <v>0</v>
      </c>
      <c r="GA94">
        <v>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f t="shared" si="60"/>
        <v>1</v>
      </c>
    </row>
    <row r="95" spans="1:189" x14ac:dyDescent="0.35">
      <c r="A95" t="s">
        <v>377</v>
      </c>
      <c r="B95">
        <f>[1]Population!$BB115</f>
        <v>16323287</v>
      </c>
      <c r="C95">
        <f>[1]RealGDP!$BB115</f>
        <v>77245319067.247726</v>
      </c>
      <c r="D95" s="8">
        <f>[1]GDPcap!$BB115</f>
        <v>4732.2159481266071</v>
      </c>
      <c r="E95" s="8">
        <v>15.712380463649797</v>
      </c>
      <c r="F95">
        <v>4.5105275295561409</v>
      </c>
      <c r="G95">
        <f>RANK(D95,D$4:D95:D$201)</f>
        <v>89</v>
      </c>
      <c r="H95" t="s">
        <v>377</v>
      </c>
      <c r="J95">
        <v>-11.8</v>
      </c>
      <c r="K95">
        <v>-11.3</v>
      </c>
      <c r="L95">
        <v>-3.5</v>
      </c>
      <c r="M95">
        <v>8.6</v>
      </c>
      <c r="N95">
        <v>16.100000000000001</v>
      </c>
      <c r="O95">
        <v>21.2</v>
      </c>
      <c r="P95">
        <v>23.7</v>
      </c>
      <c r="Q95">
        <v>21.2</v>
      </c>
      <c r="R95">
        <v>15.3</v>
      </c>
      <c r="S95">
        <v>6.5</v>
      </c>
      <c r="T95">
        <v>-1.4</v>
      </c>
      <c r="U95">
        <v>-8.1</v>
      </c>
      <c r="V95">
        <v>7.1</v>
      </c>
      <c r="W95">
        <v>22</v>
      </c>
      <c r="X95">
        <v>6.8</v>
      </c>
      <c r="Y95">
        <v>-10.1</v>
      </c>
      <c r="Z95">
        <v>6.4</v>
      </c>
      <c r="AB95">
        <f t="shared" si="54"/>
        <v>0</v>
      </c>
      <c r="AC95">
        <f t="shared" si="55"/>
        <v>0</v>
      </c>
      <c r="AD95">
        <f t="shared" si="56"/>
        <v>1</v>
      </c>
      <c r="AE95">
        <f t="shared" si="57"/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f t="shared" si="84"/>
        <v>1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f t="shared" si="44"/>
        <v>1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f t="shared" si="53"/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f t="shared" si="45"/>
        <v>1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f t="shared" si="46"/>
        <v>1</v>
      </c>
      <c r="CX95">
        <f t="shared" si="81"/>
        <v>0</v>
      </c>
      <c r="CY95">
        <f t="shared" si="61"/>
        <v>0</v>
      </c>
      <c r="CZ95">
        <f t="shared" si="62"/>
        <v>0</v>
      </c>
      <c r="DA95">
        <f t="shared" si="63"/>
        <v>1</v>
      </c>
      <c r="DB95">
        <f t="shared" si="64"/>
        <v>0</v>
      </c>
      <c r="DC95">
        <f t="shared" si="65"/>
        <v>0</v>
      </c>
      <c r="DD95">
        <f t="shared" si="66"/>
        <v>0</v>
      </c>
      <c r="DE95">
        <f t="shared" si="67"/>
        <v>0</v>
      </c>
      <c r="DF95">
        <f t="shared" si="68"/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f t="shared" si="47"/>
        <v>0</v>
      </c>
      <c r="DN95">
        <f t="shared" si="48"/>
        <v>1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0</v>
      </c>
      <c r="DV95">
        <f t="shared" si="49"/>
        <v>0</v>
      </c>
      <c r="DW95">
        <v>0</v>
      </c>
      <c r="DX95">
        <f t="shared" si="50"/>
        <v>1</v>
      </c>
      <c r="DZ95">
        <f t="shared" si="82"/>
        <v>0</v>
      </c>
      <c r="EA95">
        <f t="shared" si="69"/>
        <v>0</v>
      </c>
      <c r="EB95">
        <f t="shared" si="70"/>
        <v>0</v>
      </c>
      <c r="EC95">
        <f t="shared" si="71"/>
        <v>1</v>
      </c>
      <c r="ED95">
        <f t="shared" si="72"/>
        <v>0</v>
      </c>
      <c r="EE95">
        <f t="shared" si="73"/>
        <v>0</v>
      </c>
      <c r="EF95">
        <f t="shared" si="74"/>
        <v>0</v>
      </c>
      <c r="EG95">
        <f t="shared" si="75"/>
        <v>0</v>
      </c>
      <c r="EI95">
        <v>0</v>
      </c>
      <c r="EJ95">
        <v>0</v>
      </c>
      <c r="EK95">
        <v>0</v>
      </c>
      <c r="EL95">
        <v>1</v>
      </c>
      <c r="EM95">
        <v>0</v>
      </c>
      <c r="EN95">
        <f t="shared" si="51"/>
        <v>0</v>
      </c>
      <c r="EO95">
        <f t="shared" si="52"/>
        <v>1</v>
      </c>
      <c r="EQ95">
        <f t="shared" si="83"/>
        <v>0</v>
      </c>
      <c r="ER95">
        <f t="shared" si="76"/>
        <v>0</v>
      </c>
      <c r="ES95">
        <f t="shared" si="77"/>
        <v>0</v>
      </c>
      <c r="ET95">
        <f t="shared" si="78"/>
        <v>1</v>
      </c>
      <c r="EU95">
        <f t="shared" si="79"/>
        <v>0</v>
      </c>
      <c r="EV95">
        <f t="shared" si="80"/>
        <v>0</v>
      </c>
      <c r="EW95">
        <f t="shared" si="58"/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f t="shared" si="59"/>
        <v>1</v>
      </c>
      <c r="FZ95">
        <v>0</v>
      </c>
      <c r="GA95">
        <v>0</v>
      </c>
      <c r="GB95">
        <v>0</v>
      </c>
      <c r="GC95">
        <v>1</v>
      </c>
      <c r="GD95">
        <v>0</v>
      </c>
      <c r="GE95">
        <v>0</v>
      </c>
      <c r="GF95">
        <v>0</v>
      </c>
      <c r="GG95">
        <f t="shared" si="60"/>
        <v>1</v>
      </c>
    </row>
    <row r="96" spans="1:189" x14ac:dyDescent="0.35">
      <c r="A96" t="s">
        <v>160</v>
      </c>
      <c r="B96">
        <f>[1]Population!$BB116</f>
        <v>40909194</v>
      </c>
      <c r="C96">
        <f>[1]RealGDP!$BB116</f>
        <v>23525253225.790203</v>
      </c>
      <c r="D96" s="8">
        <f>[1]GDPcap!$BB116</f>
        <v>575.06029636736923</v>
      </c>
      <c r="E96" s="8"/>
      <c r="F96">
        <v>24.826217487264678</v>
      </c>
      <c r="G96">
        <f>RANK(D96,D$4:D96:D$201)</f>
        <v>170</v>
      </c>
      <c r="H96" t="s">
        <v>160</v>
      </c>
      <c r="J96">
        <v>25.1</v>
      </c>
      <c r="K96">
        <v>25.9</v>
      </c>
      <c r="L96">
        <v>26.3</v>
      </c>
      <c r="M96">
        <v>25.7</v>
      </c>
      <c r="N96">
        <v>24.7</v>
      </c>
      <c r="O96">
        <v>23.7</v>
      </c>
      <c r="P96">
        <v>23.1</v>
      </c>
      <c r="Q96">
        <v>23.4</v>
      </c>
      <c r="R96">
        <v>24.2</v>
      </c>
      <c r="S96">
        <v>25</v>
      </c>
      <c r="T96">
        <v>24.8</v>
      </c>
      <c r="U96">
        <v>24.8</v>
      </c>
      <c r="V96">
        <v>25.6</v>
      </c>
      <c r="W96">
        <v>23.4</v>
      </c>
      <c r="X96">
        <v>24.7</v>
      </c>
      <c r="Y96">
        <v>24.4</v>
      </c>
      <c r="Z96">
        <v>24.7</v>
      </c>
      <c r="AB96">
        <f t="shared" si="54"/>
        <v>1</v>
      </c>
      <c r="AC96">
        <f t="shared" si="55"/>
        <v>0</v>
      </c>
      <c r="AD96">
        <f t="shared" si="56"/>
        <v>0</v>
      </c>
      <c r="AE96">
        <f t="shared" si="57"/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f t="shared" si="84"/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f t="shared" si="44"/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f t="shared" si="53"/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f t="shared" si="45"/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f t="shared" si="46"/>
        <v>1</v>
      </c>
      <c r="CX96">
        <f t="shared" si="81"/>
        <v>0</v>
      </c>
      <c r="CY96">
        <f t="shared" si="61"/>
        <v>0</v>
      </c>
      <c r="CZ96">
        <f t="shared" si="62"/>
        <v>0</v>
      </c>
      <c r="DA96">
        <f t="shared" si="63"/>
        <v>0</v>
      </c>
      <c r="DB96">
        <f t="shared" si="64"/>
        <v>0</v>
      </c>
      <c r="DC96">
        <f t="shared" si="65"/>
        <v>0</v>
      </c>
      <c r="DD96">
        <f t="shared" si="66"/>
        <v>0</v>
      </c>
      <c r="DE96">
        <f t="shared" si="67"/>
        <v>0</v>
      </c>
      <c r="DF96">
        <f t="shared" si="68"/>
        <v>1</v>
      </c>
      <c r="DH96">
        <v>0</v>
      </c>
      <c r="DI96">
        <v>0</v>
      </c>
      <c r="DJ96">
        <v>0</v>
      </c>
      <c r="DK96">
        <v>0</v>
      </c>
      <c r="DL96">
        <v>0</v>
      </c>
      <c r="DM96">
        <f t="shared" si="47"/>
        <v>1</v>
      </c>
      <c r="DN96">
        <f t="shared" si="48"/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f t="shared" si="49"/>
        <v>1</v>
      </c>
      <c r="DW96">
        <v>0</v>
      </c>
      <c r="DX96">
        <f t="shared" si="50"/>
        <v>1</v>
      </c>
      <c r="DZ96">
        <f t="shared" si="82"/>
        <v>0</v>
      </c>
      <c r="EA96">
        <f t="shared" si="69"/>
        <v>0</v>
      </c>
      <c r="EB96">
        <f t="shared" si="70"/>
        <v>0</v>
      </c>
      <c r="EC96">
        <f t="shared" si="71"/>
        <v>0</v>
      </c>
      <c r="ED96">
        <f t="shared" si="72"/>
        <v>0</v>
      </c>
      <c r="EE96">
        <f t="shared" si="73"/>
        <v>0</v>
      </c>
      <c r="EF96">
        <f t="shared" si="74"/>
        <v>1</v>
      </c>
      <c r="EG96">
        <f t="shared" si="75"/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f t="shared" si="51"/>
        <v>1</v>
      </c>
      <c r="EO96">
        <f t="shared" si="52"/>
        <v>1</v>
      </c>
      <c r="EQ96">
        <f t="shared" si="83"/>
        <v>0</v>
      </c>
      <c r="ER96">
        <f t="shared" si="76"/>
        <v>0</v>
      </c>
      <c r="ES96">
        <f t="shared" si="77"/>
        <v>0</v>
      </c>
      <c r="ET96">
        <f t="shared" si="78"/>
        <v>0</v>
      </c>
      <c r="EU96">
        <f t="shared" si="79"/>
        <v>0</v>
      </c>
      <c r="EV96">
        <f t="shared" si="80"/>
        <v>1</v>
      </c>
      <c r="EW96">
        <f t="shared" si="58"/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1</v>
      </c>
      <c r="FX96">
        <f t="shared" si="59"/>
        <v>1</v>
      </c>
      <c r="FZ96">
        <v>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f t="shared" si="60"/>
        <v>1</v>
      </c>
    </row>
    <row r="97" spans="1:189" x14ac:dyDescent="0.35">
      <c r="A97" t="s">
        <v>378</v>
      </c>
      <c r="B97">
        <f>[1]Population!$BB117</f>
        <v>97743</v>
      </c>
      <c r="C97">
        <f>[1]RealGDP!$BB117</f>
        <v>110681568.59474988</v>
      </c>
      <c r="D97" s="8">
        <f>[1]GDPcap!$BB117</f>
        <v>1132.3733525137338</v>
      </c>
      <c r="E97" s="8">
        <v>16.002579541523886</v>
      </c>
      <c r="F97">
        <v>23.524698177274395</v>
      </c>
      <c r="G97">
        <f>RANK(D97,D$4:D97:D$201)</f>
        <v>145</v>
      </c>
      <c r="H97" t="s">
        <v>378</v>
      </c>
      <c r="J97">
        <v>28.1</v>
      </c>
      <c r="K97">
        <v>28.2</v>
      </c>
      <c r="L97">
        <v>28.2</v>
      </c>
      <c r="M97">
        <v>28.1</v>
      </c>
      <c r="N97">
        <v>28.5</v>
      </c>
      <c r="O97">
        <v>28.2</v>
      </c>
      <c r="P97">
        <v>28</v>
      </c>
      <c r="Q97">
        <v>28</v>
      </c>
      <c r="R97">
        <v>28.1</v>
      </c>
      <c r="S97">
        <v>28</v>
      </c>
      <c r="T97">
        <v>28.3</v>
      </c>
      <c r="U97">
        <v>28.2</v>
      </c>
      <c r="V97">
        <v>28.3</v>
      </c>
      <c r="W97">
        <v>28.1</v>
      </c>
      <c r="X97">
        <v>28.2</v>
      </c>
      <c r="Y97">
        <v>27.2</v>
      </c>
      <c r="Z97">
        <v>28.2</v>
      </c>
      <c r="AB97">
        <f t="shared" si="54"/>
        <v>0</v>
      </c>
      <c r="AC97">
        <f t="shared" si="55"/>
        <v>1</v>
      </c>
      <c r="AD97">
        <f t="shared" si="56"/>
        <v>0</v>
      </c>
      <c r="AE97">
        <f t="shared" si="57"/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f t="shared" si="84"/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f t="shared" si="44"/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f t="shared" si="53"/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f t="shared" si="45"/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f t="shared" si="46"/>
        <v>1</v>
      </c>
      <c r="CX97">
        <f t="shared" si="81"/>
        <v>0</v>
      </c>
      <c r="CY97">
        <f t="shared" si="61"/>
        <v>0</v>
      </c>
      <c r="CZ97">
        <f t="shared" si="62"/>
        <v>0</v>
      </c>
      <c r="DA97">
        <f t="shared" si="63"/>
        <v>0</v>
      </c>
      <c r="DB97">
        <f t="shared" si="64"/>
        <v>0</v>
      </c>
      <c r="DC97">
        <f t="shared" si="65"/>
        <v>0</v>
      </c>
      <c r="DD97">
        <f t="shared" si="66"/>
        <v>1</v>
      </c>
      <c r="DE97">
        <f t="shared" si="67"/>
        <v>0</v>
      </c>
      <c r="DF97">
        <f t="shared" si="68"/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f t="shared" si="47"/>
        <v>1</v>
      </c>
      <c r="DN97">
        <f t="shared" si="48"/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f t="shared" si="49"/>
        <v>0</v>
      </c>
      <c r="DW97">
        <v>0</v>
      </c>
      <c r="DX97">
        <f t="shared" si="50"/>
        <v>1</v>
      </c>
      <c r="DZ97">
        <f t="shared" si="82"/>
        <v>0</v>
      </c>
      <c r="EA97">
        <f t="shared" si="69"/>
        <v>0</v>
      </c>
      <c r="EB97">
        <f t="shared" si="70"/>
        <v>0</v>
      </c>
      <c r="EC97">
        <f t="shared" si="71"/>
        <v>0</v>
      </c>
      <c r="ED97">
        <f t="shared" si="72"/>
        <v>0</v>
      </c>
      <c r="EE97">
        <f t="shared" si="73"/>
        <v>1</v>
      </c>
      <c r="EF97">
        <f t="shared" si="74"/>
        <v>0</v>
      </c>
      <c r="EG97">
        <f t="shared" si="75"/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f t="shared" si="51"/>
        <v>1</v>
      </c>
      <c r="EO97">
        <f t="shared" si="52"/>
        <v>1</v>
      </c>
      <c r="EQ97">
        <f t="shared" si="83"/>
        <v>0</v>
      </c>
      <c r="ER97">
        <f t="shared" si="76"/>
        <v>0</v>
      </c>
      <c r="ES97">
        <f t="shared" si="77"/>
        <v>0</v>
      </c>
      <c r="ET97">
        <f t="shared" si="78"/>
        <v>0</v>
      </c>
      <c r="EU97">
        <f t="shared" si="79"/>
        <v>0</v>
      </c>
      <c r="EV97">
        <f t="shared" si="80"/>
        <v>1</v>
      </c>
      <c r="EW97">
        <f t="shared" si="58"/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0</v>
      </c>
      <c r="FX97">
        <f t="shared" si="59"/>
        <v>1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</v>
      </c>
      <c r="GF97">
        <v>0</v>
      </c>
      <c r="GG97">
        <f t="shared" si="60"/>
        <v>1</v>
      </c>
    </row>
    <row r="98" spans="1:189" x14ac:dyDescent="0.35">
      <c r="A98" t="s">
        <v>379</v>
      </c>
      <c r="B98">
        <f>[1]Population!$BB118</f>
        <v>1775680</v>
      </c>
      <c r="C98">
        <f>[1]RealGDP!$BB118</f>
        <v>4776327556.26161</v>
      </c>
      <c r="D98" s="8">
        <f>[1]GDPcap!$BB118</f>
        <v>2689.8582831712979</v>
      </c>
      <c r="E98" s="8"/>
      <c r="F98">
        <v>13.604143947655395</v>
      </c>
      <c r="G98">
        <f>RANK(D98,D$4:D98:D$201)</f>
        <v>115</v>
      </c>
      <c r="H98" t="s">
        <v>203</v>
      </c>
      <c r="J98">
        <v>-1.6</v>
      </c>
      <c r="K98">
        <v>0.5</v>
      </c>
      <c r="L98">
        <v>4.5999999999999996</v>
      </c>
      <c r="M98">
        <v>9.9</v>
      </c>
      <c r="N98">
        <v>14.7</v>
      </c>
      <c r="O98">
        <v>17.899999999999999</v>
      </c>
      <c r="P98">
        <v>19.899999999999999</v>
      </c>
      <c r="Q98">
        <v>19.7</v>
      </c>
      <c r="R98">
        <v>16.100000000000001</v>
      </c>
      <c r="S98">
        <v>10.7</v>
      </c>
      <c r="T98">
        <v>5.2</v>
      </c>
      <c r="U98">
        <v>0.8</v>
      </c>
      <c r="V98">
        <v>9.6999999999999993</v>
      </c>
      <c r="W98">
        <v>19.2</v>
      </c>
      <c r="X98">
        <v>10.6</v>
      </c>
      <c r="Y98">
        <v>-0.1</v>
      </c>
      <c r="Z98">
        <v>9.9</v>
      </c>
      <c r="AB98">
        <f t="shared" si="54"/>
        <v>0</v>
      </c>
      <c r="AC98">
        <f t="shared" si="55"/>
        <v>1</v>
      </c>
      <c r="AD98">
        <f t="shared" si="56"/>
        <v>0</v>
      </c>
      <c r="AE98">
        <f t="shared" si="57"/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f t="shared" si="84"/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f t="shared" si="44"/>
        <v>1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f t="shared" si="53"/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f t="shared" si="45"/>
        <v>1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f t="shared" si="46"/>
        <v>1</v>
      </c>
      <c r="CX98">
        <f t="shared" si="81"/>
        <v>0</v>
      </c>
      <c r="CY98">
        <f t="shared" si="61"/>
        <v>0</v>
      </c>
      <c r="CZ98">
        <f t="shared" si="62"/>
        <v>0</v>
      </c>
      <c r="DA98">
        <f t="shared" si="63"/>
        <v>1</v>
      </c>
      <c r="DB98">
        <f t="shared" si="64"/>
        <v>0</v>
      </c>
      <c r="DC98">
        <f t="shared" si="65"/>
        <v>0</v>
      </c>
      <c r="DD98">
        <f t="shared" si="66"/>
        <v>0</v>
      </c>
      <c r="DE98">
        <f t="shared" si="67"/>
        <v>0</v>
      </c>
      <c r="DF98">
        <f t="shared" si="68"/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f t="shared" si="47"/>
        <v>1</v>
      </c>
      <c r="DN98">
        <f t="shared" si="48"/>
        <v>1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f t="shared" si="49"/>
        <v>0</v>
      </c>
      <c r="DW98">
        <v>0</v>
      </c>
      <c r="DX98">
        <f t="shared" si="50"/>
        <v>1</v>
      </c>
      <c r="DZ98">
        <f t="shared" si="82"/>
        <v>0</v>
      </c>
      <c r="EA98">
        <f t="shared" si="69"/>
        <v>0</v>
      </c>
      <c r="EB98">
        <f t="shared" si="70"/>
        <v>0</v>
      </c>
      <c r="EC98">
        <f t="shared" si="71"/>
        <v>1</v>
      </c>
      <c r="ED98">
        <f t="shared" si="72"/>
        <v>0</v>
      </c>
      <c r="EE98">
        <f t="shared" si="73"/>
        <v>0</v>
      </c>
      <c r="EF98">
        <f t="shared" si="74"/>
        <v>0</v>
      </c>
      <c r="EG98">
        <f t="shared" si="75"/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f t="shared" si="51"/>
        <v>1</v>
      </c>
      <c r="EO98">
        <f t="shared" si="52"/>
        <v>1</v>
      </c>
      <c r="EQ98">
        <f t="shared" si="83"/>
        <v>0</v>
      </c>
      <c r="ER98">
        <f t="shared" si="76"/>
        <v>0</v>
      </c>
      <c r="ES98">
        <f t="shared" si="77"/>
        <v>0</v>
      </c>
      <c r="ET98">
        <f t="shared" si="78"/>
        <v>0</v>
      </c>
      <c r="EU98">
        <f t="shared" si="79"/>
        <v>0</v>
      </c>
      <c r="EV98">
        <f t="shared" si="80"/>
        <v>1</v>
      </c>
      <c r="EW98">
        <f t="shared" si="58"/>
        <v>1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f t="shared" si="59"/>
        <v>1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f t="shared" si="60"/>
        <v>1</v>
      </c>
    </row>
    <row r="99" spans="1:189" x14ac:dyDescent="0.35">
      <c r="A99" t="s">
        <v>380</v>
      </c>
      <c r="B99">
        <f>[1]Population!$BB119</f>
        <v>2991580</v>
      </c>
      <c r="C99">
        <f>[1]RealGDP!$BB119</f>
        <v>85606896366.229919</v>
      </c>
      <c r="D99" s="8">
        <f>[1]GDPcap!$BB119</f>
        <v>28615.94754819524</v>
      </c>
      <c r="E99" s="8">
        <v>0.97947042090020597</v>
      </c>
      <c r="F99">
        <v>0.45164469408176167</v>
      </c>
      <c r="G99">
        <f>RANK(D99,D$4:D99:D$201)</f>
        <v>32</v>
      </c>
      <c r="H99" t="s">
        <v>380</v>
      </c>
      <c r="J99">
        <v>12.8</v>
      </c>
      <c r="K99">
        <v>15</v>
      </c>
      <c r="L99">
        <v>19.399999999999999</v>
      </c>
      <c r="M99">
        <v>24.4</v>
      </c>
      <c r="N99">
        <v>30.8</v>
      </c>
      <c r="O99">
        <v>34.700000000000003</v>
      </c>
      <c r="P99">
        <v>36.299999999999997</v>
      </c>
      <c r="Q99">
        <v>35.799999999999997</v>
      </c>
      <c r="R99">
        <v>32.799999999999997</v>
      </c>
      <c r="S99">
        <v>27.4</v>
      </c>
      <c r="T99">
        <v>20.2</v>
      </c>
      <c r="U99">
        <v>14.5</v>
      </c>
      <c r="V99">
        <v>24.9</v>
      </c>
      <c r="W99">
        <v>35.6</v>
      </c>
      <c r="X99">
        <v>26.8</v>
      </c>
      <c r="Y99">
        <v>13.6</v>
      </c>
      <c r="Z99">
        <v>25.3</v>
      </c>
      <c r="AB99">
        <f t="shared" si="54"/>
        <v>0</v>
      </c>
      <c r="AC99">
        <f t="shared" si="55"/>
        <v>0</v>
      </c>
      <c r="AD99">
        <f t="shared" si="56"/>
        <v>0</v>
      </c>
      <c r="AE99">
        <f t="shared" si="57"/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f t="shared" si="84"/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f t="shared" si="44"/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f t="shared" si="53"/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f t="shared" si="45"/>
        <v>1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f t="shared" si="46"/>
        <v>1</v>
      </c>
      <c r="CX99">
        <f t="shared" si="81"/>
        <v>0</v>
      </c>
      <c r="CY99">
        <f t="shared" si="61"/>
        <v>0</v>
      </c>
      <c r="CZ99">
        <f t="shared" si="62"/>
        <v>0</v>
      </c>
      <c r="DA99">
        <f t="shared" si="63"/>
        <v>0</v>
      </c>
      <c r="DB99">
        <f t="shared" si="64"/>
        <v>1</v>
      </c>
      <c r="DC99">
        <f t="shared" si="65"/>
        <v>0</v>
      </c>
      <c r="DD99">
        <f t="shared" si="66"/>
        <v>0</v>
      </c>
      <c r="DE99">
        <f t="shared" si="67"/>
        <v>0</v>
      </c>
      <c r="DF99">
        <f t="shared" si="68"/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f t="shared" si="47"/>
        <v>1</v>
      </c>
      <c r="DN99">
        <f t="shared" si="48"/>
        <v>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f t="shared" si="49"/>
        <v>1</v>
      </c>
      <c r="DW99">
        <v>0</v>
      </c>
      <c r="DX99">
        <f t="shared" si="50"/>
        <v>1</v>
      </c>
      <c r="DZ99">
        <f t="shared" si="82"/>
        <v>0</v>
      </c>
      <c r="EA99">
        <f t="shared" si="69"/>
        <v>0</v>
      </c>
      <c r="EB99">
        <f t="shared" si="70"/>
        <v>0</v>
      </c>
      <c r="EC99">
        <f t="shared" si="71"/>
        <v>0</v>
      </c>
      <c r="ED99">
        <f t="shared" si="72"/>
        <v>0</v>
      </c>
      <c r="EE99">
        <f t="shared" si="73"/>
        <v>0</v>
      </c>
      <c r="EF99">
        <f t="shared" si="74"/>
        <v>1</v>
      </c>
      <c r="EG99">
        <f t="shared" si="75"/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f t="shared" si="51"/>
        <v>1</v>
      </c>
      <c r="EO99">
        <f t="shared" si="52"/>
        <v>1</v>
      </c>
      <c r="EQ99">
        <f t="shared" si="83"/>
        <v>0</v>
      </c>
      <c r="ER99">
        <f t="shared" si="76"/>
        <v>0</v>
      </c>
      <c r="ES99">
        <f t="shared" si="77"/>
        <v>0</v>
      </c>
      <c r="ET99">
        <f t="shared" si="78"/>
        <v>0</v>
      </c>
      <c r="EU99">
        <f t="shared" si="79"/>
        <v>0</v>
      </c>
      <c r="EV99">
        <f t="shared" si="80"/>
        <v>1</v>
      </c>
      <c r="EW99">
        <f t="shared" si="58"/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f t="shared" si="59"/>
        <v>1</v>
      </c>
      <c r="FZ99">
        <v>0</v>
      </c>
      <c r="GA99">
        <v>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f t="shared" si="60"/>
        <v>1</v>
      </c>
    </row>
    <row r="100" spans="1:189" x14ac:dyDescent="0.35">
      <c r="A100" t="s">
        <v>252</v>
      </c>
      <c r="B100">
        <f>[1]Population!$BB120</f>
        <v>5447900</v>
      </c>
      <c r="C100">
        <f>[1]RealGDP!$BB120</f>
        <v>3055806771.435782</v>
      </c>
      <c r="D100" s="8">
        <f>[1]GDPcap!$BB120</f>
        <v>560.91462241153135</v>
      </c>
      <c r="E100" s="8"/>
      <c r="F100">
        <v>17.448256177244289</v>
      </c>
      <c r="G100">
        <f>RANK(D100,D$4:D100:D$201)</f>
        <v>171</v>
      </c>
      <c r="H100" t="s">
        <v>252</v>
      </c>
      <c r="J100">
        <v>-13.8</v>
      </c>
      <c r="K100">
        <v>-12.3</v>
      </c>
      <c r="L100">
        <v>-4.5999999999999996</v>
      </c>
      <c r="M100">
        <v>3.7</v>
      </c>
      <c r="N100">
        <v>8.1</v>
      </c>
      <c r="O100">
        <v>12.1</v>
      </c>
      <c r="P100">
        <v>14.9</v>
      </c>
      <c r="Q100">
        <v>14.2</v>
      </c>
      <c r="R100">
        <v>9.4</v>
      </c>
      <c r="S100">
        <v>2.6</v>
      </c>
      <c r="T100">
        <v>-4.8</v>
      </c>
      <c r="U100">
        <v>-10.6</v>
      </c>
      <c r="V100">
        <v>2.4</v>
      </c>
      <c r="W100">
        <v>13.7</v>
      </c>
      <c r="X100">
        <v>2.4</v>
      </c>
      <c r="Y100">
        <v>-11.9</v>
      </c>
      <c r="Z100">
        <v>1.6</v>
      </c>
      <c r="AB100">
        <f t="shared" si="54"/>
        <v>1</v>
      </c>
      <c r="AC100">
        <f t="shared" si="55"/>
        <v>0</v>
      </c>
      <c r="AD100">
        <f t="shared" si="56"/>
        <v>0</v>
      </c>
      <c r="AE100">
        <f t="shared" si="57"/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f t="shared" si="84"/>
        <v>1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f t="shared" si="44"/>
        <v>1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f t="shared" ref="BV100:BV131" si="85">SUM(BN100:BU100)</f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f t="shared" si="45"/>
        <v>1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f t="shared" si="46"/>
        <v>1</v>
      </c>
      <c r="CX100">
        <f t="shared" si="81"/>
        <v>0</v>
      </c>
      <c r="CY100">
        <f t="shared" si="61"/>
        <v>0</v>
      </c>
      <c r="CZ100">
        <f t="shared" si="62"/>
        <v>0</v>
      </c>
      <c r="DA100">
        <f t="shared" si="63"/>
        <v>1</v>
      </c>
      <c r="DB100">
        <f t="shared" si="64"/>
        <v>0</v>
      </c>
      <c r="DC100">
        <f t="shared" si="65"/>
        <v>0</v>
      </c>
      <c r="DD100">
        <f t="shared" si="66"/>
        <v>0</v>
      </c>
      <c r="DE100">
        <f t="shared" si="67"/>
        <v>0</v>
      </c>
      <c r="DF100">
        <f t="shared" si="68"/>
        <v>0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f t="shared" si="47"/>
        <v>0</v>
      </c>
      <c r="DN100">
        <f t="shared" si="48"/>
        <v>1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f t="shared" si="49"/>
        <v>0</v>
      </c>
      <c r="DW100">
        <v>0</v>
      </c>
      <c r="DX100">
        <f t="shared" si="50"/>
        <v>1</v>
      </c>
      <c r="DZ100">
        <f t="shared" si="82"/>
        <v>0</v>
      </c>
      <c r="EA100">
        <f t="shared" si="69"/>
        <v>0</v>
      </c>
      <c r="EB100">
        <f t="shared" si="70"/>
        <v>0</v>
      </c>
      <c r="EC100">
        <f t="shared" si="71"/>
        <v>1</v>
      </c>
      <c r="ED100">
        <f t="shared" si="72"/>
        <v>0</v>
      </c>
      <c r="EE100">
        <f t="shared" si="73"/>
        <v>0</v>
      </c>
      <c r="EF100">
        <f t="shared" si="74"/>
        <v>0</v>
      </c>
      <c r="EG100">
        <f t="shared" si="75"/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f t="shared" si="51"/>
        <v>0</v>
      </c>
      <c r="EO100">
        <f t="shared" si="52"/>
        <v>1</v>
      </c>
      <c r="EQ100">
        <f t="shared" si="83"/>
        <v>0</v>
      </c>
      <c r="ER100">
        <f t="shared" si="76"/>
        <v>0</v>
      </c>
      <c r="ES100">
        <f t="shared" si="77"/>
        <v>0</v>
      </c>
      <c r="ET100">
        <f t="shared" si="78"/>
        <v>1</v>
      </c>
      <c r="EU100">
        <f t="shared" si="79"/>
        <v>0</v>
      </c>
      <c r="EV100">
        <f t="shared" si="80"/>
        <v>0</v>
      </c>
      <c r="EW100">
        <f t="shared" si="58"/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</v>
      </c>
      <c r="FV100">
        <v>0</v>
      </c>
      <c r="FW100">
        <v>0</v>
      </c>
      <c r="FX100">
        <f t="shared" si="59"/>
        <v>1</v>
      </c>
      <c r="FZ100">
        <v>0</v>
      </c>
      <c r="GA100">
        <v>0</v>
      </c>
      <c r="GB100">
        <v>0</v>
      </c>
      <c r="GC100">
        <v>1</v>
      </c>
      <c r="GD100">
        <v>0</v>
      </c>
      <c r="GE100">
        <v>0</v>
      </c>
      <c r="GF100">
        <v>0</v>
      </c>
      <c r="GG100">
        <f t="shared" si="60"/>
        <v>1</v>
      </c>
    </row>
    <row r="101" spans="1:189" x14ac:dyDescent="0.35">
      <c r="A101" t="s">
        <v>381</v>
      </c>
      <c r="B101">
        <f>[1]Population!$BB121</f>
        <v>6395713</v>
      </c>
      <c r="C101">
        <f>[1]RealGDP!$BB121</f>
        <v>4021824831.5087829</v>
      </c>
      <c r="D101" s="8">
        <f>[1]GDPcap!$BB121</f>
        <v>628.83134867195929</v>
      </c>
      <c r="E101" s="8">
        <v>13.027139092931982</v>
      </c>
      <c r="F101">
        <v>22.595794134321995</v>
      </c>
      <c r="G101">
        <f>RANK(D101,D$4:D101:D$201)</f>
        <v>166</v>
      </c>
      <c r="H101" t="s">
        <v>381</v>
      </c>
      <c r="J101">
        <v>18.100000000000001</v>
      </c>
      <c r="K101">
        <v>19.8</v>
      </c>
      <c r="L101">
        <v>22.1</v>
      </c>
      <c r="M101">
        <v>24.5</v>
      </c>
      <c r="N101">
        <v>25.5</v>
      </c>
      <c r="O101">
        <v>25.5</v>
      </c>
      <c r="P101">
        <v>25.4</v>
      </c>
      <c r="Q101">
        <v>25</v>
      </c>
      <c r="R101">
        <v>24.6</v>
      </c>
      <c r="S101">
        <v>23.2</v>
      </c>
      <c r="T101">
        <v>20.8</v>
      </c>
      <c r="U101">
        <v>18.399999999999999</v>
      </c>
      <c r="V101">
        <v>24</v>
      </c>
      <c r="W101">
        <v>25.3</v>
      </c>
      <c r="X101">
        <v>22.9</v>
      </c>
      <c r="Y101">
        <v>18.100000000000001</v>
      </c>
      <c r="Z101">
        <v>22.7</v>
      </c>
      <c r="AB101">
        <f t="shared" si="54"/>
        <v>1</v>
      </c>
      <c r="AC101">
        <f t="shared" si="55"/>
        <v>0</v>
      </c>
      <c r="AD101">
        <f t="shared" si="56"/>
        <v>0</v>
      </c>
      <c r="AE101">
        <f t="shared" si="57"/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f t="shared" si="84"/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f t="shared" si="44"/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f t="shared" si="85"/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f t="shared" si="45"/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f t="shared" si="46"/>
        <v>1</v>
      </c>
      <c r="CX101">
        <f t="shared" si="81"/>
        <v>0</v>
      </c>
      <c r="CY101">
        <f t="shared" si="61"/>
        <v>0</v>
      </c>
      <c r="CZ101">
        <f t="shared" si="62"/>
        <v>0</v>
      </c>
      <c r="DA101">
        <f t="shared" si="63"/>
        <v>0</v>
      </c>
      <c r="DB101">
        <f t="shared" si="64"/>
        <v>0</v>
      </c>
      <c r="DC101">
        <f t="shared" si="65"/>
        <v>0</v>
      </c>
      <c r="DD101">
        <f t="shared" si="66"/>
        <v>1</v>
      </c>
      <c r="DE101">
        <f t="shared" si="67"/>
        <v>0</v>
      </c>
      <c r="DF101">
        <f t="shared" si="68"/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f t="shared" si="47"/>
        <v>1</v>
      </c>
      <c r="DN101">
        <f t="shared" si="48"/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</v>
      </c>
      <c r="DV101">
        <f t="shared" si="49"/>
        <v>0</v>
      </c>
      <c r="DW101">
        <v>0</v>
      </c>
      <c r="DX101">
        <f t="shared" si="50"/>
        <v>1</v>
      </c>
      <c r="DZ101">
        <f t="shared" si="82"/>
        <v>0</v>
      </c>
      <c r="EA101">
        <f t="shared" si="69"/>
        <v>0</v>
      </c>
      <c r="EB101">
        <f t="shared" si="70"/>
        <v>0</v>
      </c>
      <c r="EC101">
        <f t="shared" si="71"/>
        <v>0</v>
      </c>
      <c r="ED101">
        <f t="shared" si="72"/>
        <v>0</v>
      </c>
      <c r="EE101">
        <f t="shared" si="73"/>
        <v>1</v>
      </c>
      <c r="EF101">
        <f t="shared" si="74"/>
        <v>0</v>
      </c>
      <c r="EG101">
        <f t="shared" si="75"/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f t="shared" si="51"/>
        <v>1</v>
      </c>
      <c r="EO101">
        <f t="shared" si="52"/>
        <v>1</v>
      </c>
      <c r="EQ101">
        <f t="shared" si="83"/>
        <v>0</v>
      </c>
      <c r="ER101">
        <f t="shared" si="76"/>
        <v>0</v>
      </c>
      <c r="ES101">
        <f t="shared" si="77"/>
        <v>0</v>
      </c>
      <c r="ET101">
        <f t="shared" si="78"/>
        <v>0</v>
      </c>
      <c r="EU101">
        <f t="shared" si="79"/>
        <v>0</v>
      </c>
      <c r="EV101">
        <f t="shared" si="80"/>
        <v>1</v>
      </c>
      <c r="EW101">
        <f t="shared" si="58"/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f t="shared" si="59"/>
        <v>1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f t="shared" si="60"/>
        <v>1</v>
      </c>
    </row>
    <row r="102" spans="1:189" x14ac:dyDescent="0.35">
      <c r="A102" t="s">
        <v>226</v>
      </c>
      <c r="B102">
        <f>[1]Population!$BB122</f>
        <v>2239008</v>
      </c>
      <c r="C102">
        <f>[1]RealGDP!$BB122</f>
        <v>15502642580.339478</v>
      </c>
      <c r="D102" s="8">
        <f>[1]GDPcap!$BB122</f>
        <v>6923.8888741529627</v>
      </c>
      <c r="E102" s="8">
        <v>19.811459876479883</v>
      </c>
      <c r="F102">
        <v>3.9404096838416982</v>
      </c>
      <c r="G102">
        <f>RANK(D102,D$4:D102:D$201)</f>
        <v>70</v>
      </c>
      <c r="H102" t="s">
        <v>226</v>
      </c>
      <c r="J102">
        <v>-5.8</v>
      </c>
      <c r="K102">
        <v>-5.4</v>
      </c>
      <c r="L102">
        <v>-1.5</v>
      </c>
      <c r="M102">
        <v>4.8</v>
      </c>
      <c r="N102">
        <v>11.1</v>
      </c>
      <c r="O102">
        <v>15</v>
      </c>
      <c r="P102">
        <v>16.600000000000001</v>
      </c>
      <c r="Q102">
        <v>15.8</v>
      </c>
      <c r="R102">
        <v>11.6</v>
      </c>
      <c r="S102">
        <v>6.6</v>
      </c>
      <c r="T102">
        <v>1.3</v>
      </c>
      <c r="U102">
        <v>-3.2</v>
      </c>
      <c r="V102">
        <v>4.8</v>
      </c>
      <c r="W102">
        <v>15.8</v>
      </c>
      <c r="X102">
        <v>6.5</v>
      </c>
      <c r="Y102">
        <v>-4.8</v>
      </c>
      <c r="Z102">
        <v>5.6</v>
      </c>
      <c r="AB102">
        <f t="shared" si="54"/>
        <v>0</v>
      </c>
      <c r="AC102">
        <f t="shared" si="55"/>
        <v>0</v>
      </c>
      <c r="AD102">
        <f t="shared" si="56"/>
        <v>1</v>
      </c>
      <c r="AE102">
        <f t="shared" si="57"/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f t="shared" si="84"/>
        <v>1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f t="shared" si="44"/>
        <v>1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f t="shared" si="85"/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f t="shared" si="45"/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f t="shared" si="46"/>
        <v>1</v>
      </c>
      <c r="CX102">
        <f t="shared" si="81"/>
        <v>0</v>
      </c>
      <c r="CY102">
        <f t="shared" si="61"/>
        <v>0</v>
      </c>
      <c r="CZ102">
        <f t="shared" si="62"/>
        <v>0</v>
      </c>
      <c r="DA102">
        <f t="shared" si="63"/>
        <v>1</v>
      </c>
      <c r="DB102">
        <f t="shared" si="64"/>
        <v>0</v>
      </c>
      <c r="DC102">
        <f t="shared" si="65"/>
        <v>0</v>
      </c>
      <c r="DD102">
        <f t="shared" si="66"/>
        <v>0</v>
      </c>
      <c r="DE102">
        <f t="shared" si="67"/>
        <v>0</v>
      </c>
      <c r="DF102">
        <f t="shared" si="68"/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f t="shared" si="47"/>
        <v>0</v>
      </c>
      <c r="DN102">
        <f t="shared" si="48"/>
        <v>1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f t="shared" si="49"/>
        <v>0</v>
      </c>
      <c r="DW102">
        <v>0</v>
      </c>
      <c r="DX102">
        <f t="shared" si="50"/>
        <v>1</v>
      </c>
      <c r="DZ102">
        <f t="shared" si="82"/>
        <v>0</v>
      </c>
      <c r="EA102">
        <f t="shared" si="69"/>
        <v>0</v>
      </c>
      <c r="EB102">
        <f t="shared" si="70"/>
        <v>0</v>
      </c>
      <c r="EC102">
        <f t="shared" si="71"/>
        <v>1</v>
      </c>
      <c r="ED102">
        <f t="shared" si="72"/>
        <v>0</v>
      </c>
      <c r="EE102">
        <f t="shared" si="73"/>
        <v>0</v>
      </c>
      <c r="EF102">
        <f t="shared" si="74"/>
        <v>0</v>
      </c>
      <c r="EG102">
        <f t="shared" si="75"/>
        <v>0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f t="shared" si="51"/>
        <v>0</v>
      </c>
      <c r="EO102">
        <f t="shared" si="52"/>
        <v>1</v>
      </c>
      <c r="EQ102">
        <f t="shared" si="83"/>
        <v>0</v>
      </c>
      <c r="ER102">
        <f t="shared" si="76"/>
        <v>0</v>
      </c>
      <c r="ES102">
        <f t="shared" si="77"/>
        <v>0</v>
      </c>
      <c r="ET102">
        <f t="shared" si="78"/>
        <v>1</v>
      </c>
      <c r="EU102">
        <f t="shared" si="79"/>
        <v>0</v>
      </c>
      <c r="EV102">
        <f t="shared" si="80"/>
        <v>0</v>
      </c>
      <c r="EW102">
        <f t="shared" si="58"/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f t="shared" si="59"/>
        <v>1</v>
      </c>
      <c r="FZ102">
        <v>0</v>
      </c>
      <c r="GA102">
        <v>0</v>
      </c>
      <c r="GB102">
        <v>1</v>
      </c>
      <c r="GC102">
        <v>0</v>
      </c>
      <c r="GD102">
        <v>0</v>
      </c>
      <c r="GE102">
        <v>0</v>
      </c>
      <c r="GF102">
        <v>0</v>
      </c>
      <c r="GG102">
        <f t="shared" si="60"/>
        <v>1</v>
      </c>
    </row>
    <row r="103" spans="1:189" x14ac:dyDescent="0.35">
      <c r="A103" t="s">
        <v>382</v>
      </c>
      <c r="B103">
        <f>[1]Population!$BB123</f>
        <v>4341092</v>
      </c>
      <c r="C103">
        <f>[1]RealGDP!$BB123</f>
        <v>30751708803.782261</v>
      </c>
      <c r="D103" s="8">
        <f>[1]GDPcap!$BB123</f>
        <v>7083.864798023691</v>
      </c>
      <c r="E103" s="8">
        <v>16.855122047929463</v>
      </c>
      <c r="F103">
        <v>3.8471173514827086</v>
      </c>
      <c r="G103">
        <f>RANK(D103,D$4:D103:D$201)</f>
        <v>69</v>
      </c>
      <c r="H103" t="s">
        <v>382</v>
      </c>
      <c r="J103">
        <v>7.7</v>
      </c>
      <c r="K103">
        <v>8.6</v>
      </c>
      <c r="L103">
        <v>10.9</v>
      </c>
      <c r="M103">
        <v>14.8</v>
      </c>
      <c r="N103">
        <v>18.600000000000001</v>
      </c>
      <c r="O103">
        <v>22.2</v>
      </c>
      <c r="P103">
        <v>24.5</v>
      </c>
      <c r="Q103">
        <v>24.8</v>
      </c>
      <c r="R103">
        <v>22.7</v>
      </c>
      <c r="S103">
        <v>19</v>
      </c>
      <c r="T103">
        <v>13.7</v>
      </c>
      <c r="U103">
        <v>9.1</v>
      </c>
      <c r="V103">
        <v>14.7</v>
      </c>
      <c r="W103">
        <v>23.8</v>
      </c>
      <c r="X103">
        <v>18.5</v>
      </c>
      <c r="Y103">
        <v>8.1999999999999993</v>
      </c>
      <c r="Z103">
        <v>16.399999999999999</v>
      </c>
      <c r="AB103">
        <f t="shared" si="54"/>
        <v>0</v>
      </c>
      <c r="AC103">
        <f t="shared" si="55"/>
        <v>0</v>
      </c>
      <c r="AD103">
        <f t="shared" si="56"/>
        <v>1</v>
      </c>
      <c r="AE103">
        <f t="shared" si="57"/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f t="shared" si="84"/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f t="shared" si="44"/>
        <v>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f t="shared" si="85"/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f t="shared" si="45"/>
        <v>1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f t="shared" si="46"/>
        <v>1</v>
      </c>
      <c r="CX103">
        <f t="shared" si="81"/>
        <v>0</v>
      </c>
      <c r="CY103">
        <f t="shared" si="61"/>
        <v>0</v>
      </c>
      <c r="CZ103">
        <f t="shared" si="62"/>
        <v>0</v>
      </c>
      <c r="DA103">
        <f t="shared" si="63"/>
        <v>0</v>
      </c>
      <c r="DB103">
        <f t="shared" si="64"/>
        <v>1</v>
      </c>
      <c r="DC103">
        <f t="shared" si="65"/>
        <v>0</v>
      </c>
      <c r="DD103">
        <f t="shared" si="66"/>
        <v>0</v>
      </c>
      <c r="DE103">
        <f t="shared" si="67"/>
        <v>0</v>
      </c>
      <c r="DF103">
        <f t="shared" si="68"/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f t="shared" si="47"/>
        <v>1</v>
      </c>
      <c r="DN103">
        <f t="shared" si="48"/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f t="shared" si="49"/>
        <v>1</v>
      </c>
      <c r="DW103">
        <v>0</v>
      </c>
      <c r="DX103">
        <f t="shared" si="50"/>
        <v>1</v>
      </c>
      <c r="DZ103">
        <f t="shared" si="82"/>
        <v>0</v>
      </c>
      <c r="EA103">
        <f t="shared" si="69"/>
        <v>0</v>
      </c>
      <c r="EB103">
        <f t="shared" si="70"/>
        <v>0</v>
      </c>
      <c r="EC103">
        <f t="shared" si="71"/>
        <v>0</v>
      </c>
      <c r="ED103">
        <f t="shared" si="72"/>
        <v>0</v>
      </c>
      <c r="EE103">
        <f t="shared" si="73"/>
        <v>0</v>
      </c>
      <c r="EF103">
        <f t="shared" si="74"/>
        <v>1</v>
      </c>
      <c r="EG103">
        <f t="shared" si="75"/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f t="shared" si="51"/>
        <v>1</v>
      </c>
      <c r="EO103">
        <f t="shared" si="52"/>
        <v>1</v>
      </c>
      <c r="EQ103">
        <f t="shared" si="83"/>
        <v>0</v>
      </c>
      <c r="ER103">
        <f t="shared" si="76"/>
        <v>0</v>
      </c>
      <c r="ES103">
        <f t="shared" si="77"/>
        <v>0</v>
      </c>
      <c r="ET103">
        <f t="shared" si="78"/>
        <v>0</v>
      </c>
      <c r="EU103">
        <f t="shared" si="79"/>
        <v>0</v>
      </c>
      <c r="EV103">
        <f t="shared" si="80"/>
        <v>1</v>
      </c>
      <c r="EW103">
        <f t="shared" si="58"/>
        <v>1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f t="shared" si="59"/>
        <v>1</v>
      </c>
      <c r="FZ103">
        <v>0</v>
      </c>
      <c r="GA103">
        <v>1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f t="shared" si="60"/>
        <v>1</v>
      </c>
    </row>
    <row r="104" spans="1:189" x14ac:dyDescent="0.35">
      <c r="A104" t="s">
        <v>383</v>
      </c>
      <c r="B104">
        <f>[1]Population!$BB124</f>
        <v>2008921</v>
      </c>
      <c r="C104">
        <f>[1]RealGDP!$BB124</f>
        <v>1749548111.1919663</v>
      </c>
      <c r="D104" s="8">
        <f>[1]GDPcap!$BB124</f>
        <v>870.88945319002903</v>
      </c>
      <c r="E104" s="8">
        <v>37.26300276036342</v>
      </c>
      <c r="F104">
        <v>5.1236482298911694</v>
      </c>
      <c r="G104">
        <f>RANK(D104,D$4:D104:D$201)</f>
        <v>158</v>
      </c>
      <c r="H104" t="s">
        <v>383</v>
      </c>
      <c r="J104">
        <v>17.2</v>
      </c>
      <c r="K104">
        <v>16.3</v>
      </c>
      <c r="L104">
        <v>15</v>
      </c>
      <c r="M104">
        <v>11.3</v>
      </c>
      <c r="N104">
        <v>8.1999999999999993</v>
      </c>
      <c r="O104">
        <v>5.4</v>
      </c>
      <c r="P104">
        <v>5.8</v>
      </c>
      <c r="Q104">
        <v>7.8</v>
      </c>
      <c r="R104">
        <v>11.5</v>
      </c>
      <c r="S104">
        <v>13</v>
      </c>
      <c r="T104">
        <v>14.3</v>
      </c>
      <c r="U104">
        <v>16</v>
      </c>
      <c r="V104">
        <v>11.5</v>
      </c>
      <c r="W104">
        <v>6.3</v>
      </c>
      <c r="X104">
        <v>13</v>
      </c>
      <c r="Y104">
        <v>15.9</v>
      </c>
      <c r="Z104">
        <v>11.8</v>
      </c>
      <c r="AB104">
        <f t="shared" si="54"/>
        <v>1</v>
      </c>
      <c r="AC104">
        <f t="shared" si="55"/>
        <v>0</v>
      </c>
      <c r="AD104">
        <f t="shared" si="56"/>
        <v>0</v>
      </c>
      <c r="AE104">
        <f t="shared" si="57"/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f t="shared" si="84"/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f t="shared" si="44"/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f t="shared" si="85"/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f t="shared" si="45"/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f t="shared" si="46"/>
        <v>1</v>
      </c>
      <c r="CX104">
        <f t="shared" si="81"/>
        <v>0</v>
      </c>
      <c r="CY104">
        <f t="shared" si="61"/>
        <v>0</v>
      </c>
      <c r="CZ104">
        <f t="shared" si="62"/>
        <v>0</v>
      </c>
      <c r="DA104">
        <f t="shared" si="63"/>
        <v>0</v>
      </c>
      <c r="DB104">
        <f t="shared" si="64"/>
        <v>0</v>
      </c>
      <c r="DC104">
        <f t="shared" si="65"/>
        <v>0</v>
      </c>
      <c r="DD104">
        <f t="shared" si="66"/>
        <v>0</v>
      </c>
      <c r="DE104">
        <f t="shared" si="67"/>
        <v>0</v>
      </c>
      <c r="DF104">
        <f t="shared" si="68"/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f t="shared" si="47"/>
        <v>1</v>
      </c>
      <c r="DN104">
        <f t="shared" si="48"/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f t="shared" si="49"/>
        <v>1</v>
      </c>
      <c r="DW104">
        <v>0</v>
      </c>
      <c r="DX104">
        <f t="shared" si="50"/>
        <v>1</v>
      </c>
      <c r="DZ104">
        <f t="shared" si="82"/>
        <v>0</v>
      </c>
      <c r="EA104">
        <f t="shared" si="69"/>
        <v>0</v>
      </c>
      <c r="EB104">
        <f t="shared" si="70"/>
        <v>0</v>
      </c>
      <c r="EC104">
        <f t="shared" si="71"/>
        <v>0</v>
      </c>
      <c r="ED104">
        <f t="shared" si="72"/>
        <v>0</v>
      </c>
      <c r="EE104">
        <f t="shared" si="73"/>
        <v>0</v>
      </c>
      <c r="EF104">
        <f t="shared" si="74"/>
        <v>1</v>
      </c>
      <c r="EG104">
        <f t="shared" si="75"/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f t="shared" si="51"/>
        <v>1</v>
      </c>
      <c r="EO104">
        <f t="shared" si="52"/>
        <v>1</v>
      </c>
      <c r="EQ104">
        <f t="shared" si="83"/>
        <v>0</v>
      </c>
      <c r="ER104">
        <f t="shared" si="76"/>
        <v>0</v>
      </c>
      <c r="ES104">
        <f t="shared" si="77"/>
        <v>0</v>
      </c>
      <c r="ET104">
        <f t="shared" si="78"/>
        <v>0</v>
      </c>
      <c r="EU104">
        <f t="shared" si="79"/>
        <v>0</v>
      </c>
      <c r="EV104">
        <f t="shared" si="80"/>
        <v>1</v>
      </c>
      <c r="EW104">
        <f t="shared" si="58"/>
        <v>1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</v>
      </c>
      <c r="FX104">
        <f t="shared" si="59"/>
        <v>1</v>
      </c>
      <c r="FZ104">
        <v>1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f t="shared" si="60"/>
        <v>1</v>
      </c>
    </row>
    <row r="105" spans="1:189" x14ac:dyDescent="0.35">
      <c r="A105" t="s">
        <v>384</v>
      </c>
      <c r="B105">
        <f>[1]Population!$BB125</f>
        <v>3957990</v>
      </c>
      <c r="C105">
        <f>[1]RealGDP!$BB125</f>
        <v>960255604.18450153</v>
      </c>
      <c r="D105" s="8">
        <f>[1]GDPcap!$BB125</f>
        <v>242.61193287110416</v>
      </c>
      <c r="E105" s="8">
        <v>17.318743045064462</v>
      </c>
      <c r="F105">
        <v>44.799999938113885</v>
      </c>
      <c r="G105">
        <f>RANK(D105,D$4:D105:D$201)</f>
        <v>194</v>
      </c>
      <c r="H105" t="s">
        <v>384</v>
      </c>
      <c r="J105">
        <v>25.2</v>
      </c>
      <c r="K105">
        <v>25.9</v>
      </c>
      <c r="L105">
        <v>26.4</v>
      </c>
      <c r="M105">
        <v>26.4</v>
      </c>
      <c r="N105">
        <v>25.9</v>
      </c>
      <c r="O105">
        <v>25.1</v>
      </c>
      <c r="P105">
        <v>24.1</v>
      </c>
      <c r="Q105">
        <v>24</v>
      </c>
      <c r="R105">
        <v>24.6</v>
      </c>
      <c r="S105">
        <v>25</v>
      </c>
      <c r="T105">
        <v>25.5</v>
      </c>
      <c r="U105">
        <v>25</v>
      </c>
      <c r="V105">
        <v>26.2</v>
      </c>
      <c r="W105">
        <v>24.4</v>
      </c>
      <c r="X105">
        <v>25</v>
      </c>
      <c r="Y105">
        <v>24.5</v>
      </c>
      <c r="Z105">
        <v>25.3</v>
      </c>
      <c r="AB105">
        <f t="shared" si="54"/>
        <v>1</v>
      </c>
      <c r="AC105">
        <f t="shared" si="55"/>
        <v>0</v>
      </c>
      <c r="AD105">
        <f t="shared" si="56"/>
        <v>0</v>
      </c>
      <c r="AE105">
        <f t="shared" si="57"/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f t="shared" si="84"/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f t="shared" si="44"/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f t="shared" si="85"/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f t="shared" si="45"/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f t="shared" si="46"/>
        <v>1</v>
      </c>
      <c r="CX105">
        <f t="shared" si="81"/>
        <v>0</v>
      </c>
      <c r="CY105">
        <f t="shared" si="61"/>
        <v>0</v>
      </c>
      <c r="CZ105">
        <f t="shared" si="62"/>
        <v>0</v>
      </c>
      <c r="DA105">
        <f t="shared" si="63"/>
        <v>0</v>
      </c>
      <c r="DB105">
        <f t="shared" si="64"/>
        <v>0</v>
      </c>
      <c r="DC105">
        <f t="shared" si="65"/>
        <v>0</v>
      </c>
      <c r="DD105">
        <f t="shared" si="66"/>
        <v>0</v>
      </c>
      <c r="DE105">
        <f t="shared" si="67"/>
        <v>0</v>
      </c>
      <c r="DF105">
        <f t="shared" si="68"/>
        <v>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f t="shared" si="47"/>
        <v>1</v>
      </c>
      <c r="DN105">
        <f t="shared" si="48"/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f t="shared" si="49"/>
        <v>1</v>
      </c>
      <c r="DW105">
        <v>0</v>
      </c>
      <c r="DX105">
        <f t="shared" si="50"/>
        <v>1</v>
      </c>
      <c r="DZ105">
        <f t="shared" si="82"/>
        <v>0</v>
      </c>
      <c r="EA105">
        <f t="shared" si="69"/>
        <v>0</v>
      </c>
      <c r="EB105">
        <f t="shared" si="70"/>
        <v>0</v>
      </c>
      <c r="EC105">
        <f t="shared" si="71"/>
        <v>0</v>
      </c>
      <c r="ED105">
        <f t="shared" si="72"/>
        <v>0</v>
      </c>
      <c r="EE105">
        <f t="shared" si="73"/>
        <v>0</v>
      </c>
      <c r="EF105">
        <f t="shared" si="74"/>
        <v>1</v>
      </c>
      <c r="EG105">
        <f t="shared" si="75"/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f t="shared" si="51"/>
        <v>1</v>
      </c>
      <c r="EO105">
        <f t="shared" si="52"/>
        <v>1</v>
      </c>
      <c r="EQ105">
        <f t="shared" si="83"/>
        <v>0</v>
      </c>
      <c r="ER105">
        <f t="shared" si="76"/>
        <v>0</v>
      </c>
      <c r="ES105">
        <f t="shared" si="77"/>
        <v>0</v>
      </c>
      <c r="ET105">
        <f t="shared" si="78"/>
        <v>0</v>
      </c>
      <c r="EU105">
        <f t="shared" si="79"/>
        <v>0</v>
      </c>
      <c r="EV105">
        <f t="shared" si="80"/>
        <v>1</v>
      </c>
      <c r="EW105">
        <f t="shared" si="58"/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</v>
      </c>
      <c r="FX105">
        <f t="shared" si="59"/>
        <v>1</v>
      </c>
      <c r="FZ105">
        <v>1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f t="shared" si="60"/>
        <v>1</v>
      </c>
    </row>
    <row r="106" spans="1:189" x14ac:dyDescent="0.35">
      <c r="A106" t="s">
        <v>385</v>
      </c>
      <c r="B106">
        <f>[1]Population!$BB126</f>
        <v>6040612</v>
      </c>
      <c r="C106">
        <f>[1]RealGDP!$BB126</f>
        <v>54963979226.010597</v>
      </c>
      <c r="D106" s="8">
        <f>[1]GDPcap!$BB126</f>
        <v>9099.0746013832031</v>
      </c>
      <c r="E106" s="8"/>
      <c r="G106">
        <f>RANK(D106,D$4:D106:D$201)</f>
        <v>62</v>
      </c>
      <c r="H106" t="s">
        <v>385</v>
      </c>
      <c r="J106">
        <v>12.4</v>
      </c>
      <c r="K106">
        <v>14.6</v>
      </c>
      <c r="L106">
        <v>17.7</v>
      </c>
      <c r="M106">
        <v>22</v>
      </c>
      <c r="N106">
        <v>26.2</v>
      </c>
      <c r="O106">
        <v>29</v>
      </c>
      <c r="P106">
        <v>29.1</v>
      </c>
      <c r="Q106">
        <v>29</v>
      </c>
      <c r="R106">
        <v>27.2</v>
      </c>
      <c r="S106">
        <v>23.1</v>
      </c>
      <c r="T106">
        <v>17.7</v>
      </c>
      <c r="U106">
        <v>13.5</v>
      </c>
      <c r="V106">
        <v>22</v>
      </c>
      <c r="W106">
        <v>29</v>
      </c>
      <c r="X106">
        <v>22.7</v>
      </c>
      <c r="Y106">
        <v>13</v>
      </c>
      <c r="Z106">
        <v>21.8</v>
      </c>
      <c r="AB106">
        <f t="shared" si="54"/>
        <v>0</v>
      </c>
      <c r="AC106">
        <f t="shared" si="55"/>
        <v>0</v>
      </c>
      <c r="AD106">
        <f t="shared" si="56"/>
        <v>1</v>
      </c>
      <c r="AE106">
        <f t="shared" si="57"/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f t="shared" si="84"/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f t="shared" si="44"/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f t="shared" si="85"/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f t="shared" si="45"/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f t="shared" si="46"/>
        <v>1</v>
      </c>
      <c r="CX106">
        <f t="shared" si="81"/>
        <v>0</v>
      </c>
      <c r="CY106">
        <f t="shared" si="61"/>
        <v>0</v>
      </c>
      <c r="CZ106">
        <f t="shared" si="62"/>
        <v>0</v>
      </c>
      <c r="DA106">
        <f t="shared" si="63"/>
        <v>0</v>
      </c>
      <c r="DB106">
        <f t="shared" si="64"/>
        <v>0</v>
      </c>
      <c r="DC106">
        <f t="shared" si="65"/>
        <v>0</v>
      </c>
      <c r="DD106">
        <f t="shared" si="66"/>
        <v>0</v>
      </c>
      <c r="DE106">
        <f t="shared" si="67"/>
        <v>0</v>
      </c>
      <c r="DF106">
        <f t="shared" si="68"/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f t="shared" si="47"/>
        <v>1</v>
      </c>
      <c r="DN106">
        <f t="shared" si="48"/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f t="shared" si="49"/>
        <v>1</v>
      </c>
      <c r="DW106">
        <v>0</v>
      </c>
      <c r="DX106">
        <f t="shared" si="50"/>
        <v>1</v>
      </c>
      <c r="DZ106">
        <f t="shared" si="82"/>
        <v>0</v>
      </c>
      <c r="EA106">
        <f t="shared" si="69"/>
        <v>0</v>
      </c>
      <c r="EB106">
        <f t="shared" si="70"/>
        <v>0</v>
      </c>
      <c r="EC106">
        <f t="shared" si="71"/>
        <v>0</v>
      </c>
      <c r="ED106">
        <f t="shared" si="72"/>
        <v>0</v>
      </c>
      <c r="EE106">
        <f t="shared" si="73"/>
        <v>0</v>
      </c>
      <c r="EF106">
        <f t="shared" si="74"/>
        <v>1</v>
      </c>
      <c r="EG106">
        <f t="shared" si="75"/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f t="shared" si="51"/>
        <v>1</v>
      </c>
      <c r="EO106">
        <f t="shared" si="52"/>
        <v>1</v>
      </c>
      <c r="EQ106">
        <f t="shared" si="83"/>
        <v>0</v>
      </c>
      <c r="ER106">
        <f t="shared" si="76"/>
        <v>0</v>
      </c>
      <c r="ES106">
        <f t="shared" si="77"/>
        <v>0</v>
      </c>
      <c r="ET106">
        <f t="shared" si="78"/>
        <v>0</v>
      </c>
      <c r="EU106">
        <f t="shared" si="79"/>
        <v>0</v>
      </c>
      <c r="EV106">
        <f t="shared" si="80"/>
        <v>1</v>
      </c>
      <c r="EW106">
        <f t="shared" si="58"/>
        <v>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f t="shared" si="59"/>
        <v>1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f t="shared" si="60"/>
        <v>1</v>
      </c>
    </row>
    <row r="107" spans="1:189" x14ac:dyDescent="0.35">
      <c r="A107" t="s">
        <v>605</v>
      </c>
      <c r="B107">
        <f>[1]Population!$BB127</f>
        <v>36120</v>
      </c>
      <c r="C107">
        <f>B107*D107</f>
        <v>4188136169.5258017</v>
      </c>
      <c r="D107" s="8">
        <f>[2]YpC3!$AZ$105</f>
        <v>115950.613774247</v>
      </c>
      <c r="E107" s="8"/>
      <c r="G107">
        <f>RANK(D107,D$4:D107:D$201)</f>
        <v>2</v>
      </c>
      <c r="Z107">
        <v>10.199999999999999</v>
      </c>
      <c r="AB107">
        <f t="shared" si="54"/>
        <v>0</v>
      </c>
      <c r="AC107">
        <f t="shared" si="55"/>
        <v>0</v>
      </c>
      <c r="AD107">
        <f t="shared" si="56"/>
        <v>0</v>
      </c>
      <c r="AE107">
        <f t="shared" si="57"/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f>SUM(AG107:AU107)</f>
        <v>1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f t="shared" si="44"/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0</v>
      </c>
      <c r="BV107">
        <f t="shared" si="85"/>
        <v>1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f>SUM(BX107:CJ107)</f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f>SUM(CM107:CU107)</f>
        <v>1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f t="shared" si="48"/>
        <v>1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f t="shared" si="50"/>
        <v>1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f t="shared" si="52"/>
        <v>1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f t="shared" si="58"/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f t="shared" si="59"/>
        <v>1</v>
      </c>
      <c r="FZ107">
        <v>0</v>
      </c>
      <c r="GA107">
        <v>0</v>
      </c>
      <c r="GB107">
        <v>1</v>
      </c>
      <c r="GC107">
        <v>0</v>
      </c>
      <c r="GD107">
        <v>0</v>
      </c>
      <c r="GE107">
        <v>0</v>
      </c>
      <c r="GF107">
        <v>0</v>
      </c>
      <c r="GG107">
        <f t="shared" si="60"/>
        <v>1</v>
      </c>
    </row>
    <row r="108" spans="1:189" x14ac:dyDescent="0.35">
      <c r="A108" t="s">
        <v>227</v>
      </c>
      <c r="B108">
        <f>[1]Population!$BB128</f>
        <v>3286820</v>
      </c>
      <c r="C108">
        <f>[1]RealGDP!$BB128</f>
        <v>27346902406.20084</v>
      </c>
      <c r="D108" s="8">
        <f>[1]GDPcap!$BB128</f>
        <v>8320.1703793334709</v>
      </c>
      <c r="E108" s="8">
        <v>4.6247943651455579</v>
      </c>
      <c r="F108">
        <v>2.9907474079310834</v>
      </c>
      <c r="G108">
        <f>RANK(D108,D$4:D108:D$201)</f>
        <v>65</v>
      </c>
      <c r="H108" t="s">
        <v>227</v>
      </c>
      <c r="J108">
        <v>-5.5</v>
      </c>
      <c r="K108">
        <v>-4.7</v>
      </c>
      <c r="L108">
        <v>-0.7</v>
      </c>
      <c r="M108">
        <v>5.8</v>
      </c>
      <c r="N108">
        <v>12.1</v>
      </c>
      <c r="O108">
        <v>15.5</v>
      </c>
      <c r="P108">
        <v>16.899999999999999</v>
      </c>
      <c r="Q108">
        <v>16.3</v>
      </c>
      <c r="R108">
        <v>12.1</v>
      </c>
      <c r="S108">
        <v>7.1</v>
      </c>
      <c r="T108">
        <v>1.8</v>
      </c>
      <c r="U108">
        <v>-2.7</v>
      </c>
      <c r="V108">
        <v>5.7</v>
      </c>
      <c r="W108">
        <v>16.2</v>
      </c>
      <c r="X108">
        <v>7</v>
      </c>
      <c r="Y108">
        <v>-4.3</v>
      </c>
      <c r="Z108">
        <v>6.2</v>
      </c>
      <c r="AB108">
        <f t="shared" si="54"/>
        <v>0</v>
      </c>
      <c r="AC108">
        <f t="shared" si="55"/>
        <v>0</v>
      </c>
      <c r="AD108">
        <f t="shared" si="56"/>
        <v>1</v>
      </c>
      <c r="AE108">
        <f t="shared" si="57"/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f t="shared" si="84"/>
        <v>1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f t="shared" si="44"/>
        <v>1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f t="shared" si="85"/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f t="shared" si="45"/>
        <v>1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f t="shared" si="46"/>
        <v>1</v>
      </c>
      <c r="CX108">
        <f t="shared" si="81"/>
        <v>0</v>
      </c>
      <c r="CY108">
        <f t="shared" si="61"/>
        <v>0</v>
      </c>
      <c r="CZ108">
        <f t="shared" si="62"/>
        <v>0</v>
      </c>
      <c r="DA108">
        <f t="shared" si="63"/>
        <v>1</v>
      </c>
      <c r="DB108">
        <f t="shared" si="64"/>
        <v>0</v>
      </c>
      <c r="DC108">
        <f t="shared" si="65"/>
        <v>0</v>
      </c>
      <c r="DD108">
        <f t="shared" si="66"/>
        <v>0</v>
      </c>
      <c r="DE108">
        <f t="shared" si="67"/>
        <v>0</v>
      </c>
      <c r="DF108">
        <f t="shared" si="68"/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f t="shared" si="47"/>
        <v>0</v>
      </c>
      <c r="DN108">
        <f t="shared" si="48"/>
        <v>1</v>
      </c>
      <c r="DP108">
        <v>0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f t="shared" si="49"/>
        <v>0</v>
      </c>
      <c r="DW108">
        <v>0</v>
      </c>
      <c r="DX108">
        <f t="shared" si="50"/>
        <v>1</v>
      </c>
      <c r="DZ108">
        <f t="shared" si="82"/>
        <v>0</v>
      </c>
      <c r="EA108">
        <f t="shared" si="69"/>
        <v>0</v>
      </c>
      <c r="EB108">
        <f t="shared" si="70"/>
        <v>0</v>
      </c>
      <c r="EC108">
        <f t="shared" si="71"/>
        <v>1</v>
      </c>
      <c r="ED108">
        <f t="shared" si="72"/>
        <v>0</v>
      </c>
      <c r="EE108">
        <f t="shared" si="73"/>
        <v>0</v>
      </c>
      <c r="EF108">
        <f t="shared" si="74"/>
        <v>0</v>
      </c>
      <c r="EG108">
        <f t="shared" si="75"/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f t="shared" si="51"/>
        <v>0</v>
      </c>
      <c r="EO108">
        <f t="shared" si="52"/>
        <v>1</v>
      </c>
      <c r="EQ108">
        <f t="shared" si="83"/>
        <v>0</v>
      </c>
      <c r="ER108">
        <f t="shared" si="76"/>
        <v>0</v>
      </c>
      <c r="ES108">
        <f t="shared" si="77"/>
        <v>0</v>
      </c>
      <c r="ET108">
        <f t="shared" si="78"/>
        <v>1</v>
      </c>
      <c r="EU108">
        <f t="shared" si="79"/>
        <v>0</v>
      </c>
      <c r="EV108">
        <f t="shared" si="80"/>
        <v>0</v>
      </c>
      <c r="EW108">
        <f t="shared" si="58"/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f t="shared" si="59"/>
        <v>1</v>
      </c>
      <c r="FZ108">
        <v>0</v>
      </c>
      <c r="GA108">
        <v>0</v>
      </c>
      <c r="GB108">
        <v>1</v>
      </c>
      <c r="GC108">
        <v>0</v>
      </c>
      <c r="GD108">
        <v>0</v>
      </c>
      <c r="GE108">
        <v>0</v>
      </c>
      <c r="GF108">
        <v>0</v>
      </c>
      <c r="GG108">
        <f t="shared" si="60"/>
        <v>1</v>
      </c>
    </row>
    <row r="109" spans="1:189" x14ac:dyDescent="0.35">
      <c r="A109" t="s">
        <v>161</v>
      </c>
      <c r="B109">
        <f>[1]Population!$BB129</f>
        <v>506953</v>
      </c>
      <c r="C109">
        <f>[1]RealGDP!$BB129</f>
        <v>40696164751.529617</v>
      </c>
      <c r="D109" s="8">
        <f>[1]GDPcap!$BB129</f>
        <v>80276.011290059658</v>
      </c>
      <c r="E109" s="8">
        <v>25.017624155342254</v>
      </c>
      <c r="F109">
        <v>9.464102847938717</v>
      </c>
      <c r="G109">
        <f>RANK(D109,D$4:D109:D$201)</f>
        <v>3</v>
      </c>
      <c r="H109" t="s">
        <v>161</v>
      </c>
      <c r="J109">
        <v>0.3</v>
      </c>
      <c r="K109">
        <v>1.5</v>
      </c>
      <c r="L109">
        <v>4.5</v>
      </c>
      <c r="M109">
        <v>7.7</v>
      </c>
      <c r="N109">
        <v>12.1</v>
      </c>
      <c r="O109">
        <v>15.1</v>
      </c>
      <c r="P109">
        <v>17</v>
      </c>
      <c r="Q109">
        <v>16.7</v>
      </c>
      <c r="R109">
        <v>13.7</v>
      </c>
      <c r="S109">
        <v>9.8000000000000007</v>
      </c>
      <c r="T109">
        <v>4.3</v>
      </c>
      <c r="U109">
        <v>1.3</v>
      </c>
      <c r="V109">
        <v>8.1</v>
      </c>
      <c r="W109">
        <v>16.3</v>
      </c>
      <c r="X109">
        <v>9.3000000000000007</v>
      </c>
      <c r="Y109">
        <v>1</v>
      </c>
      <c r="Z109">
        <v>8.6999999999999993</v>
      </c>
      <c r="AB109">
        <f t="shared" si="54"/>
        <v>0</v>
      </c>
      <c r="AC109">
        <f t="shared" si="55"/>
        <v>0</v>
      </c>
      <c r="AD109">
        <f t="shared" si="56"/>
        <v>0</v>
      </c>
      <c r="AE109">
        <f t="shared" si="57"/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f t="shared" si="84"/>
        <v>1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f t="shared" si="44"/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f t="shared" si="85"/>
        <v>1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f t="shared" si="45"/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f t="shared" si="46"/>
        <v>1</v>
      </c>
      <c r="CX109">
        <f t="shared" si="81"/>
        <v>0</v>
      </c>
      <c r="CY109">
        <f t="shared" si="61"/>
        <v>1</v>
      </c>
      <c r="CZ109">
        <f t="shared" si="62"/>
        <v>0</v>
      </c>
      <c r="DA109">
        <f t="shared" si="63"/>
        <v>0</v>
      </c>
      <c r="DB109">
        <f t="shared" si="64"/>
        <v>0</v>
      </c>
      <c r="DC109">
        <f t="shared" si="65"/>
        <v>0</v>
      </c>
      <c r="DD109">
        <f t="shared" si="66"/>
        <v>0</v>
      </c>
      <c r="DE109">
        <f t="shared" si="67"/>
        <v>0</v>
      </c>
      <c r="DF109">
        <f t="shared" si="68"/>
        <v>0</v>
      </c>
      <c r="DH109">
        <v>0</v>
      </c>
      <c r="DI109">
        <v>0</v>
      </c>
      <c r="DJ109">
        <v>0</v>
      </c>
      <c r="DK109">
        <v>1</v>
      </c>
      <c r="DL109">
        <v>0</v>
      </c>
      <c r="DM109">
        <f t="shared" si="47"/>
        <v>0</v>
      </c>
      <c r="DN109">
        <f t="shared" si="48"/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f t="shared" si="49"/>
        <v>0</v>
      </c>
      <c r="DW109">
        <v>0</v>
      </c>
      <c r="DX109">
        <f t="shared" si="50"/>
        <v>1</v>
      </c>
      <c r="DZ109">
        <f t="shared" si="82"/>
        <v>1</v>
      </c>
      <c r="EA109">
        <f t="shared" si="69"/>
        <v>0</v>
      </c>
      <c r="EB109">
        <f t="shared" si="70"/>
        <v>0</v>
      </c>
      <c r="EC109">
        <f t="shared" si="71"/>
        <v>0</v>
      </c>
      <c r="ED109">
        <f t="shared" si="72"/>
        <v>0</v>
      </c>
      <c r="EE109">
        <f t="shared" si="73"/>
        <v>0</v>
      </c>
      <c r="EF109">
        <f t="shared" si="74"/>
        <v>0</v>
      </c>
      <c r="EG109">
        <f t="shared" si="75"/>
        <v>0</v>
      </c>
      <c r="EI109">
        <v>1</v>
      </c>
      <c r="EJ109">
        <v>0</v>
      </c>
      <c r="EK109">
        <v>0</v>
      </c>
      <c r="EL109">
        <v>0</v>
      </c>
      <c r="EM109">
        <v>0</v>
      </c>
      <c r="EN109">
        <f t="shared" si="51"/>
        <v>0</v>
      </c>
      <c r="EO109">
        <f t="shared" si="52"/>
        <v>1</v>
      </c>
      <c r="EQ109">
        <f t="shared" si="83"/>
        <v>1</v>
      </c>
      <c r="ER109">
        <f t="shared" si="76"/>
        <v>0</v>
      </c>
      <c r="ES109">
        <f t="shared" si="77"/>
        <v>0</v>
      </c>
      <c r="ET109">
        <f t="shared" si="78"/>
        <v>0</v>
      </c>
      <c r="EU109">
        <f t="shared" si="79"/>
        <v>0</v>
      </c>
      <c r="EV109">
        <f t="shared" si="80"/>
        <v>0</v>
      </c>
      <c r="EW109">
        <f t="shared" si="58"/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f t="shared" si="59"/>
        <v>1</v>
      </c>
      <c r="FZ109">
        <v>0</v>
      </c>
      <c r="GA109">
        <v>0</v>
      </c>
      <c r="GB109">
        <v>1</v>
      </c>
      <c r="GC109">
        <v>0</v>
      </c>
      <c r="GD109">
        <v>0</v>
      </c>
      <c r="GE109">
        <v>0</v>
      </c>
      <c r="GF109">
        <v>0</v>
      </c>
      <c r="GG109">
        <f t="shared" si="60"/>
        <v>1</v>
      </c>
    </row>
    <row r="110" spans="1:189" x14ac:dyDescent="0.35">
      <c r="A110" t="s">
        <v>386</v>
      </c>
      <c r="B110">
        <f>[1]Population!$BB130</f>
        <v>534626</v>
      </c>
      <c r="C110">
        <f>[1]RealGDP!$BB130</f>
        <v>20684154508.54776</v>
      </c>
      <c r="D110" s="8">
        <f>[1]GDPcap!$BB130</f>
        <v>38689.01719809317</v>
      </c>
      <c r="E110" s="8">
        <v>34.532987256137496</v>
      </c>
      <c r="G110">
        <f>RANK(D110,D$4:D110:D$201)</f>
        <v>17</v>
      </c>
      <c r="H110" t="s">
        <v>386</v>
      </c>
      <c r="J110">
        <v>15.1</v>
      </c>
      <c r="K110">
        <v>15.6</v>
      </c>
      <c r="L110">
        <v>18.7</v>
      </c>
      <c r="M110">
        <v>22.6</v>
      </c>
      <c r="N110">
        <v>26.1</v>
      </c>
      <c r="O110">
        <v>27.8</v>
      </c>
      <c r="P110">
        <v>28.8</v>
      </c>
      <c r="Q110">
        <v>28.6</v>
      </c>
      <c r="R110">
        <v>27.6</v>
      </c>
      <c r="S110">
        <v>24.8</v>
      </c>
      <c r="T110">
        <v>20.8</v>
      </c>
      <c r="U110">
        <v>16.8</v>
      </c>
      <c r="V110">
        <v>22.5</v>
      </c>
      <c r="W110">
        <v>28.4</v>
      </c>
      <c r="X110">
        <v>24.4</v>
      </c>
      <c r="Y110">
        <v>15.3</v>
      </c>
      <c r="Z110">
        <v>22.8</v>
      </c>
      <c r="AB110">
        <f t="shared" si="54"/>
        <v>0</v>
      </c>
      <c r="AC110">
        <f t="shared" si="55"/>
        <v>0</v>
      </c>
      <c r="AD110">
        <f t="shared" si="56"/>
        <v>0</v>
      </c>
      <c r="AE110">
        <f t="shared" si="57"/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f t="shared" si="84"/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f t="shared" si="44"/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f t="shared" si="85"/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f t="shared" si="45"/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f t="shared" si="46"/>
        <v>1</v>
      </c>
      <c r="CX110">
        <f t="shared" si="81"/>
        <v>0</v>
      </c>
      <c r="CY110">
        <f t="shared" si="61"/>
        <v>0</v>
      </c>
      <c r="CZ110">
        <f t="shared" si="62"/>
        <v>0</v>
      </c>
      <c r="DA110">
        <f t="shared" si="63"/>
        <v>0</v>
      </c>
      <c r="DB110">
        <f t="shared" si="64"/>
        <v>0</v>
      </c>
      <c r="DC110">
        <f t="shared" si="65"/>
        <v>0</v>
      </c>
      <c r="DD110">
        <f t="shared" si="66"/>
        <v>0</v>
      </c>
      <c r="DE110">
        <f t="shared" si="67"/>
        <v>1</v>
      </c>
      <c r="DF110">
        <f t="shared" si="68"/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f t="shared" si="47"/>
        <v>1</v>
      </c>
      <c r="DN110">
        <f t="shared" si="48"/>
        <v>1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f t="shared" si="49"/>
        <v>0</v>
      </c>
      <c r="DW110">
        <v>0</v>
      </c>
      <c r="DX110">
        <f t="shared" si="50"/>
        <v>1</v>
      </c>
      <c r="DZ110">
        <f t="shared" si="82"/>
        <v>0</v>
      </c>
      <c r="EA110">
        <f t="shared" si="69"/>
        <v>0</v>
      </c>
      <c r="EB110">
        <f t="shared" si="70"/>
        <v>0</v>
      </c>
      <c r="EC110">
        <f t="shared" si="71"/>
        <v>0</v>
      </c>
      <c r="ED110">
        <f t="shared" si="72"/>
        <v>0</v>
      </c>
      <c r="EE110">
        <f t="shared" si="73"/>
        <v>1</v>
      </c>
      <c r="EF110">
        <f t="shared" si="74"/>
        <v>0</v>
      </c>
      <c r="EG110">
        <f t="shared" si="75"/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f t="shared" si="51"/>
        <v>1</v>
      </c>
      <c r="EO110">
        <f t="shared" si="52"/>
        <v>1</v>
      </c>
      <c r="EQ110">
        <f t="shared" si="83"/>
        <v>0</v>
      </c>
      <c r="ER110">
        <f t="shared" si="76"/>
        <v>0</v>
      </c>
      <c r="ES110">
        <f t="shared" si="77"/>
        <v>0</v>
      </c>
      <c r="ET110">
        <f t="shared" si="78"/>
        <v>0</v>
      </c>
      <c r="EU110">
        <f t="shared" si="79"/>
        <v>0</v>
      </c>
      <c r="EV110">
        <f t="shared" si="80"/>
        <v>1</v>
      </c>
      <c r="EW110">
        <f t="shared" si="58"/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f t="shared" si="59"/>
        <v>1</v>
      </c>
      <c r="FZ110">
        <v>0</v>
      </c>
      <c r="GA110">
        <v>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f t="shared" si="60"/>
        <v>1</v>
      </c>
    </row>
    <row r="111" spans="1:189" x14ac:dyDescent="0.35">
      <c r="A111" t="s">
        <v>387</v>
      </c>
      <c r="B111">
        <f>[1]Population!$BB131</f>
        <v>2102216</v>
      </c>
      <c r="C111">
        <f>[1]RealGDP!$BB131</f>
        <v>7140636379.2323322</v>
      </c>
      <c r="D111" s="8">
        <f>[1]GDPcap!$BB131</f>
        <v>3396.7186907683758</v>
      </c>
      <c r="E111" s="8">
        <v>16.865692803044162</v>
      </c>
      <c r="F111">
        <v>10.120833485785372</v>
      </c>
      <c r="G111">
        <f>RANK(D111,D$4:D111:D$201)</f>
        <v>104</v>
      </c>
      <c r="H111" t="s">
        <v>228</v>
      </c>
      <c r="J111">
        <v>-1.3</v>
      </c>
      <c r="K111">
        <v>0.9</v>
      </c>
      <c r="L111">
        <v>4.7</v>
      </c>
      <c r="M111">
        <v>9.4</v>
      </c>
      <c r="N111">
        <v>14.1</v>
      </c>
      <c r="O111">
        <v>17.399999999999999</v>
      </c>
      <c r="P111">
        <v>19.7</v>
      </c>
      <c r="Q111">
        <v>19.600000000000001</v>
      </c>
      <c r="R111">
        <v>16.2</v>
      </c>
      <c r="S111">
        <v>10.8</v>
      </c>
      <c r="T111">
        <v>5.2</v>
      </c>
      <c r="U111">
        <v>0.6</v>
      </c>
      <c r="V111">
        <v>9.4</v>
      </c>
      <c r="W111">
        <v>18.899999999999999</v>
      </c>
      <c r="X111">
        <v>10.7</v>
      </c>
      <c r="Y111">
        <v>0.1</v>
      </c>
      <c r="Z111">
        <v>9.8000000000000007</v>
      </c>
      <c r="AB111">
        <f t="shared" si="54"/>
        <v>0</v>
      </c>
      <c r="AC111">
        <f t="shared" si="55"/>
        <v>1</v>
      </c>
      <c r="AD111">
        <f t="shared" si="56"/>
        <v>0</v>
      </c>
      <c r="AE111">
        <f t="shared" si="57"/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f t="shared" si="84"/>
        <v>1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f t="shared" ref="BL111:BL159" si="86">SUM(AW111:BK111)</f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f t="shared" si="85"/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f t="shared" si="45"/>
        <v>1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f t="shared" si="46"/>
        <v>1</v>
      </c>
      <c r="CX111">
        <f t="shared" si="81"/>
        <v>0</v>
      </c>
      <c r="CY111">
        <f t="shared" si="61"/>
        <v>0</v>
      </c>
      <c r="CZ111">
        <f t="shared" si="62"/>
        <v>0</v>
      </c>
      <c r="DA111">
        <f t="shared" si="63"/>
        <v>1</v>
      </c>
      <c r="DB111">
        <f t="shared" si="64"/>
        <v>0</v>
      </c>
      <c r="DC111">
        <f t="shared" si="65"/>
        <v>0</v>
      </c>
      <c r="DD111">
        <f t="shared" si="66"/>
        <v>0</v>
      </c>
      <c r="DE111">
        <f t="shared" si="67"/>
        <v>0</v>
      </c>
      <c r="DF111">
        <f t="shared" si="68"/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f t="shared" si="47"/>
        <v>1</v>
      </c>
      <c r="DN111">
        <f t="shared" si="48"/>
        <v>1</v>
      </c>
      <c r="DP111">
        <v>0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f t="shared" si="49"/>
        <v>0</v>
      </c>
      <c r="DW111">
        <v>0</v>
      </c>
      <c r="DX111">
        <f t="shared" si="50"/>
        <v>1</v>
      </c>
      <c r="DZ111">
        <f t="shared" si="82"/>
        <v>0</v>
      </c>
      <c r="EA111">
        <f t="shared" si="69"/>
        <v>0</v>
      </c>
      <c r="EB111">
        <f t="shared" si="70"/>
        <v>0</v>
      </c>
      <c r="EC111">
        <f t="shared" si="71"/>
        <v>1</v>
      </c>
      <c r="ED111">
        <f t="shared" si="72"/>
        <v>0</v>
      </c>
      <c r="EE111">
        <f t="shared" si="73"/>
        <v>0</v>
      </c>
      <c r="EF111">
        <f t="shared" si="74"/>
        <v>0</v>
      </c>
      <c r="EG111">
        <f t="shared" si="75"/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f t="shared" si="51"/>
        <v>1</v>
      </c>
      <c r="EO111">
        <f t="shared" si="52"/>
        <v>1</v>
      </c>
      <c r="EQ111">
        <f t="shared" si="83"/>
        <v>0</v>
      </c>
      <c r="ER111">
        <f t="shared" si="76"/>
        <v>0</v>
      </c>
      <c r="ES111">
        <f t="shared" si="77"/>
        <v>0</v>
      </c>
      <c r="ET111">
        <f t="shared" si="78"/>
        <v>0</v>
      </c>
      <c r="EU111">
        <f t="shared" si="79"/>
        <v>0</v>
      </c>
      <c r="EV111">
        <f t="shared" si="80"/>
        <v>1</v>
      </c>
      <c r="EW111">
        <f t="shared" si="58"/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f t="shared" si="59"/>
        <v>1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0</v>
      </c>
      <c r="GG111">
        <f t="shared" si="60"/>
        <v>1</v>
      </c>
    </row>
    <row r="112" spans="1:189" x14ac:dyDescent="0.35">
      <c r="A112" t="s">
        <v>162</v>
      </c>
      <c r="B112">
        <f>[1]Population!$BB132</f>
        <v>21079532</v>
      </c>
      <c r="C112">
        <f>[1]RealGDP!$BB132</f>
        <v>5759450979.3430977</v>
      </c>
      <c r="D112" s="8">
        <f>[1]GDPcap!$BB132</f>
        <v>273.22480306218836</v>
      </c>
      <c r="E112" s="8"/>
      <c r="F112">
        <v>25.765248003544773</v>
      </c>
      <c r="G112">
        <f>RANK(D112,D$4:D112:D$201)</f>
        <v>192</v>
      </c>
      <c r="H112" t="s">
        <v>162</v>
      </c>
      <c r="J112">
        <v>24.8</v>
      </c>
      <c r="K112">
        <v>24.9</v>
      </c>
      <c r="L112">
        <v>24.6</v>
      </c>
      <c r="M112">
        <v>23.7</v>
      </c>
      <c r="N112">
        <v>21.9</v>
      </c>
      <c r="O112">
        <v>20.100000000000001</v>
      </c>
      <c r="P112">
        <v>19.600000000000001</v>
      </c>
      <c r="Q112">
        <v>19.899999999999999</v>
      </c>
      <c r="R112">
        <v>21.1</v>
      </c>
      <c r="S112">
        <v>22.6</v>
      </c>
      <c r="T112">
        <v>23.8</v>
      </c>
      <c r="U112">
        <v>24.5</v>
      </c>
      <c r="V112">
        <v>23.4</v>
      </c>
      <c r="W112">
        <v>19.899999999999999</v>
      </c>
      <c r="X112">
        <v>22.5</v>
      </c>
      <c r="Y112">
        <v>23.9</v>
      </c>
      <c r="Z112">
        <v>22.6</v>
      </c>
      <c r="AB112">
        <f t="shared" si="54"/>
        <v>1</v>
      </c>
      <c r="AC112">
        <f t="shared" si="55"/>
        <v>0</v>
      </c>
      <c r="AD112">
        <f t="shared" si="56"/>
        <v>0</v>
      </c>
      <c r="AE112">
        <f t="shared" si="57"/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f t="shared" si="84"/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f t="shared" si="86"/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f t="shared" si="85"/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f t="shared" ref="CK112:CK160" si="87">SUM(BX112:CJ112)</f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f t="shared" ref="CV112:CV160" si="88">SUM(CM112:CU112)</f>
        <v>1</v>
      </c>
      <c r="CX112">
        <f t="shared" si="81"/>
        <v>0</v>
      </c>
      <c r="CY112">
        <f t="shared" si="61"/>
        <v>0</v>
      </c>
      <c r="CZ112">
        <f t="shared" si="62"/>
        <v>0</v>
      </c>
      <c r="DA112">
        <f t="shared" si="63"/>
        <v>0</v>
      </c>
      <c r="DB112">
        <f t="shared" si="64"/>
        <v>0</v>
      </c>
      <c r="DC112">
        <f t="shared" si="65"/>
        <v>0</v>
      </c>
      <c r="DD112">
        <f t="shared" si="66"/>
        <v>0</v>
      </c>
      <c r="DE112">
        <f t="shared" si="67"/>
        <v>0</v>
      </c>
      <c r="DF112">
        <f t="shared" si="68"/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f t="shared" ref="DM112:DM160" si="89">1-SUM(DH112:DL112)</f>
        <v>1</v>
      </c>
      <c r="DN112">
        <f t="shared" ref="DN112:DN160" si="90">SUM(DH112:DM112)</f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f t="shared" ref="DV112:DV160" si="91">CQ112+CU112</f>
        <v>1</v>
      </c>
      <c r="DW112">
        <v>0</v>
      </c>
      <c r="DX112">
        <f t="shared" ref="DX112:DX160" si="92">SUM(DP112:DW112)</f>
        <v>1</v>
      </c>
      <c r="DZ112">
        <f t="shared" si="82"/>
        <v>0</v>
      </c>
      <c r="EA112">
        <f t="shared" si="69"/>
        <v>0</v>
      </c>
      <c r="EB112">
        <f t="shared" si="70"/>
        <v>0</v>
      </c>
      <c r="EC112">
        <f t="shared" si="71"/>
        <v>0</v>
      </c>
      <c r="ED112">
        <f t="shared" si="72"/>
        <v>0</v>
      </c>
      <c r="EE112">
        <f t="shared" si="73"/>
        <v>0</v>
      </c>
      <c r="EF112">
        <f t="shared" si="74"/>
        <v>1</v>
      </c>
      <c r="EG112">
        <f t="shared" si="75"/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f t="shared" ref="EN112:EN160" si="93">1-SUM(EI112:EM112)</f>
        <v>1</v>
      </c>
      <c r="EO112">
        <f t="shared" ref="EO112:EO160" si="94">SUM(EI112:EN112)</f>
        <v>1</v>
      </c>
      <c r="EQ112">
        <f t="shared" si="83"/>
        <v>0</v>
      </c>
      <c r="ER112">
        <f t="shared" si="76"/>
        <v>0</v>
      </c>
      <c r="ES112">
        <f t="shared" si="77"/>
        <v>0</v>
      </c>
      <c r="ET112">
        <f t="shared" si="78"/>
        <v>0</v>
      </c>
      <c r="EU112">
        <f t="shared" si="79"/>
        <v>0</v>
      </c>
      <c r="EV112">
        <f t="shared" si="80"/>
        <v>1</v>
      </c>
      <c r="EW112">
        <f t="shared" si="58"/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</v>
      </c>
      <c r="FX112">
        <f t="shared" si="59"/>
        <v>1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f t="shared" si="60"/>
        <v>1</v>
      </c>
    </row>
    <row r="113" spans="1:189" x14ac:dyDescent="0.35">
      <c r="A113" t="s">
        <v>163</v>
      </c>
      <c r="B113">
        <f>[1]Population!$BB133</f>
        <v>15013694</v>
      </c>
      <c r="C113">
        <f>[1]RealGDP!$BB133</f>
        <v>3290262502.0248256</v>
      </c>
      <c r="D113" s="8">
        <f>[1]GDPcap!$BB133</f>
        <v>219.15076343135976</v>
      </c>
      <c r="E113" s="8">
        <v>15.372913896940007</v>
      </c>
      <c r="F113">
        <v>29.614872252981755</v>
      </c>
      <c r="G113">
        <f>RANK(D113,D$4:D113:D$201)</f>
        <v>196</v>
      </c>
      <c r="H113" t="s">
        <v>163</v>
      </c>
      <c r="J113">
        <v>23.3</v>
      </c>
      <c r="K113">
        <v>23.2</v>
      </c>
      <c r="L113">
        <v>23.1</v>
      </c>
      <c r="M113">
        <v>22.3</v>
      </c>
      <c r="N113">
        <v>20.3</v>
      </c>
      <c r="O113">
        <v>18.5</v>
      </c>
      <c r="P113">
        <v>18.100000000000001</v>
      </c>
      <c r="Q113">
        <v>19.5</v>
      </c>
      <c r="R113">
        <v>21.9</v>
      </c>
      <c r="S113">
        <v>24.1</v>
      </c>
      <c r="T113">
        <v>24.6</v>
      </c>
      <c r="U113">
        <v>23.9</v>
      </c>
      <c r="V113">
        <v>21.9</v>
      </c>
      <c r="W113">
        <v>18.7</v>
      </c>
      <c r="X113">
        <v>23.6</v>
      </c>
      <c r="Y113">
        <v>22.7</v>
      </c>
      <c r="Z113">
        <v>21.9</v>
      </c>
      <c r="AB113">
        <f t="shared" si="54"/>
        <v>1</v>
      </c>
      <c r="AC113">
        <f t="shared" si="55"/>
        <v>0</v>
      </c>
      <c r="AD113">
        <f t="shared" si="56"/>
        <v>0</v>
      </c>
      <c r="AE113">
        <f t="shared" si="57"/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f t="shared" si="84"/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f t="shared" si="86"/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f t="shared" si="85"/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f t="shared" si="87"/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f t="shared" si="88"/>
        <v>1</v>
      </c>
      <c r="CX113">
        <f t="shared" si="81"/>
        <v>0</v>
      </c>
      <c r="CY113">
        <f t="shared" si="61"/>
        <v>0</v>
      </c>
      <c r="CZ113">
        <f t="shared" si="62"/>
        <v>0</v>
      </c>
      <c r="DA113">
        <f t="shared" si="63"/>
        <v>0</v>
      </c>
      <c r="DB113">
        <f t="shared" si="64"/>
        <v>0</v>
      </c>
      <c r="DC113">
        <f t="shared" si="65"/>
        <v>0</v>
      </c>
      <c r="DD113">
        <f t="shared" si="66"/>
        <v>0</v>
      </c>
      <c r="DE113">
        <f t="shared" si="67"/>
        <v>0</v>
      </c>
      <c r="DF113">
        <f t="shared" si="68"/>
        <v>1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f t="shared" si="89"/>
        <v>1</v>
      </c>
      <c r="DN113">
        <f t="shared" si="90"/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f t="shared" si="91"/>
        <v>1</v>
      </c>
      <c r="DW113">
        <v>0</v>
      </c>
      <c r="DX113">
        <f t="shared" si="92"/>
        <v>1</v>
      </c>
      <c r="DZ113">
        <f t="shared" si="82"/>
        <v>0</v>
      </c>
      <c r="EA113">
        <f t="shared" si="69"/>
        <v>0</v>
      </c>
      <c r="EB113">
        <f t="shared" si="70"/>
        <v>0</v>
      </c>
      <c r="EC113">
        <f t="shared" si="71"/>
        <v>0</v>
      </c>
      <c r="ED113">
        <f t="shared" si="72"/>
        <v>0</v>
      </c>
      <c r="EE113">
        <f t="shared" si="73"/>
        <v>0</v>
      </c>
      <c r="EF113">
        <f t="shared" si="74"/>
        <v>1</v>
      </c>
      <c r="EG113">
        <f t="shared" si="75"/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f t="shared" si="93"/>
        <v>1</v>
      </c>
      <c r="EO113">
        <f t="shared" si="94"/>
        <v>1</v>
      </c>
      <c r="EQ113">
        <f t="shared" si="83"/>
        <v>0</v>
      </c>
      <c r="ER113">
        <f t="shared" si="76"/>
        <v>0</v>
      </c>
      <c r="ES113">
        <f t="shared" si="77"/>
        <v>0</v>
      </c>
      <c r="ET113">
        <f t="shared" si="78"/>
        <v>0</v>
      </c>
      <c r="EU113">
        <f t="shared" si="79"/>
        <v>0</v>
      </c>
      <c r="EV113">
        <f t="shared" si="80"/>
        <v>1</v>
      </c>
      <c r="EW113">
        <f t="shared" si="58"/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f t="shared" si="59"/>
        <v>1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f t="shared" si="60"/>
        <v>1</v>
      </c>
    </row>
    <row r="114" spans="1:189" x14ac:dyDescent="0.35">
      <c r="A114" t="s">
        <v>164</v>
      </c>
      <c r="B114">
        <f>[1]Population!$BB134</f>
        <v>28275835</v>
      </c>
      <c r="C114">
        <f>[1]RealGDP!$BB134</f>
        <v>178672208075.05682</v>
      </c>
      <c r="D114" s="8">
        <f>[1]GDPcap!$BB134</f>
        <v>6318.9012128220729</v>
      </c>
      <c r="E114" s="8">
        <v>13.332195310376733</v>
      </c>
      <c r="F114">
        <v>10.089915927512132</v>
      </c>
      <c r="G114">
        <f>RANK(D114,D$4:D114:D$201)</f>
        <v>75</v>
      </c>
      <c r="H114" t="s">
        <v>164</v>
      </c>
      <c r="J114">
        <v>24.8</v>
      </c>
      <c r="K114">
        <v>25</v>
      </c>
      <c r="L114">
        <v>25.4</v>
      </c>
      <c r="M114">
        <v>25.8</v>
      </c>
      <c r="N114">
        <v>26</v>
      </c>
      <c r="O114">
        <v>25.7</v>
      </c>
      <c r="P114">
        <v>25.5</v>
      </c>
      <c r="Q114">
        <v>25.4</v>
      </c>
      <c r="R114">
        <v>25.4</v>
      </c>
      <c r="S114">
        <v>25.3</v>
      </c>
      <c r="T114">
        <v>25</v>
      </c>
      <c r="U114">
        <v>24.9</v>
      </c>
      <c r="V114">
        <v>25.8</v>
      </c>
      <c r="W114">
        <v>25.5</v>
      </c>
      <c r="X114">
        <v>25.3</v>
      </c>
      <c r="Y114">
        <v>24.1</v>
      </c>
      <c r="Z114">
        <v>25.4</v>
      </c>
      <c r="AB114">
        <f t="shared" si="54"/>
        <v>0</v>
      </c>
      <c r="AC114">
        <f t="shared" si="55"/>
        <v>0</v>
      </c>
      <c r="AD114">
        <f t="shared" si="56"/>
        <v>1</v>
      </c>
      <c r="AE114">
        <f t="shared" si="57"/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f t="shared" si="84"/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f t="shared" si="86"/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f t="shared" si="85"/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f t="shared" si="87"/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f t="shared" si="88"/>
        <v>1</v>
      </c>
      <c r="CX114">
        <f t="shared" si="81"/>
        <v>0</v>
      </c>
      <c r="CY114">
        <f t="shared" si="61"/>
        <v>0</v>
      </c>
      <c r="CZ114">
        <f t="shared" si="62"/>
        <v>0</v>
      </c>
      <c r="DA114">
        <f t="shared" si="63"/>
        <v>0</v>
      </c>
      <c r="DB114">
        <f t="shared" si="64"/>
        <v>0</v>
      </c>
      <c r="DC114">
        <f t="shared" si="65"/>
        <v>0</v>
      </c>
      <c r="DD114">
        <f t="shared" si="66"/>
        <v>1</v>
      </c>
      <c r="DE114">
        <f t="shared" si="67"/>
        <v>0</v>
      </c>
      <c r="DF114">
        <f t="shared" si="68"/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f t="shared" si="89"/>
        <v>1</v>
      </c>
      <c r="DN114">
        <f t="shared" si="90"/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f t="shared" si="91"/>
        <v>0</v>
      </c>
      <c r="DW114">
        <v>0</v>
      </c>
      <c r="DX114">
        <f t="shared" si="92"/>
        <v>1</v>
      </c>
      <c r="DZ114">
        <f t="shared" si="82"/>
        <v>0</v>
      </c>
      <c r="EA114">
        <f t="shared" si="69"/>
        <v>0</v>
      </c>
      <c r="EB114">
        <f t="shared" si="70"/>
        <v>0</v>
      </c>
      <c r="EC114">
        <f t="shared" si="71"/>
        <v>0</v>
      </c>
      <c r="ED114">
        <f t="shared" si="72"/>
        <v>0</v>
      </c>
      <c r="EE114">
        <f t="shared" si="73"/>
        <v>1</v>
      </c>
      <c r="EF114">
        <f t="shared" si="74"/>
        <v>0</v>
      </c>
      <c r="EG114">
        <f t="shared" si="75"/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f t="shared" si="93"/>
        <v>1</v>
      </c>
      <c r="EO114">
        <f t="shared" si="94"/>
        <v>1</v>
      </c>
      <c r="EQ114">
        <f t="shared" si="83"/>
        <v>0</v>
      </c>
      <c r="ER114">
        <f t="shared" si="76"/>
        <v>0</v>
      </c>
      <c r="ES114">
        <f t="shared" si="77"/>
        <v>0</v>
      </c>
      <c r="ET114">
        <f t="shared" si="78"/>
        <v>0</v>
      </c>
      <c r="EU114">
        <f t="shared" si="79"/>
        <v>0</v>
      </c>
      <c r="EV114">
        <f t="shared" si="80"/>
        <v>1</v>
      </c>
      <c r="EW114">
        <f t="shared" si="58"/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f t="shared" si="59"/>
        <v>1</v>
      </c>
      <c r="FZ114">
        <v>0</v>
      </c>
      <c r="GA114">
        <v>1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f t="shared" si="60"/>
        <v>1</v>
      </c>
    </row>
    <row r="115" spans="1:189" x14ac:dyDescent="0.35">
      <c r="A115" t="s">
        <v>388</v>
      </c>
      <c r="B115">
        <f>[1]Population!$BB135</f>
        <v>325694</v>
      </c>
      <c r="C115">
        <f>[1]RealGDP!$BB135</f>
        <v>1518834121.3135984</v>
      </c>
      <c r="D115" s="8">
        <f>[1]GDPcap!$BB135</f>
        <v>4663.3776529920669</v>
      </c>
      <c r="E115" s="8">
        <v>8.8476279303051069</v>
      </c>
      <c r="F115">
        <v>5.6341206261220371</v>
      </c>
      <c r="G115">
        <f>RANK(D115,D$4:D115:D$201)</f>
        <v>90</v>
      </c>
      <c r="H115" t="s">
        <v>388</v>
      </c>
      <c r="J115">
        <v>27.3</v>
      </c>
      <c r="K115">
        <v>27.6</v>
      </c>
      <c r="L115">
        <v>28</v>
      </c>
      <c r="M115">
        <v>28.6</v>
      </c>
      <c r="N115">
        <v>28.2</v>
      </c>
      <c r="O115">
        <v>27.8</v>
      </c>
      <c r="P115">
        <v>27.4</v>
      </c>
      <c r="Q115">
        <v>27.3</v>
      </c>
      <c r="R115">
        <v>27.2</v>
      </c>
      <c r="S115">
        <v>27.4</v>
      </c>
      <c r="T115">
        <v>27.4</v>
      </c>
      <c r="U115">
        <v>27.3</v>
      </c>
      <c r="V115">
        <v>28.3</v>
      </c>
      <c r="W115">
        <v>27.5</v>
      </c>
      <c r="X115">
        <v>27.3</v>
      </c>
      <c r="Y115">
        <v>26.5</v>
      </c>
      <c r="Z115">
        <v>27.6</v>
      </c>
      <c r="AB115">
        <f t="shared" si="54"/>
        <v>0</v>
      </c>
      <c r="AC115">
        <f t="shared" si="55"/>
        <v>0</v>
      </c>
      <c r="AD115">
        <f t="shared" si="56"/>
        <v>1</v>
      </c>
      <c r="AE115">
        <f t="shared" si="57"/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f t="shared" si="84"/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f t="shared" si="86"/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f t="shared" si="85"/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f t="shared" si="87"/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f t="shared" si="88"/>
        <v>1</v>
      </c>
      <c r="CX115">
        <f t="shared" si="81"/>
        <v>0</v>
      </c>
      <c r="CY115">
        <f t="shared" si="61"/>
        <v>0</v>
      </c>
      <c r="CZ115">
        <f t="shared" si="62"/>
        <v>0</v>
      </c>
      <c r="DA115">
        <f t="shared" si="63"/>
        <v>0</v>
      </c>
      <c r="DB115">
        <f t="shared" si="64"/>
        <v>0</v>
      </c>
      <c r="DC115">
        <f t="shared" si="65"/>
        <v>0</v>
      </c>
      <c r="DD115">
        <f t="shared" si="66"/>
        <v>1</v>
      </c>
      <c r="DE115">
        <f t="shared" si="67"/>
        <v>0</v>
      </c>
      <c r="DF115">
        <f t="shared" si="68"/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f t="shared" si="89"/>
        <v>1</v>
      </c>
      <c r="DN115">
        <f t="shared" si="90"/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f t="shared" si="91"/>
        <v>0</v>
      </c>
      <c r="DW115">
        <v>0</v>
      </c>
      <c r="DX115">
        <f t="shared" si="92"/>
        <v>1</v>
      </c>
      <c r="DZ115">
        <f t="shared" si="82"/>
        <v>0</v>
      </c>
      <c r="EA115">
        <f t="shared" si="69"/>
        <v>0</v>
      </c>
      <c r="EB115">
        <f t="shared" si="70"/>
        <v>0</v>
      </c>
      <c r="EC115">
        <f t="shared" si="71"/>
        <v>0</v>
      </c>
      <c r="ED115">
        <f t="shared" si="72"/>
        <v>0</v>
      </c>
      <c r="EE115">
        <f t="shared" si="73"/>
        <v>1</v>
      </c>
      <c r="EF115">
        <f t="shared" si="74"/>
        <v>0</v>
      </c>
      <c r="EG115">
        <f t="shared" si="75"/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f t="shared" si="93"/>
        <v>1</v>
      </c>
      <c r="EO115">
        <f t="shared" si="94"/>
        <v>1</v>
      </c>
      <c r="EQ115">
        <f t="shared" si="83"/>
        <v>0</v>
      </c>
      <c r="ER115">
        <f t="shared" si="76"/>
        <v>0</v>
      </c>
      <c r="ES115">
        <f t="shared" si="77"/>
        <v>0</v>
      </c>
      <c r="ET115">
        <f t="shared" si="78"/>
        <v>0</v>
      </c>
      <c r="EU115">
        <f t="shared" si="79"/>
        <v>0</v>
      </c>
      <c r="EV115">
        <f t="shared" si="80"/>
        <v>1</v>
      </c>
      <c r="EW115">
        <f t="shared" si="58"/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0</v>
      </c>
      <c r="FX115">
        <f t="shared" si="59"/>
        <v>1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f t="shared" si="60"/>
        <v>1</v>
      </c>
    </row>
    <row r="116" spans="1:189" x14ac:dyDescent="0.35">
      <c r="A116" t="s">
        <v>165</v>
      </c>
      <c r="B116">
        <f>[1]Population!$BB136</f>
        <v>13985961</v>
      </c>
      <c r="C116">
        <f>[1]RealGDP!$BB136</f>
        <v>6971653980.9015436</v>
      </c>
      <c r="D116" s="8">
        <f>[1]GDPcap!$BB136</f>
        <v>498.47514810755899</v>
      </c>
      <c r="E116" s="8">
        <v>12.89285053202542</v>
      </c>
      <c r="F116">
        <v>33.016830029614638</v>
      </c>
      <c r="G116">
        <f>RANK(D116,D$4:D116:D$201)</f>
        <v>174</v>
      </c>
      <c r="H116" t="s">
        <v>165</v>
      </c>
      <c r="J116">
        <v>21</v>
      </c>
      <c r="K116">
        <v>23.9</v>
      </c>
      <c r="L116">
        <v>27.1</v>
      </c>
      <c r="M116">
        <v>30.4</v>
      </c>
      <c r="N116">
        <v>33</v>
      </c>
      <c r="O116">
        <v>33.5</v>
      </c>
      <c r="P116">
        <v>32</v>
      </c>
      <c r="Q116">
        <v>30.8</v>
      </c>
      <c r="R116">
        <v>30.7</v>
      </c>
      <c r="S116">
        <v>29.5</v>
      </c>
      <c r="T116">
        <v>25.5</v>
      </c>
      <c r="U116">
        <v>21.5</v>
      </c>
      <c r="V116">
        <v>30.2</v>
      </c>
      <c r="W116">
        <v>32.1</v>
      </c>
      <c r="X116">
        <v>28.6</v>
      </c>
      <c r="Y116">
        <v>21.4</v>
      </c>
      <c r="Z116">
        <v>28.2</v>
      </c>
      <c r="AB116">
        <f t="shared" si="54"/>
        <v>1</v>
      </c>
      <c r="AC116">
        <f t="shared" si="55"/>
        <v>0</v>
      </c>
      <c r="AD116">
        <f t="shared" si="56"/>
        <v>0</v>
      </c>
      <c r="AE116">
        <f t="shared" si="57"/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f t="shared" si="84"/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f t="shared" si="86"/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f t="shared" si="85"/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f t="shared" si="87"/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f t="shared" si="88"/>
        <v>1</v>
      </c>
      <c r="CX116">
        <f t="shared" si="81"/>
        <v>0</v>
      </c>
      <c r="CY116">
        <f t="shared" si="61"/>
        <v>0</v>
      </c>
      <c r="CZ116">
        <f t="shared" si="62"/>
        <v>0</v>
      </c>
      <c r="DA116">
        <f t="shared" si="63"/>
        <v>0</v>
      </c>
      <c r="DB116">
        <f t="shared" si="64"/>
        <v>0</v>
      </c>
      <c r="DC116">
        <f t="shared" si="65"/>
        <v>0</v>
      </c>
      <c r="DD116">
        <f t="shared" si="66"/>
        <v>0</v>
      </c>
      <c r="DE116">
        <f t="shared" si="67"/>
        <v>0</v>
      </c>
      <c r="DF116">
        <f t="shared" si="68"/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f t="shared" si="89"/>
        <v>1</v>
      </c>
      <c r="DN116">
        <f t="shared" si="90"/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f t="shared" si="91"/>
        <v>1</v>
      </c>
      <c r="DW116">
        <v>0</v>
      </c>
      <c r="DX116">
        <f t="shared" si="92"/>
        <v>1</v>
      </c>
      <c r="DZ116">
        <f t="shared" si="82"/>
        <v>0</v>
      </c>
      <c r="EA116">
        <f t="shared" si="69"/>
        <v>0</v>
      </c>
      <c r="EB116">
        <f t="shared" si="70"/>
        <v>0</v>
      </c>
      <c r="EC116">
        <f t="shared" si="71"/>
        <v>0</v>
      </c>
      <c r="ED116">
        <f t="shared" si="72"/>
        <v>0</v>
      </c>
      <c r="EE116">
        <f t="shared" si="73"/>
        <v>0</v>
      </c>
      <c r="EF116">
        <f t="shared" si="74"/>
        <v>1</v>
      </c>
      <c r="EG116">
        <f t="shared" si="75"/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f t="shared" si="93"/>
        <v>1</v>
      </c>
      <c r="EO116">
        <f t="shared" si="94"/>
        <v>1</v>
      </c>
      <c r="EQ116">
        <f t="shared" si="83"/>
        <v>0</v>
      </c>
      <c r="ER116">
        <f t="shared" si="76"/>
        <v>0</v>
      </c>
      <c r="ES116">
        <f t="shared" si="77"/>
        <v>0</v>
      </c>
      <c r="ET116">
        <f t="shared" si="78"/>
        <v>0</v>
      </c>
      <c r="EU116">
        <f t="shared" si="79"/>
        <v>0</v>
      </c>
      <c r="EV116">
        <f t="shared" si="80"/>
        <v>1</v>
      </c>
      <c r="EW116">
        <f t="shared" si="58"/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f t="shared" si="59"/>
        <v>1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f t="shared" si="60"/>
        <v>1</v>
      </c>
    </row>
    <row r="117" spans="1:189" x14ac:dyDescent="0.35">
      <c r="A117" t="s">
        <v>389</v>
      </c>
      <c r="B117">
        <f>[1]Population!$BB137</f>
        <v>415995</v>
      </c>
      <c r="C117">
        <f>[1]RealGDP!$BB137</f>
        <v>6652772997.1789989</v>
      </c>
      <c r="D117" s="8">
        <f>[1]GDPcap!$BB137</f>
        <v>15992.434998447094</v>
      </c>
      <c r="E117" s="8">
        <v>26.139677248276382</v>
      </c>
      <c r="F117">
        <v>1.4561709220395482</v>
      </c>
      <c r="G117">
        <f>RANK(D117,D$4:D117:D$201)</f>
        <v>48</v>
      </c>
      <c r="H117" t="s">
        <v>389</v>
      </c>
      <c r="J117">
        <v>12.2</v>
      </c>
      <c r="K117">
        <v>12.9</v>
      </c>
      <c r="L117">
        <v>14.1</v>
      </c>
      <c r="M117">
        <v>16.600000000000001</v>
      </c>
      <c r="N117">
        <v>20.2</v>
      </c>
      <c r="O117">
        <v>23.9</v>
      </c>
      <c r="P117">
        <v>26.6</v>
      </c>
      <c r="Q117">
        <v>27.1</v>
      </c>
      <c r="R117">
        <v>25</v>
      </c>
      <c r="S117">
        <v>21.2</v>
      </c>
      <c r="T117">
        <v>17</v>
      </c>
      <c r="U117">
        <v>13.5</v>
      </c>
      <c r="V117">
        <v>17</v>
      </c>
      <c r="W117">
        <v>25.9</v>
      </c>
      <c r="X117">
        <v>21</v>
      </c>
      <c r="Y117">
        <v>12.5</v>
      </c>
      <c r="Z117">
        <v>19.2</v>
      </c>
      <c r="AB117">
        <f t="shared" si="54"/>
        <v>0</v>
      </c>
      <c r="AC117">
        <f t="shared" si="55"/>
        <v>0</v>
      </c>
      <c r="AD117">
        <f t="shared" si="56"/>
        <v>0</v>
      </c>
      <c r="AE117">
        <f t="shared" si="57"/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f t="shared" si="84"/>
        <v>1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f t="shared" si="86"/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f t="shared" si="85"/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f t="shared" si="87"/>
        <v>1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f t="shared" si="88"/>
        <v>1</v>
      </c>
      <c r="CX117">
        <f t="shared" si="81"/>
        <v>0</v>
      </c>
      <c r="CY117">
        <f t="shared" si="61"/>
        <v>1</v>
      </c>
      <c r="CZ117">
        <f t="shared" si="62"/>
        <v>0</v>
      </c>
      <c r="DA117">
        <f t="shared" si="63"/>
        <v>0</v>
      </c>
      <c r="DB117">
        <f t="shared" si="64"/>
        <v>0</v>
      </c>
      <c r="DC117">
        <f t="shared" si="65"/>
        <v>0</v>
      </c>
      <c r="DD117">
        <f t="shared" si="66"/>
        <v>0</v>
      </c>
      <c r="DE117">
        <f t="shared" si="67"/>
        <v>0</v>
      </c>
      <c r="DF117">
        <f t="shared" si="68"/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f t="shared" si="89"/>
        <v>1</v>
      </c>
      <c r="DN117">
        <f t="shared" si="90"/>
        <v>1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f t="shared" si="91"/>
        <v>0</v>
      </c>
      <c r="DW117">
        <v>0</v>
      </c>
      <c r="DX117">
        <f t="shared" si="92"/>
        <v>1</v>
      </c>
      <c r="DZ117">
        <f t="shared" si="82"/>
        <v>1</v>
      </c>
      <c r="EA117">
        <f t="shared" si="69"/>
        <v>0</v>
      </c>
      <c r="EB117">
        <f t="shared" si="70"/>
        <v>0</v>
      </c>
      <c r="EC117">
        <f t="shared" si="71"/>
        <v>0</v>
      </c>
      <c r="ED117">
        <f t="shared" si="72"/>
        <v>0</v>
      </c>
      <c r="EE117">
        <f t="shared" si="73"/>
        <v>0</v>
      </c>
      <c r="EF117">
        <f t="shared" si="74"/>
        <v>0</v>
      </c>
      <c r="EG117">
        <f t="shared" si="75"/>
        <v>0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f t="shared" si="93"/>
        <v>0</v>
      </c>
      <c r="EO117">
        <f t="shared" si="94"/>
        <v>1</v>
      </c>
      <c r="EQ117">
        <f t="shared" si="83"/>
        <v>1</v>
      </c>
      <c r="ER117">
        <f t="shared" si="76"/>
        <v>0</v>
      </c>
      <c r="ES117">
        <f t="shared" si="77"/>
        <v>0</v>
      </c>
      <c r="ET117">
        <f t="shared" si="78"/>
        <v>0</v>
      </c>
      <c r="EU117">
        <f t="shared" si="79"/>
        <v>0</v>
      </c>
      <c r="EV117">
        <f t="shared" si="80"/>
        <v>0</v>
      </c>
      <c r="EW117">
        <f t="shared" si="58"/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f t="shared" si="59"/>
        <v>1</v>
      </c>
      <c r="FZ117">
        <v>0</v>
      </c>
      <c r="GA117">
        <v>0</v>
      </c>
      <c r="GB117">
        <v>1</v>
      </c>
      <c r="GC117">
        <v>0</v>
      </c>
      <c r="GD117">
        <v>0</v>
      </c>
      <c r="GE117">
        <v>0</v>
      </c>
      <c r="GF117">
        <v>0</v>
      </c>
      <c r="GG117">
        <f t="shared" si="60"/>
        <v>1</v>
      </c>
    </row>
    <row r="118" spans="1:189" x14ac:dyDescent="0.35">
      <c r="A118" t="s">
        <v>390</v>
      </c>
      <c r="B118">
        <f>[1]Population!$BB138</f>
        <v>52428</v>
      </c>
      <c r="C118">
        <f>[1]RealGDP!$BB138</f>
        <v>147320121.96961504</v>
      </c>
      <c r="D118" s="8">
        <f>[1]GDPcap!$BB138</f>
        <v>2809.9512086979294</v>
      </c>
      <c r="E118" s="8">
        <v>17.120376482626138</v>
      </c>
      <c r="F118">
        <v>15.045383598577494</v>
      </c>
      <c r="G118">
        <f>RANK(D118,D$4:D118:D$201)</f>
        <v>114</v>
      </c>
      <c r="H118" t="s">
        <v>460</v>
      </c>
      <c r="I118" t="s">
        <v>439</v>
      </c>
      <c r="J118">
        <v>27.2</v>
      </c>
      <c r="K118">
        <v>27.3</v>
      </c>
      <c r="L118">
        <v>27.4</v>
      </c>
      <c r="M118">
        <v>27.3</v>
      </c>
      <c r="N118">
        <v>27.5</v>
      </c>
      <c r="O118">
        <v>27.6</v>
      </c>
      <c r="P118">
        <v>27.5</v>
      </c>
      <c r="Q118">
        <v>27.6</v>
      </c>
      <c r="R118">
        <v>27.5</v>
      </c>
      <c r="S118">
        <v>27.6</v>
      </c>
      <c r="T118">
        <v>27.5</v>
      </c>
      <c r="U118">
        <v>27.1</v>
      </c>
      <c r="V118">
        <v>27.4</v>
      </c>
      <c r="W118">
        <v>27.6</v>
      </c>
      <c r="X118">
        <v>27.5</v>
      </c>
      <c r="Y118">
        <v>26.3</v>
      </c>
      <c r="Z118">
        <v>27.4</v>
      </c>
      <c r="AB118">
        <f t="shared" si="54"/>
        <v>0</v>
      </c>
      <c r="AC118">
        <f t="shared" si="55"/>
        <v>1</v>
      </c>
      <c r="AD118">
        <f t="shared" si="56"/>
        <v>0</v>
      </c>
      <c r="AE118">
        <f t="shared" si="57"/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f t="shared" si="84"/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f t="shared" si="86"/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f t="shared" si="85"/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f t="shared" si="87"/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f t="shared" si="88"/>
        <v>1</v>
      </c>
      <c r="CX118">
        <f t="shared" si="81"/>
        <v>0</v>
      </c>
      <c r="CY118">
        <f t="shared" si="61"/>
        <v>0</v>
      </c>
      <c r="CZ118">
        <f t="shared" si="62"/>
        <v>0</v>
      </c>
      <c r="DA118">
        <f t="shared" si="63"/>
        <v>0</v>
      </c>
      <c r="DB118">
        <f t="shared" si="64"/>
        <v>0</v>
      </c>
      <c r="DC118">
        <f t="shared" si="65"/>
        <v>0</v>
      </c>
      <c r="DD118">
        <f t="shared" si="66"/>
        <v>1</v>
      </c>
      <c r="DE118">
        <f t="shared" si="67"/>
        <v>0</v>
      </c>
      <c r="DF118">
        <f t="shared" si="68"/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f t="shared" si="89"/>
        <v>1</v>
      </c>
      <c r="DN118">
        <f t="shared" si="90"/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</v>
      </c>
      <c r="DV118">
        <f t="shared" si="91"/>
        <v>0</v>
      </c>
      <c r="DW118">
        <v>0</v>
      </c>
      <c r="DX118">
        <f t="shared" si="92"/>
        <v>1</v>
      </c>
      <c r="DZ118">
        <f t="shared" si="82"/>
        <v>0</v>
      </c>
      <c r="EA118">
        <f t="shared" si="69"/>
        <v>0</v>
      </c>
      <c r="EB118">
        <f t="shared" si="70"/>
        <v>0</v>
      </c>
      <c r="EC118">
        <f t="shared" si="71"/>
        <v>0</v>
      </c>
      <c r="ED118">
        <f t="shared" si="72"/>
        <v>0</v>
      </c>
      <c r="EE118">
        <f t="shared" si="73"/>
        <v>1</v>
      </c>
      <c r="EF118">
        <f t="shared" si="74"/>
        <v>0</v>
      </c>
      <c r="EG118">
        <f t="shared" si="75"/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f t="shared" si="93"/>
        <v>1</v>
      </c>
      <c r="EO118">
        <f t="shared" si="94"/>
        <v>1</v>
      </c>
      <c r="EQ118">
        <f t="shared" si="83"/>
        <v>0</v>
      </c>
      <c r="ER118">
        <f t="shared" si="76"/>
        <v>0</v>
      </c>
      <c r="ES118">
        <f t="shared" si="77"/>
        <v>0</v>
      </c>
      <c r="ET118">
        <f t="shared" si="78"/>
        <v>0</v>
      </c>
      <c r="EU118">
        <f t="shared" si="79"/>
        <v>0</v>
      </c>
      <c r="EV118">
        <f t="shared" si="80"/>
        <v>1</v>
      </c>
      <c r="EW118">
        <f t="shared" si="58"/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0</v>
      </c>
      <c r="FW118">
        <v>0</v>
      </c>
      <c r="FX118">
        <f t="shared" si="59"/>
        <v>1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0</v>
      </c>
      <c r="GG118">
        <f t="shared" si="60"/>
        <v>1</v>
      </c>
    </row>
    <row r="119" spans="1:189" x14ac:dyDescent="0.35">
      <c r="A119" t="s">
        <v>391</v>
      </c>
      <c r="B119">
        <f>[1]Population!$BB140</f>
        <v>3609420</v>
      </c>
      <c r="C119">
        <f>[1]RealGDP!$BB140</f>
        <v>2814034804.5275235</v>
      </c>
      <c r="D119" s="8">
        <f>[1]GDPcap!$BB140</f>
        <v>779.63628630847154</v>
      </c>
      <c r="E119" s="8"/>
      <c r="F119">
        <v>20.293266043943419</v>
      </c>
      <c r="G119">
        <f>RANK(D119,D$4:D119:D$201)</f>
        <v>160</v>
      </c>
      <c r="H119" t="s">
        <v>391</v>
      </c>
      <c r="J119">
        <v>20.2</v>
      </c>
      <c r="K119">
        <v>22.6</v>
      </c>
      <c r="L119">
        <v>25.3</v>
      </c>
      <c r="M119">
        <v>27.9</v>
      </c>
      <c r="N119">
        <v>31.3</v>
      </c>
      <c r="O119">
        <v>33.200000000000003</v>
      </c>
      <c r="P119">
        <v>33.200000000000003</v>
      </c>
      <c r="Q119">
        <v>32.200000000000003</v>
      </c>
      <c r="R119">
        <v>31.2</v>
      </c>
      <c r="S119">
        <v>29.3</v>
      </c>
      <c r="T119">
        <v>24.9</v>
      </c>
      <c r="U119">
        <v>20.5</v>
      </c>
      <c r="V119">
        <v>28.2</v>
      </c>
      <c r="W119">
        <v>32.9</v>
      </c>
      <c r="X119">
        <v>28.5</v>
      </c>
      <c r="Y119">
        <v>20.399999999999999</v>
      </c>
      <c r="Z119">
        <v>27.6</v>
      </c>
      <c r="AB119">
        <f t="shared" si="54"/>
        <v>1</v>
      </c>
      <c r="AC119">
        <f t="shared" si="55"/>
        <v>0</v>
      </c>
      <c r="AD119">
        <f t="shared" si="56"/>
        <v>0</v>
      </c>
      <c r="AE119">
        <f t="shared" si="57"/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f t="shared" si="84"/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f t="shared" si="86"/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f t="shared" si="85"/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f t="shared" si="87"/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f t="shared" si="88"/>
        <v>1</v>
      </c>
      <c r="CX119">
        <f t="shared" si="81"/>
        <v>0</v>
      </c>
      <c r="CY119">
        <f t="shared" si="61"/>
        <v>0</v>
      </c>
      <c r="CZ119">
        <f t="shared" si="62"/>
        <v>0</v>
      </c>
      <c r="DA119">
        <f t="shared" si="63"/>
        <v>0</v>
      </c>
      <c r="DB119">
        <f t="shared" si="64"/>
        <v>0</v>
      </c>
      <c r="DC119">
        <f t="shared" si="65"/>
        <v>0</v>
      </c>
      <c r="DD119">
        <f t="shared" si="66"/>
        <v>0</v>
      </c>
      <c r="DE119">
        <f t="shared" si="67"/>
        <v>0</v>
      </c>
      <c r="DF119">
        <f t="shared" si="68"/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f t="shared" si="89"/>
        <v>1</v>
      </c>
      <c r="DN119">
        <f t="shared" si="90"/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f t="shared" si="91"/>
        <v>1</v>
      </c>
      <c r="DW119">
        <v>0</v>
      </c>
      <c r="DX119">
        <f t="shared" si="92"/>
        <v>1</v>
      </c>
      <c r="DZ119">
        <f t="shared" si="82"/>
        <v>0</v>
      </c>
      <c r="EA119">
        <f t="shared" si="69"/>
        <v>0</v>
      </c>
      <c r="EB119">
        <f t="shared" si="70"/>
        <v>0</v>
      </c>
      <c r="EC119">
        <f t="shared" si="71"/>
        <v>0</v>
      </c>
      <c r="ED119">
        <f t="shared" si="72"/>
        <v>0</v>
      </c>
      <c r="EE119">
        <f t="shared" si="73"/>
        <v>0</v>
      </c>
      <c r="EF119">
        <f t="shared" si="74"/>
        <v>1</v>
      </c>
      <c r="EG119">
        <f t="shared" si="75"/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f t="shared" si="93"/>
        <v>1</v>
      </c>
      <c r="EO119">
        <f t="shared" si="94"/>
        <v>1</v>
      </c>
      <c r="EQ119">
        <f t="shared" si="83"/>
        <v>0</v>
      </c>
      <c r="ER119">
        <f t="shared" si="76"/>
        <v>0</v>
      </c>
      <c r="ES119">
        <f t="shared" si="77"/>
        <v>0</v>
      </c>
      <c r="ET119">
        <f t="shared" si="78"/>
        <v>0</v>
      </c>
      <c r="EU119">
        <f t="shared" si="79"/>
        <v>0</v>
      </c>
      <c r="EV119">
        <f t="shared" si="80"/>
        <v>1</v>
      </c>
      <c r="EW119">
        <f t="shared" si="58"/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f t="shared" si="59"/>
        <v>1</v>
      </c>
      <c r="FZ119">
        <v>1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f t="shared" si="60"/>
        <v>1</v>
      </c>
    </row>
    <row r="120" spans="1:189" x14ac:dyDescent="0.35">
      <c r="A120" t="s">
        <v>166</v>
      </c>
      <c r="B120">
        <f>[1]Population!$BB141</f>
        <v>1280924</v>
      </c>
      <c r="C120">
        <f>[1]RealGDP!$BB141</f>
        <v>7826157631.8455935</v>
      </c>
      <c r="D120" s="8">
        <f>[1]GDPcap!$BB141</f>
        <v>6109.775155938677</v>
      </c>
      <c r="E120" s="8">
        <v>18.016713372321462</v>
      </c>
      <c r="F120">
        <v>3.6417421912799517</v>
      </c>
      <c r="G120">
        <f>RANK(D120,D$4:D120:D$201)</f>
        <v>79</v>
      </c>
      <c r="H120" t="s">
        <v>166</v>
      </c>
      <c r="J120">
        <v>24.9</v>
      </c>
      <c r="K120">
        <v>25.1</v>
      </c>
      <c r="L120">
        <v>24.9</v>
      </c>
      <c r="M120">
        <v>23.8</v>
      </c>
      <c r="N120">
        <v>22</v>
      </c>
      <c r="O120">
        <v>20.399999999999999</v>
      </c>
      <c r="P120">
        <v>19.600000000000001</v>
      </c>
      <c r="Q120">
        <v>19.5</v>
      </c>
      <c r="R120">
        <v>20.2</v>
      </c>
      <c r="S120">
        <v>21.3</v>
      </c>
      <c r="T120">
        <v>22.8</v>
      </c>
      <c r="U120">
        <v>24.1</v>
      </c>
      <c r="V120">
        <v>23.6</v>
      </c>
      <c r="W120">
        <v>19.8</v>
      </c>
      <c r="X120">
        <v>21.4</v>
      </c>
      <c r="Y120">
        <v>23.9</v>
      </c>
      <c r="Z120">
        <v>22.4</v>
      </c>
      <c r="AB120">
        <f t="shared" si="54"/>
        <v>0</v>
      </c>
      <c r="AC120">
        <f t="shared" si="55"/>
        <v>0</v>
      </c>
      <c r="AD120">
        <f t="shared" si="56"/>
        <v>1</v>
      </c>
      <c r="AE120">
        <f t="shared" si="57"/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f t="shared" si="84"/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f t="shared" si="86"/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f t="shared" si="85"/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f t="shared" si="87"/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f t="shared" si="88"/>
        <v>1</v>
      </c>
      <c r="CX120">
        <f t="shared" si="81"/>
        <v>0</v>
      </c>
      <c r="CY120">
        <f t="shared" si="61"/>
        <v>0</v>
      </c>
      <c r="CZ120">
        <f t="shared" si="62"/>
        <v>0</v>
      </c>
      <c r="DA120">
        <f t="shared" si="63"/>
        <v>0</v>
      </c>
      <c r="DB120">
        <f t="shared" si="64"/>
        <v>0</v>
      </c>
      <c r="DC120">
        <f t="shared" si="65"/>
        <v>0</v>
      </c>
      <c r="DD120">
        <f t="shared" si="66"/>
        <v>0</v>
      </c>
      <c r="DE120">
        <f t="shared" si="67"/>
        <v>0</v>
      </c>
      <c r="DF120">
        <f t="shared" si="68"/>
        <v>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f t="shared" si="89"/>
        <v>1</v>
      </c>
      <c r="DN120">
        <f t="shared" si="90"/>
        <v>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f t="shared" si="91"/>
        <v>1</v>
      </c>
      <c r="DW120">
        <v>0</v>
      </c>
      <c r="DX120">
        <f t="shared" si="92"/>
        <v>1</v>
      </c>
      <c r="DZ120">
        <f t="shared" si="82"/>
        <v>0</v>
      </c>
      <c r="EA120">
        <f t="shared" si="69"/>
        <v>0</v>
      </c>
      <c r="EB120">
        <f t="shared" si="70"/>
        <v>0</v>
      </c>
      <c r="EC120">
        <f t="shared" si="71"/>
        <v>0</v>
      </c>
      <c r="ED120">
        <f t="shared" si="72"/>
        <v>0</v>
      </c>
      <c r="EE120">
        <f t="shared" si="73"/>
        <v>0</v>
      </c>
      <c r="EF120">
        <f t="shared" si="74"/>
        <v>1</v>
      </c>
      <c r="EG120">
        <f t="shared" si="75"/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f t="shared" si="93"/>
        <v>1</v>
      </c>
      <c r="EO120">
        <f t="shared" si="94"/>
        <v>1</v>
      </c>
      <c r="EQ120">
        <f t="shared" si="83"/>
        <v>0</v>
      </c>
      <c r="ER120">
        <f t="shared" si="76"/>
        <v>0</v>
      </c>
      <c r="ES120">
        <f t="shared" si="77"/>
        <v>0</v>
      </c>
      <c r="ET120">
        <f t="shared" si="78"/>
        <v>0</v>
      </c>
      <c r="EU120">
        <f t="shared" si="79"/>
        <v>0</v>
      </c>
      <c r="EV120">
        <f t="shared" si="80"/>
        <v>1</v>
      </c>
      <c r="EW120">
        <f t="shared" si="58"/>
        <v>1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f t="shared" si="59"/>
        <v>1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f t="shared" si="60"/>
        <v>1</v>
      </c>
    </row>
    <row r="121" spans="1:189" x14ac:dyDescent="0.35">
      <c r="A121" t="s">
        <v>167</v>
      </c>
      <c r="B121">
        <f>[1]Population!$BB143</f>
        <v>117886404</v>
      </c>
      <c r="C121">
        <f>[1]RealGDP!$BB143</f>
        <v>953067840505.29358</v>
      </c>
      <c r="D121" s="8">
        <f>[1]GDPcap!$BB143</f>
        <v>8084.6290001796442</v>
      </c>
      <c r="E121" s="8">
        <v>10.110913441912643</v>
      </c>
      <c r="F121">
        <v>3.2191545173385432</v>
      </c>
      <c r="G121">
        <f>RANK(D121,D$4:D121:D$201)</f>
        <v>66</v>
      </c>
      <c r="H121" t="s">
        <v>167</v>
      </c>
      <c r="J121">
        <v>15.4</v>
      </c>
      <c r="K121">
        <v>16.7</v>
      </c>
      <c r="L121">
        <v>18.8</v>
      </c>
      <c r="M121">
        <v>21.6</v>
      </c>
      <c r="N121">
        <v>23.6</v>
      </c>
      <c r="O121">
        <v>25.1</v>
      </c>
      <c r="P121">
        <v>25.3</v>
      </c>
      <c r="Q121">
        <v>25.1</v>
      </c>
      <c r="R121">
        <v>24</v>
      </c>
      <c r="S121">
        <v>21.6</v>
      </c>
      <c r="T121">
        <v>18.399999999999999</v>
      </c>
      <c r="U121">
        <v>16</v>
      </c>
      <c r="V121">
        <v>21.3</v>
      </c>
      <c r="W121">
        <v>25.2</v>
      </c>
      <c r="X121">
        <v>21.4</v>
      </c>
      <c r="Y121">
        <v>15.5</v>
      </c>
      <c r="Z121">
        <v>21</v>
      </c>
      <c r="AB121">
        <f t="shared" si="54"/>
        <v>0</v>
      </c>
      <c r="AC121">
        <f t="shared" si="55"/>
        <v>0</v>
      </c>
      <c r="AD121">
        <f t="shared" si="56"/>
        <v>1</v>
      </c>
      <c r="AE121">
        <f t="shared" si="57"/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f t="shared" si="84"/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f t="shared" si="86"/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f t="shared" si="85"/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f t="shared" si="87"/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f t="shared" si="88"/>
        <v>1</v>
      </c>
      <c r="CX121">
        <f t="shared" si="81"/>
        <v>0</v>
      </c>
      <c r="CY121">
        <f t="shared" si="61"/>
        <v>0</v>
      </c>
      <c r="CZ121">
        <f t="shared" si="62"/>
        <v>0</v>
      </c>
      <c r="DA121">
        <f t="shared" si="63"/>
        <v>0</v>
      </c>
      <c r="DB121">
        <f t="shared" si="64"/>
        <v>0</v>
      </c>
      <c r="DC121">
        <f t="shared" si="65"/>
        <v>1</v>
      </c>
      <c r="DD121">
        <f t="shared" si="66"/>
        <v>0</v>
      </c>
      <c r="DE121">
        <f t="shared" si="67"/>
        <v>0</v>
      </c>
      <c r="DF121">
        <f t="shared" si="68"/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f t="shared" si="89"/>
        <v>1</v>
      </c>
      <c r="DN121">
        <f t="shared" si="90"/>
        <v>1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f t="shared" si="91"/>
        <v>0</v>
      </c>
      <c r="DW121">
        <v>1</v>
      </c>
      <c r="DX121">
        <f t="shared" si="92"/>
        <v>1</v>
      </c>
      <c r="DZ121">
        <f t="shared" si="82"/>
        <v>0</v>
      </c>
      <c r="EA121">
        <f t="shared" si="69"/>
        <v>0</v>
      </c>
      <c r="EB121">
        <f t="shared" si="70"/>
        <v>0</v>
      </c>
      <c r="EC121">
        <f t="shared" si="71"/>
        <v>0</v>
      </c>
      <c r="ED121">
        <f t="shared" si="72"/>
        <v>0</v>
      </c>
      <c r="EE121">
        <f t="shared" si="73"/>
        <v>0</v>
      </c>
      <c r="EF121">
        <f t="shared" si="74"/>
        <v>0</v>
      </c>
      <c r="EG121">
        <f t="shared" si="75"/>
        <v>1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f t="shared" si="93"/>
        <v>1</v>
      </c>
      <c r="EO121">
        <f t="shared" si="94"/>
        <v>1</v>
      </c>
      <c r="EQ121">
        <f t="shared" si="83"/>
        <v>0</v>
      </c>
      <c r="ER121">
        <f t="shared" si="76"/>
        <v>0</v>
      </c>
      <c r="ES121">
        <f t="shared" si="77"/>
        <v>0</v>
      </c>
      <c r="ET121">
        <f t="shared" si="78"/>
        <v>0</v>
      </c>
      <c r="EU121">
        <f t="shared" si="79"/>
        <v>0</v>
      </c>
      <c r="EV121">
        <f t="shared" si="80"/>
        <v>1</v>
      </c>
      <c r="EW121">
        <f t="shared" si="58"/>
        <v>1</v>
      </c>
      <c r="EY121">
        <v>0</v>
      </c>
      <c r="EZ121">
        <v>0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f t="shared" si="59"/>
        <v>1</v>
      </c>
      <c r="FZ121">
        <v>0</v>
      </c>
      <c r="GA121">
        <v>0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f t="shared" si="60"/>
        <v>1</v>
      </c>
    </row>
    <row r="122" spans="1:189" x14ac:dyDescent="0.35">
      <c r="A122" t="s">
        <v>392</v>
      </c>
      <c r="B122">
        <f>[1]Population!$BB144</f>
        <v>103619</v>
      </c>
      <c r="C122">
        <f>[1]RealGDP!$BB144</f>
        <v>246418335.62772667</v>
      </c>
      <c r="D122" s="8">
        <f>[1]GDPcap!$BB144</f>
        <v>2378.1192216459017</v>
      </c>
      <c r="E122" s="8">
        <v>4.6677190782708928</v>
      </c>
      <c r="F122">
        <v>24.780948976064334</v>
      </c>
      <c r="G122">
        <f>RANK(D122,D$4:D122:D$201)</f>
        <v>123</v>
      </c>
      <c r="H122" t="s">
        <v>484</v>
      </c>
      <c r="I122" t="s">
        <v>439</v>
      </c>
      <c r="J122">
        <v>27.4</v>
      </c>
      <c r="K122">
        <v>27.5</v>
      </c>
      <c r="L122">
        <v>27.6</v>
      </c>
      <c r="M122">
        <v>27.8</v>
      </c>
      <c r="N122">
        <v>27.7</v>
      </c>
      <c r="O122">
        <v>27.9</v>
      </c>
      <c r="P122">
        <v>27.5</v>
      </c>
      <c r="Q122">
        <v>27.4</v>
      </c>
      <c r="R122">
        <v>27.6</v>
      </c>
      <c r="S122">
        <v>27.7</v>
      </c>
      <c r="T122">
        <v>27.8</v>
      </c>
      <c r="U122">
        <v>27.7</v>
      </c>
      <c r="V122">
        <v>27.7</v>
      </c>
      <c r="W122">
        <v>27.6</v>
      </c>
      <c r="X122">
        <v>27.7</v>
      </c>
      <c r="Y122">
        <v>26.6</v>
      </c>
      <c r="Z122">
        <v>27.6</v>
      </c>
      <c r="AB122">
        <f t="shared" si="54"/>
        <v>0</v>
      </c>
      <c r="AC122">
        <f t="shared" si="55"/>
        <v>1</v>
      </c>
      <c r="AD122">
        <f t="shared" si="56"/>
        <v>0</v>
      </c>
      <c r="AE122">
        <f t="shared" si="57"/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f t="shared" si="84"/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f t="shared" si="86"/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f t="shared" si="85"/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f t="shared" si="87"/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f t="shared" si="88"/>
        <v>1</v>
      </c>
      <c r="CX122">
        <f t="shared" si="81"/>
        <v>0</v>
      </c>
      <c r="CY122">
        <f t="shared" si="61"/>
        <v>0</v>
      </c>
      <c r="CZ122">
        <f t="shared" si="62"/>
        <v>0</v>
      </c>
      <c r="DA122">
        <f t="shared" si="63"/>
        <v>0</v>
      </c>
      <c r="DB122">
        <f t="shared" si="64"/>
        <v>0</v>
      </c>
      <c r="DC122">
        <f t="shared" si="65"/>
        <v>0</v>
      </c>
      <c r="DD122">
        <f t="shared" si="66"/>
        <v>1</v>
      </c>
      <c r="DE122">
        <f t="shared" si="67"/>
        <v>0</v>
      </c>
      <c r="DF122">
        <f t="shared" si="68"/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f t="shared" si="89"/>
        <v>1</v>
      </c>
      <c r="DN122">
        <f t="shared" si="90"/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f t="shared" si="91"/>
        <v>0</v>
      </c>
      <c r="DW122">
        <v>0</v>
      </c>
      <c r="DX122">
        <f t="shared" si="92"/>
        <v>1</v>
      </c>
      <c r="DZ122">
        <f t="shared" si="82"/>
        <v>0</v>
      </c>
      <c r="EA122">
        <f t="shared" si="69"/>
        <v>0</v>
      </c>
      <c r="EB122">
        <f t="shared" si="70"/>
        <v>0</v>
      </c>
      <c r="EC122">
        <f t="shared" si="71"/>
        <v>0</v>
      </c>
      <c r="ED122">
        <f t="shared" si="72"/>
        <v>0</v>
      </c>
      <c r="EE122">
        <f t="shared" si="73"/>
        <v>1</v>
      </c>
      <c r="EF122">
        <f t="shared" si="74"/>
        <v>0</v>
      </c>
      <c r="EG122">
        <f t="shared" si="75"/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f t="shared" si="93"/>
        <v>1</v>
      </c>
      <c r="EO122">
        <f t="shared" si="94"/>
        <v>1</v>
      </c>
      <c r="EQ122">
        <f t="shared" si="83"/>
        <v>0</v>
      </c>
      <c r="ER122">
        <f t="shared" si="76"/>
        <v>0</v>
      </c>
      <c r="ES122">
        <f t="shared" si="77"/>
        <v>0</v>
      </c>
      <c r="ET122">
        <f t="shared" si="78"/>
        <v>0</v>
      </c>
      <c r="EU122">
        <f t="shared" si="79"/>
        <v>0</v>
      </c>
      <c r="EV122">
        <f t="shared" si="80"/>
        <v>1</v>
      </c>
      <c r="EW122">
        <f t="shared" si="58"/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</v>
      </c>
      <c r="FV122">
        <v>0</v>
      </c>
      <c r="FW122">
        <v>0</v>
      </c>
      <c r="FX122">
        <f t="shared" si="59"/>
        <v>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1</v>
      </c>
      <c r="GF122">
        <v>0</v>
      </c>
      <c r="GG122">
        <f t="shared" si="60"/>
        <v>1</v>
      </c>
    </row>
    <row r="123" spans="1:189" x14ac:dyDescent="0.35">
      <c r="A123" t="s">
        <v>229</v>
      </c>
      <c r="B123">
        <f>[1]Population!$BB145</f>
        <v>3562062</v>
      </c>
      <c r="C123">
        <f>[1]RealGDP!$BB145</f>
        <v>3501430331.6016059</v>
      </c>
      <c r="D123" s="8">
        <f>[1]GDPcap!$BB145</f>
        <v>982.97849155955339</v>
      </c>
      <c r="E123" s="8">
        <v>18.195470200279964</v>
      </c>
      <c r="F123">
        <v>12.043371933528601</v>
      </c>
      <c r="G123">
        <f>RANK(D123,D$4:D123:D$201)</f>
        <v>151</v>
      </c>
      <c r="H123" t="s">
        <v>461</v>
      </c>
      <c r="J123">
        <v>-3.6</v>
      </c>
      <c r="K123">
        <v>-2.1</v>
      </c>
      <c r="L123">
        <v>2.5</v>
      </c>
      <c r="M123">
        <v>10</v>
      </c>
      <c r="N123">
        <v>15.9</v>
      </c>
      <c r="O123">
        <v>19.3</v>
      </c>
      <c r="P123">
        <v>20.9</v>
      </c>
      <c r="Q123">
        <v>20.399999999999999</v>
      </c>
      <c r="R123">
        <v>16.2</v>
      </c>
      <c r="S123">
        <v>10.1</v>
      </c>
      <c r="T123">
        <v>4.2</v>
      </c>
      <c r="U123">
        <v>-0.6</v>
      </c>
      <c r="V123">
        <v>9.5</v>
      </c>
      <c r="W123">
        <v>20.2</v>
      </c>
      <c r="X123">
        <v>10.199999999999999</v>
      </c>
      <c r="Y123">
        <v>-2.1</v>
      </c>
      <c r="Z123">
        <v>9.4</v>
      </c>
      <c r="AB123">
        <f t="shared" si="54"/>
        <v>1</v>
      </c>
      <c r="AC123">
        <f t="shared" si="55"/>
        <v>0</v>
      </c>
      <c r="AD123">
        <f t="shared" si="56"/>
        <v>0</v>
      </c>
      <c r="AE123">
        <f t="shared" si="57"/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f t="shared" si="84"/>
        <v>1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f t="shared" si="86"/>
        <v>1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f t="shared" si="85"/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f t="shared" si="87"/>
        <v>1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f t="shared" si="88"/>
        <v>1</v>
      </c>
      <c r="CX123">
        <f t="shared" si="81"/>
        <v>0</v>
      </c>
      <c r="CY123">
        <f t="shared" si="61"/>
        <v>0</v>
      </c>
      <c r="CZ123">
        <f t="shared" si="62"/>
        <v>0</v>
      </c>
      <c r="DA123">
        <f t="shared" si="63"/>
        <v>1</v>
      </c>
      <c r="DB123">
        <f t="shared" si="64"/>
        <v>0</v>
      </c>
      <c r="DC123">
        <f t="shared" si="65"/>
        <v>0</v>
      </c>
      <c r="DD123">
        <f t="shared" si="66"/>
        <v>0</v>
      </c>
      <c r="DE123">
        <f t="shared" si="67"/>
        <v>0</v>
      </c>
      <c r="DF123">
        <f t="shared" si="68"/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f t="shared" si="89"/>
        <v>0</v>
      </c>
      <c r="DN123">
        <f t="shared" si="90"/>
        <v>1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f t="shared" si="91"/>
        <v>0</v>
      </c>
      <c r="DW123">
        <v>0</v>
      </c>
      <c r="DX123">
        <f t="shared" si="92"/>
        <v>1</v>
      </c>
      <c r="DZ123">
        <f t="shared" si="82"/>
        <v>0</v>
      </c>
      <c r="EA123">
        <f t="shared" si="69"/>
        <v>0</v>
      </c>
      <c r="EB123">
        <f t="shared" si="70"/>
        <v>0</v>
      </c>
      <c r="EC123">
        <f t="shared" si="71"/>
        <v>1</v>
      </c>
      <c r="ED123">
        <f t="shared" si="72"/>
        <v>0</v>
      </c>
      <c r="EE123">
        <f t="shared" si="73"/>
        <v>0</v>
      </c>
      <c r="EF123">
        <f t="shared" si="74"/>
        <v>0</v>
      </c>
      <c r="EG123">
        <f t="shared" si="75"/>
        <v>0</v>
      </c>
      <c r="EI123">
        <v>0</v>
      </c>
      <c r="EJ123">
        <v>0</v>
      </c>
      <c r="EK123">
        <v>0</v>
      </c>
      <c r="EL123">
        <v>1</v>
      </c>
      <c r="EM123">
        <v>0</v>
      </c>
      <c r="EN123">
        <f t="shared" si="93"/>
        <v>0</v>
      </c>
      <c r="EO123">
        <f t="shared" si="94"/>
        <v>1</v>
      </c>
      <c r="EQ123">
        <f t="shared" si="83"/>
        <v>0</v>
      </c>
      <c r="ER123">
        <f t="shared" si="76"/>
        <v>0</v>
      </c>
      <c r="ES123">
        <f t="shared" si="77"/>
        <v>0</v>
      </c>
      <c r="ET123">
        <f t="shared" si="78"/>
        <v>1</v>
      </c>
      <c r="EU123">
        <f t="shared" si="79"/>
        <v>0</v>
      </c>
      <c r="EV123">
        <f t="shared" si="80"/>
        <v>0</v>
      </c>
      <c r="EW123">
        <f t="shared" si="58"/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f t="shared" si="59"/>
        <v>1</v>
      </c>
      <c r="FZ123">
        <v>0</v>
      </c>
      <c r="GA123">
        <v>0</v>
      </c>
      <c r="GB123">
        <v>0</v>
      </c>
      <c r="GC123">
        <v>1</v>
      </c>
      <c r="GD123">
        <v>0</v>
      </c>
      <c r="GE123">
        <v>0</v>
      </c>
      <c r="GF123">
        <v>0</v>
      </c>
      <c r="GG123">
        <f t="shared" si="60"/>
        <v>1</v>
      </c>
    </row>
    <row r="124" spans="1:189" x14ac:dyDescent="0.35">
      <c r="A124" t="s">
        <v>606</v>
      </c>
      <c r="B124">
        <f>[1]Population!$BB146</f>
        <v>36845</v>
      </c>
      <c r="C124">
        <f>B124*D124</f>
        <v>5903610988.456316</v>
      </c>
      <c r="D124" s="8">
        <f>[2]YpC3!$AZ$122</f>
        <v>160228.280321789</v>
      </c>
      <c r="E124" s="8"/>
      <c r="G124">
        <f>RANK(D124,D$4:D124:D$201)</f>
        <v>1</v>
      </c>
      <c r="Z124">
        <v>16.2</v>
      </c>
      <c r="AB124">
        <f t="shared" si="54"/>
        <v>0</v>
      </c>
      <c r="AC124">
        <f t="shared" si="55"/>
        <v>0</v>
      </c>
      <c r="AD124">
        <f t="shared" si="56"/>
        <v>0</v>
      </c>
      <c r="AE124">
        <f t="shared" si="57"/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f>SUM(AG124:AU124)</f>
        <v>1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f>SUM(AW124:BK124)</f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f t="shared" si="85"/>
        <v>1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f t="shared" si="87"/>
        <v>1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f t="shared" si="88"/>
        <v>1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f t="shared" si="90"/>
        <v>1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f t="shared" si="92"/>
        <v>1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f t="shared" si="94"/>
        <v>1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f t="shared" si="58"/>
        <v>1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f t="shared" si="59"/>
        <v>1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0</v>
      </c>
      <c r="GF124">
        <v>0</v>
      </c>
      <c r="GG124">
        <f t="shared" si="60"/>
        <v>1</v>
      </c>
    </row>
    <row r="125" spans="1:189" x14ac:dyDescent="0.35">
      <c r="A125" t="s">
        <v>393</v>
      </c>
      <c r="B125">
        <f>[1]Population!$BB147</f>
        <v>2712738</v>
      </c>
      <c r="C125">
        <f>[1]RealGDP!$BB147</f>
        <v>3453733409.7557302</v>
      </c>
      <c r="D125" s="8">
        <f>[1]GDPcap!$BB147</f>
        <v>1273.1540641800757</v>
      </c>
      <c r="E125" s="8">
        <v>19.593119250577384</v>
      </c>
      <c r="F125">
        <v>11.732563198012945</v>
      </c>
      <c r="G125">
        <f>RANK(D125,D$4:D125:D$201)</f>
        <v>140</v>
      </c>
      <c r="H125" t="s">
        <v>393</v>
      </c>
      <c r="J125">
        <v>-20.8</v>
      </c>
      <c r="K125">
        <v>-18</v>
      </c>
      <c r="L125">
        <v>-9</v>
      </c>
      <c r="M125">
        <v>1.5</v>
      </c>
      <c r="N125">
        <v>9.6</v>
      </c>
      <c r="O125">
        <v>15</v>
      </c>
      <c r="P125">
        <v>17.100000000000001</v>
      </c>
      <c r="Q125">
        <v>15.3</v>
      </c>
      <c r="R125">
        <v>9.1</v>
      </c>
      <c r="S125">
        <v>0.6</v>
      </c>
      <c r="T125">
        <v>-10.4</v>
      </c>
      <c r="U125">
        <v>-18.2</v>
      </c>
      <c r="V125">
        <v>0.7</v>
      </c>
      <c r="W125">
        <v>15.8</v>
      </c>
      <c r="X125">
        <v>-0.2</v>
      </c>
      <c r="Y125">
        <v>-18.399999999999999</v>
      </c>
      <c r="Z125">
        <v>-0.7</v>
      </c>
      <c r="AB125">
        <f t="shared" si="54"/>
        <v>0</v>
      </c>
      <c r="AC125">
        <f t="shared" si="55"/>
        <v>1</v>
      </c>
      <c r="AD125">
        <f t="shared" si="56"/>
        <v>0</v>
      </c>
      <c r="AE125">
        <f t="shared" si="57"/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f t="shared" si="84"/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f t="shared" si="86"/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f t="shared" si="85"/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f t="shared" si="87"/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f t="shared" si="88"/>
        <v>1</v>
      </c>
      <c r="CX125">
        <f t="shared" si="81"/>
        <v>0</v>
      </c>
      <c r="CY125">
        <f t="shared" si="61"/>
        <v>0</v>
      </c>
      <c r="CZ125">
        <f t="shared" si="62"/>
        <v>0</v>
      </c>
      <c r="DA125">
        <f t="shared" si="63"/>
        <v>0</v>
      </c>
      <c r="DB125">
        <f t="shared" si="64"/>
        <v>0</v>
      </c>
      <c r="DC125">
        <f t="shared" si="65"/>
        <v>0</v>
      </c>
      <c r="DD125">
        <f t="shared" si="66"/>
        <v>0</v>
      </c>
      <c r="DE125">
        <f t="shared" si="67"/>
        <v>1</v>
      </c>
      <c r="DF125">
        <f t="shared" si="68"/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f t="shared" si="89"/>
        <v>1</v>
      </c>
      <c r="DN125">
        <f t="shared" si="90"/>
        <v>1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f t="shared" si="91"/>
        <v>0</v>
      </c>
      <c r="DW125">
        <v>0</v>
      </c>
      <c r="DX125">
        <f t="shared" si="92"/>
        <v>1</v>
      </c>
      <c r="DZ125">
        <f t="shared" si="82"/>
        <v>0</v>
      </c>
      <c r="EA125">
        <f t="shared" si="69"/>
        <v>0</v>
      </c>
      <c r="EB125">
        <f t="shared" si="70"/>
        <v>0</v>
      </c>
      <c r="EC125">
        <f t="shared" si="71"/>
        <v>0</v>
      </c>
      <c r="ED125">
        <f t="shared" si="72"/>
        <v>1</v>
      </c>
      <c r="EE125">
        <f t="shared" si="73"/>
        <v>0</v>
      </c>
      <c r="EF125">
        <f t="shared" si="74"/>
        <v>0</v>
      </c>
      <c r="EG125">
        <f t="shared" si="75"/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f t="shared" si="93"/>
        <v>1</v>
      </c>
      <c r="EO125">
        <f t="shared" si="94"/>
        <v>1</v>
      </c>
      <c r="EQ125">
        <f t="shared" si="83"/>
        <v>0</v>
      </c>
      <c r="ER125">
        <f t="shared" si="76"/>
        <v>0</v>
      </c>
      <c r="ES125">
        <f t="shared" si="77"/>
        <v>0</v>
      </c>
      <c r="ET125">
        <f t="shared" si="78"/>
        <v>0</v>
      </c>
      <c r="EU125">
        <f t="shared" si="79"/>
        <v>0</v>
      </c>
      <c r="EV125">
        <f t="shared" si="80"/>
        <v>1</v>
      </c>
      <c r="EW125">
        <f t="shared" si="58"/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</v>
      </c>
      <c r="FV125">
        <v>0</v>
      </c>
      <c r="FW125">
        <v>0</v>
      </c>
      <c r="FX125">
        <f t="shared" si="59"/>
        <v>1</v>
      </c>
      <c r="FZ125">
        <v>0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f t="shared" si="60"/>
        <v>1</v>
      </c>
    </row>
    <row r="126" spans="1:189" x14ac:dyDescent="0.35">
      <c r="A126" t="s">
        <v>230</v>
      </c>
      <c r="B126">
        <f>[1]Population!$BB148</f>
        <v>620078</v>
      </c>
      <c r="C126">
        <f>[1]RealGDP!$BB148</f>
        <v>2803866144.4280138</v>
      </c>
      <c r="D126" s="8">
        <f>[1]GDPcap!$BB148</f>
        <v>4521.7958779831151</v>
      </c>
      <c r="E126" s="8"/>
      <c r="F126">
        <v>7.6780828712133085</v>
      </c>
      <c r="G126">
        <f>RANK(D126,D$4:D126:D$201)</f>
        <v>92</v>
      </c>
      <c r="H126" t="s">
        <v>203</v>
      </c>
      <c r="J126">
        <v>-1.6</v>
      </c>
      <c r="K126">
        <v>0.5</v>
      </c>
      <c r="L126">
        <v>4.5999999999999996</v>
      </c>
      <c r="M126">
        <v>9.9</v>
      </c>
      <c r="N126">
        <v>14.7</v>
      </c>
      <c r="O126">
        <v>17.899999999999999</v>
      </c>
      <c r="P126">
        <v>19.899999999999999</v>
      </c>
      <c r="Q126">
        <v>19.7</v>
      </c>
      <c r="R126">
        <v>16.100000000000001</v>
      </c>
      <c r="S126">
        <v>10.7</v>
      </c>
      <c r="T126">
        <v>5.2</v>
      </c>
      <c r="U126">
        <v>0.8</v>
      </c>
      <c r="V126">
        <v>9.6999999999999993</v>
      </c>
      <c r="W126">
        <v>19.2</v>
      </c>
      <c r="X126">
        <v>10.6</v>
      </c>
      <c r="Y126">
        <v>-0.1</v>
      </c>
      <c r="Z126">
        <v>9.9</v>
      </c>
      <c r="AB126">
        <f t="shared" si="54"/>
        <v>0</v>
      </c>
      <c r="AC126">
        <f t="shared" si="55"/>
        <v>0</v>
      </c>
      <c r="AD126">
        <f t="shared" si="56"/>
        <v>1</v>
      </c>
      <c r="AE126">
        <f t="shared" si="57"/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f t="shared" si="84"/>
        <v>1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f t="shared" si="86"/>
        <v>1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f t="shared" si="85"/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f t="shared" si="87"/>
        <v>1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f t="shared" si="88"/>
        <v>1</v>
      </c>
      <c r="CX126">
        <f t="shared" si="81"/>
        <v>0</v>
      </c>
      <c r="CY126">
        <f t="shared" si="61"/>
        <v>0</v>
      </c>
      <c r="CZ126">
        <f t="shared" si="62"/>
        <v>0</v>
      </c>
      <c r="DA126">
        <f t="shared" si="63"/>
        <v>1</v>
      </c>
      <c r="DB126">
        <f t="shared" si="64"/>
        <v>0</v>
      </c>
      <c r="DC126">
        <f t="shared" si="65"/>
        <v>0</v>
      </c>
      <c r="DD126">
        <f t="shared" si="66"/>
        <v>0</v>
      </c>
      <c r="DE126">
        <f t="shared" si="67"/>
        <v>0</v>
      </c>
      <c r="DF126">
        <f t="shared" si="68"/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f t="shared" si="89"/>
        <v>1</v>
      </c>
      <c r="DN126">
        <f t="shared" si="90"/>
        <v>1</v>
      </c>
      <c r="DP126">
        <v>0</v>
      </c>
      <c r="DQ126">
        <v>0</v>
      </c>
      <c r="DR126">
        <v>0</v>
      </c>
      <c r="DS126">
        <v>1</v>
      </c>
      <c r="DT126">
        <v>0</v>
      </c>
      <c r="DU126">
        <v>0</v>
      </c>
      <c r="DV126">
        <f t="shared" si="91"/>
        <v>0</v>
      </c>
      <c r="DW126">
        <v>0</v>
      </c>
      <c r="DX126">
        <f t="shared" si="92"/>
        <v>1</v>
      </c>
      <c r="DZ126">
        <f t="shared" si="82"/>
        <v>0</v>
      </c>
      <c r="EA126">
        <f t="shared" si="69"/>
        <v>0</v>
      </c>
      <c r="EB126">
        <f t="shared" si="70"/>
        <v>0</v>
      </c>
      <c r="EC126">
        <f t="shared" si="71"/>
        <v>1</v>
      </c>
      <c r="ED126">
        <f t="shared" si="72"/>
        <v>0</v>
      </c>
      <c r="EE126">
        <f t="shared" si="73"/>
        <v>0</v>
      </c>
      <c r="EF126">
        <f t="shared" si="74"/>
        <v>0</v>
      </c>
      <c r="EG126">
        <f t="shared" si="75"/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f t="shared" si="93"/>
        <v>1</v>
      </c>
      <c r="EO126">
        <f t="shared" si="94"/>
        <v>1</v>
      </c>
      <c r="EQ126">
        <f t="shared" si="83"/>
        <v>0</v>
      </c>
      <c r="ER126">
        <f t="shared" si="76"/>
        <v>0</v>
      </c>
      <c r="ES126">
        <f t="shared" si="77"/>
        <v>0</v>
      </c>
      <c r="ET126">
        <f t="shared" si="78"/>
        <v>0</v>
      </c>
      <c r="EU126">
        <f t="shared" si="79"/>
        <v>0</v>
      </c>
      <c r="EV126">
        <f t="shared" si="80"/>
        <v>1</v>
      </c>
      <c r="EW126">
        <f t="shared" si="58"/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f t="shared" si="59"/>
        <v>1</v>
      </c>
      <c r="FZ126">
        <v>0</v>
      </c>
      <c r="GA126">
        <v>0</v>
      </c>
      <c r="GB126">
        <v>1</v>
      </c>
      <c r="GC126">
        <v>0</v>
      </c>
      <c r="GD126">
        <v>0</v>
      </c>
      <c r="GE126">
        <v>0</v>
      </c>
      <c r="GF126">
        <v>0</v>
      </c>
      <c r="GG126">
        <f t="shared" si="60"/>
        <v>1</v>
      </c>
    </row>
    <row r="127" spans="1:189" x14ac:dyDescent="0.35">
      <c r="A127" t="s">
        <v>168</v>
      </c>
      <c r="B127">
        <f>[1]Population!$BB150</f>
        <v>31642360</v>
      </c>
      <c r="C127">
        <f>[1]RealGDP!$BB150</f>
        <v>75523499823.662308</v>
      </c>
      <c r="D127" s="8">
        <f>[1]GDPcap!$BB150</f>
        <v>2386.7846716762692</v>
      </c>
      <c r="E127" s="8">
        <v>22.819233381250896</v>
      </c>
      <c r="F127">
        <v>12.943524541691309</v>
      </c>
      <c r="G127">
        <f>RANK(D127,D$4:D127:D$201)</f>
        <v>122</v>
      </c>
      <c r="H127" t="s">
        <v>168</v>
      </c>
      <c r="J127">
        <v>9.6999999999999993</v>
      </c>
      <c r="K127">
        <v>11.2</v>
      </c>
      <c r="L127">
        <v>13.1</v>
      </c>
      <c r="M127">
        <v>14.9</v>
      </c>
      <c r="N127">
        <v>18.3</v>
      </c>
      <c r="O127">
        <v>21.9</v>
      </c>
      <c r="P127">
        <v>25.6</v>
      </c>
      <c r="Q127">
        <v>25.5</v>
      </c>
      <c r="R127">
        <v>22.6</v>
      </c>
      <c r="S127">
        <v>18.100000000000001</v>
      </c>
      <c r="T127">
        <v>13.7</v>
      </c>
      <c r="U127">
        <v>10.3</v>
      </c>
      <c r="V127">
        <v>15.4</v>
      </c>
      <c r="W127">
        <v>24.3</v>
      </c>
      <c r="X127">
        <v>18.100000000000001</v>
      </c>
      <c r="Y127">
        <v>10.1</v>
      </c>
      <c r="Z127">
        <v>17.100000000000001</v>
      </c>
      <c r="AB127">
        <f t="shared" si="54"/>
        <v>0</v>
      </c>
      <c r="AC127">
        <f t="shared" si="55"/>
        <v>1</v>
      </c>
      <c r="AD127">
        <f t="shared" si="56"/>
        <v>0</v>
      </c>
      <c r="AE127">
        <f t="shared" si="57"/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f t="shared" si="84"/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f t="shared" si="86"/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f t="shared" si="85"/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f t="shared" si="87"/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f t="shared" si="88"/>
        <v>1</v>
      </c>
      <c r="CX127">
        <f t="shared" si="81"/>
        <v>0</v>
      </c>
      <c r="CY127">
        <f t="shared" si="61"/>
        <v>0</v>
      </c>
      <c r="CZ127">
        <f t="shared" si="62"/>
        <v>0</v>
      </c>
      <c r="DA127">
        <f t="shared" si="63"/>
        <v>0</v>
      </c>
      <c r="DB127">
        <f t="shared" si="64"/>
        <v>0</v>
      </c>
      <c r="DC127">
        <f t="shared" si="65"/>
        <v>0</v>
      </c>
      <c r="DD127">
        <f t="shared" si="66"/>
        <v>0</v>
      </c>
      <c r="DE127">
        <f t="shared" si="67"/>
        <v>0</v>
      </c>
      <c r="DF127">
        <f t="shared" si="68"/>
        <v>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f t="shared" si="89"/>
        <v>1</v>
      </c>
      <c r="DN127">
        <f t="shared" si="90"/>
        <v>1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f t="shared" si="91"/>
        <v>1</v>
      </c>
      <c r="DW127">
        <v>0</v>
      </c>
      <c r="DX127">
        <f t="shared" si="92"/>
        <v>1</v>
      </c>
      <c r="DZ127">
        <f t="shared" si="82"/>
        <v>0</v>
      </c>
      <c r="EA127">
        <f t="shared" si="69"/>
        <v>0</v>
      </c>
      <c r="EB127">
        <f t="shared" si="70"/>
        <v>0</v>
      </c>
      <c r="EC127">
        <f t="shared" si="71"/>
        <v>0</v>
      </c>
      <c r="ED127">
        <f t="shared" si="72"/>
        <v>0</v>
      </c>
      <c r="EE127">
        <f t="shared" si="73"/>
        <v>0</v>
      </c>
      <c r="EF127">
        <f t="shared" si="74"/>
        <v>1</v>
      </c>
      <c r="EG127">
        <f t="shared" si="75"/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f t="shared" si="93"/>
        <v>1</v>
      </c>
      <c r="EO127">
        <f t="shared" si="94"/>
        <v>1</v>
      </c>
      <c r="EQ127">
        <f t="shared" si="83"/>
        <v>0</v>
      </c>
      <c r="ER127">
        <f t="shared" si="76"/>
        <v>0</v>
      </c>
      <c r="ES127">
        <f t="shared" si="77"/>
        <v>0</v>
      </c>
      <c r="ET127">
        <f t="shared" si="78"/>
        <v>0</v>
      </c>
      <c r="EU127">
        <f t="shared" si="79"/>
        <v>0</v>
      </c>
      <c r="EV127">
        <f t="shared" si="80"/>
        <v>1</v>
      </c>
      <c r="EW127">
        <f t="shared" si="58"/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f t="shared" si="59"/>
        <v>1</v>
      </c>
      <c r="FZ127">
        <v>1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f t="shared" si="60"/>
        <v>1</v>
      </c>
    </row>
    <row r="128" spans="1:189" x14ac:dyDescent="0.35">
      <c r="A128" t="s">
        <v>394</v>
      </c>
      <c r="B128">
        <f>[1]Population!$BB151</f>
        <v>23967265</v>
      </c>
      <c r="C128">
        <f>[1]RealGDP!$BB151</f>
        <v>9127794918.9110737</v>
      </c>
      <c r="D128" s="8">
        <f>[1]GDPcap!$BB151</f>
        <v>380.84424396822391</v>
      </c>
      <c r="E128" s="8">
        <v>16.123513597250682</v>
      </c>
      <c r="F128">
        <v>27.343902359168094</v>
      </c>
      <c r="G128">
        <f>RANK(D128,D$4:D128:D$201)</f>
        <v>185</v>
      </c>
      <c r="H128" t="s">
        <v>394</v>
      </c>
      <c r="J128">
        <v>26.1</v>
      </c>
      <c r="K128">
        <v>26</v>
      </c>
      <c r="L128">
        <v>25.6</v>
      </c>
      <c r="M128">
        <v>24.3</v>
      </c>
      <c r="N128">
        <v>22.2</v>
      </c>
      <c r="O128">
        <v>20.2</v>
      </c>
      <c r="P128">
        <v>19.8</v>
      </c>
      <c r="Q128">
        <v>21.1</v>
      </c>
      <c r="R128">
        <v>23.2</v>
      </c>
      <c r="S128">
        <v>25</v>
      </c>
      <c r="T128">
        <v>25.9</v>
      </c>
      <c r="U128">
        <v>26</v>
      </c>
      <c r="V128">
        <v>24</v>
      </c>
      <c r="W128">
        <v>20.399999999999999</v>
      </c>
      <c r="X128">
        <v>24.7</v>
      </c>
      <c r="Y128">
        <v>25.2</v>
      </c>
      <c r="Z128">
        <v>23.8</v>
      </c>
      <c r="AB128">
        <f t="shared" si="54"/>
        <v>1</v>
      </c>
      <c r="AC128">
        <f t="shared" si="55"/>
        <v>0</v>
      </c>
      <c r="AD128">
        <f t="shared" si="56"/>
        <v>0</v>
      </c>
      <c r="AE128">
        <f t="shared" si="57"/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f t="shared" si="84"/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f t="shared" si="86"/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f t="shared" si="85"/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f t="shared" si="87"/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f t="shared" si="88"/>
        <v>1</v>
      </c>
      <c r="CX128">
        <f t="shared" si="81"/>
        <v>0</v>
      </c>
      <c r="CY128">
        <f t="shared" si="61"/>
        <v>0</v>
      </c>
      <c r="CZ128">
        <f t="shared" si="62"/>
        <v>0</v>
      </c>
      <c r="DA128">
        <f t="shared" si="63"/>
        <v>0</v>
      </c>
      <c r="DB128">
        <f t="shared" si="64"/>
        <v>0</v>
      </c>
      <c r="DC128">
        <f t="shared" si="65"/>
        <v>0</v>
      </c>
      <c r="DD128">
        <f t="shared" si="66"/>
        <v>0</v>
      </c>
      <c r="DE128">
        <f t="shared" si="67"/>
        <v>0</v>
      </c>
      <c r="DF128">
        <f t="shared" si="68"/>
        <v>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f t="shared" si="89"/>
        <v>1</v>
      </c>
      <c r="DN128">
        <f t="shared" si="90"/>
        <v>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f t="shared" si="91"/>
        <v>1</v>
      </c>
      <c r="DW128">
        <v>0</v>
      </c>
      <c r="DX128">
        <f t="shared" si="92"/>
        <v>1</v>
      </c>
      <c r="DZ128">
        <f t="shared" si="82"/>
        <v>0</v>
      </c>
      <c r="EA128">
        <f t="shared" si="69"/>
        <v>0</v>
      </c>
      <c r="EB128">
        <f t="shared" si="70"/>
        <v>0</v>
      </c>
      <c r="EC128">
        <f t="shared" si="71"/>
        <v>0</v>
      </c>
      <c r="ED128">
        <f t="shared" si="72"/>
        <v>0</v>
      </c>
      <c r="EE128">
        <f t="shared" si="73"/>
        <v>0</v>
      </c>
      <c r="EF128">
        <f t="shared" si="74"/>
        <v>1</v>
      </c>
      <c r="EG128">
        <f t="shared" si="75"/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f t="shared" si="93"/>
        <v>1</v>
      </c>
      <c r="EO128">
        <f t="shared" si="94"/>
        <v>1</v>
      </c>
      <c r="EQ128">
        <f t="shared" si="83"/>
        <v>0</v>
      </c>
      <c r="ER128">
        <f t="shared" si="76"/>
        <v>0</v>
      </c>
      <c r="ES128">
        <f t="shared" si="77"/>
        <v>0</v>
      </c>
      <c r="ET128">
        <f t="shared" si="78"/>
        <v>0</v>
      </c>
      <c r="EU128">
        <f t="shared" si="79"/>
        <v>0</v>
      </c>
      <c r="EV128">
        <f t="shared" si="80"/>
        <v>1</v>
      </c>
      <c r="EW128">
        <f t="shared" si="58"/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</v>
      </c>
      <c r="FX128">
        <f t="shared" si="59"/>
        <v>1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f t="shared" si="60"/>
        <v>1</v>
      </c>
    </row>
    <row r="129" spans="1:189" x14ac:dyDescent="0.35">
      <c r="A129" t="s">
        <v>395</v>
      </c>
      <c r="B129">
        <f>[1]Population!$BB153</f>
        <v>2178967</v>
      </c>
      <c r="C129">
        <f>[1]RealGDP!$BB153</f>
        <v>8936748666.272974</v>
      </c>
      <c r="D129" s="8">
        <f>[1]GDPcap!$BB153</f>
        <v>4101.3694407822486</v>
      </c>
      <c r="E129" s="8">
        <v>25.912133507219622</v>
      </c>
      <c r="F129">
        <v>8.577791536051226</v>
      </c>
      <c r="G129">
        <f>RANK(D129,D$4:D129:D$201)</f>
        <v>97</v>
      </c>
      <c r="H129" t="s">
        <v>395</v>
      </c>
      <c r="J129">
        <v>23.9</v>
      </c>
      <c r="K129">
        <v>23.3</v>
      </c>
      <c r="L129">
        <v>22.4</v>
      </c>
      <c r="M129">
        <v>20.3</v>
      </c>
      <c r="N129">
        <v>17.100000000000001</v>
      </c>
      <c r="O129">
        <v>14.6</v>
      </c>
      <c r="P129">
        <v>14.3</v>
      </c>
      <c r="Q129">
        <v>16</v>
      </c>
      <c r="R129">
        <v>19.2</v>
      </c>
      <c r="S129">
        <v>21.5</v>
      </c>
      <c r="T129">
        <v>22.7</v>
      </c>
      <c r="U129">
        <v>23.7</v>
      </c>
      <c r="V129">
        <v>19.899999999999999</v>
      </c>
      <c r="W129">
        <v>15</v>
      </c>
      <c r="X129">
        <v>21.1</v>
      </c>
      <c r="Y129">
        <v>22.8</v>
      </c>
      <c r="Z129">
        <v>19.899999999999999</v>
      </c>
      <c r="AB129">
        <f t="shared" si="54"/>
        <v>0</v>
      </c>
      <c r="AC129">
        <f t="shared" si="55"/>
        <v>0</v>
      </c>
      <c r="AD129">
        <f t="shared" si="56"/>
        <v>1</v>
      </c>
      <c r="AE129">
        <f t="shared" si="57"/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f t="shared" si="84"/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f t="shared" si="86"/>
        <v>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f t="shared" si="85"/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f t="shared" si="87"/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f t="shared" si="88"/>
        <v>1</v>
      </c>
      <c r="CX129">
        <f t="shared" si="81"/>
        <v>0</v>
      </c>
      <c r="CY129">
        <f t="shared" si="61"/>
        <v>0</v>
      </c>
      <c r="CZ129">
        <f t="shared" si="62"/>
        <v>0</v>
      </c>
      <c r="DA129">
        <f t="shared" si="63"/>
        <v>0</v>
      </c>
      <c r="DB129">
        <f t="shared" si="64"/>
        <v>0</v>
      </c>
      <c r="DC129">
        <f t="shared" si="65"/>
        <v>0</v>
      </c>
      <c r="DD129">
        <f t="shared" si="66"/>
        <v>0</v>
      </c>
      <c r="DE129">
        <f t="shared" si="67"/>
        <v>0</v>
      </c>
      <c r="DF129">
        <f t="shared" si="68"/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f t="shared" si="89"/>
        <v>1</v>
      </c>
      <c r="DN129">
        <f t="shared" si="90"/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f t="shared" si="91"/>
        <v>1</v>
      </c>
      <c r="DW129">
        <v>0</v>
      </c>
      <c r="DX129">
        <f t="shared" si="92"/>
        <v>1</v>
      </c>
      <c r="DZ129">
        <f t="shared" si="82"/>
        <v>0</v>
      </c>
      <c r="EA129">
        <f t="shared" si="69"/>
        <v>0</v>
      </c>
      <c r="EB129">
        <f t="shared" si="70"/>
        <v>0</v>
      </c>
      <c r="EC129">
        <f t="shared" si="71"/>
        <v>0</v>
      </c>
      <c r="ED129">
        <f t="shared" si="72"/>
        <v>0</v>
      </c>
      <c r="EE129">
        <f t="shared" si="73"/>
        <v>0</v>
      </c>
      <c r="EF129">
        <f t="shared" si="74"/>
        <v>1</v>
      </c>
      <c r="EG129">
        <f t="shared" si="75"/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f t="shared" si="93"/>
        <v>1</v>
      </c>
      <c r="EO129">
        <f t="shared" si="94"/>
        <v>1</v>
      </c>
      <c r="EQ129">
        <f t="shared" si="83"/>
        <v>0</v>
      </c>
      <c r="ER129">
        <f t="shared" si="76"/>
        <v>0</v>
      </c>
      <c r="ES129">
        <f t="shared" si="77"/>
        <v>0</v>
      </c>
      <c r="ET129">
        <f t="shared" si="78"/>
        <v>0</v>
      </c>
      <c r="EU129">
        <f t="shared" si="79"/>
        <v>0</v>
      </c>
      <c r="EV129">
        <f t="shared" si="80"/>
        <v>1</v>
      </c>
      <c r="EW129">
        <f t="shared" si="58"/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</v>
      </c>
      <c r="FX129">
        <f t="shared" si="59"/>
        <v>1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f t="shared" si="60"/>
        <v>1</v>
      </c>
    </row>
    <row r="130" spans="1:189" x14ac:dyDescent="0.35">
      <c r="A130" t="s">
        <v>169</v>
      </c>
      <c r="B130">
        <f>[1]Population!$BB155</f>
        <v>26846016</v>
      </c>
      <c r="C130">
        <f>[1]RealGDP!$BB155</f>
        <v>10103288981.142262</v>
      </c>
      <c r="D130" s="8">
        <f>[1]GDPcap!$BB155</f>
        <v>376.34220962776232</v>
      </c>
      <c r="E130" s="8">
        <v>13.396115441818818</v>
      </c>
      <c r="F130">
        <v>33.179378490812169</v>
      </c>
      <c r="G130">
        <f>RANK(D130,D$4:D130:D$201)</f>
        <v>186</v>
      </c>
      <c r="H130" t="s">
        <v>169</v>
      </c>
      <c r="J130">
        <v>-0.4</v>
      </c>
      <c r="K130">
        <v>0.8</v>
      </c>
      <c r="L130">
        <v>4.9000000000000004</v>
      </c>
      <c r="M130">
        <v>9</v>
      </c>
      <c r="N130">
        <v>11.9</v>
      </c>
      <c r="O130">
        <v>14.5</v>
      </c>
      <c r="P130">
        <v>15</v>
      </c>
      <c r="Q130">
        <v>14.6</v>
      </c>
      <c r="R130">
        <v>13.1</v>
      </c>
      <c r="S130">
        <v>8.8000000000000007</v>
      </c>
      <c r="T130">
        <v>4.3</v>
      </c>
      <c r="U130">
        <v>1.1000000000000001</v>
      </c>
      <c r="V130">
        <v>8.6</v>
      </c>
      <c r="W130">
        <v>14.7</v>
      </c>
      <c r="X130">
        <v>8.6999999999999993</v>
      </c>
      <c r="Y130">
        <v>0.5</v>
      </c>
      <c r="Z130">
        <v>8.1</v>
      </c>
      <c r="AB130">
        <f t="shared" si="54"/>
        <v>1</v>
      </c>
      <c r="AC130">
        <f t="shared" si="55"/>
        <v>0</v>
      </c>
      <c r="AD130">
        <f t="shared" si="56"/>
        <v>0</v>
      </c>
      <c r="AE130">
        <f t="shared" si="57"/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f t="shared" si="84"/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f t="shared" si="86"/>
        <v>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f t="shared" si="85"/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f t="shared" si="87"/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f t="shared" si="88"/>
        <v>1</v>
      </c>
      <c r="CX130">
        <f t="shared" si="81"/>
        <v>0</v>
      </c>
      <c r="CY130">
        <f t="shared" si="61"/>
        <v>0</v>
      </c>
      <c r="CZ130">
        <f t="shared" si="62"/>
        <v>0</v>
      </c>
      <c r="DA130">
        <f t="shared" si="63"/>
        <v>0</v>
      </c>
      <c r="DB130">
        <f t="shared" si="64"/>
        <v>0</v>
      </c>
      <c r="DC130">
        <f t="shared" si="65"/>
        <v>0</v>
      </c>
      <c r="DD130">
        <f t="shared" si="66"/>
        <v>1</v>
      </c>
      <c r="DE130">
        <f t="shared" si="67"/>
        <v>0</v>
      </c>
      <c r="DF130">
        <f t="shared" si="68"/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f t="shared" si="89"/>
        <v>1</v>
      </c>
      <c r="DN130">
        <f t="shared" si="90"/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f t="shared" si="91"/>
        <v>0</v>
      </c>
      <c r="DW130">
        <v>0</v>
      </c>
      <c r="DX130">
        <f t="shared" si="92"/>
        <v>1</v>
      </c>
      <c r="DZ130">
        <f t="shared" si="82"/>
        <v>0</v>
      </c>
      <c r="EA130">
        <f t="shared" si="69"/>
        <v>0</v>
      </c>
      <c r="EB130">
        <f t="shared" si="70"/>
        <v>0</v>
      </c>
      <c r="EC130">
        <f t="shared" si="71"/>
        <v>0</v>
      </c>
      <c r="ED130">
        <f t="shared" si="72"/>
        <v>0</v>
      </c>
      <c r="EE130">
        <f t="shared" si="73"/>
        <v>1</v>
      </c>
      <c r="EF130">
        <f t="shared" si="74"/>
        <v>0</v>
      </c>
      <c r="EG130">
        <f t="shared" si="75"/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f t="shared" si="93"/>
        <v>1</v>
      </c>
      <c r="EO130">
        <f t="shared" si="94"/>
        <v>1</v>
      </c>
      <c r="EQ130">
        <f t="shared" si="83"/>
        <v>0</v>
      </c>
      <c r="ER130">
        <f t="shared" si="76"/>
        <v>0</v>
      </c>
      <c r="ES130">
        <f t="shared" si="77"/>
        <v>0</v>
      </c>
      <c r="ET130">
        <f t="shared" si="78"/>
        <v>0</v>
      </c>
      <c r="EU130">
        <f t="shared" si="79"/>
        <v>0</v>
      </c>
      <c r="EV130">
        <f t="shared" si="80"/>
        <v>1</v>
      </c>
      <c r="EW130">
        <f t="shared" si="58"/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0</v>
      </c>
      <c r="FX130">
        <f t="shared" si="59"/>
        <v>1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f t="shared" si="60"/>
        <v>1</v>
      </c>
    </row>
    <row r="131" spans="1:189" x14ac:dyDescent="0.35">
      <c r="A131" t="s">
        <v>170</v>
      </c>
      <c r="B131">
        <f>[1]Population!$BB156</f>
        <v>16615394</v>
      </c>
      <c r="C131">
        <f>[1]RealGDP!$BB156</f>
        <v>683063473113.4657</v>
      </c>
      <c r="D131" s="8">
        <f>[1]GDPcap!$BB156</f>
        <v>41110.27840287541</v>
      </c>
      <c r="E131" s="8">
        <v>21.345279266268889</v>
      </c>
      <c r="F131">
        <v>1.7146150825320818</v>
      </c>
      <c r="G131">
        <f>RANK(D131,D$4:D131:D$201)</f>
        <v>15</v>
      </c>
      <c r="H131" t="s">
        <v>455</v>
      </c>
      <c r="J131">
        <v>2.1</v>
      </c>
      <c r="K131">
        <v>2.5</v>
      </c>
      <c r="L131">
        <v>4.9000000000000004</v>
      </c>
      <c r="M131">
        <v>7.6</v>
      </c>
      <c r="N131">
        <v>11.9</v>
      </c>
      <c r="O131">
        <v>14.6</v>
      </c>
      <c r="P131">
        <v>16.5</v>
      </c>
      <c r="Q131">
        <v>16.600000000000001</v>
      </c>
      <c r="R131">
        <v>14</v>
      </c>
      <c r="S131">
        <v>10.5</v>
      </c>
      <c r="T131">
        <v>6.1</v>
      </c>
      <c r="U131">
        <v>3.5</v>
      </c>
      <c r="V131">
        <v>8.1</v>
      </c>
      <c r="W131">
        <v>15.9</v>
      </c>
      <c r="X131">
        <v>10.199999999999999</v>
      </c>
      <c r="Y131">
        <v>2.6</v>
      </c>
      <c r="Z131">
        <v>9.1999999999999993</v>
      </c>
      <c r="AB131">
        <f t="shared" si="54"/>
        <v>0</v>
      </c>
      <c r="AC131">
        <f t="shared" si="55"/>
        <v>0</v>
      </c>
      <c r="AD131">
        <f t="shared" si="56"/>
        <v>0</v>
      </c>
      <c r="AE131">
        <f t="shared" si="57"/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f t="shared" si="84"/>
        <v>1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f t="shared" si="86"/>
        <v>1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f t="shared" si="85"/>
        <v>1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f t="shared" si="87"/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f t="shared" si="88"/>
        <v>1</v>
      </c>
      <c r="CX131">
        <f t="shared" si="81"/>
        <v>0</v>
      </c>
      <c r="CY131">
        <f t="shared" si="61"/>
        <v>1</v>
      </c>
      <c r="CZ131">
        <f t="shared" si="62"/>
        <v>0</v>
      </c>
      <c r="DA131">
        <f t="shared" si="63"/>
        <v>0</v>
      </c>
      <c r="DB131">
        <f t="shared" si="64"/>
        <v>0</v>
      </c>
      <c r="DC131">
        <f t="shared" si="65"/>
        <v>0</v>
      </c>
      <c r="DD131">
        <f t="shared" si="66"/>
        <v>0</v>
      </c>
      <c r="DE131">
        <f t="shared" si="67"/>
        <v>0</v>
      </c>
      <c r="DF131">
        <f t="shared" si="68"/>
        <v>0</v>
      </c>
      <c r="DH131">
        <v>0</v>
      </c>
      <c r="DI131">
        <v>0</v>
      </c>
      <c r="DJ131">
        <v>0</v>
      </c>
      <c r="DK131">
        <v>1</v>
      </c>
      <c r="DL131">
        <v>0</v>
      </c>
      <c r="DM131">
        <f t="shared" si="89"/>
        <v>0</v>
      </c>
      <c r="DN131">
        <f t="shared" si="90"/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f t="shared" si="91"/>
        <v>0</v>
      </c>
      <c r="DW131">
        <v>0</v>
      </c>
      <c r="DX131">
        <f t="shared" si="92"/>
        <v>1</v>
      </c>
      <c r="DZ131">
        <f t="shared" si="82"/>
        <v>1</v>
      </c>
      <c r="EA131">
        <f t="shared" si="69"/>
        <v>0</v>
      </c>
      <c r="EB131">
        <f t="shared" si="70"/>
        <v>0</v>
      </c>
      <c r="EC131">
        <f t="shared" si="71"/>
        <v>0</v>
      </c>
      <c r="ED131">
        <f t="shared" si="72"/>
        <v>0</v>
      </c>
      <c r="EE131">
        <f t="shared" si="73"/>
        <v>0</v>
      </c>
      <c r="EF131">
        <f t="shared" si="74"/>
        <v>0</v>
      </c>
      <c r="EG131">
        <f t="shared" si="75"/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f t="shared" si="93"/>
        <v>0</v>
      </c>
      <c r="EO131">
        <f t="shared" si="94"/>
        <v>1</v>
      </c>
      <c r="EQ131">
        <f t="shared" si="83"/>
        <v>1</v>
      </c>
      <c r="ER131">
        <f t="shared" si="76"/>
        <v>0</v>
      </c>
      <c r="ES131">
        <f t="shared" si="77"/>
        <v>0</v>
      </c>
      <c r="ET131">
        <f t="shared" si="78"/>
        <v>0</v>
      </c>
      <c r="EU131">
        <f t="shared" si="79"/>
        <v>0</v>
      </c>
      <c r="EV131">
        <f t="shared" si="80"/>
        <v>0</v>
      </c>
      <c r="EW131">
        <f t="shared" si="58"/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1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f t="shared" si="59"/>
        <v>1</v>
      </c>
      <c r="FZ131">
        <v>0</v>
      </c>
      <c r="GA131">
        <v>0</v>
      </c>
      <c r="GB131">
        <v>1</v>
      </c>
      <c r="GC131">
        <v>0</v>
      </c>
      <c r="GD131">
        <v>0</v>
      </c>
      <c r="GE131">
        <v>0</v>
      </c>
      <c r="GF131">
        <v>0</v>
      </c>
      <c r="GG131">
        <f t="shared" si="60"/>
        <v>1</v>
      </c>
    </row>
    <row r="132" spans="1:189" x14ac:dyDescent="0.35">
      <c r="A132" t="s">
        <v>171</v>
      </c>
      <c r="B132">
        <f>[1]Population!$BB159</f>
        <v>4367800</v>
      </c>
      <c r="C132">
        <f>[1]RealGDP!$BB159</f>
        <v>120042479359.5708</v>
      </c>
      <c r="D132" s="8">
        <f>[1]GDPcap!$BB159</f>
        <v>27483.511003152802</v>
      </c>
      <c r="E132" s="8">
        <v>26.061590308295418</v>
      </c>
      <c r="F132">
        <v>8.6411317675511476</v>
      </c>
      <c r="G132">
        <f>RANK(D132,D$4:D132:D$201)</f>
        <v>33</v>
      </c>
      <c r="H132" t="s">
        <v>462</v>
      </c>
      <c r="I132" t="s">
        <v>463</v>
      </c>
      <c r="J132">
        <v>15.3</v>
      </c>
      <c r="K132">
        <v>15.4</v>
      </c>
      <c r="L132">
        <v>14.1</v>
      </c>
      <c r="M132">
        <v>11.3</v>
      </c>
      <c r="N132">
        <v>8.3000000000000007</v>
      </c>
      <c r="O132">
        <v>6.1</v>
      </c>
      <c r="P132">
        <v>5.4</v>
      </c>
      <c r="Q132">
        <v>6.5</v>
      </c>
      <c r="R132">
        <v>8.1999999999999993</v>
      </c>
      <c r="S132">
        <v>10.199999999999999</v>
      </c>
      <c r="T132">
        <v>12</v>
      </c>
      <c r="U132">
        <v>13.9</v>
      </c>
      <c r="V132">
        <v>11.2</v>
      </c>
      <c r="W132">
        <v>6</v>
      </c>
      <c r="X132">
        <v>10.1</v>
      </c>
      <c r="Y132">
        <v>14.4</v>
      </c>
      <c r="Z132">
        <v>10.5</v>
      </c>
      <c r="AB132">
        <f t="shared" si="54"/>
        <v>0</v>
      </c>
      <c r="AC132">
        <f t="shared" si="55"/>
        <v>0</v>
      </c>
      <c r="AD132">
        <f t="shared" si="56"/>
        <v>0</v>
      </c>
      <c r="AE132">
        <f t="shared" si="57"/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f t="shared" si="84"/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f t="shared" si="86"/>
        <v>1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f t="shared" ref="BV132:BV163" si="95">SUM(BN132:BU132)</f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f t="shared" si="87"/>
        <v>1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f t="shared" si="88"/>
        <v>1</v>
      </c>
      <c r="CX132">
        <f t="shared" si="81"/>
        <v>0</v>
      </c>
      <c r="CY132">
        <f t="shared" si="61"/>
        <v>0</v>
      </c>
      <c r="CZ132">
        <f t="shared" si="62"/>
        <v>1</v>
      </c>
      <c r="DA132">
        <f t="shared" si="63"/>
        <v>0</v>
      </c>
      <c r="DB132">
        <f t="shared" si="64"/>
        <v>0</v>
      </c>
      <c r="DC132">
        <f t="shared" si="65"/>
        <v>0</v>
      </c>
      <c r="DD132">
        <f t="shared" si="66"/>
        <v>0</v>
      </c>
      <c r="DE132">
        <f t="shared" si="67"/>
        <v>0</v>
      </c>
      <c r="DF132">
        <f t="shared" si="68"/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f t="shared" si="89"/>
        <v>1</v>
      </c>
      <c r="DN132">
        <f t="shared" si="90"/>
        <v>1</v>
      </c>
      <c r="DP132">
        <v>0</v>
      </c>
      <c r="DQ132">
        <v>0</v>
      </c>
      <c r="DR132">
        <v>1</v>
      </c>
      <c r="DS132">
        <v>0</v>
      </c>
      <c r="DT132">
        <v>0</v>
      </c>
      <c r="DU132">
        <v>0</v>
      </c>
      <c r="DV132">
        <f t="shared" si="91"/>
        <v>0</v>
      </c>
      <c r="DW132">
        <v>0</v>
      </c>
      <c r="DX132">
        <f t="shared" si="92"/>
        <v>1</v>
      </c>
      <c r="DZ132">
        <f t="shared" si="82"/>
        <v>0</v>
      </c>
      <c r="EA132">
        <f t="shared" si="69"/>
        <v>0</v>
      </c>
      <c r="EB132">
        <f t="shared" si="70"/>
        <v>1</v>
      </c>
      <c r="EC132">
        <f t="shared" si="71"/>
        <v>0</v>
      </c>
      <c r="ED132">
        <f t="shared" si="72"/>
        <v>0</v>
      </c>
      <c r="EE132">
        <f t="shared" si="73"/>
        <v>0</v>
      </c>
      <c r="EF132">
        <f t="shared" si="74"/>
        <v>0</v>
      </c>
      <c r="EG132">
        <f t="shared" si="75"/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f t="shared" si="93"/>
        <v>0</v>
      </c>
      <c r="EO132">
        <f t="shared" si="94"/>
        <v>1</v>
      </c>
      <c r="EQ132">
        <f t="shared" si="83"/>
        <v>0</v>
      </c>
      <c r="ER132">
        <f t="shared" si="76"/>
        <v>0</v>
      </c>
      <c r="ES132">
        <f t="shared" si="77"/>
        <v>1</v>
      </c>
      <c r="ET132">
        <f t="shared" si="78"/>
        <v>0</v>
      </c>
      <c r="EU132">
        <f t="shared" si="79"/>
        <v>0</v>
      </c>
      <c r="EV132">
        <f t="shared" si="80"/>
        <v>0</v>
      </c>
      <c r="EW132">
        <f t="shared" si="58"/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f t="shared" si="59"/>
        <v>1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1</v>
      </c>
      <c r="GF132">
        <v>0</v>
      </c>
      <c r="GG132">
        <f t="shared" si="60"/>
        <v>1</v>
      </c>
    </row>
    <row r="133" spans="1:189" x14ac:dyDescent="0.35">
      <c r="A133" t="s">
        <v>396</v>
      </c>
      <c r="B133">
        <f>[1]Population!$BB160</f>
        <v>5822209</v>
      </c>
      <c r="C133">
        <f>[1]RealGDP!$BB160</f>
        <v>7163269747.9907646</v>
      </c>
      <c r="D133" s="8">
        <f>[1]GDPcap!$BB160</f>
        <v>1230.3353843860234</v>
      </c>
      <c r="E133" s="8">
        <v>13.678366549710841</v>
      </c>
      <c r="F133">
        <v>16.982636800704821</v>
      </c>
      <c r="G133">
        <f>RANK(D133,D$4:D133:D$201)</f>
        <v>142</v>
      </c>
      <c r="H133" t="s">
        <v>396</v>
      </c>
      <c r="J133">
        <v>23.5</v>
      </c>
      <c r="K133">
        <v>24.2</v>
      </c>
      <c r="L133">
        <v>25.2</v>
      </c>
      <c r="M133">
        <v>26</v>
      </c>
      <c r="N133">
        <v>26.1</v>
      </c>
      <c r="O133">
        <v>25.3</v>
      </c>
      <c r="P133">
        <v>25.2</v>
      </c>
      <c r="Q133">
        <v>25</v>
      </c>
      <c r="R133">
        <v>25</v>
      </c>
      <c r="S133">
        <v>24.8</v>
      </c>
      <c r="T133">
        <v>24.1</v>
      </c>
      <c r="U133">
        <v>23.7</v>
      </c>
      <c r="V133">
        <v>25.7</v>
      </c>
      <c r="W133">
        <v>25.2</v>
      </c>
      <c r="X133">
        <v>24.6</v>
      </c>
      <c r="Y133">
        <v>23</v>
      </c>
      <c r="Z133">
        <v>24.8</v>
      </c>
      <c r="AB133">
        <f t="shared" ref="AB133:AB196" si="96">IF(G133&gt;150,1,0)</f>
        <v>0</v>
      </c>
      <c r="AC133">
        <f t="shared" ref="AC133:AC196" si="97">IF(AND(G133&lt;151,G133&gt;100),1,0)</f>
        <v>1</v>
      </c>
      <c r="AD133">
        <f t="shared" ref="AD133:AD196" si="98">IF(AND(G133&lt;101,G133&gt;50),1,0)</f>
        <v>0</v>
      </c>
      <c r="AE133">
        <f t="shared" ref="AE133:AE196" si="99">IF(G133&lt;51,1,0)</f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f t="shared" si="84"/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f t="shared" si="86"/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f t="shared" si="95"/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f t="shared" si="87"/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f t="shared" si="88"/>
        <v>1</v>
      </c>
      <c r="CX133">
        <f t="shared" si="81"/>
        <v>0</v>
      </c>
      <c r="CY133">
        <f t="shared" si="61"/>
        <v>0</v>
      </c>
      <c r="CZ133">
        <f t="shared" si="62"/>
        <v>0</v>
      </c>
      <c r="DA133">
        <f t="shared" si="63"/>
        <v>0</v>
      </c>
      <c r="DB133">
        <f t="shared" si="64"/>
        <v>0</v>
      </c>
      <c r="DC133">
        <f t="shared" si="65"/>
        <v>1</v>
      </c>
      <c r="DD133">
        <f t="shared" si="66"/>
        <v>0</v>
      </c>
      <c r="DE133">
        <f t="shared" si="67"/>
        <v>0</v>
      </c>
      <c r="DF133">
        <f t="shared" si="68"/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f t="shared" si="89"/>
        <v>1</v>
      </c>
      <c r="DN133">
        <f t="shared" si="90"/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f t="shared" si="91"/>
        <v>0</v>
      </c>
      <c r="DW133">
        <v>1</v>
      </c>
      <c r="DX133">
        <f t="shared" si="92"/>
        <v>1</v>
      </c>
      <c r="DZ133">
        <f t="shared" si="82"/>
        <v>0</v>
      </c>
      <c r="EA133">
        <f t="shared" si="69"/>
        <v>0</v>
      </c>
      <c r="EB133">
        <f t="shared" si="70"/>
        <v>0</v>
      </c>
      <c r="EC133">
        <f t="shared" si="71"/>
        <v>0</v>
      </c>
      <c r="ED133">
        <f t="shared" si="72"/>
        <v>0</v>
      </c>
      <c r="EE133">
        <f t="shared" si="73"/>
        <v>0</v>
      </c>
      <c r="EF133">
        <f t="shared" si="74"/>
        <v>0</v>
      </c>
      <c r="EG133">
        <f t="shared" si="75"/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f t="shared" si="93"/>
        <v>1</v>
      </c>
      <c r="EO133">
        <f t="shared" si="94"/>
        <v>1</v>
      </c>
      <c r="EQ133">
        <f t="shared" si="83"/>
        <v>0</v>
      </c>
      <c r="ER133">
        <f t="shared" si="76"/>
        <v>0</v>
      </c>
      <c r="ES133">
        <f t="shared" si="77"/>
        <v>0</v>
      </c>
      <c r="ET133">
        <f t="shared" si="78"/>
        <v>0</v>
      </c>
      <c r="EU133">
        <f t="shared" si="79"/>
        <v>0</v>
      </c>
      <c r="EV133">
        <f t="shared" si="80"/>
        <v>1</v>
      </c>
      <c r="EW133">
        <f t="shared" ref="EW133:EW196" si="100">SUM(EQ133:EV133)</f>
        <v>1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f t="shared" ref="FX133:FX196" si="101">SUM(EY133:FW133)</f>
        <v>1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f t="shared" ref="GG133:GG196" si="102">SUM(FZ133:GF133)</f>
        <v>1</v>
      </c>
    </row>
    <row r="134" spans="1:189" x14ac:dyDescent="0.35">
      <c r="A134" t="s">
        <v>397</v>
      </c>
      <c r="B134">
        <f>[1]Population!$BB161</f>
        <v>15893746</v>
      </c>
      <c r="C134">
        <f>[1]RealGDP!$BB161</f>
        <v>4381636014.6785507</v>
      </c>
      <c r="D134" s="8">
        <f>[1]GDPcap!$BB161</f>
        <v>275.68302744227515</v>
      </c>
      <c r="E134" s="8"/>
      <c r="F134">
        <v>40.898376788219828</v>
      </c>
      <c r="G134">
        <f>RANK(D134,D$4:D134:D$201)</f>
        <v>191</v>
      </c>
      <c r="H134" t="s">
        <v>397</v>
      </c>
      <c r="J134">
        <v>18.8</v>
      </c>
      <c r="K134">
        <v>21.7</v>
      </c>
      <c r="L134">
        <v>25.8</v>
      </c>
      <c r="M134">
        <v>30.1</v>
      </c>
      <c r="N134">
        <v>32.6</v>
      </c>
      <c r="O134">
        <v>32.799999999999997</v>
      </c>
      <c r="P134">
        <v>31.2</v>
      </c>
      <c r="Q134">
        <v>30.4</v>
      </c>
      <c r="R134">
        <v>30.3</v>
      </c>
      <c r="S134">
        <v>28.3</v>
      </c>
      <c r="T134">
        <v>23.5</v>
      </c>
      <c r="U134">
        <v>19.8</v>
      </c>
      <c r="V134">
        <v>29.5</v>
      </c>
      <c r="W134">
        <v>31.5</v>
      </c>
      <c r="X134">
        <v>27.4</v>
      </c>
      <c r="Y134">
        <v>19.5</v>
      </c>
      <c r="Z134">
        <v>27.1</v>
      </c>
      <c r="AB134">
        <f t="shared" si="96"/>
        <v>1</v>
      </c>
      <c r="AC134">
        <f t="shared" si="97"/>
        <v>0</v>
      </c>
      <c r="AD134">
        <f t="shared" si="98"/>
        <v>0</v>
      </c>
      <c r="AE134">
        <f t="shared" si="99"/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f t="shared" si="84"/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f t="shared" si="86"/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f t="shared" si="95"/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f t="shared" si="87"/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f t="shared" si="88"/>
        <v>1</v>
      </c>
      <c r="CX134">
        <f t="shared" si="81"/>
        <v>0</v>
      </c>
      <c r="CY134">
        <f t="shared" si="61"/>
        <v>0</v>
      </c>
      <c r="CZ134">
        <f t="shared" si="62"/>
        <v>0</v>
      </c>
      <c r="DA134">
        <f t="shared" si="63"/>
        <v>0</v>
      </c>
      <c r="DB134">
        <f t="shared" si="64"/>
        <v>0</v>
      </c>
      <c r="DC134">
        <f t="shared" si="65"/>
        <v>0</v>
      </c>
      <c r="DD134">
        <f t="shared" si="66"/>
        <v>0</v>
      </c>
      <c r="DE134">
        <f t="shared" si="67"/>
        <v>0</v>
      </c>
      <c r="DF134">
        <f t="shared" si="68"/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f t="shared" si="89"/>
        <v>1</v>
      </c>
      <c r="DN134">
        <f t="shared" si="90"/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f t="shared" si="91"/>
        <v>1</v>
      </c>
      <c r="DW134">
        <v>0</v>
      </c>
      <c r="DX134">
        <f t="shared" si="92"/>
        <v>1</v>
      </c>
      <c r="DZ134">
        <f t="shared" si="82"/>
        <v>0</v>
      </c>
      <c r="EA134">
        <f t="shared" si="69"/>
        <v>0</v>
      </c>
      <c r="EB134">
        <f t="shared" si="70"/>
        <v>0</v>
      </c>
      <c r="EC134">
        <f t="shared" si="71"/>
        <v>0</v>
      </c>
      <c r="ED134">
        <f t="shared" si="72"/>
        <v>0</v>
      </c>
      <c r="EE134">
        <f t="shared" si="73"/>
        <v>0</v>
      </c>
      <c r="EF134">
        <f t="shared" si="74"/>
        <v>1</v>
      </c>
      <c r="EG134">
        <f t="shared" si="75"/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f t="shared" si="93"/>
        <v>1</v>
      </c>
      <c r="EO134">
        <f t="shared" si="94"/>
        <v>1</v>
      </c>
      <c r="EQ134">
        <f t="shared" si="83"/>
        <v>0</v>
      </c>
      <c r="ER134">
        <f t="shared" si="76"/>
        <v>0</v>
      </c>
      <c r="ES134">
        <f t="shared" si="77"/>
        <v>0</v>
      </c>
      <c r="ET134">
        <f t="shared" si="78"/>
        <v>0</v>
      </c>
      <c r="EU134">
        <f t="shared" si="79"/>
        <v>0</v>
      </c>
      <c r="EV134">
        <f t="shared" si="80"/>
        <v>1</v>
      </c>
      <c r="EW134">
        <f t="shared" si="100"/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1</v>
      </c>
      <c r="FX134">
        <f t="shared" si="101"/>
        <v>1</v>
      </c>
      <c r="FZ134">
        <v>1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f t="shared" si="102"/>
        <v>1</v>
      </c>
    </row>
    <row r="135" spans="1:189" x14ac:dyDescent="0.35">
      <c r="A135" t="s">
        <v>172</v>
      </c>
      <c r="B135">
        <f>[1]Population!$BB162</f>
        <v>159707780</v>
      </c>
      <c r="C135">
        <f>[1]RealGDP!$BB162</f>
        <v>159017874554.81158</v>
      </c>
      <c r="D135" s="8">
        <f>[1]GDPcap!$BB162</f>
        <v>995.6802013953959</v>
      </c>
      <c r="E135" s="8">
        <v>2.2684599570656951</v>
      </c>
      <c r="F135">
        <v>23.524509894971676</v>
      </c>
      <c r="G135">
        <f>RANK(D135,D$4:D135:D$201)</f>
        <v>149</v>
      </c>
      <c r="H135" t="s">
        <v>172</v>
      </c>
      <c r="J135">
        <v>24.5</v>
      </c>
      <c r="K135">
        <v>26.9</v>
      </c>
      <c r="L135">
        <v>29.1</v>
      </c>
      <c r="M135">
        <v>29.8</v>
      </c>
      <c r="N135">
        <v>28.9</v>
      </c>
      <c r="O135">
        <v>27.4</v>
      </c>
      <c r="P135">
        <v>25.9</v>
      </c>
      <c r="Q135">
        <v>25.4</v>
      </c>
      <c r="R135">
        <v>26</v>
      </c>
      <c r="S135">
        <v>26.8</v>
      </c>
      <c r="T135">
        <v>25.9</v>
      </c>
      <c r="U135">
        <v>24.6</v>
      </c>
      <c r="V135">
        <v>29.3</v>
      </c>
      <c r="W135">
        <v>26.2</v>
      </c>
      <c r="X135">
        <v>26.2</v>
      </c>
      <c r="Y135">
        <v>24.5</v>
      </c>
      <c r="Z135">
        <v>26.8</v>
      </c>
      <c r="AB135">
        <f t="shared" si="96"/>
        <v>0</v>
      </c>
      <c r="AC135">
        <f t="shared" si="97"/>
        <v>1</v>
      </c>
      <c r="AD135">
        <f t="shared" si="98"/>
        <v>0</v>
      </c>
      <c r="AE135">
        <f t="shared" si="99"/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f t="shared" si="84"/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f t="shared" si="86"/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f t="shared" si="95"/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f t="shared" si="87"/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f t="shared" si="88"/>
        <v>1</v>
      </c>
      <c r="CX135">
        <f t="shared" si="81"/>
        <v>0</v>
      </c>
      <c r="CY135">
        <f t="shared" si="61"/>
        <v>0</v>
      </c>
      <c r="CZ135">
        <f t="shared" si="62"/>
        <v>0</v>
      </c>
      <c r="DA135">
        <f t="shared" si="63"/>
        <v>0</v>
      </c>
      <c r="DB135">
        <f t="shared" si="64"/>
        <v>0</v>
      </c>
      <c r="DC135">
        <f t="shared" si="65"/>
        <v>0</v>
      </c>
      <c r="DD135">
        <f t="shared" si="66"/>
        <v>0</v>
      </c>
      <c r="DE135">
        <f t="shared" si="67"/>
        <v>0</v>
      </c>
      <c r="DF135">
        <f t="shared" si="68"/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f t="shared" si="89"/>
        <v>1</v>
      </c>
      <c r="DN135">
        <f t="shared" si="90"/>
        <v>1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f t="shared" si="91"/>
        <v>1</v>
      </c>
      <c r="DW135">
        <v>0</v>
      </c>
      <c r="DX135">
        <f t="shared" si="92"/>
        <v>1</v>
      </c>
      <c r="DZ135">
        <f t="shared" si="82"/>
        <v>0</v>
      </c>
      <c r="EA135">
        <f t="shared" si="69"/>
        <v>0</v>
      </c>
      <c r="EB135">
        <f t="shared" si="70"/>
        <v>0</v>
      </c>
      <c r="EC135">
        <f t="shared" si="71"/>
        <v>0</v>
      </c>
      <c r="ED135">
        <f t="shared" si="72"/>
        <v>0</v>
      </c>
      <c r="EE135">
        <f t="shared" si="73"/>
        <v>0</v>
      </c>
      <c r="EF135">
        <f t="shared" si="74"/>
        <v>1</v>
      </c>
      <c r="EG135">
        <f t="shared" si="75"/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f t="shared" si="93"/>
        <v>1</v>
      </c>
      <c r="EO135">
        <f t="shared" si="94"/>
        <v>1</v>
      </c>
      <c r="EQ135">
        <f t="shared" si="83"/>
        <v>0</v>
      </c>
      <c r="ER135">
        <f t="shared" si="76"/>
        <v>0</v>
      </c>
      <c r="ES135">
        <f t="shared" si="77"/>
        <v>0</v>
      </c>
      <c r="ET135">
        <f t="shared" si="78"/>
        <v>0</v>
      </c>
      <c r="EU135">
        <f t="shared" si="79"/>
        <v>0</v>
      </c>
      <c r="EV135">
        <f t="shared" si="80"/>
        <v>1</v>
      </c>
      <c r="EW135">
        <f t="shared" si="100"/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f t="shared" si="101"/>
        <v>1</v>
      </c>
      <c r="FZ135">
        <v>1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f t="shared" si="102"/>
        <v>1</v>
      </c>
    </row>
    <row r="136" spans="1:189" x14ac:dyDescent="0.35">
      <c r="A136" t="s">
        <v>173</v>
      </c>
      <c r="B136">
        <f>[1]Population!$BB167</f>
        <v>4889252</v>
      </c>
      <c r="C136">
        <f>[1]RealGDP!$BB167</f>
        <v>315796662786.18549</v>
      </c>
      <c r="D136" s="8">
        <f>[1]GDPcap!$BB167</f>
        <v>64589.974659965468</v>
      </c>
      <c r="E136" s="8">
        <v>26.821202904378584</v>
      </c>
      <c r="F136">
        <v>1.5672355622520229</v>
      </c>
      <c r="G136">
        <f>RANK(D136,D$4:D136:D$201)</f>
        <v>5</v>
      </c>
      <c r="H136" t="s">
        <v>173</v>
      </c>
      <c r="J136">
        <v>-7.8</v>
      </c>
      <c r="K136">
        <v>-7.4</v>
      </c>
      <c r="L136">
        <v>-4.5</v>
      </c>
      <c r="M136">
        <v>-0.5</v>
      </c>
      <c r="N136">
        <v>5.2</v>
      </c>
      <c r="O136">
        <v>9.6999999999999993</v>
      </c>
      <c r="P136">
        <v>11.7</v>
      </c>
      <c r="Q136">
        <v>10.8</v>
      </c>
      <c r="R136">
        <v>6.9</v>
      </c>
      <c r="S136">
        <v>2.2999999999999998</v>
      </c>
      <c r="T136">
        <v>-2.7</v>
      </c>
      <c r="U136">
        <v>-5.8</v>
      </c>
      <c r="V136">
        <v>0.1</v>
      </c>
      <c r="W136">
        <v>10.7</v>
      </c>
      <c r="X136">
        <v>2.2000000000000002</v>
      </c>
      <c r="Y136">
        <v>-6.9</v>
      </c>
      <c r="Z136">
        <v>1.5</v>
      </c>
      <c r="AB136">
        <f t="shared" si="96"/>
        <v>0</v>
      </c>
      <c r="AC136">
        <f t="shared" si="97"/>
        <v>0</v>
      </c>
      <c r="AD136">
        <f t="shared" si="98"/>
        <v>0</v>
      </c>
      <c r="AE136">
        <f t="shared" si="99"/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f t="shared" si="84"/>
        <v>1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f t="shared" si="86"/>
        <v>1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f t="shared" si="95"/>
        <v>1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f t="shared" si="87"/>
        <v>1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f t="shared" si="88"/>
        <v>1</v>
      </c>
      <c r="CX136">
        <f t="shared" si="81"/>
        <v>0</v>
      </c>
      <c r="CY136">
        <f t="shared" si="61"/>
        <v>1</v>
      </c>
      <c r="CZ136">
        <f t="shared" si="62"/>
        <v>0</v>
      </c>
      <c r="DA136">
        <f t="shared" si="63"/>
        <v>0</v>
      </c>
      <c r="DB136">
        <f t="shared" si="64"/>
        <v>0</v>
      </c>
      <c r="DC136">
        <f t="shared" si="65"/>
        <v>0</v>
      </c>
      <c r="DD136">
        <f t="shared" si="66"/>
        <v>0</v>
      </c>
      <c r="DE136">
        <f t="shared" si="67"/>
        <v>0</v>
      </c>
      <c r="DF136">
        <f t="shared" si="68"/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f t="shared" si="89"/>
        <v>1</v>
      </c>
      <c r="DN136">
        <f t="shared" si="90"/>
        <v>1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f t="shared" si="91"/>
        <v>0</v>
      </c>
      <c r="DW136">
        <v>0</v>
      </c>
      <c r="DX136">
        <f t="shared" si="92"/>
        <v>1</v>
      </c>
      <c r="DZ136">
        <f t="shared" si="82"/>
        <v>0</v>
      </c>
      <c r="EA136">
        <f t="shared" si="69"/>
        <v>0</v>
      </c>
      <c r="EB136">
        <f t="shared" si="70"/>
        <v>1</v>
      </c>
      <c r="EC136">
        <f t="shared" si="71"/>
        <v>0</v>
      </c>
      <c r="ED136">
        <f t="shared" si="72"/>
        <v>0</v>
      </c>
      <c r="EE136">
        <f t="shared" si="73"/>
        <v>0</v>
      </c>
      <c r="EF136">
        <f t="shared" si="74"/>
        <v>0</v>
      </c>
      <c r="EG136">
        <f t="shared" si="75"/>
        <v>0</v>
      </c>
      <c r="EI136">
        <v>0</v>
      </c>
      <c r="EJ136">
        <v>0</v>
      </c>
      <c r="EK136">
        <v>1</v>
      </c>
      <c r="EL136">
        <v>0</v>
      </c>
      <c r="EM136">
        <v>0</v>
      </c>
      <c r="EN136">
        <f t="shared" si="93"/>
        <v>0</v>
      </c>
      <c r="EO136">
        <f t="shared" si="94"/>
        <v>1</v>
      </c>
      <c r="EQ136">
        <f t="shared" si="83"/>
        <v>0</v>
      </c>
      <c r="ER136">
        <f t="shared" si="76"/>
        <v>0</v>
      </c>
      <c r="ES136">
        <f t="shared" si="77"/>
        <v>1</v>
      </c>
      <c r="ET136">
        <f t="shared" si="78"/>
        <v>0</v>
      </c>
      <c r="EU136">
        <f t="shared" si="79"/>
        <v>0</v>
      </c>
      <c r="EV136">
        <f t="shared" si="80"/>
        <v>0</v>
      </c>
      <c r="EW136">
        <f t="shared" si="100"/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f t="shared" si="101"/>
        <v>1</v>
      </c>
      <c r="FZ136">
        <v>0</v>
      </c>
      <c r="GA136">
        <v>0</v>
      </c>
      <c r="GB136">
        <v>1</v>
      </c>
      <c r="GC136">
        <v>0</v>
      </c>
      <c r="GD136">
        <v>0</v>
      </c>
      <c r="GE136">
        <v>0</v>
      </c>
      <c r="GF136">
        <v>0</v>
      </c>
      <c r="GG136">
        <f t="shared" si="102"/>
        <v>1</v>
      </c>
    </row>
    <row r="137" spans="1:189" x14ac:dyDescent="0.35">
      <c r="A137" t="s">
        <v>398</v>
      </c>
      <c r="B137">
        <f>[1]Population!$BB168</f>
        <v>2802768</v>
      </c>
      <c r="C137">
        <f>[1]RealGDP!$BB168</f>
        <v>41935096066.201286</v>
      </c>
      <c r="D137" s="8">
        <f>[1]GDPcap!$BB168</f>
        <v>14962.028989271066</v>
      </c>
      <c r="E137" s="8">
        <v>2.5421323398971087</v>
      </c>
      <c r="F137">
        <v>1.3822383359943231</v>
      </c>
      <c r="G137">
        <f>RANK(D137,D$4:D137:D$201)</f>
        <v>49</v>
      </c>
      <c r="H137" t="s">
        <v>398</v>
      </c>
      <c r="J137">
        <v>20</v>
      </c>
      <c r="K137">
        <v>20.9</v>
      </c>
      <c r="L137">
        <v>23.6</v>
      </c>
      <c r="M137">
        <v>26.9</v>
      </c>
      <c r="N137">
        <v>29.6</v>
      </c>
      <c r="O137">
        <v>30.1</v>
      </c>
      <c r="P137">
        <v>28.8</v>
      </c>
      <c r="Q137">
        <v>27.8</v>
      </c>
      <c r="R137">
        <v>27.5</v>
      </c>
      <c r="S137">
        <v>26.4</v>
      </c>
      <c r="T137">
        <v>24</v>
      </c>
      <c r="U137">
        <v>21.4</v>
      </c>
      <c r="V137">
        <v>26.7</v>
      </c>
      <c r="W137">
        <v>28.9</v>
      </c>
      <c r="X137">
        <v>26</v>
      </c>
      <c r="Y137">
        <v>20.100000000000001</v>
      </c>
      <c r="Z137">
        <v>25.6</v>
      </c>
      <c r="AB137">
        <f t="shared" si="96"/>
        <v>0</v>
      </c>
      <c r="AC137">
        <f t="shared" si="97"/>
        <v>0</v>
      </c>
      <c r="AD137">
        <f t="shared" si="98"/>
        <v>0</v>
      </c>
      <c r="AE137">
        <f t="shared" si="99"/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f t="shared" ref="AV137:AV188" si="103">SUM(AG137:AU137)</f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f t="shared" si="86"/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f t="shared" si="95"/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f t="shared" si="87"/>
        <v>1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f t="shared" si="88"/>
        <v>1</v>
      </c>
      <c r="CX137">
        <f t="shared" si="81"/>
        <v>0</v>
      </c>
      <c r="CY137">
        <f t="shared" si="61"/>
        <v>0</v>
      </c>
      <c r="CZ137">
        <f t="shared" si="62"/>
        <v>0</v>
      </c>
      <c r="DA137">
        <f t="shared" si="63"/>
        <v>0</v>
      </c>
      <c r="DB137">
        <f t="shared" si="64"/>
        <v>1</v>
      </c>
      <c r="DC137">
        <f t="shared" si="65"/>
        <v>0</v>
      </c>
      <c r="DD137">
        <f t="shared" si="66"/>
        <v>0</v>
      </c>
      <c r="DE137">
        <f t="shared" si="67"/>
        <v>0</v>
      </c>
      <c r="DF137">
        <f t="shared" si="68"/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f t="shared" si="89"/>
        <v>1</v>
      </c>
      <c r="DN137">
        <f t="shared" si="90"/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f t="shared" si="91"/>
        <v>1</v>
      </c>
      <c r="DW137">
        <v>0</v>
      </c>
      <c r="DX137">
        <f t="shared" si="92"/>
        <v>1</v>
      </c>
      <c r="DZ137">
        <f t="shared" si="82"/>
        <v>0</v>
      </c>
      <c r="EA137">
        <f t="shared" si="69"/>
        <v>0</v>
      </c>
      <c r="EB137">
        <f t="shared" si="70"/>
        <v>0</v>
      </c>
      <c r="EC137">
        <f t="shared" si="71"/>
        <v>0</v>
      </c>
      <c r="ED137">
        <f t="shared" si="72"/>
        <v>0</v>
      </c>
      <c r="EE137">
        <f t="shared" si="73"/>
        <v>0</v>
      </c>
      <c r="EF137">
        <f t="shared" si="74"/>
        <v>1</v>
      </c>
      <c r="EG137">
        <f t="shared" si="75"/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f t="shared" si="93"/>
        <v>1</v>
      </c>
      <c r="EO137">
        <f t="shared" si="94"/>
        <v>1</v>
      </c>
      <c r="EQ137">
        <f t="shared" si="83"/>
        <v>0</v>
      </c>
      <c r="ER137">
        <f t="shared" si="76"/>
        <v>0</v>
      </c>
      <c r="ES137">
        <f t="shared" si="77"/>
        <v>0</v>
      </c>
      <c r="ET137">
        <f t="shared" si="78"/>
        <v>0</v>
      </c>
      <c r="EU137">
        <f t="shared" si="79"/>
        <v>0</v>
      </c>
      <c r="EV137">
        <f t="shared" si="80"/>
        <v>1</v>
      </c>
      <c r="EW137">
        <f t="shared" si="100"/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f t="shared" si="101"/>
        <v>1</v>
      </c>
      <c r="FZ137">
        <v>0</v>
      </c>
      <c r="GA137">
        <v>1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f t="shared" si="102"/>
        <v>1</v>
      </c>
    </row>
    <row r="138" spans="1:189" x14ac:dyDescent="0.35">
      <c r="A138" t="s">
        <v>174</v>
      </c>
      <c r="B138">
        <f>[1]Population!$BB169</f>
        <v>173149306</v>
      </c>
      <c r="C138">
        <f>[1]RealGDP!$BB169</f>
        <v>129517496849.86209</v>
      </c>
      <c r="D138" s="8">
        <f>[1]GDPcap!$BB169</f>
        <v>748.01048783794772</v>
      </c>
      <c r="E138" s="8">
        <v>9.9754247596488206</v>
      </c>
      <c r="F138">
        <v>23.281589636534505</v>
      </c>
      <c r="G138">
        <f>RANK(D138,D$4:D138:D$201)</f>
        <v>162</v>
      </c>
      <c r="H138" t="s">
        <v>174</v>
      </c>
      <c r="J138">
        <v>8.9</v>
      </c>
      <c r="K138">
        <v>11.1</v>
      </c>
      <c r="L138">
        <v>16.3</v>
      </c>
      <c r="M138">
        <v>21.9</v>
      </c>
      <c r="N138">
        <v>26.1</v>
      </c>
      <c r="O138">
        <v>29.1</v>
      </c>
      <c r="P138">
        <v>28.7</v>
      </c>
      <c r="Q138">
        <v>27.6</v>
      </c>
      <c r="R138">
        <v>25.4</v>
      </c>
      <c r="S138">
        <v>21.1</v>
      </c>
      <c r="T138">
        <v>15.5</v>
      </c>
      <c r="U138">
        <v>10.6</v>
      </c>
      <c r="V138">
        <v>21.4</v>
      </c>
      <c r="W138">
        <v>28.5</v>
      </c>
      <c r="X138">
        <v>20.7</v>
      </c>
      <c r="Y138">
        <v>9.9</v>
      </c>
      <c r="Z138">
        <v>20.2</v>
      </c>
      <c r="AB138">
        <f t="shared" si="96"/>
        <v>1</v>
      </c>
      <c r="AC138">
        <f t="shared" si="97"/>
        <v>0</v>
      </c>
      <c r="AD138">
        <f t="shared" si="98"/>
        <v>0</v>
      </c>
      <c r="AE138">
        <f t="shared" si="99"/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f t="shared" si="103"/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f t="shared" si="86"/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f t="shared" si="95"/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f t="shared" si="87"/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f t="shared" si="88"/>
        <v>1</v>
      </c>
      <c r="CX138">
        <f t="shared" si="81"/>
        <v>0</v>
      </c>
      <c r="CY138">
        <f t="shared" si="61"/>
        <v>0</v>
      </c>
      <c r="CZ138">
        <f t="shared" si="62"/>
        <v>0</v>
      </c>
      <c r="DA138">
        <f t="shared" si="63"/>
        <v>0</v>
      </c>
      <c r="DB138">
        <f t="shared" si="64"/>
        <v>0</v>
      </c>
      <c r="DC138">
        <f t="shared" si="65"/>
        <v>0</v>
      </c>
      <c r="DD138">
        <f t="shared" si="66"/>
        <v>1</v>
      </c>
      <c r="DE138">
        <f t="shared" si="67"/>
        <v>0</v>
      </c>
      <c r="DF138">
        <f t="shared" si="68"/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f t="shared" si="89"/>
        <v>1</v>
      </c>
      <c r="DN138">
        <f t="shared" si="90"/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</v>
      </c>
      <c r="DV138">
        <f t="shared" si="91"/>
        <v>0</v>
      </c>
      <c r="DW138">
        <v>0</v>
      </c>
      <c r="DX138">
        <f t="shared" si="92"/>
        <v>1</v>
      </c>
      <c r="DZ138">
        <f t="shared" si="82"/>
        <v>0</v>
      </c>
      <c r="EA138">
        <f t="shared" si="69"/>
        <v>0</v>
      </c>
      <c r="EB138">
        <f t="shared" si="70"/>
        <v>0</v>
      </c>
      <c r="EC138">
        <f t="shared" si="71"/>
        <v>0</v>
      </c>
      <c r="ED138">
        <f t="shared" si="72"/>
        <v>0</v>
      </c>
      <c r="EE138">
        <f t="shared" si="73"/>
        <v>1</v>
      </c>
      <c r="EF138">
        <f t="shared" si="74"/>
        <v>0</v>
      </c>
      <c r="EG138">
        <f t="shared" si="75"/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f t="shared" si="93"/>
        <v>1</v>
      </c>
      <c r="EO138">
        <f t="shared" si="94"/>
        <v>1</v>
      </c>
      <c r="EQ138">
        <f t="shared" si="83"/>
        <v>0</v>
      </c>
      <c r="ER138">
        <f t="shared" si="76"/>
        <v>0</v>
      </c>
      <c r="ES138">
        <f t="shared" si="77"/>
        <v>0</v>
      </c>
      <c r="ET138">
        <f t="shared" si="78"/>
        <v>0</v>
      </c>
      <c r="EU138">
        <f t="shared" si="79"/>
        <v>0</v>
      </c>
      <c r="EV138">
        <f t="shared" si="80"/>
        <v>1</v>
      </c>
      <c r="EW138">
        <f t="shared" si="100"/>
        <v>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</v>
      </c>
      <c r="FV138">
        <v>0</v>
      </c>
      <c r="FW138">
        <v>0</v>
      </c>
      <c r="FX138">
        <f t="shared" si="101"/>
        <v>1</v>
      </c>
      <c r="FZ138">
        <v>0</v>
      </c>
      <c r="GA138">
        <v>1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f t="shared" si="102"/>
        <v>1</v>
      </c>
    </row>
    <row r="139" spans="1:189" x14ac:dyDescent="0.35">
      <c r="A139" t="s">
        <v>399</v>
      </c>
      <c r="B139">
        <f>[1]Population!$BB170</f>
        <v>20470</v>
      </c>
      <c r="C139">
        <f>[1]RealGDP!$BB170</f>
        <v>180183623.83524305</v>
      </c>
      <c r="D139" s="8">
        <f>[1]GDPcap!$BB170</f>
        <v>8802.3265185756245</v>
      </c>
      <c r="E139" s="8">
        <v>17.020312419671875</v>
      </c>
      <c r="F139">
        <v>3.88003312116681</v>
      </c>
      <c r="G139">
        <f>RANK(D139,D$4:D139:D$201)</f>
        <v>63</v>
      </c>
      <c r="H139" t="s">
        <v>399</v>
      </c>
      <c r="I139" t="s">
        <v>439</v>
      </c>
      <c r="J139">
        <v>27.3</v>
      </c>
      <c r="K139">
        <v>27.2</v>
      </c>
      <c r="L139">
        <v>27.3</v>
      </c>
      <c r="M139">
        <v>27.9</v>
      </c>
      <c r="N139">
        <v>27.9</v>
      </c>
      <c r="O139">
        <v>27.6</v>
      </c>
      <c r="P139">
        <v>27.3</v>
      </c>
      <c r="Q139">
        <v>27.5</v>
      </c>
      <c r="R139">
        <v>27.7</v>
      </c>
      <c r="S139">
        <v>27.7</v>
      </c>
      <c r="T139">
        <v>27.9</v>
      </c>
      <c r="U139">
        <v>27.6</v>
      </c>
      <c r="V139">
        <v>27.7</v>
      </c>
      <c r="W139">
        <v>27.5</v>
      </c>
      <c r="X139">
        <v>27.8</v>
      </c>
      <c r="Y139">
        <v>26.4</v>
      </c>
      <c r="Z139">
        <v>27.6</v>
      </c>
      <c r="AB139">
        <f t="shared" si="96"/>
        <v>0</v>
      </c>
      <c r="AC139">
        <f t="shared" si="97"/>
        <v>0</v>
      </c>
      <c r="AD139">
        <f t="shared" si="98"/>
        <v>1</v>
      </c>
      <c r="AE139">
        <f t="shared" si="99"/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f t="shared" si="103"/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f t="shared" si="86"/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f t="shared" si="95"/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f t="shared" si="87"/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f t="shared" si="88"/>
        <v>1</v>
      </c>
      <c r="CX139">
        <f t="shared" si="81"/>
        <v>0</v>
      </c>
      <c r="CY139">
        <f t="shared" si="61"/>
        <v>0</v>
      </c>
      <c r="CZ139">
        <f t="shared" si="62"/>
        <v>0</v>
      </c>
      <c r="DA139">
        <f t="shared" si="63"/>
        <v>0</v>
      </c>
      <c r="DB139">
        <f t="shared" si="64"/>
        <v>0</v>
      </c>
      <c r="DC139">
        <f t="shared" si="65"/>
        <v>0</v>
      </c>
      <c r="DD139">
        <f t="shared" si="66"/>
        <v>1</v>
      </c>
      <c r="DE139">
        <f t="shared" si="67"/>
        <v>0</v>
      </c>
      <c r="DF139">
        <f t="shared" si="68"/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f t="shared" si="89"/>
        <v>1</v>
      </c>
      <c r="DN139">
        <f t="shared" si="90"/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f t="shared" si="91"/>
        <v>0</v>
      </c>
      <c r="DW139">
        <v>0</v>
      </c>
      <c r="DX139">
        <f t="shared" si="92"/>
        <v>1</v>
      </c>
      <c r="DZ139">
        <f t="shared" si="82"/>
        <v>0</v>
      </c>
      <c r="EA139">
        <f t="shared" si="69"/>
        <v>0</v>
      </c>
      <c r="EB139">
        <f t="shared" si="70"/>
        <v>0</v>
      </c>
      <c r="EC139">
        <f t="shared" si="71"/>
        <v>0</v>
      </c>
      <c r="ED139">
        <f t="shared" si="72"/>
        <v>0</v>
      </c>
      <c r="EE139">
        <f t="shared" si="73"/>
        <v>1</v>
      </c>
      <c r="EF139">
        <f t="shared" si="74"/>
        <v>0</v>
      </c>
      <c r="EG139">
        <f t="shared" si="75"/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f t="shared" si="93"/>
        <v>1</v>
      </c>
      <c r="EO139">
        <f t="shared" si="94"/>
        <v>1</v>
      </c>
      <c r="EQ139">
        <f t="shared" si="83"/>
        <v>0</v>
      </c>
      <c r="ER139">
        <f t="shared" si="76"/>
        <v>0</v>
      </c>
      <c r="ES139">
        <f t="shared" si="77"/>
        <v>0</v>
      </c>
      <c r="ET139">
        <f t="shared" si="78"/>
        <v>0</v>
      </c>
      <c r="EU139">
        <f t="shared" si="79"/>
        <v>0</v>
      </c>
      <c r="EV139">
        <f t="shared" si="80"/>
        <v>1</v>
      </c>
      <c r="EW139">
        <f t="shared" si="100"/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0</v>
      </c>
      <c r="FX139">
        <f t="shared" si="101"/>
        <v>1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1</v>
      </c>
      <c r="GF139">
        <v>0</v>
      </c>
      <c r="GG139">
        <f t="shared" si="102"/>
        <v>1</v>
      </c>
    </row>
    <row r="140" spans="1:189" x14ac:dyDescent="0.35">
      <c r="A140" t="s">
        <v>400</v>
      </c>
      <c r="B140">
        <f>[1]Population!$BB171</f>
        <v>3811102</v>
      </c>
      <c r="C140">
        <f>[1]RealGDP!$BB171</f>
        <v>4836140076.078743</v>
      </c>
      <c r="D140" s="8">
        <f>[1]GDPcap!$BB171</f>
        <v>1268.9610711229307</v>
      </c>
      <c r="E140" s="8">
        <v>5.4500013191470114</v>
      </c>
      <c r="F140">
        <v>5.5839158093143801</v>
      </c>
      <c r="G140">
        <f>RANK(D140,D$4:D140:D$201)</f>
        <v>141</v>
      </c>
      <c r="H140" t="s">
        <v>156</v>
      </c>
      <c r="J140">
        <v>11.3</v>
      </c>
      <c r="K140">
        <v>12.2</v>
      </c>
      <c r="L140">
        <v>14.3</v>
      </c>
      <c r="M140">
        <v>18</v>
      </c>
      <c r="N140">
        <v>21.2</v>
      </c>
      <c r="O140">
        <v>24.2</v>
      </c>
      <c r="P140">
        <v>26</v>
      </c>
      <c r="Q140">
        <v>26.3</v>
      </c>
      <c r="R140">
        <v>24.7</v>
      </c>
      <c r="S140">
        <v>21.8</v>
      </c>
      <c r="T140">
        <v>17.2</v>
      </c>
      <c r="U140">
        <v>12.9</v>
      </c>
      <c r="V140">
        <v>17.8</v>
      </c>
      <c r="W140">
        <v>25.5</v>
      </c>
      <c r="X140">
        <v>21.2</v>
      </c>
      <c r="Y140">
        <v>11.7</v>
      </c>
      <c r="Z140">
        <v>19.2</v>
      </c>
      <c r="AB140">
        <f t="shared" si="96"/>
        <v>0</v>
      </c>
      <c r="AC140">
        <f t="shared" si="97"/>
        <v>1</v>
      </c>
      <c r="AD140">
        <f t="shared" si="98"/>
        <v>0</v>
      </c>
      <c r="AE140">
        <f t="shared" si="99"/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f t="shared" si="103"/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f t="shared" si="86"/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f t="shared" si="95"/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f t="shared" si="87"/>
        <v>1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f t="shared" si="88"/>
        <v>1</v>
      </c>
      <c r="CX140">
        <f t="shared" si="81"/>
        <v>0</v>
      </c>
      <c r="CY140">
        <f t="shared" ref="CY140:CY201" si="104">CN140</f>
        <v>0</v>
      </c>
      <c r="CZ140">
        <f t="shared" ref="CZ140:CZ201" si="105">CO140</f>
        <v>0</v>
      </c>
      <c r="DA140">
        <f t="shared" ref="DA140:DA201" si="106">CP140</f>
        <v>0</v>
      </c>
      <c r="DB140">
        <f t="shared" ref="DB140:DB201" si="107">CQ140</f>
        <v>1</v>
      </c>
      <c r="DC140">
        <f t="shared" ref="DC140:DC201" si="108">CR140</f>
        <v>0</v>
      </c>
      <c r="DD140">
        <f t="shared" ref="DD140:DD201" si="109">CS140</f>
        <v>0</v>
      </c>
      <c r="DE140">
        <f t="shared" ref="DE140:DE201" si="110">CT140</f>
        <v>0</v>
      </c>
      <c r="DF140">
        <f t="shared" ref="DF140:DF201" si="111">CU140</f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f t="shared" si="89"/>
        <v>1</v>
      </c>
      <c r="DN140">
        <f t="shared" si="90"/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f t="shared" si="91"/>
        <v>1</v>
      </c>
      <c r="DW140">
        <v>0</v>
      </c>
      <c r="DX140">
        <f t="shared" si="92"/>
        <v>1</v>
      </c>
      <c r="DZ140">
        <f t="shared" si="82"/>
        <v>0</v>
      </c>
      <c r="EA140">
        <f t="shared" ref="EA140:EA201" si="112">DQ140</f>
        <v>0</v>
      </c>
      <c r="EB140">
        <f t="shared" ref="EB140:EB201" si="113">DR140</f>
        <v>0</v>
      </c>
      <c r="EC140">
        <f t="shared" ref="EC140:EC201" si="114">DS140</f>
        <v>0</v>
      </c>
      <c r="ED140">
        <f t="shared" ref="ED140:ED201" si="115">DT140</f>
        <v>0</v>
      </c>
      <c r="EE140">
        <f t="shared" ref="EE140:EE201" si="116">DU140</f>
        <v>0</v>
      </c>
      <c r="EF140">
        <f t="shared" ref="EF140:EF201" si="117">DV140</f>
        <v>1</v>
      </c>
      <c r="EG140">
        <f t="shared" ref="EG140:EG201" si="118">DW140</f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f t="shared" si="93"/>
        <v>1</v>
      </c>
      <c r="EO140">
        <f t="shared" si="94"/>
        <v>1</v>
      </c>
      <c r="EQ140">
        <f t="shared" si="83"/>
        <v>0</v>
      </c>
      <c r="ER140">
        <f t="shared" ref="ER140:ER201" si="119">EJ140</f>
        <v>0</v>
      </c>
      <c r="ES140">
        <f t="shared" ref="ES140:ES201" si="120">EK140</f>
        <v>0</v>
      </c>
      <c r="ET140">
        <f t="shared" ref="ET140:ET201" si="121">EL140</f>
        <v>0</v>
      </c>
      <c r="EU140">
        <f t="shared" ref="EU140:EU201" si="122">EM140</f>
        <v>0</v>
      </c>
      <c r="EV140">
        <f t="shared" ref="EV140:EV201" si="123">EN140</f>
        <v>1</v>
      </c>
      <c r="EW140">
        <f t="shared" si="100"/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f t="shared" si="101"/>
        <v>1</v>
      </c>
      <c r="FZ140">
        <v>0</v>
      </c>
      <c r="GA140">
        <v>1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f t="shared" si="102"/>
        <v>1</v>
      </c>
    </row>
    <row r="141" spans="1:189" x14ac:dyDescent="0.35">
      <c r="A141" t="s">
        <v>175</v>
      </c>
      <c r="B141">
        <f>[1]Population!$BB172</f>
        <v>3678128</v>
      </c>
      <c r="C141">
        <f>[1]RealGDP!$BB172</f>
        <v>22603329668.360188</v>
      </c>
      <c r="D141" s="8">
        <f>[1]GDPcap!$BB172</f>
        <v>6145.3352543359524</v>
      </c>
      <c r="E141" s="8"/>
      <c r="F141">
        <v>3.6130659267065037</v>
      </c>
      <c r="G141">
        <f>RANK(D141,D$4:D141:D$201)</f>
        <v>78</v>
      </c>
      <c r="H141" t="s">
        <v>175</v>
      </c>
      <c r="J141">
        <v>25</v>
      </c>
      <c r="K141">
        <v>25.4</v>
      </c>
      <c r="L141">
        <v>26.2</v>
      </c>
      <c r="M141">
        <v>26.4</v>
      </c>
      <c r="N141">
        <v>26.1</v>
      </c>
      <c r="O141">
        <v>25.4</v>
      </c>
      <c r="P141">
        <v>25.7</v>
      </c>
      <c r="Q141">
        <v>25.3</v>
      </c>
      <c r="R141">
        <v>25</v>
      </c>
      <c r="S141">
        <v>24.9</v>
      </c>
      <c r="T141">
        <v>24.6</v>
      </c>
      <c r="U141">
        <v>24.6</v>
      </c>
      <c r="V141">
        <v>26.3</v>
      </c>
      <c r="W141">
        <v>25.5</v>
      </c>
      <c r="X141">
        <v>24.8</v>
      </c>
      <c r="Y141">
        <v>24.1</v>
      </c>
      <c r="Z141">
        <v>25.4</v>
      </c>
      <c r="AB141">
        <f t="shared" si="96"/>
        <v>0</v>
      </c>
      <c r="AC141">
        <f t="shared" si="97"/>
        <v>0</v>
      </c>
      <c r="AD141">
        <f t="shared" si="98"/>
        <v>1</v>
      </c>
      <c r="AE141">
        <f t="shared" si="99"/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f t="shared" si="103"/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f t="shared" si="86"/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f t="shared" si="95"/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f t="shared" si="87"/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f t="shared" si="88"/>
        <v>1</v>
      </c>
      <c r="CX141">
        <f t="shared" ref="CX141:CX201" si="124">CM141</f>
        <v>0</v>
      </c>
      <c r="CY141">
        <f t="shared" si="104"/>
        <v>0</v>
      </c>
      <c r="CZ141">
        <f t="shared" si="105"/>
        <v>0</v>
      </c>
      <c r="DA141">
        <f t="shared" si="106"/>
        <v>0</v>
      </c>
      <c r="DB141">
        <f t="shared" si="107"/>
        <v>0</v>
      </c>
      <c r="DC141">
        <f t="shared" si="108"/>
        <v>1</v>
      </c>
      <c r="DD141">
        <f t="shared" si="109"/>
        <v>0</v>
      </c>
      <c r="DE141">
        <f t="shared" si="110"/>
        <v>0</v>
      </c>
      <c r="DF141">
        <f t="shared" si="111"/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f t="shared" si="89"/>
        <v>1</v>
      </c>
      <c r="DN141">
        <f t="shared" si="90"/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f t="shared" si="91"/>
        <v>0</v>
      </c>
      <c r="DW141">
        <v>1</v>
      </c>
      <c r="DX141">
        <f t="shared" si="92"/>
        <v>1</v>
      </c>
      <c r="DZ141">
        <f t="shared" ref="DZ141:DZ201" si="125">DP141</f>
        <v>0</v>
      </c>
      <c r="EA141">
        <f t="shared" si="112"/>
        <v>0</v>
      </c>
      <c r="EB141">
        <f t="shared" si="113"/>
        <v>0</v>
      </c>
      <c r="EC141">
        <f t="shared" si="114"/>
        <v>0</v>
      </c>
      <c r="ED141">
        <f t="shared" si="115"/>
        <v>0</v>
      </c>
      <c r="EE141">
        <f t="shared" si="116"/>
        <v>0</v>
      </c>
      <c r="EF141">
        <f t="shared" si="117"/>
        <v>0</v>
      </c>
      <c r="EG141">
        <f t="shared" si="118"/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f t="shared" si="93"/>
        <v>1</v>
      </c>
      <c r="EO141">
        <f t="shared" si="94"/>
        <v>1</v>
      </c>
      <c r="EQ141">
        <f t="shared" ref="EQ141:EQ201" si="126">EI141</f>
        <v>0</v>
      </c>
      <c r="ER141">
        <f t="shared" si="119"/>
        <v>0</v>
      </c>
      <c r="ES141">
        <f t="shared" si="120"/>
        <v>0</v>
      </c>
      <c r="ET141">
        <f t="shared" si="121"/>
        <v>0</v>
      </c>
      <c r="EU141">
        <f t="shared" si="122"/>
        <v>0</v>
      </c>
      <c r="EV141">
        <f t="shared" si="123"/>
        <v>1</v>
      </c>
      <c r="EW141">
        <f t="shared" si="100"/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f t="shared" si="101"/>
        <v>1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f t="shared" si="102"/>
        <v>1</v>
      </c>
    </row>
    <row r="142" spans="1:189" x14ac:dyDescent="0.35">
      <c r="A142" t="s">
        <v>401</v>
      </c>
      <c r="B142">
        <f>[1]Population!$BB173</f>
        <v>6858945</v>
      </c>
      <c r="C142">
        <f>[1]RealGDP!$BB173</f>
        <v>6553203635.5810919</v>
      </c>
      <c r="D142" s="8">
        <f>[1]GDPcap!$BB173</f>
        <v>955.42443270518891</v>
      </c>
      <c r="E142" s="8"/>
      <c r="F142">
        <v>19.609310487200659</v>
      </c>
      <c r="G142">
        <f>RANK(D142,D$4:D142:D$201)</f>
        <v>153</v>
      </c>
      <c r="H142" t="s">
        <v>465</v>
      </c>
      <c r="I142" t="s">
        <v>491</v>
      </c>
      <c r="J142">
        <v>25.6</v>
      </c>
      <c r="K142">
        <v>25.5</v>
      </c>
      <c r="L142">
        <v>25.5</v>
      </c>
      <c r="M142">
        <v>25.4</v>
      </c>
      <c r="N142">
        <v>25.2</v>
      </c>
      <c r="O142">
        <v>24.7</v>
      </c>
      <c r="P142">
        <v>24.4</v>
      </c>
      <c r="Q142">
        <v>24.5</v>
      </c>
      <c r="R142">
        <v>24.9</v>
      </c>
      <c r="S142">
        <v>25.5</v>
      </c>
      <c r="T142">
        <v>25.7</v>
      </c>
      <c r="U142">
        <v>25.7</v>
      </c>
      <c r="V142">
        <v>25.4</v>
      </c>
      <c r="W142">
        <v>24.5</v>
      </c>
      <c r="X142">
        <v>25.4</v>
      </c>
      <c r="Y142">
        <v>24.8</v>
      </c>
      <c r="Z142">
        <v>25.2</v>
      </c>
      <c r="AB142">
        <f t="shared" si="96"/>
        <v>1</v>
      </c>
      <c r="AC142">
        <f t="shared" si="97"/>
        <v>0</v>
      </c>
      <c r="AD142">
        <f t="shared" si="98"/>
        <v>0</v>
      </c>
      <c r="AE142">
        <f t="shared" si="99"/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f t="shared" si="103"/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f t="shared" si="86"/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f t="shared" si="95"/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f t="shared" si="87"/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f t="shared" si="88"/>
        <v>1</v>
      </c>
      <c r="CX142">
        <f t="shared" si="124"/>
        <v>0</v>
      </c>
      <c r="CY142">
        <f t="shared" si="104"/>
        <v>0</v>
      </c>
      <c r="CZ142">
        <f t="shared" si="105"/>
        <v>0</v>
      </c>
      <c r="DA142">
        <f t="shared" si="106"/>
        <v>0</v>
      </c>
      <c r="DB142">
        <f t="shared" si="107"/>
        <v>0</v>
      </c>
      <c r="DC142">
        <f t="shared" si="108"/>
        <v>0</v>
      </c>
      <c r="DD142">
        <f t="shared" si="109"/>
        <v>1</v>
      </c>
      <c r="DE142">
        <f t="shared" si="110"/>
        <v>0</v>
      </c>
      <c r="DF142">
        <f t="shared" si="111"/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f t="shared" si="89"/>
        <v>1</v>
      </c>
      <c r="DN142">
        <f t="shared" si="90"/>
        <v>1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</v>
      </c>
      <c r="DV142">
        <f t="shared" si="91"/>
        <v>0</v>
      </c>
      <c r="DW142">
        <v>0</v>
      </c>
      <c r="DX142">
        <f t="shared" si="92"/>
        <v>1</v>
      </c>
      <c r="DZ142">
        <f t="shared" si="125"/>
        <v>0</v>
      </c>
      <c r="EA142">
        <f t="shared" si="112"/>
        <v>0</v>
      </c>
      <c r="EB142">
        <f t="shared" si="113"/>
        <v>0</v>
      </c>
      <c r="EC142">
        <f t="shared" si="114"/>
        <v>0</v>
      </c>
      <c r="ED142">
        <f t="shared" si="115"/>
        <v>0</v>
      </c>
      <c r="EE142">
        <f t="shared" si="116"/>
        <v>1</v>
      </c>
      <c r="EF142">
        <f t="shared" si="117"/>
        <v>0</v>
      </c>
      <c r="EG142">
        <f t="shared" si="118"/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f t="shared" si="93"/>
        <v>1</v>
      </c>
      <c r="EO142">
        <f t="shared" si="94"/>
        <v>1</v>
      </c>
      <c r="EQ142">
        <f t="shared" si="126"/>
        <v>0</v>
      </c>
      <c r="ER142">
        <f t="shared" si="119"/>
        <v>0</v>
      </c>
      <c r="ES142">
        <f t="shared" si="120"/>
        <v>0</v>
      </c>
      <c r="ET142">
        <f t="shared" si="121"/>
        <v>0</v>
      </c>
      <c r="EU142">
        <f t="shared" si="122"/>
        <v>0</v>
      </c>
      <c r="EV142">
        <f t="shared" si="123"/>
        <v>1</v>
      </c>
      <c r="EW142">
        <f t="shared" si="100"/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1</v>
      </c>
      <c r="FV142">
        <v>0</v>
      </c>
      <c r="FW142">
        <v>0</v>
      </c>
      <c r="FX142">
        <f t="shared" si="101"/>
        <v>1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1</v>
      </c>
      <c r="GF142">
        <v>0</v>
      </c>
      <c r="GG142">
        <f t="shared" si="102"/>
        <v>1</v>
      </c>
    </row>
    <row r="143" spans="1:189" x14ac:dyDescent="0.35">
      <c r="A143" t="s">
        <v>176</v>
      </c>
      <c r="B143">
        <f>[1]Population!$BB174</f>
        <v>6459721</v>
      </c>
      <c r="C143">
        <f>[1]RealGDP!$BB174</f>
        <v>11148152913.231319</v>
      </c>
      <c r="D143" s="8">
        <f>[1]GDPcap!$BB174</f>
        <v>1725.7948003065951</v>
      </c>
      <c r="E143" s="8">
        <v>12.063196025418852</v>
      </c>
      <c r="F143">
        <v>20.37131170408405</v>
      </c>
      <c r="G143">
        <f>RANK(D143,D$4:D143:D$201)</f>
        <v>133</v>
      </c>
      <c r="H143" t="s">
        <v>176</v>
      </c>
      <c r="J143">
        <v>27.6</v>
      </c>
      <c r="K143">
        <v>27</v>
      </c>
      <c r="L143">
        <v>25.9</v>
      </c>
      <c r="M143">
        <v>23.2</v>
      </c>
      <c r="N143">
        <v>20.5</v>
      </c>
      <c r="O143">
        <v>18.5</v>
      </c>
      <c r="P143">
        <v>18.7</v>
      </c>
      <c r="Q143">
        <v>20.5</v>
      </c>
      <c r="R143">
        <v>22.4</v>
      </c>
      <c r="S143">
        <v>24.7</v>
      </c>
      <c r="T143">
        <v>26.1</v>
      </c>
      <c r="U143">
        <v>27.2</v>
      </c>
      <c r="V143">
        <v>23.2</v>
      </c>
      <c r="W143">
        <v>19.2</v>
      </c>
      <c r="X143">
        <v>24.4</v>
      </c>
      <c r="Y143">
        <v>26.4</v>
      </c>
      <c r="Z143">
        <v>23.5</v>
      </c>
      <c r="AB143">
        <f t="shared" si="96"/>
        <v>0</v>
      </c>
      <c r="AC143">
        <f t="shared" si="97"/>
        <v>1</v>
      </c>
      <c r="AD143">
        <f t="shared" si="98"/>
        <v>0</v>
      </c>
      <c r="AE143">
        <f t="shared" si="99"/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f t="shared" si="103"/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f t="shared" si="86"/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f t="shared" si="95"/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f t="shared" si="87"/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f t="shared" si="88"/>
        <v>1</v>
      </c>
      <c r="CX143">
        <f t="shared" si="124"/>
        <v>0</v>
      </c>
      <c r="CY143">
        <f t="shared" si="104"/>
        <v>0</v>
      </c>
      <c r="CZ143">
        <f t="shared" si="105"/>
        <v>0</v>
      </c>
      <c r="DA143">
        <f t="shared" si="106"/>
        <v>0</v>
      </c>
      <c r="DB143">
        <f t="shared" si="107"/>
        <v>0</v>
      </c>
      <c r="DC143">
        <f t="shared" si="108"/>
        <v>1</v>
      </c>
      <c r="DD143">
        <f t="shared" si="109"/>
        <v>0</v>
      </c>
      <c r="DE143">
        <f t="shared" si="110"/>
        <v>0</v>
      </c>
      <c r="DF143">
        <f t="shared" si="111"/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f t="shared" si="89"/>
        <v>1</v>
      </c>
      <c r="DN143">
        <f t="shared" si="90"/>
        <v>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f t="shared" si="91"/>
        <v>0</v>
      </c>
      <c r="DW143">
        <v>1</v>
      </c>
      <c r="DX143">
        <f t="shared" si="92"/>
        <v>1</v>
      </c>
      <c r="DZ143">
        <f t="shared" si="125"/>
        <v>0</v>
      </c>
      <c r="EA143">
        <f t="shared" si="112"/>
        <v>0</v>
      </c>
      <c r="EB143">
        <f t="shared" si="113"/>
        <v>0</v>
      </c>
      <c r="EC143">
        <f t="shared" si="114"/>
        <v>0</v>
      </c>
      <c r="ED143">
        <f t="shared" si="115"/>
        <v>0</v>
      </c>
      <c r="EE143">
        <f t="shared" si="116"/>
        <v>0</v>
      </c>
      <c r="EF143">
        <f t="shared" si="117"/>
        <v>0</v>
      </c>
      <c r="EG143">
        <f t="shared" si="118"/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f t="shared" si="93"/>
        <v>1</v>
      </c>
      <c r="EO143">
        <f t="shared" si="94"/>
        <v>1</v>
      </c>
      <c r="EQ143">
        <f t="shared" si="126"/>
        <v>0</v>
      </c>
      <c r="ER143">
        <f t="shared" si="119"/>
        <v>0</v>
      </c>
      <c r="ES143">
        <f t="shared" si="120"/>
        <v>0</v>
      </c>
      <c r="ET143">
        <f t="shared" si="121"/>
        <v>0</v>
      </c>
      <c r="EU143">
        <f t="shared" si="122"/>
        <v>0</v>
      </c>
      <c r="EV143">
        <f t="shared" si="123"/>
        <v>1</v>
      </c>
      <c r="EW143">
        <f t="shared" si="100"/>
        <v>1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f t="shared" si="101"/>
        <v>1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f t="shared" si="102"/>
        <v>1</v>
      </c>
    </row>
    <row r="144" spans="1:189" x14ac:dyDescent="0.35">
      <c r="A144" t="s">
        <v>177</v>
      </c>
      <c r="B144">
        <f>[1]Population!$BB175</f>
        <v>29262830</v>
      </c>
      <c r="C144">
        <f>[1]RealGDP!$BB175</f>
        <v>103487662932.25778</v>
      </c>
      <c r="D144" s="8">
        <f>[1]GDPcap!$BB175</f>
        <v>3536.4885396339923</v>
      </c>
      <c r="E144" s="8">
        <v>15.466571757043122</v>
      </c>
      <c r="F144">
        <v>6.8279972359783487</v>
      </c>
      <c r="G144">
        <f>RANK(D144,D$4:D144:D$201)</f>
        <v>101</v>
      </c>
      <c r="H144" t="s">
        <v>177</v>
      </c>
      <c r="J144">
        <v>20.3</v>
      </c>
      <c r="K144">
        <v>20.399999999999999</v>
      </c>
      <c r="L144">
        <v>20.2</v>
      </c>
      <c r="M144">
        <v>19.899999999999999</v>
      </c>
      <c r="N144">
        <v>19.399999999999999</v>
      </c>
      <c r="O144">
        <v>18.5</v>
      </c>
      <c r="P144">
        <v>18.100000000000001</v>
      </c>
      <c r="Q144">
        <v>18.7</v>
      </c>
      <c r="R144">
        <v>19.3</v>
      </c>
      <c r="S144">
        <v>19.8</v>
      </c>
      <c r="T144">
        <v>20.100000000000001</v>
      </c>
      <c r="U144">
        <v>20.2</v>
      </c>
      <c r="V144">
        <v>19.8</v>
      </c>
      <c r="W144">
        <v>18.399999999999999</v>
      </c>
      <c r="X144">
        <v>19.7</v>
      </c>
      <c r="Y144">
        <v>19.600000000000001</v>
      </c>
      <c r="Z144">
        <v>19.600000000000001</v>
      </c>
      <c r="AB144">
        <f t="shared" si="96"/>
        <v>0</v>
      </c>
      <c r="AC144">
        <f t="shared" si="97"/>
        <v>1</v>
      </c>
      <c r="AD144">
        <f t="shared" si="98"/>
        <v>0</v>
      </c>
      <c r="AE144">
        <f t="shared" si="99"/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f t="shared" si="103"/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f t="shared" si="86"/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f t="shared" si="95"/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f t="shared" si="87"/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f t="shared" si="88"/>
        <v>1</v>
      </c>
      <c r="CX144">
        <f t="shared" si="124"/>
        <v>0</v>
      </c>
      <c r="CY144">
        <f t="shared" si="104"/>
        <v>0</v>
      </c>
      <c r="CZ144">
        <f t="shared" si="105"/>
        <v>0</v>
      </c>
      <c r="DA144">
        <f t="shared" si="106"/>
        <v>0</v>
      </c>
      <c r="DB144">
        <f t="shared" si="107"/>
        <v>0</v>
      </c>
      <c r="DC144">
        <f t="shared" si="108"/>
        <v>1</v>
      </c>
      <c r="DD144">
        <f t="shared" si="109"/>
        <v>0</v>
      </c>
      <c r="DE144">
        <f t="shared" si="110"/>
        <v>0</v>
      </c>
      <c r="DF144">
        <f t="shared" si="111"/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f t="shared" si="89"/>
        <v>1</v>
      </c>
      <c r="DN144">
        <f t="shared" si="90"/>
        <v>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f t="shared" si="91"/>
        <v>0</v>
      </c>
      <c r="DW144">
        <v>1</v>
      </c>
      <c r="DX144">
        <f t="shared" si="92"/>
        <v>1</v>
      </c>
      <c r="DZ144">
        <f t="shared" si="125"/>
        <v>0</v>
      </c>
      <c r="EA144">
        <f t="shared" si="112"/>
        <v>0</v>
      </c>
      <c r="EB144">
        <f t="shared" si="113"/>
        <v>0</v>
      </c>
      <c r="EC144">
        <f t="shared" si="114"/>
        <v>0</v>
      </c>
      <c r="ED144">
        <f t="shared" si="115"/>
        <v>0</v>
      </c>
      <c r="EE144">
        <f t="shared" si="116"/>
        <v>0</v>
      </c>
      <c r="EF144">
        <f t="shared" si="117"/>
        <v>0</v>
      </c>
      <c r="EG144">
        <f t="shared" si="118"/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f t="shared" si="93"/>
        <v>1</v>
      </c>
      <c r="EO144">
        <f t="shared" si="94"/>
        <v>1</v>
      </c>
      <c r="EQ144">
        <f t="shared" si="126"/>
        <v>0</v>
      </c>
      <c r="ER144">
        <f t="shared" si="119"/>
        <v>0</v>
      </c>
      <c r="ES144">
        <f t="shared" si="120"/>
        <v>0</v>
      </c>
      <c r="ET144">
        <f t="shared" si="121"/>
        <v>0</v>
      </c>
      <c r="EU144">
        <f t="shared" si="122"/>
        <v>0</v>
      </c>
      <c r="EV144">
        <f t="shared" si="123"/>
        <v>1</v>
      </c>
      <c r="EW144">
        <f t="shared" si="100"/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f t="shared" si="101"/>
        <v>1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</v>
      </c>
      <c r="GG144">
        <f t="shared" si="102"/>
        <v>1</v>
      </c>
    </row>
    <row r="145" spans="1:189" x14ac:dyDescent="0.35">
      <c r="A145" t="s">
        <v>178</v>
      </c>
      <c r="B145">
        <f>[1]Population!$BB176</f>
        <v>93444322</v>
      </c>
      <c r="C145">
        <f>[1]RealGDP!$BB176</f>
        <v>131131009140.35426</v>
      </c>
      <c r="D145" s="8">
        <f>[1]GDPcap!$BB176</f>
        <v>1403.3063361554944</v>
      </c>
      <c r="E145" s="8">
        <v>12.146992063352981</v>
      </c>
      <c r="F145">
        <v>12.314327803253532</v>
      </c>
      <c r="G145">
        <f>RANK(D145,D$4:D145:D$201)</f>
        <v>139</v>
      </c>
      <c r="H145" t="s">
        <v>178</v>
      </c>
      <c r="J145">
        <v>24.5</v>
      </c>
      <c r="K145">
        <v>24.7</v>
      </c>
      <c r="L145">
        <v>25.5</v>
      </c>
      <c r="M145">
        <v>26.6</v>
      </c>
      <c r="N145">
        <v>27</v>
      </c>
      <c r="O145">
        <v>26.5</v>
      </c>
      <c r="P145">
        <v>26.1</v>
      </c>
      <c r="Q145">
        <v>26.1</v>
      </c>
      <c r="R145">
        <v>26.1</v>
      </c>
      <c r="S145">
        <v>25.8</v>
      </c>
      <c r="T145">
        <v>25.5</v>
      </c>
      <c r="U145">
        <v>25</v>
      </c>
      <c r="V145">
        <v>26.4</v>
      </c>
      <c r="W145">
        <v>26.2</v>
      </c>
      <c r="X145">
        <v>25.8</v>
      </c>
      <c r="Y145">
        <v>23.9</v>
      </c>
      <c r="Z145">
        <v>25.8</v>
      </c>
      <c r="AB145">
        <f t="shared" si="96"/>
        <v>0</v>
      </c>
      <c r="AC145">
        <f t="shared" si="97"/>
        <v>1</v>
      </c>
      <c r="AD145">
        <f t="shared" si="98"/>
        <v>0</v>
      </c>
      <c r="AE145">
        <f t="shared" si="99"/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f t="shared" si="103"/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f t="shared" si="86"/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f t="shared" si="95"/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f t="shared" si="87"/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f t="shared" si="88"/>
        <v>1</v>
      </c>
      <c r="CX145">
        <f t="shared" si="124"/>
        <v>0</v>
      </c>
      <c r="CY145">
        <f t="shared" si="104"/>
        <v>0</v>
      </c>
      <c r="CZ145">
        <f t="shared" si="105"/>
        <v>0</v>
      </c>
      <c r="DA145">
        <f t="shared" si="106"/>
        <v>0</v>
      </c>
      <c r="DB145">
        <f t="shared" si="107"/>
        <v>0</v>
      </c>
      <c r="DC145">
        <f t="shared" si="108"/>
        <v>0</v>
      </c>
      <c r="DD145">
        <f t="shared" si="109"/>
        <v>1</v>
      </c>
      <c r="DE145">
        <f t="shared" si="110"/>
        <v>0</v>
      </c>
      <c r="DF145">
        <f t="shared" si="111"/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f t="shared" si="89"/>
        <v>1</v>
      </c>
      <c r="DN145">
        <f t="shared" si="90"/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</v>
      </c>
      <c r="DV145">
        <f t="shared" si="91"/>
        <v>0</v>
      </c>
      <c r="DW145">
        <v>0</v>
      </c>
      <c r="DX145">
        <f t="shared" si="92"/>
        <v>1</v>
      </c>
      <c r="DZ145">
        <f t="shared" si="125"/>
        <v>0</v>
      </c>
      <c r="EA145">
        <f t="shared" si="112"/>
        <v>0</v>
      </c>
      <c r="EB145">
        <f t="shared" si="113"/>
        <v>0</v>
      </c>
      <c r="EC145">
        <f t="shared" si="114"/>
        <v>0</v>
      </c>
      <c r="ED145">
        <f t="shared" si="115"/>
        <v>0</v>
      </c>
      <c r="EE145">
        <f t="shared" si="116"/>
        <v>1</v>
      </c>
      <c r="EF145">
        <f t="shared" si="117"/>
        <v>0</v>
      </c>
      <c r="EG145">
        <f t="shared" si="118"/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f t="shared" si="93"/>
        <v>1</v>
      </c>
      <c r="EO145">
        <f t="shared" si="94"/>
        <v>1</v>
      </c>
      <c r="EQ145">
        <f t="shared" si="126"/>
        <v>0</v>
      </c>
      <c r="ER145">
        <f t="shared" si="119"/>
        <v>0</v>
      </c>
      <c r="ES145">
        <f t="shared" si="120"/>
        <v>0</v>
      </c>
      <c r="ET145">
        <f t="shared" si="121"/>
        <v>0</v>
      </c>
      <c r="EU145">
        <f t="shared" si="122"/>
        <v>0</v>
      </c>
      <c r="EV145">
        <f t="shared" si="123"/>
        <v>1</v>
      </c>
      <c r="EW145">
        <f t="shared" si="100"/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f t="shared" si="101"/>
        <v>1</v>
      </c>
      <c r="FZ145">
        <v>0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f t="shared" si="102"/>
        <v>1</v>
      </c>
    </row>
    <row r="146" spans="1:189" x14ac:dyDescent="0.35">
      <c r="A146" t="s">
        <v>179</v>
      </c>
      <c r="B146">
        <f>[1]Population!$BB178</f>
        <v>38183683</v>
      </c>
      <c r="C146">
        <f>[1]RealGDP!$BB178</f>
        <v>383205737633.98334</v>
      </c>
      <c r="D146" s="8">
        <f>[1]GDPcap!$BB178</f>
        <v>10035.850591834826</v>
      </c>
      <c r="E146" s="8">
        <v>16.549943333485551</v>
      </c>
      <c r="F146">
        <v>2.5659068233679148</v>
      </c>
      <c r="G146">
        <f>RANK(D146,D$4:D146:D$201)</f>
        <v>61</v>
      </c>
      <c r="H146" t="s">
        <v>179</v>
      </c>
      <c r="J146">
        <v>-2.9</v>
      </c>
      <c r="K146">
        <v>-1.5</v>
      </c>
      <c r="L146">
        <v>2.6</v>
      </c>
      <c r="M146">
        <v>7.4</v>
      </c>
      <c r="N146">
        <v>12.9</v>
      </c>
      <c r="O146">
        <v>15.9</v>
      </c>
      <c r="P146">
        <v>17.5</v>
      </c>
      <c r="Q146">
        <v>17.100000000000001</v>
      </c>
      <c r="R146">
        <v>13.4</v>
      </c>
      <c r="S146">
        <v>8.6999999999999993</v>
      </c>
      <c r="T146">
        <v>3.4</v>
      </c>
      <c r="U146">
        <v>-0.6</v>
      </c>
      <c r="V146">
        <v>7.6</v>
      </c>
      <c r="W146">
        <v>16.899999999999999</v>
      </c>
      <c r="X146">
        <v>8.5</v>
      </c>
      <c r="Y146">
        <v>-1.7</v>
      </c>
      <c r="Z146">
        <v>7.8</v>
      </c>
      <c r="AB146">
        <f t="shared" si="96"/>
        <v>0</v>
      </c>
      <c r="AC146">
        <f t="shared" si="97"/>
        <v>0</v>
      </c>
      <c r="AD146">
        <f t="shared" si="98"/>
        <v>1</v>
      </c>
      <c r="AE146">
        <f t="shared" si="99"/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f t="shared" si="103"/>
        <v>1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f t="shared" si="86"/>
        <v>1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f t="shared" si="95"/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f t="shared" si="87"/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f t="shared" si="88"/>
        <v>1</v>
      </c>
      <c r="CX146">
        <f t="shared" si="124"/>
        <v>0</v>
      </c>
      <c r="CY146">
        <f t="shared" si="104"/>
        <v>0</v>
      </c>
      <c r="CZ146">
        <f t="shared" si="105"/>
        <v>0</v>
      </c>
      <c r="DA146">
        <f t="shared" si="106"/>
        <v>1</v>
      </c>
      <c r="DB146">
        <f t="shared" si="107"/>
        <v>0</v>
      </c>
      <c r="DC146">
        <f t="shared" si="108"/>
        <v>0</v>
      </c>
      <c r="DD146">
        <f t="shared" si="109"/>
        <v>0</v>
      </c>
      <c r="DE146">
        <f t="shared" si="110"/>
        <v>0</v>
      </c>
      <c r="DF146">
        <f t="shared" si="111"/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f t="shared" si="89"/>
        <v>1</v>
      </c>
      <c r="DN146">
        <f t="shared" si="90"/>
        <v>1</v>
      </c>
      <c r="DP146">
        <v>0</v>
      </c>
      <c r="DQ146">
        <v>0</v>
      </c>
      <c r="DR146">
        <v>0</v>
      </c>
      <c r="DS146">
        <v>1</v>
      </c>
      <c r="DT146">
        <v>0</v>
      </c>
      <c r="DU146">
        <v>0</v>
      </c>
      <c r="DV146">
        <f t="shared" si="91"/>
        <v>0</v>
      </c>
      <c r="DW146">
        <v>0</v>
      </c>
      <c r="DX146">
        <f t="shared" si="92"/>
        <v>1</v>
      </c>
      <c r="DZ146">
        <f t="shared" si="125"/>
        <v>0</v>
      </c>
      <c r="EA146">
        <f t="shared" si="112"/>
        <v>0</v>
      </c>
      <c r="EB146">
        <f t="shared" si="113"/>
        <v>0</v>
      </c>
      <c r="EC146">
        <f t="shared" si="114"/>
        <v>1</v>
      </c>
      <c r="ED146">
        <f t="shared" si="115"/>
        <v>0</v>
      </c>
      <c r="EE146">
        <f t="shared" si="116"/>
        <v>0</v>
      </c>
      <c r="EF146">
        <f t="shared" si="117"/>
        <v>0</v>
      </c>
      <c r="EG146">
        <f t="shared" si="118"/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f t="shared" si="93"/>
        <v>1</v>
      </c>
      <c r="EO146">
        <f t="shared" si="94"/>
        <v>1</v>
      </c>
      <c r="EQ146">
        <f t="shared" si="126"/>
        <v>0</v>
      </c>
      <c r="ER146">
        <f t="shared" si="119"/>
        <v>0</v>
      </c>
      <c r="ES146">
        <f t="shared" si="120"/>
        <v>0</v>
      </c>
      <c r="ET146">
        <f t="shared" si="121"/>
        <v>0</v>
      </c>
      <c r="EU146">
        <f t="shared" si="122"/>
        <v>0</v>
      </c>
      <c r="EV146">
        <f t="shared" si="123"/>
        <v>1</v>
      </c>
      <c r="EW146">
        <f t="shared" si="100"/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f t="shared" si="101"/>
        <v>1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f t="shared" si="102"/>
        <v>1</v>
      </c>
    </row>
    <row r="147" spans="1:189" x14ac:dyDescent="0.35">
      <c r="A147" t="s">
        <v>180</v>
      </c>
      <c r="B147">
        <f>[1]Population!$BB179</f>
        <v>10637346</v>
      </c>
      <c r="C147">
        <f>[1]RealGDP!$BB179</f>
        <v>197164604092.98117</v>
      </c>
      <c r="D147" s="8">
        <f>[1]GDPcap!$BB179</f>
        <v>18535.131234142536</v>
      </c>
      <c r="E147" s="8">
        <v>19.698321587753341</v>
      </c>
      <c r="F147">
        <v>1.9248522307131626</v>
      </c>
      <c r="G147">
        <f>RANK(D147,D$4:D147:D$201)</f>
        <v>44</v>
      </c>
      <c r="H147" t="s">
        <v>180</v>
      </c>
      <c r="J147">
        <v>9.1</v>
      </c>
      <c r="K147">
        <v>9.9</v>
      </c>
      <c r="L147">
        <v>11.5</v>
      </c>
      <c r="M147">
        <v>13.1</v>
      </c>
      <c r="N147">
        <v>16</v>
      </c>
      <c r="O147">
        <v>19.3</v>
      </c>
      <c r="P147">
        <v>22</v>
      </c>
      <c r="Q147">
        <v>22.1</v>
      </c>
      <c r="R147">
        <v>20.399999999999999</v>
      </c>
      <c r="S147">
        <v>16.600000000000001</v>
      </c>
      <c r="T147">
        <v>12.2</v>
      </c>
      <c r="U147">
        <v>9.4</v>
      </c>
      <c r="V147">
        <v>13.5</v>
      </c>
      <c r="W147">
        <v>21.1</v>
      </c>
      <c r="X147">
        <v>16.399999999999999</v>
      </c>
      <c r="Y147">
        <v>9.1999999999999993</v>
      </c>
      <c r="Z147">
        <v>15.1</v>
      </c>
      <c r="AB147">
        <f t="shared" si="96"/>
        <v>0</v>
      </c>
      <c r="AC147">
        <f t="shared" si="97"/>
        <v>0</v>
      </c>
      <c r="AD147">
        <f t="shared" si="98"/>
        <v>0</v>
      </c>
      <c r="AE147">
        <f t="shared" si="99"/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f t="shared" si="103"/>
        <v>1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f t="shared" si="86"/>
        <v>1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f t="shared" si="95"/>
        <v>1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f t="shared" si="87"/>
        <v>1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f t="shared" si="88"/>
        <v>1</v>
      </c>
      <c r="CX147">
        <f t="shared" si="124"/>
        <v>0</v>
      </c>
      <c r="CY147">
        <f t="shared" si="104"/>
        <v>1</v>
      </c>
      <c r="CZ147">
        <f t="shared" si="105"/>
        <v>0</v>
      </c>
      <c r="DA147">
        <f t="shared" si="106"/>
        <v>0</v>
      </c>
      <c r="DB147">
        <f t="shared" si="107"/>
        <v>0</v>
      </c>
      <c r="DC147">
        <f t="shared" si="108"/>
        <v>0</v>
      </c>
      <c r="DD147">
        <f t="shared" si="109"/>
        <v>0</v>
      </c>
      <c r="DE147">
        <f t="shared" si="110"/>
        <v>0</v>
      </c>
      <c r="DF147">
        <f t="shared" si="111"/>
        <v>0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f t="shared" si="89"/>
        <v>0</v>
      </c>
      <c r="DN147">
        <f t="shared" si="90"/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f t="shared" si="91"/>
        <v>0</v>
      </c>
      <c r="DW147">
        <v>0</v>
      </c>
      <c r="DX147">
        <f t="shared" si="92"/>
        <v>1</v>
      </c>
      <c r="DZ147">
        <f t="shared" si="125"/>
        <v>1</v>
      </c>
      <c r="EA147">
        <f t="shared" si="112"/>
        <v>0</v>
      </c>
      <c r="EB147">
        <f t="shared" si="113"/>
        <v>0</v>
      </c>
      <c r="EC147">
        <f t="shared" si="114"/>
        <v>0</v>
      </c>
      <c r="ED147">
        <f t="shared" si="115"/>
        <v>0</v>
      </c>
      <c r="EE147">
        <f t="shared" si="116"/>
        <v>0</v>
      </c>
      <c r="EF147">
        <f t="shared" si="117"/>
        <v>0</v>
      </c>
      <c r="EG147">
        <f t="shared" si="118"/>
        <v>0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f t="shared" si="93"/>
        <v>0</v>
      </c>
      <c r="EO147">
        <f t="shared" si="94"/>
        <v>1</v>
      </c>
      <c r="EQ147">
        <f t="shared" si="126"/>
        <v>1</v>
      </c>
      <c r="ER147">
        <f t="shared" si="119"/>
        <v>0</v>
      </c>
      <c r="ES147">
        <f t="shared" si="120"/>
        <v>0</v>
      </c>
      <c r="ET147">
        <f t="shared" si="121"/>
        <v>0</v>
      </c>
      <c r="EU147">
        <f t="shared" si="122"/>
        <v>0</v>
      </c>
      <c r="EV147">
        <f t="shared" si="123"/>
        <v>0</v>
      </c>
      <c r="EW147">
        <f t="shared" si="100"/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f t="shared" si="101"/>
        <v>1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f t="shared" si="102"/>
        <v>1</v>
      </c>
    </row>
    <row r="148" spans="1:189" x14ac:dyDescent="0.35">
      <c r="A148" t="s">
        <v>232</v>
      </c>
      <c r="B148">
        <f>[1]Population!$BB180</f>
        <v>3721208</v>
      </c>
      <c r="C148">
        <f>[1]RealGDP!$BB180</f>
        <v>77337254437.921829</v>
      </c>
      <c r="D148" s="8">
        <f>[1]GDPcap!$BB180</f>
        <v>20782.83569150712</v>
      </c>
      <c r="E148" s="8"/>
      <c r="F148">
        <v>0.83552490907110488</v>
      </c>
      <c r="G148">
        <f>RANK(D148,D$4:D148:D$201)</f>
        <v>41</v>
      </c>
      <c r="H148" t="s">
        <v>466</v>
      </c>
      <c r="I148" t="s">
        <v>448</v>
      </c>
      <c r="J148">
        <v>23.3</v>
      </c>
      <c r="K148">
        <v>23.4</v>
      </c>
      <c r="L148">
        <v>23.8</v>
      </c>
      <c r="M148">
        <v>24.7</v>
      </c>
      <c r="N148">
        <v>25.6</v>
      </c>
      <c r="O148">
        <v>26.2</v>
      </c>
      <c r="P148">
        <v>26.4</v>
      </c>
      <c r="Q148">
        <v>26.6</v>
      </c>
      <c r="R148">
        <v>26.6</v>
      </c>
      <c r="S148">
        <v>26.1</v>
      </c>
      <c r="T148">
        <v>25.4</v>
      </c>
      <c r="U148">
        <v>24.2</v>
      </c>
      <c r="V148">
        <v>24.7</v>
      </c>
      <c r="W148">
        <v>26.4</v>
      </c>
      <c r="X148">
        <v>26</v>
      </c>
      <c r="Y148">
        <v>22.9</v>
      </c>
      <c r="Z148">
        <v>25.2</v>
      </c>
      <c r="AB148">
        <f t="shared" si="96"/>
        <v>0</v>
      </c>
      <c r="AC148">
        <f t="shared" si="97"/>
        <v>0</v>
      </c>
      <c r="AD148">
        <f t="shared" si="98"/>
        <v>0</v>
      </c>
      <c r="AE148">
        <f t="shared" si="99"/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f t="shared" si="103"/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f t="shared" si="86"/>
        <v>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f t="shared" si="95"/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f t="shared" si="87"/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f t="shared" si="88"/>
        <v>1</v>
      </c>
      <c r="CX148">
        <f t="shared" si="124"/>
        <v>0</v>
      </c>
      <c r="CY148">
        <f t="shared" si="104"/>
        <v>0</v>
      </c>
      <c r="CZ148">
        <f t="shared" si="105"/>
        <v>0</v>
      </c>
      <c r="DA148">
        <f t="shared" si="106"/>
        <v>0</v>
      </c>
      <c r="DB148">
        <f t="shared" si="107"/>
        <v>0</v>
      </c>
      <c r="DC148">
        <f t="shared" si="108"/>
        <v>1</v>
      </c>
      <c r="DD148">
        <f t="shared" si="109"/>
        <v>0</v>
      </c>
      <c r="DE148">
        <f t="shared" si="110"/>
        <v>0</v>
      </c>
      <c r="DF148">
        <f t="shared" si="111"/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f t="shared" si="89"/>
        <v>1</v>
      </c>
      <c r="DN148">
        <f t="shared" si="90"/>
        <v>1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f t="shared" si="91"/>
        <v>0</v>
      </c>
      <c r="DW148">
        <v>1</v>
      </c>
      <c r="DX148">
        <f t="shared" si="92"/>
        <v>1</v>
      </c>
      <c r="DZ148">
        <f t="shared" si="125"/>
        <v>0</v>
      </c>
      <c r="EA148">
        <f t="shared" si="112"/>
        <v>0</v>
      </c>
      <c r="EB148">
        <f t="shared" si="113"/>
        <v>0</v>
      </c>
      <c r="EC148">
        <f t="shared" si="114"/>
        <v>0</v>
      </c>
      <c r="ED148">
        <f t="shared" si="115"/>
        <v>0</v>
      </c>
      <c r="EE148">
        <f t="shared" si="116"/>
        <v>0</v>
      </c>
      <c r="EF148">
        <f t="shared" si="117"/>
        <v>0</v>
      </c>
      <c r="EG148">
        <f t="shared" si="118"/>
        <v>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f t="shared" si="93"/>
        <v>1</v>
      </c>
      <c r="EO148">
        <f t="shared" si="94"/>
        <v>1</v>
      </c>
      <c r="EQ148">
        <f t="shared" si="126"/>
        <v>0</v>
      </c>
      <c r="ER148">
        <f t="shared" si="119"/>
        <v>0</v>
      </c>
      <c r="ES148">
        <f t="shared" si="120"/>
        <v>0</v>
      </c>
      <c r="ET148">
        <f t="shared" si="121"/>
        <v>0</v>
      </c>
      <c r="EU148">
        <f t="shared" si="122"/>
        <v>0</v>
      </c>
      <c r="EV148">
        <f t="shared" si="123"/>
        <v>1</v>
      </c>
      <c r="EW148">
        <f t="shared" si="100"/>
        <v>1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f t="shared" si="101"/>
        <v>1</v>
      </c>
      <c r="FZ148">
        <v>0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f t="shared" si="102"/>
        <v>1</v>
      </c>
    </row>
    <row r="149" spans="1:189" x14ac:dyDescent="0.35">
      <c r="A149" t="s">
        <v>402</v>
      </c>
      <c r="B149">
        <f>[1]Population!$BB181</f>
        <v>1749713</v>
      </c>
      <c r="C149">
        <f>[1]RealGDP!$BB181</f>
        <v>101932972130.43025</v>
      </c>
      <c r="D149" s="8">
        <f>[1]GDPcap!$BB181</f>
        <v>58256.966788513462</v>
      </c>
      <c r="E149" s="8">
        <v>14.654950961848447</v>
      </c>
      <c r="F149">
        <v>0.1179066122065671</v>
      </c>
      <c r="G149">
        <f>RANK(D149,D$4:D149:D$201)</f>
        <v>6</v>
      </c>
      <c r="H149" t="s">
        <v>402</v>
      </c>
      <c r="J149">
        <v>17</v>
      </c>
      <c r="K149">
        <v>18.5</v>
      </c>
      <c r="L149">
        <v>22.1</v>
      </c>
      <c r="M149">
        <v>26.6</v>
      </c>
      <c r="N149">
        <v>31.9</v>
      </c>
      <c r="O149">
        <v>34.299999999999997</v>
      </c>
      <c r="P149">
        <v>35.700000000000003</v>
      </c>
      <c r="Q149">
        <v>35.200000000000003</v>
      </c>
      <c r="R149">
        <v>32.799999999999997</v>
      </c>
      <c r="S149">
        <v>29</v>
      </c>
      <c r="T149">
        <v>23.9</v>
      </c>
      <c r="U149">
        <v>18.899999999999999</v>
      </c>
      <c r="V149">
        <v>26.9</v>
      </c>
      <c r="W149">
        <v>35</v>
      </c>
      <c r="X149">
        <v>28.6</v>
      </c>
      <c r="Y149">
        <v>17.5</v>
      </c>
      <c r="Z149">
        <v>27.2</v>
      </c>
      <c r="AB149">
        <f t="shared" si="96"/>
        <v>0</v>
      </c>
      <c r="AC149">
        <f t="shared" si="97"/>
        <v>0</v>
      </c>
      <c r="AD149">
        <f t="shared" si="98"/>
        <v>0</v>
      </c>
      <c r="AE149">
        <f t="shared" si="99"/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f t="shared" si="103"/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f t="shared" si="86"/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f t="shared" si="95"/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f t="shared" si="87"/>
        <v>1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f t="shared" si="88"/>
        <v>1</v>
      </c>
      <c r="CX149">
        <f t="shared" si="124"/>
        <v>0</v>
      </c>
      <c r="CY149">
        <f t="shared" si="104"/>
        <v>0</v>
      </c>
      <c r="CZ149">
        <f t="shared" si="105"/>
        <v>0</v>
      </c>
      <c r="DA149">
        <f t="shared" si="106"/>
        <v>0</v>
      </c>
      <c r="DB149">
        <f t="shared" si="107"/>
        <v>1</v>
      </c>
      <c r="DC149">
        <f t="shared" si="108"/>
        <v>0</v>
      </c>
      <c r="DD149">
        <f t="shared" si="109"/>
        <v>0</v>
      </c>
      <c r="DE149">
        <f t="shared" si="110"/>
        <v>0</v>
      </c>
      <c r="DF149">
        <f t="shared" si="111"/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f t="shared" si="89"/>
        <v>1</v>
      </c>
      <c r="DN149">
        <f t="shared" si="90"/>
        <v>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f t="shared" si="91"/>
        <v>1</v>
      </c>
      <c r="DW149">
        <v>0</v>
      </c>
      <c r="DX149">
        <f t="shared" si="92"/>
        <v>1</v>
      </c>
      <c r="DZ149">
        <f t="shared" si="125"/>
        <v>0</v>
      </c>
      <c r="EA149">
        <f t="shared" si="112"/>
        <v>0</v>
      </c>
      <c r="EB149">
        <f t="shared" si="113"/>
        <v>0</v>
      </c>
      <c r="EC149">
        <f t="shared" si="114"/>
        <v>0</v>
      </c>
      <c r="ED149">
        <f t="shared" si="115"/>
        <v>0</v>
      </c>
      <c r="EE149">
        <f t="shared" si="116"/>
        <v>0</v>
      </c>
      <c r="EF149">
        <f t="shared" si="117"/>
        <v>1</v>
      </c>
      <c r="EG149">
        <f t="shared" si="118"/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f t="shared" si="93"/>
        <v>1</v>
      </c>
      <c r="EO149">
        <f t="shared" si="94"/>
        <v>1</v>
      </c>
      <c r="EQ149">
        <f t="shared" si="126"/>
        <v>0</v>
      </c>
      <c r="ER149">
        <f t="shared" si="119"/>
        <v>0</v>
      </c>
      <c r="ES149">
        <f t="shared" si="120"/>
        <v>0</v>
      </c>
      <c r="ET149">
        <f t="shared" si="121"/>
        <v>0</v>
      </c>
      <c r="EU149">
        <f t="shared" si="122"/>
        <v>0</v>
      </c>
      <c r="EV149">
        <f t="shared" si="123"/>
        <v>1</v>
      </c>
      <c r="EW149">
        <f t="shared" si="100"/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f t="shared" si="101"/>
        <v>1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f t="shared" si="102"/>
        <v>1</v>
      </c>
    </row>
    <row r="150" spans="1:189" x14ac:dyDescent="0.35">
      <c r="A150" t="s">
        <v>181</v>
      </c>
      <c r="B150">
        <f>[1]Population!$BB183</f>
        <v>21438001</v>
      </c>
      <c r="C150">
        <f>[1]RealGDP!$BB183</f>
        <v>114088972368.88327</v>
      </c>
      <c r="D150" s="8">
        <f>[1]GDPcap!$BB183</f>
        <v>5321.8101990424975</v>
      </c>
      <c r="E150" s="8">
        <v>16.571847737118915</v>
      </c>
      <c r="F150">
        <v>5.4528547166052856</v>
      </c>
      <c r="G150">
        <f>RANK(D150,D$4:D150:D$201)</f>
        <v>86</v>
      </c>
      <c r="H150" t="s">
        <v>181</v>
      </c>
      <c r="J150">
        <v>-3.7</v>
      </c>
      <c r="K150">
        <v>-1.5</v>
      </c>
      <c r="L150">
        <v>3.2</v>
      </c>
      <c r="M150">
        <v>9.1999999999999993</v>
      </c>
      <c r="N150">
        <v>14.4</v>
      </c>
      <c r="O150">
        <v>17.600000000000001</v>
      </c>
      <c r="P150">
        <v>19.2</v>
      </c>
      <c r="Q150">
        <v>18.8</v>
      </c>
      <c r="R150">
        <v>15.1</v>
      </c>
      <c r="S150">
        <v>9.6999999999999993</v>
      </c>
      <c r="T150">
        <v>4.0999999999999996</v>
      </c>
      <c r="U150">
        <v>-0.9</v>
      </c>
      <c r="V150">
        <v>9</v>
      </c>
      <c r="W150">
        <v>18.5</v>
      </c>
      <c r="X150">
        <v>9.6</v>
      </c>
      <c r="Y150">
        <v>-2</v>
      </c>
      <c r="Z150">
        <v>8.8000000000000007</v>
      </c>
      <c r="AB150">
        <f t="shared" si="96"/>
        <v>0</v>
      </c>
      <c r="AC150">
        <f t="shared" si="97"/>
        <v>0</v>
      </c>
      <c r="AD150">
        <f t="shared" si="98"/>
        <v>1</v>
      </c>
      <c r="AE150">
        <f t="shared" si="99"/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f t="shared" si="103"/>
        <v>1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f t="shared" si="86"/>
        <v>1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0</v>
      </c>
      <c r="BU150">
        <v>0</v>
      </c>
      <c r="BV150">
        <f t="shared" si="95"/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f t="shared" si="87"/>
        <v>1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f t="shared" si="88"/>
        <v>1</v>
      </c>
      <c r="CX150">
        <f t="shared" si="124"/>
        <v>0</v>
      </c>
      <c r="CY150">
        <f t="shared" si="104"/>
        <v>0</v>
      </c>
      <c r="CZ150">
        <f t="shared" si="105"/>
        <v>0</v>
      </c>
      <c r="DA150">
        <f t="shared" si="106"/>
        <v>1</v>
      </c>
      <c r="DB150">
        <f t="shared" si="107"/>
        <v>0</v>
      </c>
      <c r="DC150">
        <f t="shared" si="108"/>
        <v>0</v>
      </c>
      <c r="DD150">
        <f t="shared" si="109"/>
        <v>0</v>
      </c>
      <c r="DE150">
        <f t="shared" si="110"/>
        <v>0</v>
      </c>
      <c r="DF150">
        <f t="shared" si="111"/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f t="shared" si="89"/>
        <v>1</v>
      </c>
      <c r="DN150">
        <f t="shared" si="90"/>
        <v>1</v>
      </c>
      <c r="DP150">
        <v>0</v>
      </c>
      <c r="DQ150">
        <v>0</v>
      </c>
      <c r="DR150">
        <v>0</v>
      </c>
      <c r="DS150">
        <v>1</v>
      </c>
      <c r="DT150">
        <v>0</v>
      </c>
      <c r="DU150">
        <v>0</v>
      </c>
      <c r="DV150">
        <f t="shared" si="91"/>
        <v>0</v>
      </c>
      <c r="DW150">
        <v>0</v>
      </c>
      <c r="DX150">
        <f t="shared" si="92"/>
        <v>1</v>
      </c>
      <c r="DZ150">
        <f t="shared" si="125"/>
        <v>0</v>
      </c>
      <c r="EA150">
        <f t="shared" si="112"/>
        <v>0</v>
      </c>
      <c r="EB150">
        <f t="shared" si="113"/>
        <v>0</v>
      </c>
      <c r="EC150">
        <f t="shared" si="114"/>
        <v>1</v>
      </c>
      <c r="ED150">
        <f t="shared" si="115"/>
        <v>0</v>
      </c>
      <c r="EE150">
        <f t="shared" si="116"/>
        <v>0</v>
      </c>
      <c r="EF150">
        <f t="shared" si="117"/>
        <v>0</v>
      </c>
      <c r="EG150">
        <f t="shared" si="118"/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f t="shared" si="93"/>
        <v>1</v>
      </c>
      <c r="EO150">
        <f t="shared" si="94"/>
        <v>1</v>
      </c>
      <c r="EQ150">
        <f t="shared" si="126"/>
        <v>0</v>
      </c>
      <c r="ER150">
        <f t="shared" si="119"/>
        <v>0</v>
      </c>
      <c r="ES150">
        <f t="shared" si="120"/>
        <v>0</v>
      </c>
      <c r="ET150">
        <f t="shared" si="121"/>
        <v>0</v>
      </c>
      <c r="EU150">
        <f t="shared" si="122"/>
        <v>0</v>
      </c>
      <c r="EV150">
        <f t="shared" si="123"/>
        <v>1</v>
      </c>
      <c r="EW150">
        <f t="shared" si="100"/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f t="shared" si="101"/>
        <v>1</v>
      </c>
      <c r="FZ150">
        <v>0</v>
      </c>
      <c r="GA150">
        <v>0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f t="shared" si="102"/>
        <v>1</v>
      </c>
    </row>
    <row r="151" spans="1:189" x14ac:dyDescent="0.35">
      <c r="A151" t="s">
        <v>233</v>
      </c>
      <c r="B151">
        <f>[1]Population!$BB184</f>
        <v>142389000</v>
      </c>
      <c r="C151">
        <f>[1]RealGDP!$BB184</f>
        <v>909241662711.50525</v>
      </c>
      <c r="D151" s="8">
        <f>[1]GDPcap!$BB184</f>
        <v>6385.6173068952321</v>
      </c>
      <c r="E151" s="8">
        <v>13.048360452184804</v>
      </c>
      <c r="F151">
        <v>3.3439012233175331</v>
      </c>
      <c r="G151">
        <f>RANK(D151,D$4:D151:D$201)</f>
        <v>72</v>
      </c>
      <c r="H151" t="s">
        <v>233</v>
      </c>
      <c r="J151">
        <v>-25.2</v>
      </c>
      <c r="K151">
        <v>-23.1</v>
      </c>
      <c r="L151">
        <v>-15.1</v>
      </c>
      <c r="M151">
        <v>-5.2</v>
      </c>
      <c r="N151">
        <v>4</v>
      </c>
      <c r="O151">
        <v>11.6</v>
      </c>
      <c r="P151">
        <v>15.1</v>
      </c>
      <c r="Q151">
        <v>12.6</v>
      </c>
      <c r="R151">
        <v>6.3</v>
      </c>
      <c r="S151">
        <v>-4</v>
      </c>
      <c r="T151">
        <v>-15.8</v>
      </c>
      <c r="U151">
        <v>-22.4</v>
      </c>
      <c r="V151">
        <v>-5.4</v>
      </c>
      <c r="W151">
        <v>13.1</v>
      </c>
      <c r="X151">
        <v>-4.5</v>
      </c>
      <c r="Y151">
        <v>-22.8</v>
      </c>
      <c r="Z151">
        <v>-5.0999999999999996</v>
      </c>
      <c r="AB151">
        <f t="shared" si="96"/>
        <v>0</v>
      </c>
      <c r="AC151">
        <f t="shared" si="97"/>
        <v>0</v>
      </c>
      <c r="AD151">
        <f t="shared" si="98"/>
        <v>1</v>
      </c>
      <c r="AE151">
        <f t="shared" si="99"/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f t="shared" si="103"/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f t="shared" si="86"/>
        <v>1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f t="shared" si="95"/>
        <v>1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f t="shared" si="87"/>
        <v>1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f t="shared" si="88"/>
        <v>1</v>
      </c>
      <c r="CX151">
        <f t="shared" si="124"/>
        <v>0</v>
      </c>
      <c r="CY151">
        <f t="shared" si="104"/>
        <v>0</v>
      </c>
      <c r="CZ151">
        <f t="shared" si="105"/>
        <v>0</v>
      </c>
      <c r="DA151">
        <f t="shared" si="106"/>
        <v>1</v>
      </c>
      <c r="DB151">
        <f t="shared" si="107"/>
        <v>0</v>
      </c>
      <c r="DC151">
        <f t="shared" si="108"/>
        <v>0</v>
      </c>
      <c r="DD151">
        <f t="shared" si="109"/>
        <v>0</v>
      </c>
      <c r="DE151">
        <f t="shared" si="110"/>
        <v>0</v>
      </c>
      <c r="DF151">
        <f t="shared" si="111"/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f t="shared" si="89"/>
        <v>0</v>
      </c>
      <c r="DN151">
        <f t="shared" si="90"/>
        <v>1</v>
      </c>
      <c r="DP151">
        <v>0</v>
      </c>
      <c r="DQ151">
        <v>0</v>
      </c>
      <c r="DR151">
        <v>0</v>
      </c>
      <c r="DS151">
        <v>1</v>
      </c>
      <c r="DT151">
        <v>0</v>
      </c>
      <c r="DU151">
        <v>0</v>
      </c>
      <c r="DV151">
        <f t="shared" si="91"/>
        <v>0</v>
      </c>
      <c r="DW151">
        <v>0</v>
      </c>
      <c r="DX151">
        <f t="shared" si="92"/>
        <v>1</v>
      </c>
      <c r="DZ151">
        <f t="shared" si="125"/>
        <v>0</v>
      </c>
      <c r="EA151">
        <f t="shared" si="112"/>
        <v>0</v>
      </c>
      <c r="EB151">
        <f t="shared" si="113"/>
        <v>0</v>
      </c>
      <c r="EC151">
        <f t="shared" si="114"/>
        <v>1</v>
      </c>
      <c r="ED151">
        <f t="shared" si="115"/>
        <v>0</v>
      </c>
      <c r="EE151">
        <f t="shared" si="116"/>
        <v>0</v>
      </c>
      <c r="EF151">
        <f t="shared" si="117"/>
        <v>0</v>
      </c>
      <c r="EG151">
        <f t="shared" si="118"/>
        <v>0</v>
      </c>
      <c r="EI151">
        <v>0</v>
      </c>
      <c r="EJ151">
        <v>0</v>
      </c>
      <c r="EK151">
        <v>0</v>
      </c>
      <c r="EL151">
        <v>1</v>
      </c>
      <c r="EM151">
        <v>0</v>
      </c>
      <c r="EN151">
        <f t="shared" si="93"/>
        <v>0</v>
      </c>
      <c r="EO151">
        <f t="shared" si="94"/>
        <v>1</v>
      </c>
      <c r="EQ151">
        <f t="shared" si="126"/>
        <v>0</v>
      </c>
      <c r="ER151">
        <f t="shared" si="119"/>
        <v>0</v>
      </c>
      <c r="ES151">
        <f t="shared" si="120"/>
        <v>0</v>
      </c>
      <c r="ET151">
        <f t="shared" si="121"/>
        <v>1</v>
      </c>
      <c r="EU151">
        <f t="shared" si="122"/>
        <v>0</v>
      </c>
      <c r="EV151">
        <f t="shared" si="123"/>
        <v>0</v>
      </c>
      <c r="EW151">
        <f t="shared" si="100"/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f t="shared" si="101"/>
        <v>1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f t="shared" si="102"/>
        <v>1</v>
      </c>
    </row>
    <row r="152" spans="1:189" x14ac:dyDescent="0.35">
      <c r="A152" t="s">
        <v>182</v>
      </c>
      <c r="B152">
        <f>[1]Population!$BB185</f>
        <v>10836732</v>
      </c>
      <c r="C152">
        <f>[1]RealGDP!$BB185</f>
        <v>3785756661.0048919</v>
      </c>
      <c r="D152" s="8">
        <f>[1]GDPcap!$BB185</f>
        <v>349.34486347036096</v>
      </c>
      <c r="E152" s="8"/>
      <c r="F152">
        <v>29.122426379726623</v>
      </c>
      <c r="G152">
        <f>RANK(D152,D$4:D152:D$201)</f>
        <v>189</v>
      </c>
      <c r="H152" t="s">
        <v>182</v>
      </c>
      <c r="J152">
        <v>18</v>
      </c>
      <c r="K152">
        <v>18.100000000000001</v>
      </c>
      <c r="L152">
        <v>18.2</v>
      </c>
      <c r="M152">
        <v>17.899999999999999</v>
      </c>
      <c r="N152">
        <v>17.8</v>
      </c>
      <c r="O152">
        <v>17.5</v>
      </c>
      <c r="P152">
        <v>17.399999999999999</v>
      </c>
      <c r="Q152">
        <v>18</v>
      </c>
      <c r="R152">
        <v>18.100000000000001</v>
      </c>
      <c r="S152">
        <v>18</v>
      </c>
      <c r="T152">
        <v>17.600000000000001</v>
      </c>
      <c r="U152">
        <v>17.7</v>
      </c>
      <c r="V152">
        <v>18</v>
      </c>
      <c r="W152">
        <v>17.600000000000001</v>
      </c>
      <c r="X152">
        <v>17.899999999999999</v>
      </c>
      <c r="Y152">
        <v>17.3</v>
      </c>
      <c r="Z152">
        <v>17.899999999999999</v>
      </c>
      <c r="AB152">
        <f t="shared" si="96"/>
        <v>1</v>
      </c>
      <c r="AC152">
        <f t="shared" si="97"/>
        <v>0</v>
      </c>
      <c r="AD152">
        <f t="shared" si="98"/>
        <v>0</v>
      </c>
      <c r="AE152">
        <f t="shared" si="99"/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f t="shared" si="103"/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f t="shared" si="86"/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f t="shared" si="95"/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f t="shared" si="87"/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f t="shared" si="88"/>
        <v>1</v>
      </c>
      <c r="CX152">
        <f t="shared" si="124"/>
        <v>0</v>
      </c>
      <c r="CY152">
        <f t="shared" si="104"/>
        <v>0</v>
      </c>
      <c r="CZ152">
        <f t="shared" si="105"/>
        <v>0</v>
      </c>
      <c r="DA152">
        <f t="shared" si="106"/>
        <v>0</v>
      </c>
      <c r="DB152">
        <f t="shared" si="107"/>
        <v>0</v>
      </c>
      <c r="DC152">
        <f t="shared" si="108"/>
        <v>0</v>
      </c>
      <c r="DD152">
        <f t="shared" si="109"/>
        <v>0</v>
      </c>
      <c r="DE152">
        <f t="shared" si="110"/>
        <v>0</v>
      </c>
      <c r="DF152">
        <f t="shared" si="111"/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f t="shared" si="89"/>
        <v>1</v>
      </c>
      <c r="DN152">
        <f t="shared" si="90"/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f t="shared" si="91"/>
        <v>1</v>
      </c>
      <c r="DW152">
        <v>0</v>
      </c>
      <c r="DX152">
        <f t="shared" si="92"/>
        <v>1</v>
      </c>
      <c r="DZ152">
        <f t="shared" si="125"/>
        <v>0</v>
      </c>
      <c r="EA152">
        <f t="shared" si="112"/>
        <v>0</v>
      </c>
      <c r="EB152">
        <f t="shared" si="113"/>
        <v>0</v>
      </c>
      <c r="EC152">
        <f t="shared" si="114"/>
        <v>0</v>
      </c>
      <c r="ED152">
        <f t="shared" si="115"/>
        <v>0</v>
      </c>
      <c r="EE152">
        <f t="shared" si="116"/>
        <v>0</v>
      </c>
      <c r="EF152">
        <f t="shared" si="117"/>
        <v>1</v>
      </c>
      <c r="EG152">
        <f t="shared" si="118"/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f t="shared" si="93"/>
        <v>1</v>
      </c>
      <c r="EO152">
        <f t="shared" si="94"/>
        <v>1</v>
      </c>
      <c r="EQ152">
        <f t="shared" si="126"/>
        <v>0</v>
      </c>
      <c r="ER152">
        <f t="shared" si="119"/>
        <v>0</v>
      </c>
      <c r="ES152">
        <f t="shared" si="120"/>
        <v>0</v>
      </c>
      <c r="ET152">
        <f t="shared" si="121"/>
        <v>0</v>
      </c>
      <c r="EU152">
        <f t="shared" si="122"/>
        <v>0</v>
      </c>
      <c r="EV152">
        <f t="shared" si="123"/>
        <v>1</v>
      </c>
      <c r="EW152">
        <f t="shared" si="100"/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1</v>
      </c>
      <c r="FX152">
        <f t="shared" si="101"/>
        <v>1</v>
      </c>
      <c r="FZ152">
        <v>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f t="shared" si="102"/>
        <v>1</v>
      </c>
    </row>
    <row r="153" spans="1:189" x14ac:dyDescent="0.35">
      <c r="A153" t="s">
        <v>403</v>
      </c>
      <c r="B153">
        <f>[1]Population!$BB186</f>
        <v>178228</v>
      </c>
      <c r="C153">
        <f>[1]RealGDP!$BB186</f>
        <v>167926229.92155305</v>
      </c>
      <c r="D153" s="8">
        <f>[1]GDPcap!$BB186</f>
        <v>942.19892453235764</v>
      </c>
      <c r="E153" s="8">
        <v>17.711984069618275</v>
      </c>
      <c r="F153">
        <v>11.26200612630832</v>
      </c>
      <c r="G153">
        <f>RANK(D153,D$4:D153:D$201)</f>
        <v>154</v>
      </c>
      <c r="H153" t="s">
        <v>467</v>
      </c>
      <c r="I153" t="s">
        <v>468</v>
      </c>
      <c r="J153">
        <v>24.5</v>
      </c>
      <c r="K153">
        <v>25</v>
      </c>
      <c r="L153">
        <v>25.1</v>
      </c>
      <c r="M153">
        <v>24.8</v>
      </c>
      <c r="N153">
        <v>24.4</v>
      </c>
      <c r="O153">
        <v>23</v>
      </c>
      <c r="P153">
        <v>22.1</v>
      </c>
      <c r="Q153">
        <v>22.1</v>
      </c>
      <c r="R153">
        <v>22.8</v>
      </c>
      <c r="S153">
        <v>23.3</v>
      </c>
      <c r="T153">
        <v>23.8</v>
      </c>
      <c r="U153">
        <v>24.1</v>
      </c>
      <c r="V153">
        <v>24.8</v>
      </c>
      <c r="W153">
        <v>22.4</v>
      </c>
      <c r="X153">
        <v>23.3</v>
      </c>
      <c r="Y153">
        <v>23.7</v>
      </c>
      <c r="Z153">
        <v>23.7</v>
      </c>
      <c r="AB153">
        <f t="shared" si="96"/>
        <v>1</v>
      </c>
      <c r="AC153">
        <f t="shared" si="97"/>
        <v>0</v>
      </c>
      <c r="AD153">
        <f t="shared" si="98"/>
        <v>0</v>
      </c>
      <c r="AE153">
        <f t="shared" si="99"/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f t="shared" si="103"/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f t="shared" si="86"/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f t="shared" si="95"/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f t="shared" si="87"/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f t="shared" si="88"/>
        <v>1</v>
      </c>
      <c r="CX153">
        <f t="shared" si="124"/>
        <v>0</v>
      </c>
      <c r="CY153">
        <f t="shared" si="104"/>
        <v>0</v>
      </c>
      <c r="CZ153">
        <f t="shared" si="105"/>
        <v>0</v>
      </c>
      <c r="DA153">
        <f t="shared" si="106"/>
        <v>0</v>
      </c>
      <c r="DB153">
        <f t="shared" si="107"/>
        <v>0</v>
      </c>
      <c r="DC153">
        <f t="shared" si="108"/>
        <v>0</v>
      </c>
      <c r="DD153">
        <f t="shared" si="109"/>
        <v>0</v>
      </c>
      <c r="DE153">
        <f t="shared" si="110"/>
        <v>0</v>
      </c>
      <c r="DF153">
        <f t="shared" si="111"/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f t="shared" si="89"/>
        <v>1</v>
      </c>
      <c r="DN153">
        <f t="shared" si="90"/>
        <v>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f t="shared" si="91"/>
        <v>1</v>
      </c>
      <c r="DW153">
        <v>0</v>
      </c>
      <c r="DX153">
        <f t="shared" si="92"/>
        <v>1</v>
      </c>
      <c r="DZ153">
        <f t="shared" si="125"/>
        <v>0</v>
      </c>
      <c r="EA153">
        <f t="shared" si="112"/>
        <v>0</v>
      </c>
      <c r="EB153">
        <f t="shared" si="113"/>
        <v>0</v>
      </c>
      <c r="EC153">
        <f t="shared" si="114"/>
        <v>0</v>
      </c>
      <c r="ED153">
        <f t="shared" si="115"/>
        <v>0</v>
      </c>
      <c r="EE153">
        <f t="shared" si="116"/>
        <v>0</v>
      </c>
      <c r="EF153">
        <f t="shared" si="117"/>
        <v>1</v>
      </c>
      <c r="EG153">
        <f t="shared" si="118"/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f t="shared" si="93"/>
        <v>1</v>
      </c>
      <c r="EO153">
        <f t="shared" si="94"/>
        <v>1</v>
      </c>
      <c r="EQ153">
        <f t="shared" si="126"/>
        <v>0</v>
      </c>
      <c r="ER153">
        <f t="shared" si="119"/>
        <v>0</v>
      </c>
      <c r="ES153">
        <f t="shared" si="120"/>
        <v>0</v>
      </c>
      <c r="ET153">
        <f t="shared" si="121"/>
        <v>0</v>
      </c>
      <c r="EU153">
        <f t="shared" si="122"/>
        <v>0</v>
      </c>
      <c r="EV153">
        <f t="shared" si="123"/>
        <v>1</v>
      </c>
      <c r="EW153">
        <f t="shared" si="100"/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1</v>
      </c>
      <c r="FX153">
        <f t="shared" si="101"/>
        <v>1</v>
      </c>
      <c r="FZ153">
        <v>1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f t="shared" si="102"/>
        <v>1</v>
      </c>
    </row>
    <row r="154" spans="1:189" x14ac:dyDescent="0.35">
      <c r="A154" t="s">
        <v>404</v>
      </c>
      <c r="B154">
        <f>[1]Population!$BB188</f>
        <v>52352</v>
      </c>
      <c r="C154">
        <f>[1]RealGDP!$BB188</f>
        <v>554642952.86511683</v>
      </c>
      <c r="D154" s="8">
        <f>[1]GDPcap!$BB188</f>
        <v>10594.494056867299</v>
      </c>
      <c r="E154" s="8">
        <v>22.141554150513663</v>
      </c>
      <c r="F154">
        <v>1.4011199650756234</v>
      </c>
      <c r="G154">
        <f>RANK(D154,D$4:D154:D$201)</f>
        <v>58</v>
      </c>
      <c r="H154" t="s">
        <v>477</v>
      </c>
      <c r="I154" t="s">
        <v>478</v>
      </c>
      <c r="J154">
        <v>23</v>
      </c>
      <c r="K154">
        <v>23</v>
      </c>
      <c r="L154">
        <v>23.2</v>
      </c>
      <c r="M154">
        <v>23.9</v>
      </c>
      <c r="N154">
        <v>24.6</v>
      </c>
      <c r="O154">
        <v>25.3</v>
      </c>
      <c r="P154">
        <v>25.6</v>
      </c>
      <c r="Q154">
        <v>25.8</v>
      </c>
      <c r="R154">
        <v>25.7</v>
      </c>
      <c r="S154">
        <v>25.2</v>
      </c>
      <c r="T154">
        <v>24.6</v>
      </c>
      <c r="U154">
        <v>23.6</v>
      </c>
      <c r="V154">
        <v>23.9</v>
      </c>
      <c r="W154">
        <v>25.6</v>
      </c>
      <c r="X154">
        <v>25.1</v>
      </c>
      <c r="Y154">
        <v>22.4</v>
      </c>
      <c r="Z154">
        <v>24.4</v>
      </c>
      <c r="AB154">
        <f t="shared" si="96"/>
        <v>0</v>
      </c>
      <c r="AC154">
        <f t="shared" si="97"/>
        <v>0</v>
      </c>
      <c r="AD154">
        <f t="shared" si="98"/>
        <v>1</v>
      </c>
      <c r="AE154">
        <f t="shared" si="99"/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f t="shared" si="103"/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f t="shared" si="86"/>
        <v>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f t="shared" si="95"/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f t="shared" si="87"/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f t="shared" si="88"/>
        <v>1</v>
      </c>
      <c r="CX154">
        <f t="shared" si="124"/>
        <v>0</v>
      </c>
      <c r="CY154">
        <f t="shared" si="104"/>
        <v>0</v>
      </c>
      <c r="CZ154">
        <f t="shared" si="105"/>
        <v>0</v>
      </c>
      <c r="DA154">
        <f t="shared" si="106"/>
        <v>0</v>
      </c>
      <c r="DB154">
        <f t="shared" si="107"/>
        <v>0</v>
      </c>
      <c r="DC154">
        <f t="shared" si="108"/>
        <v>1</v>
      </c>
      <c r="DD154">
        <f t="shared" si="109"/>
        <v>0</v>
      </c>
      <c r="DE154">
        <f t="shared" si="110"/>
        <v>0</v>
      </c>
      <c r="DF154">
        <f t="shared" si="111"/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f t="shared" si="89"/>
        <v>1</v>
      </c>
      <c r="DN154">
        <f t="shared" si="90"/>
        <v>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f t="shared" si="91"/>
        <v>0</v>
      </c>
      <c r="DW154">
        <v>1</v>
      </c>
      <c r="DX154">
        <f t="shared" si="92"/>
        <v>1</v>
      </c>
      <c r="DZ154">
        <f t="shared" si="125"/>
        <v>0</v>
      </c>
      <c r="EA154">
        <f t="shared" si="112"/>
        <v>0</v>
      </c>
      <c r="EB154">
        <f t="shared" si="113"/>
        <v>0</v>
      </c>
      <c r="EC154">
        <f t="shared" si="114"/>
        <v>0</v>
      </c>
      <c r="ED154">
        <f t="shared" si="115"/>
        <v>0</v>
      </c>
      <c r="EE154">
        <f t="shared" si="116"/>
        <v>0</v>
      </c>
      <c r="EF154">
        <f t="shared" si="117"/>
        <v>0</v>
      </c>
      <c r="EG154">
        <f t="shared" si="118"/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f t="shared" si="93"/>
        <v>1</v>
      </c>
      <c r="EO154">
        <f t="shared" si="94"/>
        <v>1</v>
      </c>
      <c r="EQ154">
        <f t="shared" si="126"/>
        <v>0</v>
      </c>
      <c r="ER154">
        <f t="shared" si="119"/>
        <v>0</v>
      </c>
      <c r="ES154">
        <f t="shared" si="120"/>
        <v>0</v>
      </c>
      <c r="ET154">
        <f t="shared" si="121"/>
        <v>0</v>
      </c>
      <c r="EU154">
        <f t="shared" si="122"/>
        <v>0</v>
      </c>
      <c r="EV154">
        <f t="shared" si="123"/>
        <v>1</v>
      </c>
      <c r="EW154">
        <f t="shared" si="100"/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f t="shared" si="101"/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1</v>
      </c>
      <c r="GG154">
        <f t="shared" si="102"/>
        <v>1</v>
      </c>
    </row>
    <row r="155" spans="1:189" x14ac:dyDescent="0.35">
      <c r="A155" t="s">
        <v>183</v>
      </c>
      <c r="B155">
        <f>[1]Population!$BB189</f>
        <v>177397</v>
      </c>
      <c r="C155">
        <f>[1]RealGDP!$BB189</f>
        <v>1083804878.6319301</v>
      </c>
      <c r="D155" s="8">
        <f>[1]GDPcap!$BB189</f>
        <v>6109.4882023480113</v>
      </c>
      <c r="E155" s="8">
        <v>19.537868037543767</v>
      </c>
      <c r="F155">
        <v>2.2177829940511846</v>
      </c>
      <c r="G155">
        <f>RANK(D155,D$4:D155:D$201)</f>
        <v>80</v>
      </c>
      <c r="H155" t="s">
        <v>477</v>
      </c>
      <c r="I155" t="s">
        <v>479</v>
      </c>
      <c r="J155">
        <v>24.1</v>
      </c>
      <c r="K155">
        <v>24.1</v>
      </c>
      <c r="L155">
        <v>24.5</v>
      </c>
      <c r="M155">
        <v>25.1</v>
      </c>
      <c r="N155">
        <v>26.1</v>
      </c>
      <c r="O155">
        <v>26.6</v>
      </c>
      <c r="P155">
        <v>26.3</v>
      </c>
      <c r="Q155">
        <v>26.4</v>
      </c>
      <c r="R155">
        <v>26.5</v>
      </c>
      <c r="S155">
        <v>26</v>
      </c>
      <c r="T155">
        <v>25.6</v>
      </c>
      <c r="U155">
        <v>24.8</v>
      </c>
      <c r="V155">
        <v>25.2</v>
      </c>
      <c r="W155">
        <v>26.4</v>
      </c>
      <c r="X155">
        <v>26.1</v>
      </c>
      <c r="Y155">
        <v>23.5</v>
      </c>
      <c r="Z155">
        <v>25.5</v>
      </c>
      <c r="AB155">
        <f t="shared" si="96"/>
        <v>0</v>
      </c>
      <c r="AC155">
        <f t="shared" si="97"/>
        <v>0</v>
      </c>
      <c r="AD155">
        <f t="shared" si="98"/>
        <v>1</v>
      </c>
      <c r="AE155">
        <f t="shared" si="99"/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f t="shared" si="103"/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f t="shared" si="86"/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f t="shared" si="95"/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f t="shared" si="87"/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f t="shared" si="88"/>
        <v>1</v>
      </c>
      <c r="CX155">
        <f t="shared" si="124"/>
        <v>0</v>
      </c>
      <c r="CY155">
        <f t="shared" si="104"/>
        <v>0</v>
      </c>
      <c r="CZ155">
        <f t="shared" si="105"/>
        <v>0</v>
      </c>
      <c r="DA155">
        <f t="shared" si="106"/>
        <v>0</v>
      </c>
      <c r="DB155">
        <f t="shared" si="107"/>
        <v>0</v>
      </c>
      <c r="DC155">
        <f t="shared" si="108"/>
        <v>1</v>
      </c>
      <c r="DD155">
        <f t="shared" si="109"/>
        <v>0</v>
      </c>
      <c r="DE155">
        <f t="shared" si="110"/>
        <v>0</v>
      </c>
      <c r="DF155">
        <f t="shared" si="111"/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f t="shared" si="89"/>
        <v>1</v>
      </c>
      <c r="DN155">
        <f t="shared" si="90"/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f t="shared" si="91"/>
        <v>0</v>
      </c>
      <c r="DW155">
        <v>1</v>
      </c>
      <c r="DX155">
        <f t="shared" si="92"/>
        <v>1</v>
      </c>
      <c r="DZ155">
        <f t="shared" si="125"/>
        <v>0</v>
      </c>
      <c r="EA155">
        <f t="shared" si="112"/>
        <v>0</v>
      </c>
      <c r="EB155">
        <f t="shared" si="113"/>
        <v>0</v>
      </c>
      <c r="EC155">
        <f t="shared" si="114"/>
        <v>0</v>
      </c>
      <c r="ED155">
        <f t="shared" si="115"/>
        <v>0</v>
      </c>
      <c r="EE155">
        <f t="shared" si="116"/>
        <v>0</v>
      </c>
      <c r="EF155">
        <f t="shared" si="117"/>
        <v>0</v>
      </c>
      <c r="EG155">
        <f t="shared" si="118"/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f t="shared" si="93"/>
        <v>1</v>
      </c>
      <c r="EO155">
        <f t="shared" si="94"/>
        <v>1</v>
      </c>
      <c r="EQ155">
        <f t="shared" si="126"/>
        <v>0</v>
      </c>
      <c r="ER155">
        <f t="shared" si="119"/>
        <v>0</v>
      </c>
      <c r="ES155">
        <f t="shared" si="120"/>
        <v>0</v>
      </c>
      <c r="ET155">
        <f t="shared" si="121"/>
        <v>0</v>
      </c>
      <c r="EU155">
        <f t="shared" si="122"/>
        <v>0</v>
      </c>
      <c r="EV155">
        <f t="shared" si="123"/>
        <v>1</v>
      </c>
      <c r="EW155">
        <f t="shared" si="100"/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f t="shared" si="101"/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f t="shared" si="102"/>
        <v>1</v>
      </c>
    </row>
    <row r="156" spans="1:189" x14ac:dyDescent="0.35">
      <c r="A156" t="s">
        <v>405</v>
      </c>
      <c r="B156">
        <f>[1]Population!$BB191</f>
        <v>109316</v>
      </c>
      <c r="C156">
        <f>[1]RealGDP!$BB191</f>
        <v>589844929.93824661</v>
      </c>
      <c r="D156" s="8">
        <f>[1]GDPcap!$BB191</f>
        <v>5395.7785679886438</v>
      </c>
      <c r="E156" s="8">
        <v>22.91476961932629</v>
      </c>
      <c r="F156">
        <v>6.0788172695838512</v>
      </c>
      <c r="G156">
        <f>RANK(D156,D$4:D156:D$201)</f>
        <v>84</v>
      </c>
      <c r="H156" t="s">
        <v>477</v>
      </c>
      <c r="I156" t="s">
        <v>480</v>
      </c>
      <c r="J156">
        <v>25.2</v>
      </c>
      <c r="K156">
        <v>25.2</v>
      </c>
      <c r="L156">
        <v>25.9</v>
      </c>
      <c r="M156">
        <v>26.6</v>
      </c>
      <c r="N156">
        <v>27.7</v>
      </c>
      <c r="O156">
        <v>27.9</v>
      </c>
      <c r="P156">
        <v>27.5</v>
      </c>
      <c r="Q156">
        <v>27.6</v>
      </c>
      <c r="R156">
        <v>27.6</v>
      </c>
      <c r="S156">
        <v>27.2</v>
      </c>
      <c r="T156">
        <v>26.8</v>
      </c>
      <c r="U156">
        <v>25.8</v>
      </c>
      <c r="V156">
        <v>26.7</v>
      </c>
      <c r="W156">
        <v>27.7</v>
      </c>
      <c r="X156">
        <v>27.2</v>
      </c>
      <c r="Y156">
        <v>24.5</v>
      </c>
      <c r="Z156">
        <v>26.7</v>
      </c>
      <c r="AB156">
        <f t="shared" si="96"/>
        <v>0</v>
      </c>
      <c r="AC156">
        <f t="shared" si="97"/>
        <v>0</v>
      </c>
      <c r="AD156">
        <f t="shared" si="98"/>
        <v>1</v>
      </c>
      <c r="AE156">
        <f t="shared" si="99"/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f t="shared" si="103"/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f t="shared" si="86"/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f t="shared" si="95"/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f t="shared" si="87"/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f t="shared" si="88"/>
        <v>1</v>
      </c>
      <c r="CX156">
        <f t="shared" si="124"/>
        <v>0</v>
      </c>
      <c r="CY156">
        <f t="shared" si="104"/>
        <v>0</v>
      </c>
      <c r="CZ156">
        <f t="shared" si="105"/>
        <v>0</v>
      </c>
      <c r="DA156">
        <f t="shared" si="106"/>
        <v>0</v>
      </c>
      <c r="DB156">
        <f t="shared" si="107"/>
        <v>0</v>
      </c>
      <c r="DC156">
        <f t="shared" si="108"/>
        <v>1</v>
      </c>
      <c r="DD156">
        <f t="shared" si="109"/>
        <v>0</v>
      </c>
      <c r="DE156">
        <f t="shared" si="110"/>
        <v>0</v>
      </c>
      <c r="DF156">
        <f t="shared" si="111"/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f t="shared" si="89"/>
        <v>1</v>
      </c>
      <c r="DN156">
        <f t="shared" si="90"/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f t="shared" si="91"/>
        <v>0</v>
      </c>
      <c r="DW156">
        <v>1</v>
      </c>
      <c r="DX156">
        <f t="shared" si="92"/>
        <v>1</v>
      </c>
      <c r="DZ156">
        <f t="shared" si="125"/>
        <v>0</v>
      </c>
      <c r="EA156">
        <f t="shared" si="112"/>
        <v>0</v>
      </c>
      <c r="EB156">
        <f t="shared" si="113"/>
        <v>0</v>
      </c>
      <c r="EC156">
        <f t="shared" si="114"/>
        <v>0</v>
      </c>
      <c r="ED156">
        <f t="shared" si="115"/>
        <v>0</v>
      </c>
      <c r="EE156">
        <f t="shared" si="116"/>
        <v>0</v>
      </c>
      <c r="EF156">
        <f t="shared" si="117"/>
        <v>0</v>
      </c>
      <c r="EG156">
        <f t="shared" si="118"/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f t="shared" si="93"/>
        <v>1</v>
      </c>
      <c r="EO156">
        <f t="shared" si="94"/>
        <v>1</v>
      </c>
      <c r="EQ156">
        <f t="shared" si="126"/>
        <v>0</v>
      </c>
      <c r="ER156">
        <f t="shared" si="119"/>
        <v>0</v>
      </c>
      <c r="ES156">
        <f t="shared" si="120"/>
        <v>0</v>
      </c>
      <c r="ET156">
        <f t="shared" si="121"/>
        <v>0</v>
      </c>
      <c r="EU156">
        <f t="shared" si="122"/>
        <v>0</v>
      </c>
      <c r="EV156">
        <f t="shared" si="123"/>
        <v>1</v>
      </c>
      <c r="EW156">
        <f t="shared" si="100"/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f t="shared" si="101"/>
        <v>1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f t="shared" si="102"/>
        <v>1</v>
      </c>
    </row>
    <row r="157" spans="1:189" x14ac:dyDescent="0.35">
      <c r="A157" t="s">
        <v>406</v>
      </c>
      <c r="B157">
        <f>[1]Population!$BB192</f>
        <v>186029</v>
      </c>
      <c r="C157">
        <f>[1]RealGDP!$BB192</f>
        <v>426326498.14749146</v>
      </c>
      <c r="D157" s="8">
        <f>[1]GDPcap!$BB192</f>
        <v>2291.7206357476061</v>
      </c>
      <c r="E157" s="8">
        <v>21.694533948884871</v>
      </c>
      <c r="F157">
        <v>10.421931413472686</v>
      </c>
      <c r="G157">
        <f>RANK(D157,D$4:D157:D$201)</f>
        <v>124</v>
      </c>
      <c r="H157" t="s">
        <v>406</v>
      </c>
      <c r="J157">
        <v>27.2</v>
      </c>
      <c r="K157">
        <v>27.2</v>
      </c>
      <c r="L157">
        <v>27.2</v>
      </c>
      <c r="M157">
        <v>27.2</v>
      </c>
      <c r="N157">
        <v>26.7</v>
      </c>
      <c r="O157">
        <v>26.3</v>
      </c>
      <c r="P157">
        <v>26</v>
      </c>
      <c r="Q157">
        <v>25.8</v>
      </c>
      <c r="R157">
        <v>26.2</v>
      </c>
      <c r="S157">
        <v>26.4</v>
      </c>
      <c r="T157">
        <v>26.8</v>
      </c>
      <c r="U157">
        <v>27</v>
      </c>
      <c r="V157">
        <v>27</v>
      </c>
      <c r="W157">
        <v>26</v>
      </c>
      <c r="X157">
        <v>26.5</v>
      </c>
      <c r="Y157">
        <v>26.2</v>
      </c>
      <c r="Z157">
        <v>26.7</v>
      </c>
      <c r="AB157">
        <f t="shared" si="96"/>
        <v>0</v>
      </c>
      <c r="AC157">
        <f t="shared" si="97"/>
        <v>1</v>
      </c>
      <c r="AD157">
        <f t="shared" si="98"/>
        <v>0</v>
      </c>
      <c r="AE157">
        <f t="shared" si="99"/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f t="shared" si="103"/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f t="shared" si="86"/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f t="shared" si="95"/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f t="shared" si="87"/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f t="shared" si="88"/>
        <v>1</v>
      </c>
      <c r="CX157">
        <f t="shared" si="124"/>
        <v>0</v>
      </c>
      <c r="CY157">
        <f t="shared" si="104"/>
        <v>0</v>
      </c>
      <c r="CZ157">
        <f t="shared" si="105"/>
        <v>0</v>
      </c>
      <c r="DA157">
        <f t="shared" si="106"/>
        <v>0</v>
      </c>
      <c r="DB157">
        <f t="shared" si="107"/>
        <v>0</v>
      </c>
      <c r="DC157">
        <f t="shared" si="108"/>
        <v>0</v>
      </c>
      <c r="DD157">
        <f t="shared" si="109"/>
        <v>1</v>
      </c>
      <c r="DE157">
        <f t="shared" si="110"/>
        <v>0</v>
      </c>
      <c r="DF157">
        <f t="shared" si="111"/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f t="shared" si="89"/>
        <v>1</v>
      </c>
      <c r="DN157">
        <f t="shared" si="90"/>
        <v>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f t="shared" si="91"/>
        <v>0</v>
      </c>
      <c r="DW157">
        <v>0</v>
      </c>
      <c r="DX157">
        <f t="shared" si="92"/>
        <v>1</v>
      </c>
      <c r="DZ157">
        <f t="shared" si="125"/>
        <v>0</v>
      </c>
      <c r="EA157">
        <f t="shared" si="112"/>
        <v>0</v>
      </c>
      <c r="EB157">
        <f t="shared" si="113"/>
        <v>0</v>
      </c>
      <c r="EC157">
        <f t="shared" si="114"/>
        <v>0</v>
      </c>
      <c r="ED157">
        <f t="shared" si="115"/>
        <v>0</v>
      </c>
      <c r="EE157">
        <f t="shared" si="116"/>
        <v>1</v>
      </c>
      <c r="EF157">
        <f t="shared" si="117"/>
        <v>0</v>
      </c>
      <c r="EG157">
        <f t="shared" si="118"/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f t="shared" si="93"/>
        <v>1</v>
      </c>
      <c r="EO157">
        <f t="shared" si="94"/>
        <v>1</v>
      </c>
      <c r="EQ157">
        <f t="shared" si="126"/>
        <v>0</v>
      </c>
      <c r="ER157">
        <f t="shared" si="119"/>
        <v>0</v>
      </c>
      <c r="ES157">
        <f t="shared" si="120"/>
        <v>0</v>
      </c>
      <c r="ET157">
        <f t="shared" si="121"/>
        <v>0</v>
      </c>
      <c r="EU157">
        <f t="shared" si="122"/>
        <v>0</v>
      </c>
      <c r="EV157">
        <f t="shared" si="123"/>
        <v>1</v>
      </c>
      <c r="EW157">
        <f t="shared" si="100"/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1</v>
      </c>
      <c r="FV157">
        <v>0</v>
      </c>
      <c r="FW157">
        <v>0</v>
      </c>
      <c r="FX157">
        <f t="shared" si="101"/>
        <v>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1</v>
      </c>
      <c r="GF157">
        <v>0</v>
      </c>
      <c r="GG157">
        <f t="shared" si="102"/>
        <v>1</v>
      </c>
    </row>
    <row r="158" spans="1:189" x14ac:dyDescent="0.35">
      <c r="A158" t="s">
        <v>607</v>
      </c>
      <c r="B158">
        <f>[1]Population!$BB193</f>
        <v>30861</v>
      </c>
      <c r="C158">
        <f>B158*D158</f>
        <v>1541851055.8333526</v>
      </c>
      <c r="D158" s="8">
        <f>[2]YpC3!$AZ$156</f>
        <v>49961.150184159698</v>
      </c>
      <c r="E158" s="8"/>
      <c r="G158">
        <f>RANK(D158,D$4:D158:D$201)</f>
        <v>9</v>
      </c>
      <c r="Z158">
        <v>14.3</v>
      </c>
      <c r="AB158">
        <f t="shared" si="96"/>
        <v>0</v>
      </c>
      <c r="AC158">
        <f t="shared" si="97"/>
        <v>0</v>
      </c>
      <c r="AD158">
        <f t="shared" si="98"/>
        <v>0</v>
      </c>
      <c r="AE158">
        <f t="shared" si="99"/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f>SUM(AG158:AU158)</f>
        <v>1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f>SUM(AW158:BK158)</f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f t="shared" si="95"/>
        <v>1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f t="shared" si="87"/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f t="shared" si="88"/>
        <v>1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f t="shared" si="90"/>
        <v>1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f t="shared" si="92"/>
        <v>1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I158">
        <v>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f t="shared" si="94"/>
        <v>1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f t="shared" si="100"/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f t="shared" si="101"/>
        <v>1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f t="shared" si="102"/>
        <v>1</v>
      </c>
    </row>
    <row r="159" spans="1:189" x14ac:dyDescent="0.35">
      <c r="A159" t="s">
        <v>253</v>
      </c>
      <c r="B159">
        <f>[1]Population!$BB194</f>
        <v>27258387</v>
      </c>
      <c r="C159">
        <f>[1]RealGDP!$BB194</f>
        <v>435991918415.44006</v>
      </c>
      <c r="D159" s="8">
        <f>[1]GDPcap!$BB194</f>
        <v>15994.78055746439</v>
      </c>
      <c r="E159" s="8"/>
      <c r="F159">
        <v>2.6402770226027461</v>
      </c>
      <c r="G159">
        <f>RANK(D159,D$4:D159:D$201)</f>
        <v>47</v>
      </c>
      <c r="H159" t="s">
        <v>469</v>
      </c>
      <c r="I159" t="s">
        <v>470</v>
      </c>
      <c r="J159">
        <v>15.3</v>
      </c>
      <c r="K159">
        <v>17</v>
      </c>
      <c r="L159">
        <v>20.5</v>
      </c>
      <c r="M159">
        <v>24.4</v>
      </c>
      <c r="N159">
        <v>28.9</v>
      </c>
      <c r="O159">
        <v>31.6</v>
      </c>
      <c r="P159">
        <v>32.200000000000003</v>
      </c>
      <c r="Q159">
        <v>32.200000000000003</v>
      </c>
      <c r="R159">
        <v>30.3</v>
      </c>
      <c r="S159">
        <v>25.9</v>
      </c>
      <c r="T159">
        <v>20.8</v>
      </c>
      <c r="U159">
        <v>16.600000000000001</v>
      </c>
      <c r="V159">
        <v>24.6</v>
      </c>
      <c r="W159">
        <v>32</v>
      </c>
      <c r="X159">
        <v>25.7</v>
      </c>
      <c r="Y159">
        <v>15.8</v>
      </c>
      <c r="Z159">
        <v>24.6</v>
      </c>
      <c r="AB159">
        <f t="shared" si="96"/>
        <v>0</v>
      </c>
      <c r="AC159">
        <f t="shared" si="97"/>
        <v>0</v>
      </c>
      <c r="AD159">
        <f t="shared" si="98"/>
        <v>0</v>
      </c>
      <c r="AE159">
        <f t="shared" si="99"/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f t="shared" si="103"/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f t="shared" si="86"/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f t="shared" si="95"/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f t="shared" si="87"/>
        <v>1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f t="shared" si="88"/>
        <v>1</v>
      </c>
      <c r="CX159">
        <f t="shared" si="124"/>
        <v>0</v>
      </c>
      <c r="CY159">
        <f t="shared" si="104"/>
        <v>0</v>
      </c>
      <c r="CZ159">
        <f t="shared" si="105"/>
        <v>0</v>
      </c>
      <c r="DA159">
        <f t="shared" si="106"/>
        <v>0</v>
      </c>
      <c r="DB159">
        <f t="shared" si="107"/>
        <v>1</v>
      </c>
      <c r="DC159">
        <f t="shared" si="108"/>
        <v>0</v>
      </c>
      <c r="DD159">
        <f t="shared" si="109"/>
        <v>0</v>
      </c>
      <c r="DE159">
        <f t="shared" si="110"/>
        <v>0</v>
      </c>
      <c r="DF159">
        <f t="shared" si="111"/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f t="shared" si="89"/>
        <v>1</v>
      </c>
      <c r="DN159">
        <f t="shared" si="90"/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f t="shared" si="91"/>
        <v>1</v>
      </c>
      <c r="DW159">
        <v>0</v>
      </c>
      <c r="DX159">
        <f t="shared" si="92"/>
        <v>1</v>
      </c>
      <c r="DZ159">
        <f t="shared" si="125"/>
        <v>0</v>
      </c>
      <c r="EA159">
        <f t="shared" si="112"/>
        <v>0</v>
      </c>
      <c r="EB159">
        <f t="shared" si="113"/>
        <v>0</v>
      </c>
      <c r="EC159">
        <f t="shared" si="114"/>
        <v>0</v>
      </c>
      <c r="ED159">
        <f t="shared" si="115"/>
        <v>0</v>
      </c>
      <c r="EE159">
        <f t="shared" si="116"/>
        <v>0</v>
      </c>
      <c r="EF159">
        <f t="shared" si="117"/>
        <v>1</v>
      </c>
      <c r="EG159">
        <f t="shared" si="118"/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f t="shared" si="93"/>
        <v>1</v>
      </c>
      <c r="EO159">
        <f t="shared" si="94"/>
        <v>1</v>
      </c>
      <c r="EQ159">
        <f t="shared" si="126"/>
        <v>0</v>
      </c>
      <c r="ER159">
        <f t="shared" si="119"/>
        <v>0</v>
      </c>
      <c r="ES159">
        <f t="shared" si="120"/>
        <v>0</v>
      </c>
      <c r="ET159">
        <f t="shared" si="121"/>
        <v>0</v>
      </c>
      <c r="EU159">
        <f t="shared" si="122"/>
        <v>0</v>
      </c>
      <c r="EV159">
        <f t="shared" si="123"/>
        <v>1</v>
      </c>
      <c r="EW159">
        <f t="shared" si="100"/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f t="shared" si="101"/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f t="shared" si="102"/>
        <v>1</v>
      </c>
    </row>
    <row r="160" spans="1:189" x14ac:dyDescent="0.35">
      <c r="A160" t="s">
        <v>184</v>
      </c>
      <c r="B160">
        <f>[1]Population!$BB195</f>
        <v>12950564</v>
      </c>
      <c r="C160">
        <f>[1]RealGDP!$BB195</f>
        <v>10366034228.236326</v>
      </c>
      <c r="D160" s="8">
        <f>[1]GDPcap!$BB195</f>
        <v>800.43110309607573</v>
      </c>
      <c r="E160" s="8">
        <v>18.662279360884103</v>
      </c>
      <c r="F160">
        <v>15.290544496622013</v>
      </c>
      <c r="G160">
        <f>RANK(D160,D$4:D160:D$201)</f>
        <v>159</v>
      </c>
      <c r="H160" t="s">
        <v>184</v>
      </c>
      <c r="J160">
        <v>24.2</v>
      </c>
      <c r="K160">
        <v>26.4</v>
      </c>
      <c r="L160">
        <v>28.4</v>
      </c>
      <c r="M160">
        <v>30</v>
      </c>
      <c r="N160">
        <v>31.1</v>
      </c>
      <c r="O160">
        <v>30.2</v>
      </c>
      <c r="P160">
        <v>28.4</v>
      </c>
      <c r="Q160">
        <v>27.7</v>
      </c>
      <c r="R160">
        <v>27.8</v>
      </c>
      <c r="S160">
        <v>28.6</v>
      </c>
      <c r="T160">
        <v>27</v>
      </c>
      <c r="U160">
        <v>24.2</v>
      </c>
      <c r="V160">
        <v>29.8</v>
      </c>
      <c r="W160">
        <v>28.8</v>
      </c>
      <c r="X160">
        <v>27.8</v>
      </c>
      <c r="Y160">
        <v>24.1</v>
      </c>
      <c r="Z160">
        <v>27.8</v>
      </c>
      <c r="AB160">
        <f t="shared" si="96"/>
        <v>1</v>
      </c>
      <c r="AC160">
        <f t="shared" si="97"/>
        <v>0</v>
      </c>
      <c r="AD160">
        <f t="shared" si="98"/>
        <v>0</v>
      </c>
      <c r="AE160">
        <f t="shared" si="99"/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f t="shared" si="103"/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f t="shared" ref="BL160:BL201" si="127">SUM(AW160:BK160)</f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f t="shared" si="95"/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f t="shared" si="87"/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f t="shared" si="88"/>
        <v>1</v>
      </c>
      <c r="CX160">
        <f t="shared" si="124"/>
        <v>0</v>
      </c>
      <c r="CY160">
        <f t="shared" si="104"/>
        <v>0</v>
      </c>
      <c r="CZ160">
        <f t="shared" si="105"/>
        <v>0</v>
      </c>
      <c r="DA160">
        <f t="shared" si="106"/>
        <v>0</v>
      </c>
      <c r="DB160">
        <f t="shared" si="107"/>
        <v>0</v>
      </c>
      <c r="DC160">
        <f t="shared" si="108"/>
        <v>0</v>
      </c>
      <c r="DD160">
        <f t="shared" si="109"/>
        <v>0</v>
      </c>
      <c r="DE160">
        <f t="shared" si="110"/>
        <v>0</v>
      </c>
      <c r="DF160">
        <f t="shared" si="111"/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f t="shared" si="89"/>
        <v>1</v>
      </c>
      <c r="DN160">
        <f t="shared" si="90"/>
        <v>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f t="shared" si="91"/>
        <v>1</v>
      </c>
      <c r="DW160">
        <v>0</v>
      </c>
      <c r="DX160">
        <f t="shared" si="92"/>
        <v>1</v>
      </c>
      <c r="DZ160">
        <f t="shared" si="125"/>
        <v>0</v>
      </c>
      <c r="EA160">
        <f t="shared" si="112"/>
        <v>0</v>
      </c>
      <c r="EB160">
        <f t="shared" si="113"/>
        <v>0</v>
      </c>
      <c r="EC160">
        <f t="shared" si="114"/>
        <v>0</v>
      </c>
      <c r="ED160">
        <f t="shared" si="115"/>
        <v>0</v>
      </c>
      <c r="EE160">
        <f t="shared" si="116"/>
        <v>0</v>
      </c>
      <c r="EF160">
        <f t="shared" si="117"/>
        <v>1</v>
      </c>
      <c r="EG160">
        <f t="shared" si="118"/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f t="shared" si="93"/>
        <v>1</v>
      </c>
      <c r="EO160">
        <f t="shared" si="94"/>
        <v>1</v>
      </c>
      <c r="EQ160">
        <f t="shared" si="126"/>
        <v>0</v>
      </c>
      <c r="ER160">
        <f t="shared" si="119"/>
        <v>0</v>
      </c>
      <c r="ES160">
        <f t="shared" si="120"/>
        <v>0</v>
      </c>
      <c r="ET160">
        <f t="shared" si="121"/>
        <v>0</v>
      </c>
      <c r="EU160">
        <f t="shared" si="122"/>
        <v>0</v>
      </c>
      <c r="EV160">
        <f t="shared" si="123"/>
        <v>1</v>
      </c>
      <c r="EW160">
        <f t="shared" si="100"/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FX160">
        <f t="shared" si="101"/>
        <v>1</v>
      </c>
      <c r="FZ160">
        <v>1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f t="shared" si="102"/>
        <v>1</v>
      </c>
    </row>
    <row r="161" spans="1:189" x14ac:dyDescent="0.35">
      <c r="A161" t="s">
        <v>234</v>
      </c>
      <c r="B161">
        <f>[1]Population!$BB196</f>
        <v>7291436</v>
      </c>
      <c r="C161">
        <f>[1]RealGDP!$BB196</f>
        <v>27876766882.558659</v>
      </c>
      <c r="D161" s="8">
        <f>[1]GDPcap!$BB196</f>
        <v>3823.2204030260514</v>
      </c>
      <c r="E161" s="8">
        <v>21.4386601870325</v>
      </c>
      <c r="F161">
        <v>8.5260019023150093</v>
      </c>
      <c r="G161">
        <f>RANK(D161,D$4:D161:D$201)</f>
        <v>100</v>
      </c>
      <c r="H161" t="s">
        <v>203</v>
      </c>
      <c r="J161">
        <v>-1.6</v>
      </c>
      <c r="K161">
        <v>0.5</v>
      </c>
      <c r="L161">
        <v>4.5999999999999996</v>
      </c>
      <c r="M161">
        <v>9.9</v>
      </c>
      <c r="N161">
        <v>14.7</v>
      </c>
      <c r="O161">
        <v>17.899999999999999</v>
      </c>
      <c r="P161">
        <v>19.899999999999999</v>
      </c>
      <c r="Q161">
        <v>19.7</v>
      </c>
      <c r="R161">
        <v>16.100000000000001</v>
      </c>
      <c r="S161">
        <v>10.7</v>
      </c>
      <c r="T161">
        <v>5.2</v>
      </c>
      <c r="U161">
        <v>0.8</v>
      </c>
      <c r="V161">
        <v>9.6999999999999993</v>
      </c>
      <c r="W161">
        <v>19.2</v>
      </c>
      <c r="X161">
        <v>10.6</v>
      </c>
      <c r="Y161">
        <v>-0.1</v>
      </c>
      <c r="Z161">
        <v>9.9</v>
      </c>
      <c r="AB161">
        <f t="shared" si="96"/>
        <v>0</v>
      </c>
      <c r="AC161">
        <f t="shared" si="97"/>
        <v>0</v>
      </c>
      <c r="AD161">
        <f t="shared" si="98"/>
        <v>1</v>
      </c>
      <c r="AE161">
        <f t="shared" si="99"/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f t="shared" si="103"/>
        <v>1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f t="shared" si="127"/>
        <v>1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0</v>
      </c>
      <c r="BU161">
        <v>0</v>
      </c>
      <c r="BV161">
        <f t="shared" si="95"/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f t="shared" ref="CK161:CK201" si="128">SUM(BX161:CJ161)</f>
        <v>1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f t="shared" ref="CV161:CV201" si="129">SUM(CM161:CU161)</f>
        <v>1</v>
      </c>
      <c r="CX161">
        <f t="shared" si="124"/>
        <v>0</v>
      </c>
      <c r="CY161">
        <f t="shared" si="104"/>
        <v>0</v>
      </c>
      <c r="CZ161">
        <f t="shared" si="105"/>
        <v>0</v>
      </c>
      <c r="DA161">
        <f t="shared" si="106"/>
        <v>1</v>
      </c>
      <c r="DB161">
        <f t="shared" si="107"/>
        <v>0</v>
      </c>
      <c r="DC161">
        <f t="shared" si="108"/>
        <v>0</v>
      </c>
      <c r="DD161">
        <f t="shared" si="109"/>
        <v>0</v>
      </c>
      <c r="DE161">
        <f t="shared" si="110"/>
        <v>0</v>
      </c>
      <c r="DF161">
        <f t="shared" si="111"/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f t="shared" ref="DM161:DM201" si="130">1-SUM(DH161:DL161)</f>
        <v>1</v>
      </c>
      <c r="DN161">
        <f t="shared" ref="DN161:DN201" si="131">SUM(DH161:DM161)</f>
        <v>1</v>
      </c>
      <c r="DP161">
        <v>0</v>
      </c>
      <c r="DQ161">
        <v>0</v>
      </c>
      <c r="DR161">
        <v>0</v>
      </c>
      <c r="DS161">
        <v>1</v>
      </c>
      <c r="DT161">
        <v>0</v>
      </c>
      <c r="DU161">
        <v>0</v>
      </c>
      <c r="DV161">
        <f t="shared" ref="DV161:DV201" si="132">CQ161+CU161</f>
        <v>0</v>
      </c>
      <c r="DW161">
        <v>0</v>
      </c>
      <c r="DX161">
        <f t="shared" ref="DX161:DX201" si="133">SUM(DP161:DW161)</f>
        <v>1</v>
      </c>
      <c r="DZ161">
        <f t="shared" si="125"/>
        <v>0</v>
      </c>
      <c r="EA161">
        <f t="shared" si="112"/>
        <v>0</v>
      </c>
      <c r="EB161">
        <f t="shared" si="113"/>
        <v>0</v>
      </c>
      <c r="EC161">
        <f t="shared" si="114"/>
        <v>1</v>
      </c>
      <c r="ED161">
        <f t="shared" si="115"/>
        <v>0</v>
      </c>
      <c r="EE161">
        <f t="shared" si="116"/>
        <v>0</v>
      </c>
      <c r="EF161">
        <f t="shared" si="117"/>
        <v>0</v>
      </c>
      <c r="EG161">
        <f t="shared" si="118"/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f t="shared" ref="EN161:EN201" si="134">1-SUM(EI161:EM161)</f>
        <v>1</v>
      </c>
      <c r="EO161">
        <f t="shared" ref="EO161:EO201" si="135">SUM(EI161:EN161)</f>
        <v>1</v>
      </c>
      <c r="EQ161">
        <f t="shared" si="126"/>
        <v>0</v>
      </c>
      <c r="ER161">
        <f t="shared" si="119"/>
        <v>0</v>
      </c>
      <c r="ES161">
        <f t="shared" si="120"/>
        <v>0</v>
      </c>
      <c r="ET161">
        <f t="shared" si="121"/>
        <v>0</v>
      </c>
      <c r="EU161">
        <f t="shared" si="122"/>
        <v>0</v>
      </c>
      <c r="EV161">
        <f t="shared" si="123"/>
        <v>1</v>
      </c>
      <c r="EW161">
        <f t="shared" si="100"/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f t="shared" si="101"/>
        <v>1</v>
      </c>
      <c r="FZ161">
        <v>0</v>
      </c>
      <c r="GA161">
        <v>0</v>
      </c>
      <c r="GB161">
        <v>1</v>
      </c>
      <c r="GC161">
        <v>0</v>
      </c>
      <c r="GD161">
        <v>0</v>
      </c>
      <c r="GE161">
        <v>0</v>
      </c>
      <c r="GF161">
        <v>0</v>
      </c>
      <c r="GG161">
        <f t="shared" si="102"/>
        <v>1</v>
      </c>
    </row>
    <row r="162" spans="1:189" x14ac:dyDescent="0.35">
      <c r="A162" t="s">
        <v>407</v>
      </c>
      <c r="B162">
        <f>[1]Population!$BB197</f>
        <v>89770</v>
      </c>
      <c r="C162">
        <f>[1]RealGDP!$BB197</f>
        <v>1135149255.7550099</v>
      </c>
      <c r="D162" s="8">
        <f>[1]GDPcap!$BB197</f>
        <v>12645.084724908209</v>
      </c>
      <c r="E162" s="8">
        <v>27.851389346347709</v>
      </c>
      <c r="F162">
        <v>2.2608774028193075</v>
      </c>
      <c r="G162">
        <f>RANK(D162,D$4:D162:D$201)</f>
        <v>54</v>
      </c>
      <c r="H162" t="s">
        <v>407</v>
      </c>
      <c r="J162">
        <v>27</v>
      </c>
      <c r="K162">
        <v>27.5</v>
      </c>
      <c r="L162">
        <v>28</v>
      </c>
      <c r="M162">
        <v>28.2</v>
      </c>
      <c r="N162">
        <v>27.9</v>
      </c>
      <c r="O162">
        <v>26.8</v>
      </c>
      <c r="P162">
        <v>26</v>
      </c>
      <c r="Q162">
        <v>26.2</v>
      </c>
      <c r="R162">
        <v>26.5</v>
      </c>
      <c r="S162">
        <v>26.9</v>
      </c>
      <c r="T162">
        <v>27</v>
      </c>
      <c r="U162">
        <v>27</v>
      </c>
      <c r="V162">
        <v>28.1</v>
      </c>
      <c r="W162">
        <v>26.4</v>
      </c>
      <c r="X162">
        <v>26.8</v>
      </c>
      <c r="Y162">
        <v>26.3</v>
      </c>
      <c r="Z162">
        <v>27.1</v>
      </c>
      <c r="AB162">
        <f t="shared" si="96"/>
        <v>0</v>
      </c>
      <c r="AC162">
        <f t="shared" si="97"/>
        <v>0</v>
      </c>
      <c r="AD162">
        <f t="shared" si="98"/>
        <v>1</v>
      </c>
      <c r="AE162">
        <f t="shared" si="99"/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f t="shared" si="103"/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f t="shared" si="127"/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f t="shared" si="95"/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f t="shared" si="128"/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f t="shared" si="129"/>
        <v>1</v>
      </c>
      <c r="CX162">
        <f t="shared" si="124"/>
        <v>0</v>
      </c>
      <c r="CY162">
        <f t="shared" si="104"/>
        <v>0</v>
      </c>
      <c r="CZ162">
        <f t="shared" si="105"/>
        <v>0</v>
      </c>
      <c r="DA162">
        <f t="shared" si="106"/>
        <v>0</v>
      </c>
      <c r="DB162">
        <f t="shared" si="107"/>
        <v>0</v>
      </c>
      <c r="DC162">
        <f t="shared" si="108"/>
        <v>0</v>
      </c>
      <c r="DD162">
        <f t="shared" si="109"/>
        <v>1</v>
      </c>
      <c r="DE162">
        <f t="shared" si="110"/>
        <v>0</v>
      </c>
      <c r="DF162">
        <f t="shared" si="111"/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f t="shared" si="130"/>
        <v>1</v>
      </c>
      <c r="DN162">
        <f t="shared" si="131"/>
        <v>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f t="shared" si="132"/>
        <v>0</v>
      </c>
      <c r="DW162">
        <v>0</v>
      </c>
      <c r="DX162">
        <f t="shared" si="133"/>
        <v>1</v>
      </c>
      <c r="DZ162">
        <f t="shared" si="125"/>
        <v>0</v>
      </c>
      <c r="EA162">
        <f t="shared" si="112"/>
        <v>0</v>
      </c>
      <c r="EB162">
        <f t="shared" si="113"/>
        <v>0</v>
      </c>
      <c r="EC162">
        <f t="shared" si="114"/>
        <v>0</v>
      </c>
      <c r="ED162">
        <f t="shared" si="115"/>
        <v>0</v>
      </c>
      <c r="EE162">
        <f t="shared" si="116"/>
        <v>1</v>
      </c>
      <c r="EF162">
        <f t="shared" si="117"/>
        <v>0</v>
      </c>
      <c r="EG162">
        <f t="shared" si="118"/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f t="shared" si="134"/>
        <v>1</v>
      </c>
      <c r="EO162">
        <f t="shared" si="135"/>
        <v>1</v>
      </c>
      <c r="EQ162">
        <f t="shared" si="126"/>
        <v>0</v>
      </c>
      <c r="ER162">
        <f t="shared" si="119"/>
        <v>0</v>
      </c>
      <c r="ES162">
        <f t="shared" si="120"/>
        <v>0</v>
      </c>
      <c r="ET162">
        <f t="shared" si="121"/>
        <v>0</v>
      </c>
      <c r="EU162">
        <f t="shared" si="122"/>
        <v>0</v>
      </c>
      <c r="EV162">
        <f t="shared" si="123"/>
        <v>1</v>
      </c>
      <c r="EW162">
        <f t="shared" si="100"/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0</v>
      </c>
      <c r="FW162">
        <v>0</v>
      </c>
      <c r="FX162">
        <f t="shared" si="101"/>
        <v>1</v>
      </c>
      <c r="FZ162">
        <v>0</v>
      </c>
      <c r="GA162">
        <v>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f t="shared" si="102"/>
        <v>1</v>
      </c>
    </row>
    <row r="163" spans="1:189" x14ac:dyDescent="0.35">
      <c r="A163" t="s">
        <v>185</v>
      </c>
      <c r="B163">
        <f>[1]Population!$BB198</f>
        <v>5751976</v>
      </c>
      <c r="C163">
        <f>[1]RealGDP!$BB198</f>
        <v>2130751272.7919905</v>
      </c>
      <c r="D163" s="8">
        <f>[1]GDPcap!$BB198</f>
        <v>370.43813687539563</v>
      </c>
      <c r="E163" s="8">
        <v>9.0807920713429322</v>
      </c>
      <c r="F163">
        <v>52.942680264490413</v>
      </c>
      <c r="G163">
        <f>RANK(D163,D$4:D163:D$201)</f>
        <v>187</v>
      </c>
      <c r="H163" t="s">
        <v>471</v>
      </c>
      <c r="I163" t="s">
        <v>472</v>
      </c>
      <c r="J163">
        <v>25.3</v>
      </c>
      <c r="K163">
        <v>26.9</v>
      </c>
      <c r="L163">
        <v>27.6</v>
      </c>
      <c r="M163">
        <v>27.6</v>
      </c>
      <c r="N163">
        <v>26.9</v>
      </c>
      <c r="O163">
        <v>25.9</v>
      </c>
      <c r="P163">
        <v>24.9</v>
      </c>
      <c r="Q163">
        <v>24.8</v>
      </c>
      <c r="R163">
        <v>25.4</v>
      </c>
      <c r="S163">
        <v>25.8</v>
      </c>
      <c r="T163">
        <v>26</v>
      </c>
      <c r="U163">
        <v>25.2</v>
      </c>
      <c r="V163">
        <v>27.4</v>
      </c>
      <c r="W163">
        <v>25.2</v>
      </c>
      <c r="X163">
        <v>25.7</v>
      </c>
      <c r="Y163">
        <v>24.9</v>
      </c>
      <c r="Z163">
        <v>26</v>
      </c>
      <c r="AB163">
        <f t="shared" si="96"/>
        <v>1</v>
      </c>
      <c r="AC163">
        <f t="shared" si="97"/>
        <v>0</v>
      </c>
      <c r="AD163">
        <f t="shared" si="98"/>
        <v>0</v>
      </c>
      <c r="AE163">
        <f t="shared" si="99"/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f t="shared" si="103"/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f t="shared" si="127"/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f t="shared" si="95"/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f t="shared" si="128"/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f t="shared" si="129"/>
        <v>1</v>
      </c>
      <c r="CX163">
        <f t="shared" si="124"/>
        <v>0</v>
      </c>
      <c r="CY163">
        <f t="shared" si="104"/>
        <v>0</v>
      </c>
      <c r="CZ163">
        <f t="shared" si="105"/>
        <v>0</v>
      </c>
      <c r="DA163">
        <f t="shared" si="106"/>
        <v>0</v>
      </c>
      <c r="DB163">
        <f t="shared" si="107"/>
        <v>0</v>
      </c>
      <c r="DC163">
        <f t="shared" si="108"/>
        <v>0</v>
      </c>
      <c r="DD163">
        <f t="shared" si="109"/>
        <v>0</v>
      </c>
      <c r="DE163">
        <f t="shared" si="110"/>
        <v>0</v>
      </c>
      <c r="DF163">
        <f t="shared" si="111"/>
        <v>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f t="shared" si="130"/>
        <v>1</v>
      </c>
      <c r="DN163">
        <f t="shared" si="131"/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f t="shared" si="132"/>
        <v>1</v>
      </c>
      <c r="DW163">
        <v>0</v>
      </c>
      <c r="DX163">
        <f t="shared" si="133"/>
        <v>1</v>
      </c>
      <c r="DZ163">
        <f t="shared" si="125"/>
        <v>0</v>
      </c>
      <c r="EA163">
        <f t="shared" si="112"/>
        <v>0</v>
      </c>
      <c r="EB163">
        <f t="shared" si="113"/>
        <v>0</v>
      </c>
      <c r="EC163">
        <f t="shared" si="114"/>
        <v>0</v>
      </c>
      <c r="ED163">
        <f t="shared" si="115"/>
        <v>0</v>
      </c>
      <c r="EE163">
        <f t="shared" si="116"/>
        <v>0</v>
      </c>
      <c r="EF163">
        <f t="shared" si="117"/>
        <v>1</v>
      </c>
      <c r="EG163">
        <f t="shared" si="118"/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f t="shared" si="134"/>
        <v>1</v>
      </c>
      <c r="EO163">
        <f t="shared" si="135"/>
        <v>1</v>
      </c>
      <c r="EQ163">
        <f t="shared" si="126"/>
        <v>0</v>
      </c>
      <c r="ER163">
        <f t="shared" si="119"/>
        <v>0</v>
      </c>
      <c r="ES163">
        <f t="shared" si="120"/>
        <v>0</v>
      </c>
      <c r="ET163">
        <f t="shared" si="121"/>
        <v>0</v>
      </c>
      <c r="EU163">
        <f t="shared" si="122"/>
        <v>0</v>
      </c>
      <c r="EV163">
        <f t="shared" si="123"/>
        <v>1</v>
      </c>
      <c r="EW163">
        <f t="shared" si="100"/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f t="shared" si="101"/>
        <v>1</v>
      </c>
      <c r="FZ163">
        <v>1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f t="shared" si="102"/>
        <v>1</v>
      </c>
    </row>
    <row r="164" spans="1:189" x14ac:dyDescent="0.35">
      <c r="A164" t="s">
        <v>207</v>
      </c>
      <c r="B164">
        <f>[1]Population!$BB199</f>
        <v>5076700</v>
      </c>
      <c r="C164">
        <f>[1]RealGDP!$BB199</f>
        <v>176457991287.06442</v>
      </c>
      <c r="D164" s="8">
        <f>[1]GDPcap!$BB199</f>
        <v>34758.404334915285</v>
      </c>
      <c r="E164" s="8">
        <v>12.969027590487814</v>
      </c>
      <c r="F164">
        <v>3.6728997388332532E-2</v>
      </c>
      <c r="G164">
        <f>RANK(D164,D$4:D164:D$201)</f>
        <v>27</v>
      </c>
      <c r="H164" t="s">
        <v>207</v>
      </c>
      <c r="J164">
        <v>25.8</v>
      </c>
      <c r="K164">
        <v>26.3</v>
      </c>
      <c r="L164">
        <v>26.7</v>
      </c>
      <c r="M164">
        <v>26.9</v>
      </c>
      <c r="N164">
        <v>27.1</v>
      </c>
      <c r="O164">
        <v>26.8</v>
      </c>
      <c r="P164">
        <v>26.4</v>
      </c>
      <c r="Q164">
        <v>26.4</v>
      </c>
      <c r="R164">
        <v>26.4</v>
      </c>
      <c r="S164">
        <v>26.4</v>
      </c>
      <c r="T164">
        <v>26.1</v>
      </c>
      <c r="U164">
        <v>25.7</v>
      </c>
      <c r="V164">
        <v>26.9</v>
      </c>
      <c r="W164">
        <v>26.5</v>
      </c>
      <c r="X164">
        <v>26.3</v>
      </c>
      <c r="Y164">
        <v>25.1</v>
      </c>
      <c r="Z164">
        <v>26.4</v>
      </c>
      <c r="AB164">
        <f t="shared" si="96"/>
        <v>0</v>
      </c>
      <c r="AC164">
        <f t="shared" si="97"/>
        <v>0</v>
      </c>
      <c r="AD164">
        <f t="shared" si="98"/>
        <v>0</v>
      </c>
      <c r="AE164">
        <f t="shared" si="99"/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f t="shared" si="103"/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f t="shared" si="127"/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f t="shared" ref="BV164:BV195" si="136">SUM(BN164:BU164)</f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f t="shared" si="128"/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f t="shared" si="129"/>
        <v>1</v>
      </c>
      <c r="CX164">
        <f t="shared" si="124"/>
        <v>0</v>
      </c>
      <c r="CY164">
        <f t="shared" si="104"/>
        <v>0</v>
      </c>
      <c r="CZ164">
        <f t="shared" si="105"/>
        <v>0</v>
      </c>
      <c r="DA164">
        <f t="shared" si="106"/>
        <v>0</v>
      </c>
      <c r="DB164">
        <f t="shared" si="107"/>
        <v>0</v>
      </c>
      <c r="DC164">
        <f t="shared" si="108"/>
        <v>0</v>
      </c>
      <c r="DD164">
        <f t="shared" si="109"/>
        <v>1</v>
      </c>
      <c r="DE164">
        <f t="shared" si="110"/>
        <v>0</v>
      </c>
      <c r="DF164">
        <f t="shared" si="111"/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f t="shared" si="130"/>
        <v>1</v>
      </c>
      <c r="DN164">
        <f t="shared" si="131"/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</v>
      </c>
      <c r="DV164">
        <f t="shared" si="132"/>
        <v>0</v>
      </c>
      <c r="DW164">
        <v>0</v>
      </c>
      <c r="DX164">
        <f t="shared" si="133"/>
        <v>1</v>
      </c>
      <c r="DZ164">
        <f t="shared" si="125"/>
        <v>0</v>
      </c>
      <c r="EA164">
        <f t="shared" si="112"/>
        <v>0</v>
      </c>
      <c r="EB164">
        <f t="shared" si="113"/>
        <v>0</v>
      </c>
      <c r="EC164">
        <f t="shared" si="114"/>
        <v>0</v>
      </c>
      <c r="ED164">
        <f t="shared" si="115"/>
        <v>0</v>
      </c>
      <c r="EE164">
        <f t="shared" si="116"/>
        <v>1</v>
      </c>
      <c r="EF164">
        <f t="shared" si="117"/>
        <v>0</v>
      </c>
      <c r="EG164">
        <f t="shared" si="118"/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f t="shared" si="134"/>
        <v>1</v>
      </c>
      <c r="EO164">
        <f t="shared" si="135"/>
        <v>1</v>
      </c>
      <c r="EQ164">
        <f t="shared" si="126"/>
        <v>0</v>
      </c>
      <c r="ER164">
        <f t="shared" si="119"/>
        <v>0</v>
      </c>
      <c r="ES164">
        <f t="shared" si="120"/>
        <v>0</v>
      </c>
      <c r="ET164">
        <f t="shared" si="121"/>
        <v>0</v>
      </c>
      <c r="EU164">
        <f t="shared" si="122"/>
        <v>0</v>
      </c>
      <c r="EV164">
        <f t="shared" si="123"/>
        <v>1</v>
      </c>
      <c r="EW164">
        <f t="shared" si="100"/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f t="shared" si="101"/>
        <v>1</v>
      </c>
      <c r="FZ164">
        <v>0</v>
      </c>
      <c r="GA164">
        <v>1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f t="shared" si="102"/>
        <v>1</v>
      </c>
    </row>
    <row r="165" spans="1:189" x14ac:dyDescent="0.35">
      <c r="A165" t="s">
        <v>235</v>
      </c>
      <c r="B165">
        <f>[1]Population!$BB200</f>
        <v>5430099</v>
      </c>
      <c r="C165">
        <f>[1]RealGDP!$BB200</f>
        <v>76899962691.20755</v>
      </c>
      <c r="D165" s="8">
        <f>[1]GDPcap!$BB200</f>
        <v>14161.797545718329</v>
      </c>
      <c r="E165" s="8">
        <v>14.99047283460088</v>
      </c>
      <c r="F165">
        <v>2.5548657708785236</v>
      </c>
      <c r="G165">
        <f>RANK(D165,D$4:D165:D$201)</f>
        <v>52</v>
      </c>
      <c r="H165" t="s">
        <v>235</v>
      </c>
      <c r="J165">
        <v>-4.5</v>
      </c>
      <c r="K165">
        <v>-2.2000000000000002</v>
      </c>
      <c r="L165">
        <v>1.9</v>
      </c>
      <c r="M165">
        <v>7</v>
      </c>
      <c r="N165">
        <v>11.9</v>
      </c>
      <c r="O165">
        <v>14.8</v>
      </c>
      <c r="P165">
        <v>16.3</v>
      </c>
      <c r="Q165">
        <v>16.100000000000001</v>
      </c>
      <c r="R165">
        <v>12.6</v>
      </c>
      <c r="S165">
        <v>7.9</v>
      </c>
      <c r="T165">
        <v>2.1</v>
      </c>
      <c r="U165">
        <v>-2.5</v>
      </c>
      <c r="V165">
        <v>6.9</v>
      </c>
      <c r="W165">
        <v>15.7</v>
      </c>
      <c r="X165">
        <v>7.5</v>
      </c>
      <c r="Y165">
        <v>-3</v>
      </c>
      <c r="Z165">
        <v>6.8</v>
      </c>
      <c r="AB165">
        <f t="shared" si="96"/>
        <v>0</v>
      </c>
      <c r="AC165">
        <f t="shared" si="97"/>
        <v>0</v>
      </c>
      <c r="AD165">
        <f t="shared" si="98"/>
        <v>1</v>
      </c>
      <c r="AE165">
        <f t="shared" si="99"/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f t="shared" si="103"/>
        <v>1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f t="shared" si="127"/>
        <v>1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f t="shared" si="136"/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f t="shared" si="128"/>
        <v>1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f t="shared" si="129"/>
        <v>1</v>
      </c>
      <c r="CX165">
        <f t="shared" si="124"/>
        <v>0</v>
      </c>
      <c r="CY165">
        <f t="shared" si="104"/>
        <v>0</v>
      </c>
      <c r="CZ165">
        <f t="shared" si="105"/>
        <v>0</v>
      </c>
      <c r="DA165">
        <f t="shared" si="106"/>
        <v>1</v>
      </c>
      <c r="DB165">
        <f t="shared" si="107"/>
        <v>0</v>
      </c>
      <c r="DC165">
        <f t="shared" si="108"/>
        <v>0</v>
      </c>
      <c r="DD165">
        <f t="shared" si="109"/>
        <v>0</v>
      </c>
      <c r="DE165">
        <f t="shared" si="110"/>
        <v>0</v>
      </c>
      <c r="DF165">
        <f t="shared" si="111"/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f t="shared" si="130"/>
        <v>1</v>
      </c>
      <c r="DN165">
        <f t="shared" si="131"/>
        <v>1</v>
      </c>
      <c r="DP165">
        <v>0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f t="shared" si="132"/>
        <v>0</v>
      </c>
      <c r="DW165">
        <v>0</v>
      </c>
      <c r="DX165">
        <f t="shared" si="133"/>
        <v>1</v>
      </c>
      <c r="DZ165">
        <f t="shared" si="125"/>
        <v>0</v>
      </c>
      <c r="EA165">
        <f t="shared" si="112"/>
        <v>0</v>
      </c>
      <c r="EB165">
        <f t="shared" si="113"/>
        <v>0</v>
      </c>
      <c r="EC165">
        <f t="shared" si="114"/>
        <v>1</v>
      </c>
      <c r="ED165">
        <f t="shared" si="115"/>
        <v>0</v>
      </c>
      <c r="EE165">
        <f t="shared" si="116"/>
        <v>0</v>
      </c>
      <c r="EF165">
        <f t="shared" si="117"/>
        <v>0</v>
      </c>
      <c r="EG165">
        <f t="shared" si="118"/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f t="shared" si="134"/>
        <v>1</v>
      </c>
      <c r="EO165">
        <f t="shared" si="135"/>
        <v>1</v>
      </c>
      <c r="EQ165">
        <f t="shared" si="126"/>
        <v>0</v>
      </c>
      <c r="ER165">
        <f t="shared" si="119"/>
        <v>0</v>
      </c>
      <c r="ES165">
        <f t="shared" si="120"/>
        <v>0</v>
      </c>
      <c r="ET165">
        <f t="shared" si="121"/>
        <v>0</v>
      </c>
      <c r="EU165">
        <f t="shared" si="122"/>
        <v>0</v>
      </c>
      <c r="EV165">
        <f t="shared" si="123"/>
        <v>1</v>
      </c>
      <c r="EW165">
        <f t="shared" si="100"/>
        <v>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f t="shared" si="101"/>
        <v>1</v>
      </c>
      <c r="FZ165">
        <v>0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f t="shared" si="102"/>
        <v>1</v>
      </c>
    </row>
    <row r="166" spans="1:189" x14ac:dyDescent="0.35">
      <c r="A166" t="s">
        <v>236</v>
      </c>
      <c r="B166">
        <f>[1]Population!$BB201</f>
        <v>2048583</v>
      </c>
      <c r="C166">
        <f>[1]RealGDP!$BB201</f>
        <v>39034227961.239731</v>
      </c>
      <c r="D166" s="8">
        <f>[1]GDPcap!$BB201</f>
        <v>19054.257484924816</v>
      </c>
      <c r="E166" s="8">
        <v>18.112829254260724</v>
      </c>
      <c r="F166">
        <v>1.726788454801407</v>
      </c>
      <c r="G166">
        <f>RANK(D166,D$4:D166:D$201)</f>
        <v>43</v>
      </c>
      <c r="H166" t="s">
        <v>236</v>
      </c>
      <c r="J166">
        <v>-1.9</v>
      </c>
      <c r="K166">
        <v>0.5</v>
      </c>
      <c r="L166">
        <v>4.3</v>
      </c>
      <c r="M166">
        <v>8.9</v>
      </c>
      <c r="N166">
        <v>13.4</v>
      </c>
      <c r="O166">
        <v>16.600000000000001</v>
      </c>
      <c r="P166">
        <v>18.399999999999999</v>
      </c>
      <c r="Q166">
        <v>18</v>
      </c>
      <c r="R166">
        <v>14.8</v>
      </c>
      <c r="S166">
        <v>9.9</v>
      </c>
      <c r="T166">
        <v>4</v>
      </c>
      <c r="U166">
        <v>-0.5</v>
      </c>
      <c r="V166">
        <v>8.9</v>
      </c>
      <c r="W166">
        <v>17.7</v>
      </c>
      <c r="X166">
        <v>9.6</v>
      </c>
      <c r="Y166">
        <v>-0.6</v>
      </c>
      <c r="Z166">
        <v>8.9</v>
      </c>
      <c r="AB166">
        <f t="shared" si="96"/>
        <v>0</v>
      </c>
      <c r="AC166">
        <f t="shared" si="97"/>
        <v>0</v>
      </c>
      <c r="AD166">
        <f t="shared" si="98"/>
        <v>0</v>
      </c>
      <c r="AE166">
        <f t="shared" si="99"/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f t="shared" si="103"/>
        <v>1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f t="shared" si="127"/>
        <v>1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f t="shared" si="136"/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f t="shared" si="128"/>
        <v>1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f t="shared" si="129"/>
        <v>1</v>
      </c>
      <c r="CX166">
        <f t="shared" si="124"/>
        <v>0</v>
      </c>
      <c r="CY166">
        <f t="shared" si="104"/>
        <v>0</v>
      </c>
      <c r="CZ166">
        <f t="shared" si="105"/>
        <v>0</v>
      </c>
      <c r="DA166">
        <f t="shared" si="106"/>
        <v>1</v>
      </c>
      <c r="DB166">
        <f t="shared" si="107"/>
        <v>0</v>
      </c>
      <c r="DC166">
        <f t="shared" si="108"/>
        <v>0</v>
      </c>
      <c r="DD166">
        <f t="shared" si="109"/>
        <v>0</v>
      </c>
      <c r="DE166">
        <f t="shared" si="110"/>
        <v>0</v>
      </c>
      <c r="DF166">
        <f t="shared" si="111"/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f t="shared" si="130"/>
        <v>1</v>
      </c>
      <c r="DN166">
        <f t="shared" si="131"/>
        <v>1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f t="shared" si="132"/>
        <v>0</v>
      </c>
      <c r="DW166">
        <v>0</v>
      </c>
      <c r="DX166">
        <f t="shared" si="133"/>
        <v>1</v>
      </c>
      <c r="DZ166">
        <f t="shared" si="125"/>
        <v>0</v>
      </c>
      <c r="EA166">
        <f t="shared" si="112"/>
        <v>0</v>
      </c>
      <c r="EB166">
        <f t="shared" si="113"/>
        <v>0</v>
      </c>
      <c r="EC166">
        <f t="shared" si="114"/>
        <v>1</v>
      </c>
      <c r="ED166">
        <f t="shared" si="115"/>
        <v>0</v>
      </c>
      <c r="EE166">
        <f t="shared" si="116"/>
        <v>0</v>
      </c>
      <c r="EF166">
        <f t="shared" si="117"/>
        <v>0</v>
      </c>
      <c r="EG166">
        <f t="shared" si="118"/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f t="shared" si="134"/>
        <v>1</v>
      </c>
      <c r="EO166">
        <f t="shared" si="135"/>
        <v>1</v>
      </c>
      <c r="EQ166">
        <f t="shared" si="126"/>
        <v>0</v>
      </c>
      <c r="ER166">
        <f t="shared" si="119"/>
        <v>0</v>
      </c>
      <c r="ES166">
        <f t="shared" si="120"/>
        <v>0</v>
      </c>
      <c r="ET166">
        <f t="shared" si="121"/>
        <v>0</v>
      </c>
      <c r="EU166">
        <f t="shared" si="122"/>
        <v>0</v>
      </c>
      <c r="EV166">
        <f t="shared" si="123"/>
        <v>1</v>
      </c>
      <c r="EW166">
        <f t="shared" si="100"/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1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f t="shared" si="101"/>
        <v>1</v>
      </c>
      <c r="FZ166">
        <v>0</v>
      </c>
      <c r="GA166">
        <v>0</v>
      </c>
      <c r="GB166">
        <v>1</v>
      </c>
      <c r="GC166">
        <v>0</v>
      </c>
      <c r="GD166">
        <v>0</v>
      </c>
      <c r="GE166">
        <v>0</v>
      </c>
      <c r="GF166">
        <v>0</v>
      </c>
      <c r="GG166">
        <f t="shared" si="102"/>
        <v>1</v>
      </c>
    </row>
    <row r="167" spans="1:189" x14ac:dyDescent="0.35">
      <c r="A167" t="s">
        <v>408</v>
      </c>
      <c r="B167">
        <f>[1]Population!$BB202</f>
        <v>526447</v>
      </c>
      <c r="C167">
        <f>[1]RealGDP!$BB202</f>
        <v>522614190.24701446</v>
      </c>
      <c r="D167" s="8">
        <f>[1]GDPcap!$BB202</f>
        <v>992.71947650383504</v>
      </c>
      <c r="E167" s="8"/>
      <c r="G167">
        <f>RANK(D167,D$4:D167:D$201)</f>
        <v>150</v>
      </c>
      <c r="H167" t="s">
        <v>473</v>
      </c>
      <c r="I167" t="s">
        <v>439</v>
      </c>
      <c r="J167">
        <v>26.3</v>
      </c>
      <c r="K167">
        <v>25.9</v>
      </c>
      <c r="L167">
        <v>25.9</v>
      </c>
      <c r="M167">
        <v>25.7</v>
      </c>
      <c r="N167">
        <v>25.5</v>
      </c>
      <c r="O167">
        <v>25.2</v>
      </c>
      <c r="P167">
        <v>24.8</v>
      </c>
      <c r="Q167">
        <v>24.9</v>
      </c>
      <c r="R167">
        <v>25.5</v>
      </c>
      <c r="S167">
        <v>25.9</v>
      </c>
      <c r="T167">
        <v>26</v>
      </c>
      <c r="U167">
        <v>26.2</v>
      </c>
      <c r="V167">
        <v>25.7</v>
      </c>
      <c r="W167">
        <v>25</v>
      </c>
      <c r="X167">
        <v>25.8</v>
      </c>
      <c r="Y167">
        <v>25.3</v>
      </c>
      <c r="Z167">
        <v>25.6</v>
      </c>
      <c r="AB167">
        <f t="shared" si="96"/>
        <v>0</v>
      </c>
      <c r="AC167">
        <f t="shared" si="97"/>
        <v>1</v>
      </c>
      <c r="AD167">
        <f t="shared" si="98"/>
        <v>0</v>
      </c>
      <c r="AE167">
        <f t="shared" si="99"/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f t="shared" si="103"/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f t="shared" si="127"/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f t="shared" si="136"/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f t="shared" si="128"/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f t="shared" si="129"/>
        <v>1</v>
      </c>
      <c r="CX167">
        <f t="shared" si="124"/>
        <v>0</v>
      </c>
      <c r="CY167">
        <f t="shared" si="104"/>
        <v>0</v>
      </c>
      <c r="CZ167">
        <f t="shared" si="105"/>
        <v>0</v>
      </c>
      <c r="DA167">
        <f t="shared" si="106"/>
        <v>0</v>
      </c>
      <c r="DB167">
        <f t="shared" si="107"/>
        <v>0</v>
      </c>
      <c r="DC167">
        <f t="shared" si="108"/>
        <v>0</v>
      </c>
      <c r="DD167">
        <f t="shared" si="109"/>
        <v>1</v>
      </c>
      <c r="DE167">
        <f t="shared" si="110"/>
        <v>0</v>
      </c>
      <c r="DF167">
        <f t="shared" si="111"/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f t="shared" si="130"/>
        <v>1</v>
      </c>
      <c r="DN167">
        <f t="shared" si="131"/>
        <v>1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  <c r="DV167">
        <f t="shared" si="132"/>
        <v>0</v>
      </c>
      <c r="DW167">
        <v>0</v>
      </c>
      <c r="DX167">
        <f t="shared" si="133"/>
        <v>1</v>
      </c>
      <c r="DZ167">
        <f t="shared" si="125"/>
        <v>0</v>
      </c>
      <c r="EA167">
        <f t="shared" si="112"/>
        <v>0</v>
      </c>
      <c r="EB167">
        <f t="shared" si="113"/>
        <v>0</v>
      </c>
      <c r="EC167">
        <f t="shared" si="114"/>
        <v>0</v>
      </c>
      <c r="ED167">
        <f t="shared" si="115"/>
        <v>0</v>
      </c>
      <c r="EE167">
        <f t="shared" si="116"/>
        <v>1</v>
      </c>
      <c r="EF167">
        <f t="shared" si="117"/>
        <v>0</v>
      </c>
      <c r="EG167">
        <f t="shared" si="118"/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f t="shared" si="134"/>
        <v>1</v>
      </c>
      <c r="EO167">
        <f t="shared" si="135"/>
        <v>1</v>
      </c>
      <c r="EQ167">
        <f t="shared" si="126"/>
        <v>0</v>
      </c>
      <c r="ER167">
        <f t="shared" si="119"/>
        <v>0</v>
      </c>
      <c r="ES167">
        <f t="shared" si="120"/>
        <v>0</v>
      </c>
      <c r="ET167">
        <f t="shared" si="121"/>
        <v>0</v>
      </c>
      <c r="EU167">
        <f t="shared" si="122"/>
        <v>0</v>
      </c>
      <c r="EV167">
        <f t="shared" si="123"/>
        <v>1</v>
      </c>
      <c r="EW167">
        <f t="shared" si="100"/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</v>
      </c>
      <c r="FX167">
        <f t="shared" si="101"/>
        <v>1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0</v>
      </c>
      <c r="GG167">
        <f t="shared" si="102"/>
        <v>1</v>
      </c>
    </row>
    <row r="168" spans="1:189" x14ac:dyDescent="0.35">
      <c r="A168" t="s">
        <v>237</v>
      </c>
      <c r="B168">
        <f>[1]Population!$BB204</f>
        <v>49991300</v>
      </c>
      <c r="C168">
        <f>[1]RealGDP!$BB204</f>
        <v>289811738503.83063</v>
      </c>
      <c r="D168" s="8">
        <f>[1]GDPcap!$BB204</f>
        <v>5797.2434904439497</v>
      </c>
      <c r="E168" s="8">
        <v>25.041504396704088</v>
      </c>
      <c r="F168">
        <v>2.3873656845249362</v>
      </c>
      <c r="G168">
        <f>RANK(D168,D$4:D168:D$201)</f>
        <v>82</v>
      </c>
      <c r="H168" t="s">
        <v>474</v>
      </c>
      <c r="I168" t="s">
        <v>306</v>
      </c>
      <c r="J168">
        <v>23.2</v>
      </c>
      <c r="K168">
        <v>22.7</v>
      </c>
      <c r="L168">
        <v>21.2</v>
      </c>
      <c r="M168">
        <v>17.899999999999999</v>
      </c>
      <c r="N168">
        <v>14.5</v>
      </c>
      <c r="O168">
        <v>11.5</v>
      </c>
      <c r="P168">
        <v>11.4</v>
      </c>
      <c r="Q168">
        <v>13.3</v>
      </c>
      <c r="R168">
        <v>16.2</v>
      </c>
      <c r="S168">
        <v>18.399999999999999</v>
      </c>
      <c r="T168">
        <v>20.5</v>
      </c>
      <c r="U168">
        <v>22.2</v>
      </c>
      <c r="V168">
        <v>17.899999999999999</v>
      </c>
      <c r="W168">
        <v>12</v>
      </c>
      <c r="X168">
        <v>18.399999999999999</v>
      </c>
      <c r="Y168">
        <v>22</v>
      </c>
      <c r="Z168">
        <v>17.8</v>
      </c>
      <c r="AB168">
        <f t="shared" si="96"/>
        <v>0</v>
      </c>
      <c r="AC168">
        <f t="shared" si="97"/>
        <v>0</v>
      </c>
      <c r="AD168">
        <f t="shared" si="98"/>
        <v>1</v>
      </c>
      <c r="AE168">
        <f t="shared" si="99"/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f t="shared" si="103"/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f t="shared" si="127"/>
        <v>2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f t="shared" si="136"/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f t="shared" si="128"/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f t="shared" si="129"/>
        <v>1</v>
      </c>
      <c r="CX168">
        <f t="shared" si="124"/>
        <v>0</v>
      </c>
      <c r="CY168">
        <f t="shared" si="104"/>
        <v>0</v>
      </c>
      <c r="CZ168">
        <f t="shared" si="105"/>
        <v>0</v>
      </c>
      <c r="DA168">
        <f t="shared" si="106"/>
        <v>0</v>
      </c>
      <c r="DB168">
        <f t="shared" si="107"/>
        <v>0</v>
      </c>
      <c r="DC168">
        <f t="shared" si="108"/>
        <v>0</v>
      </c>
      <c r="DD168">
        <f t="shared" si="109"/>
        <v>0</v>
      </c>
      <c r="DE168">
        <f t="shared" si="110"/>
        <v>0</v>
      </c>
      <c r="DF168">
        <f t="shared" si="111"/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f t="shared" si="130"/>
        <v>1</v>
      </c>
      <c r="DN168">
        <f t="shared" si="131"/>
        <v>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f t="shared" si="132"/>
        <v>1</v>
      </c>
      <c r="DW168">
        <v>0</v>
      </c>
      <c r="DX168">
        <f t="shared" si="133"/>
        <v>1</v>
      </c>
      <c r="DZ168">
        <f t="shared" si="125"/>
        <v>0</v>
      </c>
      <c r="EA168">
        <f t="shared" si="112"/>
        <v>0</v>
      </c>
      <c r="EB168">
        <f t="shared" si="113"/>
        <v>0</v>
      </c>
      <c r="EC168">
        <f t="shared" si="114"/>
        <v>0</v>
      </c>
      <c r="ED168">
        <f t="shared" si="115"/>
        <v>0</v>
      </c>
      <c r="EE168">
        <f t="shared" si="116"/>
        <v>0</v>
      </c>
      <c r="EF168">
        <f t="shared" si="117"/>
        <v>1</v>
      </c>
      <c r="EG168">
        <f t="shared" si="118"/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f t="shared" si="134"/>
        <v>1</v>
      </c>
      <c r="EO168">
        <f t="shared" si="135"/>
        <v>1</v>
      </c>
      <c r="EQ168">
        <f t="shared" si="126"/>
        <v>0</v>
      </c>
      <c r="ER168">
        <f t="shared" si="119"/>
        <v>0</v>
      </c>
      <c r="ES168">
        <f t="shared" si="120"/>
        <v>0</v>
      </c>
      <c r="ET168">
        <f t="shared" si="121"/>
        <v>0</v>
      </c>
      <c r="EU168">
        <f t="shared" si="122"/>
        <v>0</v>
      </c>
      <c r="EV168">
        <f t="shared" si="123"/>
        <v>1</v>
      </c>
      <c r="EW168">
        <f t="shared" si="100"/>
        <v>1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1</v>
      </c>
      <c r="FW168">
        <v>0</v>
      </c>
      <c r="FX168">
        <f t="shared" si="101"/>
        <v>1</v>
      </c>
      <c r="FZ168">
        <v>1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f t="shared" si="102"/>
        <v>1</v>
      </c>
    </row>
    <row r="169" spans="1:189" x14ac:dyDescent="0.35">
      <c r="A169" t="s">
        <v>186</v>
      </c>
      <c r="B169">
        <f>[1]Population!$BB206</f>
        <v>49410000</v>
      </c>
      <c r="C169">
        <f>[1]RealGDP!$BB206</f>
        <v>1098690046553.521</v>
      </c>
      <c r="D169" s="8">
        <f>[1]GDPcap!$BB206</f>
        <v>22236.187948867053</v>
      </c>
      <c r="E169" s="8">
        <v>14.045461263186512</v>
      </c>
      <c r="F169">
        <v>2.2364041008197213</v>
      </c>
      <c r="G169">
        <f>RANK(D169,D$4:D169:D$201)</f>
        <v>37</v>
      </c>
      <c r="H169" t="s">
        <v>474</v>
      </c>
      <c r="I169" t="s">
        <v>464</v>
      </c>
      <c r="J169">
        <v>-2.1</v>
      </c>
      <c r="K169">
        <v>-0.3</v>
      </c>
      <c r="L169">
        <v>4.5999999999999996</v>
      </c>
      <c r="M169">
        <v>10.9</v>
      </c>
      <c r="N169">
        <v>15.9</v>
      </c>
      <c r="O169">
        <v>20</v>
      </c>
      <c r="P169">
        <v>23.6</v>
      </c>
      <c r="Q169">
        <v>24.4</v>
      </c>
      <c r="R169">
        <v>19.600000000000001</v>
      </c>
      <c r="S169">
        <v>13.7</v>
      </c>
      <c r="T169">
        <v>6.9</v>
      </c>
      <c r="U169">
        <v>0.8</v>
      </c>
      <c r="V169">
        <v>10.5</v>
      </c>
      <c r="W169">
        <v>22.7</v>
      </c>
      <c r="X169">
        <v>13.4</v>
      </c>
      <c r="Y169">
        <v>-0.5</v>
      </c>
      <c r="Z169">
        <v>11.5</v>
      </c>
      <c r="AB169">
        <f t="shared" si="96"/>
        <v>0</v>
      </c>
      <c r="AC169">
        <f t="shared" si="97"/>
        <v>0</v>
      </c>
      <c r="AD169">
        <f t="shared" si="98"/>
        <v>0</v>
      </c>
      <c r="AE169">
        <f t="shared" si="99"/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f t="shared" si="103"/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f t="shared" si="127"/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f t="shared" si="136"/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f t="shared" si="128"/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f t="shared" si="129"/>
        <v>1</v>
      </c>
      <c r="CX169">
        <f t="shared" si="124"/>
        <v>0</v>
      </c>
      <c r="CY169">
        <f t="shared" si="104"/>
        <v>0</v>
      </c>
      <c r="CZ169">
        <f t="shared" si="105"/>
        <v>0</v>
      </c>
      <c r="DA169">
        <f t="shared" si="106"/>
        <v>0</v>
      </c>
      <c r="DB169">
        <f t="shared" si="107"/>
        <v>0</v>
      </c>
      <c r="DC169">
        <f t="shared" si="108"/>
        <v>0</v>
      </c>
      <c r="DD169">
        <f t="shared" si="109"/>
        <v>1</v>
      </c>
      <c r="DE169">
        <f t="shared" si="110"/>
        <v>0</v>
      </c>
      <c r="DF169">
        <f t="shared" si="111"/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f t="shared" si="130"/>
        <v>1</v>
      </c>
      <c r="DN169">
        <f t="shared" si="131"/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f t="shared" si="132"/>
        <v>0</v>
      </c>
      <c r="DW169">
        <v>0</v>
      </c>
      <c r="DX169">
        <f t="shared" si="133"/>
        <v>1</v>
      </c>
      <c r="DZ169">
        <f t="shared" si="125"/>
        <v>0</v>
      </c>
      <c r="EA169">
        <f t="shared" si="112"/>
        <v>0</v>
      </c>
      <c r="EB169">
        <f t="shared" si="113"/>
        <v>0</v>
      </c>
      <c r="EC169">
        <f t="shared" si="114"/>
        <v>0</v>
      </c>
      <c r="ED169">
        <f t="shared" si="115"/>
        <v>0</v>
      </c>
      <c r="EE169">
        <f t="shared" si="116"/>
        <v>1</v>
      </c>
      <c r="EF169">
        <f t="shared" si="117"/>
        <v>0</v>
      </c>
      <c r="EG169">
        <f t="shared" si="118"/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f t="shared" si="134"/>
        <v>1</v>
      </c>
      <c r="EO169">
        <f t="shared" si="135"/>
        <v>1</v>
      </c>
      <c r="EQ169">
        <f t="shared" si="126"/>
        <v>0</v>
      </c>
      <c r="ER169">
        <f t="shared" si="119"/>
        <v>0</v>
      </c>
      <c r="ES169">
        <f t="shared" si="120"/>
        <v>0</v>
      </c>
      <c r="ET169">
        <f t="shared" si="121"/>
        <v>0</v>
      </c>
      <c r="EU169">
        <f t="shared" si="122"/>
        <v>0</v>
      </c>
      <c r="EV169">
        <f t="shared" si="123"/>
        <v>1</v>
      </c>
      <c r="EW169">
        <f t="shared" si="100"/>
        <v>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f t="shared" si="101"/>
        <v>1</v>
      </c>
      <c r="FZ169">
        <v>0</v>
      </c>
      <c r="GA169">
        <v>1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f t="shared" si="102"/>
        <v>1</v>
      </c>
    </row>
    <row r="170" spans="1:189" x14ac:dyDescent="0.35">
      <c r="A170" t="s">
        <v>187</v>
      </c>
      <c r="B170">
        <f>[1]Population!$BB207</f>
        <v>46070971</v>
      </c>
      <c r="C170">
        <f>[1]RealGDP!$BB207</f>
        <v>1179232117935.5505</v>
      </c>
      <c r="D170" s="8">
        <f>[1]GDPcap!$BB207</f>
        <v>25595.990106992766</v>
      </c>
      <c r="E170" s="8">
        <v>12.966459592852484</v>
      </c>
      <c r="F170">
        <v>2.3362181814817728</v>
      </c>
      <c r="G170">
        <f>RANK(D170,D$4:D170:D$201)</f>
        <v>34</v>
      </c>
      <c r="H170" t="s">
        <v>187</v>
      </c>
      <c r="J170">
        <v>6</v>
      </c>
      <c r="K170">
        <v>7.1</v>
      </c>
      <c r="L170">
        <v>8.9</v>
      </c>
      <c r="M170">
        <v>10.9</v>
      </c>
      <c r="N170">
        <v>14.5</v>
      </c>
      <c r="O170">
        <v>18.600000000000001</v>
      </c>
      <c r="P170">
        <v>22.1</v>
      </c>
      <c r="Q170">
        <v>21.9</v>
      </c>
      <c r="R170">
        <v>19.2</v>
      </c>
      <c r="S170">
        <v>14.4</v>
      </c>
      <c r="T170">
        <v>9.4</v>
      </c>
      <c r="U170">
        <v>6.5</v>
      </c>
      <c r="V170">
        <v>11.4</v>
      </c>
      <c r="W170">
        <v>20.9</v>
      </c>
      <c r="X170">
        <v>14.3</v>
      </c>
      <c r="Y170">
        <v>6.3</v>
      </c>
      <c r="Z170">
        <v>13.3</v>
      </c>
      <c r="AB170">
        <f t="shared" si="96"/>
        <v>0</v>
      </c>
      <c r="AC170">
        <f t="shared" si="97"/>
        <v>0</v>
      </c>
      <c r="AD170">
        <f t="shared" si="98"/>
        <v>0</v>
      </c>
      <c r="AE170">
        <f t="shared" si="99"/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f t="shared" si="103"/>
        <v>1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f t="shared" si="127"/>
        <v>1</v>
      </c>
      <c r="BN170">
        <v>0</v>
      </c>
      <c r="BO170">
        <v>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f t="shared" si="136"/>
        <v>1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f t="shared" si="128"/>
        <v>1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f t="shared" si="129"/>
        <v>1</v>
      </c>
      <c r="CX170">
        <f t="shared" si="124"/>
        <v>0</v>
      </c>
      <c r="CY170">
        <f t="shared" si="104"/>
        <v>1</v>
      </c>
      <c r="CZ170">
        <f t="shared" si="105"/>
        <v>0</v>
      </c>
      <c r="DA170">
        <f t="shared" si="106"/>
        <v>0</v>
      </c>
      <c r="DB170">
        <f t="shared" si="107"/>
        <v>0</v>
      </c>
      <c r="DC170">
        <f t="shared" si="108"/>
        <v>0</v>
      </c>
      <c r="DD170">
        <f t="shared" si="109"/>
        <v>0</v>
      </c>
      <c r="DE170">
        <f t="shared" si="110"/>
        <v>0</v>
      </c>
      <c r="DF170">
        <f t="shared" si="111"/>
        <v>0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f t="shared" si="130"/>
        <v>0</v>
      </c>
      <c r="DN170">
        <f t="shared" si="131"/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f t="shared" si="132"/>
        <v>0</v>
      </c>
      <c r="DW170">
        <v>0</v>
      </c>
      <c r="DX170">
        <f t="shared" si="133"/>
        <v>1</v>
      </c>
      <c r="DZ170">
        <f t="shared" si="125"/>
        <v>1</v>
      </c>
      <c r="EA170">
        <f t="shared" si="112"/>
        <v>0</v>
      </c>
      <c r="EB170">
        <f t="shared" si="113"/>
        <v>0</v>
      </c>
      <c r="EC170">
        <f t="shared" si="114"/>
        <v>0</v>
      </c>
      <c r="ED170">
        <f t="shared" si="115"/>
        <v>0</v>
      </c>
      <c r="EE170">
        <f t="shared" si="116"/>
        <v>0</v>
      </c>
      <c r="EF170">
        <f t="shared" si="117"/>
        <v>0</v>
      </c>
      <c r="EG170">
        <f t="shared" si="118"/>
        <v>0</v>
      </c>
      <c r="EI170">
        <v>1</v>
      </c>
      <c r="EJ170">
        <v>0</v>
      </c>
      <c r="EK170">
        <v>0</v>
      </c>
      <c r="EL170">
        <v>0</v>
      </c>
      <c r="EM170">
        <v>0</v>
      </c>
      <c r="EN170">
        <f t="shared" si="134"/>
        <v>0</v>
      </c>
      <c r="EO170">
        <f t="shared" si="135"/>
        <v>1</v>
      </c>
      <c r="EQ170">
        <f t="shared" si="126"/>
        <v>1</v>
      </c>
      <c r="ER170">
        <f t="shared" si="119"/>
        <v>0</v>
      </c>
      <c r="ES170">
        <f t="shared" si="120"/>
        <v>0</v>
      </c>
      <c r="ET170">
        <f t="shared" si="121"/>
        <v>0</v>
      </c>
      <c r="EU170">
        <f t="shared" si="122"/>
        <v>0</v>
      </c>
      <c r="EV170">
        <f t="shared" si="123"/>
        <v>0</v>
      </c>
      <c r="EW170">
        <f t="shared" si="100"/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f t="shared" si="101"/>
        <v>1</v>
      </c>
      <c r="FZ170">
        <v>0</v>
      </c>
      <c r="GA170">
        <v>0</v>
      </c>
      <c r="GB170">
        <v>1</v>
      </c>
      <c r="GC170">
        <v>0</v>
      </c>
      <c r="GD170">
        <v>0</v>
      </c>
      <c r="GE170">
        <v>0</v>
      </c>
      <c r="GF170">
        <v>0</v>
      </c>
      <c r="GG170">
        <f t="shared" si="102"/>
        <v>1</v>
      </c>
    </row>
    <row r="171" spans="1:189" x14ac:dyDescent="0.35">
      <c r="A171" t="s">
        <v>188</v>
      </c>
      <c r="B171">
        <f>[1]Population!$BB208</f>
        <v>20653000</v>
      </c>
      <c r="C171">
        <f>[1]RealGDP!$BB208</f>
        <v>33253082140.166439</v>
      </c>
      <c r="D171" s="8">
        <f>[1]GDPcap!$BB208</f>
        <v>1610.0848370777339</v>
      </c>
      <c r="E171" s="8">
        <v>11.300031394885579</v>
      </c>
      <c r="F171">
        <v>8.4961834631914215</v>
      </c>
      <c r="G171">
        <f>RANK(D171,D$4:D171:D$201)</f>
        <v>135</v>
      </c>
      <c r="H171" t="s">
        <v>475</v>
      </c>
      <c r="I171" t="s">
        <v>476</v>
      </c>
      <c r="J171">
        <v>25.2</v>
      </c>
      <c r="K171">
        <v>26.1</v>
      </c>
      <c r="L171">
        <v>27.3</v>
      </c>
      <c r="M171">
        <v>28</v>
      </c>
      <c r="N171">
        <v>28.3</v>
      </c>
      <c r="O171">
        <v>27.9</v>
      </c>
      <c r="P171">
        <v>27.5</v>
      </c>
      <c r="Q171">
        <v>27.3</v>
      </c>
      <c r="R171">
        <v>27.2</v>
      </c>
      <c r="S171">
        <v>26.7</v>
      </c>
      <c r="T171">
        <v>26</v>
      </c>
      <c r="U171">
        <v>25.4</v>
      </c>
      <c r="V171">
        <v>27.9</v>
      </c>
      <c r="W171">
        <v>27.6</v>
      </c>
      <c r="X171">
        <v>26.6</v>
      </c>
      <c r="Y171">
        <v>24.7</v>
      </c>
      <c r="Z171">
        <v>26.9</v>
      </c>
      <c r="AB171">
        <f t="shared" si="96"/>
        <v>0</v>
      </c>
      <c r="AC171">
        <f t="shared" si="97"/>
        <v>1</v>
      </c>
      <c r="AD171">
        <f t="shared" si="98"/>
        <v>0</v>
      </c>
      <c r="AE171">
        <f t="shared" si="99"/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f t="shared" si="103"/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0</v>
      </c>
      <c r="BL171">
        <f t="shared" si="127"/>
        <v>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f t="shared" si="136"/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f t="shared" si="128"/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f t="shared" si="129"/>
        <v>1</v>
      </c>
      <c r="CX171">
        <f t="shared" si="124"/>
        <v>0</v>
      </c>
      <c r="CY171">
        <f t="shared" si="104"/>
        <v>0</v>
      </c>
      <c r="CZ171">
        <f t="shared" si="105"/>
        <v>0</v>
      </c>
      <c r="DA171">
        <f t="shared" si="106"/>
        <v>0</v>
      </c>
      <c r="DB171">
        <f t="shared" si="107"/>
        <v>0</v>
      </c>
      <c r="DC171">
        <f t="shared" si="108"/>
        <v>0</v>
      </c>
      <c r="DD171">
        <f t="shared" si="109"/>
        <v>1</v>
      </c>
      <c r="DE171">
        <f t="shared" si="110"/>
        <v>0</v>
      </c>
      <c r="DF171">
        <f t="shared" si="111"/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f t="shared" si="130"/>
        <v>1</v>
      </c>
      <c r="DN171">
        <f t="shared" si="131"/>
        <v>1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1</v>
      </c>
      <c r="DV171">
        <f t="shared" si="132"/>
        <v>0</v>
      </c>
      <c r="DW171">
        <v>0</v>
      </c>
      <c r="DX171">
        <f t="shared" si="133"/>
        <v>1</v>
      </c>
      <c r="DZ171">
        <f t="shared" si="125"/>
        <v>0</v>
      </c>
      <c r="EA171">
        <f t="shared" si="112"/>
        <v>0</v>
      </c>
      <c r="EB171">
        <f t="shared" si="113"/>
        <v>0</v>
      </c>
      <c r="EC171">
        <f t="shared" si="114"/>
        <v>0</v>
      </c>
      <c r="ED171">
        <f t="shared" si="115"/>
        <v>0</v>
      </c>
      <c r="EE171">
        <f t="shared" si="116"/>
        <v>1</v>
      </c>
      <c r="EF171">
        <f t="shared" si="117"/>
        <v>0</v>
      </c>
      <c r="EG171">
        <f t="shared" si="118"/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f t="shared" si="134"/>
        <v>1</v>
      </c>
      <c r="EO171">
        <f t="shared" si="135"/>
        <v>1</v>
      </c>
      <c r="EQ171">
        <f t="shared" si="126"/>
        <v>0</v>
      </c>
      <c r="ER171">
        <f t="shared" si="119"/>
        <v>0</v>
      </c>
      <c r="ES171">
        <f t="shared" si="120"/>
        <v>0</v>
      </c>
      <c r="ET171">
        <f t="shared" si="121"/>
        <v>0</v>
      </c>
      <c r="EU171">
        <f t="shared" si="122"/>
        <v>0</v>
      </c>
      <c r="EV171">
        <f t="shared" si="123"/>
        <v>1</v>
      </c>
      <c r="EW171">
        <f t="shared" si="100"/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0</v>
      </c>
      <c r="FW171">
        <v>0</v>
      </c>
      <c r="FX171">
        <f t="shared" si="101"/>
        <v>1</v>
      </c>
      <c r="FZ171">
        <v>0</v>
      </c>
      <c r="GA171">
        <v>1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f t="shared" si="102"/>
        <v>1</v>
      </c>
    </row>
    <row r="172" spans="1:189" x14ac:dyDescent="0.35">
      <c r="A172" t="s">
        <v>409</v>
      </c>
      <c r="B172">
        <f>[1]Population!$BB209</f>
        <v>35652002</v>
      </c>
      <c r="C172">
        <f>[1]RealGDP!$BB209</f>
        <v>35822262376.238686</v>
      </c>
      <c r="D172" s="8">
        <f>[1]GDPcap!$BB209</f>
        <v>1004.7756189466916</v>
      </c>
      <c r="E172" s="8"/>
      <c r="F172">
        <v>23.310538379626493</v>
      </c>
      <c r="G172">
        <f>RANK(D172,D$4:D172:D$201)</f>
        <v>148</v>
      </c>
      <c r="H172" t="s">
        <v>409</v>
      </c>
      <c r="J172">
        <v>21.9</v>
      </c>
      <c r="K172">
        <v>23.5</v>
      </c>
      <c r="L172">
        <v>26.5</v>
      </c>
      <c r="M172">
        <v>28.8</v>
      </c>
      <c r="N172">
        <v>30.2</v>
      </c>
      <c r="O172">
        <v>30</v>
      </c>
      <c r="P172">
        <v>28.8</v>
      </c>
      <c r="Q172">
        <v>28.4</v>
      </c>
      <c r="R172">
        <v>28.5</v>
      </c>
      <c r="S172">
        <v>27.9</v>
      </c>
      <c r="T172">
        <v>25</v>
      </c>
      <c r="U172">
        <v>22.5</v>
      </c>
      <c r="V172">
        <v>28.5</v>
      </c>
      <c r="W172">
        <v>29.1</v>
      </c>
      <c r="X172">
        <v>27.1</v>
      </c>
      <c r="Y172">
        <v>21.9</v>
      </c>
      <c r="Z172">
        <v>26.8</v>
      </c>
      <c r="AB172">
        <f t="shared" si="96"/>
        <v>0</v>
      </c>
      <c r="AC172">
        <f t="shared" si="97"/>
        <v>1</v>
      </c>
      <c r="AD172">
        <f t="shared" si="98"/>
        <v>0</v>
      </c>
      <c r="AE172">
        <f t="shared" si="99"/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f t="shared" si="103"/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f t="shared" si="127"/>
        <v>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f t="shared" si="136"/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f t="shared" si="128"/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f t="shared" si="129"/>
        <v>1</v>
      </c>
      <c r="CX172">
        <f t="shared" si="124"/>
        <v>0</v>
      </c>
      <c r="CY172">
        <f t="shared" si="104"/>
        <v>0</v>
      </c>
      <c r="CZ172">
        <f t="shared" si="105"/>
        <v>0</v>
      </c>
      <c r="DA172">
        <f t="shared" si="106"/>
        <v>0</v>
      </c>
      <c r="DB172">
        <f t="shared" si="107"/>
        <v>0</v>
      </c>
      <c r="DC172">
        <f t="shared" si="108"/>
        <v>0</v>
      </c>
      <c r="DD172">
        <f t="shared" si="109"/>
        <v>0</v>
      </c>
      <c r="DE172">
        <f t="shared" si="110"/>
        <v>0</v>
      </c>
      <c r="DF172">
        <f t="shared" si="111"/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f t="shared" si="130"/>
        <v>1</v>
      </c>
      <c r="DN172">
        <f t="shared" si="131"/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f t="shared" si="132"/>
        <v>1</v>
      </c>
      <c r="DW172">
        <v>0</v>
      </c>
      <c r="DX172">
        <f t="shared" si="133"/>
        <v>1</v>
      </c>
      <c r="DZ172">
        <f t="shared" si="125"/>
        <v>0</v>
      </c>
      <c r="EA172">
        <f t="shared" si="112"/>
        <v>0</v>
      </c>
      <c r="EB172">
        <f t="shared" si="113"/>
        <v>0</v>
      </c>
      <c r="EC172">
        <f t="shared" si="114"/>
        <v>0</v>
      </c>
      <c r="ED172">
        <f t="shared" si="115"/>
        <v>0</v>
      </c>
      <c r="EE172">
        <f t="shared" si="116"/>
        <v>0</v>
      </c>
      <c r="EF172">
        <f t="shared" si="117"/>
        <v>1</v>
      </c>
      <c r="EG172">
        <f t="shared" si="118"/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f t="shared" si="134"/>
        <v>1</v>
      </c>
      <c r="EO172">
        <f t="shared" si="135"/>
        <v>1</v>
      </c>
      <c r="EQ172">
        <f t="shared" si="126"/>
        <v>0</v>
      </c>
      <c r="ER172">
        <f t="shared" si="119"/>
        <v>0</v>
      </c>
      <c r="ES172">
        <f t="shared" si="120"/>
        <v>0</v>
      </c>
      <c r="ET172">
        <f t="shared" si="121"/>
        <v>0</v>
      </c>
      <c r="EU172">
        <f t="shared" si="122"/>
        <v>0</v>
      </c>
      <c r="EV172">
        <f t="shared" si="123"/>
        <v>1</v>
      </c>
      <c r="EW172">
        <f t="shared" si="100"/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1</v>
      </c>
      <c r="FX172">
        <f t="shared" si="101"/>
        <v>1</v>
      </c>
      <c r="FZ172">
        <v>1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f t="shared" si="102"/>
        <v>1</v>
      </c>
    </row>
    <row r="173" spans="1:189" x14ac:dyDescent="0.35">
      <c r="A173" t="s">
        <v>189</v>
      </c>
      <c r="B173">
        <f>[1]Population!$BB210</f>
        <v>524960</v>
      </c>
      <c r="C173">
        <f>[1]RealGDP!$BB210</f>
        <v>2188868338.2963519</v>
      </c>
      <c r="D173" s="8">
        <f>[1]GDPcap!$BB210</f>
        <v>4169.5907084279788</v>
      </c>
      <c r="E173" s="8">
        <v>15.656707227299258</v>
      </c>
      <c r="F173">
        <v>9.6973234386725586</v>
      </c>
      <c r="G173">
        <f>RANK(D173,D$4:D173:D$201)</f>
        <v>95</v>
      </c>
      <c r="H173" t="s">
        <v>481</v>
      </c>
      <c r="J173">
        <v>24.9</v>
      </c>
      <c r="K173">
        <v>25</v>
      </c>
      <c r="L173">
        <v>25.3</v>
      </c>
      <c r="M173">
        <v>25.6</v>
      </c>
      <c r="N173">
        <v>25.6</v>
      </c>
      <c r="O173">
        <v>25.5</v>
      </c>
      <c r="P173">
        <v>25.5</v>
      </c>
      <c r="Q173">
        <v>26</v>
      </c>
      <c r="R173">
        <v>26.4</v>
      </c>
      <c r="S173">
        <v>26.6</v>
      </c>
      <c r="T173">
        <v>26.3</v>
      </c>
      <c r="U173">
        <v>25.4</v>
      </c>
      <c r="V173">
        <v>25.5</v>
      </c>
      <c r="W173">
        <v>25.7</v>
      </c>
      <c r="X173">
        <v>26.4</v>
      </c>
      <c r="Y173">
        <v>24.3</v>
      </c>
      <c r="Z173">
        <v>25.7</v>
      </c>
      <c r="AB173">
        <f t="shared" si="96"/>
        <v>0</v>
      </c>
      <c r="AC173">
        <f t="shared" si="97"/>
        <v>0</v>
      </c>
      <c r="AD173">
        <f t="shared" si="98"/>
        <v>1</v>
      </c>
      <c r="AE173">
        <f t="shared" si="99"/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f t="shared" si="103"/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f t="shared" si="127"/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f t="shared" si="136"/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f t="shared" si="128"/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f t="shared" si="129"/>
        <v>1</v>
      </c>
      <c r="CX173">
        <f t="shared" si="124"/>
        <v>0</v>
      </c>
      <c r="CY173">
        <f t="shared" si="104"/>
        <v>0</v>
      </c>
      <c r="CZ173">
        <f t="shared" si="105"/>
        <v>0</v>
      </c>
      <c r="DA173">
        <f t="shared" si="106"/>
        <v>0</v>
      </c>
      <c r="DB173">
        <f t="shared" si="107"/>
        <v>0</v>
      </c>
      <c r="DC173">
        <f t="shared" si="108"/>
        <v>1</v>
      </c>
      <c r="DD173">
        <f t="shared" si="109"/>
        <v>0</v>
      </c>
      <c r="DE173">
        <f t="shared" si="110"/>
        <v>0</v>
      </c>
      <c r="DF173">
        <f t="shared" si="111"/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f t="shared" si="130"/>
        <v>1</v>
      </c>
      <c r="DN173">
        <f t="shared" si="131"/>
        <v>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f t="shared" si="132"/>
        <v>0</v>
      </c>
      <c r="DW173">
        <v>1</v>
      </c>
      <c r="DX173">
        <f t="shared" si="133"/>
        <v>1</v>
      </c>
      <c r="DZ173">
        <f t="shared" si="125"/>
        <v>0</v>
      </c>
      <c r="EA173">
        <f t="shared" si="112"/>
        <v>0</v>
      </c>
      <c r="EB173">
        <f t="shared" si="113"/>
        <v>0</v>
      </c>
      <c r="EC173">
        <f t="shared" si="114"/>
        <v>0</v>
      </c>
      <c r="ED173">
        <f t="shared" si="115"/>
        <v>0</v>
      </c>
      <c r="EE173">
        <f t="shared" si="116"/>
        <v>0</v>
      </c>
      <c r="EF173">
        <f t="shared" si="117"/>
        <v>0</v>
      </c>
      <c r="EG173">
        <f t="shared" si="118"/>
        <v>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f t="shared" si="134"/>
        <v>1</v>
      </c>
      <c r="EO173">
        <f t="shared" si="135"/>
        <v>1</v>
      </c>
      <c r="EQ173">
        <f t="shared" si="126"/>
        <v>0</v>
      </c>
      <c r="ER173">
        <f t="shared" si="119"/>
        <v>0</v>
      </c>
      <c r="ES173">
        <f t="shared" si="120"/>
        <v>0</v>
      </c>
      <c r="ET173">
        <f t="shared" si="121"/>
        <v>0</v>
      </c>
      <c r="EU173">
        <f t="shared" si="122"/>
        <v>0</v>
      </c>
      <c r="EV173">
        <f t="shared" si="123"/>
        <v>1</v>
      </c>
      <c r="EW173">
        <f t="shared" si="100"/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f t="shared" si="101"/>
        <v>1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f t="shared" si="102"/>
        <v>1</v>
      </c>
    </row>
    <row r="174" spans="1:189" x14ac:dyDescent="0.35">
      <c r="A174" t="s">
        <v>190</v>
      </c>
      <c r="B174">
        <f>[1]Population!$BB212</f>
        <v>1193148</v>
      </c>
      <c r="C174">
        <f>[1]RealGDP!$BB212</f>
        <v>2917342648.1127834</v>
      </c>
      <c r="D174" s="8">
        <f>[1]GDPcap!$BB212</f>
        <v>2445.0802818366064</v>
      </c>
      <c r="E174" s="8">
        <v>16.000527627245592</v>
      </c>
      <c r="F174">
        <v>10.156212732348513</v>
      </c>
      <c r="G174">
        <f>RANK(D174,D$4:D174:D$201)</f>
        <v>120</v>
      </c>
      <c r="H174" t="s">
        <v>190</v>
      </c>
      <c r="J174">
        <v>25.2</v>
      </c>
      <c r="K174">
        <v>25</v>
      </c>
      <c r="L174">
        <v>24.1</v>
      </c>
      <c r="M174">
        <v>21.7</v>
      </c>
      <c r="N174">
        <v>19.3</v>
      </c>
      <c r="O174">
        <v>16.600000000000001</v>
      </c>
      <c r="P174">
        <v>16.899999999999999</v>
      </c>
      <c r="Q174">
        <v>18.5</v>
      </c>
      <c r="R174">
        <v>20.6</v>
      </c>
      <c r="S174">
        <v>21.6</v>
      </c>
      <c r="T174">
        <v>22.8</v>
      </c>
      <c r="U174">
        <v>24.3</v>
      </c>
      <c r="V174">
        <v>21.7</v>
      </c>
      <c r="W174">
        <v>17.399999999999999</v>
      </c>
      <c r="X174">
        <v>21.6</v>
      </c>
      <c r="Y174">
        <v>24</v>
      </c>
      <c r="Z174">
        <v>21.4</v>
      </c>
      <c r="AB174">
        <f t="shared" si="96"/>
        <v>0</v>
      </c>
      <c r="AC174">
        <f t="shared" si="97"/>
        <v>1</v>
      </c>
      <c r="AD174">
        <f t="shared" si="98"/>
        <v>0</v>
      </c>
      <c r="AE174">
        <f t="shared" si="99"/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f t="shared" si="103"/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f t="shared" si="127"/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f t="shared" si="136"/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f t="shared" si="128"/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f t="shared" si="129"/>
        <v>1</v>
      </c>
      <c r="CX174">
        <f t="shared" si="124"/>
        <v>0</v>
      </c>
      <c r="CY174">
        <f t="shared" si="104"/>
        <v>0</v>
      </c>
      <c r="CZ174">
        <f t="shared" si="105"/>
        <v>0</v>
      </c>
      <c r="DA174">
        <f t="shared" si="106"/>
        <v>0</v>
      </c>
      <c r="DB174">
        <f t="shared" si="107"/>
        <v>0</v>
      </c>
      <c r="DC174">
        <f t="shared" si="108"/>
        <v>0</v>
      </c>
      <c r="DD174">
        <f t="shared" si="109"/>
        <v>0</v>
      </c>
      <c r="DE174">
        <f t="shared" si="110"/>
        <v>0</v>
      </c>
      <c r="DF174">
        <f t="shared" si="111"/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f t="shared" si="130"/>
        <v>1</v>
      </c>
      <c r="DN174">
        <f t="shared" si="131"/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f t="shared" si="132"/>
        <v>1</v>
      </c>
      <c r="DW174">
        <v>0</v>
      </c>
      <c r="DX174">
        <f t="shared" si="133"/>
        <v>1</v>
      </c>
      <c r="DZ174">
        <f t="shared" si="125"/>
        <v>0</v>
      </c>
      <c r="EA174">
        <f t="shared" si="112"/>
        <v>0</v>
      </c>
      <c r="EB174">
        <f t="shared" si="113"/>
        <v>0</v>
      </c>
      <c r="EC174">
        <f t="shared" si="114"/>
        <v>0</v>
      </c>
      <c r="ED174">
        <f t="shared" si="115"/>
        <v>0</v>
      </c>
      <c r="EE174">
        <f t="shared" si="116"/>
        <v>0</v>
      </c>
      <c r="EF174">
        <f t="shared" si="117"/>
        <v>1</v>
      </c>
      <c r="EG174">
        <f t="shared" si="118"/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f t="shared" si="134"/>
        <v>1</v>
      </c>
      <c r="EO174">
        <f t="shared" si="135"/>
        <v>1</v>
      </c>
      <c r="EQ174">
        <f t="shared" si="126"/>
        <v>0</v>
      </c>
      <c r="ER174">
        <f t="shared" si="119"/>
        <v>0</v>
      </c>
      <c r="ES174">
        <f t="shared" si="120"/>
        <v>0</v>
      </c>
      <c r="ET174">
        <f t="shared" si="121"/>
        <v>0</v>
      </c>
      <c r="EU174">
        <f t="shared" si="122"/>
        <v>0</v>
      </c>
      <c r="EV174">
        <f t="shared" si="123"/>
        <v>1</v>
      </c>
      <c r="EW174">
        <f t="shared" si="100"/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1</v>
      </c>
      <c r="FX174">
        <f t="shared" si="101"/>
        <v>1</v>
      </c>
      <c r="FZ174">
        <v>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f t="shared" si="102"/>
        <v>1</v>
      </c>
    </row>
    <row r="175" spans="1:189" x14ac:dyDescent="0.35">
      <c r="A175" t="s">
        <v>191</v>
      </c>
      <c r="B175">
        <f>[1]Population!$BB213</f>
        <v>9378126</v>
      </c>
      <c r="C175">
        <f>[1]RealGDP!$BB213</f>
        <v>401624584927.2937</v>
      </c>
      <c r="D175" s="8">
        <f>[1]GDPcap!$BB213</f>
        <v>42825.675932195161</v>
      </c>
      <c r="E175" s="8">
        <v>27.110699620510715</v>
      </c>
      <c r="F175">
        <v>1.4281558434474604</v>
      </c>
      <c r="G175">
        <f>RANK(D175,D$4:D175:D$201)</f>
        <v>13</v>
      </c>
      <c r="H175" t="s">
        <v>191</v>
      </c>
      <c r="J175">
        <v>-9.1999999999999993</v>
      </c>
      <c r="K175">
        <v>-8.3000000000000007</v>
      </c>
      <c r="L175">
        <v>-4.4000000000000004</v>
      </c>
      <c r="M175">
        <v>0.7</v>
      </c>
      <c r="N175">
        <v>6.8</v>
      </c>
      <c r="O175">
        <v>12</v>
      </c>
      <c r="P175">
        <v>13.8</v>
      </c>
      <c r="Q175">
        <v>12.5</v>
      </c>
      <c r="R175">
        <v>8.1</v>
      </c>
      <c r="S175">
        <v>3.3</v>
      </c>
      <c r="T175">
        <v>-3</v>
      </c>
      <c r="U175">
        <v>-7.2</v>
      </c>
      <c r="V175">
        <v>1</v>
      </c>
      <c r="W175">
        <v>12.8</v>
      </c>
      <c r="X175">
        <v>2.8</v>
      </c>
      <c r="Y175">
        <v>-8.1</v>
      </c>
      <c r="Z175">
        <v>2.1</v>
      </c>
      <c r="AB175">
        <f t="shared" si="96"/>
        <v>0</v>
      </c>
      <c r="AC175">
        <f t="shared" si="97"/>
        <v>0</v>
      </c>
      <c r="AD175">
        <f t="shared" si="98"/>
        <v>0</v>
      </c>
      <c r="AE175">
        <f t="shared" si="99"/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f t="shared" si="103"/>
        <v>1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f t="shared" si="127"/>
        <v>1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f t="shared" si="136"/>
        <v>1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f t="shared" si="128"/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f t="shared" si="129"/>
        <v>1</v>
      </c>
      <c r="CX175">
        <f t="shared" si="124"/>
        <v>0</v>
      </c>
      <c r="CY175">
        <f t="shared" si="104"/>
        <v>1</v>
      </c>
      <c r="CZ175">
        <f t="shared" si="105"/>
        <v>0</v>
      </c>
      <c r="DA175">
        <f t="shared" si="106"/>
        <v>0</v>
      </c>
      <c r="DB175">
        <f t="shared" si="107"/>
        <v>0</v>
      </c>
      <c r="DC175">
        <f t="shared" si="108"/>
        <v>0</v>
      </c>
      <c r="DD175">
        <f t="shared" si="109"/>
        <v>0</v>
      </c>
      <c r="DE175">
        <f t="shared" si="110"/>
        <v>0</v>
      </c>
      <c r="DF175">
        <f t="shared" si="111"/>
        <v>0</v>
      </c>
      <c r="DH175">
        <v>0</v>
      </c>
      <c r="DI175">
        <v>0</v>
      </c>
      <c r="DJ175">
        <v>0</v>
      </c>
      <c r="DK175">
        <v>1</v>
      </c>
      <c r="DL175">
        <v>0</v>
      </c>
      <c r="DM175">
        <f t="shared" si="130"/>
        <v>0</v>
      </c>
      <c r="DN175">
        <f t="shared" si="131"/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f t="shared" si="132"/>
        <v>0</v>
      </c>
      <c r="DW175">
        <v>0</v>
      </c>
      <c r="DX175">
        <f t="shared" si="133"/>
        <v>1</v>
      </c>
      <c r="DZ175">
        <f t="shared" si="125"/>
        <v>1</v>
      </c>
      <c r="EA175">
        <f t="shared" si="112"/>
        <v>0</v>
      </c>
      <c r="EB175">
        <f t="shared" si="113"/>
        <v>0</v>
      </c>
      <c r="EC175">
        <f t="shared" si="114"/>
        <v>0</v>
      </c>
      <c r="ED175">
        <f t="shared" si="115"/>
        <v>0</v>
      </c>
      <c r="EE175">
        <f t="shared" si="116"/>
        <v>0</v>
      </c>
      <c r="EF175">
        <f t="shared" si="117"/>
        <v>0</v>
      </c>
      <c r="EG175">
        <f t="shared" si="118"/>
        <v>0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f t="shared" si="134"/>
        <v>0</v>
      </c>
      <c r="EO175">
        <f t="shared" si="135"/>
        <v>1</v>
      </c>
      <c r="EQ175">
        <f t="shared" si="126"/>
        <v>1</v>
      </c>
      <c r="ER175">
        <f t="shared" si="119"/>
        <v>0</v>
      </c>
      <c r="ES175">
        <f t="shared" si="120"/>
        <v>0</v>
      </c>
      <c r="ET175">
        <f t="shared" si="121"/>
        <v>0</v>
      </c>
      <c r="EU175">
        <f t="shared" si="122"/>
        <v>0</v>
      </c>
      <c r="EV175">
        <f t="shared" si="123"/>
        <v>0</v>
      </c>
      <c r="EW175">
        <f t="shared" si="100"/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f t="shared" si="101"/>
        <v>1</v>
      </c>
      <c r="FZ175">
        <v>0</v>
      </c>
      <c r="GA175">
        <v>0</v>
      </c>
      <c r="GB175">
        <v>1</v>
      </c>
      <c r="GC175">
        <v>0</v>
      </c>
      <c r="GD175">
        <v>0</v>
      </c>
      <c r="GE175">
        <v>0</v>
      </c>
      <c r="GF175">
        <v>0</v>
      </c>
      <c r="GG175">
        <f t="shared" si="102"/>
        <v>1</v>
      </c>
    </row>
    <row r="176" spans="1:189" x14ac:dyDescent="0.35">
      <c r="A176" t="s">
        <v>192</v>
      </c>
      <c r="B176">
        <f>[1]Population!$BB214</f>
        <v>7824909</v>
      </c>
      <c r="C176">
        <f>[1]RealGDP!$BB214</f>
        <v>427575024211.02106</v>
      </c>
      <c r="D176" s="8">
        <f>[1]GDPcap!$BB214</f>
        <v>54642.81108074497</v>
      </c>
      <c r="E176" s="8">
        <v>9.7192254584653419</v>
      </c>
      <c r="F176">
        <v>0.69911854876845392</v>
      </c>
      <c r="G176">
        <f>RANK(D176,D$4:D176:D$201)</f>
        <v>7</v>
      </c>
      <c r="H176" t="s">
        <v>192</v>
      </c>
      <c r="J176">
        <v>-2.7</v>
      </c>
      <c r="K176">
        <v>-1.7</v>
      </c>
      <c r="L176">
        <v>0.9</v>
      </c>
      <c r="M176">
        <v>4.2</v>
      </c>
      <c r="N176">
        <v>8.4</v>
      </c>
      <c r="O176">
        <v>11.7</v>
      </c>
      <c r="P176">
        <v>13.9</v>
      </c>
      <c r="Q176">
        <v>13.4</v>
      </c>
      <c r="R176">
        <v>10.9</v>
      </c>
      <c r="S176">
        <v>6.7</v>
      </c>
      <c r="T176">
        <v>1.6</v>
      </c>
      <c r="U176">
        <v>-1.5</v>
      </c>
      <c r="V176">
        <v>4.5</v>
      </c>
      <c r="W176">
        <v>13</v>
      </c>
      <c r="X176">
        <v>6.4</v>
      </c>
      <c r="Y176">
        <v>-1.9</v>
      </c>
      <c r="Z176">
        <v>5.5</v>
      </c>
      <c r="AB176">
        <f t="shared" si="96"/>
        <v>0</v>
      </c>
      <c r="AC176">
        <f t="shared" si="97"/>
        <v>0</v>
      </c>
      <c r="AD176">
        <f t="shared" si="98"/>
        <v>0</v>
      </c>
      <c r="AE176">
        <f t="shared" si="99"/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f t="shared" si="103"/>
        <v>1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f t="shared" si="127"/>
        <v>1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f t="shared" si="136"/>
        <v>1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f t="shared" si="128"/>
        <v>1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f t="shared" si="129"/>
        <v>1</v>
      </c>
      <c r="CX176">
        <f t="shared" si="124"/>
        <v>0</v>
      </c>
      <c r="CY176">
        <f t="shared" si="104"/>
        <v>1</v>
      </c>
      <c r="CZ176">
        <f t="shared" si="105"/>
        <v>0</v>
      </c>
      <c r="DA176">
        <f t="shared" si="106"/>
        <v>0</v>
      </c>
      <c r="DB176">
        <f t="shared" si="107"/>
        <v>0</v>
      </c>
      <c r="DC176">
        <f t="shared" si="108"/>
        <v>0</v>
      </c>
      <c r="DD176">
        <f t="shared" si="109"/>
        <v>0</v>
      </c>
      <c r="DE176">
        <f t="shared" si="110"/>
        <v>0</v>
      </c>
      <c r="DF176">
        <f t="shared" si="111"/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f t="shared" si="130"/>
        <v>1</v>
      </c>
      <c r="DN176">
        <f t="shared" si="131"/>
        <v>1</v>
      </c>
      <c r="DP176">
        <v>0</v>
      </c>
      <c r="DQ176">
        <v>0</v>
      </c>
      <c r="DR176">
        <v>1</v>
      </c>
      <c r="DS176">
        <v>0</v>
      </c>
      <c r="DT176">
        <v>0</v>
      </c>
      <c r="DU176">
        <v>0</v>
      </c>
      <c r="DV176">
        <f t="shared" si="132"/>
        <v>0</v>
      </c>
      <c r="DW176">
        <v>0</v>
      </c>
      <c r="DX176">
        <f t="shared" si="133"/>
        <v>1</v>
      </c>
      <c r="DZ176">
        <f t="shared" si="125"/>
        <v>0</v>
      </c>
      <c r="EA176">
        <f t="shared" si="112"/>
        <v>0</v>
      </c>
      <c r="EB176">
        <f t="shared" si="113"/>
        <v>1</v>
      </c>
      <c r="EC176">
        <f t="shared" si="114"/>
        <v>0</v>
      </c>
      <c r="ED176">
        <f t="shared" si="115"/>
        <v>0</v>
      </c>
      <c r="EE176">
        <f t="shared" si="116"/>
        <v>0</v>
      </c>
      <c r="EF176">
        <f t="shared" si="117"/>
        <v>0</v>
      </c>
      <c r="EG176">
        <f t="shared" si="118"/>
        <v>0</v>
      </c>
      <c r="EI176">
        <v>0</v>
      </c>
      <c r="EJ176">
        <v>0</v>
      </c>
      <c r="EK176">
        <v>1</v>
      </c>
      <c r="EL176">
        <v>0</v>
      </c>
      <c r="EM176">
        <v>0</v>
      </c>
      <c r="EN176">
        <f t="shared" si="134"/>
        <v>0</v>
      </c>
      <c r="EO176">
        <f t="shared" si="135"/>
        <v>1</v>
      </c>
      <c r="EQ176">
        <f t="shared" si="126"/>
        <v>0</v>
      </c>
      <c r="ER176">
        <f t="shared" si="119"/>
        <v>0</v>
      </c>
      <c r="ES176">
        <f t="shared" si="120"/>
        <v>1</v>
      </c>
      <c r="ET176">
        <f t="shared" si="121"/>
        <v>0</v>
      </c>
      <c r="EU176">
        <f t="shared" si="122"/>
        <v>0</v>
      </c>
      <c r="EV176">
        <f t="shared" si="123"/>
        <v>0</v>
      </c>
      <c r="EW176">
        <f t="shared" si="100"/>
        <v>1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f t="shared" si="101"/>
        <v>1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f t="shared" si="102"/>
        <v>1</v>
      </c>
    </row>
    <row r="177" spans="1:189" x14ac:dyDescent="0.35">
      <c r="A177" t="s">
        <v>193</v>
      </c>
      <c r="B177">
        <f>[1]Population!$BB215</f>
        <v>21532647</v>
      </c>
      <c r="C177">
        <f>B177*D177</f>
        <v>35446687900.822365</v>
      </c>
      <c r="D177" s="8">
        <f>[2]YpC3!$AZ$175</f>
        <v>1646.18348597933</v>
      </c>
      <c r="E177" s="8"/>
      <c r="G177">
        <f>RANK(D177,D$4:D177:D$201)</f>
        <v>134</v>
      </c>
      <c r="Z177">
        <v>16.7</v>
      </c>
      <c r="AB177">
        <f t="shared" si="96"/>
        <v>0</v>
      </c>
      <c r="AC177">
        <f t="shared" si="97"/>
        <v>1</v>
      </c>
      <c r="AD177">
        <f t="shared" si="98"/>
        <v>0</v>
      </c>
      <c r="AE177">
        <f t="shared" si="99"/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f t="shared" si="103"/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f t="shared" si="127"/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f t="shared" si="136"/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f t="shared" si="128"/>
        <v>1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f t="shared" si="129"/>
        <v>1</v>
      </c>
      <c r="CX177">
        <f t="shared" si="124"/>
        <v>0</v>
      </c>
      <c r="CY177">
        <f t="shared" si="104"/>
        <v>0</v>
      </c>
      <c r="CZ177">
        <f t="shared" si="105"/>
        <v>0</v>
      </c>
      <c r="DA177">
        <f t="shared" si="106"/>
        <v>0</v>
      </c>
      <c r="DB177">
        <f t="shared" si="107"/>
        <v>1</v>
      </c>
      <c r="DC177">
        <f t="shared" si="108"/>
        <v>0</v>
      </c>
      <c r="DD177">
        <f t="shared" si="109"/>
        <v>0</v>
      </c>
      <c r="DE177">
        <f t="shared" si="110"/>
        <v>0</v>
      </c>
      <c r="DF177">
        <f t="shared" si="111"/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</v>
      </c>
      <c r="DN177">
        <f t="shared" si="131"/>
        <v>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f t="shared" si="132"/>
        <v>1</v>
      </c>
      <c r="DW177">
        <v>0</v>
      </c>
      <c r="DX177">
        <f t="shared" si="133"/>
        <v>1</v>
      </c>
      <c r="DZ177">
        <f t="shared" si="125"/>
        <v>0</v>
      </c>
      <c r="EA177">
        <f t="shared" si="112"/>
        <v>0</v>
      </c>
      <c r="EB177">
        <f t="shared" si="113"/>
        <v>0</v>
      </c>
      <c r="EC177">
        <f t="shared" si="114"/>
        <v>0</v>
      </c>
      <c r="ED177">
        <f t="shared" si="115"/>
        <v>0</v>
      </c>
      <c r="EE177">
        <f t="shared" si="116"/>
        <v>0</v>
      </c>
      <c r="EF177">
        <f t="shared" si="117"/>
        <v>1</v>
      </c>
      <c r="EG177">
        <f t="shared" si="118"/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f t="shared" si="134"/>
        <v>1</v>
      </c>
      <c r="EO177">
        <f t="shared" si="135"/>
        <v>1</v>
      </c>
      <c r="EQ177">
        <f t="shared" si="126"/>
        <v>0</v>
      </c>
      <c r="ER177">
        <f t="shared" si="119"/>
        <v>0</v>
      </c>
      <c r="ES177">
        <f t="shared" si="120"/>
        <v>0</v>
      </c>
      <c r="ET177">
        <f t="shared" si="121"/>
        <v>0</v>
      </c>
      <c r="EU177">
        <f t="shared" si="122"/>
        <v>0</v>
      </c>
      <c r="EV177">
        <f t="shared" si="123"/>
        <v>1</v>
      </c>
      <c r="EW177">
        <f t="shared" si="100"/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f t="shared" si="101"/>
        <v>1</v>
      </c>
      <c r="FZ177">
        <v>0</v>
      </c>
      <c r="GA177">
        <v>1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f t="shared" si="102"/>
        <v>1</v>
      </c>
    </row>
    <row r="178" spans="1:189" x14ac:dyDescent="0.35">
      <c r="A178" t="s">
        <v>410</v>
      </c>
      <c r="B178">
        <f>[1]Population!$BB217</f>
        <v>7627326</v>
      </c>
      <c r="C178">
        <f>[1]RealGDP!$BB217</f>
        <v>3181403840.3997879</v>
      </c>
      <c r="D178" s="8">
        <f>[1]GDPcap!$BB217</f>
        <v>417.10605268475319</v>
      </c>
      <c r="E178" s="8"/>
      <c r="F178">
        <v>19.586677513751109</v>
      </c>
      <c r="G178">
        <f>RANK(D178,D$4:D178:D$201)</f>
        <v>180</v>
      </c>
      <c r="H178" t="s">
        <v>410</v>
      </c>
      <c r="J178">
        <v>-11.4</v>
      </c>
      <c r="K178">
        <v>-10.1</v>
      </c>
      <c r="L178">
        <v>-4.0999999999999996</v>
      </c>
      <c r="M178">
        <v>2.5</v>
      </c>
      <c r="N178">
        <v>6.4</v>
      </c>
      <c r="O178">
        <v>11.1</v>
      </c>
      <c r="P178">
        <v>14.3</v>
      </c>
      <c r="Q178">
        <v>13.7</v>
      </c>
      <c r="R178">
        <v>9.3000000000000007</v>
      </c>
      <c r="S178">
        <v>3</v>
      </c>
      <c r="T178">
        <v>-3.2</v>
      </c>
      <c r="U178">
        <v>-8.1999999999999993</v>
      </c>
      <c r="V178">
        <v>1.6</v>
      </c>
      <c r="W178">
        <v>13.1</v>
      </c>
      <c r="X178">
        <v>3</v>
      </c>
      <c r="Y178">
        <v>-9.5</v>
      </c>
      <c r="Z178">
        <v>2</v>
      </c>
      <c r="AB178">
        <f t="shared" si="96"/>
        <v>1</v>
      </c>
      <c r="AC178">
        <f t="shared" si="97"/>
        <v>0</v>
      </c>
      <c r="AD178">
        <f t="shared" si="98"/>
        <v>0</v>
      </c>
      <c r="AE178">
        <f t="shared" si="99"/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f t="shared" si="103"/>
        <v>1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f t="shared" si="127"/>
        <v>1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f t="shared" si="136"/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f t="shared" si="128"/>
        <v>1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f t="shared" si="129"/>
        <v>1</v>
      </c>
      <c r="CX178">
        <f t="shared" si="124"/>
        <v>0</v>
      </c>
      <c r="CY178">
        <f t="shared" si="104"/>
        <v>0</v>
      </c>
      <c r="CZ178">
        <f t="shared" si="105"/>
        <v>0</v>
      </c>
      <c r="DA178">
        <f t="shared" si="106"/>
        <v>1</v>
      </c>
      <c r="DB178">
        <f t="shared" si="107"/>
        <v>0</v>
      </c>
      <c r="DC178">
        <f t="shared" si="108"/>
        <v>0</v>
      </c>
      <c r="DD178">
        <f t="shared" si="109"/>
        <v>0</v>
      </c>
      <c r="DE178">
        <f t="shared" si="110"/>
        <v>0</v>
      </c>
      <c r="DF178">
        <f t="shared" si="111"/>
        <v>0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f t="shared" si="130"/>
        <v>0</v>
      </c>
      <c r="DN178">
        <f t="shared" si="131"/>
        <v>1</v>
      </c>
      <c r="DP178">
        <v>0</v>
      </c>
      <c r="DQ178">
        <v>0</v>
      </c>
      <c r="DR178">
        <v>0</v>
      </c>
      <c r="DS178">
        <v>1</v>
      </c>
      <c r="DT178">
        <v>0</v>
      </c>
      <c r="DU178">
        <v>0</v>
      </c>
      <c r="DV178">
        <f t="shared" si="132"/>
        <v>0</v>
      </c>
      <c r="DW178">
        <v>0</v>
      </c>
      <c r="DX178">
        <f t="shared" si="133"/>
        <v>1</v>
      </c>
      <c r="DZ178">
        <f t="shared" si="125"/>
        <v>0</v>
      </c>
      <c r="EA178">
        <f t="shared" si="112"/>
        <v>0</v>
      </c>
      <c r="EB178">
        <f t="shared" si="113"/>
        <v>0</v>
      </c>
      <c r="EC178">
        <f t="shared" si="114"/>
        <v>1</v>
      </c>
      <c r="ED178">
        <f t="shared" si="115"/>
        <v>0</v>
      </c>
      <c r="EE178">
        <f t="shared" si="116"/>
        <v>0</v>
      </c>
      <c r="EF178">
        <f t="shared" si="117"/>
        <v>0</v>
      </c>
      <c r="EG178">
        <f t="shared" si="118"/>
        <v>0</v>
      </c>
      <c r="EI178">
        <v>0</v>
      </c>
      <c r="EJ178">
        <v>0</v>
      </c>
      <c r="EK178">
        <v>0</v>
      </c>
      <c r="EL178">
        <v>1</v>
      </c>
      <c r="EM178">
        <v>0</v>
      </c>
      <c r="EN178">
        <f t="shared" si="134"/>
        <v>0</v>
      </c>
      <c r="EO178">
        <f t="shared" si="135"/>
        <v>1</v>
      </c>
      <c r="EQ178">
        <f t="shared" si="126"/>
        <v>0</v>
      </c>
      <c r="ER178">
        <f t="shared" si="119"/>
        <v>0</v>
      </c>
      <c r="ES178">
        <f t="shared" si="120"/>
        <v>0</v>
      </c>
      <c r="ET178">
        <f t="shared" si="121"/>
        <v>1</v>
      </c>
      <c r="EU178">
        <f t="shared" si="122"/>
        <v>0</v>
      </c>
      <c r="EV178">
        <f t="shared" si="123"/>
        <v>0</v>
      </c>
      <c r="EW178">
        <f t="shared" si="100"/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f t="shared" si="101"/>
        <v>1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f t="shared" si="102"/>
        <v>1</v>
      </c>
    </row>
    <row r="179" spans="1:189" x14ac:dyDescent="0.35">
      <c r="A179" t="s">
        <v>194</v>
      </c>
      <c r="B179">
        <f>[1]Population!$BB218</f>
        <v>44973330</v>
      </c>
      <c r="C179">
        <f>[1]RealGDP!$BB218</f>
        <v>19720449298.896339</v>
      </c>
      <c r="D179" s="8">
        <f>[1]GDPcap!$BB218</f>
        <v>438.4920862852793</v>
      </c>
      <c r="E179" s="8"/>
      <c r="F179">
        <v>29.90719393286545</v>
      </c>
      <c r="G179">
        <f>RANK(D179,D$4:D179:D$201)</f>
        <v>177</v>
      </c>
      <c r="H179" t="s">
        <v>194</v>
      </c>
      <c r="J179">
        <v>23.1</v>
      </c>
      <c r="K179">
        <v>23.2</v>
      </c>
      <c r="L179">
        <v>23.2</v>
      </c>
      <c r="M179">
        <v>22.7</v>
      </c>
      <c r="N179">
        <v>21.8</v>
      </c>
      <c r="O179">
        <v>20.5</v>
      </c>
      <c r="P179">
        <v>20.2</v>
      </c>
      <c r="Q179">
        <v>21</v>
      </c>
      <c r="R179">
        <v>22.2</v>
      </c>
      <c r="S179">
        <v>23.4</v>
      </c>
      <c r="T179">
        <v>23.5</v>
      </c>
      <c r="U179">
        <v>23.2</v>
      </c>
      <c r="V179">
        <v>22.6</v>
      </c>
      <c r="W179">
        <v>20.6</v>
      </c>
      <c r="X179">
        <v>23</v>
      </c>
      <c r="Y179">
        <v>22.4</v>
      </c>
      <c r="Z179">
        <v>22.3</v>
      </c>
      <c r="AB179">
        <f t="shared" si="96"/>
        <v>1</v>
      </c>
      <c r="AC179">
        <f t="shared" si="97"/>
        <v>0</v>
      </c>
      <c r="AD179">
        <f t="shared" si="98"/>
        <v>0</v>
      </c>
      <c r="AE179">
        <f t="shared" si="99"/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f t="shared" si="103"/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f t="shared" si="127"/>
        <v>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f t="shared" si="136"/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f t="shared" si="128"/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f t="shared" si="129"/>
        <v>1</v>
      </c>
      <c r="CX179">
        <f t="shared" si="124"/>
        <v>0</v>
      </c>
      <c r="CY179">
        <f t="shared" si="104"/>
        <v>0</v>
      </c>
      <c r="CZ179">
        <f t="shared" si="105"/>
        <v>0</v>
      </c>
      <c r="DA179">
        <f t="shared" si="106"/>
        <v>0</v>
      </c>
      <c r="DB179">
        <f t="shared" si="107"/>
        <v>0</v>
      </c>
      <c r="DC179">
        <f t="shared" si="108"/>
        <v>0</v>
      </c>
      <c r="DD179">
        <f t="shared" si="109"/>
        <v>0</v>
      </c>
      <c r="DE179">
        <f t="shared" si="110"/>
        <v>0</v>
      </c>
      <c r="DF179">
        <f t="shared" si="111"/>
        <v>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f t="shared" si="130"/>
        <v>1</v>
      </c>
      <c r="DN179">
        <f t="shared" si="131"/>
        <v>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f t="shared" si="132"/>
        <v>1</v>
      </c>
      <c r="DW179">
        <v>0</v>
      </c>
      <c r="DX179">
        <f t="shared" si="133"/>
        <v>1</v>
      </c>
      <c r="DZ179">
        <f t="shared" si="125"/>
        <v>0</v>
      </c>
      <c r="EA179">
        <f t="shared" si="112"/>
        <v>0</v>
      </c>
      <c r="EB179">
        <f t="shared" si="113"/>
        <v>0</v>
      </c>
      <c r="EC179">
        <f t="shared" si="114"/>
        <v>0</v>
      </c>
      <c r="ED179">
        <f t="shared" si="115"/>
        <v>0</v>
      </c>
      <c r="EE179">
        <f t="shared" si="116"/>
        <v>0</v>
      </c>
      <c r="EF179">
        <f t="shared" si="117"/>
        <v>1</v>
      </c>
      <c r="EG179">
        <f t="shared" si="118"/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f t="shared" si="134"/>
        <v>1</v>
      </c>
      <c r="EO179">
        <f t="shared" si="135"/>
        <v>1</v>
      </c>
      <c r="EQ179">
        <f t="shared" si="126"/>
        <v>0</v>
      </c>
      <c r="ER179">
        <f t="shared" si="119"/>
        <v>0</v>
      </c>
      <c r="ES179">
        <f t="shared" si="120"/>
        <v>0</v>
      </c>
      <c r="ET179">
        <f t="shared" si="121"/>
        <v>0</v>
      </c>
      <c r="EU179">
        <f t="shared" si="122"/>
        <v>0</v>
      </c>
      <c r="EV179">
        <f t="shared" si="123"/>
        <v>1</v>
      </c>
      <c r="EW179">
        <f t="shared" si="100"/>
        <v>1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f t="shared" si="101"/>
        <v>1</v>
      </c>
      <c r="FZ179">
        <v>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f t="shared" si="102"/>
        <v>1</v>
      </c>
    </row>
    <row r="180" spans="1:189" x14ac:dyDescent="0.35">
      <c r="A180" t="s">
        <v>195</v>
      </c>
      <c r="B180">
        <f>[1]Population!$BB219</f>
        <v>66402316</v>
      </c>
      <c r="C180">
        <f>[1]RealGDP!$BB219</f>
        <v>210090542914.01364</v>
      </c>
      <c r="D180" s="8">
        <f>[1]GDPcap!$BB219</f>
        <v>3163.9038450709104</v>
      </c>
      <c r="E180" s="8">
        <v>14.932639264569861</v>
      </c>
      <c r="F180">
        <v>10.525167533281133</v>
      </c>
      <c r="G180">
        <f>RANK(D180,D$4:D180:D$201)</f>
        <v>108</v>
      </c>
      <c r="H180" t="s">
        <v>195</v>
      </c>
      <c r="J180">
        <v>23.3</v>
      </c>
      <c r="K180">
        <v>25.3</v>
      </c>
      <c r="L180">
        <v>27.3</v>
      </c>
      <c r="M180">
        <v>28.8</v>
      </c>
      <c r="N180">
        <v>28.3</v>
      </c>
      <c r="O180">
        <v>27.5</v>
      </c>
      <c r="P180">
        <v>27.2</v>
      </c>
      <c r="Q180">
        <v>26.9</v>
      </c>
      <c r="R180">
        <v>26.8</v>
      </c>
      <c r="S180">
        <v>26.2</v>
      </c>
      <c r="T180">
        <v>24.7</v>
      </c>
      <c r="U180">
        <v>23</v>
      </c>
      <c r="V180">
        <v>28.1</v>
      </c>
      <c r="W180">
        <v>27.2</v>
      </c>
      <c r="X180">
        <v>25.9</v>
      </c>
      <c r="Y180">
        <v>23.1</v>
      </c>
      <c r="Z180">
        <v>26.3</v>
      </c>
      <c r="AB180">
        <f t="shared" si="96"/>
        <v>0</v>
      </c>
      <c r="AC180">
        <f t="shared" si="97"/>
        <v>1</v>
      </c>
      <c r="AD180">
        <f t="shared" si="98"/>
        <v>0</v>
      </c>
      <c r="AE180">
        <f t="shared" si="99"/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f t="shared" si="103"/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f t="shared" si="127"/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f t="shared" si="136"/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f t="shared" si="128"/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f t="shared" si="129"/>
        <v>1</v>
      </c>
      <c r="CX180">
        <f t="shared" si="124"/>
        <v>0</v>
      </c>
      <c r="CY180">
        <f t="shared" si="104"/>
        <v>0</v>
      </c>
      <c r="CZ180">
        <f t="shared" si="105"/>
        <v>0</v>
      </c>
      <c r="DA180">
        <f t="shared" si="106"/>
        <v>0</v>
      </c>
      <c r="DB180">
        <f t="shared" si="107"/>
        <v>0</v>
      </c>
      <c r="DC180">
        <f t="shared" si="108"/>
        <v>0</v>
      </c>
      <c r="DD180">
        <f t="shared" si="109"/>
        <v>1</v>
      </c>
      <c r="DE180">
        <f t="shared" si="110"/>
        <v>0</v>
      </c>
      <c r="DF180">
        <f t="shared" si="111"/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f t="shared" si="130"/>
        <v>1</v>
      </c>
      <c r="DN180">
        <f t="shared" si="131"/>
        <v>1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f t="shared" si="132"/>
        <v>0</v>
      </c>
      <c r="DW180">
        <v>0</v>
      </c>
      <c r="DX180">
        <f t="shared" si="133"/>
        <v>1</v>
      </c>
      <c r="DZ180">
        <f t="shared" si="125"/>
        <v>0</v>
      </c>
      <c r="EA180">
        <f t="shared" si="112"/>
        <v>0</v>
      </c>
      <c r="EB180">
        <f t="shared" si="113"/>
        <v>0</v>
      </c>
      <c r="EC180">
        <f t="shared" si="114"/>
        <v>0</v>
      </c>
      <c r="ED180">
        <f t="shared" si="115"/>
        <v>0</v>
      </c>
      <c r="EE180">
        <f t="shared" si="116"/>
        <v>1</v>
      </c>
      <c r="EF180">
        <f t="shared" si="117"/>
        <v>0</v>
      </c>
      <c r="EG180">
        <f t="shared" si="118"/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f t="shared" si="134"/>
        <v>1</v>
      </c>
      <c r="EO180">
        <f t="shared" si="135"/>
        <v>1</v>
      </c>
      <c r="EQ180">
        <f t="shared" si="126"/>
        <v>0</v>
      </c>
      <c r="ER180">
        <f t="shared" si="119"/>
        <v>0</v>
      </c>
      <c r="ES180">
        <f t="shared" si="120"/>
        <v>0</v>
      </c>
      <c r="ET180">
        <f t="shared" si="121"/>
        <v>0</v>
      </c>
      <c r="EU180">
        <f t="shared" si="122"/>
        <v>0</v>
      </c>
      <c r="EV180">
        <f t="shared" si="123"/>
        <v>1</v>
      </c>
      <c r="EW180">
        <f t="shared" si="100"/>
        <v>1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f t="shared" si="101"/>
        <v>1</v>
      </c>
      <c r="FZ180">
        <v>0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f t="shared" si="102"/>
        <v>1</v>
      </c>
    </row>
    <row r="181" spans="1:189" x14ac:dyDescent="0.35">
      <c r="A181" t="s">
        <v>411</v>
      </c>
      <c r="B181">
        <f>[1]Population!$BB220</f>
        <v>1142502</v>
      </c>
      <c r="C181">
        <f>[1]RealGDP!$BB220</f>
        <v>732847298.62475431</v>
      </c>
      <c r="D181" s="8">
        <f>[1]GDPcap!$BB220</f>
        <v>641.4407139985351</v>
      </c>
      <c r="E181" s="8">
        <v>24.298474862937063</v>
      </c>
      <c r="F181">
        <v>5.6553817112989453</v>
      </c>
      <c r="G181">
        <f>RANK(D181,D$4:D181:D$201)</f>
        <v>165</v>
      </c>
      <c r="H181" t="s">
        <v>153</v>
      </c>
      <c r="J181">
        <v>25.6</v>
      </c>
      <c r="K181">
        <v>25.7</v>
      </c>
      <c r="L181">
        <v>25.9</v>
      </c>
      <c r="M181">
        <v>26.1</v>
      </c>
      <c r="N181">
        <v>26.1</v>
      </c>
      <c r="O181">
        <v>25.6</v>
      </c>
      <c r="P181">
        <v>25.3</v>
      </c>
      <c r="Q181">
        <v>25.5</v>
      </c>
      <c r="R181">
        <v>25.7</v>
      </c>
      <c r="S181">
        <v>26.1</v>
      </c>
      <c r="T181">
        <v>26.2</v>
      </c>
      <c r="U181">
        <v>25.9</v>
      </c>
      <c r="V181">
        <v>26.1</v>
      </c>
      <c r="W181">
        <v>25.5</v>
      </c>
      <c r="X181">
        <v>26</v>
      </c>
      <c r="Y181">
        <v>24.9</v>
      </c>
      <c r="Z181">
        <v>25.8</v>
      </c>
      <c r="AB181">
        <f t="shared" si="96"/>
        <v>1</v>
      </c>
      <c r="AC181">
        <f t="shared" si="97"/>
        <v>0</v>
      </c>
      <c r="AD181">
        <f t="shared" si="98"/>
        <v>0</v>
      </c>
      <c r="AE181">
        <f t="shared" si="99"/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f t="shared" si="103"/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f t="shared" si="127"/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f t="shared" si="136"/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f t="shared" si="128"/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f t="shared" si="129"/>
        <v>1</v>
      </c>
      <c r="CX181">
        <f t="shared" si="124"/>
        <v>0</v>
      </c>
      <c r="CY181">
        <f t="shared" si="104"/>
        <v>0</v>
      </c>
      <c r="CZ181">
        <f t="shared" si="105"/>
        <v>0</v>
      </c>
      <c r="DA181">
        <f t="shared" si="106"/>
        <v>0</v>
      </c>
      <c r="DB181">
        <f t="shared" si="107"/>
        <v>0</v>
      </c>
      <c r="DC181">
        <f t="shared" si="108"/>
        <v>0</v>
      </c>
      <c r="DD181">
        <f t="shared" si="109"/>
        <v>1</v>
      </c>
      <c r="DE181">
        <f t="shared" si="110"/>
        <v>0</v>
      </c>
      <c r="DF181">
        <f t="shared" si="111"/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f t="shared" si="130"/>
        <v>1</v>
      </c>
      <c r="DN181">
        <f t="shared" si="131"/>
        <v>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f t="shared" si="132"/>
        <v>0</v>
      </c>
      <c r="DW181">
        <v>0</v>
      </c>
      <c r="DX181">
        <f t="shared" si="133"/>
        <v>1</v>
      </c>
      <c r="DZ181">
        <f t="shared" si="125"/>
        <v>0</v>
      </c>
      <c r="EA181">
        <f t="shared" si="112"/>
        <v>0</v>
      </c>
      <c r="EB181">
        <f t="shared" si="113"/>
        <v>0</v>
      </c>
      <c r="EC181">
        <f t="shared" si="114"/>
        <v>0</v>
      </c>
      <c r="ED181">
        <f t="shared" si="115"/>
        <v>0</v>
      </c>
      <c r="EE181">
        <f t="shared" si="116"/>
        <v>1</v>
      </c>
      <c r="EF181">
        <f t="shared" si="117"/>
        <v>0</v>
      </c>
      <c r="EG181">
        <f t="shared" si="118"/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f t="shared" si="134"/>
        <v>1</v>
      </c>
      <c r="EO181">
        <f t="shared" si="135"/>
        <v>1</v>
      </c>
      <c r="EQ181">
        <f t="shared" si="126"/>
        <v>0</v>
      </c>
      <c r="ER181">
        <f t="shared" si="119"/>
        <v>0</v>
      </c>
      <c r="ES181">
        <f t="shared" si="120"/>
        <v>0</v>
      </c>
      <c r="ET181">
        <f t="shared" si="121"/>
        <v>0</v>
      </c>
      <c r="EU181">
        <f t="shared" si="122"/>
        <v>0</v>
      </c>
      <c r="EV181">
        <f t="shared" si="123"/>
        <v>1</v>
      </c>
      <c r="EW181">
        <f t="shared" si="100"/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1</v>
      </c>
      <c r="FV181">
        <v>0</v>
      </c>
      <c r="FW181">
        <v>0</v>
      </c>
      <c r="FX181">
        <f t="shared" si="101"/>
        <v>1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f t="shared" si="102"/>
        <v>1</v>
      </c>
    </row>
    <row r="182" spans="1:189" x14ac:dyDescent="0.35">
      <c r="A182" t="s">
        <v>412</v>
      </c>
      <c r="B182">
        <f>[1]Population!$BB221</f>
        <v>6306014</v>
      </c>
      <c r="C182">
        <f>[1]RealGDP!$BB221</f>
        <v>2477349486.2692142</v>
      </c>
      <c r="D182" s="8">
        <f>[1]GDPcap!$BB221</f>
        <v>392.85505650149429</v>
      </c>
      <c r="E182" s="8">
        <v>15.703212842931569</v>
      </c>
      <c r="F182">
        <v>31.032445066360715</v>
      </c>
      <c r="G182">
        <f>RANK(D182,D$4:D182:D$201)</f>
        <v>184</v>
      </c>
      <c r="H182" t="s">
        <v>412</v>
      </c>
      <c r="J182">
        <v>27</v>
      </c>
      <c r="K182">
        <v>28.8</v>
      </c>
      <c r="L182">
        <v>29.5</v>
      </c>
      <c r="M182">
        <v>29.1</v>
      </c>
      <c r="N182">
        <v>28</v>
      </c>
      <c r="O182">
        <v>26.4</v>
      </c>
      <c r="P182">
        <v>25.4</v>
      </c>
      <c r="Q182">
        <v>25.2</v>
      </c>
      <c r="R182">
        <v>25.7</v>
      </c>
      <c r="S182">
        <v>26.7</v>
      </c>
      <c r="T182">
        <v>27.2</v>
      </c>
      <c r="U182">
        <v>26.8</v>
      </c>
      <c r="V182">
        <v>28.9</v>
      </c>
      <c r="W182">
        <v>25.7</v>
      </c>
      <c r="X182">
        <v>26.5</v>
      </c>
      <c r="Y182">
        <v>26.6</v>
      </c>
      <c r="Z182">
        <v>27.1</v>
      </c>
      <c r="AB182">
        <f t="shared" si="96"/>
        <v>1</v>
      </c>
      <c r="AC182">
        <f t="shared" si="97"/>
        <v>0</v>
      </c>
      <c r="AD182">
        <f t="shared" si="98"/>
        <v>0</v>
      </c>
      <c r="AE182">
        <f t="shared" si="99"/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f t="shared" si="103"/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f t="shared" si="127"/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f t="shared" si="136"/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f t="shared" si="128"/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f t="shared" si="129"/>
        <v>1</v>
      </c>
      <c r="CX182">
        <f t="shared" si="124"/>
        <v>0</v>
      </c>
      <c r="CY182">
        <f t="shared" si="104"/>
        <v>0</v>
      </c>
      <c r="CZ182">
        <f t="shared" si="105"/>
        <v>0</v>
      </c>
      <c r="DA182">
        <f t="shared" si="106"/>
        <v>0</v>
      </c>
      <c r="DB182">
        <f t="shared" si="107"/>
        <v>0</v>
      </c>
      <c r="DC182">
        <f t="shared" si="108"/>
        <v>0</v>
      </c>
      <c r="DD182">
        <f t="shared" si="109"/>
        <v>0</v>
      </c>
      <c r="DE182">
        <f t="shared" si="110"/>
        <v>0</v>
      </c>
      <c r="DF182">
        <f t="shared" si="111"/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f t="shared" si="130"/>
        <v>1</v>
      </c>
      <c r="DN182">
        <f t="shared" si="131"/>
        <v>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f t="shared" si="132"/>
        <v>1</v>
      </c>
      <c r="DW182">
        <v>0</v>
      </c>
      <c r="DX182">
        <f t="shared" si="133"/>
        <v>1</v>
      </c>
      <c r="DZ182">
        <f t="shared" si="125"/>
        <v>0</v>
      </c>
      <c r="EA182">
        <f t="shared" si="112"/>
        <v>0</v>
      </c>
      <c r="EB182">
        <f t="shared" si="113"/>
        <v>0</v>
      </c>
      <c r="EC182">
        <f t="shared" si="114"/>
        <v>0</v>
      </c>
      <c r="ED182">
        <f t="shared" si="115"/>
        <v>0</v>
      </c>
      <c r="EE182">
        <f t="shared" si="116"/>
        <v>0</v>
      </c>
      <c r="EF182">
        <f t="shared" si="117"/>
        <v>1</v>
      </c>
      <c r="EG182">
        <f t="shared" si="118"/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f t="shared" si="134"/>
        <v>1</v>
      </c>
      <c r="EO182">
        <f t="shared" si="135"/>
        <v>1</v>
      </c>
      <c r="EQ182">
        <f t="shared" si="126"/>
        <v>0</v>
      </c>
      <c r="ER182">
        <f t="shared" si="119"/>
        <v>0</v>
      </c>
      <c r="ES182">
        <f t="shared" si="120"/>
        <v>0</v>
      </c>
      <c r="ET182">
        <f t="shared" si="121"/>
        <v>0</v>
      </c>
      <c r="EU182">
        <f t="shared" si="122"/>
        <v>0</v>
      </c>
      <c r="EV182">
        <f t="shared" si="123"/>
        <v>1</v>
      </c>
      <c r="EW182">
        <f t="shared" si="100"/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</v>
      </c>
      <c r="FX182">
        <f t="shared" si="101"/>
        <v>1</v>
      </c>
      <c r="FZ182">
        <v>1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f t="shared" si="102"/>
        <v>1</v>
      </c>
    </row>
    <row r="183" spans="1:189" x14ac:dyDescent="0.35">
      <c r="A183" t="s">
        <v>413</v>
      </c>
      <c r="B183">
        <f>[1]Population!$BB223</f>
        <v>104098</v>
      </c>
      <c r="C183">
        <f>[1]RealGDP!$BB223</f>
        <v>268854242.96830958</v>
      </c>
      <c r="D183" s="8">
        <f>[1]GDPcap!$BB223</f>
        <v>2582.7032504784875</v>
      </c>
      <c r="E183" s="8"/>
      <c r="F183">
        <v>16.402413357653991</v>
      </c>
      <c r="G183">
        <f>RANK(D183,D$4:D183:D$201)</f>
        <v>118</v>
      </c>
      <c r="H183" t="s">
        <v>413</v>
      </c>
      <c r="J183">
        <v>26.6</v>
      </c>
      <c r="K183">
        <v>26.9</v>
      </c>
      <c r="L183">
        <v>26.6</v>
      </c>
      <c r="M183">
        <v>25.9</v>
      </c>
      <c r="N183">
        <v>25</v>
      </c>
      <c r="O183">
        <v>24.5</v>
      </c>
      <c r="P183">
        <v>23.8</v>
      </c>
      <c r="Q183">
        <v>23.5</v>
      </c>
      <c r="R183">
        <v>24</v>
      </c>
      <c r="S183">
        <v>24.6</v>
      </c>
      <c r="T183">
        <v>25.3</v>
      </c>
      <c r="U183">
        <v>25.9</v>
      </c>
      <c r="V183">
        <v>25.8</v>
      </c>
      <c r="W183">
        <v>23.9</v>
      </c>
      <c r="X183">
        <v>24.6</v>
      </c>
      <c r="Y183">
        <v>25.6</v>
      </c>
      <c r="Z183">
        <v>25.2</v>
      </c>
      <c r="AB183">
        <f t="shared" si="96"/>
        <v>0</v>
      </c>
      <c r="AC183">
        <f t="shared" si="97"/>
        <v>1</v>
      </c>
      <c r="AD183">
        <f t="shared" si="98"/>
        <v>0</v>
      </c>
      <c r="AE183">
        <f t="shared" si="99"/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f t="shared" si="103"/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f t="shared" si="127"/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f t="shared" si="136"/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f t="shared" si="128"/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f t="shared" si="129"/>
        <v>1</v>
      </c>
      <c r="CX183">
        <f t="shared" si="124"/>
        <v>0</v>
      </c>
      <c r="CY183">
        <f t="shared" si="104"/>
        <v>0</v>
      </c>
      <c r="CZ183">
        <f t="shared" si="105"/>
        <v>0</v>
      </c>
      <c r="DA183">
        <f t="shared" si="106"/>
        <v>0</v>
      </c>
      <c r="DB183">
        <f t="shared" si="107"/>
        <v>0</v>
      </c>
      <c r="DC183">
        <f t="shared" si="108"/>
        <v>0</v>
      </c>
      <c r="DD183">
        <f t="shared" si="109"/>
        <v>1</v>
      </c>
      <c r="DE183">
        <f t="shared" si="110"/>
        <v>0</v>
      </c>
      <c r="DF183">
        <f t="shared" si="111"/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f t="shared" si="130"/>
        <v>1</v>
      </c>
      <c r="DN183">
        <f t="shared" si="131"/>
        <v>1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1</v>
      </c>
      <c r="DV183">
        <f t="shared" si="132"/>
        <v>0</v>
      </c>
      <c r="DW183">
        <v>0</v>
      </c>
      <c r="DX183">
        <f t="shared" si="133"/>
        <v>1</v>
      </c>
      <c r="DZ183">
        <f t="shared" si="125"/>
        <v>0</v>
      </c>
      <c r="EA183">
        <f t="shared" si="112"/>
        <v>0</v>
      </c>
      <c r="EB183">
        <f t="shared" si="113"/>
        <v>0</v>
      </c>
      <c r="EC183">
        <f t="shared" si="114"/>
        <v>0</v>
      </c>
      <c r="ED183">
        <f t="shared" si="115"/>
        <v>0</v>
      </c>
      <c r="EE183">
        <f t="shared" si="116"/>
        <v>1</v>
      </c>
      <c r="EF183">
        <f t="shared" si="117"/>
        <v>0</v>
      </c>
      <c r="EG183">
        <f t="shared" si="118"/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f t="shared" si="134"/>
        <v>1</v>
      </c>
      <c r="EO183">
        <f t="shared" si="135"/>
        <v>1</v>
      </c>
      <c r="EQ183">
        <f t="shared" si="126"/>
        <v>0</v>
      </c>
      <c r="ER183">
        <f t="shared" si="119"/>
        <v>0</v>
      </c>
      <c r="ES183">
        <f t="shared" si="120"/>
        <v>0</v>
      </c>
      <c r="ET183">
        <f t="shared" si="121"/>
        <v>0</v>
      </c>
      <c r="EU183">
        <f t="shared" si="122"/>
        <v>0</v>
      </c>
      <c r="EV183">
        <f t="shared" si="123"/>
        <v>1</v>
      </c>
      <c r="EW183">
        <f t="shared" si="100"/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f t="shared" si="101"/>
        <v>1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1</v>
      </c>
      <c r="GF183">
        <v>0</v>
      </c>
      <c r="GG183">
        <f t="shared" si="102"/>
        <v>1</v>
      </c>
    </row>
    <row r="184" spans="1:189" x14ac:dyDescent="0.35">
      <c r="A184" t="s">
        <v>196</v>
      </c>
      <c r="B184">
        <f>[1]Population!$BB224</f>
        <v>1328095</v>
      </c>
      <c r="C184">
        <f>[1]RealGDP!$BB224</f>
        <v>18988955441.46624</v>
      </c>
      <c r="D184" s="8">
        <f>[1]GDPcap!$BB224</f>
        <v>14297.889414135465</v>
      </c>
      <c r="E184" s="8">
        <v>26.244018461364217</v>
      </c>
      <c r="F184">
        <v>0.52014610527507998</v>
      </c>
      <c r="G184">
        <f>RANK(D184,D$4:D184:D$201)</f>
        <v>51</v>
      </c>
      <c r="H184" t="s">
        <v>482</v>
      </c>
      <c r="I184" t="s">
        <v>483</v>
      </c>
      <c r="J184">
        <v>24.6</v>
      </c>
      <c r="K184">
        <v>24.7</v>
      </c>
      <c r="L184">
        <v>25.1</v>
      </c>
      <c r="M184">
        <v>25.9</v>
      </c>
      <c r="N184">
        <v>26.4</v>
      </c>
      <c r="O184">
        <v>26.1</v>
      </c>
      <c r="P184">
        <v>26</v>
      </c>
      <c r="Q184">
        <v>26.2</v>
      </c>
      <c r="R184">
        <v>26.4</v>
      </c>
      <c r="S184">
        <v>26.2</v>
      </c>
      <c r="T184">
        <v>25.8</v>
      </c>
      <c r="U184">
        <v>25.1</v>
      </c>
      <c r="V184">
        <v>25.8</v>
      </c>
      <c r="W184">
        <v>26.1</v>
      </c>
      <c r="X184">
        <v>26.1</v>
      </c>
      <c r="Y184">
        <v>24</v>
      </c>
      <c r="Z184">
        <v>25.7</v>
      </c>
      <c r="AB184">
        <f t="shared" si="96"/>
        <v>0</v>
      </c>
      <c r="AC184">
        <f t="shared" si="97"/>
        <v>0</v>
      </c>
      <c r="AD184">
        <f t="shared" si="98"/>
        <v>1</v>
      </c>
      <c r="AE184">
        <f t="shared" si="99"/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f t="shared" si="103"/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f t="shared" si="127"/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f t="shared" si="136"/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f t="shared" si="128"/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f t="shared" si="129"/>
        <v>1</v>
      </c>
      <c r="CX184">
        <f t="shared" si="124"/>
        <v>0</v>
      </c>
      <c r="CY184">
        <f t="shared" si="104"/>
        <v>0</v>
      </c>
      <c r="CZ184">
        <f t="shared" si="105"/>
        <v>0</v>
      </c>
      <c r="DA184">
        <f t="shared" si="106"/>
        <v>0</v>
      </c>
      <c r="DB184">
        <f t="shared" si="107"/>
        <v>0</v>
      </c>
      <c r="DC184">
        <f t="shared" si="108"/>
        <v>1</v>
      </c>
      <c r="DD184">
        <f t="shared" si="109"/>
        <v>0</v>
      </c>
      <c r="DE184">
        <f t="shared" si="110"/>
        <v>0</v>
      </c>
      <c r="DF184">
        <f t="shared" si="111"/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f t="shared" si="130"/>
        <v>1</v>
      </c>
      <c r="DN184">
        <f t="shared" si="131"/>
        <v>1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f t="shared" si="132"/>
        <v>0</v>
      </c>
      <c r="DW184">
        <v>1</v>
      </c>
      <c r="DX184">
        <f t="shared" si="133"/>
        <v>1</v>
      </c>
      <c r="DZ184">
        <f t="shared" si="125"/>
        <v>0</v>
      </c>
      <c r="EA184">
        <f t="shared" si="112"/>
        <v>0</v>
      </c>
      <c r="EB184">
        <f t="shared" si="113"/>
        <v>0</v>
      </c>
      <c r="EC184">
        <f t="shared" si="114"/>
        <v>0</v>
      </c>
      <c r="ED184">
        <f t="shared" si="115"/>
        <v>0</v>
      </c>
      <c r="EE184">
        <f t="shared" si="116"/>
        <v>0</v>
      </c>
      <c r="EF184">
        <f t="shared" si="117"/>
        <v>0</v>
      </c>
      <c r="EG184">
        <f t="shared" si="118"/>
        <v>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f t="shared" si="134"/>
        <v>1</v>
      </c>
      <c r="EO184">
        <f t="shared" si="135"/>
        <v>1</v>
      </c>
      <c r="EQ184">
        <f t="shared" si="126"/>
        <v>0</v>
      </c>
      <c r="ER184">
        <f t="shared" si="119"/>
        <v>0</v>
      </c>
      <c r="ES184">
        <f t="shared" si="120"/>
        <v>0</v>
      </c>
      <c r="ET184">
        <f t="shared" si="121"/>
        <v>0</v>
      </c>
      <c r="EU184">
        <f t="shared" si="122"/>
        <v>0</v>
      </c>
      <c r="EV184">
        <f t="shared" si="123"/>
        <v>1</v>
      </c>
      <c r="EW184">
        <f t="shared" si="100"/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f t="shared" si="101"/>
        <v>1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f t="shared" si="102"/>
        <v>1</v>
      </c>
    </row>
    <row r="185" spans="1:189" x14ac:dyDescent="0.35">
      <c r="A185" t="s">
        <v>197</v>
      </c>
      <c r="B185">
        <f>[1]Population!$BB225</f>
        <v>10549100</v>
      </c>
      <c r="C185">
        <f>[1]RealGDP!$BB225</f>
        <v>40735443534.70594</v>
      </c>
      <c r="D185" s="8">
        <f>[1]GDPcap!$BB225</f>
        <v>3861.5088997834828</v>
      </c>
      <c r="E185" s="8">
        <v>20.139086028752903</v>
      </c>
      <c r="F185">
        <v>7.5345930901045923</v>
      </c>
      <c r="G185">
        <f>RANK(D185,D$4:D185:D$201)</f>
        <v>99</v>
      </c>
      <c r="H185" t="s">
        <v>197</v>
      </c>
      <c r="J185">
        <v>10.6</v>
      </c>
      <c r="K185">
        <v>11.9</v>
      </c>
      <c r="L185">
        <v>14</v>
      </c>
      <c r="M185">
        <v>17.100000000000001</v>
      </c>
      <c r="N185">
        <v>21.2</v>
      </c>
      <c r="O185">
        <v>25.4</v>
      </c>
      <c r="P185">
        <v>28.2</v>
      </c>
      <c r="Q185">
        <v>28.3</v>
      </c>
      <c r="R185">
        <v>25.4</v>
      </c>
      <c r="S185">
        <v>20.6</v>
      </c>
      <c r="T185">
        <v>15.5</v>
      </c>
      <c r="U185">
        <v>11.7</v>
      </c>
      <c r="V185">
        <v>17.399999999999999</v>
      </c>
      <c r="W185">
        <v>27.3</v>
      </c>
      <c r="X185">
        <v>20.5</v>
      </c>
      <c r="Y185">
        <v>11</v>
      </c>
      <c r="Z185">
        <v>19.2</v>
      </c>
      <c r="AB185">
        <f t="shared" si="96"/>
        <v>0</v>
      </c>
      <c r="AC185">
        <f t="shared" si="97"/>
        <v>0</v>
      </c>
      <c r="AD185">
        <f t="shared" si="98"/>
        <v>1</v>
      </c>
      <c r="AE185">
        <f t="shared" si="99"/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f t="shared" si="103"/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f t="shared" si="127"/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f t="shared" si="136"/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f t="shared" si="128"/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f t="shared" si="129"/>
        <v>1</v>
      </c>
      <c r="CX185">
        <f t="shared" si="124"/>
        <v>0</v>
      </c>
      <c r="CY185">
        <f t="shared" si="104"/>
        <v>0</v>
      </c>
      <c r="CZ185">
        <f t="shared" si="105"/>
        <v>0</v>
      </c>
      <c r="DA185">
        <f t="shared" si="106"/>
        <v>0</v>
      </c>
      <c r="DB185">
        <f t="shared" si="107"/>
        <v>0</v>
      </c>
      <c r="DC185">
        <f t="shared" si="108"/>
        <v>0</v>
      </c>
      <c r="DD185">
        <f t="shared" si="109"/>
        <v>0</v>
      </c>
      <c r="DE185">
        <f t="shared" si="110"/>
        <v>0</v>
      </c>
      <c r="DF185">
        <f t="shared" si="111"/>
        <v>1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f t="shared" si="130"/>
        <v>1</v>
      </c>
      <c r="DN185">
        <f t="shared" si="131"/>
        <v>1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f t="shared" si="132"/>
        <v>1</v>
      </c>
      <c r="DW185">
        <v>0</v>
      </c>
      <c r="DX185">
        <f t="shared" si="133"/>
        <v>1</v>
      </c>
      <c r="DZ185">
        <f t="shared" si="125"/>
        <v>0</v>
      </c>
      <c r="EA185">
        <f t="shared" si="112"/>
        <v>0</v>
      </c>
      <c r="EB185">
        <f t="shared" si="113"/>
        <v>0</v>
      </c>
      <c r="EC185">
        <f t="shared" si="114"/>
        <v>0</v>
      </c>
      <c r="ED185">
        <f t="shared" si="115"/>
        <v>0</v>
      </c>
      <c r="EE185">
        <f t="shared" si="116"/>
        <v>0</v>
      </c>
      <c r="EF185">
        <f t="shared" si="117"/>
        <v>1</v>
      </c>
      <c r="EG185">
        <f t="shared" si="118"/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f t="shared" si="134"/>
        <v>1</v>
      </c>
      <c r="EO185">
        <f t="shared" si="135"/>
        <v>1</v>
      </c>
      <c r="EQ185">
        <f t="shared" si="126"/>
        <v>0</v>
      </c>
      <c r="ER185">
        <f t="shared" si="119"/>
        <v>0</v>
      </c>
      <c r="ES185">
        <f t="shared" si="120"/>
        <v>0</v>
      </c>
      <c r="ET185">
        <f t="shared" si="121"/>
        <v>0</v>
      </c>
      <c r="EU185">
        <f t="shared" si="122"/>
        <v>0</v>
      </c>
      <c r="EV185">
        <f t="shared" si="123"/>
        <v>1</v>
      </c>
      <c r="EW185">
        <f t="shared" si="100"/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f t="shared" si="101"/>
        <v>1</v>
      </c>
      <c r="FZ185">
        <v>1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f t="shared" si="102"/>
        <v>1</v>
      </c>
    </row>
    <row r="186" spans="1:189" x14ac:dyDescent="0.35">
      <c r="A186" t="s">
        <v>198</v>
      </c>
      <c r="B186">
        <f>[1]Population!$BB226</f>
        <v>72137546</v>
      </c>
      <c r="C186">
        <f>[1]RealGDP!$BB226</f>
        <v>565091528615.37659</v>
      </c>
      <c r="D186" s="8">
        <f>[1]GDPcap!$BB226</f>
        <v>7833.5285846205052</v>
      </c>
      <c r="E186" s="8">
        <v>19.405369613572017</v>
      </c>
      <c r="F186">
        <v>9.0260666669311451</v>
      </c>
      <c r="G186">
        <f>RANK(D186,D$4:D186:D$201)</f>
        <v>67</v>
      </c>
      <c r="H186" t="s">
        <v>198</v>
      </c>
      <c r="J186">
        <v>-0.2</v>
      </c>
      <c r="K186">
        <v>1.2</v>
      </c>
      <c r="L186">
        <v>4.9000000000000004</v>
      </c>
      <c r="M186">
        <v>10.1</v>
      </c>
      <c r="N186">
        <v>14.6</v>
      </c>
      <c r="O186">
        <v>18.5</v>
      </c>
      <c r="P186">
        <v>21.7</v>
      </c>
      <c r="Q186">
        <v>21.6</v>
      </c>
      <c r="R186">
        <v>18.100000000000001</v>
      </c>
      <c r="S186">
        <v>12.7</v>
      </c>
      <c r="T186">
        <v>7.1</v>
      </c>
      <c r="U186">
        <v>2.2999999999999998</v>
      </c>
      <c r="V186">
        <v>9.9</v>
      </c>
      <c r="W186">
        <v>20.6</v>
      </c>
      <c r="X186">
        <v>12.6</v>
      </c>
      <c r="Y186">
        <v>1.1000000000000001</v>
      </c>
      <c r="Z186">
        <v>11.1</v>
      </c>
      <c r="AB186">
        <f t="shared" si="96"/>
        <v>0</v>
      </c>
      <c r="AC186">
        <f t="shared" si="97"/>
        <v>0</v>
      </c>
      <c r="AD186">
        <f t="shared" si="98"/>
        <v>1</v>
      </c>
      <c r="AE186">
        <f t="shared" si="99"/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f t="shared" si="103"/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f t="shared" si="127"/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f t="shared" si="136"/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f t="shared" si="128"/>
        <v>1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f t="shared" si="129"/>
        <v>1</v>
      </c>
      <c r="CX186">
        <f t="shared" si="124"/>
        <v>0</v>
      </c>
      <c r="CY186">
        <f t="shared" si="104"/>
        <v>0</v>
      </c>
      <c r="CZ186">
        <f t="shared" si="105"/>
        <v>0</v>
      </c>
      <c r="DA186">
        <f t="shared" si="106"/>
        <v>0</v>
      </c>
      <c r="DB186">
        <f t="shared" si="107"/>
        <v>1</v>
      </c>
      <c r="DC186">
        <f t="shared" si="108"/>
        <v>0</v>
      </c>
      <c r="DD186">
        <f t="shared" si="109"/>
        <v>0</v>
      </c>
      <c r="DE186">
        <f t="shared" si="110"/>
        <v>0</v>
      </c>
      <c r="DF186">
        <f t="shared" si="111"/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f t="shared" si="130"/>
        <v>1</v>
      </c>
      <c r="DN186">
        <f t="shared" si="131"/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f t="shared" si="132"/>
        <v>1</v>
      </c>
      <c r="DW186">
        <v>0</v>
      </c>
      <c r="DX186">
        <f t="shared" si="133"/>
        <v>1</v>
      </c>
      <c r="DZ186">
        <f t="shared" si="125"/>
        <v>0</v>
      </c>
      <c r="EA186">
        <f t="shared" si="112"/>
        <v>0</v>
      </c>
      <c r="EB186">
        <f t="shared" si="113"/>
        <v>0</v>
      </c>
      <c r="EC186">
        <f t="shared" si="114"/>
        <v>0</v>
      </c>
      <c r="ED186">
        <f t="shared" si="115"/>
        <v>0</v>
      </c>
      <c r="EE186">
        <f t="shared" si="116"/>
        <v>0</v>
      </c>
      <c r="EF186">
        <f t="shared" si="117"/>
        <v>1</v>
      </c>
      <c r="EG186">
        <f t="shared" si="118"/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f t="shared" si="134"/>
        <v>1</v>
      </c>
      <c r="EO186">
        <f t="shared" si="135"/>
        <v>1</v>
      </c>
      <c r="EQ186">
        <f t="shared" si="126"/>
        <v>0</v>
      </c>
      <c r="ER186">
        <f t="shared" si="119"/>
        <v>0</v>
      </c>
      <c r="ES186">
        <f t="shared" si="120"/>
        <v>0</v>
      </c>
      <c r="ET186">
        <f t="shared" si="121"/>
        <v>0</v>
      </c>
      <c r="EU186">
        <f t="shared" si="122"/>
        <v>0</v>
      </c>
      <c r="EV186">
        <f t="shared" si="123"/>
        <v>1</v>
      </c>
      <c r="EW186">
        <f t="shared" si="100"/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1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f t="shared" si="101"/>
        <v>1</v>
      </c>
      <c r="FZ186">
        <v>0</v>
      </c>
      <c r="GA186">
        <v>1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f t="shared" si="102"/>
        <v>1</v>
      </c>
    </row>
    <row r="187" spans="1:189" x14ac:dyDescent="0.35">
      <c r="A187" t="s">
        <v>414</v>
      </c>
      <c r="B187">
        <f>[1]Population!$BB227</f>
        <v>5041995</v>
      </c>
      <c r="C187">
        <f>[1]RealGDP!$BB227</f>
        <v>13272686025.408352</v>
      </c>
      <c r="D187" s="8">
        <f>[1]GDPcap!$BB227</f>
        <v>2632.4274469546981</v>
      </c>
      <c r="E187" s="8"/>
      <c r="F187">
        <v>11.340542556166683</v>
      </c>
      <c r="G187">
        <f>RANK(D187,D$4:D187:D$201)</f>
        <v>117</v>
      </c>
      <c r="H187" t="s">
        <v>414</v>
      </c>
      <c r="J187">
        <v>0.9</v>
      </c>
      <c r="K187">
        <v>2.4</v>
      </c>
      <c r="L187">
        <v>8.4</v>
      </c>
      <c r="M187">
        <v>16</v>
      </c>
      <c r="N187">
        <v>22.1</v>
      </c>
      <c r="O187">
        <v>26.8</v>
      </c>
      <c r="P187">
        <v>29.2</v>
      </c>
      <c r="Q187">
        <v>27.2</v>
      </c>
      <c r="R187">
        <v>21.7</v>
      </c>
      <c r="S187">
        <v>14.3</v>
      </c>
      <c r="T187">
        <v>8.5</v>
      </c>
      <c r="U187">
        <v>3.4</v>
      </c>
      <c r="V187">
        <v>15.5</v>
      </c>
      <c r="W187">
        <v>27.7</v>
      </c>
      <c r="X187">
        <v>14.8</v>
      </c>
      <c r="Y187">
        <v>2.2000000000000002</v>
      </c>
      <c r="Z187">
        <v>15.1</v>
      </c>
      <c r="AB187">
        <f t="shared" si="96"/>
        <v>0</v>
      </c>
      <c r="AC187">
        <f t="shared" si="97"/>
        <v>1</v>
      </c>
      <c r="AD187">
        <f t="shared" si="98"/>
        <v>0</v>
      </c>
      <c r="AE187">
        <f t="shared" si="99"/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f t="shared" si="103"/>
        <v>1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f t="shared" si="127"/>
        <v>1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f t="shared" si="136"/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f t="shared" si="128"/>
        <v>1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f t="shared" si="129"/>
        <v>1</v>
      </c>
      <c r="CX187">
        <f t="shared" si="124"/>
        <v>0</v>
      </c>
      <c r="CY187">
        <f t="shared" si="104"/>
        <v>0</v>
      </c>
      <c r="CZ187">
        <f t="shared" si="105"/>
        <v>0</v>
      </c>
      <c r="DA187">
        <f t="shared" si="106"/>
        <v>1</v>
      </c>
      <c r="DB187">
        <f t="shared" si="107"/>
        <v>0</v>
      </c>
      <c r="DC187">
        <f t="shared" si="108"/>
        <v>0</v>
      </c>
      <c r="DD187">
        <f t="shared" si="109"/>
        <v>0</v>
      </c>
      <c r="DE187">
        <f t="shared" si="110"/>
        <v>0</v>
      </c>
      <c r="DF187">
        <f t="shared" si="111"/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f t="shared" si="130"/>
        <v>0</v>
      </c>
      <c r="DN187">
        <f t="shared" si="131"/>
        <v>1</v>
      </c>
      <c r="DP187">
        <v>0</v>
      </c>
      <c r="DQ187">
        <v>0</v>
      </c>
      <c r="DR187">
        <v>0</v>
      </c>
      <c r="DS187">
        <v>1</v>
      </c>
      <c r="DT187">
        <v>0</v>
      </c>
      <c r="DU187">
        <v>0</v>
      </c>
      <c r="DV187">
        <f t="shared" si="132"/>
        <v>0</v>
      </c>
      <c r="DW187">
        <v>0</v>
      </c>
      <c r="DX187">
        <f t="shared" si="133"/>
        <v>1</v>
      </c>
      <c r="DZ187">
        <f t="shared" si="125"/>
        <v>0</v>
      </c>
      <c r="EA187">
        <f t="shared" si="112"/>
        <v>0</v>
      </c>
      <c r="EB187">
        <f t="shared" si="113"/>
        <v>0</v>
      </c>
      <c r="EC187">
        <f t="shared" si="114"/>
        <v>1</v>
      </c>
      <c r="ED187">
        <f t="shared" si="115"/>
        <v>0</v>
      </c>
      <c r="EE187">
        <f t="shared" si="116"/>
        <v>0</v>
      </c>
      <c r="EF187">
        <f t="shared" si="117"/>
        <v>0</v>
      </c>
      <c r="EG187">
        <f t="shared" si="118"/>
        <v>0</v>
      </c>
      <c r="EI187">
        <v>0</v>
      </c>
      <c r="EJ187">
        <v>0</v>
      </c>
      <c r="EK187">
        <v>0</v>
      </c>
      <c r="EL187">
        <v>1</v>
      </c>
      <c r="EM187">
        <v>0</v>
      </c>
      <c r="EN187">
        <f t="shared" si="134"/>
        <v>0</v>
      </c>
      <c r="EO187">
        <f t="shared" si="135"/>
        <v>1</v>
      </c>
      <c r="EQ187">
        <f t="shared" si="126"/>
        <v>0</v>
      </c>
      <c r="ER187">
        <f t="shared" si="119"/>
        <v>0</v>
      </c>
      <c r="ES187">
        <f t="shared" si="120"/>
        <v>0</v>
      </c>
      <c r="ET187">
        <f t="shared" si="121"/>
        <v>1</v>
      </c>
      <c r="EU187">
        <f t="shared" si="122"/>
        <v>0</v>
      </c>
      <c r="EV187">
        <f t="shared" si="123"/>
        <v>0</v>
      </c>
      <c r="EW187">
        <f t="shared" si="100"/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f t="shared" si="101"/>
        <v>1</v>
      </c>
      <c r="FZ187">
        <v>0</v>
      </c>
      <c r="GA187">
        <v>0</v>
      </c>
      <c r="GB187">
        <v>0</v>
      </c>
      <c r="GC187">
        <v>1</v>
      </c>
      <c r="GD187">
        <v>0</v>
      </c>
      <c r="GE187">
        <v>0</v>
      </c>
      <c r="GF187">
        <v>0</v>
      </c>
      <c r="GG187">
        <f t="shared" si="102"/>
        <v>1</v>
      </c>
    </row>
    <row r="188" spans="1:189" x14ac:dyDescent="0.35">
      <c r="A188" t="s">
        <v>415</v>
      </c>
      <c r="B188">
        <f>[1]Population!$BB229</f>
        <v>9827</v>
      </c>
      <c r="C188">
        <f>[1]RealGDP!$BB229</f>
        <v>23813390.625238709</v>
      </c>
      <c r="D188" s="8">
        <f>[1]GDPcap!$BB229</f>
        <v>2423.2614862357495</v>
      </c>
      <c r="E188" s="8"/>
      <c r="F188">
        <v>26.748140888914506</v>
      </c>
      <c r="G188">
        <f>RANK(D188,D$4:D188:D$201)</f>
        <v>121</v>
      </c>
      <c r="H188" t="s">
        <v>415</v>
      </c>
      <c r="J188">
        <v>28.1</v>
      </c>
      <c r="K188">
        <v>28.1</v>
      </c>
      <c r="L188">
        <v>28.1</v>
      </c>
      <c r="M188">
        <v>28.2</v>
      </c>
      <c r="N188">
        <v>28.2</v>
      </c>
      <c r="O188">
        <v>27.9</v>
      </c>
      <c r="P188">
        <v>27.6</v>
      </c>
      <c r="Q188">
        <v>27.6</v>
      </c>
      <c r="R188">
        <v>27.8</v>
      </c>
      <c r="S188">
        <v>27.8</v>
      </c>
      <c r="T188">
        <v>28</v>
      </c>
      <c r="U188">
        <v>28.1</v>
      </c>
      <c r="V188">
        <v>28.2</v>
      </c>
      <c r="W188">
        <v>27.7</v>
      </c>
      <c r="X188">
        <v>27.9</v>
      </c>
      <c r="Y188">
        <v>27.2</v>
      </c>
      <c r="Z188">
        <v>28</v>
      </c>
      <c r="AB188">
        <f t="shared" si="96"/>
        <v>0</v>
      </c>
      <c r="AC188">
        <f t="shared" si="97"/>
        <v>1</v>
      </c>
      <c r="AD188">
        <f t="shared" si="98"/>
        <v>0</v>
      </c>
      <c r="AE188">
        <f t="shared" si="99"/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f t="shared" si="103"/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f t="shared" si="127"/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f t="shared" si="136"/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f t="shared" si="128"/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f t="shared" si="129"/>
        <v>1</v>
      </c>
      <c r="CX188">
        <f t="shared" si="124"/>
        <v>0</v>
      </c>
      <c r="CY188">
        <f t="shared" si="104"/>
        <v>0</v>
      </c>
      <c r="CZ188">
        <f t="shared" si="105"/>
        <v>0</v>
      </c>
      <c r="DA188">
        <f t="shared" si="106"/>
        <v>0</v>
      </c>
      <c r="DB188">
        <f t="shared" si="107"/>
        <v>0</v>
      </c>
      <c r="DC188">
        <f t="shared" si="108"/>
        <v>0</v>
      </c>
      <c r="DD188">
        <f t="shared" si="109"/>
        <v>1</v>
      </c>
      <c r="DE188">
        <f t="shared" si="110"/>
        <v>0</v>
      </c>
      <c r="DF188">
        <f t="shared" si="111"/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f t="shared" si="130"/>
        <v>1</v>
      </c>
      <c r="DN188">
        <f t="shared" si="131"/>
        <v>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f t="shared" si="132"/>
        <v>0</v>
      </c>
      <c r="DW188">
        <v>0</v>
      </c>
      <c r="DX188">
        <f t="shared" si="133"/>
        <v>1</v>
      </c>
      <c r="DZ188">
        <f t="shared" si="125"/>
        <v>0</v>
      </c>
      <c r="EA188">
        <f t="shared" si="112"/>
        <v>0</v>
      </c>
      <c r="EB188">
        <f t="shared" si="113"/>
        <v>0</v>
      </c>
      <c r="EC188">
        <f t="shared" si="114"/>
        <v>0</v>
      </c>
      <c r="ED188">
        <f t="shared" si="115"/>
        <v>0</v>
      </c>
      <c r="EE188">
        <f t="shared" si="116"/>
        <v>1</v>
      </c>
      <c r="EF188">
        <f t="shared" si="117"/>
        <v>0</v>
      </c>
      <c r="EG188">
        <f t="shared" si="118"/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f t="shared" si="134"/>
        <v>1</v>
      </c>
      <c r="EO188">
        <f t="shared" si="135"/>
        <v>1</v>
      </c>
      <c r="EQ188">
        <f t="shared" si="126"/>
        <v>0</v>
      </c>
      <c r="ER188">
        <f t="shared" si="119"/>
        <v>0</v>
      </c>
      <c r="ES188">
        <f t="shared" si="120"/>
        <v>0</v>
      </c>
      <c r="ET188">
        <f t="shared" si="121"/>
        <v>0</v>
      </c>
      <c r="EU188">
        <f t="shared" si="122"/>
        <v>0</v>
      </c>
      <c r="EV188">
        <f t="shared" si="123"/>
        <v>1</v>
      </c>
      <c r="EW188">
        <f t="shared" si="100"/>
        <v>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0</v>
      </c>
      <c r="FX188">
        <f t="shared" si="101"/>
        <v>1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f t="shared" si="102"/>
        <v>1</v>
      </c>
    </row>
    <row r="189" spans="1:189" x14ac:dyDescent="0.35">
      <c r="A189" t="s">
        <v>254</v>
      </c>
      <c r="B189">
        <f>[1]Population!$BB232</f>
        <v>33987213</v>
      </c>
      <c r="C189">
        <f>[1]RealGDP!$BB232</f>
        <v>13362034649.013441</v>
      </c>
      <c r="D189" s="8">
        <f>[1]GDPcap!$BB232</f>
        <v>393.14887775627386</v>
      </c>
      <c r="E189" s="8"/>
      <c r="F189">
        <v>26.235537327409642</v>
      </c>
      <c r="G189">
        <f>RANK(D189,D$4:D189:D$201)</f>
        <v>183</v>
      </c>
      <c r="H189" t="s">
        <v>254</v>
      </c>
      <c r="J189">
        <v>23.4</v>
      </c>
      <c r="K189">
        <v>23.9</v>
      </c>
      <c r="L189">
        <v>24</v>
      </c>
      <c r="M189">
        <v>23.2</v>
      </c>
      <c r="N189">
        <v>22.7</v>
      </c>
      <c r="O189">
        <v>22.2</v>
      </c>
      <c r="P189">
        <v>21.7</v>
      </c>
      <c r="Q189">
        <v>21.9</v>
      </c>
      <c r="R189">
        <v>22.3</v>
      </c>
      <c r="S189">
        <v>22.7</v>
      </c>
      <c r="T189">
        <v>22.7</v>
      </c>
      <c r="U189">
        <v>22.8</v>
      </c>
      <c r="V189">
        <v>23.3</v>
      </c>
      <c r="W189">
        <v>21.9</v>
      </c>
      <c r="X189">
        <v>22.6</v>
      </c>
      <c r="Y189">
        <v>22.6</v>
      </c>
      <c r="Z189">
        <v>22.8</v>
      </c>
      <c r="AB189">
        <f t="shared" si="96"/>
        <v>1</v>
      </c>
      <c r="AC189">
        <f t="shared" si="97"/>
        <v>0</v>
      </c>
      <c r="AD189">
        <f t="shared" si="98"/>
        <v>0</v>
      </c>
      <c r="AE189">
        <f t="shared" si="99"/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f t="shared" ref="AV189:AV201" si="137">SUM(AG189:AU189)</f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f t="shared" si="127"/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f t="shared" si="136"/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f t="shared" si="128"/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f t="shared" si="129"/>
        <v>1</v>
      </c>
      <c r="CX189">
        <f t="shared" si="124"/>
        <v>0</v>
      </c>
      <c r="CY189">
        <f t="shared" si="104"/>
        <v>0</v>
      </c>
      <c r="CZ189">
        <f t="shared" si="105"/>
        <v>0</v>
      </c>
      <c r="DA189">
        <f t="shared" si="106"/>
        <v>0</v>
      </c>
      <c r="DB189">
        <f t="shared" si="107"/>
        <v>0</v>
      </c>
      <c r="DC189">
        <f t="shared" si="108"/>
        <v>0</v>
      </c>
      <c r="DD189">
        <f t="shared" si="109"/>
        <v>0</v>
      </c>
      <c r="DE189">
        <f t="shared" si="110"/>
        <v>0</v>
      </c>
      <c r="DF189">
        <f t="shared" si="111"/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f t="shared" si="130"/>
        <v>1</v>
      </c>
      <c r="DN189">
        <f t="shared" si="131"/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f t="shared" si="132"/>
        <v>1</v>
      </c>
      <c r="DW189">
        <v>0</v>
      </c>
      <c r="DX189">
        <f t="shared" si="133"/>
        <v>1</v>
      </c>
      <c r="DZ189">
        <f t="shared" si="125"/>
        <v>0</v>
      </c>
      <c r="EA189">
        <f t="shared" si="112"/>
        <v>0</v>
      </c>
      <c r="EB189">
        <f t="shared" si="113"/>
        <v>0</v>
      </c>
      <c r="EC189">
        <f t="shared" si="114"/>
        <v>0</v>
      </c>
      <c r="ED189">
        <f t="shared" si="115"/>
        <v>0</v>
      </c>
      <c r="EE189">
        <f t="shared" si="116"/>
        <v>0</v>
      </c>
      <c r="EF189">
        <f t="shared" si="117"/>
        <v>1</v>
      </c>
      <c r="EG189">
        <f t="shared" si="118"/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f t="shared" si="134"/>
        <v>1</v>
      </c>
      <c r="EO189">
        <f t="shared" si="135"/>
        <v>1</v>
      </c>
      <c r="EQ189">
        <f t="shared" si="126"/>
        <v>0</v>
      </c>
      <c r="ER189">
        <f t="shared" si="119"/>
        <v>0</v>
      </c>
      <c r="ES189">
        <f t="shared" si="120"/>
        <v>0</v>
      </c>
      <c r="ET189">
        <f t="shared" si="121"/>
        <v>0</v>
      </c>
      <c r="EU189">
        <f t="shared" si="122"/>
        <v>0</v>
      </c>
      <c r="EV189">
        <f t="shared" si="123"/>
        <v>1</v>
      </c>
      <c r="EW189">
        <f t="shared" si="100"/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1</v>
      </c>
      <c r="FX189">
        <f t="shared" si="101"/>
        <v>1</v>
      </c>
      <c r="FZ189">
        <v>1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f t="shared" si="102"/>
        <v>1</v>
      </c>
    </row>
    <row r="190" spans="1:189" x14ac:dyDescent="0.35">
      <c r="A190" t="s">
        <v>238</v>
      </c>
      <c r="B190">
        <f>[1]Population!$BB233</f>
        <v>45870700</v>
      </c>
      <c r="C190">
        <f>[1]RealGDP!$BB233</f>
        <v>90577255847.674149</v>
      </c>
      <c r="D190" s="8">
        <f>[1]GDPcap!$BB233</f>
        <v>1974.6211818802449</v>
      </c>
      <c r="E190" s="8">
        <v>15.570521408334306</v>
      </c>
      <c r="F190">
        <v>7.4475654702013987</v>
      </c>
      <c r="G190">
        <f>RANK(D190,D$4:D190:D$201)</f>
        <v>129</v>
      </c>
      <c r="H190" t="s">
        <v>238</v>
      </c>
      <c r="J190">
        <v>-5</v>
      </c>
      <c r="K190">
        <v>-3.7</v>
      </c>
      <c r="L190">
        <v>1.1000000000000001</v>
      </c>
      <c r="M190">
        <v>9.1</v>
      </c>
      <c r="N190">
        <v>15.1</v>
      </c>
      <c r="O190">
        <v>18.5</v>
      </c>
      <c r="P190">
        <v>20.100000000000001</v>
      </c>
      <c r="Q190">
        <v>19.399999999999999</v>
      </c>
      <c r="R190">
        <v>14.9</v>
      </c>
      <c r="S190">
        <v>8.6999999999999993</v>
      </c>
      <c r="T190">
        <v>2.8</v>
      </c>
      <c r="U190">
        <v>-1.8</v>
      </c>
      <c r="V190">
        <v>8.4</v>
      </c>
      <c r="W190">
        <v>19.399999999999999</v>
      </c>
      <c r="X190">
        <v>8.8000000000000007</v>
      </c>
      <c r="Y190">
        <v>-3.4</v>
      </c>
      <c r="Z190">
        <v>8.3000000000000007</v>
      </c>
      <c r="AB190">
        <f t="shared" si="96"/>
        <v>0</v>
      </c>
      <c r="AC190">
        <f t="shared" si="97"/>
        <v>1</v>
      </c>
      <c r="AD190">
        <f t="shared" si="98"/>
        <v>0</v>
      </c>
      <c r="AE190">
        <f t="shared" si="99"/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f t="shared" si="137"/>
        <v>1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f t="shared" si="127"/>
        <v>1</v>
      </c>
      <c r="BN190">
        <v>0</v>
      </c>
      <c r="BO190">
        <v>0</v>
      </c>
      <c r="BP190">
        <v>0</v>
      </c>
      <c r="BQ190">
        <v>1</v>
      </c>
      <c r="BR190">
        <v>0</v>
      </c>
      <c r="BS190">
        <v>0</v>
      </c>
      <c r="BT190">
        <v>0</v>
      </c>
      <c r="BU190">
        <v>0</v>
      </c>
      <c r="BV190">
        <f t="shared" si="136"/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f t="shared" si="128"/>
        <v>1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f t="shared" si="129"/>
        <v>1</v>
      </c>
      <c r="CX190">
        <f t="shared" si="124"/>
        <v>0</v>
      </c>
      <c r="CY190">
        <f t="shared" si="104"/>
        <v>0</v>
      </c>
      <c r="CZ190">
        <f t="shared" si="105"/>
        <v>0</v>
      </c>
      <c r="DA190">
        <f t="shared" si="106"/>
        <v>1</v>
      </c>
      <c r="DB190">
        <f t="shared" si="107"/>
        <v>0</v>
      </c>
      <c r="DC190">
        <f t="shared" si="108"/>
        <v>0</v>
      </c>
      <c r="DD190">
        <f t="shared" si="109"/>
        <v>0</v>
      </c>
      <c r="DE190">
        <f t="shared" si="110"/>
        <v>0</v>
      </c>
      <c r="DF190">
        <f t="shared" si="111"/>
        <v>0</v>
      </c>
      <c r="DH190">
        <v>0</v>
      </c>
      <c r="DI190">
        <v>0</v>
      </c>
      <c r="DJ190">
        <v>0</v>
      </c>
      <c r="DK190">
        <v>0</v>
      </c>
      <c r="DL190">
        <v>1</v>
      </c>
      <c r="DM190">
        <f t="shared" si="130"/>
        <v>0</v>
      </c>
      <c r="DN190">
        <f t="shared" si="131"/>
        <v>1</v>
      </c>
      <c r="DP190">
        <v>0</v>
      </c>
      <c r="DQ190">
        <v>0</v>
      </c>
      <c r="DR190">
        <v>0</v>
      </c>
      <c r="DS190">
        <v>1</v>
      </c>
      <c r="DT190">
        <v>0</v>
      </c>
      <c r="DU190">
        <v>0</v>
      </c>
      <c r="DV190">
        <f t="shared" si="132"/>
        <v>0</v>
      </c>
      <c r="DW190">
        <v>0</v>
      </c>
      <c r="DX190">
        <f t="shared" si="133"/>
        <v>1</v>
      </c>
      <c r="DZ190">
        <f t="shared" si="125"/>
        <v>0</v>
      </c>
      <c r="EA190">
        <f t="shared" si="112"/>
        <v>0</v>
      </c>
      <c r="EB190">
        <f t="shared" si="113"/>
        <v>0</v>
      </c>
      <c r="EC190">
        <f t="shared" si="114"/>
        <v>1</v>
      </c>
      <c r="ED190">
        <f t="shared" si="115"/>
        <v>0</v>
      </c>
      <c r="EE190">
        <f t="shared" si="116"/>
        <v>0</v>
      </c>
      <c r="EF190">
        <f t="shared" si="117"/>
        <v>0</v>
      </c>
      <c r="EG190">
        <f t="shared" si="118"/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f t="shared" si="134"/>
        <v>0</v>
      </c>
      <c r="EO190">
        <f t="shared" si="135"/>
        <v>1</v>
      </c>
      <c r="EQ190">
        <f t="shared" si="126"/>
        <v>0</v>
      </c>
      <c r="ER190">
        <f t="shared" si="119"/>
        <v>0</v>
      </c>
      <c r="ES190">
        <f t="shared" si="120"/>
        <v>0</v>
      </c>
      <c r="ET190">
        <f t="shared" si="121"/>
        <v>1</v>
      </c>
      <c r="EU190">
        <f t="shared" si="122"/>
        <v>0</v>
      </c>
      <c r="EV190">
        <f t="shared" si="123"/>
        <v>0</v>
      </c>
      <c r="EW190">
        <f t="shared" si="100"/>
        <v>1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f t="shared" si="101"/>
        <v>1</v>
      </c>
      <c r="FZ190">
        <v>0</v>
      </c>
      <c r="GA190">
        <v>0</v>
      </c>
      <c r="GB190">
        <v>0</v>
      </c>
      <c r="GC190">
        <v>1</v>
      </c>
      <c r="GD190">
        <v>0</v>
      </c>
      <c r="GE190">
        <v>0</v>
      </c>
      <c r="GF190">
        <v>0</v>
      </c>
      <c r="GG190">
        <f t="shared" si="102"/>
        <v>1</v>
      </c>
    </row>
    <row r="191" spans="1:189" x14ac:dyDescent="0.35">
      <c r="A191" t="s">
        <v>416</v>
      </c>
      <c r="B191">
        <f>[1]Population!$BB234</f>
        <v>8441537</v>
      </c>
      <c r="C191">
        <f>[1]RealGDP!$BB234</f>
        <v>204448097188.77359</v>
      </c>
      <c r="D191" s="8">
        <f>[1]GDPcap!$BB234</f>
        <v>24219.297645532275</v>
      </c>
      <c r="E191" s="8"/>
      <c r="F191">
        <v>0.76345274204035918</v>
      </c>
      <c r="G191">
        <f>RANK(D191,D$4:D191:D$201)</f>
        <v>36</v>
      </c>
      <c r="H191" t="s">
        <v>485</v>
      </c>
      <c r="I191" t="s">
        <v>486</v>
      </c>
      <c r="J191">
        <v>18.2</v>
      </c>
      <c r="K191">
        <v>19.3</v>
      </c>
      <c r="L191">
        <v>22.6</v>
      </c>
      <c r="M191">
        <v>26.7</v>
      </c>
      <c r="N191">
        <v>31</v>
      </c>
      <c r="O191">
        <v>33</v>
      </c>
      <c r="P191">
        <v>34.299999999999997</v>
      </c>
      <c r="Q191">
        <v>34</v>
      </c>
      <c r="R191">
        <v>32</v>
      </c>
      <c r="S191">
        <v>28.5</v>
      </c>
      <c r="T191">
        <v>24</v>
      </c>
      <c r="U191">
        <v>20.100000000000001</v>
      </c>
      <c r="V191">
        <v>26.7</v>
      </c>
      <c r="W191">
        <v>33.700000000000003</v>
      </c>
      <c r="X191">
        <v>28.2</v>
      </c>
      <c r="Y191">
        <v>18.5</v>
      </c>
      <c r="Z191">
        <v>27</v>
      </c>
      <c r="AB191">
        <f t="shared" si="96"/>
        <v>0</v>
      </c>
      <c r="AC191">
        <f t="shared" si="97"/>
        <v>0</v>
      </c>
      <c r="AD191">
        <f t="shared" si="98"/>
        <v>0</v>
      </c>
      <c r="AE191">
        <f t="shared" si="99"/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f t="shared" si="137"/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f t="shared" si="127"/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f t="shared" si="136"/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f t="shared" si="128"/>
        <v>1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f t="shared" si="129"/>
        <v>1</v>
      </c>
      <c r="CX191">
        <f t="shared" si="124"/>
        <v>0</v>
      </c>
      <c r="CY191">
        <f t="shared" si="104"/>
        <v>0</v>
      </c>
      <c r="CZ191">
        <f t="shared" si="105"/>
        <v>0</v>
      </c>
      <c r="DA191">
        <f t="shared" si="106"/>
        <v>0</v>
      </c>
      <c r="DB191">
        <f t="shared" si="107"/>
        <v>1</v>
      </c>
      <c r="DC191">
        <f t="shared" si="108"/>
        <v>0</v>
      </c>
      <c r="DD191">
        <f t="shared" si="109"/>
        <v>0</v>
      </c>
      <c r="DE191">
        <f t="shared" si="110"/>
        <v>0</v>
      </c>
      <c r="DF191">
        <f t="shared" si="111"/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f t="shared" si="130"/>
        <v>1</v>
      </c>
      <c r="DN191">
        <f t="shared" si="131"/>
        <v>1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f t="shared" si="132"/>
        <v>1</v>
      </c>
      <c r="DW191">
        <v>0</v>
      </c>
      <c r="DX191">
        <f t="shared" si="133"/>
        <v>1</v>
      </c>
      <c r="DZ191">
        <f t="shared" si="125"/>
        <v>0</v>
      </c>
      <c r="EA191">
        <f t="shared" si="112"/>
        <v>0</v>
      </c>
      <c r="EB191">
        <f t="shared" si="113"/>
        <v>0</v>
      </c>
      <c r="EC191">
        <f t="shared" si="114"/>
        <v>0</v>
      </c>
      <c r="ED191">
        <f t="shared" si="115"/>
        <v>0</v>
      </c>
      <c r="EE191">
        <f t="shared" si="116"/>
        <v>0</v>
      </c>
      <c r="EF191">
        <f t="shared" si="117"/>
        <v>1</v>
      </c>
      <c r="EG191">
        <f t="shared" si="118"/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f t="shared" si="134"/>
        <v>1</v>
      </c>
      <c r="EO191">
        <f t="shared" si="135"/>
        <v>1</v>
      </c>
      <c r="EQ191">
        <f t="shared" si="126"/>
        <v>0</v>
      </c>
      <c r="ER191">
        <f t="shared" si="119"/>
        <v>0</v>
      </c>
      <c r="ES191">
        <f t="shared" si="120"/>
        <v>0</v>
      </c>
      <c r="ET191">
        <f t="shared" si="121"/>
        <v>0</v>
      </c>
      <c r="EU191">
        <f t="shared" si="122"/>
        <v>0</v>
      </c>
      <c r="EV191">
        <f t="shared" si="123"/>
        <v>1</v>
      </c>
      <c r="EW191">
        <f t="shared" si="100"/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f t="shared" si="101"/>
        <v>1</v>
      </c>
      <c r="FZ191">
        <v>0</v>
      </c>
      <c r="GA191">
        <v>1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f t="shared" si="102"/>
        <v>1</v>
      </c>
    </row>
    <row r="192" spans="1:189" x14ac:dyDescent="0.35">
      <c r="A192" t="s">
        <v>199</v>
      </c>
      <c r="B192">
        <f>[1]Population!$BB235</f>
        <v>62271177</v>
      </c>
      <c r="C192">
        <f>[1]RealGDP!$BB235</f>
        <v>2360033739558.0132</v>
      </c>
      <c r="D192" s="8">
        <f>[1]GDPcap!$BB235</f>
        <v>37899.295520911917</v>
      </c>
      <c r="E192" s="8">
        <v>25.387609288571198</v>
      </c>
      <c r="F192">
        <v>0.65935512701305221</v>
      </c>
      <c r="G192">
        <f>RANK(D192,D$4:D192:D$201)</f>
        <v>19</v>
      </c>
      <c r="H192" t="s">
        <v>487</v>
      </c>
      <c r="I192" t="s">
        <v>488</v>
      </c>
      <c r="J192">
        <v>3.3</v>
      </c>
      <c r="K192">
        <v>3.3</v>
      </c>
      <c r="L192">
        <v>4.8</v>
      </c>
      <c r="M192">
        <v>6.8</v>
      </c>
      <c r="N192">
        <v>9.8000000000000007</v>
      </c>
      <c r="O192">
        <v>12.6</v>
      </c>
      <c r="P192">
        <v>14.3</v>
      </c>
      <c r="Q192">
        <v>14.2</v>
      </c>
      <c r="R192">
        <v>12.3</v>
      </c>
      <c r="S192">
        <v>9.6</v>
      </c>
      <c r="T192">
        <v>5.8</v>
      </c>
      <c r="U192">
        <v>4.0999999999999996</v>
      </c>
      <c r="V192">
        <v>7.2</v>
      </c>
      <c r="W192">
        <v>13.7</v>
      </c>
      <c r="X192">
        <v>9.1999999999999993</v>
      </c>
      <c r="Y192">
        <v>3.4</v>
      </c>
      <c r="Z192">
        <v>8.4</v>
      </c>
      <c r="AB192">
        <f t="shared" si="96"/>
        <v>0</v>
      </c>
      <c r="AC192">
        <f t="shared" si="97"/>
        <v>0</v>
      </c>
      <c r="AD192">
        <f t="shared" si="98"/>
        <v>0</v>
      </c>
      <c r="AE192">
        <f t="shared" si="99"/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f t="shared" si="137"/>
        <v>1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f t="shared" si="127"/>
        <v>1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f t="shared" si="136"/>
        <v>1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f t="shared" si="128"/>
        <v>1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f t="shared" si="129"/>
        <v>1</v>
      </c>
      <c r="CX192">
        <f t="shared" si="124"/>
        <v>0</v>
      </c>
      <c r="CY192">
        <f t="shared" si="104"/>
        <v>1</v>
      </c>
      <c r="CZ192">
        <f t="shared" si="105"/>
        <v>0</v>
      </c>
      <c r="DA192">
        <f t="shared" si="106"/>
        <v>0</v>
      </c>
      <c r="DB192">
        <f t="shared" si="107"/>
        <v>0</v>
      </c>
      <c r="DC192">
        <f t="shared" si="108"/>
        <v>0</v>
      </c>
      <c r="DD192">
        <f t="shared" si="109"/>
        <v>0</v>
      </c>
      <c r="DE192">
        <f t="shared" si="110"/>
        <v>0</v>
      </c>
      <c r="DF192">
        <f t="shared" si="111"/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f t="shared" si="130"/>
        <v>0</v>
      </c>
      <c r="DN192">
        <f t="shared" si="131"/>
        <v>1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f t="shared" si="132"/>
        <v>0</v>
      </c>
      <c r="DW192">
        <v>0</v>
      </c>
      <c r="DX192">
        <f t="shared" si="133"/>
        <v>1</v>
      </c>
      <c r="DZ192">
        <f t="shared" si="125"/>
        <v>1</v>
      </c>
      <c r="EA192">
        <f t="shared" si="112"/>
        <v>0</v>
      </c>
      <c r="EB192">
        <f t="shared" si="113"/>
        <v>0</v>
      </c>
      <c r="EC192">
        <f t="shared" si="114"/>
        <v>0</v>
      </c>
      <c r="ED192">
        <f t="shared" si="115"/>
        <v>0</v>
      </c>
      <c r="EE192">
        <f t="shared" si="116"/>
        <v>0</v>
      </c>
      <c r="EF192">
        <f t="shared" si="117"/>
        <v>0</v>
      </c>
      <c r="EG192">
        <f t="shared" si="118"/>
        <v>0</v>
      </c>
      <c r="EI192">
        <v>1</v>
      </c>
      <c r="EJ192">
        <v>0</v>
      </c>
      <c r="EK192">
        <v>0</v>
      </c>
      <c r="EL192">
        <v>0</v>
      </c>
      <c r="EM192">
        <v>0</v>
      </c>
      <c r="EN192">
        <f t="shared" si="134"/>
        <v>0</v>
      </c>
      <c r="EO192">
        <f t="shared" si="135"/>
        <v>1</v>
      </c>
      <c r="EQ192">
        <f t="shared" si="126"/>
        <v>1</v>
      </c>
      <c r="ER192">
        <f t="shared" si="119"/>
        <v>0</v>
      </c>
      <c r="ES192">
        <f t="shared" si="120"/>
        <v>0</v>
      </c>
      <c r="ET192">
        <f t="shared" si="121"/>
        <v>0</v>
      </c>
      <c r="EU192">
        <f t="shared" si="122"/>
        <v>0</v>
      </c>
      <c r="EV192">
        <f t="shared" si="123"/>
        <v>0</v>
      </c>
      <c r="EW192">
        <f t="shared" si="100"/>
        <v>1</v>
      </c>
      <c r="EY192">
        <v>0</v>
      </c>
      <c r="EZ192">
        <v>0</v>
      </c>
      <c r="FA192">
        <v>0</v>
      </c>
      <c r="FB192">
        <v>0</v>
      </c>
      <c r="FC192">
        <v>1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f t="shared" si="101"/>
        <v>1</v>
      </c>
      <c r="FZ192">
        <v>0</v>
      </c>
      <c r="GA192">
        <v>0</v>
      </c>
      <c r="GB192">
        <v>1</v>
      </c>
      <c r="GC192">
        <v>0</v>
      </c>
      <c r="GD192">
        <v>0</v>
      </c>
      <c r="GE192">
        <v>0</v>
      </c>
      <c r="GF192">
        <v>0</v>
      </c>
      <c r="GG192">
        <f t="shared" si="102"/>
        <v>1</v>
      </c>
    </row>
    <row r="193" spans="1:189" x14ac:dyDescent="0.35">
      <c r="A193" t="s">
        <v>200</v>
      </c>
      <c r="B193">
        <f>[1]Population!$BB236</f>
        <v>309326225</v>
      </c>
      <c r="C193">
        <f>[1]RealGDP!$BB236</f>
        <v>13595644353592.4</v>
      </c>
      <c r="D193" s="8">
        <f>[1]GDPcap!$BB236</f>
        <v>43952.446494287382</v>
      </c>
      <c r="E193" s="8">
        <v>8.6108057190772858</v>
      </c>
      <c r="F193">
        <v>1.1384117556019056</v>
      </c>
      <c r="G193">
        <f>RANK(D193,D$4:D193:D$201)</f>
        <v>12</v>
      </c>
      <c r="H193" t="s">
        <v>63</v>
      </c>
      <c r="J193">
        <v>-4</v>
      </c>
      <c r="K193">
        <v>-1.9</v>
      </c>
      <c r="L193">
        <v>2.2999999999999998</v>
      </c>
      <c r="M193">
        <v>7.7</v>
      </c>
      <c r="N193">
        <v>13.4</v>
      </c>
      <c r="O193">
        <v>18.2</v>
      </c>
      <c r="P193">
        <v>20.9</v>
      </c>
      <c r="Q193">
        <v>20</v>
      </c>
      <c r="R193">
        <v>15.8</v>
      </c>
      <c r="S193">
        <v>9.5</v>
      </c>
      <c r="T193">
        <v>2.7</v>
      </c>
      <c r="U193">
        <v>-2.4</v>
      </c>
      <c r="V193">
        <v>7.8</v>
      </c>
      <c r="W193">
        <v>19.7</v>
      </c>
      <c r="X193">
        <v>9.3000000000000007</v>
      </c>
      <c r="Y193">
        <v>-2.7</v>
      </c>
      <c r="Z193">
        <v>8.5</v>
      </c>
      <c r="AB193">
        <f t="shared" si="96"/>
        <v>0</v>
      </c>
      <c r="AC193">
        <f t="shared" si="97"/>
        <v>0</v>
      </c>
      <c r="AD193">
        <f t="shared" si="98"/>
        <v>0</v>
      </c>
      <c r="AE193">
        <f t="shared" si="99"/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f t="shared" si="137"/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f t="shared" si="127"/>
        <v>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f t="shared" si="136"/>
        <v>1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f t="shared" si="128"/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f t="shared" si="129"/>
        <v>1</v>
      </c>
      <c r="CX193">
        <f t="shared" si="124"/>
        <v>1</v>
      </c>
      <c r="CY193">
        <f t="shared" si="104"/>
        <v>0</v>
      </c>
      <c r="CZ193">
        <f t="shared" si="105"/>
        <v>0</v>
      </c>
      <c r="DA193">
        <f t="shared" si="106"/>
        <v>0</v>
      </c>
      <c r="DB193">
        <f t="shared" si="107"/>
        <v>0</v>
      </c>
      <c r="DC193">
        <f t="shared" si="108"/>
        <v>0</v>
      </c>
      <c r="DD193">
        <f t="shared" si="109"/>
        <v>0</v>
      </c>
      <c r="DE193">
        <f t="shared" si="110"/>
        <v>0</v>
      </c>
      <c r="DF193">
        <f t="shared" si="111"/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f t="shared" si="130"/>
        <v>0</v>
      </c>
      <c r="DN193">
        <f t="shared" si="131"/>
        <v>1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f t="shared" si="132"/>
        <v>0</v>
      </c>
      <c r="DW193">
        <v>0</v>
      </c>
      <c r="DX193">
        <f t="shared" si="133"/>
        <v>1</v>
      </c>
      <c r="DZ193">
        <f t="shared" si="125"/>
        <v>0</v>
      </c>
      <c r="EA193">
        <f t="shared" si="112"/>
        <v>1</v>
      </c>
      <c r="EB193">
        <f t="shared" si="113"/>
        <v>0</v>
      </c>
      <c r="EC193">
        <f t="shared" si="114"/>
        <v>0</v>
      </c>
      <c r="ED193">
        <f t="shared" si="115"/>
        <v>0</v>
      </c>
      <c r="EE193">
        <f t="shared" si="116"/>
        <v>0</v>
      </c>
      <c r="EF193">
        <f t="shared" si="117"/>
        <v>0</v>
      </c>
      <c r="EG193">
        <f t="shared" si="118"/>
        <v>0</v>
      </c>
      <c r="EI193">
        <v>0</v>
      </c>
      <c r="EJ193">
        <v>1</v>
      </c>
      <c r="EK193">
        <v>0</v>
      </c>
      <c r="EL193">
        <v>0</v>
      </c>
      <c r="EM193">
        <v>0</v>
      </c>
      <c r="EN193">
        <f t="shared" si="134"/>
        <v>0</v>
      </c>
      <c r="EO193">
        <f t="shared" si="135"/>
        <v>1</v>
      </c>
      <c r="EQ193">
        <f t="shared" si="126"/>
        <v>0</v>
      </c>
      <c r="ER193">
        <f t="shared" si="119"/>
        <v>1</v>
      </c>
      <c r="ES193">
        <f t="shared" si="120"/>
        <v>0</v>
      </c>
      <c r="ET193">
        <f t="shared" si="121"/>
        <v>0</v>
      </c>
      <c r="EU193">
        <f t="shared" si="122"/>
        <v>0</v>
      </c>
      <c r="EV193">
        <f t="shared" si="123"/>
        <v>0</v>
      </c>
      <c r="EW193">
        <f t="shared" si="100"/>
        <v>1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f t="shared" si="101"/>
        <v>1</v>
      </c>
      <c r="FZ193">
        <v>0</v>
      </c>
      <c r="GA193">
        <v>0</v>
      </c>
      <c r="GB193">
        <v>0</v>
      </c>
      <c r="GC193">
        <v>0</v>
      </c>
      <c r="GD193">
        <v>1</v>
      </c>
      <c r="GE193">
        <v>0</v>
      </c>
      <c r="GF193">
        <v>0</v>
      </c>
      <c r="GG193">
        <f t="shared" si="102"/>
        <v>1</v>
      </c>
    </row>
    <row r="194" spans="1:189" x14ac:dyDescent="0.35">
      <c r="A194" t="s">
        <v>201</v>
      </c>
      <c r="B194">
        <f>[1]Population!$BB237</f>
        <v>3371982</v>
      </c>
      <c r="C194">
        <f>[1]RealGDP!$BB237</f>
        <v>22899299769.575714</v>
      </c>
      <c r="D194" s="8">
        <f>[1]GDPcap!$BB237</f>
        <v>6791.0504176996537</v>
      </c>
      <c r="E194" s="8">
        <v>18.886388740712952</v>
      </c>
      <c r="F194">
        <v>7.202064503304678</v>
      </c>
      <c r="G194">
        <f>RANK(D194,D$4:D194:D$201)</f>
        <v>71</v>
      </c>
      <c r="H194" t="s">
        <v>201</v>
      </c>
      <c r="J194">
        <v>23.8</v>
      </c>
      <c r="K194">
        <v>23.3</v>
      </c>
      <c r="L194">
        <v>21.2</v>
      </c>
      <c r="M194">
        <v>17.899999999999999</v>
      </c>
      <c r="N194">
        <v>14.8</v>
      </c>
      <c r="O194">
        <v>11.8</v>
      </c>
      <c r="P194">
        <v>11.8</v>
      </c>
      <c r="Q194">
        <v>12.8</v>
      </c>
      <c r="R194">
        <v>14.3</v>
      </c>
      <c r="S194">
        <v>16.899999999999999</v>
      </c>
      <c r="T194">
        <v>19.600000000000001</v>
      </c>
      <c r="U194">
        <v>22.2</v>
      </c>
      <c r="V194">
        <v>18</v>
      </c>
      <c r="W194">
        <v>12.1</v>
      </c>
      <c r="X194">
        <v>16.899999999999999</v>
      </c>
      <c r="Y194">
        <v>22.4</v>
      </c>
      <c r="Z194">
        <v>17.5</v>
      </c>
      <c r="AB194">
        <f t="shared" si="96"/>
        <v>0</v>
      </c>
      <c r="AC194">
        <f t="shared" si="97"/>
        <v>0</v>
      </c>
      <c r="AD194">
        <f t="shared" si="98"/>
        <v>1</v>
      </c>
      <c r="AE194">
        <f t="shared" si="99"/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f t="shared" si="137"/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f t="shared" si="127"/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f t="shared" si="136"/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f t="shared" si="128"/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f t="shared" si="129"/>
        <v>1</v>
      </c>
      <c r="CX194">
        <f t="shared" si="124"/>
        <v>0</v>
      </c>
      <c r="CY194">
        <f t="shared" si="104"/>
        <v>0</v>
      </c>
      <c r="CZ194">
        <f t="shared" si="105"/>
        <v>0</v>
      </c>
      <c r="DA194">
        <f t="shared" si="106"/>
        <v>0</v>
      </c>
      <c r="DB194">
        <f t="shared" si="107"/>
        <v>0</v>
      </c>
      <c r="DC194">
        <f t="shared" si="108"/>
        <v>1</v>
      </c>
      <c r="DD194">
        <f t="shared" si="109"/>
        <v>0</v>
      </c>
      <c r="DE194">
        <f t="shared" si="110"/>
        <v>0</v>
      </c>
      <c r="DF194">
        <f t="shared" si="111"/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f t="shared" si="130"/>
        <v>1</v>
      </c>
      <c r="DN194">
        <f t="shared" si="131"/>
        <v>1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f t="shared" si="132"/>
        <v>0</v>
      </c>
      <c r="DW194">
        <v>1</v>
      </c>
      <c r="DX194">
        <f t="shared" si="133"/>
        <v>1</v>
      </c>
      <c r="DZ194">
        <f t="shared" si="125"/>
        <v>0</v>
      </c>
      <c r="EA194">
        <f t="shared" si="112"/>
        <v>0</v>
      </c>
      <c r="EB194">
        <f t="shared" si="113"/>
        <v>0</v>
      </c>
      <c r="EC194">
        <f t="shared" si="114"/>
        <v>0</v>
      </c>
      <c r="ED194">
        <f t="shared" si="115"/>
        <v>0</v>
      </c>
      <c r="EE194">
        <f t="shared" si="116"/>
        <v>0</v>
      </c>
      <c r="EF194">
        <f t="shared" si="117"/>
        <v>0</v>
      </c>
      <c r="EG194">
        <f t="shared" si="118"/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f t="shared" si="134"/>
        <v>1</v>
      </c>
      <c r="EO194">
        <f t="shared" si="135"/>
        <v>1</v>
      </c>
      <c r="EQ194">
        <f t="shared" si="126"/>
        <v>0</v>
      </c>
      <c r="ER194">
        <f t="shared" si="119"/>
        <v>0</v>
      </c>
      <c r="ES194">
        <f t="shared" si="120"/>
        <v>0</v>
      </c>
      <c r="ET194">
        <f t="shared" si="121"/>
        <v>0</v>
      </c>
      <c r="EU194">
        <f t="shared" si="122"/>
        <v>0</v>
      </c>
      <c r="EV194">
        <f t="shared" si="123"/>
        <v>1</v>
      </c>
      <c r="EW194">
        <f t="shared" si="100"/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f t="shared" si="101"/>
        <v>1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1</v>
      </c>
      <c r="GG194">
        <f t="shared" si="102"/>
        <v>1</v>
      </c>
    </row>
    <row r="195" spans="1:189" x14ac:dyDescent="0.35">
      <c r="A195" t="s">
        <v>417</v>
      </c>
      <c r="B195">
        <f>[1]Population!$BB238</f>
        <v>28562400</v>
      </c>
      <c r="C195">
        <f>[1]RealGDP!$BB238</f>
        <v>21491158366.324051</v>
      </c>
      <c r="D195" s="8">
        <f>[1]GDPcap!$BB238</f>
        <v>752.42831016735465</v>
      </c>
      <c r="E195" s="8"/>
      <c r="F195">
        <v>17.993758445093068</v>
      </c>
      <c r="G195">
        <f>RANK(D195,D$4:D195:D$201)</f>
        <v>161</v>
      </c>
      <c r="H195" t="s">
        <v>417</v>
      </c>
      <c r="J195">
        <v>-3.6</v>
      </c>
      <c r="K195">
        <v>-2.1</v>
      </c>
      <c r="L195">
        <v>4.9000000000000004</v>
      </c>
      <c r="M195">
        <v>13.7</v>
      </c>
      <c r="N195">
        <v>20</v>
      </c>
      <c r="O195">
        <v>25</v>
      </c>
      <c r="P195">
        <v>27.4</v>
      </c>
      <c r="Q195">
        <v>24.9</v>
      </c>
      <c r="R195">
        <v>19.2</v>
      </c>
      <c r="S195">
        <v>11.2</v>
      </c>
      <c r="T195">
        <v>4.8</v>
      </c>
      <c r="U195">
        <v>-0.5</v>
      </c>
      <c r="V195">
        <v>12.9</v>
      </c>
      <c r="W195">
        <v>25.8</v>
      </c>
      <c r="X195">
        <v>11.7</v>
      </c>
      <c r="Y195">
        <v>-2</v>
      </c>
      <c r="Z195">
        <v>12.1</v>
      </c>
      <c r="AB195">
        <f t="shared" si="96"/>
        <v>1</v>
      </c>
      <c r="AC195">
        <f t="shared" si="97"/>
        <v>0</v>
      </c>
      <c r="AD195">
        <f t="shared" si="98"/>
        <v>0</v>
      </c>
      <c r="AE195">
        <f t="shared" si="99"/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f t="shared" si="137"/>
        <v>1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f t="shared" si="127"/>
        <v>1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f t="shared" si="136"/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f t="shared" si="128"/>
        <v>1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f t="shared" si="129"/>
        <v>1</v>
      </c>
      <c r="CX195">
        <f t="shared" si="124"/>
        <v>0</v>
      </c>
      <c r="CY195">
        <f t="shared" si="104"/>
        <v>0</v>
      </c>
      <c r="CZ195">
        <f t="shared" si="105"/>
        <v>0</v>
      </c>
      <c r="DA195">
        <f t="shared" si="106"/>
        <v>1</v>
      </c>
      <c r="DB195">
        <f t="shared" si="107"/>
        <v>0</v>
      </c>
      <c r="DC195">
        <f t="shared" si="108"/>
        <v>0</v>
      </c>
      <c r="DD195">
        <f t="shared" si="109"/>
        <v>0</v>
      </c>
      <c r="DE195">
        <f t="shared" si="110"/>
        <v>0</v>
      </c>
      <c r="DF195">
        <f t="shared" si="111"/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f t="shared" si="130"/>
        <v>0</v>
      </c>
      <c r="DN195">
        <f t="shared" si="131"/>
        <v>1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0</v>
      </c>
      <c r="DV195">
        <f t="shared" si="132"/>
        <v>0</v>
      </c>
      <c r="DW195">
        <v>0</v>
      </c>
      <c r="DX195">
        <f t="shared" si="133"/>
        <v>1</v>
      </c>
      <c r="DZ195">
        <f t="shared" si="125"/>
        <v>0</v>
      </c>
      <c r="EA195">
        <f t="shared" si="112"/>
        <v>0</v>
      </c>
      <c r="EB195">
        <f t="shared" si="113"/>
        <v>0</v>
      </c>
      <c r="EC195">
        <f t="shared" si="114"/>
        <v>1</v>
      </c>
      <c r="ED195">
        <f t="shared" si="115"/>
        <v>0</v>
      </c>
      <c r="EE195">
        <f t="shared" si="116"/>
        <v>0</v>
      </c>
      <c r="EF195">
        <f t="shared" si="117"/>
        <v>0</v>
      </c>
      <c r="EG195">
        <f t="shared" si="118"/>
        <v>0</v>
      </c>
      <c r="EI195">
        <v>0</v>
      </c>
      <c r="EJ195">
        <v>0</v>
      </c>
      <c r="EK195">
        <v>0</v>
      </c>
      <c r="EL195">
        <v>1</v>
      </c>
      <c r="EM195">
        <v>0</v>
      </c>
      <c r="EN195">
        <f t="shared" si="134"/>
        <v>0</v>
      </c>
      <c r="EO195">
        <f t="shared" si="135"/>
        <v>1</v>
      </c>
      <c r="EQ195">
        <f t="shared" si="126"/>
        <v>0</v>
      </c>
      <c r="ER195">
        <f t="shared" si="119"/>
        <v>0</v>
      </c>
      <c r="ES195">
        <f t="shared" si="120"/>
        <v>0</v>
      </c>
      <c r="ET195">
        <f t="shared" si="121"/>
        <v>1</v>
      </c>
      <c r="EU195">
        <f t="shared" si="122"/>
        <v>0</v>
      </c>
      <c r="EV195">
        <f t="shared" si="123"/>
        <v>0</v>
      </c>
      <c r="EW195">
        <f t="shared" si="100"/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1</v>
      </c>
      <c r="FV195">
        <v>0</v>
      </c>
      <c r="FW195">
        <v>0</v>
      </c>
      <c r="FX195">
        <f t="shared" si="101"/>
        <v>1</v>
      </c>
      <c r="FZ195">
        <v>0</v>
      </c>
      <c r="GA195">
        <v>0</v>
      </c>
      <c r="GB195">
        <v>0</v>
      </c>
      <c r="GC195">
        <v>1</v>
      </c>
      <c r="GD195">
        <v>0</v>
      </c>
      <c r="GE195">
        <v>0</v>
      </c>
      <c r="GF195">
        <v>0</v>
      </c>
      <c r="GG195">
        <f t="shared" si="102"/>
        <v>1</v>
      </c>
    </row>
    <row r="196" spans="1:189" x14ac:dyDescent="0.35">
      <c r="A196" t="s">
        <v>418</v>
      </c>
      <c r="B196">
        <f>[1]Population!$BB239</f>
        <v>236299</v>
      </c>
      <c r="C196">
        <f>[1]RealGDP!$BB239</f>
        <v>503575271.44056231</v>
      </c>
      <c r="D196" s="8">
        <f>[1]GDPcap!$BB239</f>
        <v>2131.0935359039281</v>
      </c>
      <c r="E196" s="8">
        <v>15.499175403463305</v>
      </c>
      <c r="F196">
        <v>20.725350453528094</v>
      </c>
      <c r="G196">
        <f>RANK(D196,D$4:D196:D$201)</f>
        <v>127</v>
      </c>
      <c r="H196" t="s">
        <v>489</v>
      </c>
      <c r="J196">
        <v>25.3</v>
      </c>
      <c r="K196">
        <v>25.4</v>
      </c>
      <c r="L196">
        <v>25.2</v>
      </c>
      <c r="M196">
        <v>24.6</v>
      </c>
      <c r="N196">
        <v>23.7</v>
      </c>
      <c r="O196">
        <v>23.1</v>
      </c>
      <c r="P196">
        <v>22.6</v>
      </c>
      <c r="Q196">
        <v>22.5</v>
      </c>
      <c r="R196">
        <v>22.7</v>
      </c>
      <c r="S196">
        <v>23.5</v>
      </c>
      <c r="T196">
        <v>24.3</v>
      </c>
      <c r="U196">
        <v>24.8</v>
      </c>
      <c r="V196">
        <v>24.5</v>
      </c>
      <c r="W196">
        <v>22.7</v>
      </c>
      <c r="X196">
        <v>23.5</v>
      </c>
      <c r="Y196">
        <v>24.3</v>
      </c>
      <c r="Z196">
        <v>24</v>
      </c>
      <c r="AB196">
        <f t="shared" si="96"/>
        <v>0</v>
      </c>
      <c r="AC196">
        <f t="shared" si="97"/>
        <v>1</v>
      </c>
      <c r="AD196">
        <f t="shared" si="98"/>
        <v>0</v>
      </c>
      <c r="AE196">
        <f t="shared" si="99"/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f t="shared" si="137"/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f t="shared" si="127"/>
        <v>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f t="shared" ref="BV196:BV201" si="138">SUM(BN196:BU196)</f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f t="shared" si="128"/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f t="shared" si="129"/>
        <v>1</v>
      </c>
      <c r="CX196">
        <f t="shared" si="124"/>
        <v>0</v>
      </c>
      <c r="CY196">
        <f t="shared" si="104"/>
        <v>0</v>
      </c>
      <c r="CZ196">
        <f t="shared" si="105"/>
        <v>0</v>
      </c>
      <c r="DA196">
        <f t="shared" si="106"/>
        <v>0</v>
      </c>
      <c r="DB196">
        <f t="shared" si="107"/>
        <v>0</v>
      </c>
      <c r="DC196">
        <f t="shared" si="108"/>
        <v>0</v>
      </c>
      <c r="DD196">
        <f t="shared" si="109"/>
        <v>1</v>
      </c>
      <c r="DE196">
        <f t="shared" si="110"/>
        <v>0</v>
      </c>
      <c r="DF196">
        <f t="shared" si="111"/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f t="shared" si="130"/>
        <v>1</v>
      </c>
      <c r="DN196">
        <f t="shared" si="131"/>
        <v>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f t="shared" si="132"/>
        <v>0</v>
      </c>
      <c r="DW196">
        <v>0</v>
      </c>
      <c r="DX196">
        <f t="shared" si="133"/>
        <v>1</v>
      </c>
      <c r="DZ196">
        <f t="shared" si="125"/>
        <v>0</v>
      </c>
      <c r="EA196">
        <f t="shared" si="112"/>
        <v>0</v>
      </c>
      <c r="EB196">
        <f t="shared" si="113"/>
        <v>0</v>
      </c>
      <c r="EC196">
        <f t="shared" si="114"/>
        <v>0</v>
      </c>
      <c r="ED196">
        <f t="shared" si="115"/>
        <v>0</v>
      </c>
      <c r="EE196">
        <f t="shared" si="116"/>
        <v>1</v>
      </c>
      <c r="EF196">
        <f t="shared" si="117"/>
        <v>0</v>
      </c>
      <c r="EG196">
        <f t="shared" si="118"/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f t="shared" si="134"/>
        <v>1</v>
      </c>
      <c r="EO196">
        <f t="shared" si="135"/>
        <v>1</v>
      </c>
      <c r="EQ196">
        <f t="shared" si="126"/>
        <v>0</v>
      </c>
      <c r="ER196">
        <f t="shared" si="119"/>
        <v>0</v>
      </c>
      <c r="ES196">
        <f t="shared" si="120"/>
        <v>0</v>
      </c>
      <c r="ET196">
        <f t="shared" si="121"/>
        <v>0</v>
      </c>
      <c r="EU196">
        <f t="shared" si="122"/>
        <v>0</v>
      </c>
      <c r="EV196">
        <f t="shared" si="123"/>
        <v>1</v>
      </c>
      <c r="EW196">
        <f t="shared" si="100"/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0</v>
      </c>
      <c r="FW196">
        <v>0</v>
      </c>
      <c r="FX196">
        <f t="shared" si="101"/>
        <v>1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1</v>
      </c>
      <c r="GF196">
        <v>0</v>
      </c>
      <c r="GG196">
        <f t="shared" si="102"/>
        <v>1</v>
      </c>
    </row>
    <row r="197" spans="1:189" x14ac:dyDescent="0.35">
      <c r="A197" t="s">
        <v>202</v>
      </c>
      <c r="B197">
        <f>[1]Population!$BB241</f>
        <v>29043283</v>
      </c>
      <c r="C197">
        <f>[1]RealGDP!$BB241</f>
        <v>174552448164.40952</v>
      </c>
      <c r="D197" s="8">
        <f>[1]GDPcap!$BB241</f>
        <v>6010.0797889966334</v>
      </c>
      <c r="E197" s="8"/>
      <c r="F197">
        <v>5.3752651655055361</v>
      </c>
      <c r="G197">
        <f>RANK(D197,D$4:D197:D$201)</f>
        <v>81</v>
      </c>
      <c r="H197" t="s">
        <v>202</v>
      </c>
      <c r="J197">
        <v>24.9</v>
      </c>
      <c r="K197">
        <v>25.4</v>
      </c>
      <c r="L197">
        <v>26</v>
      </c>
      <c r="M197">
        <v>26.1</v>
      </c>
      <c r="N197">
        <v>25.7</v>
      </c>
      <c r="O197">
        <v>24.9</v>
      </c>
      <c r="P197">
        <v>24.7</v>
      </c>
      <c r="Q197">
        <v>25</v>
      </c>
      <c r="R197">
        <v>25.3</v>
      </c>
      <c r="S197">
        <v>25.5</v>
      </c>
      <c r="T197">
        <v>25.4</v>
      </c>
      <c r="U197">
        <v>24.9</v>
      </c>
      <c r="V197">
        <v>25.9</v>
      </c>
      <c r="W197">
        <v>24.9</v>
      </c>
      <c r="X197">
        <v>25.4</v>
      </c>
      <c r="Y197">
        <v>24.2</v>
      </c>
      <c r="Z197">
        <v>25.3</v>
      </c>
      <c r="AB197">
        <f t="shared" ref="AB197:AB201" si="139">IF(G197&gt;150,1,0)</f>
        <v>0</v>
      </c>
      <c r="AC197">
        <f t="shared" ref="AC197:AC201" si="140">IF(AND(G197&lt;151,G197&gt;100),1,0)</f>
        <v>0</v>
      </c>
      <c r="AD197">
        <f t="shared" ref="AD197:AD201" si="141">IF(AND(G197&lt;101,G197&gt;50),1,0)</f>
        <v>1</v>
      </c>
      <c r="AE197">
        <f t="shared" ref="AE197:AE201" si="142">IF(G197&lt;51,1,0)</f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f t="shared" si="137"/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f t="shared" si="127"/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f t="shared" si="138"/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f t="shared" si="128"/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f t="shared" si="129"/>
        <v>1</v>
      </c>
      <c r="CX197">
        <f t="shared" si="124"/>
        <v>0</v>
      </c>
      <c r="CY197">
        <f t="shared" si="104"/>
        <v>0</v>
      </c>
      <c r="CZ197">
        <f t="shared" si="105"/>
        <v>0</v>
      </c>
      <c r="DA197">
        <f t="shared" si="106"/>
        <v>0</v>
      </c>
      <c r="DB197">
        <f t="shared" si="107"/>
        <v>0</v>
      </c>
      <c r="DC197">
        <f t="shared" si="108"/>
        <v>1</v>
      </c>
      <c r="DD197">
        <f t="shared" si="109"/>
        <v>0</v>
      </c>
      <c r="DE197">
        <f t="shared" si="110"/>
        <v>0</v>
      </c>
      <c r="DF197">
        <f t="shared" si="111"/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f t="shared" si="130"/>
        <v>1</v>
      </c>
      <c r="DN197">
        <f t="shared" si="131"/>
        <v>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f t="shared" si="132"/>
        <v>0</v>
      </c>
      <c r="DW197">
        <v>1</v>
      </c>
      <c r="DX197">
        <f t="shared" si="133"/>
        <v>1</v>
      </c>
      <c r="DZ197">
        <f t="shared" si="125"/>
        <v>0</v>
      </c>
      <c r="EA197">
        <f t="shared" si="112"/>
        <v>0</v>
      </c>
      <c r="EB197">
        <f t="shared" si="113"/>
        <v>0</v>
      </c>
      <c r="EC197">
        <f t="shared" si="114"/>
        <v>0</v>
      </c>
      <c r="ED197">
        <f t="shared" si="115"/>
        <v>0</v>
      </c>
      <c r="EE197">
        <f t="shared" si="116"/>
        <v>0</v>
      </c>
      <c r="EF197">
        <f t="shared" si="117"/>
        <v>0</v>
      </c>
      <c r="EG197">
        <f t="shared" si="118"/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f t="shared" si="134"/>
        <v>1</v>
      </c>
      <c r="EO197">
        <f t="shared" si="135"/>
        <v>1</v>
      </c>
      <c r="EQ197">
        <f t="shared" si="126"/>
        <v>0</v>
      </c>
      <c r="ER197">
        <f t="shared" si="119"/>
        <v>0</v>
      </c>
      <c r="ES197">
        <f t="shared" si="120"/>
        <v>0</v>
      </c>
      <c r="ET197">
        <f t="shared" si="121"/>
        <v>0</v>
      </c>
      <c r="EU197">
        <f t="shared" si="122"/>
        <v>0</v>
      </c>
      <c r="EV197">
        <f t="shared" si="123"/>
        <v>1</v>
      </c>
      <c r="EW197">
        <f>SUM(EQ197:EV197)</f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f t="shared" ref="FX197:FX201" si="143">SUM(EY197:FW197)</f>
        <v>1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f t="shared" ref="GG197:GG201" si="144">SUM(FZ197:GF197)</f>
        <v>1</v>
      </c>
    </row>
    <row r="198" spans="1:189" x14ac:dyDescent="0.35">
      <c r="A198" t="s">
        <v>419</v>
      </c>
      <c r="B198">
        <f>[1]Population!$BB242</f>
        <v>86932500</v>
      </c>
      <c r="C198">
        <f>[1]RealGDP!$BB242</f>
        <v>78282167937.76619</v>
      </c>
      <c r="D198" s="8">
        <f>[1]GDPcap!$BB242</f>
        <v>900.49369266691042</v>
      </c>
      <c r="E198" s="8">
        <v>22.323883089847754</v>
      </c>
      <c r="F198">
        <v>18.378480583253161</v>
      </c>
      <c r="G198">
        <f>RANK(D198,D$4:D198:D$201)</f>
        <v>156</v>
      </c>
      <c r="H198" t="s">
        <v>419</v>
      </c>
      <c r="J198">
        <v>19.899999999999999</v>
      </c>
      <c r="K198">
        <v>21</v>
      </c>
      <c r="L198">
        <v>22.5</v>
      </c>
      <c r="M198">
        <v>25.6</v>
      </c>
      <c r="N198">
        <v>27.1</v>
      </c>
      <c r="O198">
        <v>27.4</v>
      </c>
      <c r="P198">
        <v>27.4</v>
      </c>
      <c r="Q198">
        <v>27.1</v>
      </c>
      <c r="R198">
        <v>26.3</v>
      </c>
      <c r="S198">
        <v>24.9</v>
      </c>
      <c r="T198">
        <v>22.9</v>
      </c>
      <c r="U198">
        <v>20.8</v>
      </c>
      <c r="V198">
        <v>25.1</v>
      </c>
      <c r="W198">
        <v>27.3</v>
      </c>
      <c r="X198">
        <v>24.7</v>
      </c>
      <c r="Y198">
        <v>19.899999999999999</v>
      </c>
      <c r="Z198">
        <v>24.4</v>
      </c>
      <c r="AB198">
        <f t="shared" si="139"/>
        <v>1</v>
      </c>
      <c r="AC198">
        <f t="shared" si="140"/>
        <v>0</v>
      </c>
      <c r="AD198">
        <f t="shared" si="141"/>
        <v>0</v>
      </c>
      <c r="AE198">
        <f t="shared" si="142"/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f t="shared" si="137"/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f t="shared" si="127"/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f t="shared" si="138"/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f t="shared" si="128"/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f t="shared" si="129"/>
        <v>1</v>
      </c>
      <c r="CX198">
        <f t="shared" si="124"/>
        <v>0</v>
      </c>
      <c r="CY198">
        <f t="shared" si="104"/>
        <v>0</v>
      </c>
      <c r="CZ198">
        <f t="shared" si="105"/>
        <v>0</v>
      </c>
      <c r="DA198">
        <f t="shared" si="106"/>
        <v>0</v>
      </c>
      <c r="DB198">
        <f t="shared" si="107"/>
        <v>0</v>
      </c>
      <c r="DC198">
        <f t="shared" si="108"/>
        <v>0</v>
      </c>
      <c r="DD198">
        <f t="shared" si="109"/>
        <v>1</v>
      </c>
      <c r="DE198">
        <f t="shared" si="110"/>
        <v>0</v>
      </c>
      <c r="DF198">
        <f t="shared" si="111"/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f t="shared" si="130"/>
        <v>1</v>
      </c>
      <c r="DN198">
        <f t="shared" si="131"/>
        <v>1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f t="shared" si="132"/>
        <v>0</v>
      </c>
      <c r="DW198">
        <v>0</v>
      </c>
      <c r="DX198">
        <f t="shared" si="133"/>
        <v>1</v>
      </c>
      <c r="DZ198">
        <f t="shared" si="125"/>
        <v>0</v>
      </c>
      <c r="EA198">
        <f t="shared" si="112"/>
        <v>0</v>
      </c>
      <c r="EB198">
        <f t="shared" si="113"/>
        <v>0</v>
      </c>
      <c r="EC198">
        <f t="shared" si="114"/>
        <v>0</v>
      </c>
      <c r="ED198">
        <f t="shared" si="115"/>
        <v>0</v>
      </c>
      <c r="EE198">
        <f t="shared" si="116"/>
        <v>1</v>
      </c>
      <c r="EF198">
        <f t="shared" si="117"/>
        <v>0</v>
      </c>
      <c r="EG198">
        <f t="shared" si="118"/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f t="shared" si="134"/>
        <v>1</v>
      </c>
      <c r="EO198">
        <f t="shared" si="135"/>
        <v>1</v>
      </c>
      <c r="EQ198">
        <f t="shared" si="126"/>
        <v>0</v>
      </c>
      <c r="ER198">
        <f t="shared" si="119"/>
        <v>0</v>
      </c>
      <c r="ES198">
        <f t="shared" si="120"/>
        <v>0</v>
      </c>
      <c r="ET198">
        <f t="shared" si="121"/>
        <v>0</v>
      </c>
      <c r="EU198">
        <f t="shared" si="122"/>
        <v>0</v>
      </c>
      <c r="EV198">
        <f t="shared" si="123"/>
        <v>1</v>
      </c>
      <c r="EW198">
        <f>SUM(EQ198:EV198)</f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f t="shared" si="143"/>
        <v>1</v>
      </c>
      <c r="FZ198">
        <v>0</v>
      </c>
      <c r="GA198">
        <v>1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f t="shared" si="144"/>
        <v>1</v>
      </c>
    </row>
    <row r="199" spans="1:189" x14ac:dyDescent="0.35">
      <c r="A199" t="s">
        <v>420</v>
      </c>
      <c r="B199">
        <f>[1]Population!$BB245</f>
        <v>22763008</v>
      </c>
      <c r="C199">
        <f>[1]RealGDP!$BB245</f>
        <v>19989098341.112953</v>
      </c>
      <c r="D199" s="8">
        <f>[1]GDPcap!$BB245</f>
        <v>878.13958248017809</v>
      </c>
      <c r="E199" s="8"/>
      <c r="F199">
        <v>8.1621815718217086</v>
      </c>
      <c r="G199">
        <f>RANK(D199,D$4:D199:D$201)</f>
        <v>157</v>
      </c>
      <c r="H199" t="s">
        <v>420</v>
      </c>
      <c r="J199">
        <v>18.899999999999999</v>
      </c>
      <c r="K199">
        <v>19.8</v>
      </c>
      <c r="L199">
        <v>21.5</v>
      </c>
      <c r="M199">
        <v>24.2</v>
      </c>
      <c r="N199">
        <v>26.5</v>
      </c>
      <c r="O199">
        <v>28.4</v>
      </c>
      <c r="P199">
        <v>27.7</v>
      </c>
      <c r="Q199">
        <v>27.5</v>
      </c>
      <c r="R199">
        <v>26.8</v>
      </c>
      <c r="S199">
        <v>23.7</v>
      </c>
      <c r="T199">
        <v>21</v>
      </c>
      <c r="U199">
        <v>19.600000000000001</v>
      </c>
      <c r="V199">
        <v>24</v>
      </c>
      <c r="W199">
        <v>27.9</v>
      </c>
      <c r="X199">
        <v>23.8</v>
      </c>
      <c r="Y199">
        <v>18.8</v>
      </c>
      <c r="Z199">
        <v>23.8</v>
      </c>
      <c r="AB199">
        <f t="shared" si="139"/>
        <v>1</v>
      </c>
      <c r="AC199">
        <f t="shared" si="140"/>
        <v>0</v>
      </c>
      <c r="AD199">
        <f t="shared" si="141"/>
        <v>0</v>
      </c>
      <c r="AE199">
        <f t="shared" si="142"/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f t="shared" si="137"/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f t="shared" si="127"/>
        <v>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f t="shared" si="138"/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f t="shared" si="128"/>
        <v>1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f t="shared" si="129"/>
        <v>1</v>
      </c>
      <c r="CX199">
        <f t="shared" si="124"/>
        <v>0</v>
      </c>
      <c r="CY199">
        <f t="shared" si="104"/>
        <v>0</v>
      </c>
      <c r="CZ199">
        <f t="shared" si="105"/>
        <v>0</v>
      </c>
      <c r="DA199">
        <f t="shared" si="106"/>
        <v>0</v>
      </c>
      <c r="DB199">
        <f t="shared" si="107"/>
        <v>1</v>
      </c>
      <c r="DC199">
        <f t="shared" si="108"/>
        <v>0</v>
      </c>
      <c r="DD199">
        <f t="shared" si="109"/>
        <v>0</v>
      </c>
      <c r="DE199">
        <f t="shared" si="110"/>
        <v>0</v>
      </c>
      <c r="DF199">
        <f t="shared" si="111"/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f t="shared" si="130"/>
        <v>1</v>
      </c>
      <c r="DN199">
        <f t="shared" si="131"/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f t="shared" si="132"/>
        <v>1</v>
      </c>
      <c r="DW199">
        <v>0</v>
      </c>
      <c r="DX199">
        <f t="shared" si="133"/>
        <v>1</v>
      </c>
      <c r="DZ199">
        <f t="shared" si="125"/>
        <v>0</v>
      </c>
      <c r="EA199">
        <f t="shared" si="112"/>
        <v>0</v>
      </c>
      <c r="EB199">
        <f t="shared" si="113"/>
        <v>0</v>
      </c>
      <c r="EC199">
        <f t="shared" si="114"/>
        <v>0</v>
      </c>
      <c r="ED199">
        <f t="shared" si="115"/>
        <v>0</v>
      </c>
      <c r="EE199">
        <f t="shared" si="116"/>
        <v>0</v>
      </c>
      <c r="EF199">
        <f t="shared" si="117"/>
        <v>1</v>
      </c>
      <c r="EG199">
        <f t="shared" si="118"/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f t="shared" si="134"/>
        <v>1</v>
      </c>
      <c r="EO199">
        <f t="shared" si="135"/>
        <v>1</v>
      </c>
      <c r="EQ199">
        <f t="shared" si="126"/>
        <v>0</v>
      </c>
      <c r="ER199">
        <f t="shared" si="119"/>
        <v>0</v>
      </c>
      <c r="ES199">
        <f t="shared" si="120"/>
        <v>0</v>
      </c>
      <c r="ET199">
        <f t="shared" si="121"/>
        <v>0</v>
      </c>
      <c r="EU199">
        <f t="shared" si="122"/>
        <v>0</v>
      </c>
      <c r="EV199">
        <f t="shared" si="123"/>
        <v>1</v>
      </c>
      <c r="EW199">
        <f>SUM(EQ199:EV199)</f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f t="shared" si="143"/>
        <v>1</v>
      </c>
      <c r="FZ199">
        <v>0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f t="shared" si="144"/>
        <v>1</v>
      </c>
    </row>
    <row r="200" spans="1:189" x14ac:dyDescent="0.35">
      <c r="A200" t="s">
        <v>204</v>
      </c>
      <c r="B200">
        <f>[1]Population!$BB246</f>
        <v>13216985</v>
      </c>
      <c r="C200">
        <f>[1]RealGDP!$BB246</f>
        <v>9799629000.3266487</v>
      </c>
      <c r="D200" s="8">
        <f>[1]GDPcap!$BB246</f>
        <v>741.44209139426641</v>
      </c>
      <c r="E200" s="8">
        <v>13.247623924700589</v>
      </c>
      <c r="F200">
        <v>9.4209897763637436</v>
      </c>
      <c r="G200">
        <f>RANK(D200,D$4:D200:D$201)</f>
        <v>163</v>
      </c>
      <c r="H200" t="s">
        <v>204</v>
      </c>
      <c r="J200">
        <v>22.7</v>
      </c>
      <c r="K200">
        <v>22.7</v>
      </c>
      <c r="L200">
        <v>22.7</v>
      </c>
      <c r="M200">
        <v>21.6</v>
      </c>
      <c r="N200">
        <v>19.399999999999999</v>
      </c>
      <c r="O200">
        <v>17.2</v>
      </c>
      <c r="P200">
        <v>16.899999999999999</v>
      </c>
      <c r="Q200">
        <v>19.2</v>
      </c>
      <c r="R200">
        <v>22.6</v>
      </c>
      <c r="S200">
        <v>24.4</v>
      </c>
      <c r="T200">
        <v>24</v>
      </c>
      <c r="U200">
        <v>22.9</v>
      </c>
      <c r="V200">
        <v>21.2</v>
      </c>
      <c r="W200">
        <v>17.8</v>
      </c>
      <c r="X200">
        <v>23.7</v>
      </c>
      <c r="Y200">
        <v>22</v>
      </c>
      <c r="Z200">
        <v>21.4</v>
      </c>
      <c r="AB200">
        <f t="shared" si="139"/>
        <v>1</v>
      </c>
      <c r="AC200">
        <f t="shared" si="140"/>
        <v>0</v>
      </c>
      <c r="AD200">
        <f t="shared" si="141"/>
        <v>0</v>
      </c>
      <c r="AE200">
        <f t="shared" si="142"/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f t="shared" si="137"/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f t="shared" si="127"/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f t="shared" si="138"/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f t="shared" si="128"/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f t="shared" si="129"/>
        <v>1</v>
      </c>
      <c r="CX200">
        <f t="shared" si="124"/>
        <v>0</v>
      </c>
      <c r="CY200">
        <f t="shared" si="104"/>
        <v>0</v>
      </c>
      <c r="CZ200">
        <f t="shared" si="105"/>
        <v>0</v>
      </c>
      <c r="DA200">
        <f t="shared" si="106"/>
        <v>0</v>
      </c>
      <c r="DB200">
        <f t="shared" si="107"/>
        <v>0</v>
      </c>
      <c r="DC200">
        <f t="shared" si="108"/>
        <v>0</v>
      </c>
      <c r="DD200">
        <f t="shared" si="109"/>
        <v>0</v>
      </c>
      <c r="DE200">
        <f t="shared" si="110"/>
        <v>0</v>
      </c>
      <c r="DF200">
        <f t="shared" si="111"/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f t="shared" si="130"/>
        <v>1</v>
      </c>
      <c r="DN200">
        <f t="shared" si="131"/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f t="shared" si="132"/>
        <v>1</v>
      </c>
      <c r="DW200">
        <v>0</v>
      </c>
      <c r="DX200">
        <f t="shared" si="133"/>
        <v>1</v>
      </c>
      <c r="DZ200">
        <f t="shared" si="125"/>
        <v>0</v>
      </c>
      <c r="EA200">
        <f t="shared" si="112"/>
        <v>0</v>
      </c>
      <c r="EB200">
        <f t="shared" si="113"/>
        <v>0</v>
      </c>
      <c r="EC200">
        <f t="shared" si="114"/>
        <v>0</v>
      </c>
      <c r="ED200">
        <f t="shared" si="115"/>
        <v>0</v>
      </c>
      <c r="EE200">
        <f t="shared" si="116"/>
        <v>0</v>
      </c>
      <c r="EF200">
        <f t="shared" si="117"/>
        <v>1</v>
      </c>
      <c r="EG200">
        <f t="shared" si="118"/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f t="shared" si="134"/>
        <v>1</v>
      </c>
      <c r="EO200">
        <f t="shared" si="135"/>
        <v>1</v>
      </c>
      <c r="EQ200">
        <f t="shared" si="126"/>
        <v>0</v>
      </c>
      <c r="ER200">
        <f t="shared" si="119"/>
        <v>0</v>
      </c>
      <c r="ES200">
        <f t="shared" si="120"/>
        <v>0</v>
      </c>
      <c r="ET200">
        <f t="shared" si="121"/>
        <v>0</v>
      </c>
      <c r="EU200">
        <f t="shared" si="122"/>
        <v>0</v>
      </c>
      <c r="EV200">
        <f t="shared" si="123"/>
        <v>1</v>
      </c>
      <c r="EW200">
        <f>SUM(EQ200:EV200)</f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1</v>
      </c>
      <c r="FX200">
        <f t="shared" si="143"/>
        <v>1</v>
      </c>
      <c r="FZ200">
        <v>1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f t="shared" si="144"/>
        <v>1</v>
      </c>
    </row>
    <row r="201" spans="1:189" x14ac:dyDescent="0.35">
      <c r="A201" t="s">
        <v>205</v>
      </c>
      <c r="B201">
        <f>[1]Population!$BB247</f>
        <v>13076978</v>
      </c>
      <c r="C201">
        <f>[1]RealGDP!$BB247</f>
        <v>5202304268.4389067</v>
      </c>
      <c r="D201" s="8">
        <f>[1]GDPcap!$BB247</f>
        <v>397.82159673579832</v>
      </c>
      <c r="E201" s="8">
        <v>20.70087202675462</v>
      </c>
      <c r="F201">
        <v>11.410004025198653</v>
      </c>
      <c r="G201">
        <f>RANK(D201,D$4:D201:D$201)</f>
        <v>182</v>
      </c>
      <c r="H201" t="s">
        <v>205</v>
      </c>
      <c r="J201">
        <v>23.8</v>
      </c>
      <c r="K201">
        <v>23.4</v>
      </c>
      <c r="L201">
        <v>22.8</v>
      </c>
      <c r="M201">
        <v>21.1</v>
      </c>
      <c r="N201">
        <v>18.399999999999999</v>
      </c>
      <c r="O201">
        <v>15.8</v>
      </c>
      <c r="P201">
        <v>15.7</v>
      </c>
      <c r="Q201">
        <v>17.899999999999999</v>
      </c>
      <c r="R201">
        <v>21.4</v>
      </c>
      <c r="S201">
        <v>23.8</v>
      </c>
      <c r="T201">
        <v>24.2</v>
      </c>
      <c r="U201">
        <v>23.7</v>
      </c>
      <c r="V201">
        <v>20.8</v>
      </c>
      <c r="W201">
        <v>16.5</v>
      </c>
      <c r="X201">
        <v>23.1</v>
      </c>
      <c r="Y201">
        <v>22.9</v>
      </c>
      <c r="Z201">
        <v>21</v>
      </c>
      <c r="AB201">
        <f t="shared" si="139"/>
        <v>1</v>
      </c>
      <c r="AC201">
        <f t="shared" si="140"/>
        <v>0</v>
      </c>
      <c r="AD201">
        <f t="shared" si="141"/>
        <v>0</v>
      </c>
      <c r="AE201">
        <f t="shared" si="142"/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f t="shared" si="137"/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f t="shared" si="127"/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f t="shared" si="138"/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f t="shared" si="128"/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f t="shared" si="129"/>
        <v>1</v>
      </c>
      <c r="CX201">
        <f t="shared" si="124"/>
        <v>0</v>
      </c>
      <c r="CY201">
        <f t="shared" si="104"/>
        <v>0</v>
      </c>
      <c r="CZ201">
        <f t="shared" si="105"/>
        <v>0</v>
      </c>
      <c r="DA201">
        <f t="shared" si="106"/>
        <v>0</v>
      </c>
      <c r="DB201">
        <f t="shared" si="107"/>
        <v>0</v>
      </c>
      <c r="DC201">
        <f t="shared" si="108"/>
        <v>0</v>
      </c>
      <c r="DD201">
        <f t="shared" si="109"/>
        <v>0</v>
      </c>
      <c r="DE201">
        <f t="shared" si="110"/>
        <v>0</v>
      </c>
      <c r="DF201">
        <f t="shared" si="111"/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f t="shared" si="130"/>
        <v>1</v>
      </c>
      <c r="DN201">
        <f t="shared" si="131"/>
        <v>1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f t="shared" si="132"/>
        <v>1</v>
      </c>
      <c r="DW201">
        <v>0</v>
      </c>
      <c r="DX201">
        <f t="shared" si="133"/>
        <v>1</v>
      </c>
      <c r="DZ201">
        <f t="shared" si="125"/>
        <v>0</v>
      </c>
      <c r="EA201">
        <f t="shared" si="112"/>
        <v>0</v>
      </c>
      <c r="EB201">
        <f t="shared" si="113"/>
        <v>0</v>
      </c>
      <c r="EC201">
        <f t="shared" si="114"/>
        <v>0</v>
      </c>
      <c r="ED201">
        <f t="shared" si="115"/>
        <v>0</v>
      </c>
      <c r="EE201">
        <f t="shared" si="116"/>
        <v>0</v>
      </c>
      <c r="EF201">
        <f t="shared" si="117"/>
        <v>1</v>
      </c>
      <c r="EG201">
        <f t="shared" si="118"/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f t="shared" si="134"/>
        <v>1</v>
      </c>
      <c r="EO201">
        <f t="shared" si="135"/>
        <v>1</v>
      </c>
      <c r="EQ201">
        <f t="shared" si="126"/>
        <v>0</v>
      </c>
      <c r="ER201">
        <f t="shared" si="119"/>
        <v>0</v>
      </c>
      <c r="ES201">
        <f t="shared" si="120"/>
        <v>0</v>
      </c>
      <c r="ET201">
        <f t="shared" si="121"/>
        <v>0</v>
      </c>
      <c r="EU201">
        <f t="shared" si="122"/>
        <v>0</v>
      </c>
      <c r="EV201">
        <f t="shared" si="123"/>
        <v>1</v>
      </c>
      <c r="EW201">
        <f>SUM(EQ201:EV201)</f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1</v>
      </c>
      <c r="FX201">
        <f t="shared" si="143"/>
        <v>1</v>
      </c>
      <c r="FZ201">
        <v>1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f t="shared" si="144"/>
        <v>1</v>
      </c>
    </row>
    <row r="203" spans="1:189" x14ac:dyDescent="0.35">
      <c r="AB203" s="5">
        <f>SUMPRODUCT(AB4:AB201,country!$C5:$C202,country!$J5:$J202)/SUMPRODUCT(AB4:AB201,country!$C5:$C202)</f>
        <v>3.3165173482154415</v>
      </c>
      <c r="AC203" s="5">
        <f>SUMPRODUCT(AC4:AC201,country!$C5:$C202,country!$J5:$J202)/SUMPRODUCT(AC4:AC201,country!$C5:$C202)</f>
        <v>8.738405157339999</v>
      </c>
      <c r="AD203" s="5">
        <f>SUMPRODUCT(AD4:AD201,country!$C5:$C202,country!$J5:$J202)/SUMPRODUCT(AD4:AD201,country!$C5:$C202)</f>
        <v>10.753638785979298</v>
      </c>
      <c r="AE203" s="5">
        <f>SUMPRODUCT(AE4:AE201,country!$C5:$C202,country!$J5:$J202)/SUMPRODUCT(AE4:AE201,country!$C5:$C202)</f>
        <v>15.543702741602122</v>
      </c>
      <c r="AG203" s="5">
        <f>SUMPRODUCT(AG4:AG201,country!$C5:$C202,country!$J5:$J202)/SUMPRODUCT(AG4:AG201,country!$C5:$C202)</f>
        <v>11.950957348003634</v>
      </c>
      <c r="AH203" s="5">
        <f>SUMPRODUCT(AH4:AH201,country!$C5:$C202,country!$J5:$J202)/SUMPRODUCT(AH4:AH201,country!$C5:$C202)</f>
        <v>15.024114934941737</v>
      </c>
      <c r="AI203" s="5">
        <f>SUMPRODUCT(AI4:AI201,country!$C5:$C202,country!$J5:$J202)/SUMPRODUCT(AI4:AI201,country!$C5:$C202)</f>
        <v>5.4539926827128502</v>
      </c>
      <c r="AJ203" s="5">
        <f>SUMPRODUCT(AJ4:AJ201,country!$C5:$C202,country!$J5:$J202)/SUMPRODUCT(AJ4:AJ201,country!$C5:$C202)</f>
        <v>3.836877621387575</v>
      </c>
      <c r="AK203" s="5">
        <f>SUMPRODUCT(AK4:AK201,country!$C5:$C202,country!$J5:$J202)/SUMPRODUCT(AK4:AK201,country!$C5:$C202)</f>
        <v>3.8976120634848579</v>
      </c>
      <c r="AL203" s="5">
        <f>SUMPRODUCT(AL4:AL201,country!$C5:$C202,country!$J5:$J202)/SUMPRODUCT(AL4:AL201,country!$C5:$C202)</f>
        <v>16.331248959916671</v>
      </c>
      <c r="AM203" s="5">
        <f>SUMPRODUCT(AM4:AM201,country!$C5:$C202,country!$J5:$J202)/SUMPRODUCT(AM4:AM201,country!$C5:$C202)</f>
        <v>6.480982543391935</v>
      </c>
      <c r="AN203" s="5">
        <f>SUMPRODUCT(AN4:AN201,country!$C5:$C202,country!$J5:$J202)/SUMPRODUCT(AN4:AN201,country!$C5:$C202)</f>
        <v>17.872207416916524</v>
      </c>
      <c r="AO203" s="5">
        <f>SUMPRODUCT(AO4:AO201,country!$C5:$C202,country!$J5:$J202)/SUMPRODUCT(AO4:AO201,country!$C5:$C202)</f>
        <v>11.604808764322653</v>
      </c>
      <c r="AP203" s="5">
        <f>SUMPRODUCT(AP4:AP201,country!$C5:$C202,country!$J5:$J202)/SUMPRODUCT(AP4:AP201,country!$C5:$C202)</f>
        <v>5.2900893409825276</v>
      </c>
      <c r="AQ203" s="5">
        <f>SUMPRODUCT(AQ4:AQ201,country!$C5:$C202,country!$J5:$J202)/SUMPRODUCT(AQ4:AQ201,country!$C5:$C202)</f>
        <v>15.54886580414081</v>
      </c>
      <c r="AR203" s="5">
        <f>SUMPRODUCT(AR4:AR201,country!$C5:$C202,country!$J5:$J202)/SUMPRODUCT(AR4:AR201,country!$C5:$C202)</f>
        <v>9.1659675191278254</v>
      </c>
      <c r="AS203" s="5">
        <f>SUMPRODUCT(AS4:AS201,country!$C5:$C202,country!$J5:$J202)/SUMPRODUCT(AS4:AS201,country!$C5:$C202)</f>
        <v>17.081513008787109</v>
      </c>
      <c r="AT203" s="5">
        <f>SUMPRODUCT(AT4:AT201,country!$C5:$C202,country!$J5:$J202)/SUMPRODUCT(AT4:AT201,country!$C5:$C202)</f>
        <v>11.368599412163631</v>
      </c>
      <c r="AU203" s="5">
        <f>SUMPRODUCT(AU4:AU201,country!$C5:$C202,country!$J5:$J202)/SUMPRODUCT(AU4:AU201,country!$C5:$C202)</f>
        <v>8.2507647015883219</v>
      </c>
      <c r="AX203" s="5">
        <f>SUMPRODUCT(AX4:AX201,country!$C5:$C202,country!$J5:$J202)/SUMPRODUCT(AX4:AX201,country!$C5:$C202)</f>
        <v>16.331248959916671</v>
      </c>
      <c r="AY203" s="5">
        <f>SUMPRODUCT(AY4:AY201,country!$C5:$C202,country!$J5:$J202)/SUMPRODUCT(AY4:AY201,country!$C5:$C202)</f>
        <v>14.102786388800775</v>
      </c>
      <c r="AZ203" s="5">
        <f>SUMPRODUCT(AZ4:AZ201,country!$C5:$C202,country!$J5:$J202)/SUMPRODUCT(AZ4:AZ201,country!$C5:$C202)</f>
        <v>16.494047958233843</v>
      </c>
      <c r="BA203" s="5">
        <f>SUMPRODUCT(BA4:BA201,country!$C5:$C202,country!$J5:$J202)/SUMPRODUCT(BA4:BA201,country!$C5:$C202)</f>
        <v>13.5651768035241</v>
      </c>
      <c r="BB203" s="5">
        <f>SUMPRODUCT(BB4:BB201,country!$C5:$C202,country!$J5:$J202)/SUMPRODUCT(BB4:BB201,country!$C5:$C202)</f>
        <v>16.1686514850024</v>
      </c>
      <c r="BC203" s="5">
        <f>SUMPRODUCT(BC4:BC201,country!$C5:$C202,country!$J5:$J202)/SUMPRODUCT(BC4:BC201,country!$C5:$C202)</f>
        <v>12.290147391906991</v>
      </c>
      <c r="BD203" s="5">
        <f>SUMPRODUCT(BD4:BD201,country!$C5:$C202,country!$J5:$J202)/SUMPRODUCT(BD4:BD201,country!$C5:$C202)</f>
        <v>16.283391559104953</v>
      </c>
      <c r="BE203" s="5">
        <f>SUMPRODUCT(BE4:BE201,country!$C5:$C202,country!$J5:$J202)/SUMPRODUCT(BE4:BE201,country!$C5:$C202)</f>
        <v>7.0840173960953594</v>
      </c>
      <c r="BF203" s="5">
        <f>SUMPRODUCT(BF4:BF201,country!$C5:$C202,country!$J5:$J202)/SUMPRODUCT(BF4:BF201,country!$C5:$C202)</f>
        <v>9.3843641451153701</v>
      </c>
      <c r="BG203" s="5">
        <f>SUMPRODUCT(BG4:BG201,country!$C5:$C202,country!$J5:$J202)/SUMPRODUCT(BG4:BG201,country!$C5:$C202)</f>
        <v>5.2900893409825276</v>
      </c>
      <c r="BH203" s="5">
        <f>SUMPRODUCT(BH4:BH201,country!$C5:$C202,country!$J5:$J202)/SUMPRODUCT(BH4:BH201,country!$C5:$C202)</f>
        <v>3.8500501323324405</v>
      </c>
      <c r="BI203" s="5">
        <f>SUMPRODUCT(BI4:BI201,country!$C5:$C202,country!$J5:$J202)/SUMPRODUCT(BI4:BI201,country!$C5:$C202)</f>
        <v>11.950957348003634</v>
      </c>
      <c r="BJ203" s="5">
        <f>SUMPRODUCT(BJ4:BJ201,country!$C5:$C202,country!$J5:$J202)/SUMPRODUCT(BJ4:BJ201,country!$C5:$C202)</f>
        <v>6.096506376707393</v>
      </c>
      <c r="BK203" s="5">
        <f>SUMPRODUCT(BK4:BK201,country!$C5:$C202,country!$J5:$J202)/SUMPRODUCT(BK4:BK201,country!$C5:$C202)</f>
        <v>7.7841511433219255</v>
      </c>
      <c r="BL203" s="5"/>
      <c r="BM203" s="5"/>
      <c r="BN203" s="5">
        <f>SUMPRODUCT(BN4:BN201,country!$C5:$C202,country!$J5:$J202)/SUMPRODUCT(BN4:BN201,country!$C5:$C202)</f>
        <v>15.024114934941737</v>
      </c>
      <c r="BO203" s="5">
        <f>SUMPRODUCT(BO4:BO201,country!$C5:$C202,country!$J5:$J202)/SUMPRODUCT(BO4:BO201,country!$C5:$C202)</f>
        <v>15.383177790898865</v>
      </c>
      <c r="BP203" s="5">
        <f>SUMPRODUCT(BP4:BP201,country!$C5:$C202,country!$J5:$J202)/SUMPRODUCT(BP4:BP201,country!$C5:$C202)</f>
        <v>17.480347238819594</v>
      </c>
      <c r="BQ203" s="5">
        <f>SUMPRODUCT(BQ4:BQ201,country!$C5:$C202,country!$J5:$J202)/SUMPRODUCT(BQ4:BQ201,country!$C5:$C202)</f>
        <v>15.008396228812177</v>
      </c>
      <c r="BR203" s="5">
        <f>SUMPRODUCT(BR4:BR201,country!$C5:$C202,country!$J5:$J202)/SUMPRODUCT(BR4:BR201,country!$C5:$C202)</f>
        <v>9.9656411475984825</v>
      </c>
      <c r="BS203" s="5">
        <f>SUMPRODUCT(BS4:BS201,country!$C5:$C202,country!$J5:$J202)/SUMPRODUCT(BS4:BS201,country!$C5:$C202)</f>
        <v>16.331248959916671</v>
      </c>
      <c r="BT203" s="5">
        <f>SUMPRODUCT(BT4:BT201,country!$C5:$C202,country!$J5:$J202)/SUMPRODUCT(BT4:BT201,country!$C5:$C202)</f>
        <v>9.5068830175428705</v>
      </c>
      <c r="BU203" s="5">
        <f>SUMPRODUCT(BU4:BU201,country!$C5:$C202,country!$J5:$J202)/SUMPRODUCT(BU4:BU201,country!$C5:$C202)</f>
        <v>7.0116588392235286</v>
      </c>
      <c r="BV203" s="5"/>
      <c r="BX203" s="5">
        <f>SUMPRODUCT(BX4:BX201,country!$C5:$C202,country!$J5:$J202)/SUMPRODUCT(BX4:BX201,country!$C5:$C202)</f>
        <v>16.331248959916671</v>
      </c>
      <c r="BY203" s="5">
        <f>SUMPRODUCT(BY4:BY201,country!$C5:$C202,country!$J5:$J202)/SUMPRODUCT(BY4:BY201,country!$C5:$C202)</f>
        <v>11.950957348003634</v>
      </c>
      <c r="BZ203" s="5">
        <f>SUMPRODUCT(BZ4:BZ201,country!$C5:$C202,country!$J5:$J202)/SUMPRODUCT(BZ4:BZ201,country!$C5:$C202)</f>
        <v>15.024114934941737</v>
      </c>
      <c r="CA203" s="5">
        <f>SUMPRODUCT(CA4:CA201,country!$C5:$C202,country!$J5:$J202)/SUMPRODUCT(CA4:CA201,country!$C5:$C202)</f>
        <v>15.557436197068073</v>
      </c>
      <c r="CB203" s="5">
        <f>SUMPRODUCT(CB4:CB201,country!$C5:$C202,country!$J5:$J202)/SUMPRODUCT(CB4:CB201,country!$C5:$C202)</f>
        <v>17.872207416916524</v>
      </c>
      <c r="CC203" s="5">
        <f>SUMPRODUCT(CC4:CC201,country!$C5:$C202,country!$J5:$J202)/SUMPRODUCT(CC4:CC201,country!$C5:$C202)</f>
        <v>3.836877621387575</v>
      </c>
      <c r="CD203" s="5">
        <f>SUMPRODUCT(CD4:CD201,country!$C5:$C202,country!$J5:$J202)/SUMPRODUCT(CD4:CD201,country!$C5:$C202)</f>
        <v>15.641137030546528</v>
      </c>
      <c r="CE203" s="5">
        <f>SUMPRODUCT(CE4:CE201,country!$C5:$C202,country!$J5:$J202)/SUMPRODUCT(CE4:CE201,country!$C5:$C202)</f>
        <v>8.650702903469492</v>
      </c>
      <c r="CF203" s="5">
        <f>SUMPRODUCT(CF4:CF201,country!$C5:$C202,country!$J5:$J202)/SUMPRODUCT(CF4:CF201,country!$C5:$C202)</f>
        <v>13.382858679492701</v>
      </c>
      <c r="CG203" s="5">
        <f>SUMPRODUCT(CG4:CG201,country!$C5:$C202,country!$J5:$J202)/SUMPRODUCT(CG4:CG201,country!$C5:$C202)</f>
        <v>9.9453227492302378</v>
      </c>
      <c r="CH203" s="5">
        <f>SUMPRODUCT(CH4:CH201,country!$C5:$C202,country!$J5:$J202)/SUMPRODUCT(CH4:CH201,country!$C5:$C202)</f>
        <v>8.7372721139598095</v>
      </c>
      <c r="CI203" s="5">
        <f>SUMPRODUCT(CI4:CI201,country!$C5:$C202,country!$J5:$J202)/SUMPRODUCT(CI4:CI201,country!$C5:$C202)</f>
        <v>3.042006787941864</v>
      </c>
      <c r="CJ203" s="5">
        <f>SUMPRODUCT(CJ4:CJ201,country!$C5:$C202,country!$J5:$J202)/SUMPRODUCT(CJ4:CJ201,country!$C5:$C202)</f>
        <v>4.66454120487235</v>
      </c>
      <c r="CM203" s="5">
        <f>SUMPRODUCT(CM4:CM201,country!$C5:$C202,country!$J5:$J202)/SUMPRODUCT(CM4:CM201,country!$C5:$C202)</f>
        <v>16.734376096152538</v>
      </c>
      <c r="CN203" s="5">
        <f>SUMPRODUCT(CN4:CN201,country!$C5:$C202,country!$J5:$J202)/SUMPRODUCT(CN4:CN201,country!$C5:$C202)</f>
        <v>15.496665083234877</v>
      </c>
      <c r="CO203" s="5">
        <f>SUMPRODUCT(CO4:CO201,country!$C5:$C202,country!$J5:$J202)/SUMPRODUCT(CO4:CO201,country!$C5:$C202)</f>
        <v>14.455897844375553</v>
      </c>
      <c r="CP203" s="5">
        <f>SUMPRODUCT(CP4:CP201,country!$C5:$C202,country!$J5:$J202)/SUMPRODUCT(CP4:CP201,country!$C5:$C202)</f>
        <v>14.95600682923609</v>
      </c>
      <c r="CQ203" s="5">
        <f>SUMPRODUCT(CQ4:CQ201,country!$C5:$C202,country!$J5:$J202)/SUMPRODUCT(CQ4:CQ201,country!$C5:$C202)</f>
        <v>9.526746573707106</v>
      </c>
      <c r="CR203" s="5">
        <f>SUMPRODUCT(CR4:CR201,country!$C5:$C202,country!$J5:$J202)/SUMPRODUCT(CR4:CR201,country!$C5:$C202)</f>
        <v>7.7949374778498779</v>
      </c>
      <c r="CS203" s="5">
        <f>SUMPRODUCT(CS4:CS201,country!$C5:$C202,country!$J5:$J202)/SUMPRODUCT(CS4:CS201,country!$C5:$C202)</f>
        <v>7.1980058723379932</v>
      </c>
      <c r="CT203" s="5">
        <f>SUMPRODUCT(CT4:CT201,country!$C5:$C202,country!$J5:$J202)/SUMPRODUCT(CT4:CT201,country!$C5:$C202)</f>
        <v>11.864337444780386</v>
      </c>
      <c r="CU203" s="5">
        <f>SUMPRODUCT(CU4:CU201,country!$C5:$C202,country!$J5:$J202)/SUMPRODUCT(CU4:CU201,country!$C5:$C202)</f>
        <v>5.755630492618744</v>
      </c>
      <c r="CX203" s="5">
        <f>SUMPRODUCT(CX4:CX201,country!$C5:$C202,country!$J5:$J202)/SUMPRODUCT(CX4:CX201,country!$C5:$C202)</f>
        <v>16.734376096152538</v>
      </c>
      <c r="CY203" s="5">
        <f>SUMPRODUCT(CY4:CY201,country!$C5:$C202,country!$J5:$J202)/SUMPRODUCT(CY4:CY201,country!$C5:$C202)</f>
        <v>15.496665083234877</v>
      </c>
      <c r="CZ203" s="5">
        <f>SUMPRODUCT(CZ4:CZ201,country!$C5:$C202,country!$J5:$J202)/SUMPRODUCT(CZ4:CZ201,country!$C5:$C202)</f>
        <v>14.455897844375553</v>
      </c>
      <c r="DA203" s="5">
        <f>SUMPRODUCT(DA4:DA201,country!$C5:$C202,country!$J5:$J202)/SUMPRODUCT(DA4:DA201,country!$C5:$C202)</f>
        <v>14.95600682923609</v>
      </c>
      <c r="DB203" s="5">
        <f>SUMPRODUCT(DB4:DB201,country!$C5:$C202,country!$J5:$J202)/SUMPRODUCT(DB4:DB201,country!$C5:$C202)</f>
        <v>9.526746573707106</v>
      </c>
      <c r="DC203" s="5">
        <f>SUMPRODUCT(DC4:DC201,country!$C5:$C202,country!$J5:$J202)/SUMPRODUCT(DC4:DC201,country!$C5:$C202)</f>
        <v>7.7949374778498779</v>
      </c>
      <c r="DD203" s="5">
        <f>SUMPRODUCT(DD4:DD201,country!$C5:$C202,country!$J5:$J202)/SUMPRODUCT(DD4:DD201,country!$C5:$C202)</f>
        <v>7.1980058723379932</v>
      </c>
      <c r="DE203" s="5">
        <f>SUMPRODUCT(DE4:DE201,country!$C5:$C202,country!$J5:$J202)/SUMPRODUCT(DE4:DE201,country!$C5:$C202)</f>
        <v>11.864337444780386</v>
      </c>
      <c r="DF203" s="5">
        <f>SUMPRODUCT(DF4:DF201,country!$C5:$C202,country!$J5:$J202)/SUMPRODUCT(DF4:DF201,country!$C5:$C202)</f>
        <v>5.755630492618744</v>
      </c>
      <c r="DH203" s="5">
        <f>SUMPRODUCT(DH4:DH201,country!$C5:$C202,country!$J5:$J202)/SUMPRODUCT(DH4:DH201,country!$C5:$C202)</f>
        <v>16.331248959916671</v>
      </c>
      <c r="DI203" s="5">
        <f>SUMPRODUCT(DI4:DI201,country!$C5:$C202,country!$J5:$J202)/SUMPRODUCT(DI4:DI201,country!$C5:$C202)</f>
        <v>15.024114934941737</v>
      </c>
      <c r="DJ203" s="5">
        <f>SUMPRODUCT(DJ4:DJ201,country!$C5:$C202,country!$J5:$J202)/SUMPRODUCT(DJ4:DJ201,country!$C5:$C202)</f>
        <v>11.950957348003634</v>
      </c>
      <c r="DK203" s="5">
        <f>SUMPRODUCT(DK4:DK201,country!$C5:$C202,country!$J5:$J202)/SUMPRODUCT(DK4:DK201,country!$C5:$C202)</f>
        <v>15.384429383827506</v>
      </c>
      <c r="DL203" s="5">
        <f>SUMPRODUCT(DL4:DL201,country!$C5:$C202,country!$J5:$J202)/SUMPRODUCT(DL4:DL201,country!$C5:$C202)</f>
        <v>16.1686514850024</v>
      </c>
      <c r="DM203" s="5">
        <f>SUMPRODUCT(DM4:DM201,country!$C5:$C202,country!$J5:$J202)/SUMPRODUCT(DM4:DM201,country!$C5:$C202)</f>
        <v>10.095490736837101</v>
      </c>
      <c r="DP203" s="5">
        <f>SUMPRODUCT(DP4:DP201,country!$C5:$C202,country!$J5:$J202)/SUMPRODUCT(DP4:DP201,country!$C5:$C202)</f>
        <v>15.382016410193147</v>
      </c>
      <c r="DQ203" s="5">
        <f>SUMPRODUCT(DQ4:DQ201,country!$C5:$C202,country!$J5:$J202)/SUMPRODUCT(DQ4:DQ201,country!$C5:$C202)</f>
        <v>16.331248959916671</v>
      </c>
      <c r="DR203" s="5">
        <f>SUMPRODUCT(DR4:DR201,country!$C5:$C202,country!$J5:$J202)/SUMPRODUCT(DR4:DR201,country!$C5:$C202)</f>
        <v>15.95896367808686</v>
      </c>
      <c r="DS203" s="5">
        <f>SUMPRODUCT(DS4:DS201,country!$C5:$C202,country!$J5:$J202)/SUMPRODUCT(DS4:DS201,country!$C5:$C202)</f>
        <v>14.95600682923609</v>
      </c>
      <c r="DT203" s="5">
        <f>SUMPRODUCT(DT4:DT201,country!$C5:$C202,country!$J5:$J202)/SUMPRODUCT(DT4:DT201,country!$C5:$C202)</f>
        <v>11.952165841408915</v>
      </c>
      <c r="DU203" s="5">
        <f>SUMPRODUCT(DU4:DU201,country!$C5:$C202,country!$J5:$J202)/SUMPRODUCT(DU4:DU201,country!$C5:$C202)</f>
        <v>7.3925560380876938</v>
      </c>
      <c r="DV203" s="5">
        <f>SUMPRODUCT(DV4:DV201,country!$C5:$C202,country!$J5:$J202)/SUMPRODUCT(DV4:DV201,country!$C5:$C202)</f>
        <v>8.1780479862276021</v>
      </c>
      <c r="DW203" s="5">
        <f>SUMPRODUCT(DW4:DW201,country!$C5:$C202,country!$J5:$J202)/SUMPRODUCT(DW4:DW201,country!$C5:$C202)</f>
        <v>7.7949374778498779</v>
      </c>
      <c r="DZ203" s="5">
        <f>SUMPRODUCT(DZ4:DZ201,country!$C5:$C202,country!$J5:$J202)/SUMPRODUCT(DZ4:DZ201,country!$C5:$C202)</f>
        <v>15.382016410193147</v>
      </c>
      <c r="EA203" s="5">
        <f>SUMPRODUCT(EA4:EA201,country!$C5:$C202,country!$J5:$J202)/SUMPRODUCT(EA4:EA201,country!$C5:$C202)</f>
        <v>16.331248959916671</v>
      </c>
      <c r="EB203" s="5">
        <f>SUMPRODUCT(EB4:EB201,country!$C5:$C202,country!$J5:$J202)/SUMPRODUCT(EB4:EB201,country!$C5:$C202)</f>
        <v>15.95896367808686</v>
      </c>
      <c r="EC203" s="5">
        <f>SUMPRODUCT(EC4:EC201,country!$C5:$C202,country!$J5:$J202)/SUMPRODUCT(EC4:EC201,country!$C5:$C202)</f>
        <v>14.95600682923609</v>
      </c>
      <c r="ED203" s="5">
        <f>SUMPRODUCT(ED4:ED201,country!$C5:$C202,country!$J5:$J202)/SUMPRODUCT(ED4:ED201,country!$C5:$C202)</f>
        <v>11.952165841408915</v>
      </c>
      <c r="EE203" s="5">
        <f>SUMPRODUCT(EE4:EE201,country!$C5:$C202,country!$J5:$J202)/SUMPRODUCT(EE4:EE201,country!$C5:$C202)</f>
        <v>7.3925560380876938</v>
      </c>
      <c r="EF203" s="5">
        <f>SUMPRODUCT(EF4:EF201,country!$C5:$C202,country!$J5:$J202)/SUMPRODUCT(EF4:EF201,country!$C5:$C202)</f>
        <v>8.1780479862276021</v>
      </c>
      <c r="EG203" s="5">
        <f>SUMPRODUCT(EG4:EG201,country!$C5:$C202,country!$J5:$J202)/SUMPRODUCT(EG4:EG201,country!$C5:$C202)</f>
        <v>7.7949374778498779</v>
      </c>
      <c r="EI203" s="5">
        <f>SUMPRODUCT(EI4:EI201,country!$C5:$C202,country!$J5:$J202)/SUMPRODUCT(EI4:EI201,country!$C5:$C202)</f>
        <v>15.382016410193147</v>
      </c>
      <c r="EJ203" s="5">
        <f>SUMPRODUCT(EJ4:EJ201,country!$C5:$C202,country!$J5:$J202)/SUMPRODUCT(EJ4:EJ201,country!$C5:$C202)</f>
        <v>16.331248959916671</v>
      </c>
      <c r="EK203" s="5">
        <f>SUMPRODUCT(EK4:EK201,country!$C5:$C202,country!$J5:$J202)/SUMPRODUCT(EK4:EK201,country!$C5:$C202)</f>
        <v>15.95896367808686</v>
      </c>
      <c r="EL203" s="5">
        <f>SUMPRODUCT(EL4:EL201,country!$C5:$C202,country!$J5:$J202)/SUMPRODUCT(EL4:EL201,country!$C5:$C202)</f>
        <v>16.1686514850024</v>
      </c>
      <c r="EM203" s="5">
        <f>SUMPRODUCT(EM4:EM201,country!$C5:$C202,country!$J5:$J202)/SUMPRODUCT(EM4:EM201,country!$C5:$C202)</f>
        <v>11.950957348003634</v>
      </c>
      <c r="EN203" s="5">
        <f>SUMPRODUCT(EN4:EN201,country!$C5:$C202,country!$J5:$J202)/SUMPRODUCT(EN4:EN201,country!$C5:$C202)</f>
        <v>8.2610473022932673</v>
      </c>
      <c r="EQ203" s="5">
        <f>SUMPRODUCT(EQ4:EQ201,country!$C5:$C202,country!$J5:$J202)/SUMPRODUCT(EQ4:EQ201,country!$C5:$C202)</f>
        <v>15.382016410193147</v>
      </c>
      <c r="ER203" s="5">
        <f>SUMPRODUCT(ER4:ER201,country!$C5:$C202,country!$J5:$J202)/SUMPRODUCT(ER4:ER201,country!$C5:$C202)</f>
        <v>16.331248959916671</v>
      </c>
      <c r="ES203" s="5">
        <f>SUMPRODUCT(ES4:ES201,country!$C5:$C202,country!$J5:$J202)/SUMPRODUCT(ES4:ES201,country!$C5:$C202)</f>
        <v>15.95896367808686</v>
      </c>
      <c r="ET203" s="5">
        <f>SUMPRODUCT(ET4:ET201,country!$C5:$C202,country!$J5:$J202)/SUMPRODUCT(ET4:ET201,country!$C5:$C202)</f>
        <v>16.1686514850024</v>
      </c>
      <c r="EU203" s="5">
        <f>SUMPRODUCT(EU4:EU201,country!$C5:$C202,country!$J5:$J202)/SUMPRODUCT(EU4:EU201,country!$C5:$C202)</f>
        <v>11.950957348003634</v>
      </c>
      <c r="EV203" s="5">
        <f>SUMPRODUCT(EV4:EV201,country!$C5:$C202,country!$J5:$J202)/SUMPRODUCT(EV4:EV201,country!$C5:$C202)</f>
        <v>8.2610473022932673</v>
      </c>
      <c r="EY203" s="5">
        <f>SUMPRODUCT(EY4:EY201,country!$C5:$C202,country!$J5:$J202)/SUMPRODUCT(EY4:EY201,country!$C5:$C202)</f>
        <v>21.154126203894474</v>
      </c>
      <c r="EZ203" s="5">
        <f>SUMPRODUCT(EZ4:EZ201,country!$C5:$C202,country!$J5:$J202)/SUMPRODUCT(EZ4:EZ201,country!$C5:$C202)</f>
        <v>13.358942456456763</v>
      </c>
      <c r="FA203" s="5">
        <f>SUMPRODUCT(FA4:FA201,country!$C5:$C202,country!$J5:$J202)/SUMPRODUCT(FA4:FA201,country!$C5:$C202)</f>
        <v>8.5950534682090112</v>
      </c>
      <c r="FB203" s="5">
        <f>SUMPRODUCT(FB4:FB201,country!$C5:$C202,country!$J5:$J202)/SUMPRODUCT(FB4:FB201,country!$C5:$C202)</f>
        <v>16.331248959916671</v>
      </c>
      <c r="FC203" s="5">
        <f>SUMPRODUCT(FC4:FC201,country!$C5:$C202,country!$J5:$J202)/SUMPRODUCT(FC4:FC201,country!$C5:$C202)</f>
        <v>15.374881177843552</v>
      </c>
      <c r="FD203" s="5">
        <f>SUMPRODUCT(FD4:FD201,country!$C5:$C202,country!$J5:$J202)/SUMPRODUCT(FD4:FD201,country!$C5:$C202)</f>
        <v>15.197884851651656</v>
      </c>
      <c r="FE203" s="5">
        <f>SUMPRODUCT(FE4:FE201,country!$C5:$C202,country!$J5:$J202)/SUMPRODUCT(FE4:FE201,country!$C5:$C202)</f>
        <v>15.347138827281951</v>
      </c>
      <c r="FF203" s="5">
        <f>SUMPRODUCT(FF4:FF201,country!$C5:$C202,country!$J5:$J202)/SUMPRODUCT(FF4:FF201,country!$C5:$C202)</f>
        <v>11.577006032793266</v>
      </c>
      <c r="FG203" s="5">
        <f>SUMPRODUCT(FG4:FG201,country!$C5:$C202,country!$J5:$J202)/SUMPRODUCT(FG4:FG201,country!$C5:$C202)</f>
        <v>15.024114934941737</v>
      </c>
      <c r="FH203" s="5">
        <f>SUMPRODUCT(FH4:FH201,country!$C5:$C202,country!$J5:$J202)/SUMPRODUCT(FH4:FH201,country!$C5:$C202)</f>
        <v>13.97309537079434</v>
      </c>
      <c r="FI203" s="5">
        <f>SUMPRODUCT(FI4:FI201,country!$C5:$C202,country!$J5:$J202)/SUMPRODUCT(FI4:FI201,country!$C5:$C202)</f>
        <v>11.950957348003634</v>
      </c>
      <c r="FJ203" s="5">
        <f>SUMPRODUCT(FJ4:FJ201,country!$C5:$C202,country!$J5:$J202)/SUMPRODUCT(FJ4:FJ201,country!$C5:$C202)</f>
        <v>12.456627673406848</v>
      </c>
      <c r="FK203" s="5">
        <f>SUMPRODUCT(FK4:FK201,country!$C5:$C202,country!$J5:$J202)/SUMPRODUCT(FK4:FK201,country!$C5:$C202)</f>
        <v>17.872207416916524</v>
      </c>
      <c r="FL203" s="5">
        <f>SUMPRODUCT(FL4:FL201,country!$C5:$C202,country!$J5:$J202)/SUMPRODUCT(FL4:FL201,country!$C5:$C202)</f>
        <v>9.5183442959782081</v>
      </c>
      <c r="FM203" s="5">
        <f>SUMPRODUCT(FM4:FM201,country!$C5:$C202,country!$J5:$J202)/SUMPRODUCT(FM4:FM201,country!$C5:$C202)</f>
        <v>11.828490184514919</v>
      </c>
      <c r="FN203" s="5">
        <f>SUMPRODUCT(FN4:FN201,country!$C5:$C202,country!$J5:$J202)/SUMPRODUCT(FN4:FN201,country!$C5:$C202)</f>
        <v>6.480982543391935</v>
      </c>
      <c r="FO203" s="5">
        <f>SUMPRODUCT(FO4:FO201,country!$C5:$C202,country!$J5:$J202)/SUMPRODUCT(FO4:FO201,country!$C5:$C202)</f>
        <v>7.6462470523653527</v>
      </c>
      <c r="FP203" s="5">
        <f>SUMPRODUCT(FP4:FP201,country!$C5:$C202,country!$J5:$J202)/SUMPRODUCT(FP4:FP201,country!$C5:$C202)</f>
        <v>8.366886227801599</v>
      </c>
      <c r="FQ203" s="5">
        <f>SUMPRODUCT(FQ4:FQ201,country!$C5:$C202,country!$J5:$J202)/SUMPRODUCT(FQ4:FQ201,country!$C5:$C202)</f>
        <v>6.7108089232199415</v>
      </c>
      <c r="FR203" s="5">
        <f>SUMPRODUCT(FR4:FR201,country!$C5:$C202,country!$J5:$J202)/SUMPRODUCT(FR4:FR201,country!$C5:$C202)</f>
        <v>5.8615817074857715</v>
      </c>
      <c r="FS203" s="5">
        <f>SUMPRODUCT(FS4:FS201,country!$C5:$C202,country!$J5:$J202)/SUMPRODUCT(FS4:FS201,country!$C5:$C202)</f>
        <v>3.8217975013473371</v>
      </c>
      <c r="FT203" s="5">
        <f>SUMPRODUCT(FT4:FT201,country!$C5:$C202,country!$J5:$J202)/SUMPRODUCT(FT4:FT201,country!$C5:$C202)</f>
        <v>3.836877621387575</v>
      </c>
      <c r="FU203" s="5">
        <f>SUMPRODUCT(FU4:FU201,country!$C5:$C202,country!$J5:$J202)/SUMPRODUCT(FU4:FU201,country!$C5:$C202)</f>
        <v>7.1515857687237867</v>
      </c>
      <c r="FV203" s="5">
        <f>SUMPRODUCT(FV4:FV201,country!$C5:$C202,country!$J5:$J202)/SUMPRODUCT(FV4:FV201,country!$C5:$C202)</f>
        <v>9.1788243029367962</v>
      </c>
      <c r="FW203" s="5">
        <f>SUMPRODUCT(FW4:FW201,country!$C5:$C202,country!$J5:$J202)/SUMPRODUCT(FW4:FW201,country!$C5:$C202)</f>
        <v>3.2368437816908191</v>
      </c>
      <c r="FZ203" s="5">
        <f>SUMPRODUCT(FZ4:FZ201,country!$C5:$C202,country!$J5:$J202)/SUMPRODUCT(FZ4:FZ201,country!$C5:$C202)</f>
        <v>5.755630492618744</v>
      </c>
      <c r="GA203" s="5">
        <f>SUMPRODUCT(GA4:GA201,country!$C5:$C202,country!$J5:$J202)/SUMPRODUCT(GA4:GA201,country!$C5:$C202)</f>
        <v>11.349691215705032</v>
      </c>
      <c r="GB203" s="5">
        <f>SUMPRODUCT(GB4:GB201,country!$C5:$C202,country!$J5:$J202)/SUMPRODUCT(GB4:GB201,country!$C5:$C202)</f>
        <v>15.412545952506429</v>
      </c>
      <c r="GC203" s="5">
        <f>SUMPRODUCT(GC4:GC201,country!$C5:$C202,country!$J5:$J202)/SUMPRODUCT(GC4:GC201,country!$C5:$C202)</f>
        <v>16.255569544464194</v>
      </c>
      <c r="GD203" s="5">
        <f>SUMPRODUCT(GD4:GD201,country!$C5:$C202,country!$J5:$J202)/SUMPRODUCT(GD4:GD201,country!$C5:$C202)</f>
        <v>16.206554820647682</v>
      </c>
      <c r="GE203" s="5">
        <f>SUMPRODUCT(GE4:GE201,country!$C5:$C202,country!$J5:$J202)/SUMPRODUCT(GE4:GE201,country!$C5:$C202)</f>
        <v>11.479773947570637</v>
      </c>
      <c r="GF203" s="5">
        <f>SUMPRODUCT(GF4:GF201,country!$C5:$C202,country!$J5:$J202)/SUMPRODUCT(GF4:GF201,country!$C5:$C202)</f>
        <v>7.4374916539605529</v>
      </c>
    </row>
    <row r="204" spans="1:189" x14ac:dyDescent="0.35">
      <c r="AB204" s="5">
        <f t="shared" ref="AB204:AC204" si="145">AB3-AB203</f>
        <v>-3.5165173482154417</v>
      </c>
      <c r="AC204" s="5">
        <f t="shared" si="145"/>
        <v>-9.1384051573399994</v>
      </c>
      <c r="AD204" s="5">
        <f t="shared" ref="AD204:AE204" si="146">AD3-AD203</f>
        <v>-9.9536387859792974</v>
      </c>
      <c r="AE204" s="5">
        <f t="shared" si="146"/>
        <v>-15.343702741602122</v>
      </c>
      <c r="AG204" s="5">
        <f t="shared" ref="AG204:AU204" si="147">AG3-AG203</f>
        <v>-16.950957348003634</v>
      </c>
      <c r="AH204" s="5">
        <f t="shared" si="147"/>
        <v>-14.824114934941738</v>
      </c>
      <c r="AI204" s="5">
        <f t="shared" si="147"/>
        <v>-17.953992682712851</v>
      </c>
      <c r="AJ204" s="5">
        <f t="shared" si="147"/>
        <v>-9.4368776213875751</v>
      </c>
      <c r="AK204" s="5">
        <f t="shared" si="147"/>
        <v>-9.9976120634848584</v>
      </c>
      <c r="AL204" s="5">
        <f t="shared" si="147"/>
        <v>-17.03124895991667</v>
      </c>
      <c r="AM204" s="5">
        <f t="shared" si="147"/>
        <v>-12.280982543391936</v>
      </c>
      <c r="AN204" s="5">
        <f t="shared" si="147"/>
        <v>-15.472207416916524</v>
      </c>
      <c r="AO204" s="5">
        <f t="shared" si="147"/>
        <v>-14.404808764322652</v>
      </c>
      <c r="AP204" s="5">
        <f t="shared" si="147"/>
        <v>-13.690089340982528</v>
      </c>
      <c r="AQ204" s="5">
        <f t="shared" si="147"/>
        <v>-14.14886580414081</v>
      </c>
      <c r="AR204" s="5">
        <f t="shared" si="147"/>
        <v>-19.565967519127824</v>
      </c>
      <c r="AS204" s="5">
        <f t="shared" si="147"/>
        <v>-16.581513008787109</v>
      </c>
      <c r="AT204" s="5">
        <f t="shared" si="147"/>
        <v>-11.768599412163631</v>
      </c>
      <c r="AU204" s="5">
        <f t="shared" si="147"/>
        <v>-16.650764701588322</v>
      </c>
      <c r="AX204" s="5">
        <f t="shared" ref="AX204:BK204" si="148">AX3-AX203</f>
        <v>-16.131248959916672</v>
      </c>
      <c r="AY204" s="5">
        <f t="shared" si="148"/>
        <v>-14.202786388800774</v>
      </c>
      <c r="AZ204" s="5">
        <f t="shared" si="148"/>
        <v>-16.294047958233843</v>
      </c>
      <c r="BA204" s="5">
        <f t="shared" si="148"/>
        <v>-13.765176803524099</v>
      </c>
      <c r="BB204" s="5">
        <f t="shared" si="148"/>
        <v>-15.368651485002399</v>
      </c>
      <c r="BC204" s="5">
        <f t="shared" si="148"/>
        <v>-12.190147391906992</v>
      </c>
      <c r="BD204" s="5">
        <f t="shared" si="148"/>
        <v>-16.383391559104954</v>
      </c>
      <c r="BE204" s="5">
        <f t="shared" si="148"/>
        <v>-9.7840173960953596</v>
      </c>
      <c r="BF204" s="5">
        <f t="shared" si="148"/>
        <v>-10.184364145115371</v>
      </c>
      <c r="BG204" s="5">
        <f t="shared" si="148"/>
        <v>-6.7900893409825276</v>
      </c>
      <c r="BH204" s="5">
        <f t="shared" si="148"/>
        <v>-7.25005013233244</v>
      </c>
      <c r="BI204" s="5">
        <f t="shared" si="148"/>
        <v>-11.850957348003634</v>
      </c>
      <c r="BJ204" s="5">
        <f t="shared" si="148"/>
        <v>-8.8965063767073929</v>
      </c>
      <c r="BK204" s="5">
        <f t="shared" si="148"/>
        <v>-8.4841511433219257</v>
      </c>
      <c r="BL204" s="5"/>
      <c r="BM204" s="5"/>
      <c r="BN204" s="5">
        <f t="shared" ref="BN204:BU204" si="149">BN3-BN203</f>
        <v>-12.039382110514257</v>
      </c>
      <c r="BO204" s="5">
        <f t="shared" si="149"/>
        <v>-14.138902981738555</v>
      </c>
      <c r="BP204" s="5">
        <f t="shared" si="149"/>
        <v>-16.358209834239442</v>
      </c>
      <c r="BQ204" s="5">
        <f t="shared" si="149"/>
        <v>-15.061831343315994</v>
      </c>
      <c r="BR204" s="5">
        <f t="shared" si="149"/>
        <v>-10.812969391873292</v>
      </c>
      <c r="BS204" s="5">
        <f t="shared" si="149"/>
        <v>-17.361783311061711</v>
      </c>
      <c r="BT204" s="5">
        <f t="shared" si="149"/>
        <v>-13.636654009909281</v>
      </c>
      <c r="BU204" s="5">
        <f t="shared" si="149"/>
        <v>-11.904788610215899</v>
      </c>
      <c r="BV204" s="5"/>
      <c r="BX204" s="5">
        <f t="shared" ref="BX204:CJ204" si="150">BX3-BX203</f>
        <v>-16.78124895991667</v>
      </c>
      <c r="BY204" s="5">
        <f t="shared" si="150"/>
        <v>-12.170957348003634</v>
      </c>
      <c r="BZ204" s="5">
        <f t="shared" si="150"/>
        <v>-15.524114934941737</v>
      </c>
      <c r="CA204" s="5">
        <f t="shared" si="150"/>
        <v>-18.387436197068073</v>
      </c>
      <c r="CB204" s="5">
        <f t="shared" si="150"/>
        <v>-17.222207416916525</v>
      </c>
      <c r="CC204" s="5">
        <f t="shared" si="150"/>
        <v>-8.7668776213875752</v>
      </c>
      <c r="CD204" s="5">
        <f t="shared" si="150"/>
        <v>-15.251137030546527</v>
      </c>
      <c r="CE204" s="5">
        <f t="shared" si="150"/>
        <v>-10.600702903469491</v>
      </c>
      <c r="CF204" s="5">
        <f t="shared" si="150"/>
        <v>-14.0928586794927</v>
      </c>
      <c r="CG204" s="5">
        <f t="shared" si="150"/>
        <v>-12.385322749230237</v>
      </c>
      <c r="CH204" s="5">
        <f t="shared" si="150"/>
        <v>-10.54727211395981</v>
      </c>
      <c r="CI204" s="5">
        <f t="shared" si="150"/>
        <v>-6.9520067879418637</v>
      </c>
      <c r="CJ204" s="5">
        <f t="shared" si="150"/>
        <v>-7.3045412048723506</v>
      </c>
      <c r="CM204" s="5">
        <f t="shared" ref="CM204:CU204" si="151">CM3-CM203</f>
        <v>-18.234376096152538</v>
      </c>
      <c r="CN204" s="5">
        <f t="shared" si="151"/>
        <v>-16.796665083234878</v>
      </c>
      <c r="CO204" s="5">
        <f t="shared" si="151"/>
        <v>-17.255897844375554</v>
      </c>
      <c r="CP204" s="5">
        <f t="shared" si="151"/>
        <v>-14.656006829236089</v>
      </c>
      <c r="CQ204" s="5">
        <f t="shared" si="151"/>
        <v>-13.626746573707106</v>
      </c>
      <c r="CR204" s="5">
        <f t="shared" si="151"/>
        <v>-12.094937477849879</v>
      </c>
      <c r="CS204" s="5">
        <f t="shared" si="151"/>
        <v>-15.798005872337992</v>
      </c>
      <c r="CT204" s="5">
        <f t="shared" si="151"/>
        <v>-17.064337444780385</v>
      </c>
      <c r="CU204" s="5">
        <f t="shared" si="151"/>
        <v>-14.455630492618743</v>
      </c>
      <c r="CX204" s="5">
        <f t="shared" ref="CX204:DF204" si="152">CX3-CX203</f>
        <v>-13.334376096152537</v>
      </c>
      <c r="CY204" s="5">
        <f t="shared" si="152"/>
        <v>-11.796665083234878</v>
      </c>
      <c r="CZ204" s="5">
        <f t="shared" si="152"/>
        <v>-13.455897844375553</v>
      </c>
      <c r="DA204" s="5">
        <f t="shared" si="152"/>
        <v>-12.95600682923609</v>
      </c>
      <c r="DB204" s="5">
        <f t="shared" si="152"/>
        <v>-8.4267465737071063</v>
      </c>
      <c r="DC204" s="5">
        <f t="shared" si="152"/>
        <v>-7.8949374778498775</v>
      </c>
      <c r="DD204" s="5">
        <f t="shared" si="152"/>
        <v>-8.8980058723379933</v>
      </c>
      <c r="DE204" s="5">
        <f t="shared" si="152"/>
        <v>-9.7643374447803861</v>
      </c>
      <c r="DF204" s="5">
        <f t="shared" si="152"/>
        <v>-9.8556304926187437</v>
      </c>
      <c r="DH204" s="5">
        <f t="shared" ref="DH204:DM204" si="153">DH3-DH203</f>
        <v>-17.433248959916671</v>
      </c>
      <c r="DI204" s="5">
        <f t="shared" si="153"/>
        <v>-16.198114934941739</v>
      </c>
      <c r="DJ204" s="5">
        <f t="shared" si="153"/>
        <v>-13.473957348003633</v>
      </c>
      <c r="DK204" s="5">
        <f t="shared" si="153"/>
        <v>-16.558429383827505</v>
      </c>
      <c r="DL204" s="5">
        <f t="shared" si="153"/>
        <v>-17.025651485002399</v>
      </c>
      <c r="DM204" s="5">
        <f t="shared" si="153"/>
        <v>-12.188490736837101</v>
      </c>
      <c r="DP204" s="5">
        <f t="shared" ref="DP204:DW204" si="154">DP3-DP203</f>
        <v>-16.682016410193146</v>
      </c>
      <c r="DQ204" s="5">
        <f t="shared" si="154"/>
        <v>-17.89124895991667</v>
      </c>
      <c r="DR204" s="5">
        <f t="shared" si="154"/>
        <v>-18.81896367808686</v>
      </c>
      <c r="DS204" s="5">
        <f t="shared" si="154"/>
        <v>-14.95600682923609</v>
      </c>
      <c r="DT204" s="5">
        <f t="shared" si="154"/>
        <v>-17.152165841408916</v>
      </c>
      <c r="DU204" s="5">
        <f t="shared" si="154"/>
        <v>-15.972556038087692</v>
      </c>
      <c r="DV204" s="5">
        <f t="shared" si="154"/>
        <v>-14.028047986227602</v>
      </c>
      <c r="DW204" s="5">
        <f t="shared" si="154"/>
        <v>-12.084937477849877</v>
      </c>
      <c r="DZ204" s="5">
        <f t="shared" ref="DZ204:EG204" si="155">DZ3-DZ203</f>
        <v>-16.612016410193146</v>
      </c>
      <c r="EA204" s="5">
        <f t="shared" si="155"/>
        <v>-16.638748959916672</v>
      </c>
      <c r="EB204" s="5">
        <f t="shared" si="155"/>
        <v>-16.266463678086861</v>
      </c>
      <c r="EC204" s="5">
        <f t="shared" si="155"/>
        <v>-14.52550682923609</v>
      </c>
      <c r="ED204" s="5">
        <f t="shared" si="155"/>
        <v>-12.198165841408915</v>
      </c>
      <c r="EE204" s="5">
        <f t="shared" si="155"/>
        <v>-10.467556038087693</v>
      </c>
      <c r="EF204" s="5">
        <f t="shared" si="155"/>
        <v>-10.428947986227602</v>
      </c>
      <c r="EG204" s="5">
        <f t="shared" si="155"/>
        <v>-10.045837477849878</v>
      </c>
      <c r="EI204" s="5">
        <f t="shared" ref="EI204:EN204" si="156">EI3-EI203</f>
        <v>-16.782016410193147</v>
      </c>
      <c r="EJ204" s="5">
        <f t="shared" si="156"/>
        <v>-17.631248959916672</v>
      </c>
      <c r="EK204" s="5">
        <f t="shared" si="156"/>
        <v>-17.358963678086859</v>
      </c>
      <c r="EL204" s="5">
        <f t="shared" si="156"/>
        <v>-16.868651485002399</v>
      </c>
      <c r="EM204" s="5">
        <f t="shared" si="156"/>
        <v>-16.650957348003633</v>
      </c>
      <c r="EN204" s="5">
        <f t="shared" si="156"/>
        <v>-10.261047302293267</v>
      </c>
      <c r="EQ204" s="5">
        <f t="shared" ref="EQ204:EV204" si="157">EQ3-EQ203</f>
        <v>-16.982016410193147</v>
      </c>
      <c r="ER204" s="5">
        <f t="shared" si="157"/>
        <v>-17.73124895991667</v>
      </c>
      <c r="ES204" s="5">
        <f t="shared" si="157"/>
        <v>-17.015395215982736</v>
      </c>
      <c r="ET204" s="5">
        <f t="shared" si="157"/>
        <v>-16.9686514850024</v>
      </c>
      <c r="EU204" s="5">
        <f t="shared" si="157"/>
        <v>-18.050957348003635</v>
      </c>
      <c r="EV204" s="5">
        <f t="shared" si="157"/>
        <v>-9.7600593693085376</v>
      </c>
      <c r="EY204" s="5">
        <f t="shared" ref="EY204:FW204" si="158">EY3-EY203</f>
        <v>-20.252859432555621</v>
      </c>
      <c r="EZ204" s="5">
        <f t="shared" si="158"/>
        <v>-13.94267782613989</v>
      </c>
      <c r="FA204" s="5">
        <f t="shared" si="158"/>
        <v>-10.570720753393141</v>
      </c>
      <c r="FB204" s="5">
        <f t="shared" si="158"/>
        <v>-16.787493607361718</v>
      </c>
      <c r="FC204" s="5">
        <f t="shared" si="158"/>
        <v>-15.519368046242066</v>
      </c>
      <c r="FD204" s="5">
        <f t="shared" si="158"/>
        <v>-15.603997469407863</v>
      </c>
      <c r="FE204" s="5">
        <f t="shared" si="158"/>
        <v>-15.581173940042442</v>
      </c>
      <c r="FF204" s="5">
        <f t="shared" si="158"/>
        <v>-12.475171890629404</v>
      </c>
      <c r="FG204" s="5">
        <f t="shared" si="158"/>
        <v>-14.975717133057636</v>
      </c>
      <c r="FH204" s="5">
        <f t="shared" si="158"/>
        <v>-14.402987606021288</v>
      </c>
      <c r="FI204" s="5">
        <f t="shared" si="158"/>
        <v>-14.454422235243143</v>
      </c>
      <c r="FJ204" s="5">
        <f t="shared" si="158"/>
        <v>-13.25460440763465</v>
      </c>
      <c r="FK204" s="5">
        <f t="shared" si="158"/>
        <v>-16.717208130590514</v>
      </c>
      <c r="FL204" s="5">
        <f t="shared" si="158"/>
        <v>-11.876958341082398</v>
      </c>
      <c r="FM204" s="5">
        <f t="shared" si="158"/>
        <v>-12.466279222482374</v>
      </c>
      <c r="FN204" s="5">
        <f t="shared" si="158"/>
        <v>-7.6744203110196851</v>
      </c>
      <c r="FO204" s="5">
        <f t="shared" si="158"/>
        <v>-9.3178999213348028</v>
      </c>
      <c r="FP204" s="5">
        <f t="shared" si="158"/>
        <v>-11.53902796345675</v>
      </c>
      <c r="FQ204" s="5">
        <f t="shared" si="158"/>
        <v>-10.222010036551371</v>
      </c>
      <c r="FR204" s="5">
        <f t="shared" si="158"/>
        <v>-8.5656746278397513</v>
      </c>
      <c r="FS204" s="5">
        <f t="shared" si="158"/>
        <v>-6.1369238216442277</v>
      </c>
      <c r="FT204" s="5">
        <f t="shared" si="158"/>
        <v>-8.1479181580704143</v>
      </c>
      <c r="FU204" s="5">
        <f t="shared" si="158"/>
        <v>-10.253088052480567</v>
      </c>
      <c r="FV204" s="5">
        <f t="shared" si="158"/>
        <v>-11.364736378300766</v>
      </c>
      <c r="FW204" s="5">
        <f t="shared" si="158"/>
        <v>-7.2792146066979591</v>
      </c>
      <c r="FZ204" s="5">
        <f t="shared" ref="FZ204:GF204" si="159">FZ3-FZ203</f>
        <v>-4.151678678720458</v>
      </c>
      <c r="GA204" s="5">
        <f t="shared" si="159"/>
        <v>-8.9667347927071184</v>
      </c>
      <c r="GB204" s="5">
        <f t="shared" si="159"/>
        <v>-14.268230374847988</v>
      </c>
      <c r="GC204" s="5">
        <f t="shared" si="159"/>
        <v>-14.892549062782749</v>
      </c>
      <c r="GD204" s="5">
        <f t="shared" si="159"/>
        <v>-15.267906895347796</v>
      </c>
      <c r="GE204" s="5">
        <f t="shared" si="159"/>
        <v>-10.730436026242431</v>
      </c>
      <c r="GF204" s="5">
        <f t="shared" si="159"/>
        <v>-5.8612160042171819</v>
      </c>
    </row>
    <row r="205" spans="1:189" x14ac:dyDescent="0.35">
      <c r="E205" s="8"/>
    </row>
    <row r="206" spans="1:189" x14ac:dyDescent="0.35">
      <c r="AB206" s="5">
        <f>SUMPRODUCT(AB4:AB201,country!$C5:$C202,country!$J5:$J202)/SUMPRODUCT(AB4:AB201,country!$C5:$C202)</f>
        <v>3.3165173482154415</v>
      </c>
      <c r="AC206" s="5">
        <f>SUMPRODUCT(AC4:AC201,country!$C5:$C202,country!$J5:$J202)/SUMPRODUCT(AC4:AC201,country!$C5:$C202)</f>
        <v>8.738405157339999</v>
      </c>
      <c r="AD206" s="5">
        <f>SUMPRODUCT(AD4:AD201,country!$C5:$C202,country!$J5:$J202)/SUMPRODUCT(AD4:AD201,country!$C5:$C202)</f>
        <v>10.753638785979298</v>
      </c>
      <c r="AE206" s="5">
        <f>SUMPRODUCT(AE4:AE201,country!$C5:$C202,country!$J5:$J202)/SUMPRODUCT(AE4:AE201,country!$C5:$C202)</f>
        <v>15.543702741602122</v>
      </c>
    </row>
    <row r="207" spans="1:189" x14ac:dyDescent="0.35">
      <c r="AB207" s="5">
        <f>AB2-AB206</f>
        <v>-4.7165173482154419</v>
      </c>
      <c r="AC207" s="5">
        <f>AC2-AC206</f>
        <v>-7.1384051573399994</v>
      </c>
      <c r="AD207" s="5">
        <f>AD2-AD206</f>
        <v>-8.6536387859792985</v>
      </c>
      <c r="AE207" s="5">
        <f>AE2-AE206</f>
        <v>-14.643702741602121</v>
      </c>
    </row>
    <row r="209" spans="5:5" x14ac:dyDescent="0.35">
      <c r="E209" s="8"/>
    </row>
    <row r="210" spans="5:5" x14ac:dyDescent="0.35">
      <c r="E210" s="8"/>
    </row>
    <row r="211" spans="5:5" x14ac:dyDescent="0.35">
      <c r="E211" s="8"/>
    </row>
    <row r="212" spans="5:5" x14ac:dyDescent="0.35">
      <c r="E212" s="8"/>
    </row>
    <row r="213" spans="5:5" x14ac:dyDescent="0.35">
      <c r="E213" s="8"/>
    </row>
    <row r="214" spans="5:5" x14ac:dyDescent="0.35">
      <c r="E214" s="8"/>
    </row>
    <row r="215" spans="5:5" x14ac:dyDescent="0.35">
      <c r="E215" s="8"/>
    </row>
    <row r="216" spans="5:5" x14ac:dyDescent="0.35">
      <c r="E216" s="8"/>
    </row>
    <row r="217" spans="5:5" x14ac:dyDescent="0.35">
      <c r="E217" s="8"/>
    </row>
    <row r="218" spans="5:5" x14ac:dyDescent="0.35">
      <c r="E218" s="8"/>
    </row>
    <row r="219" spans="5:5" x14ac:dyDescent="0.35">
      <c r="E219" s="8"/>
    </row>
    <row r="220" spans="5:5" x14ac:dyDescent="0.35">
      <c r="E220" s="8"/>
    </row>
    <row r="221" spans="5:5" x14ac:dyDescent="0.35">
      <c r="E221" s="8"/>
    </row>
    <row r="224" spans="5:5" x14ac:dyDescent="0.35">
      <c r="E224" s="8"/>
    </row>
    <row r="225" spans="5:5" x14ac:dyDescent="0.35">
      <c r="E225" s="8"/>
    </row>
    <row r="226" spans="5:5" x14ac:dyDescent="0.35">
      <c r="E226" s="8"/>
    </row>
    <row r="227" spans="5:5" x14ac:dyDescent="0.35">
      <c r="E227" s="8"/>
    </row>
    <row r="230" spans="5:5" x14ac:dyDescent="0.35">
      <c r="E230" s="8"/>
    </row>
    <row r="231" spans="5:5" x14ac:dyDescent="0.35">
      <c r="E231" s="8"/>
    </row>
    <row r="232" spans="5:5" x14ac:dyDescent="0.35">
      <c r="E232" s="8"/>
    </row>
    <row r="233" spans="5:5" x14ac:dyDescent="0.35">
      <c r="E233" s="8"/>
    </row>
    <row r="234" spans="5:5" x14ac:dyDescent="0.35">
      <c r="E234" s="8"/>
    </row>
    <row r="235" spans="5:5" x14ac:dyDescent="0.35">
      <c r="E235" s="8"/>
    </row>
    <row r="236" spans="5:5" x14ac:dyDescent="0.35">
      <c r="E236" s="8"/>
    </row>
    <row r="238" spans="5:5" x14ac:dyDescent="0.35">
      <c r="E238" s="8"/>
    </row>
    <row r="242" spans="5:5" x14ac:dyDescent="0.35">
      <c r="E242" s="8"/>
    </row>
    <row r="243" spans="5:5" x14ac:dyDescent="0.35">
      <c r="E243" s="8"/>
    </row>
    <row r="244" spans="5:5" x14ac:dyDescent="0.35">
      <c r="E244" s="8"/>
    </row>
    <row r="246" spans="5:5" x14ac:dyDescent="0.35">
      <c r="E246" s="8"/>
    </row>
    <row r="247" spans="5:5" x14ac:dyDescent="0.35">
      <c r="E247" s="8"/>
    </row>
    <row r="248" spans="5:5" x14ac:dyDescent="0.35">
      <c r="E248" s="8"/>
    </row>
    <row r="250" spans="5:5" x14ac:dyDescent="0.35">
      <c r="E250" s="8"/>
    </row>
    <row r="251" spans="5:5" x14ac:dyDescent="0.35">
      <c r="E251" s="8"/>
    </row>
    <row r="252" spans="5:5" x14ac:dyDescent="0.35">
      <c r="E252" s="8"/>
    </row>
    <row r="253" spans="5:5" x14ac:dyDescent="0.35">
      <c r="E253" s="8"/>
    </row>
    <row r="254" spans="5:5" x14ac:dyDescent="0.35">
      <c r="E254" s="8"/>
    </row>
    <row r="255" spans="5:5" x14ac:dyDescent="0.35">
      <c r="E255" s="8"/>
    </row>
    <row r="256" spans="5:5" x14ac:dyDescent="0.35">
      <c r="E256" s="8"/>
    </row>
    <row r="257" spans="5:5" x14ac:dyDescent="0.35">
      <c r="E257" s="8"/>
    </row>
    <row r="258" spans="5:5" x14ac:dyDescent="0.35">
      <c r="E258" s="8"/>
    </row>
    <row r="262" spans="5:5" x14ac:dyDescent="0.35">
      <c r="E262" s="8"/>
    </row>
    <row r="265" spans="5:5" x14ac:dyDescent="0.35">
      <c r="E265" s="8"/>
    </row>
    <row r="267" spans="5:5" x14ac:dyDescent="0.35">
      <c r="E267" s="8"/>
    </row>
    <row r="268" spans="5:5" x14ac:dyDescent="0.35">
      <c r="E268" s="8"/>
    </row>
    <row r="270" spans="5:5" x14ac:dyDescent="0.35">
      <c r="E270" s="8"/>
    </row>
    <row r="271" spans="5:5" x14ac:dyDescent="0.35">
      <c r="E271" s="8"/>
    </row>
    <row r="272" spans="5:5" x14ac:dyDescent="0.35">
      <c r="E272" s="8"/>
    </row>
    <row r="273" spans="5:5" x14ac:dyDescent="0.35">
      <c r="E273" s="8"/>
    </row>
    <row r="274" spans="5:5" x14ac:dyDescent="0.35">
      <c r="E274" s="8"/>
    </row>
    <row r="275" spans="5:5" x14ac:dyDescent="0.35">
      <c r="E275" s="8"/>
    </row>
    <row r="277" spans="5:5" x14ac:dyDescent="0.35">
      <c r="E277" s="8"/>
    </row>
    <row r="278" spans="5:5" x14ac:dyDescent="0.35">
      <c r="E278" s="8"/>
    </row>
    <row r="279" spans="5:5" x14ac:dyDescent="0.35">
      <c r="E279" s="8"/>
    </row>
    <row r="280" spans="5:5" x14ac:dyDescent="0.35">
      <c r="E280" s="8"/>
    </row>
    <row r="281" spans="5:5" x14ac:dyDescent="0.35">
      <c r="E281" s="8"/>
    </row>
    <row r="282" spans="5:5" x14ac:dyDescent="0.35">
      <c r="E282" s="8"/>
    </row>
    <row r="283" spans="5:5" x14ac:dyDescent="0.35">
      <c r="E283" s="8"/>
    </row>
    <row r="284" spans="5:5" x14ac:dyDescent="0.35">
      <c r="E284" s="8"/>
    </row>
    <row r="285" spans="5:5" x14ac:dyDescent="0.35">
      <c r="E285" s="8"/>
    </row>
    <row r="286" spans="5:5" x14ac:dyDescent="0.35">
      <c r="E286" s="8"/>
    </row>
    <row r="287" spans="5:5" x14ac:dyDescent="0.35">
      <c r="E287" s="8"/>
    </row>
    <row r="288" spans="5:5" x14ac:dyDescent="0.35">
      <c r="E288" s="8"/>
    </row>
    <row r="289" spans="5:5" x14ac:dyDescent="0.35">
      <c r="E289" s="8"/>
    </row>
    <row r="290" spans="5:5" x14ac:dyDescent="0.35">
      <c r="E290" s="8"/>
    </row>
    <row r="291" spans="5:5" x14ac:dyDescent="0.35">
      <c r="E291" s="8"/>
    </row>
    <row r="292" spans="5:5" x14ac:dyDescent="0.35">
      <c r="E292" s="8"/>
    </row>
    <row r="293" spans="5:5" x14ac:dyDescent="0.35">
      <c r="E293" s="8"/>
    </row>
    <row r="294" spans="5:5" x14ac:dyDescent="0.35">
      <c r="E294" s="8"/>
    </row>
    <row r="295" spans="5:5" x14ac:dyDescent="0.35">
      <c r="E295" s="8"/>
    </row>
    <row r="296" spans="5:5" x14ac:dyDescent="0.35">
      <c r="E296" s="8"/>
    </row>
    <row r="297" spans="5:5" x14ac:dyDescent="0.35">
      <c r="E297" s="8"/>
    </row>
    <row r="298" spans="5:5" x14ac:dyDescent="0.35">
      <c r="E298" s="8"/>
    </row>
    <row r="299" spans="5:5" x14ac:dyDescent="0.35">
      <c r="E299" s="8"/>
    </row>
    <row r="300" spans="5:5" x14ac:dyDescent="0.35">
      <c r="E300" s="8"/>
    </row>
    <row r="302" spans="5:5" x14ac:dyDescent="0.35">
      <c r="E302" s="8"/>
    </row>
    <row r="303" spans="5:5" x14ac:dyDescent="0.35">
      <c r="E303" s="8"/>
    </row>
    <row r="304" spans="5:5" x14ac:dyDescent="0.35">
      <c r="E304" s="8"/>
    </row>
    <row r="305" spans="5:5" x14ac:dyDescent="0.35">
      <c r="E305" s="8"/>
    </row>
    <row r="306" spans="5:5" x14ac:dyDescent="0.35">
      <c r="E306" s="8"/>
    </row>
    <row r="307" spans="5:5" x14ac:dyDescent="0.35">
      <c r="E307" s="8"/>
    </row>
    <row r="308" spans="5:5" x14ac:dyDescent="0.35">
      <c r="E308" s="8"/>
    </row>
    <row r="309" spans="5:5" x14ac:dyDescent="0.35">
      <c r="E309" s="8"/>
    </row>
    <row r="310" spans="5:5" x14ac:dyDescent="0.35">
      <c r="E310" s="8"/>
    </row>
    <row r="311" spans="5:5" x14ac:dyDescent="0.35">
      <c r="E311" s="8"/>
    </row>
    <row r="312" spans="5:5" x14ac:dyDescent="0.35">
      <c r="E312" s="8"/>
    </row>
    <row r="313" spans="5:5" x14ac:dyDescent="0.35">
      <c r="E313" s="8"/>
    </row>
    <row r="314" spans="5:5" x14ac:dyDescent="0.35">
      <c r="E314" s="8"/>
    </row>
    <row r="315" spans="5:5" x14ac:dyDescent="0.35">
      <c r="E315" s="8"/>
    </row>
    <row r="316" spans="5:5" x14ac:dyDescent="0.35">
      <c r="E316" s="8"/>
    </row>
    <row r="317" spans="5:5" x14ac:dyDescent="0.35">
      <c r="E317" s="8"/>
    </row>
    <row r="318" spans="5:5" x14ac:dyDescent="0.35">
      <c r="E318" s="8"/>
    </row>
    <row r="319" spans="5:5" x14ac:dyDescent="0.35">
      <c r="E319" s="8"/>
    </row>
    <row r="320" spans="5:5" x14ac:dyDescent="0.35">
      <c r="E320" s="8"/>
    </row>
    <row r="321" spans="5:5" x14ac:dyDescent="0.35">
      <c r="E321" s="8"/>
    </row>
    <row r="322" spans="5:5" x14ac:dyDescent="0.35">
      <c r="E322" s="8"/>
    </row>
    <row r="323" spans="5:5" x14ac:dyDescent="0.35">
      <c r="E323" s="8"/>
    </row>
    <row r="324" spans="5:5" x14ac:dyDescent="0.35">
      <c r="E324" s="8"/>
    </row>
    <row r="325" spans="5:5" x14ac:dyDescent="0.35">
      <c r="E325" s="8"/>
    </row>
    <row r="326" spans="5:5" x14ac:dyDescent="0.35">
      <c r="E326" s="8"/>
    </row>
    <row r="327" spans="5:5" x14ac:dyDescent="0.35">
      <c r="E327" s="8"/>
    </row>
    <row r="328" spans="5:5" x14ac:dyDescent="0.35">
      <c r="E328" s="8"/>
    </row>
    <row r="329" spans="5:5" x14ac:dyDescent="0.35">
      <c r="E329" s="8"/>
    </row>
    <row r="330" spans="5:5" x14ac:dyDescent="0.35">
      <c r="E330" s="8"/>
    </row>
    <row r="331" spans="5:5" x14ac:dyDescent="0.35">
      <c r="E331" s="8"/>
    </row>
    <row r="332" spans="5:5" x14ac:dyDescent="0.35">
      <c r="E332" s="8"/>
    </row>
    <row r="333" spans="5:5" x14ac:dyDescent="0.35">
      <c r="E333" s="8"/>
    </row>
    <row r="335" spans="5:5" x14ac:dyDescent="0.35">
      <c r="E335" s="8"/>
    </row>
    <row r="336" spans="5:5" x14ac:dyDescent="0.35">
      <c r="E336" s="8"/>
    </row>
    <row r="337" spans="5:5" x14ac:dyDescent="0.35">
      <c r="E337" s="8"/>
    </row>
    <row r="338" spans="5:5" x14ac:dyDescent="0.35">
      <c r="E338" s="8"/>
    </row>
    <row r="339" spans="5:5" x14ac:dyDescent="0.35">
      <c r="E339" s="8"/>
    </row>
    <row r="340" spans="5:5" x14ac:dyDescent="0.35">
      <c r="E340" s="8"/>
    </row>
    <row r="341" spans="5:5" x14ac:dyDescent="0.35">
      <c r="E341" s="8"/>
    </row>
    <row r="342" spans="5:5" x14ac:dyDescent="0.35">
      <c r="E342" s="8"/>
    </row>
    <row r="343" spans="5:5" x14ac:dyDescent="0.35">
      <c r="E343" s="8"/>
    </row>
    <row r="345" spans="5:5" x14ac:dyDescent="0.35">
      <c r="E345" s="8"/>
    </row>
    <row r="346" spans="5:5" x14ac:dyDescent="0.35">
      <c r="E346" s="8"/>
    </row>
    <row r="347" spans="5:5" x14ac:dyDescent="0.35">
      <c r="E347" s="8"/>
    </row>
    <row r="348" spans="5:5" x14ac:dyDescent="0.35">
      <c r="E348" s="8"/>
    </row>
    <row r="349" spans="5:5" x14ac:dyDescent="0.35">
      <c r="E349" s="8"/>
    </row>
    <row r="350" spans="5:5" x14ac:dyDescent="0.35">
      <c r="E350" s="8"/>
    </row>
    <row r="351" spans="5:5" x14ac:dyDescent="0.35">
      <c r="E351" s="8"/>
    </row>
    <row r="352" spans="5:5" x14ac:dyDescent="0.35">
      <c r="E352" s="8"/>
    </row>
    <row r="353" spans="5:6" x14ac:dyDescent="0.35">
      <c r="E353" s="8"/>
    </row>
    <row r="354" spans="5:6" x14ac:dyDescent="0.35">
      <c r="E354" s="8"/>
    </row>
    <row r="355" spans="5:6" x14ac:dyDescent="0.35">
      <c r="E355" s="8"/>
    </row>
    <row r="356" spans="5:6" x14ac:dyDescent="0.35">
      <c r="E356" s="8"/>
    </row>
    <row r="357" spans="5:6" x14ac:dyDescent="0.35">
      <c r="E357" s="8"/>
    </row>
    <row r="358" spans="5:6" x14ac:dyDescent="0.35">
      <c r="E358" s="8"/>
    </row>
    <row r="359" spans="5:6" x14ac:dyDescent="0.35">
      <c r="E359" s="8"/>
    </row>
    <row r="360" spans="5:6" x14ac:dyDescent="0.35">
      <c r="E360" s="8"/>
    </row>
    <row r="361" spans="5:6" x14ac:dyDescent="0.35">
      <c r="E361" s="8"/>
      <c r="F361" s="8"/>
    </row>
    <row r="362" spans="5:6" x14ac:dyDescent="0.35">
      <c r="E362" s="8"/>
      <c r="F362" s="8"/>
    </row>
    <row r="363" spans="5:6" x14ac:dyDescent="0.35">
      <c r="E363" s="8"/>
      <c r="F363" s="8"/>
    </row>
    <row r="364" spans="5:6" x14ac:dyDescent="0.35">
      <c r="E364" s="8"/>
      <c r="F364" s="8"/>
    </row>
    <row r="365" spans="5:6" x14ac:dyDescent="0.35">
      <c r="E365" s="8"/>
    </row>
    <row r="366" spans="5:6" x14ac:dyDescent="0.35">
      <c r="E366" s="8"/>
    </row>
    <row r="367" spans="5:6" x14ac:dyDescent="0.35">
      <c r="E367" s="8"/>
    </row>
    <row r="368" spans="5:6" x14ac:dyDescent="0.35">
      <c r="E368" s="8"/>
    </row>
    <row r="369" spans="5:6" x14ac:dyDescent="0.35">
      <c r="E369" s="8"/>
    </row>
    <row r="370" spans="5:6" x14ac:dyDescent="0.35">
      <c r="E370" s="8"/>
    </row>
    <row r="371" spans="5:6" x14ac:dyDescent="0.35">
      <c r="E371" s="8"/>
    </row>
    <row r="378" spans="5:6" x14ac:dyDescent="0.35">
      <c r="F378" s="8"/>
    </row>
    <row r="379" spans="5:6" x14ac:dyDescent="0.35">
      <c r="F379" s="8"/>
    </row>
    <row r="380" spans="5:6" x14ac:dyDescent="0.35">
      <c r="F380" s="8"/>
    </row>
    <row r="386" spans="5:6" x14ac:dyDescent="0.35">
      <c r="E386" s="8"/>
      <c r="F386" s="8"/>
    </row>
    <row r="387" spans="5:6" x14ac:dyDescent="0.35">
      <c r="E387" s="8"/>
      <c r="F387" s="8"/>
    </row>
    <row r="388" spans="5:6" x14ac:dyDescent="0.35">
      <c r="E388" s="8"/>
      <c r="F388" s="8"/>
    </row>
    <row r="389" spans="5:6" x14ac:dyDescent="0.35">
      <c r="E389" s="8"/>
      <c r="F389" s="8"/>
    </row>
    <row r="390" spans="5:6" x14ac:dyDescent="0.35">
      <c r="E390" s="8"/>
      <c r="F390" s="8"/>
    </row>
    <row r="391" spans="5:6" x14ac:dyDescent="0.35">
      <c r="E391" s="8"/>
      <c r="F391" s="8"/>
    </row>
    <row r="395" spans="5:6" x14ac:dyDescent="0.35">
      <c r="F395" s="8"/>
    </row>
    <row r="396" spans="5:6" x14ac:dyDescent="0.35">
      <c r="F396" s="8"/>
    </row>
    <row r="397" spans="5:6" x14ac:dyDescent="0.35">
      <c r="E397" s="8"/>
      <c r="F397" s="8"/>
    </row>
    <row r="398" spans="5:6" x14ac:dyDescent="0.35">
      <c r="E398" s="8"/>
      <c r="F398" s="8"/>
    </row>
    <row r="399" spans="5:6" x14ac:dyDescent="0.35">
      <c r="E399" s="8"/>
      <c r="F399" s="8"/>
    </row>
    <row r="400" spans="5:6" x14ac:dyDescent="0.35">
      <c r="E400" s="8"/>
    </row>
    <row r="401" spans="5:6" x14ac:dyDescent="0.35">
      <c r="E401" s="8"/>
    </row>
    <row r="402" spans="5:6" x14ac:dyDescent="0.35">
      <c r="E402" s="8"/>
    </row>
    <row r="404" spans="5:6" x14ac:dyDescent="0.35">
      <c r="F404" s="8"/>
    </row>
    <row r="405" spans="5:6" x14ac:dyDescent="0.35">
      <c r="F405" s="8"/>
    </row>
    <row r="406" spans="5:6" x14ac:dyDescent="0.35">
      <c r="E406" s="8"/>
      <c r="F406" s="8"/>
    </row>
    <row r="407" spans="5:6" x14ac:dyDescent="0.35">
      <c r="E407" s="8"/>
      <c r="F407" s="8"/>
    </row>
    <row r="408" spans="5:6" x14ac:dyDescent="0.35">
      <c r="E408" s="8"/>
      <c r="F408" s="8"/>
    </row>
    <row r="409" spans="5:6" x14ac:dyDescent="0.35">
      <c r="E409" s="8"/>
      <c r="F409" s="8"/>
    </row>
    <row r="410" spans="5:6" x14ac:dyDescent="0.35">
      <c r="E410" s="8"/>
      <c r="F410" s="8"/>
    </row>
    <row r="415" spans="5:6" x14ac:dyDescent="0.35">
      <c r="E415" s="8"/>
    </row>
    <row r="416" spans="5:6" x14ac:dyDescent="0.35">
      <c r="E416" s="8"/>
    </row>
    <row r="417" spans="5:6" x14ac:dyDescent="0.35">
      <c r="E417" s="8"/>
    </row>
    <row r="418" spans="5:6" x14ac:dyDescent="0.35">
      <c r="E418" s="8"/>
    </row>
    <row r="419" spans="5:6" x14ac:dyDescent="0.35">
      <c r="E419" s="8"/>
    </row>
    <row r="420" spans="5:6" x14ac:dyDescent="0.35">
      <c r="E420" s="8"/>
    </row>
    <row r="421" spans="5:6" x14ac:dyDescent="0.35">
      <c r="E421" s="8"/>
    </row>
    <row r="424" spans="5:6" x14ac:dyDescent="0.35">
      <c r="F424" s="8"/>
    </row>
    <row r="425" spans="5:6" x14ac:dyDescent="0.35">
      <c r="F425" s="8"/>
    </row>
    <row r="426" spans="5:6" x14ac:dyDescent="0.35">
      <c r="F426" s="8"/>
    </row>
    <row r="428" spans="5:6" x14ac:dyDescent="0.35">
      <c r="F428" s="8"/>
    </row>
    <row r="429" spans="5:6" x14ac:dyDescent="0.35">
      <c r="F429" s="8"/>
    </row>
    <row r="430" spans="5:6" x14ac:dyDescent="0.35">
      <c r="F430" s="8"/>
    </row>
    <row r="431" spans="5:6" x14ac:dyDescent="0.35">
      <c r="F431" s="8"/>
    </row>
    <row r="432" spans="5:6" x14ac:dyDescent="0.35">
      <c r="F432" s="8"/>
    </row>
    <row r="433" spans="5:6" x14ac:dyDescent="0.35">
      <c r="F433" s="8"/>
    </row>
    <row r="434" spans="5:6" x14ac:dyDescent="0.35">
      <c r="F434" s="8"/>
    </row>
    <row r="435" spans="5:6" x14ac:dyDescent="0.35">
      <c r="E435" s="8"/>
      <c r="F435" s="8"/>
    </row>
    <row r="436" spans="5:6" x14ac:dyDescent="0.35">
      <c r="E436" s="8"/>
      <c r="F436" s="8"/>
    </row>
    <row r="437" spans="5:6" x14ac:dyDescent="0.35">
      <c r="E437" s="8"/>
      <c r="F437" s="8"/>
    </row>
    <row r="439" spans="5:6" x14ac:dyDescent="0.35">
      <c r="E439" s="8"/>
    </row>
    <row r="440" spans="5:6" x14ac:dyDescent="0.35">
      <c r="E440" s="8"/>
    </row>
    <row r="441" spans="5:6" x14ac:dyDescent="0.35">
      <c r="E441" s="8"/>
    </row>
    <row r="442" spans="5:6" x14ac:dyDescent="0.35">
      <c r="E442" s="8"/>
      <c r="F442" s="8"/>
    </row>
    <row r="443" spans="5:6" x14ac:dyDescent="0.35">
      <c r="E443" s="8"/>
      <c r="F443" s="8"/>
    </row>
    <row r="444" spans="5:6" x14ac:dyDescent="0.35">
      <c r="E444" s="8"/>
      <c r="F444" s="8"/>
    </row>
    <row r="445" spans="5:6" x14ac:dyDescent="0.35">
      <c r="E445" s="8"/>
      <c r="F445" s="8"/>
    </row>
    <row r="446" spans="5:6" x14ac:dyDescent="0.35">
      <c r="E446" s="8"/>
      <c r="F446" s="8"/>
    </row>
    <row r="447" spans="5:6" x14ac:dyDescent="0.35">
      <c r="E447" s="8"/>
      <c r="F447" s="8"/>
    </row>
    <row r="448" spans="5:6" x14ac:dyDescent="0.35">
      <c r="E448" s="8"/>
      <c r="F448" s="8"/>
    </row>
    <row r="449" spans="5:6" x14ac:dyDescent="0.35">
      <c r="E449" s="8"/>
      <c r="F449" s="8"/>
    </row>
    <row r="450" spans="5:6" x14ac:dyDescent="0.35">
      <c r="E450" s="8"/>
      <c r="F450" s="8"/>
    </row>
    <row r="451" spans="5:6" x14ac:dyDescent="0.35">
      <c r="E451" s="8"/>
    </row>
    <row r="452" spans="5:6" x14ac:dyDescent="0.35">
      <c r="E452" s="8"/>
    </row>
    <row r="453" spans="5:6" x14ac:dyDescent="0.35">
      <c r="E453" s="8"/>
    </row>
    <row r="454" spans="5:6" x14ac:dyDescent="0.35">
      <c r="E454" s="8"/>
    </row>
    <row r="455" spans="5:6" x14ac:dyDescent="0.35">
      <c r="E455" s="8"/>
    </row>
    <row r="456" spans="5:6" x14ac:dyDescent="0.35">
      <c r="E456" s="8"/>
    </row>
    <row r="457" spans="5:6" x14ac:dyDescent="0.35">
      <c r="E457" s="8"/>
      <c r="F457" s="8"/>
    </row>
    <row r="458" spans="5:6" x14ac:dyDescent="0.35">
      <c r="E458" s="8"/>
      <c r="F458" s="8"/>
    </row>
    <row r="459" spans="5:6" x14ac:dyDescent="0.35">
      <c r="E459" s="8"/>
      <c r="F459" s="8"/>
    </row>
    <row r="460" spans="5:6" x14ac:dyDescent="0.35">
      <c r="E460" s="8"/>
      <c r="F460" s="8"/>
    </row>
    <row r="461" spans="5:6" x14ac:dyDescent="0.35">
      <c r="E461" s="8"/>
      <c r="F461" s="8"/>
    </row>
    <row r="462" spans="5:6" x14ac:dyDescent="0.35">
      <c r="E462" s="8"/>
      <c r="F462" s="8"/>
    </row>
    <row r="463" spans="5:6" x14ac:dyDescent="0.35">
      <c r="E463" s="8"/>
      <c r="F463" s="8"/>
    </row>
    <row r="464" spans="5:6" x14ac:dyDescent="0.35">
      <c r="E464" s="8"/>
      <c r="F464" s="8"/>
    </row>
    <row r="465" spans="5:6" x14ac:dyDescent="0.35">
      <c r="E465" s="8"/>
      <c r="F465" s="8"/>
    </row>
    <row r="466" spans="5:6" x14ac:dyDescent="0.35">
      <c r="E466" s="8"/>
      <c r="F466" s="8"/>
    </row>
    <row r="467" spans="5:6" x14ac:dyDescent="0.35">
      <c r="E467" s="8"/>
      <c r="F467" s="8"/>
    </row>
    <row r="468" spans="5:6" x14ac:dyDescent="0.35">
      <c r="E468" s="8"/>
      <c r="F468" s="8"/>
    </row>
    <row r="469" spans="5:6" x14ac:dyDescent="0.35">
      <c r="E469" s="8"/>
      <c r="F469" s="8"/>
    </row>
    <row r="470" spans="5:6" x14ac:dyDescent="0.35">
      <c r="E470" s="8"/>
      <c r="F470" s="8"/>
    </row>
    <row r="471" spans="5:6" x14ac:dyDescent="0.35">
      <c r="E471" s="8"/>
      <c r="F471" s="8"/>
    </row>
    <row r="472" spans="5:6" x14ac:dyDescent="0.35">
      <c r="E472" s="8"/>
      <c r="F472" s="8"/>
    </row>
    <row r="473" spans="5:6" x14ac:dyDescent="0.35">
      <c r="E473" s="8"/>
      <c r="F473" s="8"/>
    </row>
    <row r="474" spans="5:6" x14ac:dyDescent="0.35">
      <c r="E474" s="8"/>
      <c r="F474" s="8"/>
    </row>
    <row r="475" spans="5:6" x14ac:dyDescent="0.35">
      <c r="E475" s="8"/>
      <c r="F475" s="8"/>
    </row>
    <row r="476" spans="5:6" x14ac:dyDescent="0.35">
      <c r="E476" s="8"/>
      <c r="F476" s="8"/>
    </row>
    <row r="477" spans="5:6" x14ac:dyDescent="0.35">
      <c r="E477" s="8"/>
      <c r="F477" s="8"/>
    </row>
    <row r="478" spans="5:6" x14ac:dyDescent="0.35">
      <c r="E478" s="8"/>
      <c r="F478" s="8"/>
    </row>
    <row r="479" spans="5:6" x14ac:dyDescent="0.35">
      <c r="E479" s="8"/>
      <c r="F479" s="8"/>
    </row>
    <row r="480" spans="5:6" x14ac:dyDescent="0.35">
      <c r="E480" s="8"/>
      <c r="F480" s="8"/>
    </row>
    <row r="481" spans="5:6" x14ac:dyDescent="0.35">
      <c r="E481" s="8"/>
    </row>
    <row r="482" spans="5:6" x14ac:dyDescent="0.35">
      <c r="F482" s="8"/>
    </row>
    <row r="483" spans="5:6" x14ac:dyDescent="0.35">
      <c r="E483" s="8"/>
      <c r="F483" s="8"/>
    </row>
    <row r="484" spans="5:6" x14ac:dyDescent="0.35">
      <c r="E484" s="8"/>
      <c r="F484" s="8"/>
    </row>
    <row r="485" spans="5:6" x14ac:dyDescent="0.35">
      <c r="E485" s="8"/>
      <c r="F485" s="8"/>
    </row>
    <row r="486" spans="5:6" x14ac:dyDescent="0.35">
      <c r="E486" s="8"/>
      <c r="F486" s="8"/>
    </row>
    <row r="487" spans="5:6" x14ac:dyDescent="0.35">
      <c r="E487" s="8"/>
      <c r="F487" s="8"/>
    </row>
    <row r="488" spans="5:6" x14ac:dyDescent="0.35">
      <c r="E488" s="8"/>
    </row>
    <row r="496" spans="5:6" x14ac:dyDescent="0.35">
      <c r="F496" s="8"/>
    </row>
    <row r="497" spans="5:6" x14ac:dyDescent="0.35">
      <c r="E497" s="8"/>
      <c r="F497" s="8"/>
    </row>
    <row r="498" spans="5:6" x14ac:dyDescent="0.35">
      <c r="E498" s="8"/>
      <c r="F498" s="8"/>
    </row>
    <row r="499" spans="5:6" x14ac:dyDescent="0.35">
      <c r="E499" s="8"/>
      <c r="F499" s="8"/>
    </row>
    <row r="500" spans="5:6" x14ac:dyDescent="0.35">
      <c r="E500" s="8"/>
      <c r="F500" s="8"/>
    </row>
    <row r="501" spans="5:6" x14ac:dyDescent="0.35">
      <c r="E501" s="8"/>
      <c r="F501" s="8"/>
    </row>
    <row r="502" spans="5:6" x14ac:dyDescent="0.35">
      <c r="E502" s="8"/>
      <c r="F502" s="8"/>
    </row>
    <row r="503" spans="5:6" x14ac:dyDescent="0.35">
      <c r="E503" s="8"/>
      <c r="F503" s="8"/>
    </row>
    <row r="504" spans="5:6" x14ac:dyDescent="0.35">
      <c r="E504" s="8"/>
      <c r="F504" s="8"/>
    </row>
    <row r="505" spans="5:6" x14ac:dyDescent="0.35">
      <c r="E505" s="8"/>
      <c r="F505" s="8"/>
    </row>
    <row r="506" spans="5:6" x14ac:dyDescent="0.35">
      <c r="E506" s="8"/>
      <c r="F506" s="8"/>
    </row>
    <row r="507" spans="5:6" x14ac:dyDescent="0.35">
      <c r="E507" s="8"/>
      <c r="F507" s="8"/>
    </row>
    <row r="508" spans="5:6" x14ac:dyDescent="0.35">
      <c r="E508" s="8"/>
      <c r="F508" s="8"/>
    </row>
    <row r="509" spans="5:6" x14ac:dyDescent="0.35">
      <c r="E509" s="8"/>
      <c r="F509" s="8"/>
    </row>
    <row r="510" spans="5:6" x14ac:dyDescent="0.35">
      <c r="E510" s="8"/>
    </row>
    <row r="512" spans="5:6" x14ac:dyDescent="0.35">
      <c r="F512" s="8"/>
    </row>
    <row r="513" spans="5:6" x14ac:dyDescent="0.35">
      <c r="E513" s="8"/>
      <c r="F513" s="8"/>
    </row>
    <row r="514" spans="5:6" x14ac:dyDescent="0.35">
      <c r="E514" s="8"/>
      <c r="F514" s="8"/>
    </row>
    <row r="515" spans="5:6" x14ac:dyDescent="0.35">
      <c r="E515" s="8"/>
      <c r="F515" s="8"/>
    </row>
    <row r="516" spans="5:6" x14ac:dyDescent="0.35">
      <c r="E516" s="8"/>
      <c r="F516" s="8"/>
    </row>
    <row r="517" spans="5:6" x14ac:dyDescent="0.35">
      <c r="E517" s="8"/>
      <c r="F517" s="8"/>
    </row>
    <row r="518" spans="5:6" x14ac:dyDescent="0.35">
      <c r="E518" s="8"/>
      <c r="F518" s="8"/>
    </row>
    <row r="519" spans="5:6" x14ac:dyDescent="0.35">
      <c r="E519" s="8"/>
      <c r="F519" s="8"/>
    </row>
    <row r="520" spans="5:6" x14ac:dyDescent="0.35">
      <c r="E520" s="8"/>
      <c r="F520" s="8"/>
    </row>
    <row r="521" spans="5:6" x14ac:dyDescent="0.35">
      <c r="E521" s="8"/>
      <c r="F521" s="8"/>
    </row>
    <row r="522" spans="5:6" x14ac:dyDescent="0.35">
      <c r="E522" s="8"/>
      <c r="F522" s="8"/>
    </row>
    <row r="523" spans="5:6" x14ac:dyDescent="0.35">
      <c r="E523" s="8"/>
      <c r="F523" s="8"/>
    </row>
    <row r="524" spans="5:6" x14ac:dyDescent="0.35">
      <c r="E524" s="8"/>
      <c r="F524" s="8"/>
    </row>
    <row r="525" spans="5:6" x14ac:dyDescent="0.35">
      <c r="E525" s="8"/>
      <c r="F525" s="8"/>
    </row>
    <row r="526" spans="5:6" x14ac:dyDescent="0.35">
      <c r="E526" s="8"/>
      <c r="F526" s="8"/>
    </row>
    <row r="527" spans="5:6" x14ac:dyDescent="0.35">
      <c r="E527" s="8"/>
      <c r="F527" s="8"/>
    </row>
    <row r="528" spans="5:6" x14ac:dyDescent="0.35">
      <c r="E528" s="8"/>
      <c r="F528" s="8"/>
    </row>
    <row r="529" spans="5:6" x14ac:dyDescent="0.35">
      <c r="E529" s="8"/>
      <c r="F529" s="8"/>
    </row>
    <row r="530" spans="5:6" x14ac:dyDescent="0.35">
      <c r="E530" s="8"/>
      <c r="F530" s="8"/>
    </row>
    <row r="531" spans="5:6" x14ac:dyDescent="0.35">
      <c r="E531" s="8"/>
      <c r="F531" s="8"/>
    </row>
    <row r="532" spans="5:6" x14ac:dyDescent="0.35">
      <c r="E532" s="8"/>
      <c r="F532" s="8"/>
    </row>
    <row r="533" spans="5:6" x14ac:dyDescent="0.35">
      <c r="E533" s="8"/>
      <c r="F533" s="8"/>
    </row>
    <row r="534" spans="5:6" x14ac:dyDescent="0.35">
      <c r="E534" s="8"/>
      <c r="F534" s="8"/>
    </row>
    <row r="535" spans="5:6" x14ac:dyDescent="0.35">
      <c r="E535" s="8"/>
      <c r="F535" s="8"/>
    </row>
    <row r="536" spans="5:6" x14ac:dyDescent="0.35">
      <c r="E536" s="8"/>
      <c r="F536" s="8"/>
    </row>
    <row r="537" spans="5:6" x14ac:dyDescent="0.35">
      <c r="E537" s="8"/>
      <c r="F537" s="8"/>
    </row>
    <row r="538" spans="5:6" x14ac:dyDescent="0.35">
      <c r="E538" s="8"/>
      <c r="F538" s="8"/>
    </row>
    <row r="539" spans="5:6" x14ac:dyDescent="0.35">
      <c r="E539" s="8"/>
      <c r="F539" s="8"/>
    </row>
    <row r="540" spans="5:6" x14ac:dyDescent="0.35">
      <c r="E540" s="8"/>
      <c r="F540" s="8"/>
    </row>
    <row r="541" spans="5:6" x14ac:dyDescent="0.35">
      <c r="E541" s="8"/>
      <c r="F541" s="8"/>
    </row>
    <row r="542" spans="5:6" x14ac:dyDescent="0.35">
      <c r="E542" s="8"/>
      <c r="F542" s="8"/>
    </row>
    <row r="543" spans="5:6" x14ac:dyDescent="0.35">
      <c r="E543" s="8"/>
      <c r="F543" s="8"/>
    </row>
    <row r="544" spans="5:6" x14ac:dyDescent="0.35">
      <c r="E544" s="8"/>
      <c r="F544" s="8"/>
    </row>
    <row r="545" spans="5:6" x14ac:dyDescent="0.35">
      <c r="E545" s="8"/>
      <c r="F545" s="8"/>
    </row>
    <row r="546" spans="5:6" x14ac:dyDescent="0.35">
      <c r="E546" s="8"/>
      <c r="F546" s="8"/>
    </row>
    <row r="547" spans="5:6" x14ac:dyDescent="0.35">
      <c r="E547" s="8"/>
      <c r="F547" s="8"/>
    </row>
    <row r="548" spans="5:6" x14ac:dyDescent="0.35">
      <c r="E548" s="8"/>
      <c r="F548" s="8"/>
    </row>
    <row r="549" spans="5:6" x14ac:dyDescent="0.35">
      <c r="E549" s="8"/>
    </row>
    <row r="550" spans="5:6" x14ac:dyDescent="0.35">
      <c r="E550" s="8"/>
      <c r="F550" s="8"/>
    </row>
    <row r="551" spans="5:6" x14ac:dyDescent="0.35">
      <c r="E551" s="8"/>
      <c r="F551" s="8"/>
    </row>
    <row r="552" spans="5:6" x14ac:dyDescent="0.35">
      <c r="E552" s="8"/>
      <c r="F552" s="8"/>
    </row>
    <row r="553" spans="5:6" x14ac:dyDescent="0.35">
      <c r="E553" s="8"/>
      <c r="F553" s="8"/>
    </row>
    <row r="554" spans="5:6" x14ac:dyDescent="0.35">
      <c r="E554" s="8"/>
      <c r="F554" s="8"/>
    </row>
    <row r="555" spans="5:6" x14ac:dyDescent="0.35">
      <c r="E555" s="8"/>
      <c r="F555" s="8"/>
    </row>
    <row r="556" spans="5:6" x14ac:dyDescent="0.35">
      <c r="E556" s="8"/>
      <c r="F556" s="8"/>
    </row>
    <row r="557" spans="5:6" x14ac:dyDescent="0.35">
      <c r="E557" s="8"/>
      <c r="F557" s="8"/>
    </row>
    <row r="558" spans="5:6" x14ac:dyDescent="0.35">
      <c r="E558" s="8"/>
      <c r="F558" s="8"/>
    </row>
    <row r="559" spans="5:6" x14ac:dyDescent="0.35">
      <c r="E559" s="8"/>
      <c r="F559" s="8"/>
    </row>
    <row r="560" spans="5:6" x14ac:dyDescent="0.35">
      <c r="E560" s="8"/>
      <c r="F560" s="8"/>
    </row>
    <row r="561" spans="5:6" x14ac:dyDescent="0.35">
      <c r="E561" s="8"/>
      <c r="F561" s="8"/>
    </row>
    <row r="562" spans="5:6" x14ac:dyDescent="0.35">
      <c r="E562" s="8"/>
      <c r="F562" s="8"/>
    </row>
    <row r="563" spans="5:6" x14ac:dyDescent="0.35">
      <c r="E563" s="8"/>
      <c r="F563" s="8"/>
    </row>
    <row r="564" spans="5:6" x14ac:dyDescent="0.35">
      <c r="E564" s="8"/>
      <c r="F564" s="8"/>
    </row>
    <row r="565" spans="5:6" x14ac:dyDescent="0.35">
      <c r="E565" s="8"/>
      <c r="F565" s="8"/>
    </row>
    <row r="566" spans="5:6" x14ac:dyDescent="0.35">
      <c r="E566" s="8"/>
      <c r="F566" s="8"/>
    </row>
    <row r="567" spans="5:6" x14ac:dyDescent="0.35">
      <c r="E567" s="8"/>
      <c r="F567" s="8"/>
    </row>
    <row r="568" spans="5:6" x14ac:dyDescent="0.35">
      <c r="E568" s="8"/>
      <c r="F568" s="8"/>
    </row>
    <row r="569" spans="5:6" x14ac:dyDescent="0.35">
      <c r="E569" s="8"/>
      <c r="F569" s="8"/>
    </row>
    <row r="571" spans="5:6" x14ac:dyDescent="0.35">
      <c r="E571" s="8"/>
      <c r="F571" s="8"/>
    </row>
    <row r="572" spans="5:6" x14ac:dyDescent="0.35">
      <c r="E572" s="8"/>
      <c r="F572" s="8"/>
    </row>
    <row r="573" spans="5:6" x14ac:dyDescent="0.35">
      <c r="E573" s="8"/>
      <c r="F573" s="8"/>
    </row>
    <row r="574" spans="5:6" x14ac:dyDescent="0.35">
      <c r="E574" s="8"/>
      <c r="F574" s="8"/>
    </row>
    <row r="575" spans="5:6" x14ac:dyDescent="0.35">
      <c r="E575" s="8"/>
      <c r="F575" s="8"/>
    </row>
    <row r="576" spans="5:6" x14ac:dyDescent="0.35">
      <c r="E576" s="8"/>
      <c r="F576" s="8"/>
    </row>
    <row r="577" spans="5:6" x14ac:dyDescent="0.35">
      <c r="E577" s="8"/>
      <c r="F577" s="8"/>
    </row>
    <row r="578" spans="5:6" x14ac:dyDescent="0.35">
      <c r="E578" s="8"/>
      <c r="F578" s="8"/>
    </row>
    <row r="579" spans="5:6" x14ac:dyDescent="0.35">
      <c r="E579" s="8"/>
      <c r="F579" s="8"/>
    </row>
    <row r="580" spans="5:6" x14ac:dyDescent="0.35">
      <c r="E580" s="8"/>
      <c r="F580" s="8"/>
    </row>
    <row r="581" spans="5:6" x14ac:dyDescent="0.35">
      <c r="E581" s="8"/>
      <c r="F581" s="8"/>
    </row>
    <row r="582" spans="5:6" x14ac:dyDescent="0.35">
      <c r="E582" s="8"/>
      <c r="F582" s="8"/>
    </row>
    <row r="583" spans="5:6" x14ac:dyDescent="0.35">
      <c r="E583" s="8"/>
      <c r="F583" s="8"/>
    </row>
    <row r="584" spans="5:6" x14ac:dyDescent="0.35">
      <c r="E584" s="8"/>
      <c r="F584" s="8"/>
    </row>
    <row r="585" spans="5:6" x14ac:dyDescent="0.35">
      <c r="E585" s="8"/>
      <c r="F585" s="8"/>
    </row>
    <row r="586" spans="5:6" x14ac:dyDescent="0.35">
      <c r="E586" s="8"/>
      <c r="F586" s="8"/>
    </row>
    <row r="587" spans="5:6" x14ac:dyDescent="0.35">
      <c r="E587" s="8"/>
      <c r="F587" s="8"/>
    </row>
    <row r="588" spans="5:6" x14ac:dyDescent="0.35">
      <c r="E588" s="8"/>
      <c r="F588" s="8"/>
    </row>
    <row r="589" spans="5:6" x14ac:dyDescent="0.35">
      <c r="E589" s="8"/>
      <c r="F589" s="8"/>
    </row>
    <row r="590" spans="5:6" x14ac:dyDescent="0.35">
      <c r="E590" s="8"/>
      <c r="F590" s="8"/>
    </row>
    <row r="591" spans="5:6" x14ac:dyDescent="0.35">
      <c r="E591" s="8"/>
      <c r="F591" s="8"/>
    </row>
    <row r="592" spans="5:6" x14ac:dyDescent="0.35">
      <c r="E592" s="8"/>
      <c r="F592" s="8"/>
    </row>
    <row r="593" spans="5:6" x14ac:dyDescent="0.35">
      <c r="E593" s="8"/>
      <c r="F593" s="8"/>
    </row>
    <row r="594" spans="5:6" x14ac:dyDescent="0.35">
      <c r="E594" s="8"/>
      <c r="F594" s="8"/>
    </row>
    <row r="595" spans="5:6" x14ac:dyDescent="0.35">
      <c r="E595" s="8"/>
      <c r="F595" s="8"/>
    </row>
    <row r="596" spans="5:6" x14ac:dyDescent="0.35">
      <c r="E596" s="8"/>
      <c r="F596" s="8"/>
    </row>
    <row r="597" spans="5:6" x14ac:dyDescent="0.35">
      <c r="E597" s="8"/>
      <c r="F597" s="8"/>
    </row>
    <row r="598" spans="5:6" x14ac:dyDescent="0.35">
      <c r="E598" s="8"/>
      <c r="F598" s="8"/>
    </row>
    <row r="599" spans="5:6" x14ac:dyDescent="0.35">
      <c r="E599" s="8"/>
      <c r="F599" s="8"/>
    </row>
    <row r="600" spans="5:6" x14ac:dyDescent="0.35">
      <c r="E600" s="8"/>
      <c r="F600" s="8"/>
    </row>
    <row r="601" spans="5:6" x14ac:dyDescent="0.35">
      <c r="E601" s="8"/>
      <c r="F601" s="8"/>
    </row>
    <row r="602" spans="5:6" x14ac:dyDescent="0.35">
      <c r="E602" s="8"/>
      <c r="F602" s="8"/>
    </row>
    <row r="603" spans="5:6" x14ac:dyDescent="0.35">
      <c r="E603" s="8"/>
      <c r="F603" s="8"/>
    </row>
    <row r="604" spans="5:6" x14ac:dyDescent="0.35">
      <c r="E604" s="8"/>
      <c r="F604" s="8"/>
    </row>
    <row r="605" spans="5:6" x14ac:dyDescent="0.35">
      <c r="E605" s="8"/>
      <c r="F605" s="8"/>
    </row>
    <row r="606" spans="5:6" x14ac:dyDescent="0.35">
      <c r="E606" s="8"/>
      <c r="F606" s="8"/>
    </row>
    <row r="607" spans="5:6" x14ac:dyDescent="0.35">
      <c r="E607" s="8"/>
      <c r="F607" s="8"/>
    </row>
    <row r="608" spans="5:6" x14ac:dyDescent="0.35">
      <c r="E608" s="8"/>
      <c r="F608" s="8"/>
    </row>
    <row r="609" spans="5:6" x14ac:dyDescent="0.35">
      <c r="E609" s="8"/>
      <c r="F609" s="8"/>
    </row>
    <row r="610" spans="5:6" x14ac:dyDescent="0.35">
      <c r="E610" s="8"/>
      <c r="F610" s="8"/>
    </row>
    <row r="611" spans="5:6" x14ac:dyDescent="0.35">
      <c r="E611" s="8"/>
      <c r="F611" s="8"/>
    </row>
    <row r="612" spans="5:6" x14ac:dyDescent="0.35">
      <c r="E612" s="8"/>
      <c r="F612" s="8"/>
    </row>
    <row r="613" spans="5:6" x14ac:dyDescent="0.35">
      <c r="E613" s="8"/>
      <c r="F613" s="8"/>
    </row>
    <row r="614" spans="5:6" x14ac:dyDescent="0.35">
      <c r="E614" s="8"/>
      <c r="F614" s="8"/>
    </row>
    <row r="615" spans="5:6" x14ac:dyDescent="0.35">
      <c r="E615" s="8"/>
      <c r="F615" s="8"/>
    </row>
    <row r="616" spans="5:6" x14ac:dyDescent="0.35">
      <c r="E616" s="8"/>
      <c r="F616" s="8"/>
    </row>
    <row r="617" spans="5:6" x14ac:dyDescent="0.35">
      <c r="E617" s="8"/>
      <c r="F617" s="8"/>
    </row>
    <row r="618" spans="5:6" x14ac:dyDescent="0.35">
      <c r="E618" s="8"/>
      <c r="F618" s="8"/>
    </row>
    <row r="619" spans="5:6" x14ac:dyDescent="0.35">
      <c r="E619" s="8"/>
      <c r="F619" s="8"/>
    </row>
    <row r="620" spans="5:6" x14ac:dyDescent="0.35">
      <c r="E620" s="8"/>
      <c r="F620" s="8"/>
    </row>
    <row r="621" spans="5:6" x14ac:dyDescent="0.35">
      <c r="E621" s="8"/>
      <c r="F621" s="8"/>
    </row>
    <row r="622" spans="5:6" x14ac:dyDescent="0.35">
      <c r="E622" s="8"/>
      <c r="F622" s="8"/>
    </row>
    <row r="623" spans="5:6" x14ac:dyDescent="0.35">
      <c r="E623" s="8"/>
      <c r="F623" s="8"/>
    </row>
    <row r="624" spans="5:6" x14ac:dyDescent="0.35">
      <c r="E624" s="8"/>
      <c r="F624" s="8"/>
    </row>
    <row r="625" spans="5:6" x14ac:dyDescent="0.35">
      <c r="E625" s="8"/>
      <c r="F625" s="8"/>
    </row>
    <row r="626" spans="5:6" x14ac:dyDescent="0.35">
      <c r="E626" s="8"/>
      <c r="F626" s="8"/>
    </row>
    <row r="627" spans="5:6" x14ac:dyDescent="0.35">
      <c r="E627" s="8"/>
      <c r="F627" s="8"/>
    </row>
    <row r="628" spans="5:6" x14ac:dyDescent="0.35">
      <c r="E628" s="8"/>
      <c r="F628" s="8"/>
    </row>
    <row r="629" spans="5:6" x14ac:dyDescent="0.35">
      <c r="E629" s="8"/>
      <c r="F629" s="8"/>
    </row>
    <row r="630" spans="5:6" x14ac:dyDescent="0.35">
      <c r="E630" s="8"/>
      <c r="F630" s="8"/>
    </row>
    <row r="631" spans="5:6" x14ac:dyDescent="0.35">
      <c r="E631" s="8"/>
      <c r="F631" s="8"/>
    </row>
    <row r="632" spans="5:6" x14ac:dyDescent="0.35">
      <c r="E632" s="8"/>
      <c r="F632" s="8"/>
    </row>
    <row r="633" spans="5:6" x14ac:dyDescent="0.35">
      <c r="E633" s="8"/>
      <c r="F633" s="8"/>
    </row>
    <row r="634" spans="5:6" x14ac:dyDescent="0.35">
      <c r="E634" s="8"/>
      <c r="F634" s="8"/>
    </row>
    <row r="635" spans="5:6" x14ac:dyDescent="0.35">
      <c r="E635" s="8"/>
      <c r="F635" s="8"/>
    </row>
    <row r="636" spans="5:6" x14ac:dyDescent="0.35">
      <c r="E636" s="8"/>
      <c r="F636" s="8"/>
    </row>
    <row r="637" spans="5:6" x14ac:dyDescent="0.35">
      <c r="E637" s="8"/>
      <c r="F637" s="8"/>
    </row>
    <row r="638" spans="5:6" x14ac:dyDescent="0.35">
      <c r="E638" s="8"/>
      <c r="F638" s="8"/>
    </row>
    <row r="639" spans="5:6" x14ac:dyDescent="0.35">
      <c r="E639" s="8"/>
      <c r="F639" s="8"/>
    </row>
    <row r="640" spans="5:6" x14ac:dyDescent="0.35">
      <c r="E640" s="8"/>
      <c r="F640" s="8"/>
    </row>
    <row r="641" spans="5:6" x14ac:dyDescent="0.35">
      <c r="E641" s="8"/>
      <c r="F641" s="8"/>
    </row>
    <row r="642" spans="5:6" x14ac:dyDescent="0.35">
      <c r="E642" s="8"/>
      <c r="F642" s="8"/>
    </row>
    <row r="643" spans="5:6" x14ac:dyDescent="0.35">
      <c r="E643" s="8"/>
      <c r="F643" s="8"/>
    </row>
    <row r="644" spans="5:6" x14ac:dyDescent="0.35">
      <c r="E644" s="8"/>
      <c r="F644" s="8"/>
    </row>
    <row r="645" spans="5:6" x14ac:dyDescent="0.35">
      <c r="E645" s="8"/>
      <c r="F645" s="8"/>
    </row>
    <row r="646" spans="5:6" x14ac:dyDescent="0.35">
      <c r="E646" s="8"/>
      <c r="F646" s="8"/>
    </row>
    <row r="647" spans="5:6" x14ac:dyDescent="0.35">
      <c r="E647" s="8"/>
      <c r="F647" s="8"/>
    </row>
    <row r="648" spans="5:6" x14ac:dyDescent="0.35">
      <c r="E648" s="8"/>
      <c r="F648" s="8"/>
    </row>
    <row r="649" spans="5:6" x14ac:dyDescent="0.35">
      <c r="E649" s="8"/>
      <c r="F649" s="8"/>
    </row>
    <row r="650" spans="5:6" x14ac:dyDescent="0.35">
      <c r="E650" s="8"/>
      <c r="F650" s="8"/>
    </row>
    <row r="651" spans="5:6" x14ac:dyDescent="0.35">
      <c r="E651" s="8"/>
      <c r="F651" s="8"/>
    </row>
    <row r="652" spans="5:6" x14ac:dyDescent="0.35">
      <c r="E652" s="8"/>
      <c r="F652" s="8"/>
    </row>
    <row r="653" spans="5:6" x14ac:dyDescent="0.35">
      <c r="E653" s="8"/>
      <c r="F653" s="8"/>
    </row>
    <row r="654" spans="5:6" x14ac:dyDescent="0.35">
      <c r="E654" s="8"/>
      <c r="F654" s="8"/>
    </row>
    <row r="655" spans="5:6" x14ac:dyDescent="0.35">
      <c r="E655" s="8"/>
      <c r="F655" s="8"/>
    </row>
    <row r="656" spans="5:6" x14ac:dyDescent="0.35">
      <c r="E656" s="8"/>
      <c r="F656" s="8"/>
    </row>
    <row r="657" spans="5:6" x14ac:dyDescent="0.35">
      <c r="E657" s="8"/>
      <c r="F657" s="8"/>
    </row>
    <row r="658" spans="5:6" x14ac:dyDescent="0.35">
      <c r="E658" s="8"/>
      <c r="F658" s="8"/>
    </row>
    <row r="659" spans="5:6" x14ac:dyDescent="0.35">
      <c r="E659" s="8"/>
      <c r="F659" s="8"/>
    </row>
    <row r="660" spans="5:6" x14ac:dyDescent="0.35">
      <c r="E660" s="8"/>
      <c r="F660" s="8"/>
    </row>
    <row r="661" spans="5:6" x14ac:dyDescent="0.35">
      <c r="E661" s="8"/>
      <c r="F661" s="8"/>
    </row>
    <row r="662" spans="5:6" x14ac:dyDescent="0.35">
      <c r="E662" s="8"/>
      <c r="F662" s="8"/>
    </row>
    <row r="663" spans="5:6" x14ac:dyDescent="0.35">
      <c r="E663" s="8"/>
      <c r="F663" s="8"/>
    </row>
    <row r="664" spans="5:6" x14ac:dyDescent="0.35">
      <c r="E664" s="8"/>
      <c r="F664" s="8"/>
    </row>
    <row r="665" spans="5:6" x14ac:dyDescent="0.35">
      <c r="E665" s="8"/>
      <c r="F665" s="8"/>
    </row>
    <row r="667" spans="5:6" x14ac:dyDescent="0.35">
      <c r="E667" s="8"/>
      <c r="F667" s="8"/>
    </row>
    <row r="668" spans="5:6" x14ac:dyDescent="0.35">
      <c r="E668" s="8"/>
      <c r="F668" s="8"/>
    </row>
    <row r="669" spans="5:6" x14ac:dyDescent="0.35">
      <c r="E669" s="8"/>
      <c r="F669" s="8"/>
    </row>
    <row r="670" spans="5:6" x14ac:dyDescent="0.35">
      <c r="E670" s="8"/>
      <c r="F670" s="8"/>
    </row>
    <row r="671" spans="5:6" x14ac:dyDescent="0.35">
      <c r="E671" s="8"/>
      <c r="F671" s="8"/>
    </row>
    <row r="672" spans="5:6" x14ac:dyDescent="0.35">
      <c r="E672" s="8"/>
      <c r="F672" s="8"/>
    </row>
    <row r="673" spans="5:6" x14ac:dyDescent="0.35">
      <c r="E673" s="8"/>
      <c r="F673" s="8"/>
    </row>
    <row r="674" spans="5:6" x14ac:dyDescent="0.35">
      <c r="E674" s="8"/>
      <c r="F674" s="8"/>
    </row>
    <row r="675" spans="5:6" x14ac:dyDescent="0.35">
      <c r="E675" s="8"/>
      <c r="F675" s="8"/>
    </row>
    <row r="676" spans="5:6" x14ac:dyDescent="0.35">
      <c r="E676" s="8"/>
      <c r="F676" s="8"/>
    </row>
    <row r="677" spans="5:6" x14ac:dyDescent="0.35">
      <c r="E677" s="8"/>
      <c r="F677" s="8"/>
    </row>
    <row r="678" spans="5:6" x14ac:dyDescent="0.35">
      <c r="E678" s="8"/>
      <c r="F678" s="8"/>
    </row>
    <row r="679" spans="5:6" x14ac:dyDescent="0.35">
      <c r="E679" s="8"/>
      <c r="F679" s="8"/>
    </row>
    <row r="680" spans="5:6" x14ac:dyDescent="0.35">
      <c r="E680" s="8"/>
      <c r="F680" s="8"/>
    </row>
    <row r="681" spans="5:6" x14ac:dyDescent="0.35">
      <c r="E681" s="8"/>
      <c r="F681" s="8"/>
    </row>
    <row r="682" spans="5:6" x14ac:dyDescent="0.35">
      <c r="E682" s="8"/>
      <c r="F682" s="8"/>
    </row>
    <row r="683" spans="5:6" x14ac:dyDescent="0.35">
      <c r="E683" s="8"/>
      <c r="F683" s="8"/>
    </row>
    <row r="684" spans="5:6" x14ac:dyDescent="0.35">
      <c r="E684" s="8"/>
      <c r="F684" s="8"/>
    </row>
    <row r="685" spans="5:6" x14ac:dyDescent="0.35">
      <c r="E685" s="8"/>
      <c r="F685" s="8"/>
    </row>
    <row r="686" spans="5:6" x14ac:dyDescent="0.35">
      <c r="E686" s="8"/>
      <c r="F686" s="8"/>
    </row>
    <row r="687" spans="5:6" x14ac:dyDescent="0.35">
      <c r="E687" s="8"/>
      <c r="F687" s="8"/>
    </row>
    <row r="688" spans="5:6" x14ac:dyDescent="0.35">
      <c r="E688" s="8"/>
      <c r="F688" s="8"/>
    </row>
    <row r="689" spans="5:6" x14ac:dyDescent="0.35">
      <c r="E689" s="8"/>
      <c r="F689" s="8"/>
    </row>
    <row r="690" spans="5:6" x14ac:dyDescent="0.35">
      <c r="E690" s="8"/>
      <c r="F690" s="8"/>
    </row>
    <row r="691" spans="5:6" x14ac:dyDescent="0.35">
      <c r="E691" s="8"/>
      <c r="F691" s="8"/>
    </row>
    <row r="692" spans="5:6" x14ac:dyDescent="0.35">
      <c r="E692" s="8"/>
      <c r="F692" s="8"/>
    </row>
    <row r="693" spans="5:6" x14ac:dyDescent="0.35">
      <c r="E693" s="8"/>
      <c r="F693" s="8"/>
    </row>
    <row r="694" spans="5:6" x14ac:dyDescent="0.35">
      <c r="E694" s="8"/>
      <c r="F694" s="8"/>
    </row>
    <row r="695" spans="5:6" x14ac:dyDescent="0.35">
      <c r="E695" s="8"/>
      <c r="F695" s="8"/>
    </row>
    <row r="696" spans="5:6" x14ac:dyDescent="0.35">
      <c r="E696" s="8"/>
      <c r="F696" s="8"/>
    </row>
    <row r="697" spans="5:6" x14ac:dyDescent="0.35">
      <c r="E697" s="8"/>
      <c r="F697" s="8"/>
    </row>
    <row r="698" spans="5:6" x14ac:dyDescent="0.35">
      <c r="E698" s="8"/>
      <c r="F698" s="8"/>
    </row>
    <row r="699" spans="5:6" x14ac:dyDescent="0.35">
      <c r="E699" s="8"/>
      <c r="F699" s="8"/>
    </row>
    <row r="700" spans="5:6" x14ac:dyDescent="0.35">
      <c r="E700" s="8"/>
      <c r="F700" s="8"/>
    </row>
    <row r="701" spans="5:6" x14ac:dyDescent="0.35">
      <c r="E701" s="8"/>
      <c r="F701" s="8"/>
    </row>
    <row r="702" spans="5:6" x14ac:dyDescent="0.35">
      <c r="E702" s="8"/>
      <c r="F702" s="8"/>
    </row>
    <row r="703" spans="5:6" x14ac:dyDescent="0.35">
      <c r="E703" s="8"/>
      <c r="F703" s="8"/>
    </row>
    <row r="704" spans="5:6" x14ac:dyDescent="0.35">
      <c r="E704" s="8"/>
      <c r="F704" s="8"/>
    </row>
    <row r="705" spans="5:6" x14ac:dyDescent="0.35">
      <c r="E705" s="8"/>
      <c r="F705" s="8"/>
    </row>
    <row r="706" spans="5:6" x14ac:dyDescent="0.35">
      <c r="E706" s="8"/>
      <c r="F706" s="8"/>
    </row>
    <row r="707" spans="5:6" x14ac:dyDescent="0.35">
      <c r="E707" s="8"/>
      <c r="F707" s="8"/>
    </row>
    <row r="708" spans="5:6" x14ac:dyDescent="0.35">
      <c r="E708" s="8"/>
      <c r="F708" s="8"/>
    </row>
    <row r="709" spans="5:6" x14ac:dyDescent="0.35">
      <c r="E709" s="8"/>
      <c r="F709" s="8"/>
    </row>
    <row r="710" spans="5:6" x14ac:dyDescent="0.35">
      <c r="E710" s="8"/>
      <c r="F710" s="8"/>
    </row>
    <row r="711" spans="5:6" x14ac:dyDescent="0.35">
      <c r="E711" s="8"/>
      <c r="F711" s="8"/>
    </row>
    <row r="712" spans="5:6" x14ac:dyDescent="0.35">
      <c r="E712" s="8"/>
      <c r="F712" s="8"/>
    </row>
    <row r="713" spans="5:6" x14ac:dyDescent="0.35">
      <c r="E713" s="8"/>
      <c r="F713" s="8"/>
    </row>
    <row r="714" spans="5:6" x14ac:dyDescent="0.35">
      <c r="E714" s="8"/>
      <c r="F714" s="8"/>
    </row>
    <row r="715" spans="5:6" x14ac:dyDescent="0.35">
      <c r="E715" s="8"/>
      <c r="F715" s="8"/>
    </row>
    <row r="716" spans="5:6" x14ac:dyDescent="0.35">
      <c r="E716" s="8"/>
      <c r="F716" s="8"/>
    </row>
    <row r="717" spans="5:6" x14ac:dyDescent="0.35">
      <c r="E717" s="8"/>
      <c r="F717" s="8"/>
    </row>
    <row r="718" spans="5:6" x14ac:dyDescent="0.35">
      <c r="E718" s="8"/>
      <c r="F718" s="8"/>
    </row>
    <row r="719" spans="5:6" x14ac:dyDescent="0.35">
      <c r="E719" s="8"/>
      <c r="F719" s="8"/>
    </row>
    <row r="720" spans="5:6" x14ac:dyDescent="0.35">
      <c r="E720" s="8"/>
      <c r="F720" s="8"/>
    </row>
    <row r="721" spans="5:6" x14ac:dyDescent="0.35">
      <c r="E721" s="8"/>
      <c r="F721" s="8"/>
    </row>
    <row r="722" spans="5:6" x14ac:dyDescent="0.35">
      <c r="E722" s="8"/>
      <c r="F722" s="8"/>
    </row>
    <row r="723" spans="5:6" x14ac:dyDescent="0.35">
      <c r="E723" s="8"/>
      <c r="F723" s="8"/>
    </row>
    <row r="724" spans="5:6" x14ac:dyDescent="0.35">
      <c r="E724" s="8"/>
      <c r="F724" s="8"/>
    </row>
    <row r="725" spans="5:6" x14ac:dyDescent="0.35">
      <c r="E725" s="8"/>
      <c r="F725" s="8"/>
    </row>
    <row r="726" spans="5:6" x14ac:dyDescent="0.35">
      <c r="E726" s="8"/>
      <c r="F726" s="8"/>
    </row>
    <row r="727" spans="5:6" x14ac:dyDescent="0.35">
      <c r="E727" s="8"/>
      <c r="F727" s="8"/>
    </row>
    <row r="728" spans="5:6" x14ac:dyDescent="0.35">
      <c r="E728" s="8"/>
      <c r="F728" s="8"/>
    </row>
    <row r="729" spans="5:6" x14ac:dyDescent="0.35">
      <c r="E729" s="8"/>
      <c r="F729" s="8"/>
    </row>
    <row r="730" spans="5:6" x14ac:dyDescent="0.35">
      <c r="E730" s="8"/>
      <c r="F730" s="8"/>
    </row>
    <row r="731" spans="5:6" x14ac:dyDescent="0.35">
      <c r="E731" s="8"/>
      <c r="F731" s="8"/>
    </row>
    <row r="732" spans="5:6" x14ac:dyDescent="0.35">
      <c r="E732" s="8"/>
      <c r="F732" s="8"/>
    </row>
    <row r="733" spans="5:6" x14ac:dyDescent="0.35">
      <c r="E733" s="8"/>
      <c r="F733" s="8"/>
    </row>
    <row r="734" spans="5:6" x14ac:dyDescent="0.35">
      <c r="E734" s="8"/>
      <c r="F734" s="8"/>
    </row>
    <row r="735" spans="5:6" x14ac:dyDescent="0.35">
      <c r="E735" s="8"/>
      <c r="F735" s="8"/>
    </row>
    <row r="736" spans="5:6" x14ac:dyDescent="0.35">
      <c r="E736" s="8"/>
      <c r="F736" s="8"/>
    </row>
    <row r="737" spans="5:6" x14ac:dyDescent="0.35">
      <c r="E737" s="8"/>
      <c r="F737" s="8"/>
    </row>
    <row r="738" spans="5:6" x14ac:dyDescent="0.35">
      <c r="E738" s="8"/>
      <c r="F738" s="8"/>
    </row>
    <row r="739" spans="5:6" x14ac:dyDescent="0.35">
      <c r="E739" s="8"/>
      <c r="F739" s="8"/>
    </row>
    <row r="740" spans="5:6" x14ac:dyDescent="0.35">
      <c r="E740" s="8"/>
      <c r="F740" s="8"/>
    </row>
    <row r="741" spans="5:6" x14ac:dyDescent="0.35">
      <c r="E741" s="8"/>
      <c r="F741" s="8"/>
    </row>
    <row r="742" spans="5:6" x14ac:dyDescent="0.35">
      <c r="E742" s="8"/>
      <c r="F742" s="8"/>
    </row>
    <row r="743" spans="5:6" x14ac:dyDescent="0.35">
      <c r="E743" s="8"/>
      <c r="F743" s="8"/>
    </row>
    <row r="744" spans="5:6" x14ac:dyDescent="0.35">
      <c r="E744" s="8"/>
      <c r="F744" s="8"/>
    </row>
    <row r="745" spans="5:6" x14ac:dyDescent="0.35">
      <c r="E745" s="8"/>
      <c r="F745" s="8"/>
    </row>
    <row r="746" spans="5:6" x14ac:dyDescent="0.35">
      <c r="E746" s="8"/>
      <c r="F746" s="8"/>
    </row>
    <row r="747" spans="5:6" x14ac:dyDescent="0.35">
      <c r="E747" s="8"/>
      <c r="F747" s="8"/>
    </row>
    <row r="748" spans="5:6" x14ac:dyDescent="0.35">
      <c r="E748" s="8"/>
      <c r="F748" s="8"/>
    </row>
    <row r="749" spans="5:6" x14ac:dyDescent="0.35">
      <c r="E749" s="8"/>
      <c r="F749" s="8"/>
    </row>
    <row r="750" spans="5:6" x14ac:dyDescent="0.35">
      <c r="E750" s="8"/>
      <c r="F750" s="8"/>
    </row>
    <row r="751" spans="5:6" x14ac:dyDescent="0.35">
      <c r="E751" s="8"/>
      <c r="F751" s="8"/>
    </row>
    <row r="752" spans="5:6" x14ac:dyDescent="0.35">
      <c r="E752" s="8"/>
      <c r="F752" s="8"/>
    </row>
    <row r="753" spans="5:6" x14ac:dyDescent="0.35">
      <c r="E753" s="8"/>
      <c r="F753" s="8"/>
    </row>
    <row r="754" spans="5:6" x14ac:dyDescent="0.35">
      <c r="E754" s="8"/>
      <c r="F754" s="8"/>
    </row>
    <row r="755" spans="5:6" x14ac:dyDescent="0.35">
      <c r="E755" s="8"/>
      <c r="F755" s="8"/>
    </row>
    <row r="756" spans="5:6" x14ac:dyDescent="0.35">
      <c r="E756" s="8"/>
      <c r="F756" s="8"/>
    </row>
    <row r="757" spans="5:6" x14ac:dyDescent="0.35">
      <c r="E757" s="8"/>
      <c r="F757" s="8"/>
    </row>
    <row r="758" spans="5:6" x14ac:dyDescent="0.35">
      <c r="E758" s="8"/>
      <c r="F758" s="8"/>
    </row>
    <row r="759" spans="5:6" x14ac:dyDescent="0.35">
      <c r="E759" s="8"/>
      <c r="F759" s="8"/>
    </row>
    <row r="760" spans="5:6" x14ac:dyDescent="0.35">
      <c r="E760" s="8"/>
      <c r="F760" s="8"/>
    </row>
    <row r="761" spans="5:6" x14ac:dyDescent="0.35">
      <c r="E761" s="8"/>
      <c r="F761" s="8"/>
    </row>
    <row r="762" spans="5:6" x14ac:dyDescent="0.35">
      <c r="E762" s="8"/>
      <c r="F762" s="8"/>
    </row>
    <row r="763" spans="5:6" x14ac:dyDescent="0.35">
      <c r="E763" s="8"/>
      <c r="F763" s="8"/>
    </row>
    <row r="764" spans="5:6" x14ac:dyDescent="0.35">
      <c r="E764" s="8"/>
      <c r="F764" s="8"/>
    </row>
    <row r="765" spans="5:6" x14ac:dyDescent="0.35">
      <c r="E765" s="8"/>
      <c r="F765" s="8"/>
    </row>
    <row r="766" spans="5:6" x14ac:dyDescent="0.35">
      <c r="E766" s="8"/>
      <c r="F766" s="8"/>
    </row>
    <row r="767" spans="5:6" x14ac:dyDescent="0.35">
      <c r="E767" s="8"/>
      <c r="F767" s="8"/>
    </row>
    <row r="768" spans="5:6" x14ac:dyDescent="0.35">
      <c r="E768" s="8"/>
      <c r="F768" s="8"/>
    </row>
    <row r="769" spans="5:6" x14ac:dyDescent="0.35">
      <c r="E769" s="8"/>
      <c r="F769" s="8"/>
    </row>
    <row r="770" spans="5:6" x14ac:dyDescent="0.35">
      <c r="E770" s="8"/>
      <c r="F770" s="8"/>
    </row>
    <row r="771" spans="5:6" x14ac:dyDescent="0.35">
      <c r="E771" s="8"/>
      <c r="F771" s="8"/>
    </row>
    <row r="772" spans="5:6" x14ac:dyDescent="0.35">
      <c r="E772" s="8"/>
      <c r="F772" s="8"/>
    </row>
    <row r="773" spans="5:6" x14ac:dyDescent="0.35">
      <c r="E773" s="8"/>
      <c r="F773" s="8"/>
    </row>
    <row r="774" spans="5:6" x14ac:dyDescent="0.35">
      <c r="E774" s="8"/>
      <c r="F774" s="8"/>
    </row>
    <row r="775" spans="5:6" x14ac:dyDescent="0.35">
      <c r="E775" s="8"/>
      <c r="F775" s="8"/>
    </row>
    <row r="776" spans="5:6" x14ac:dyDescent="0.35">
      <c r="E776" s="8"/>
      <c r="F776" s="8"/>
    </row>
    <row r="777" spans="5:6" x14ac:dyDescent="0.35">
      <c r="E777" s="8"/>
      <c r="F777" s="8"/>
    </row>
    <row r="778" spans="5:6" x14ac:dyDescent="0.35">
      <c r="E778" s="8"/>
      <c r="F778" s="8"/>
    </row>
    <row r="779" spans="5:6" x14ac:dyDescent="0.35">
      <c r="E779" s="8"/>
      <c r="F779" s="8"/>
    </row>
    <row r="780" spans="5:6" x14ac:dyDescent="0.35">
      <c r="E780" s="8"/>
      <c r="F780" s="8"/>
    </row>
    <row r="781" spans="5:6" x14ac:dyDescent="0.35">
      <c r="E781" s="8"/>
      <c r="F781" s="8"/>
    </row>
    <row r="782" spans="5:6" x14ac:dyDescent="0.35">
      <c r="E782" s="8"/>
      <c r="F782" s="8"/>
    </row>
    <row r="783" spans="5:6" x14ac:dyDescent="0.35">
      <c r="E783" s="8"/>
      <c r="F783" s="8"/>
    </row>
    <row r="784" spans="5:6" x14ac:dyDescent="0.35">
      <c r="E784" s="8"/>
      <c r="F784" s="8"/>
    </row>
    <row r="785" spans="5:6" x14ac:dyDescent="0.35">
      <c r="E785" s="8"/>
      <c r="F785" s="8"/>
    </row>
    <row r="786" spans="5:6" x14ac:dyDescent="0.35">
      <c r="E786" s="8"/>
      <c r="F786" s="8"/>
    </row>
    <row r="787" spans="5:6" x14ac:dyDescent="0.35">
      <c r="E787" s="8"/>
      <c r="F787" s="8"/>
    </row>
    <row r="788" spans="5:6" x14ac:dyDescent="0.35">
      <c r="E788" s="8"/>
      <c r="F788" s="8"/>
    </row>
    <row r="789" spans="5:6" x14ac:dyDescent="0.35">
      <c r="E789" s="8"/>
      <c r="F789" s="8"/>
    </row>
    <row r="790" spans="5:6" x14ac:dyDescent="0.35">
      <c r="E790" s="8"/>
      <c r="F790" s="8"/>
    </row>
    <row r="791" spans="5:6" x14ac:dyDescent="0.35">
      <c r="E791" s="8"/>
      <c r="F791" s="8"/>
    </row>
    <row r="792" spans="5:6" x14ac:dyDescent="0.35">
      <c r="E792" s="8"/>
      <c r="F792" s="8"/>
    </row>
    <row r="793" spans="5:6" x14ac:dyDescent="0.35">
      <c r="E793" s="8"/>
      <c r="F793" s="8"/>
    </row>
    <row r="794" spans="5:6" x14ac:dyDescent="0.35">
      <c r="E794" s="8"/>
      <c r="F794" s="8"/>
    </row>
    <row r="795" spans="5:6" x14ac:dyDescent="0.35">
      <c r="E795" s="8"/>
      <c r="F795" s="8"/>
    </row>
    <row r="796" spans="5:6" x14ac:dyDescent="0.35">
      <c r="E796" s="8"/>
      <c r="F796" s="8"/>
    </row>
    <row r="797" spans="5:6" x14ac:dyDescent="0.35">
      <c r="E797" s="8"/>
      <c r="F797" s="8"/>
    </row>
    <row r="798" spans="5:6" x14ac:dyDescent="0.35">
      <c r="E798" s="8"/>
      <c r="F798" s="8"/>
    </row>
    <row r="799" spans="5:6" x14ac:dyDescent="0.35">
      <c r="E799" s="8"/>
      <c r="F799" s="8"/>
    </row>
    <row r="800" spans="5:6" x14ac:dyDescent="0.35">
      <c r="E800" s="8"/>
      <c r="F800" s="8"/>
    </row>
    <row r="801" spans="5:6" x14ac:dyDescent="0.35">
      <c r="E801" s="8"/>
      <c r="F801" s="8"/>
    </row>
    <row r="802" spans="5:6" x14ac:dyDescent="0.35">
      <c r="E802" s="8"/>
      <c r="F802" s="8"/>
    </row>
    <row r="803" spans="5:6" x14ac:dyDescent="0.35">
      <c r="E803" s="8"/>
      <c r="F803" s="8"/>
    </row>
    <row r="804" spans="5:6" x14ac:dyDescent="0.35">
      <c r="E804" s="8"/>
      <c r="F804" s="8"/>
    </row>
    <row r="805" spans="5:6" x14ac:dyDescent="0.35">
      <c r="E805" s="8"/>
      <c r="F805" s="8"/>
    </row>
    <row r="806" spans="5:6" x14ac:dyDescent="0.35">
      <c r="E806" s="8"/>
      <c r="F806" s="8"/>
    </row>
    <row r="807" spans="5:6" x14ac:dyDescent="0.35">
      <c r="E807" s="8"/>
      <c r="F807" s="8"/>
    </row>
    <row r="808" spans="5:6" x14ac:dyDescent="0.35">
      <c r="E808" s="8"/>
      <c r="F808" s="8"/>
    </row>
    <row r="809" spans="5:6" x14ac:dyDescent="0.35">
      <c r="E809" s="8"/>
      <c r="F809" s="8"/>
    </row>
    <row r="810" spans="5:6" x14ac:dyDescent="0.35">
      <c r="E810" s="8"/>
      <c r="F810" s="8"/>
    </row>
    <row r="811" spans="5:6" x14ac:dyDescent="0.35">
      <c r="E811" s="8"/>
      <c r="F811" s="8"/>
    </row>
    <row r="812" spans="5:6" x14ac:dyDescent="0.35">
      <c r="E812" s="8"/>
      <c r="F812" s="8"/>
    </row>
    <row r="813" spans="5:6" x14ac:dyDescent="0.35">
      <c r="E813" s="8"/>
      <c r="F813" s="8"/>
    </row>
    <row r="814" spans="5:6" x14ac:dyDescent="0.35">
      <c r="E814" s="8"/>
      <c r="F814" s="8"/>
    </row>
    <row r="815" spans="5:6" x14ac:dyDescent="0.35">
      <c r="E815" s="8"/>
      <c r="F815" s="8"/>
    </row>
    <row r="816" spans="5:6" x14ac:dyDescent="0.35">
      <c r="E816" s="8"/>
      <c r="F816" s="8"/>
    </row>
    <row r="817" spans="5:6" x14ac:dyDescent="0.35">
      <c r="E817" s="8"/>
      <c r="F817" s="8"/>
    </row>
    <row r="818" spans="5:6" x14ac:dyDescent="0.35">
      <c r="E818" s="8"/>
      <c r="F818" s="8"/>
    </row>
    <row r="819" spans="5:6" x14ac:dyDescent="0.35">
      <c r="E819" s="8"/>
      <c r="F819" s="8"/>
    </row>
    <row r="820" spans="5:6" x14ac:dyDescent="0.35">
      <c r="E820" s="8"/>
      <c r="F820" s="8"/>
    </row>
    <row r="821" spans="5:6" x14ac:dyDescent="0.35">
      <c r="E821" s="8"/>
      <c r="F821" s="8"/>
    </row>
    <row r="822" spans="5:6" x14ac:dyDescent="0.35">
      <c r="E822" s="8"/>
      <c r="F822" s="8"/>
    </row>
    <row r="823" spans="5:6" x14ac:dyDescent="0.35">
      <c r="E823" s="8"/>
      <c r="F823" s="8"/>
    </row>
    <row r="824" spans="5:6" x14ac:dyDescent="0.35">
      <c r="E824" s="8"/>
      <c r="F824" s="8"/>
    </row>
    <row r="825" spans="5:6" x14ac:dyDescent="0.35">
      <c r="E825" s="8"/>
      <c r="F825" s="8"/>
    </row>
    <row r="826" spans="5:6" x14ac:dyDescent="0.35">
      <c r="E826" s="8"/>
      <c r="F826" s="8"/>
    </row>
    <row r="827" spans="5:6" x14ac:dyDescent="0.35">
      <c r="E827" s="8"/>
      <c r="F827" s="8"/>
    </row>
    <row r="828" spans="5:6" x14ac:dyDescent="0.35">
      <c r="E828" s="8"/>
      <c r="F828" s="8"/>
    </row>
    <row r="829" spans="5:6" x14ac:dyDescent="0.35">
      <c r="E829" s="8"/>
      <c r="F829" s="8"/>
    </row>
    <row r="830" spans="5:6" x14ac:dyDescent="0.35">
      <c r="E830" s="8"/>
      <c r="F830" s="8"/>
    </row>
    <row r="831" spans="5:6" x14ac:dyDescent="0.35">
      <c r="E831" s="8"/>
      <c r="F831" s="8"/>
    </row>
    <row r="832" spans="5:6" x14ac:dyDescent="0.35">
      <c r="E832" s="8"/>
      <c r="F832" s="8"/>
    </row>
    <row r="833" spans="5:6" x14ac:dyDescent="0.35">
      <c r="E833" s="8"/>
      <c r="F833" s="8"/>
    </row>
    <row r="834" spans="5:6" x14ac:dyDescent="0.35">
      <c r="E834" s="8"/>
      <c r="F834" s="8"/>
    </row>
    <row r="835" spans="5:6" x14ac:dyDescent="0.35">
      <c r="E835" s="8"/>
      <c r="F835" s="8"/>
    </row>
    <row r="836" spans="5:6" x14ac:dyDescent="0.35">
      <c r="E836" s="8"/>
      <c r="F836" s="8"/>
    </row>
    <row r="837" spans="5:6" x14ac:dyDescent="0.35">
      <c r="E837" s="8"/>
      <c r="F837" s="8"/>
    </row>
    <row r="838" spans="5:6" x14ac:dyDescent="0.35">
      <c r="E838" s="8"/>
      <c r="F838" s="8"/>
    </row>
    <row r="839" spans="5:6" x14ac:dyDescent="0.35">
      <c r="E839" s="8"/>
      <c r="F839" s="8"/>
    </row>
    <row r="840" spans="5:6" x14ac:dyDescent="0.35">
      <c r="E840" s="8"/>
      <c r="F840" s="8"/>
    </row>
  </sheetData>
  <conditionalFormatting sqref="F4:F32 E4:E37 F34:F139 E39:E201 F141 F169">
    <cfRule type="cellIs" dxfId="9" priority="63" operator="equal">
      <formula>0</formula>
    </cfRule>
  </conditionalFormatting>
  <conditionalFormatting sqref="AV4:AV201 BL4:BL201 CK4:CK201 CV4:CV201 DN4:DN201 DX4:DX201 EO4:EO201">
    <cfRule type="cellIs" dxfId="8" priority="26" operator="equal">
      <formula>0</formula>
    </cfRule>
  </conditionalFormatting>
  <conditionalFormatting sqref="BV4:BV201">
    <cfRule type="cellIs" dxfId="7" priority="61" operator="equal">
      <formula>0</formula>
    </cfRule>
  </conditionalFormatting>
  <conditionalFormatting sqref="CK4:CK201 CV4:CV201 DN4:DN201 DX4:DX201 EO4:EO201">
    <cfRule type="cellIs" dxfId="6" priority="25" operator="equal">
      <formula>1</formula>
    </cfRule>
  </conditionalFormatting>
  <conditionalFormatting sqref="EW4:EW201">
    <cfRule type="cellIs" dxfId="5" priority="7" operator="equal">
      <formula>1</formula>
    </cfRule>
    <cfRule type="cellIs" dxfId="4" priority="8" operator="equal">
      <formula>0</formula>
    </cfRule>
  </conditionalFormatting>
  <conditionalFormatting sqref="FX4:FX201">
    <cfRule type="cellIs" dxfId="3" priority="5" operator="equal">
      <formula>1</formula>
    </cfRule>
    <cfRule type="cellIs" dxfId="2" priority="6" operator="equal">
      <formula>0</formula>
    </cfRule>
  </conditionalFormatting>
  <conditionalFormatting sqref="GG4:GG201">
    <cfRule type="cellIs" dxfId="1" priority="1" operator="equal">
      <formula>1</formula>
    </cfRule>
    <cfRule type="cellIs" dxfId="0" priority="2" operator="equal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F609F-0788-4554-BE1C-D407B5DAFAF1}">
  <dimension ref="A1:W1108"/>
  <sheetViews>
    <sheetView topLeftCell="P1" workbookViewId="0">
      <pane ySplit="2" topLeftCell="A609" activePane="bottomLeft" state="frozen"/>
      <selection pane="bottomLeft" activeCell="AG609" sqref="AG609"/>
    </sheetView>
  </sheetViews>
  <sheetFormatPr defaultRowHeight="14.5" x14ac:dyDescent="0.35"/>
  <sheetData>
    <row r="1" spans="1:23" x14ac:dyDescent="0.35">
      <c r="D1">
        <f t="shared" ref="D1:U1" si="0">1/SUM(D3:D609)</f>
        <v>6.6666666666666666E-2</v>
      </c>
      <c r="E1">
        <f t="shared" si="0"/>
        <v>7.1428571428571425E-2</v>
      </c>
      <c r="F1">
        <f t="shared" si="0"/>
        <v>7.6923076923076927E-2</v>
      </c>
      <c r="G1">
        <f t="shared" si="0"/>
        <v>0.1111111111111111</v>
      </c>
      <c r="H1">
        <f t="shared" si="0"/>
        <v>0.1111111111111111</v>
      </c>
      <c r="I1">
        <f t="shared" si="0"/>
        <v>0.16666666666666666</v>
      </c>
      <c r="J1">
        <f t="shared" si="0"/>
        <v>0.125</v>
      </c>
      <c r="K1">
        <f t="shared" si="0"/>
        <v>0.125</v>
      </c>
      <c r="L1">
        <f t="shared" si="0"/>
        <v>0.16666666666666666</v>
      </c>
      <c r="M1">
        <f t="shared" si="0"/>
        <v>0.16666666666666666</v>
      </c>
      <c r="N1">
        <f t="shared" si="0"/>
        <v>1.2195121951219513E-2</v>
      </c>
      <c r="O1">
        <f t="shared" si="0"/>
        <v>1.2500000000000001E-2</v>
      </c>
      <c r="P1">
        <f t="shared" si="0"/>
        <v>1.5384615384615385E-2</v>
      </c>
      <c r="Q1">
        <f t="shared" si="0"/>
        <v>8.4033613445378148E-3</v>
      </c>
      <c r="R1">
        <f t="shared" si="0"/>
        <v>8.4033613445378148E-3</v>
      </c>
      <c r="S1">
        <f t="shared" si="0"/>
        <v>0.125</v>
      </c>
      <c r="T1">
        <f t="shared" si="0"/>
        <v>0.04</v>
      </c>
      <c r="U1">
        <f t="shared" si="0"/>
        <v>0.125</v>
      </c>
      <c r="V1">
        <f>1/SUM(V3:V609)</f>
        <v>0.14285714285714285</v>
      </c>
    </row>
    <row r="2" spans="1:23" x14ac:dyDescent="0.35">
      <c r="A2" t="s">
        <v>90</v>
      </c>
      <c r="B2" t="s">
        <v>75</v>
      </c>
      <c r="C2" t="s">
        <v>503</v>
      </c>
      <c r="D2" t="s">
        <v>669</v>
      </c>
      <c r="E2" t="s">
        <v>670</v>
      </c>
      <c r="F2" t="s">
        <v>671</v>
      </c>
      <c r="G2" t="s">
        <v>672</v>
      </c>
      <c r="H2" t="s">
        <v>673</v>
      </c>
      <c r="I2" t="s">
        <v>674</v>
      </c>
      <c r="J2" t="s">
        <v>675</v>
      </c>
      <c r="K2" t="s">
        <v>676</v>
      </c>
      <c r="L2" t="s">
        <v>22</v>
      </c>
      <c r="M2" t="s">
        <v>677</v>
      </c>
      <c r="N2" t="s">
        <v>678</v>
      </c>
      <c r="O2" t="s">
        <v>679</v>
      </c>
      <c r="P2" t="s">
        <v>680</v>
      </c>
      <c r="Q2" t="s">
        <v>681</v>
      </c>
      <c r="R2" t="s">
        <v>682</v>
      </c>
      <c r="S2" t="s">
        <v>683</v>
      </c>
      <c r="T2" t="s">
        <v>624</v>
      </c>
      <c r="U2" t="s">
        <v>1009</v>
      </c>
      <c r="V2" t="s">
        <v>544</v>
      </c>
      <c r="W2" t="s">
        <v>684</v>
      </c>
    </row>
    <row r="3" spans="1:23" x14ac:dyDescent="0.35">
      <c r="A3">
        <f>Roson!B2</f>
        <v>-5</v>
      </c>
      <c r="B3" s="8">
        <f>Roson!E2</f>
        <v>2870.0529334764196</v>
      </c>
      <c r="C3">
        <f>Roson!F2</f>
        <v>6.9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f>SUMPRODUCT(D3:V3,D$1:V$1)</f>
        <v>6.6666666666666666E-2</v>
      </c>
    </row>
    <row r="4" spans="1:23" x14ac:dyDescent="0.35">
      <c r="A4">
        <f>Roson!B3</f>
        <v>0.2</v>
      </c>
      <c r="B4" s="8">
        <f>Roson!E3</f>
        <v>36472.749157637452</v>
      </c>
      <c r="C4">
        <f>Roson!F3</f>
        <v>11.1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f t="shared" ref="W4:W67" si="1">SUMPRODUCT(D4:V4,D$1:V$1)</f>
        <v>6.6666666666666666E-2</v>
      </c>
    </row>
    <row r="5" spans="1:23" x14ac:dyDescent="0.35">
      <c r="A5">
        <f>Roson!B4</f>
        <v>-12.5</v>
      </c>
      <c r="B5" s="8">
        <f>Roson!E4</f>
        <v>2251.9279556809597</v>
      </c>
      <c r="C5">
        <f>Roson!F4</f>
        <v>25.575773499058045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f t="shared" si="1"/>
        <v>6.6666666666666666E-2</v>
      </c>
    </row>
    <row r="6" spans="1:23" x14ac:dyDescent="0.35">
      <c r="A6">
        <f>Roson!B5</f>
        <v>-5.6</v>
      </c>
      <c r="B6" s="8">
        <f>Roson!E5</f>
        <v>1031.5611094455749</v>
      </c>
      <c r="C6">
        <f>Roson!F5</f>
        <v>23.7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f t="shared" si="1"/>
        <v>6.6666666666666666E-2</v>
      </c>
    </row>
    <row r="7" spans="1:23" x14ac:dyDescent="0.35">
      <c r="A7">
        <f>Roson!B6</f>
        <v>-6.1</v>
      </c>
      <c r="B7" s="8">
        <f>Roson!E6</f>
        <v>663.219414361286</v>
      </c>
      <c r="C7">
        <f>Roson!F6</f>
        <v>20.983111409807595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f t="shared" si="1"/>
        <v>6.6666666666666666E-2</v>
      </c>
    </row>
    <row r="8" spans="1:23" x14ac:dyDescent="0.35">
      <c r="A8">
        <f>Roson!B7</f>
        <v>-0.7</v>
      </c>
      <c r="B8" s="8">
        <f>Roson!E7</f>
        <v>43952.446494287382</v>
      </c>
      <c r="C8">
        <f>Roson!F7</f>
        <v>8.5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f t="shared" si="1"/>
        <v>6.6666666666666666E-2</v>
      </c>
    </row>
    <row r="9" spans="1:23" x14ac:dyDescent="0.35">
      <c r="A9">
        <f>Roson!B8</f>
        <v>-5.8</v>
      </c>
      <c r="B9" s="8">
        <f>Roson!E8</f>
        <v>5618.3246002281494</v>
      </c>
      <c r="C9">
        <f>Roson!F8</f>
        <v>24.9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f t="shared" si="1"/>
        <v>6.6666666666666666E-2</v>
      </c>
    </row>
    <row r="10" spans="1:23" x14ac:dyDescent="0.35">
      <c r="A10">
        <f>Roson!B9</f>
        <v>2.4</v>
      </c>
      <c r="B10" s="8">
        <f>Roson!E9</f>
        <v>6385.6173068952321</v>
      </c>
      <c r="C10">
        <f>Roson!F9</f>
        <v>-5.0999999999999996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f t="shared" si="1"/>
        <v>6.6666666666666666E-2</v>
      </c>
    </row>
    <row r="11" spans="1:23" x14ac:dyDescent="0.35">
      <c r="A11">
        <f>Roson!B10</f>
        <v>-2.8</v>
      </c>
      <c r="B11" s="8">
        <f>Roson!E10</f>
        <v>3969.3318357486246</v>
      </c>
      <c r="C11">
        <f>Roson!F10</f>
        <v>14.71072896688988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f t="shared" si="1"/>
        <v>6.6666666666666666E-2</v>
      </c>
    </row>
    <row r="12" spans="1:23" x14ac:dyDescent="0.35">
      <c r="A12">
        <f>Roson!B11</f>
        <v>-8.4</v>
      </c>
      <c r="B12" s="8">
        <f>Roson!E11</f>
        <v>992.56308088510661</v>
      </c>
      <c r="C12">
        <f>Roson!F11</f>
        <v>24.202575129113367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f t="shared" si="1"/>
        <v>6.6666666666666666E-2</v>
      </c>
    </row>
    <row r="13" spans="1:23" x14ac:dyDescent="0.35">
      <c r="A13">
        <f>Roson!B12</f>
        <v>1.4</v>
      </c>
      <c r="B13" s="8">
        <f>Roson!E12</f>
        <v>34381.926345263288</v>
      </c>
      <c r="C13">
        <f>Roson!F12</f>
        <v>10.08720749747156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f t="shared" si="1"/>
        <v>6.6666666666666666E-2</v>
      </c>
    </row>
    <row r="14" spans="1:23" x14ac:dyDescent="0.35">
      <c r="A14">
        <f>Roson!B13</f>
        <v>-10.4</v>
      </c>
      <c r="B14" s="8">
        <f>Roson!E13</f>
        <v>5429.6759318003524</v>
      </c>
      <c r="C14">
        <f>Roson!F13</f>
        <v>19.065471052875562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f t="shared" si="1"/>
        <v>6.6666666666666666E-2</v>
      </c>
    </row>
    <row r="15" spans="1:23" x14ac:dyDescent="0.35">
      <c r="A15">
        <f>Roson!B14</f>
        <v>0.5</v>
      </c>
      <c r="B15" s="8">
        <f>Roson!E14</f>
        <v>35626.838831604327</v>
      </c>
      <c r="C15">
        <f>Roson!F14</f>
        <v>5.5843955992676122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f t="shared" si="1"/>
        <v>6.6666666666666666E-2</v>
      </c>
    </row>
    <row r="16" spans="1:23" x14ac:dyDescent="0.35">
      <c r="A16">
        <f>Roson!B15</f>
        <v>-0.4</v>
      </c>
      <c r="B16" s="8">
        <f>Roson!E15</f>
        <v>13110.847698353586</v>
      </c>
      <c r="C16">
        <f>Roson!F15</f>
        <v>18.389317247187861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f t="shared" si="1"/>
        <v>6.6666666666666666E-2</v>
      </c>
    </row>
    <row r="17" spans="1:23" x14ac:dyDescent="0.35">
      <c r="A17">
        <f>Roson!B16</f>
        <v>-8.4</v>
      </c>
      <c r="B17" s="8">
        <f>Roson!E16</f>
        <v>4804.2728066675409</v>
      </c>
      <c r="C17">
        <f>Roson!F16</f>
        <v>21.409158420226767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f t="shared" si="1"/>
        <v>6.6666666666666666E-2</v>
      </c>
    </row>
    <row r="18" spans="1:23" x14ac:dyDescent="0.35">
      <c r="A18">
        <f>Bosello!B2</f>
        <v>0.2</v>
      </c>
      <c r="B18" s="8">
        <f>Bosello!E2</f>
        <v>43952.446494287382</v>
      </c>
      <c r="C18" s="8">
        <f>Bosello!F2</f>
        <v>8.5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f t="shared" si="1"/>
        <v>7.1428571428571425E-2</v>
      </c>
    </row>
    <row r="19" spans="1:23" x14ac:dyDescent="0.35">
      <c r="A19">
        <f>Bosello!B3</f>
        <v>-0.1</v>
      </c>
      <c r="B19" s="8">
        <f>Bosello!E3</f>
        <v>28800.922318159042</v>
      </c>
      <c r="C19" s="8">
        <f>Bosello!F3</f>
        <v>12.724356830199545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f t="shared" si="1"/>
        <v>7.1428571428571425E-2</v>
      </c>
    </row>
    <row r="20" spans="1:23" x14ac:dyDescent="0.35">
      <c r="A20">
        <f>Bosello!B4</f>
        <v>0.2</v>
      </c>
      <c r="B20" s="8">
        <f>Bosello!E4</f>
        <v>39368.183671514089</v>
      </c>
      <c r="C20" s="8">
        <f>Bosello!F4</f>
        <v>7.7310892942107223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f t="shared" si="1"/>
        <v>7.1428571428571425E-2</v>
      </c>
    </row>
    <row r="21" spans="1:23" x14ac:dyDescent="0.35">
      <c r="A21">
        <f>Bosello!B5</f>
        <v>-0.2</v>
      </c>
      <c r="B21" s="8">
        <f>Bosello!E5</f>
        <v>8583.843623167777</v>
      </c>
      <c r="C21" s="8">
        <f>Bosello!F5</f>
        <v>8.7523932509296056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f t="shared" si="1"/>
        <v>7.1428571428571425E-2</v>
      </c>
    </row>
    <row r="22" spans="1:23" x14ac:dyDescent="0.35">
      <c r="A22">
        <f>Bosello!B6</f>
        <v>0.8</v>
      </c>
      <c r="B22" s="8">
        <f>Bosello!E6</f>
        <v>4393.3014608270669</v>
      </c>
      <c r="C22" s="8">
        <f>Bosello!F6</f>
        <v>1.7083495558982151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f t="shared" si="1"/>
        <v>7.1428571428571425E-2</v>
      </c>
    </row>
    <row r="23" spans="1:23" x14ac:dyDescent="0.35">
      <c r="A23">
        <f>Bosello!B7</f>
        <v>0.1</v>
      </c>
      <c r="B23" s="8">
        <f>Bosello!E7</f>
        <v>17996.256166373074</v>
      </c>
      <c r="C23" s="8">
        <f>Bosello!F7</f>
        <v>15.927593428975538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f t="shared" si="1"/>
        <v>7.1428571428571425E-2</v>
      </c>
    </row>
    <row r="24" spans="1:23" x14ac:dyDescent="0.35">
      <c r="A24">
        <f>Bosello!B8</f>
        <v>-0.1</v>
      </c>
      <c r="B24" s="8">
        <f>Bosello!E8</f>
        <v>36208.274818192185</v>
      </c>
      <c r="C24" s="8">
        <f>Bosello!F8</f>
        <v>7.69098275422974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f t="shared" si="1"/>
        <v>7.1428571428571425E-2</v>
      </c>
    </row>
    <row r="25" spans="1:23" x14ac:dyDescent="0.35">
      <c r="A25">
        <f>Bosello!B9</f>
        <v>-2.7</v>
      </c>
      <c r="B25" s="8">
        <f>Bosello!E9</f>
        <v>2937.0111523246196</v>
      </c>
      <c r="C25" s="8">
        <f>Bosello!F9</f>
        <v>19.904799160373422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f t="shared" si="1"/>
        <v>7.1428571428571425E-2</v>
      </c>
    </row>
    <row r="26" spans="1:23" x14ac:dyDescent="0.35">
      <c r="A26">
        <f>Bosello!B10</f>
        <v>-0.8</v>
      </c>
      <c r="B26" s="8">
        <f>Bosello!E10</f>
        <v>5960.3201991449778</v>
      </c>
      <c r="C26" s="8">
        <f>Bosello!F10</f>
        <v>18.886792936053677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f t="shared" si="1"/>
        <v>7.1428571428571425E-2</v>
      </c>
    </row>
    <row r="27" spans="1:23" x14ac:dyDescent="0.35">
      <c r="A27">
        <f>Bosello!B11</f>
        <v>-1.5</v>
      </c>
      <c r="B27" s="8">
        <f>Bosello!E11</f>
        <v>992.56308088510661</v>
      </c>
      <c r="C27" s="8">
        <f>Bosello!F11</f>
        <v>24.202575129113367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f t="shared" si="1"/>
        <v>7.1428571428571425E-2</v>
      </c>
    </row>
    <row r="28" spans="1:23" x14ac:dyDescent="0.35">
      <c r="A28">
        <f>Bosello!B12</f>
        <v>-3.4</v>
      </c>
      <c r="B28" s="8">
        <f>Bosello!E12</f>
        <v>940.29934509051066</v>
      </c>
      <c r="C28" s="8">
        <f>Bosello!F12</f>
        <v>23.022256757242907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f t="shared" si="1"/>
        <v>7.1428571428571425E-2</v>
      </c>
    </row>
    <row r="29" spans="1:23" x14ac:dyDescent="0.35">
      <c r="A29">
        <f>Bosello!B13</f>
        <v>0.1</v>
      </c>
      <c r="B29" s="8">
        <f>Bosello!E13</f>
        <v>2870.0529334764196</v>
      </c>
      <c r="C29" s="8">
        <f>Bosello!F13</f>
        <v>6.9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f t="shared" si="1"/>
        <v>7.1428571428571425E-2</v>
      </c>
    </row>
    <row r="30" spans="1:23" x14ac:dyDescent="0.35">
      <c r="A30">
        <f>Bosello!B14</f>
        <v>-2.8</v>
      </c>
      <c r="B30" s="8">
        <f>Bosello!E14</f>
        <v>2547.3490571983425</v>
      </c>
      <c r="C30" s="8">
        <f>Bosello!F14</f>
        <v>25.441676073854516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f t="shared" si="1"/>
        <v>7.1428571428571425E-2</v>
      </c>
    </row>
    <row r="31" spans="1:23" x14ac:dyDescent="0.35">
      <c r="A31">
        <f>Bosello!B15</f>
        <v>-0.7</v>
      </c>
      <c r="B31" s="8">
        <f>Bosello!E15</f>
        <v>5729.2258337911126</v>
      </c>
      <c r="C31" s="8">
        <f>Bosello!F15</f>
        <v>22.455260979219261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f t="shared" si="1"/>
        <v>7.1428571428571425E-2</v>
      </c>
    </row>
    <row r="32" spans="1:23" x14ac:dyDescent="0.35">
      <c r="A32">
        <f>-NordhausBoyer!B2</f>
        <v>-0.45</v>
      </c>
      <c r="B32" s="8">
        <f>NordhausBoyer!E2</f>
        <v>43952.446494287382</v>
      </c>
      <c r="C32" s="8">
        <f>NordhausBoyer!F2</f>
        <v>8.5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f t="shared" si="1"/>
        <v>7.6923076923076927E-2</v>
      </c>
    </row>
    <row r="33" spans="1:23" x14ac:dyDescent="0.35">
      <c r="A33">
        <f>-NordhausBoyer!B3</f>
        <v>-0.22</v>
      </c>
      <c r="B33" s="8">
        <f>NordhausBoyer!E3</f>
        <v>2870.0529334764196</v>
      </c>
      <c r="C33" s="8">
        <f>NordhausBoyer!F3</f>
        <v>6.9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f t="shared" si="1"/>
        <v>7.6923076923076927E-2</v>
      </c>
    </row>
    <row r="34" spans="1:23" x14ac:dyDescent="0.35">
      <c r="A34">
        <f>-NordhausBoyer!B4</f>
        <v>-0.5</v>
      </c>
      <c r="B34" s="8">
        <f>NordhausBoyer!E4</f>
        <v>36472.749157637452</v>
      </c>
      <c r="C34" s="8">
        <f>NordhausBoyer!F4</f>
        <v>11.1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f t="shared" si="1"/>
        <v>7.6923076923076927E-2</v>
      </c>
    </row>
    <row r="35" spans="1:23" x14ac:dyDescent="0.35">
      <c r="A35">
        <f>-NordhausBoyer!B5</f>
        <v>-2.83</v>
      </c>
      <c r="B35" s="8">
        <f>NordhausBoyer!E5</f>
        <v>34445.954945785423</v>
      </c>
      <c r="C35" s="8">
        <f>NordhausBoyer!F5</f>
        <v>10.055749414211935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f t="shared" si="1"/>
        <v>7.6923076923076927E-2</v>
      </c>
    </row>
    <row r="36" spans="1:23" x14ac:dyDescent="0.35">
      <c r="A36">
        <f>-NordhausBoyer!B6</f>
        <v>0.65</v>
      </c>
      <c r="B36" s="8">
        <f>NordhausBoyer!E6</f>
        <v>6385.6173068952321</v>
      </c>
      <c r="C36" s="8">
        <f>NordhausBoyer!F6</f>
        <v>-5.0999999999999996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f t="shared" si="1"/>
        <v>7.6923076923076927E-2</v>
      </c>
    </row>
    <row r="37" spans="1:23" x14ac:dyDescent="0.35">
      <c r="A37">
        <f>-NordhausBoyer!B7</f>
        <v>-4.93</v>
      </c>
      <c r="B37" s="8">
        <f>NordhausBoyer!E7</f>
        <v>1031.5611094455749</v>
      </c>
      <c r="C37" s="8">
        <f>NordhausBoyer!F7</f>
        <v>23.7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f t="shared" si="1"/>
        <v>7.6923076923076927E-2</v>
      </c>
    </row>
    <row r="38" spans="1:23" x14ac:dyDescent="0.35">
      <c r="A38">
        <f>-NordhausBoyer!B8</f>
        <v>0.39</v>
      </c>
      <c r="B38" s="8">
        <f>NordhausBoyer!E8</f>
        <v>33894.611049708357</v>
      </c>
      <c r="C38" s="8">
        <f>NordhausBoyer!F8</f>
        <v>9.767886435160035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f t="shared" si="1"/>
        <v>7.6923076923076927E-2</v>
      </c>
    </row>
    <row r="39" spans="1:23" x14ac:dyDescent="0.35">
      <c r="A39">
        <f>-NordhausBoyer!B9</f>
        <v>-1.95</v>
      </c>
      <c r="B39" s="8">
        <f>NordhausBoyer!E9</f>
        <v>18761.66217878295</v>
      </c>
      <c r="C39" s="8">
        <f>NordhausBoyer!F9</f>
        <v>24.930649632654696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f t="shared" si="1"/>
        <v>7.6923076923076927E-2</v>
      </c>
    </row>
    <row r="40" spans="1:23" x14ac:dyDescent="0.35">
      <c r="A40">
        <f>-NordhausBoyer!B10</f>
        <v>-0.71</v>
      </c>
      <c r="B40" s="8">
        <f>NordhausBoyer!E10</f>
        <v>6624.553761900188</v>
      </c>
      <c r="C40" s="8">
        <f>NordhausBoyer!F10</f>
        <v>8.3581885420237185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f t="shared" si="1"/>
        <v>7.6923076923076927E-2</v>
      </c>
    </row>
    <row r="41" spans="1:23" x14ac:dyDescent="0.35">
      <c r="A41">
        <f>-NordhausBoyer!B11</f>
        <v>-2.44</v>
      </c>
      <c r="B41" s="8">
        <f>NordhausBoyer!E11</f>
        <v>8314.5719563524581</v>
      </c>
      <c r="C41" s="8">
        <f>NordhausBoyer!F11</f>
        <v>21.297175616543985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f t="shared" si="1"/>
        <v>7.6923076923076927E-2</v>
      </c>
    </row>
    <row r="42" spans="1:23" x14ac:dyDescent="0.35">
      <c r="A42">
        <f>-NordhausBoyer!B12</f>
        <v>-1.81</v>
      </c>
      <c r="B42" s="8">
        <f>NordhausBoyer!E12</f>
        <v>5137.067773353976</v>
      </c>
      <c r="C42" s="8">
        <f>NordhausBoyer!F12</f>
        <v>19.644359250417303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f t="shared" si="1"/>
        <v>7.6923076923076927E-2</v>
      </c>
    </row>
    <row r="43" spans="1:23" x14ac:dyDescent="0.35">
      <c r="A43">
        <f>-NordhausBoyer!B13</f>
        <v>-3.91</v>
      </c>
      <c r="B43" s="8">
        <f>NordhausBoyer!E13</f>
        <v>663.43368636069658</v>
      </c>
      <c r="C43" s="8">
        <f>NordhausBoyer!F13</f>
        <v>24.601219506502975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1"/>
        <v>7.6923076923076927E-2</v>
      </c>
    </row>
    <row r="44" spans="1:23" x14ac:dyDescent="0.35">
      <c r="A44">
        <f>-NordhausBoyer!B14</f>
        <v>-2.64</v>
      </c>
      <c r="B44" s="8">
        <f>NordhausBoyer!E14</f>
        <v>1157.9641476614036</v>
      </c>
      <c r="C44" s="8">
        <f>NordhausBoyer!F14</f>
        <v>22.344590698264032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f t="shared" si="1"/>
        <v>7.6923076923076927E-2</v>
      </c>
    </row>
    <row r="45" spans="1:23" x14ac:dyDescent="0.35">
      <c r="A45">
        <f>-'Tol1995'!B2</f>
        <v>-1.5</v>
      </c>
      <c r="B45" s="8">
        <f>'Tol1995'!E2</f>
        <v>43195.774216664817</v>
      </c>
      <c r="C45" s="8">
        <f>'Tol1995'!F2</f>
        <v>7.1188523081712081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f t="shared" si="1"/>
        <v>0.1111111111111111</v>
      </c>
    </row>
    <row r="46" spans="1:23" x14ac:dyDescent="0.35">
      <c r="A46">
        <f>-'Tol1995'!B3</f>
        <v>-1.3</v>
      </c>
      <c r="B46" s="8">
        <f>'Tol1995'!E3</f>
        <v>34160.934296396867</v>
      </c>
      <c r="C46" s="8">
        <f>'Tol1995'!F3</f>
        <v>10.252108289710554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f t="shared" si="1"/>
        <v>0.1111111111111111</v>
      </c>
    </row>
    <row r="47" spans="1:23" x14ac:dyDescent="0.35">
      <c r="A47">
        <f>-'Tol1995'!B4</f>
        <v>-2.8</v>
      </c>
      <c r="B47" s="8">
        <f>'Tol1995'!E4</f>
        <v>36169.902755455165</v>
      </c>
      <c r="C47" s="8">
        <f>'Tol1995'!F4</f>
        <v>12.588560386103364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f t="shared" si="1"/>
        <v>0.1111111111111111</v>
      </c>
    </row>
    <row r="48" spans="1:23" x14ac:dyDescent="0.35">
      <c r="A48">
        <f>-'Tol1995'!B5</f>
        <v>0.3</v>
      </c>
      <c r="B48" s="8">
        <f>'Tol1995'!E5</f>
        <v>5539.3660312360735</v>
      </c>
      <c r="C48" s="8">
        <f>'Tol1995'!F5</f>
        <v>4.1254740461518917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f t="shared" si="1"/>
        <v>0.1111111111111111</v>
      </c>
    </row>
    <row r="49" spans="1:23" x14ac:dyDescent="0.35">
      <c r="A49">
        <f>-'Tol1995'!B6</f>
        <v>-4.0999999999999996</v>
      </c>
      <c r="B49" s="8">
        <f>'Tol1995'!E6</f>
        <v>6679.5765541117471</v>
      </c>
      <c r="C49" s="8">
        <f>'Tol1995'!F6</f>
        <v>17.921342237140866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f t="shared" si="1"/>
        <v>0.1111111111111111</v>
      </c>
    </row>
    <row r="50" spans="1:23" x14ac:dyDescent="0.35">
      <c r="A50">
        <f>-'Tol1995'!B7</f>
        <v>-4.3</v>
      </c>
      <c r="B50" s="8">
        <f>'Tol1995'!E7</f>
        <v>5783.9343444742981</v>
      </c>
      <c r="C50" s="8">
        <f>'Tol1995'!F7</f>
        <v>22.441698343939652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1"/>
        <v>0.1111111111111111</v>
      </c>
    </row>
    <row r="51" spans="1:23" x14ac:dyDescent="0.35">
      <c r="A51">
        <f>-'Tol1995'!B8</f>
        <v>-8.6</v>
      </c>
      <c r="B51" s="8">
        <f>'Tol1995'!E8</f>
        <v>1720.0498074804964</v>
      </c>
      <c r="C51" s="8">
        <f>'Tol1995'!F8</f>
        <v>23.411200932455088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f t="shared" si="1"/>
        <v>0.1111111111111111</v>
      </c>
    </row>
    <row r="52" spans="1:23" x14ac:dyDescent="0.35">
      <c r="A52">
        <f>-'Tol1995'!B9</f>
        <v>-5.2</v>
      </c>
      <c r="B52" s="8">
        <f>'Tol1995'!E9</f>
        <v>3029.340720435257</v>
      </c>
      <c r="C52" s="8">
        <f>'Tol1995'!F9</f>
        <v>6.97334408270914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f t="shared" si="1"/>
        <v>0.1111111111111111</v>
      </c>
    </row>
    <row r="53" spans="1:23" x14ac:dyDescent="0.35">
      <c r="A53">
        <f>-'Tol1995'!B10</f>
        <v>-8.6999999999999993</v>
      </c>
      <c r="B53" s="8">
        <f>'Tol1995'!E10</f>
        <v>1237.1351073516155</v>
      </c>
      <c r="C53" s="8">
        <f>'Tol1995'!F10</f>
        <v>23.687587146762144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f t="shared" si="1"/>
        <v>0.1111111111111111</v>
      </c>
    </row>
    <row r="54" spans="1:23" x14ac:dyDescent="0.35">
      <c r="A54">
        <f>'Tol2002'!B2</f>
        <v>3.4</v>
      </c>
      <c r="B54" s="8">
        <f>'Tol2002'!E2</f>
        <v>43195.774216664817</v>
      </c>
      <c r="C54" s="8">
        <f>'Tol2002'!F2</f>
        <v>7.1188523081712081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f t="shared" si="1"/>
        <v>0.1111111111111111</v>
      </c>
    </row>
    <row r="55" spans="1:23" x14ac:dyDescent="0.35">
      <c r="A55">
        <f>'Tol2002'!B3</f>
        <v>3.7</v>
      </c>
      <c r="B55" s="8">
        <f>'Tol2002'!E3</f>
        <v>34160.934296396867</v>
      </c>
      <c r="C55" s="8">
        <f>'Tol2002'!F3</f>
        <v>10.252108289710554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f t="shared" si="1"/>
        <v>0.1111111111111111</v>
      </c>
    </row>
    <row r="56" spans="1:23" x14ac:dyDescent="0.35">
      <c r="A56">
        <f>'Tol2002'!B4</f>
        <v>1</v>
      </c>
      <c r="B56" s="8">
        <f>'Tol2002'!E4</f>
        <v>36169.902755455165</v>
      </c>
      <c r="C56" s="8">
        <f>'Tol2002'!F4</f>
        <v>12.588560386103364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1"/>
        <v>0.1111111111111111</v>
      </c>
    </row>
    <row r="57" spans="1:23" x14ac:dyDescent="0.35">
      <c r="A57">
        <f>'Tol2002'!B5</f>
        <v>2</v>
      </c>
      <c r="B57" s="8">
        <f>'Tol2002'!E5</f>
        <v>5539.3660312360735</v>
      </c>
      <c r="C57" s="8">
        <f>'Tol2002'!F5</f>
        <v>4.1254740461518917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f t="shared" si="1"/>
        <v>0.1111111111111111</v>
      </c>
    </row>
    <row r="58" spans="1:23" x14ac:dyDescent="0.35">
      <c r="A58">
        <f>'Tol2002'!B6</f>
        <v>1.1000000000000001</v>
      </c>
      <c r="B58" s="8">
        <f>'Tol2002'!E6</f>
        <v>6679.5765541117471</v>
      </c>
      <c r="C58" s="8">
        <f>'Tol2002'!F6</f>
        <v>17.921342237140866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f t="shared" si="1"/>
        <v>0.1111111111111111</v>
      </c>
    </row>
    <row r="59" spans="1:23" x14ac:dyDescent="0.35">
      <c r="A59">
        <f>'Tol2002'!B7</f>
        <v>-0.1</v>
      </c>
      <c r="B59" s="8">
        <f>'Tol2002'!E7</f>
        <v>5783.9343444742981</v>
      </c>
      <c r="C59" s="8">
        <f>'Tol2002'!F7</f>
        <v>22.441698343939652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1"/>
        <v>0.1111111111111111</v>
      </c>
    </row>
    <row r="60" spans="1:23" x14ac:dyDescent="0.35">
      <c r="A60">
        <f>'Tol2002'!B8</f>
        <v>-1.7</v>
      </c>
      <c r="B60" s="8">
        <f>'Tol2002'!E8</f>
        <v>1720.0498074804964</v>
      </c>
      <c r="C60" s="8">
        <f>'Tol2002'!F8</f>
        <v>23.411200932455088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1"/>
        <v>0.1111111111111111</v>
      </c>
    </row>
    <row r="61" spans="1:23" x14ac:dyDescent="0.35">
      <c r="A61">
        <f>'Tol2002'!B9</f>
        <v>2.1</v>
      </c>
      <c r="B61" s="8">
        <f>'Tol2002'!E9</f>
        <v>3029.340720435257</v>
      </c>
      <c r="C61" s="8">
        <f>'Tol2002'!F9</f>
        <v>6.97334408270914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1"/>
        <v>0.1111111111111111</v>
      </c>
    </row>
    <row r="62" spans="1:23" x14ac:dyDescent="0.35">
      <c r="A62">
        <f>'Tol2002'!B10</f>
        <v>-4.0999999999999996</v>
      </c>
      <c r="B62" s="8">
        <f>'Tol2002'!E10</f>
        <v>1237.1351073516155</v>
      </c>
      <c r="C62" s="8">
        <f>'Tol2002'!F10</f>
        <v>23.687587146762144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f t="shared" si="1"/>
        <v>0.1111111111111111</v>
      </c>
    </row>
    <row r="63" spans="1:23" x14ac:dyDescent="0.35">
      <c r="A63">
        <f>-NordhausYang!M2</f>
        <v>-1.1020000000000001</v>
      </c>
      <c r="B63" s="8">
        <f>NordhausYang!P2</f>
        <v>43952.446494287382</v>
      </c>
      <c r="C63" s="8">
        <f>NordhausYang!Q2</f>
        <v>8.5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 t="shared" si="1"/>
        <v>0.16666666666666666</v>
      </c>
    </row>
    <row r="64" spans="1:23" x14ac:dyDescent="0.35">
      <c r="A64">
        <f>-NordhausYang!M3</f>
        <v>-1.1739999999999999</v>
      </c>
      <c r="B64" s="8">
        <f>NordhausYang!P3</f>
        <v>36472.749157637452</v>
      </c>
      <c r="C64" s="8">
        <f>NordhausYang!Q3</f>
        <v>11.1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1"/>
        <v>0.16666666666666666</v>
      </c>
    </row>
    <row r="65" spans="1:23" x14ac:dyDescent="0.35">
      <c r="A65">
        <f>-NordhausYang!M4</f>
        <v>-1.5230000000000001</v>
      </c>
      <c r="B65" s="8">
        <f>NordhausYang!P4</f>
        <v>2870.0529334764196</v>
      </c>
      <c r="C65" s="8">
        <f>NordhausYang!Q4</f>
        <v>6.9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f t="shared" si="1"/>
        <v>0.16666666666666666</v>
      </c>
    </row>
    <row r="66" spans="1:23" x14ac:dyDescent="0.35">
      <c r="A66">
        <f>-NordhausYang!M5</f>
        <v>-1.1739999999999999</v>
      </c>
      <c r="B66" s="8">
        <f>NordhausYang!P5</f>
        <v>33667.112386108376</v>
      </c>
      <c r="C66" s="8">
        <f>NordhausYang!Q5</f>
        <v>10.2565326705712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f t="shared" si="1"/>
        <v>0.16666666666666666</v>
      </c>
    </row>
    <row r="67" spans="1:23" x14ac:dyDescent="0.35">
      <c r="A67">
        <f>-NordhausYang!M6</f>
        <v>-0.85699999999999998</v>
      </c>
      <c r="B67" s="8">
        <f>NordhausYang!P6</f>
        <v>4393.3014608270669</v>
      </c>
      <c r="C67" s="8">
        <f>NordhausYang!Q6</f>
        <v>1.7083495558982151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si="1"/>
        <v>0.16666666666666666</v>
      </c>
    </row>
    <row r="68" spans="1:23" x14ac:dyDescent="0.35">
      <c r="A68">
        <f>-NordhausYang!M7</f>
        <v>-2.093</v>
      </c>
      <c r="B68" s="8">
        <f>NordhausYang!P7</f>
        <v>3415.7635273359524</v>
      </c>
      <c r="C68" s="8">
        <f>NordhausYang!Q7</f>
        <v>22.247289329038999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f t="shared" ref="W68:W131" si="2">SUMPRODUCT(D68:V68,D$1:V$1)</f>
        <v>0.16666666666666666</v>
      </c>
    </row>
    <row r="69" spans="1:23" x14ac:dyDescent="0.35">
      <c r="A69" s="5">
        <f>-PlambeckHope!Q4</f>
        <v>-1.2999999999999998</v>
      </c>
      <c r="B69" s="8">
        <f>PlambeckHope!AC2</f>
        <v>33648.709686198097</v>
      </c>
      <c r="C69" s="8">
        <f>PlambeckHope!AD2</f>
        <v>10.265844520615817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f t="shared" si="2"/>
        <v>0.125</v>
      </c>
    </row>
    <row r="70" spans="1:23" x14ac:dyDescent="0.35">
      <c r="A70" s="5">
        <f>-PlambeckHope!Q5</f>
        <v>-1.5599999999999998</v>
      </c>
      <c r="B70" s="8">
        <f>PlambeckHope!AC3</f>
        <v>43952.446494287382</v>
      </c>
      <c r="C70" s="8">
        <f>PlambeckHope!AD3</f>
        <v>8.5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f t="shared" si="2"/>
        <v>0.125</v>
      </c>
    </row>
    <row r="71" spans="1:23" x14ac:dyDescent="0.35">
      <c r="A71" s="5">
        <f>-PlambeckHope!Q6</f>
        <v>-2.86</v>
      </c>
      <c r="B71" s="8">
        <f>PlambeckHope!AC4</f>
        <v>37522.30858166112</v>
      </c>
      <c r="C71" s="8">
        <f>PlambeckHope!AD4</f>
        <v>9.0237181812453731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2"/>
        <v>0.125</v>
      </c>
    </row>
    <row r="72" spans="1:23" x14ac:dyDescent="0.35">
      <c r="A72" s="5">
        <f>-PlambeckHope!Q7</f>
        <v>0</v>
      </c>
      <c r="B72" s="8">
        <f>PlambeckHope!AC5</f>
        <v>5539.3660312360735</v>
      </c>
      <c r="C72" s="8">
        <f>PlambeckHope!AD5</f>
        <v>4.1254740461518917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2"/>
        <v>0.125</v>
      </c>
    </row>
    <row r="73" spans="1:23" x14ac:dyDescent="0.35">
      <c r="A73" s="5">
        <f>-PlambeckHope!Q8</f>
        <v>-5.1999999999999993</v>
      </c>
      <c r="B73" s="8">
        <f>PlambeckHope!AC6</f>
        <v>2866.8211288515718</v>
      </c>
      <c r="C73" s="8">
        <f>PlambeckHope!AD6</f>
        <v>6.8846191167010646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2"/>
        <v>0.125</v>
      </c>
    </row>
    <row r="74" spans="1:23" x14ac:dyDescent="0.35">
      <c r="A74" s="5">
        <f>-PlambeckHope!Q9</f>
        <v>-8.5799999999999983</v>
      </c>
      <c r="B74" s="8">
        <f>PlambeckHope!AC7</f>
        <v>1822.8178945842403</v>
      </c>
      <c r="C74" s="8">
        <f>PlambeckHope!AD7</f>
        <v>23.408799207089249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2"/>
        <v>0.125</v>
      </c>
    </row>
    <row r="75" spans="1:23" x14ac:dyDescent="0.35">
      <c r="A75" s="5">
        <f>-PlambeckHope!Q10</f>
        <v>-5.85</v>
      </c>
      <c r="B75" s="8">
        <f>PlambeckHope!AC8</f>
        <v>2537.8885528238407</v>
      </c>
      <c r="C75" s="8">
        <f>PlambeckHope!AD8</f>
        <v>22.413461791738342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f t="shared" si="2"/>
        <v>0.125</v>
      </c>
    </row>
    <row r="76" spans="1:23" x14ac:dyDescent="0.35">
      <c r="A76" s="5">
        <f>-PlambeckHope!Q11</f>
        <v>-4.2899999999999991</v>
      </c>
      <c r="B76" s="8">
        <f>PlambeckHope!AC9</f>
        <v>5783.9343444742981</v>
      </c>
      <c r="C76" s="8">
        <f>PlambeckHope!AD9</f>
        <v>22.441698343939652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f t="shared" si="2"/>
        <v>0.125</v>
      </c>
    </row>
    <row r="77" spans="1:23" x14ac:dyDescent="0.35">
      <c r="A77" s="5">
        <f>-Hope!Q4</f>
        <v>-1.23</v>
      </c>
      <c r="B77" s="8">
        <f>Hope!AC2</f>
        <v>33648.709686198097</v>
      </c>
      <c r="C77" s="8">
        <f>Hope!AD2</f>
        <v>10.265844520615817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f t="shared" si="2"/>
        <v>0.125</v>
      </c>
    </row>
    <row r="78" spans="1:23" x14ac:dyDescent="0.35">
      <c r="A78" s="5">
        <f>-Hope!Q5</f>
        <v>-0.3075</v>
      </c>
      <c r="B78" s="8">
        <f>Hope!AC3</f>
        <v>43952.446494287382</v>
      </c>
      <c r="C78" s="8">
        <f>Hope!AD3</f>
        <v>8.5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2"/>
        <v>0.125</v>
      </c>
    </row>
    <row r="79" spans="1:23" x14ac:dyDescent="0.35">
      <c r="A79" s="5">
        <f>-Hope!Q6</f>
        <v>-0.3075</v>
      </c>
      <c r="B79" s="8">
        <f>Hope!AC4</f>
        <v>37522.30858166112</v>
      </c>
      <c r="C79" s="8">
        <f>Hope!AD4</f>
        <v>9.0237181812453731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2"/>
        <v>0.125</v>
      </c>
    </row>
    <row r="80" spans="1:23" x14ac:dyDescent="0.35">
      <c r="A80" s="5">
        <f>-Hope!Q7</f>
        <v>0.43049999999999999</v>
      </c>
      <c r="B80" s="8">
        <f>Hope!AC5</f>
        <v>5539.3660312360735</v>
      </c>
      <c r="C80" s="8">
        <f>Hope!AD5</f>
        <v>4.1254740461518917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f t="shared" si="2"/>
        <v>0.125</v>
      </c>
    </row>
    <row r="81" spans="1:23" x14ac:dyDescent="0.35">
      <c r="A81" s="5">
        <f>-Hope!Q8</f>
        <v>-0.246</v>
      </c>
      <c r="B81" s="8">
        <f>Hope!AC6</f>
        <v>2866.8211288515718</v>
      </c>
      <c r="C81" s="8">
        <f>Hope!AD6</f>
        <v>6.8846191167010646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f t="shared" si="2"/>
        <v>0.125</v>
      </c>
    </row>
    <row r="82" spans="1:23" x14ac:dyDescent="0.35">
      <c r="A82" s="5">
        <f>-Hope!Q9</f>
        <v>-3.0750000000000002</v>
      </c>
      <c r="B82" s="8">
        <f>Hope!AC7</f>
        <v>1822.8178945842403</v>
      </c>
      <c r="C82" s="8">
        <f>Hope!AD7</f>
        <v>23.408799207089249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2"/>
        <v>0.125</v>
      </c>
    </row>
    <row r="83" spans="1:23" x14ac:dyDescent="0.35">
      <c r="A83" s="5">
        <f>-Hope!Q10</f>
        <v>-2.2509000000000001</v>
      </c>
      <c r="B83" s="8">
        <f>Hope!AC8</f>
        <v>2537.8885528238407</v>
      </c>
      <c r="C83" s="8">
        <f>Hope!AD8</f>
        <v>22.413461791738342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f t="shared" si="2"/>
        <v>0.125</v>
      </c>
    </row>
    <row r="84" spans="1:23" x14ac:dyDescent="0.35">
      <c r="A84" s="5">
        <f>-Hope!Q11</f>
        <v>-2.2509000000000001</v>
      </c>
      <c r="B84" s="8">
        <f>Hope!AC9</f>
        <v>5783.9343444742981</v>
      </c>
      <c r="C84" s="8">
        <f>Hope!AD9</f>
        <v>22.441698343939652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f t="shared" si="2"/>
        <v>0.125</v>
      </c>
    </row>
    <row r="85" spans="1:23" x14ac:dyDescent="0.35">
      <c r="A85" s="5">
        <f>-Fankhauser!B2</f>
        <v>-1.4</v>
      </c>
      <c r="B85" s="8">
        <f>Fankhauser!E2</f>
        <v>33648.709686198097</v>
      </c>
      <c r="C85" s="8">
        <f>Fankhauser!F2</f>
        <v>10.265844520615817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f t="shared" si="2"/>
        <v>0.16666666666666666</v>
      </c>
    </row>
    <row r="86" spans="1:23" x14ac:dyDescent="0.35">
      <c r="A86" s="5">
        <f>-Fankhauser!B3</f>
        <v>-1.3</v>
      </c>
      <c r="B86" s="8">
        <f>Fankhauser!E3</f>
        <v>43952.446494287382</v>
      </c>
      <c r="C86" s="8">
        <f>Fankhauser!F3</f>
        <v>8.5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f t="shared" si="2"/>
        <v>0.16666666666666666</v>
      </c>
    </row>
    <row r="87" spans="1:23" x14ac:dyDescent="0.35">
      <c r="A87" s="5">
        <f>-Fankhauser!B4</f>
        <v>-1.4</v>
      </c>
      <c r="B87" s="8">
        <f>Fankhauser!E4</f>
        <v>37522.30858166112</v>
      </c>
      <c r="C87" s="8">
        <f>Fankhauser!F4</f>
        <v>9.0237181812453731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2"/>
        <v>0.16666666666666666</v>
      </c>
    </row>
    <row r="88" spans="1:23" x14ac:dyDescent="0.35">
      <c r="A88" s="5">
        <f>-Fankhauser!B5</f>
        <v>-0.7</v>
      </c>
      <c r="B88" s="8">
        <f>Fankhauser!E5</f>
        <v>4393.3014608270669</v>
      </c>
      <c r="C88" s="8">
        <f>Fankhauser!F5</f>
        <v>1.7083495558982151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f t="shared" si="2"/>
        <v>0.16666666666666666</v>
      </c>
    </row>
    <row r="89" spans="1:23" x14ac:dyDescent="0.35">
      <c r="A89" s="5">
        <f>-Fankhauser!B6</f>
        <v>-4.7</v>
      </c>
      <c r="B89" s="8">
        <f>Fankhauser!E6</f>
        <v>2870.0529334764196</v>
      </c>
      <c r="C89" s="8">
        <f>Fankhauser!F6</f>
        <v>6.9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2"/>
        <v>0.16666666666666666</v>
      </c>
    </row>
    <row r="90" spans="1:23" x14ac:dyDescent="0.35">
      <c r="A90" s="5">
        <f>-Fankhauser!B7</f>
        <v>-2</v>
      </c>
      <c r="B90" s="8">
        <f>Fankhauser!E7</f>
        <v>2780.3849055469086</v>
      </c>
      <c r="C90" s="8">
        <f>Fankhauser!F7</f>
        <v>22.543771756825503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f t="shared" si="2"/>
        <v>0.16666666666666666</v>
      </c>
    </row>
    <row r="91" spans="1:23" x14ac:dyDescent="0.35">
      <c r="A91" s="5">
        <f>-Berz!B2</f>
        <v>-1.6</v>
      </c>
      <c r="B91" s="8">
        <f>Berz!L2</f>
        <v>33648.709686198097</v>
      </c>
      <c r="C91" s="8">
        <f>Berz!M2</f>
        <v>10.265844520615817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f t="shared" si="2"/>
        <v>0.16666666666666666</v>
      </c>
    </row>
    <row r="92" spans="1:23" x14ac:dyDescent="0.35">
      <c r="A92" s="5">
        <f>-Berz!B3</f>
        <v>-1.4</v>
      </c>
      <c r="B92" s="8">
        <f>Berz!L3</f>
        <v>43952.446494287382</v>
      </c>
      <c r="C92" s="8">
        <f>Berz!M3</f>
        <v>8.5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f t="shared" si="2"/>
        <v>0.16666666666666666</v>
      </c>
    </row>
    <row r="93" spans="1:23" x14ac:dyDescent="0.35">
      <c r="A93" s="5">
        <f>-Berz!B4</f>
        <v>-1.056431537895876</v>
      </c>
      <c r="B93" s="8">
        <f>Berz!L4</f>
        <v>37522.30858166112</v>
      </c>
      <c r="C93" s="8">
        <f>Berz!M4</f>
        <v>9.0237181812453731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f t="shared" si="2"/>
        <v>0.16666666666666666</v>
      </c>
    </row>
    <row r="94" spans="1:23" x14ac:dyDescent="0.35">
      <c r="A94" s="5">
        <f>-Berz!B5</f>
        <v>-0.8</v>
      </c>
      <c r="B94" s="8">
        <f>Berz!L5</f>
        <v>4393.3014608270669</v>
      </c>
      <c r="C94" s="8">
        <f>Berz!M5</f>
        <v>1.7083495558982151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f t="shared" si="2"/>
        <v>0.16666666666666666</v>
      </c>
    </row>
    <row r="95" spans="1:23" x14ac:dyDescent="0.35">
      <c r="A95" s="5">
        <f>-Berz!B6</f>
        <v>-6.1</v>
      </c>
      <c r="B95" s="8">
        <f>Berz!L6</f>
        <v>2870.0529334764196</v>
      </c>
      <c r="C95" s="8">
        <f>Berz!M6</f>
        <v>6.9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f t="shared" si="2"/>
        <v>0.16666666666666666</v>
      </c>
    </row>
    <row r="96" spans="1:23" x14ac:dyDescent="0.35">
      <c r="A96" s="5">
        <f>-Berz!B7</f>
        <v>-1.4990120670152702</v>
      </c>
      <c r="B96" s="8">
        <f>Berz!L7</f>
        <v>2780.3849055469086</v>
      </c>
      <c r="C96" s="8">
        <f>Berz!M7</f>
        <v>22.543771756825503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f t="shared" si="2"/>
        <v>0.16666666666666666</v>
      </c>
    </row>
    <row r="97" spans="1:23" x14ac:dyDescent="0.35">
      <c r="A97">
        <f>MaddisonRehdanz!D3</f>
        <v>-9.6</v>
      </c>
      <c r="B97" s="8">
        <f>MaddisonRehdanz!J3</f>
        <v>1227.2329833265492</v>
      </c>
      <c r="C97" s="8">
        <f>MaddisonRehdanz!L3</f>
        <v>11.4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f t="shared" si="2"/>
        <v>1.2500000000000001E-2</v>
      </c>
    </row>
    <row r="98" spans="1:23" x14ac:dyDescent="0.35">
      <c r="A98">
        <f>MaddisonRehdanz!D4</f>
        <v>-22.3</v>
      </c>
      <c r="B98" s="8">
        <f>MaddisonRehdanz!J4</f>
        <v>1780.2961219324668</v>
      </c>
      <c r="C98" s="8">
        <f>MaddisonRehdanz!L4</f>
        <v>22.5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f t="shared" si="2"/>
        <v>1.2500000000000001E-2</v>
      </c>
    </row>
    <row r="99" spans="1:23" x14ac:dyDescent="0.35">
      <c r="A99">
        <f>MaddisonRehdanz!D5</f>
        <v>-1.7</v>
      </c>
      <c r="B99" s="8">
        <f>MaddisonRehdanz!J5</f>
        <v>4477.6158985924385</v>
      </c>
      <c r="C99" s="8">
        <f>MaddisonRehdanz!L5</f>
        <v>14.8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f t="shared" si="2"/>
        <v>1.2500000000000001E-2</v>
      </c>
    </row>
    <row r="100" spans="1:23" x14ac:dyDescent="0.35">
      <c r="A100">
        <f>MaddisonRehdanz!D6</f>
        <v>-4.0999999999999996</v>
      </c>
      <c r="B100" s="8">
        <f>MaddisonRehdanz!J6</f>
        <v>2184.5274565026834</v>
      </c>
      <c r="C100" s="8">
        <f>MaddisonRehdanz!L6</f>
        <v>7.1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f t="shared" si="2"/>
        <v>1.2500000000000001E-2</v>
      </c>
    </row>
    <row r="101" spans="1:23" x14ac:dyDescent="0.35">
      <c r="A101">
        <f>MaddisonRehdanz!D7</f>
        <v>-3.1</v>
      </c>
      <c r="B101" s="8">
        <f>MaddisonRehdanz!J7</f>
        <v>26746.01881819616</v>
      </c>
      <c r="C101" s="8">
        <f>MaddisonRehdanz!L7</f>
        <v>21.6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f t="shared" si="2"/>
        <v>1.2500000000000001E-2</v>
      </c>
    </row>
    <row r="102" spans="1:23" x14ac:dyDescent="0.35">
      <c r="A102">
        <f>MaddisonRehdanz!D8</f>
        <v>-11.6</v>
      </c>
      <c r="B102" s="8">
        <f>MaddisonRehdanz!J8</f>
        <v>656.51854512120008</v>
      </c>
      <c r="C102" s="8">
        <f>MaddisonRehdanz!L8</f>
        <v>11.9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f t="shared" si="2"/>
        <v>1.2500000000000001E-2</v>
      </c>
    </row>
    <row r="103" spans="1:23" x14ac:dyDescent="0.35">
      <c r="A103">
        <f>MaddisonRehdanz!D9</f>
        <v>-135.1</v>
      </c>
      <c r="B103" s="8">
        <f>MaddisonRehdanz!J9</f>
        <v>399.84394006700404</v>
      </c>
      <c r="C103" s="8">
        <f>MaddisonRehdanz!L9</f>
        <v>25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f t="shared" si="2"/>
        <v>1.2500000000000001E-2</v>
      </c>
    </row>
    <row r="104" spans="1:23" x14ac:dyDescent="0.35">
      <c r="A104">
        <f>MaddisonRehdanz!D10</f>
        <v>29.3</v>
      </c>
      <c r="B104" s="8">
        <f>MaddisonRehdanz!J10</f>
        <v>1836.17430654447</v>
      </c>
      <c r="C104" s="8">
        <f>MaddisonRehdanz!L10</f>
        <v>6.2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f t="shared" si="2"/>
        <v>1.2500000000000001E-2</v>
      </c>
    </row>
    <row r="105" spans="1:23" x14ac:dyDescent="0.35">
      <c r="A105">
        <f>MaddisonRehdanz!D11</f>
        <v>11.7</v>
      </c>
      <c r="B105" s="8">
        <f>MaddisonRehdanz!J11</f>
        <v>1792.6776774090165</v>
      </c>
      <c r="C105" s="8">
        <f>MaddisonRehdanz!L11</f>
        <v>9.8000000000000007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2"/>
        <v>1.2500000000000001E-2</v>
      </c>
    </row>
    <row r="106" spans="1:23" x14ac:dyDescent="0.35">
      <c r="A106">
        <f>MaddisonRehdanz!D12</f>
        <v>-93</v>
      </c>
      <c r="B106" s="8">
        <f>MaddisonRehdanz!J12</f>
        <v>4629.6697069570764</v>
      </c>
      <c r="C106" s="8">
        <f>MaddisonRehdanz!L12</f>
        <v>24.9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f t="shared" si="2"/>
        <v>1.2500000000000001E-2</v>
      </c>
    </row>
    <row r="107" spans="1:23" x14ac:dyDescent="0.35">
      <c r="A107">
        <f>MaddisonRehdanz!D13</f>
        <v>6.5</v>
      </c>
      <c r="B107" s="8">
        <f>MaddisonRehdanz!J13</f>
        <v>1992.3953145290373</v>
      </c>
      <c r="C107" s="8">
        <f>MaddisonRehdanz!L13</f>
        <v>10.5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f t="shared" si="2"/>
        <v>1.2500000000000001E-2</v>
      </c>
    </row>
    <row r="108" spans="1:23" x14ac:dyDescent="0.35">
      <c r="A108">
        <f>MaddisonRehdanz!D14</f>
        <v>-130</v>
      </c>
      <c r="B108" s="8">
        <f>MaddisonRehdanz!J14</f>
        <v>260.35426225117976</v>
      </c>
      <c r="C108" s="8">
        <f>MaddisonRehdanz!L14</f>
        <v>28.2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f t="shared" si="2"/>
        <v>1.2500000000000001E-2</v>
      </c>
    </row>
    <row r="109" spans="1:23" x14ac:dyDescent="0.35">
      <c r="A109">
        <f>MaddisonRehdanz!D15</f>
        <v>7.5</v>
      </c>
      <c r="B109" s="8">
        <f>MaddisonRehdanz!J15</f>
        <v>25510.694427824623</v>
      </c>
      <c r="C109" s="8">
        <f>MaddisonRehdanz!L15</f>
        <v>-5.4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 t="shared" si="2"/>
        <v>1.2500000000000001E-2</v>
      </c>
    </row>
    <row r="110" spans="1:23" x14ac:dyDescent="0.35">
      <c r="A110">
        <f>MaddisonRehdanz!D16</f>
        <v>4.9000000000000004</v>
      </c>
      <c r="B110" s="8">
        <f>MaddisonRehdanz!J16</f>
        <v>5560.6574678415618</v>
      </c>
      <c r="C110" s="8">
        <f>MaddisonRehdanz!L16</f>
        <v>8.5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f t="shared" si="2"/>
        <v>1.2500000000000001E-2</v>
      </c>
    </row>
    <row r="111" spans="1:23" x14ac:dyDescent="0.35">
      <c r="A111">
        <f>MaddisonRehdanz!D17</f>
        <v>4.5</v>
      </c>
      <c r="B111" s="8">
        <f>MaddisonRehdanz!J17</f>
        <v>1147.8287858744766</v>
      </c>
      <c r="C111" s="8">
        <f>MaddisonRehdanz!L17</f>
        <v>6.9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f t="shared" si="2"/>
        <v>1.2500000000000001E-2</v>
      </c>
    </row>
    <row r="112" spans="1:23" x14ac:dyDescent="0.35">
      <c r="A112">
        <f>MaddisonRehdanz!D18</f>
        <v>-64.099999999999994</v>
      </c>
      <c r="B112" s="8">
        <f>MaddisonRehdanz!J18</f>
        <v>2276.2821403215912</v>
      </c>
      <c r="C112" s="8">
        <f>MaddisonRehdanz!L18</f>
        <v>24.5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f t="shared" si="2"/>
        <v>1.2500000000000001E-2</v>
      </c>
    </row>
    <row r="113" spans="1:23" x14ac:dyDescent="0.35">
      <c r="A113">
        <f>MaddisonRehdanz!D19</f>
        <v>3.1</v>
      </c>
      <c r="B113" s="8">
        <f>MaddisonRehdanz!J19</f>
        <v>6400.9823610468329</v>
      </c>
      <c r="C113" s="8">
        <f>MaddisonRehdanz!L19</f>
        <v>10.9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f t="shared" si="2"/>
        <v>1.2500000000000001E-2</v>
      </c>
    </row>
    <row r="114" spans="1:23" x14ac:dyDescent="0.35">
      <c r="A114">
        <f>MaddisonRehdanz!D20</f>
        <v>-1.7</v>
      </c>
      <c r="B114" s="8">
        <f>MaddisonRehdanz!J20</f>
        <v>14698.640360515892</v>
      </c>
      <c r="C114" s="8">
        <f>MaddisonRehdanz!L20</f>
        <v>18.399999999999999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f t="shared" si="2"/>
        <v>1.2500000000000001E-2</v>
      </c>
    </row>
    <row r="115" spans="1:23" x14ac:dyDescent="0.35">
      <c r="A115">
        <f>MaddisonRehdanz!D21</f>
        <v>13.9</v>
      </c>
      <c r="B115" s="8">
        <f>MaddisonRehdanz!J21</f>
        <v>6029.9885304322725</v>
      </c>
      <c r="C115" s="8">
        <f>MaddisonRehdanz!L21</f>
        <v>7.5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f t="shared" si="2"/>
        <v>1.2500000000000001E-2</v>
      </c>
    </row>
    <row r="116" spans="1:23" x14ac:dyDescent="0.35">
      <c r="A116">
        <f>MaddisonRehdanz!D22</f>
        <v>-42.3</v>
      </c>
      <c r="B116" s="8">
        <f>MaddisonRehdanz!J22</f>
        <v>2299.3763358127867</v>
      </c>
      <c r="C116" s="8">
        <f>MaddisonRehdanz!L22</f>
        <v>24.5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f t="shared" si="2"/>
        <v>1.2500000000000001E-2</v>
      </c>
    </row>
    <row r="117" spans="1:23" x14ac:dyDescent="0.35">
      <c r="A117">
        <f>MaddisonRehdanz!D23</f>
        <v>-48.8</v>
      </c>
      <c r="B117" s="8">
        <f>MaddisonRehdanz!J23</f>
        <v>1209.7020164553226</v>
      </c>
      <c r="C117" s="8">
        <f>MaddisonRehdanz!L23</f>
        <v>22.1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f t="shared" si="2"/>
        <v>1.2500000000000001E-2</v>
      </c>
    </row>
    <row r="118" spans="1:23" x14ac:dyDescent="0.35">
      <c r="A118">
        <f>MaddisonRehdanz!D24</f>
        <v>-82.2</v>
      </c>
      <c r="B118" s="8">
        <f>MaddisonRehdanz!J24</f>
        <v>1829.3342696056363</v>
      </c>
      <c r="C118" s="8">
        <f>MaddisonRehdanz!L24</f>
        <v>24.4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f t="shared" si="2"/>
        <v>1.2500000000000001E-2</v>
      </c>
    </row>
    <row r="119" spans="1:23" x14ac:dyDescent="0.35">
      <c r="A119">
        <f>MaddisonRehdanz!D25</f>
        <v>25.2</v>
      </c>
      <c r="B119" s="8">
        <f>MaddisonRehdanz!J25</f>
        <v>6206.4370932338888</v>
      </c>
      <c r="C119" s="8">
        <f>MaddisonRehdanz!L25</f>
        <v>5.0999999999999996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f t="shared" si="2"/>
        <v>1.2500000000000001E-2</v>
      </c>
    </row>
    <row r="120" spans="1:23" x14ac:dyDescent="0.35">
      <c r="A120">
        <f>MaddisonRehdanz!D26</f>
        <v>-33.4</v>
      </c>
      <c r="B120" s="8">
        <f>MaddisonRehdanz!J26</f>
        <v>130.01421808138244</v>
      </c>
      <c r="C120" s="8">
        <f>MaddisonRehdanz!L26</f>
        <v>22.2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f t="shared" si="2"/>
        <v>1.2500000000000001E-2</v>
      </c>
    </row>
    <row r="121" spans="1:23" x14ac:dyDescent="0.35">
      <c r="A121">
        <f>MaddisonRehdanz!D27</f>
        <v>14</v>
      </c>
      <c r="B121" s="8">
        <f>MaddisonRehdanz!J27</f>
        <v>34027.282684816455</v>
      </c>
      <c r="C121" s="8">
        <f>MaddisonRehdanz!L27</f>
        <v>1.7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f t="shared" si="2"/>
        <v>1.2500000000000001E-2</v>
      </c>
    </row>
    <row r="122" spans="1:23" x14ac:dyDescent="0.35">
      <c r="A122">
        <f>MaddisonRehdanz!D28</f>
        <v>3.7</v>
      </c>
      <c r="B122" s="8">
        <f>MaddisonRehdanz!J28</f>
        <v>30932.980772138679</v>
      </c>
      <c r="C122" s="8">
        <f>MaddisonRehdanz!L28</f>
        <v>10.7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f t="shared" si="2"/>
        <v>1.2500000000000001E-2</v>
      </c>
    </row>
    <row r="123" spans="1:23" x14ac:dyDescent="0.35">
      <c r="A123">
        <f>MaddisonRehdanz!D29</f>
        <v>-7.7</v>
      </c>
      <c r="B123" s="8">
        <f>MaddisonRehdanz!J29</f>
        <v>646.58519505316701</v>
      </c>
      <c r="C123" s="8">
        <f>MaddisonRehdanz!L29</f>
        <v>5.8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f t="shared" si="2"/>
        <v>1.2500000000000001E-2</v>
      </c>
    </row>
    <row r="124" spans="1:23" x14ac:dyDescent="0.35">
      <c r="A124">
        <f>MaddisonRehdanz!D30</f>
        <v>7.6</v>
      </c>
      <c r="B124" s="8">
        <f>MaddisonRehdanz!J30</f>
        <v>32935.182999523611</v>
      </c>
      <c r="C124" s="8">
        <f>MaddisonRehdanz!L30</f>
        <v>8.4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f t="shared" si="2"/>
        <v>1.2500000000000001E-2</v>
      </c>
    </row>
    <row r="125" spans="1:23" x14ac:dyDescent="0.35">
      <c r="A125">
        <f>MaddisonRehdanz!D31</f>
        <v>-118.7</v>
      </c>
      <c r="B125" s="8">
        <f>MaddisonRehdanz!J31</f>
        <v>452.65477884807916</v>
      </c>
      <c r="C125" s="8">
        <f>MaddisonRehdanz!L31</f>
        <v>27.2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f t="shared" si="2"/>
        <v>1.2500000000000001E-2</v>
      </c>
    </row>
    <row r="126" spans="1:23" x14ac:dyDescent="0.35">
      <c r="A126">
        <f>MaddisonRehdanz!D32</f>
        <v>7.4</v>
      </c>
      <c r="B126" s="8">
        <f>MaddisonRehdanz!J32</f>
        <v>23753.710002652209</v>
      </c>
      <c r="C126" s="8">
        <f>MaddisonRehdanz!L32</f>
        <v>8.4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f t="shared" si="2"/>
        <v>1.2500000000000001E-2</v>
      </c>
    </row>
    <row r="127" spans="1:23" x14ac:dyDescent="0.35">
      <c r="A127">
        <f>MaddisonRehdanz!D33</f>
        <v>-138.30000000000001</v>
      </c>
      <c r="B127" s="8">
        <f>MaddisonRehdanz!J33</f>
        <v>1511.7080681696084</v>
      </c>
      <c r="C127" s="8">
        <f>MaddisonRehdanz!L33</f>
        <v>23.4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f t="shared" si="2"/>
        <v>1.2500000000000001E-2</v>
      </c>
    </row>
    <row r="128" spans="1:23" x14ac:dyDescent="0.35">
      <c r="A128">
        <f>MaddisonRehdanz!D34</f>
        <v>-5.9</v>
      </c>
      <c r="B128" s="8">
        <f>MaddisonRehdanz!J34</f>
        <v>25565.374455826146</v>
      </c>
      <c r="C128" s="8">
        <f>MaddisonRehdanz!L34</f>
        <v>22.7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f t="shared" si="2"/>
        <v>1.2500000000000001E-2</v>
      </c>
    </row>
    <row r="129" spans="1:23" x14ac:dyDescent="0.35">
      <c r="A129">
        <f>MaddisonRehdanz!D35</f>
        <v>3.3</v>
      </c>
      <c r="B129" s="8">
        <f>MaddisonRehdanz!J35</f>
        <v>6564.7883670885658</v>
      </c>
      <c r="C129" s="8">
        <f>MaddisonRehdanz!L35</f>
        <v>9.8000000000000007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f t="shared" si="2"/>
        <v>1.2500000000000001E-2</v>
      </c>
    </row>
    <row r="130" spans="1:23" x14ac:dyDescent="0.35">
      <c r="A130">
        <f>MaddisonRehdanz!D36</f>
        <v>-89.6</v>
      </c>
      <c r="B130" s="8">
        <f>MaddisonRehdanz!J36</f>
        <v>535.90480305606241</v>
      </c>
      <c r="C130" s="8">
        <f>MaddisonRehdanz!L36</f>
        <v>23.7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f t="shared" si="2"/>
        <v>1.2500000000000001E-2</v>
      </c>
    </row>
    <row r="131" spans="1:23" x14ac:dyDescent="0.35">
      <c r="A131">
        <f>MaddisonRehdanz!D37</f>
        <v>-54.5</v>
      </c>
      <c r="B131" s="8">
        <f>MaddisonRehdanz!J37</f>
        <v>1107.369234143441</v>
      </c>
      <c r="C131" s="8">
        <f>MaddisonRehdanz!L37</f>
        <v>25.8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f t="shared" si="2"/>
        <v>1.2500000000000001E-2</v>
      </c>
    </row>
    <row r="132" spans="1:23" x14ac:dyDescent="0.35">
      <c r="A132">
        <f>MaddisonRehdanz!D38</f>
        <v>-6.2</v>
      </c>
      <c r="B132" s="8">
        <f>MaddisonRehdanz!J38</f>
        <v>1967.9333705006657</v>
      </c>
      <c r="C132" s="8">
        <f>MaddisonRehdanz!L38</f>
        <v>17.2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f t="shared" ref="W132:W195" si="3">SUMPRODUCT(D132:V132,D$1:V$1)</f>
        <v>1.2500000000000001E-2</v>
      </c>
    </row>
    <row r="133" spans="1:23" x14ac:dyDescent="0.35">
      <c r="A133">
        <f>MaddisonRehdanz!D39</f>
        <v>-51.1</v>
      </c>
      <c r="B133" s="8">
        <f>MaddisonRehdanz!J39</f>
        <v>3477.0701790819212</v>
      </c>
      <c r="C133" s="8">
        <f>MaddisonRehdanz!L39</f>
        <v>21.4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f t="shared" si="3"/>
        <v>1.2500000000000001E-2</v>
      </c>
    </row>
    <row r="134" spans="1:23" x14ac:dyDescent="0.35">
      <c r="A134">
        <f>MaddisonRehdanz!D40</f>
        <v>-6.8</v>
      </c>
      <c r="B134" s="8">
        <f>MaddisonRehdanz!J40</f>
        <v>20504.055171514665</v>
      </c>
      <c r="C134" s="8">
        <f>MaddisonRehdanz!L40</f>
        <v>19.2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f t="shared" si="3"/>
        <v>1.2500000000000001E-2</v>
      </c>
    </row>
    <row r="135" spans="1:23" x14ac:dyDescent="0.35">
      <c r="A135">
        <f>MaddisonRehdanz!D41</f>
        <v>-1.3</v>
      </c>
      <c r="B135" s="8">
        <f>MaddisonRehdanz!J41</f>
        <v>21678.346910582142</v>
      </c>
      <c r="C135" s="8">
        <f>MaddisonRehdanz!L41</f>
        <v>13.4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f t="shared" si="3"/>
        <v>1.2500000000000001E-2</v>
      </c>
    </row>
    <row r="136" spans="1:23" x14ac:dyDescent="0.35">
      <c r="A136">
        <f>MaddisonRehdanz!D42</f>
        <v>1</v>
      </c>
      <c r="B136" s="8">
        <f>MaddisonRehdanz!J42</f>
        <v>42866.15769262486</v>
      </c>
      <c r="C136" s="8">
        <f>MaddisonRehdanz!L42</f>
        <v>11.1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f t="shared" si="3"/>
        <v>1.2500000000000001E-2</v>
      </c>
    </row>
    <row r="137" spans="1:23" x14ac:dyDescent="0.35">
      <c r="A137">
        <f>MaddisonRehdanz!D43</f>
        <v>-22.3</v>
      </c>
      <c r="B137" s="8">
        <f>MaddisonRehdanz!J43</f>
        <v>1709.3833693788195</v>
      </c>
      <c r="C137" s="8">
        <f>MaddisonRehdanz!L43</f>
        <v>18.3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3"/>
        <v>1.2500000000000001E-2</v>
      </c>
    </row>
    <row r="138" spans="1:23" x14ac:dyDescent="0.35">
      <c r="A138">
        <f>MaddisonRehdanz!D44</f>
        <v>10.3</v>
      </c>
      <c r="B138" s="8">
        <f>MaddisonRehdanz!J44</f>
        <v>382.84737254112895</v>
      </c>
      <c r="C138" s="8">
        <f>MaddisonRehdanz!L44</f>
        <v>1.6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f t="shared" si="3"/>
        <v>1.2500000000000001E-2</v>
      </c>
    </row>
    <row r="139" spans="1:23" x14ac:dyDescent="0.35">
      <c r="A139">
        <f>MaddisonRehdanz!D45</f>
        <v>24.9</v>
      </c>
      <c r="B139" s="8">
        <f>MaddisonRehdanz!J45</f>
        <v>3814.5824821141455</v>
      </c>
      <c r="C139" s="8">
        <f>MaddisonRehdanz!L45</f>
        <v>5.6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f t="shared" si="3"/>
        <v>1.2500000000000001E-2</v>
      </c>
    </row>
    <row r="140" spans="1:23" x14ac:dyDescent="0.35">
      <c r="A140">
        <f>MaddisonRehdanz!D46</f>
        <v>23.1</v>
      </c>
      <c r="B140" s="8">
        <f>MaddisonRehdanz!J46</f>
        <v>3295.3774023161427</v>
      </c>
      <c r="C140" s="8">
        <f>MaddisonRehdanz!L46</f>
        <v>6.2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f t="shared" si="3"/>
        <v>1.2500000000000001E-2</v>
      </c>
    </row>
    <row r="141" spans="1:23" x14ac:dyDescent="0.35">
      <c r="A141">
        <f>MaddisonRehdanz!D47</f>
        <v>-9.4</v>
      </c>
      <c r="B141" s="8">
        <f>MaddisonRehdanz!J47</f>
        <v>2388.7196853606374</v>
      </c>
      <c r="C141" s="8">
        <f>MaddisonRehdanz!L47</f>
        <v>9.8000000000000007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3"/>
        <v>1.2500000000000001E-2</v>
      </c>
    </row>
    <row r="142" spans="1:23" x14ac:dyDescent="0.35">
      <c r="A142">
        <f>MaddisonRehdanz!D48</f>
        <v>-30.7</v>
      </c>
      <c r="B142" s="8">
        <f>MaddisonRehdanz!J48</f>
        <v>5201.5979283982115</v>
      </c>
      <c r="C142" s="8">
        <f>MaddisonRehdanz!L48</f>
        <v>25.4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f t="shared" si="3"/>
        <v>1.2500000000000001E-2</v>
      </c>
    </row>
    <row r="143" spans="1:23" x14ac:dyDescent="0.35">
      <c r="A143">
        <f>MaddisonRehdanz!D49</f>
        <v>-157.1</v>
      </c>
      <c r="B143" s="8">
        <f>MaddisonRehdanz!J49</f>
        <v>338.45414670205344</v>
      </c>
      <c r="C143" s="8">
        <f>MaddisonRehdanz!L49</f>
        <v>28.2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3"/>
        <v>1.2500000000000001E-2</v>
      </c>
    </row>
    <row r="144" spans="1:23" x14ac:dyDescent="0.35">
      <c r="A144">
        <f>MaddisonRehdanz!D50</f>
        <v>-35.6</v>
      </c>
      <c r="B144" s="8">
        <f>MaddisonRehdanz!J50</f>
        <v>3593.1832519659119</v>
      </c>
      <c r="C144" s="8">
        <f>MaddisonRehdanz!L50</f>
        <v>21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si="3"/>
        <v>1.2500000000000001E-2</v>
      </c>
    </row>
    <row r="145" spans="1:23" x14ac:dyDescent="0.35">
      <c r="A145">
        <f>MaddisonRehdanz!D51</f>
        <v>16.2</v>
      </c>
      <c r="B145" s="8">
        <f>MaddisonRehdanz!J51</f>
        <v>898.96145763820402</v>
      </c>
      <c r="C145" s="8">
        <f>MaddisonRehdanz!L51</f>
        <v>9.4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f t="shared" si="3"/>
        <v>1.2500000000000001E-2</v>
      </c>
    </row>
    <row r="146" spans="1:23" x14ac:dyDescent="0.35">
      <c r="A146">
        <f>MaddisonRehdanz!D52</f>
        <v>-33.299999999999997</v>
      </c>
      <c r="B146" s="8">
        <f>MaddisonRehdanz!J52</f>
        <v>1583.1325910252694</v>
      </c>
      <c r="C146" s="8">
        <f>MaddisonRehdanz!L52</f>
        <v>17.100000000000001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f t="shared" si="3"/>
        <v>1.2500000000000001E-2</v>
      </c>
    </row>
    <row r="147" spans="1:23" x14ac:dyDescent="0.35">
      <c r="A147">
        <f>MaddisonRehdanz!D53</f>
        <v>7.4</v>
      </c>
      <c r="B147" s="8">
        <f>MaddisonRehdanz!J53</f>
        <v>30907.510400477295</v>
      </c>
      <c r="C147" s="8">
        <f>MaddisonRehdanz!L53</f>
        <v>9.1999999999999993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f t="shared" si="3"/>
        <v>1.2500000000000001E-2</v>
      </c>
    </row>
    <row r="148" spans="1:23" x14ac:dyDescent="0.35">
      <c r="A148">
        <f>MaddisonRehdanz!D54</f>
        <v>5</v>
      </c>
      <c r="B148" s="8">
        <f>MaddisonRehdanz!J54</f>
        <v>20892.739617468287</v>
      </c>
      <c r="C148" s="8">
        <f>MaddisonRehdanz!L54</f>
        <v>10.5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f t="shared" si="3"/>
        <v>1.2500000000000001E-2</v>
      </c>
    </row>
    <row r="149" spans="1:23" x14ac:dyDescent="0.35">
      <c r="A149">
        <f>MaddisonRehdanz!D55</f>
        <v>-99.8</v>
      </c>
      <c r="B149" s="8">
        <f>MaddisonRehdanz!J55</f>
        <v>245.43422046692868</v>
      </c>
      <c r="C149" s="8">
        <f>MaddisonRehdanz!L55</f>
        <v>26.8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f t="shared" si="3"/>
        <v>1.2500000000000001E-2</v>
      </c>
    </row>
    <row r="150" spans="1:23" x14ac:dyDescent="0.35">
      <c r="A150">
        <f>MaddisonRehdanz!D56</f>
        <v>3.2</v>
      </c>
      <c r="B150" s="8">
        <f>MaddisonRehdanz!J56</f>
        <v>40897.195755465604</v>
      </c>
      <c r="C150" s="8">
        <f>MaddisonRehdanz!L56</f>
        <v>1.5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 t="shared" si="3"/>
        <v>1.2500000000000001E-2</v>
      </c>
    </row>
    <row r="151" spans="1:23" x14ac:dyDescent="0.35">
      <c r="A151">
        <f>MaddisonRehdanz!D57</f>
        <v>-96.6</v>
      </c>
      <c r="B151" s="8">
        <f>MaddisonRehdanz!J57</f>
        <v>538.80778904418423</v>
      </c>
      <c r="C151" s="8">
        <f>MaddisonRehdanz!L57</f>
        <v>20.2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 t="shared" si="3"/>
        <v>1.2500000000000001E-2</v>
      </c>
    </row>
    <row r="152" spans="1:23" x14ac:dyDescent="0.35">
      <c r="A152">
        <f>MaddisonRehdanz!D58</f>
        <v>-83</v>
      </c>
      <c r="B152" s="8">
        <f>MaddisonRehdanz!J58</f>
        <v>2675.0342610148423</v>
      </c>
      <c r="C152" s="8">
        <f>MaddisonRehdanz!L58</f>
        <v>19.600000000000001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3"/>
        <v>1.2500000000000001E-2</v>
      </c>
    </row>
    <row r="153" spans="1:23" x14ac:dyDescent="0.35">
      <c r="A153">
        <f>MaddisonRehdanz!D59</f>
        <v>-58.3</v>
      </c>
      <c r="B153" s="8">
        <f>MaddisonRehdanz!J59</f>
        <v>1315.8639008391624</v>
      </c>
      <c r="C153" s="8">
        <f>MaddisonRehdanz!L59</f>
        <v>25.8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f t="shared" si="3"/>
        <v>1.2500000000000001E-2</v>
      </c>
    </row>
    <row r="154" spans="1:23" x14ac:dyDescent="0.35">
      <c r="A154">
        <f>MaddisonRehdanz!D60</f>
        <v>18.3</v>
      </c>
      <c r="B154" s="8">
        <f>MaddisonRehdanz!J60</f>
        <v>3908.1028275933172</v>
      </c>
      <c r="C154" s="8">
        <f>MaddisonRehdanz!L60</f>
        <v>7.8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f t="shared" si="3"/>
        <v>1.2500000000000001E-2</v>
      </c>
    </row>
    <row r="155" spans="1:23" x14ac:dyDescent="0.35">
      <c r="A155">
        <f>MaddisonRehdanz!D61</f>
        <v>3.4</v>
      </c>
      <c r="B155" s="8">
        <f>MaddisonRehdanz!J61</f>
        <v>1837.338589350624</v>
      </c>
      <c r="C155" s="8">
        <f>MaddisonRehdanz!L61</f>
        <v>8.8000000000000007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f t="shared" si="3"/>
        <v>1.2500000000000001E-2</v>
      </c>
    </row>
    <row r="156" spans="1:23" x14ac:dyDescent="0.35">
      <c r="A156">
        <f>MaddisonRehdanz!D62</f>
        <v>25.7</v>
      </c>
      <c r="B156" s="8">
        <f>MaddisonRehdanz!J62</f>
        <v>3153.1465487611031</v>
      </c>
      <c r="C156" s="8">
        <f>MaddisonRehdanz!L62</f>
        <v>-5.0999999999999996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f t="shared" si="3"/>
        <v>1.2500000000000001E-2</v>
      </c>
    </row>
    <row r="157" spans="1:23" x14ac:dyDescent="0.35">
      <c r="A157">
        <f>MaddisonRehdanz!D63</f>
        <v>-324.39999999999998</v>
      </c>
      <c r="B157" s="8">
        <f>MaddisonRehdanz!J63</f>
        <v>352.80429784746065</v>
      </c>
      <c r="C157" s="8">
        <f>MaddisonRehdanz!L63</f>
        <v>17.899999999999999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f t="shared" si="3"/>
        <v>1.2500000000000001E-2</v>
      </c>
    </row>
    <row r="158" spans="1:23" x14ac:dyDescent="0.35">
      <c r="A158">
        <f>MaddisonRehdanz!D64</f>
        <v>-25.3</v>
      </c>
      <c r="B158" s="8">
        <f>MaddisonRehdanz!J64</f>
        <v>7460.8200488549855</v>
      </c>
      <c r="C158" s="8">
        <f>MaddisonRehdanz!L64</f>
        <v>24.6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f t="shared" si="3"/>
        <v>1.2500000000000001E-2</v>
      </c>
    </row>
    <row r="159" spans="1:23" x14ac:dyDescent="0.35">
      <c r="A159">
        <f>MaddisonRehdanz!D65</f>
        <v>-2.2999999999999998</v>
      </c>
      <c r="B159" s="8">
        <f>MaddisonRehdanz!J65</f>
        <v>27408.319215136202</v>
      </c>
      <c r="C159" s="8">
        <f>MaddisonRehdanz!L65</f>
        <v>26.4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f t="shared" si="3"/>
        <v>1.2500000000000001E-2</v>
      </c>
    </row>
    <row r="160" spans="1:23" x14ac:dyDescent="0.35">
      <c r="A160">
        <f>MaddisonRehdanz!D66</f>
        <v>9.1999999999999993</v>
      </c>
      <c r="B160" s="8">
        <f>MaddisonRehdanz!J66</f>
        <v>5227.4386821681037</v>
      </c>
      <c r="C160" s="8">
        <f>MaddisonRehdanz!L66</f>
        <v>6.8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f t="shared" si="3"/>
        <v>1.2500000000000001E-2</v>
      </c>
    </row>
    <row r="161" spans="1:23" x14ac:dyDescent="0.35">
      <c r="A161">
        <f>MaddisonRehdanz!D67</f>
        <v>4</v>
      </c>
      <c r="B161" s="8">
        <f>MaddisonRehdanz!J67</f>
        <v>13510.586163877184</v>
      </c>
      <c r="C161" s="8">
        <f>MaddisonRehdanz!L67</f>
        <v>8.9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f t="shared" si="3"/>
        <v>1.2500000000000001E-2</v>
      </c>
    </row>
    <row r="162" spans="1:23" x14ac:dyDescent="0.35">
      <c r="A162">
        <f>MaddisonRehdanz!D68</f>
        <v>-19.600000000000001</v>
      </c>
      <c r="B162" s="8">
        <f>MaddisonRehdanz!J68</f>
        <v>4345.5884887777938</v>
      </c>
      <c r="C162" s="8">
        <f>MaddisonRehdanz!L68</f>
        <v>17.8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f t="shared" si="3"/>
        <v>1.2500000000000001E-2</v>
      </c>
    </row>
    <row r="163" spans="1:23" x14ac:dyDescent="0.35">
      <c r="A163">
        <f>MaddisonRehdanz!D70</f>
        <v>-2.9</v>
      </c>
      <c r="B163" s="8">
        <f>MaddisonRehdanz!J70</f>
        <v>18820.255154630006</v>
      </c>
      <c r="C163" s="8">
        <f>MaddisonRehdanz!L70</f>
        <v>13.3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f t="shared" si="3"/>
        <v>1.2500000000000001E-2</v>
      </c>
    </row>
    <row r="164" spans="1:23" x14ac:dyDescent="0.35">
      <c r="A164">
        <f>MaddisonRehdanz!D71</f>
        <v>10.8</v>
      </c>
      <c r="B164" s="8">
        <f>MaddisonRehdanz!J71</f>
        <v>34112.011971110354</v>
      </c>
      <c r="C164" s="8">
        <f>MaddisonRehdanz!L71</f>
        <v>2.1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f t="shared" si="3"/>
        <v>1.2500000000000001E-2</v>
      </c>
    </row>
    <row r="165" spans="1:23" x14ac:dyDescent="0.35">
      <c r="A165">
        <f>MaddisonRehdanz!D72</f>
        <v>6</v>
      </c>
      <c r="B165" s="8">
        <f>MaddisonRehdanz!J72</f>
        <v>47119.092553661969</v>
      </c>
      <c r="C165" s="8">
        <f>MaddisonRehdanz!L72</f>
        <v>5.5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f t="shared" si="3"/>
        <v>1.2500000000000001E-2</v>
      </c>
    </row>
    <row r="166" spans="1:23" x14ac:dyDescent="0.35">
      <c r="A166">
        <f>MaddisonRehdanz!D73</f>
        <v>-134.30000000000001</v>
      </c>
      <c r="B166" s="8">
        <f>MaddisonRehdanz!J73</f>
        <v>220.98864381250033</v>
      </c>
      <c r="C166" s="8">
        <f>MaddisonRehdanz!L73</f>
        <v>22.3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f t="shared" si="3"/>
        <v>1.2500000000000001E-2</v>
      </c>
    </row>
    <row r="167" spans="1:23" x14ac:dyDescent="0.35">
      <c r="A167">
        <f>MaddisonRehdanz!D74</f>
        <v>-47.8</v>
      </c>
      <c r="B167" s="8">
        <f>MaddisonRehdanz!J74</f>
        <v>3340.9038747687709</v>
      </c>
      <c r="C167" s="8">
        <f>MaddisonRehdanz!L74</f>
        <v>26.3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f t="shared" si="3"/>
        <v>1.2500000000000001E-2</v>
      </c>
    </row>
    <row r="168" spans="1:23" x14ac:dyDescent="0.35">
      <c r="A168">
        <f>MaddisonRehdanz!D75</f>
        <v>-10.7</v>
      </c>
      <c r="B168" s="8">
        <f>MaddisonRehdanz!J75</f>
        <v>5958.2115220335436</v>
      </c>
      <c r="C168" s="8">
        <f>MaddisonRehdanz!L75</f>
        <v>25.7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f t="shared" si="3"/>
        <v>1.2500000000000001E-2</v>
      </c>
    </row>
    <row r="169" spans="1:23" x14ac:dyDescent="0.35">
      <c r="A169">
        <f>MaddisonRehdanz!D76</f>
        <v>-2</v>
      </c>
      <c r="B169" s="8">
        <f>MaddisonRehdanz!J76</f>
        <v>3492.4385271527062</v>
      </c>
      <c r="C169" s="8">
        <f>MaddisonRehdanz!L76</f>
        <v>11.1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f t="shared" si="3"/>
        <v>1.2500000000000001E-2</v>
      </c>
    </row>
    <row r="170" spans="1:23" x14ac:dyDescent="0.35">
      <c r="A170">
        <f>MaddisonRehdanz!D77</f>
        <v>-246.8</v>
      </c>
      <c r="B170" s="8">
        <f>MaddisonRehdanz!J77</f>
        <v>375.85865195351869</v>
      </c>
      <c r="C170" s="8">
        <f>MaddisonRehdanz!L77</f>
        <v>22.8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 t="shared" si="3"/>
        <v>1.2500000000000001E-2</v>
      </c>
    </row>
    <row r="171" spans="1:23" x14ac:dyDescent="0.35">
      <c r="A171">
        <f>MaddisonRehdanz!D78</f>
        <v>17.100000000000001</v>
      </c>
      <c r="B171" s="8">
        <f>MaddisonRehdanz!J78</f>
        <v>1208.3086702147152</v>
      </c>
      <c r="C171" s="8">
        <f>MaddisonRehdanz!L78</f>
        <v>8.3000000000000007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f t="shared" si="3"/>
        <v>1.2500000000000001E-2</v>
      </c>
    </row>
    <row r="172" spans="1:23" x14ac:dyDescent="0.35">
      <c r="A172">
        <f>MaddisonRehdanz!D79</f>
        <v>0.3</v>
      </c>
      <c r="B172" s="8">
        <f>MaddisonRehdanz!J79</f>
        <v>32877.970921224914</v>
      </c>
      <c r="C172" s="8">
        <f>MaddisonRehdanz!L79</f>
        <v>8.5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f t="shared" si="3"/>
        <v>1.2500000000000001E-2</v>
      </c>
    </row>
    <row r="173" spans="1:23" x14ac:dyDescent="0.35">
      <c r="A173">
        <f>MaddisonRehdanz!D80</f>
        <v>9.6</v>
      </c>
      <c r="B173" s="8">
        <f>MaddisonRehdanz!J80</f>
        <v>3784.6504604277593</v>
      </c>
      <c r="C173" s="8">
        <f>MaddisonRehdanz!L80</f>
        <v>17.5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f t="shared" si="3"/>
        <v>1.2500000000000001E-2</v>
      </c>
    </row>
    <row r="174" spans="1:23" x14ac:dyDescent="0.35">
      <c r="A174">
        <f>MaddisonRehdanz!D81</f>
        <v>-63.1</v>
      </c>
      <c r="B174" s="8">
        <f>MaddisonRehdanz!J81</f>
        <v>2117.4383076870249</v>
      </c>
      <c r="C174" s="8">
        <f>MaddisonRehdanz!L81</f>
        <v>25.3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 t="shared" si="3"/>
        <v>1.2500000000000001E-2</v>
      </c>
    </row>
    <row r="175" spans="1:23" x14ac:dyDescent="0.35">
      <c r="A175">
        <f>MaddisonRehdanz!D82</f>
        <v>-98</v>
      </c>
      <c r="B175" s="8">
        <f>MaddisonRehdanz!J82</f>
        <v>487.84080364521679</v>
      </c>
      <c r="C175" s="8">
        <f>MaddisonRehdanz!L82</f>
        <v>24.4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f t="shared" si="3"/>
        <v>1.2500000000000001E-2</v>
      </c>
    </row>
    <row r="176" spans="1:23" x14ac:dyDescent="0.35">
      <c r="A176">
        <f>MaddisonRehdanz!D83</f>
        <v>-207.4</v>
      </c>
      <c r="B176" s="8">
        <f>MaddisonRehdanz!J83</f>
        <v>423.18173871807534</v>
      </c>
      <c r="C176" s="8">
        <f>MaddisonRehdanz!L83</f>
        <v>21.4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f t="shared" si="3"/>
        <v>1.2500000000000001E-2</v>
      </c>
    </row>
    <row r="177" spans="1:23" x14ac:dyDescent="0.35">
      <c r="A177" s="5">
        <f>SartoriRoson!K2</f>
        <v>-2.5299999999999998</v>
      </c>
      <c r="B177" s="8">
        <f>SartoriRoson!U2</f>
        <v>3404.6550318859572</v>
      </c>
      <c r="C177" s="8">
        <f>SartoriRoson!V2</f>
        <v>11.4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f t="shared" si="3"/>
        <v>8.4033613445378148E-3</v>
      </c>
    </row>
    <row r="178" spans="1:23" x14ac:dyDescent="0.35">
      <c r="A178" s="5">
        <f>SartoriRoson!K3</f>
        <v>-0.9</v>
      </c>
      <c r="B178" s="8">
        <f>SartoriRoson!U3</f>
        <v>7274.3904532313973</v>
      </c>
      <c r="C178" s="8">
        <f>SartoriRoson!V3</f>
        <v>14.8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f t="shared" si="3"/>
        <v>8.4033613445378148E-3</v>
      </c>
    </row>
    <row r="179" spans="1:23" x14ac:dyDescent="0.35">
      <c r="A179" s="5">
        <f>SartoriRoson!K4</f>
        <v>0.17</v>
      </c>
      <c r="B179" s="8">
        <f>SartoriRoson!U4</f>
        <v>1997.0389119682286</v>
      </c>
      <c r="C179" s="8">
        <f>SartoriRoson!V4</f>
        <v>7.1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f t="shared" si="3"/>
        <v>8.4033613445378148E-3</v>
      </c>
    </row>
    <row r="180" spans="1:23" x14ac:dyDescent="0.35">
      <c r="A180" s="5">
        <f>SartoriRoson!K5</f>
        <v>-0.92</v>
      </c>
      <c r="B180" s="8">
        <f>SartoriRoson!U5</f>
        <v>36140.105242213795</v>
      </c>
      <c r="C180" s="8">
        <f>SartoriRoson!V5</f>
        <v>21.6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f t="shared" si="3"/>
        <v>8.4033613445378148E-3</v>
      </c>
    </row>
    <row r="181" spans="1:23" x14ac:dyDescent="0.35">
      <c r="A181" s="5">
        <f>SartoriRoson!K6</f>
        <v>1.95</v>
      </c>
      <c r="B181" s="8">
        <f>SartoriRoson!U6</f>
        <v>38803.235792365253</v>
      </c>
      <c r="C181" s="8">
        <f>SartoriRoson!V6</f>
        <v>6.3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f t="shared" si="3"/>
        <v>8.4033613445378148E-3</v>
      </c>
    </row>
    <row r="182" spans="1:23" x14ac:dyDescent="0.35">
      <c r="A182" s="5">
        <f>SartoriRoson!K7</f>
        <v>-0.86</v>
      </c>
      <c r="B182" s="8">
        <f>SartoriRoson!U7</f>
        <v>3126.7240594662121</v>
      </c>
      <c r="C182" s="8">
        <f>SartoriRoson!V7</f>
        <v>11.9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f t="shared" si="3"/>
        <v>8.4033613445378148E-3</v>
      </c>
    </row>
    <row r="183" spans="1:23" x14ac:dyDescent="0.35">
      <c r="A183" s="5">
        <f>SartoriRoson!K8</f>
        <v>-4.9000000000000004</v>
      </c>
      <c r="B183" s="8">
        <f>SartoriRoson!U8</f>
        <v>16722.241255001882</v>
      </c>
      <c r="C183" s="8">
        <f>SartoriRoson!V8</f>
        <v>27.1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f t="shared" si="3"/>
        <v>8.4033613445378148E-3</v>
      </c>
    </row>
    <row r="184" spans="1:23" x14ac:dyDescent="0.35">
      <c r="A184" s="5">
        <f>SartoriRoson!K9</f>
        <v>-4.99</v>
      </c>
      <c r="B184" s="8">
        <f>SartoriRoson!U9</f>
        <v>539.09993134762863</v>
      </c>
      <c r="C184" s="8">
        <f>SartoriRoson!V9</f>
        <v>25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f t="shared" si="3"/>
        <v>8.4033613445378148E-3</v>
      </c>
    </row>
    <row r="185" spans="1:23" x14ac:dyDescent="0.35">
      <c r="A185" s="5">
        <f>SartoriRoson!K10</f>
        <v>0.18</v>
      </c>
      <c r="B185" s="8">
        <f>SartoriRoson!U10</f>
        <v>4526.3801215876556</v>
      </c>
      <c r="C185" s="8">
        <f>SartoriRoson!V10</f>
        <v>6.2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f t="shared" si="3"/>
        <v>8.4033613445378148E-3</v>
      </c>
    </row>
    <row r="186" spans="1:23" x14ac:dyDescent="0.35">
      <c r="A186" s="5">
        <f>SartoriRoson!K11</f>
        <v>1.21</v>
      </c>
      <c r="B186" s="8">
        <f>SartoriRoson!U11</f>
        <v>36747.279047091397</v>
      </c>
      <c r="C186" s="8">
        <f>SartoriRoson!V11</f>
        <v>9.6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f t="shared" si="3"/>
        <v>8.4033613445378148E-3</v>
      </c>
    </row>
    <row r="187" spans="1:23" x14ac:dyDescent="0.35">
      <c r="A187" s="5">
        <f>SartoriRoson!K12</f>
        <v>-13.63</v>
      </c>
      <c r="B187" s="8">
        <f>SartoriRoson!U12</f>
        <v>550.04454433952765</v>
      </c>
      <c r="C187" s="8">
        <f>SartoriRoson!V12</f>
        <v>27.5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f t="shared" si="3"/>
        <v>8.4033613445378148E-3</v>
      </c>
    </row>
    <row r="188" spans="1:23" x14ac:dyDescent="0.35">
      <c r="A188" s="5">
        <f>SartoriRoson!K13</f>
        <v>-2.84</v>
      </c>
      <c r="B188" s="8">
        <f>SartoriRoson!U13</f>
        <v>1176.9744750324021</v>
      </c>
      <c r="C188" s="8">
        <f>SartoriRoson!V13</f>
        <v>21.5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f t="shared" si="3"/>
        <v>8.4033613445378148E-3</v>
      </c>
    </row>
    <row r="189" spans="1:23" x14ac:dyDescent="0.35">
      <c r="A189" s="5">
        <f>SartoriRoson!K14</f>
        <v>-3.38</v>
      </c>
      <c r="B189" s="8">
        <f>SartoriRoson!U14</f>
        <v>6152.7263733715708</v>
      </c>
      <c r="C189" s="8">
        <f>SartoriRoson!V14</f>
        <v>21.5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f t="shared" si="3"/>
        <v>8.4033613445378148E-3</v>
      </c>
    </row>
    <row r="190" spans="1:23" x14ac:dyDescent="0.35">
      <c r="A190" s="5">
        <f>SartoriRoson!K15</f>
        <v>-2.13</v>
      </c>
      <c r="B190" s="8">
        <f>SartoriRoson!U15</f>
        <v>5618.3246002281494</v>
      </c>
      <c r="C190" s="8">
        <f>SartoriRoson!V15</f>
        <v>24.9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f t="shared" si="3"/>
        <v>8.4033613445378148E-3</v>
      </c>
    </row>
    <row r="191" spans="1:23" x14ac:dyDescent="0.35">
      <c r="A191" s="5">
        <f>SartoriRoson!K16</f>
        <v>-4.8099999999999996</v>
      </c>
      <c r="B191" s="8">
        <f>SartoriRoson!U16</f>
        <v>24589.277238754839</v>
      </c>
      <c r="C191" s="8">
        <f>SartoriRoson!V16</f>
        <v>26.9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f t="shared" si="3"/>
        <v>8.4033613445378148E-3</v>
      </c>
    </row>
    <row r="192" spans="1:23" x14ac:dyDescent="0.35">
      <c r="A192" s="5">
        <f>SartoriRoson!K17</f>
        <v>0.76</v>
      </c>
      <c r="B192" s="8">
        <f>SartoriRoson!U17</f>
        <v>4378.8790878779682</v>
      </c>
      <c r="C192" s="8">
        <f>SartoriRoson!V17</f>
        <v>10.5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f t="shared" si="3"/>
        <v>8.4033613445378148E-3</v>
      </c>
    </row>
    <row r="193" spans="1:23" x14ac:dyDescent="0.35">
      <c r="A193" s="5">
        <f>SartoriRoson!K18</f>
        <v>-11.87</v>
      </c>
      <c r="B193" s="8">
        <f>SartoriRoson!U18</f>
        <v>457.22881322240346</v>
      </c>
      <c r="C193" s="8">
        <f>SartoriRoson!V18</f>
        <v>28.2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f t="shared" si="3"/>
        <v>8.4033613445378148E-3</v>
      </c>
    </row>
    <row r="194" spans="1:23" x14ac:dyDescent="0.35">
      <c r="A194" s="5">
        <f>SartoriRoson!K19</f>
        <v>-18.25</v>
      </c>
      <c r="B194" s="8">
        <f>SartoriRoson!U19</f>
        <v>605.16804679176505</v>
      </c>
      <c r="C194" s="8">
        <f>SartoriRoson!V19</f>
        <v>26.8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f t="shared" si="3"/>
        <v>8.4033613445378148E-3</v>
      </c>
    </row>
    <row r="195" spans="1:23" x14ac:dyDescent="0.35">
      <c r="A195" s="5">
        <f>SartoriRoson!K20</f>
        <v>-8.1300000000000008</v>
      </c>
      <c r="B195" s="8">
        <f>SartoriRoson!U20</f>
        <v>931.41534703166633</v>
      </c>
      <c r="C195" s="8">
        <f>SartoriRoson!V20</f>
        <v>24.6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f t="shared" si="3"/>
        <v>8.4033613445378148E-3</v>
      </c>
    </row>
    <row r="196" spans="1:23" x14ac:dyDescent="0.35">
      <c r="A196" s="5">
        <f>SartoriRoson!K21</f>
        <v>1.27</v>
      </c>
      <c r="B196" s="8">
        <f>SartoriRoson!U21</f>
        <v>36337.22567382102</v>
      </c>
      <c r="C196" s="8">
        <f>SartoriRoson!V21</f>
        <v>-5.4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f t="shared" ref="W196:W259" si="4">SUMPRODUCT(D196:V196,D$1:V$1)</f>
        <v>8.4033613445378148E-3</v>
      </c>
    </row>
    <row r="197" spans="1:23" x14ac:dyDescent="0.35">
      <c r="A197" s="5">
        <f>SartoriRoson!K22</f>
        <v>-0.26</v>
      </c>
      <c r="B197" s="8">
        <f>SartoriRoson!U22</f>
        <v>8610.0220425441075</v>
      </c>
      <c r="C197" s="8">
        <f>SartoriRoson!V22</f>
        <v>8.5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f t="shared" si="4"/>
        <v>8.4033613445378148E-3</v>
      </c>
    </row>
    <row r="198" spans="1:23" x14ac:dyDescent="0.35">
      <c r="A198" s="5">
        <f>SartoriRoson!K23</f>
        <v>-1.07</v>
      </c>
      <c r="B198" s="8">
        <f>SartoriRoson!U23</f>
        <v>2870.0529334764196</v>
      </c>
      <c r="C198" s="8">
        <f>SartoriRoson!V23</f>
        <v>6.9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f t="shared" si="4"/>
        <v>8.4033613445378148E-3</v>
      </c>
    </row>
    <row r="199" spans="1:23" x14ac:dyDescent="0.35">
      <c r="A199" s="5">
        <f>SartoriRoson!K24</f>
        <v>-2.52</v>
      </c>
      <c r="B199" s="8">
        <f>SartoriRoson!U24</f>
        <v>3937.8672013546661</v>
      </c>
      <c r="C199" s="8">
        <f>SartoriRoson!V24</f>
        <v>24.5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f t="shared" si="4"/>
        <v>8.4033613445378148E-3</v>
      </c>
    </row>
    <row r="200" spans="1:23" x14ac:dyDescent="0.35">
      <c r="A200" s="5">
        <f>SartoriRoson!K25</f>
        <v>-6.19</v>
      </c>
      <c r="B200" s="8">
        <f>SartoriRoson!U25</f>
        <v>5357.4903708933716</v>
      </c>
      <c r="C200" s="8">
        <f>SartoriRoson!V25</f>
        <v>24.8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f t="shared" si="4"/>
        <v>8.4033613445378148E-3</v>
      </c>
    </row>
    <row r="201" spans="1:23" x14ac:dyDescent="0.35">
      <c r="A201" s="5">
        <f>SartoriRoson!K26</f>
        <v>-13.03</v>
      </c>
      <c r="B201" s="8">
        <f>SartoriRoson!U26</f>
        <v>957.65895361709386</v>
      </c>
      <c r="C201" s="8">
        <f>SartoriRoson!V26</f>
        <v>26.3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f t="shared" si="4"/>
        <v>8.4033613445378148E-3</v>
      </c>
    </row>
    <row r="202" spans="1:23" x14ac:dyDescent="0.35">
      <c r="A202" s="5">
        <f>SartoriRoson!K27</f>
        <v>-0.65</v>
      </c>
      <c r="B202" s="8">
        <f>SartoriRoson!U27</f>
        <v>10383.506161918598</v>
      </c>
      <c r="C202" s="8">
        <f>SartoriRoson!V27</f>
        <v>10.9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f t="shared" si="4"/>
        <v>8.4033613445378148E-3</v>
      </c>
    </row>
    <row r="203" spans="1:23" x14ac:dyDescent="0.35">
      <c r="A203" s="5">
        <f>SartoriRoson!K28</f>
        <v>-4.6100000000000003</v>
      </c>
      <c r="B203" s="8">
        <f>SartoriRoson!U28</f>
        <v>17402.698674388368</v>
      </c>
      <c r="C203" s="8">
        <f>SartoriRoson!V28</f>
        <v>18.399999999999999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f t="shared" si="4"/>
        <v>8.4033613445378148E-3</v>
      </c>
    </row>
    <row r="204" spans="1:23" x14ac:dyDescent="0.35">
      <c r="A204" s="5">
        <f>SartoriRoson!K29</f>
        <v>1.44</v>
      </c>
      <c r="B204" s="8">
        <f>SartoriRoson!U29</f>
        <v>14114.421997373165</v>
      </c>
      <c r="C204" s="8">
        <f>SartoriRoson!V29</f>
        <v>7.5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f t="shared" si="4"/>
        <v>8.4033613445378148E-3</v>
      </c>
    </row>
    <row r="205" spans="1:23" x14ac:dyDescent="0.35">
      <c r="A205" s="5">
        <f>SartoriRoson!K30</f>
        <v>1.82</v>
      </c>
      <c r="B205" s="8">
        <f>SartoriRoson!U30</f>
        <v>46292.736560813282</v>
      </c>
      <c r="C205" s="8">
        <f>SartoriRoson!V30</f>
        <v>7.5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f t="shared" si="4"/>
        <v>8.4033613445378148E-3</v>
      </c>
    </row>
    <row r="206" spans="1:23" x14ac:dyDescent="0.35">
      <c r="A206" s="5">
        <f>SartoriRoson!K31</f>
        <v>-6.86</v>
      </c>
      <c r="B206" s="8">
        <f>SartoriRoson!U31</f>
        <v>4776.8421015330105</v>
      </c>
      <c r="C206" s="8">
        <f>SartoriRoson!V31</f>
        <v>24.5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f t="shared" si="4"/>
        <v>8.4033613445378148E-3</v>
      </c>
    </row>
    <row r="207" spans="1:23" x14ac:dyDescent="0.35">
      <c r="A207" s="5">
        <f>SartoriRoson!K32</f>
        <v>-1.93</v>
      </c>
      <c r="B207" s="8">
        <f>SartoriRoson!U32</f>
        <v>3250.7458870185928</v>
      </c>
      <c r="C207" s="8">
        <f>SartoriRoson!V32</f>
        <v>21.8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f t="shared" si="4"/>
        <v>8.4033613445378148E-3</v>
      </c>
    </row>
    <row r="208" spans="1:23" x14ac:dyDescent="0.35">
      <c r="A208" s="5">
        <f>SartoriRoson!K33</f>
        <v>-3.84</v>
      </c>
      <c r="B208" s="8">
        <f>SartoriRoson!U33</f>
        <v>1550.2405578416574</v>
      </c>
      <c r="C208" s="8">
        <f>SartoriRoson!V33</f>
        <v>22.1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f t="shared" si="4"/>
        <v>8.4033613445378148E-3</v>
      </c>
    </row>
    <row r="209" spans="1:23" x14ac:dyDescent="0.35">
      <c r="A209" s="5">
        <f>SartoriRoson!K34</f>
        <v>-4.55</v>
      </c>
      <c r="B209" s="8">
        <f>SartoriRoson!U34</f>
        <v>2949.613728722712</v>
      </c>
      <c r="C209" s="8">
        <f>SartoriRoson!V34</f>
        <v>24.4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f t="shared" si="4"/>
        <v>8.4033613445378148E-3</v>
      </c>
    </row>
    <row r="210" spans="1:23" x14ac:dyDescent="0.35">
      <c r="A210" s="5">
        <f>SartoriRoson!K35</f>
        <v>2.19</v>
      </c>
      <c r="B210" s="8">
        <f>SartoriRoson!U35</f>
        <v>10369.839494653985</v>
      </c>
      <c r="C210" s="8">
        <f>SartoriRoson!V35</f>
        <v>5.0999999999999996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f t="shared" si="4"/>
        <v>8.4033613445378148E-3</v>
      </c>
    </row>
    <row r="211" spans="1:23" x14ac:dyDescent="0.35">
      <c r="A211" s="5">
        <f>SartoriRoson!K36</f>
        <v>-5.82</v>
      </c>
      <c r="B211" s="8">
        <f>SartoriRoson!U36</f>
        <v>234.25889686975188</v>
      </c>
      <c r="C211" s="8">
        <f>SartoriRoson!V36</f>
        <v>22.2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f t="shared" si="4"/>
        <v>8.4033613445378148E-3</v>
      </c>
    </row>
    <row r="212" spans="1:23" x14ac:dyDescent="0.35">
      <c r="A212" s="5">
        <f>SartoriRoson!K37</f>
        <v>1.48</v>
      </c>
      <c r="B212" s="8">
        <f>SartoriRoson!U37</f>
        <v>38064.653322818347</v>
      </c>
      <c r="C212" s="8">
        <f>SartoriRoson!V37</f>
        <v>1.7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f t="shared" si="4"/>
        <v>8.4033613445378148E-3</v>
      </c>
    </row>
    <row r="213" spans="1:23" x14ac:dyDescent="0.35">
      <c r="A213" s="5">
        <f>SartoriRoson!K38</f>
        <v>0.3</v>
      </c>
      <c r="B213" s="8">
        <f>SartoriRoson!U38</f>
        <v>33898.26965325878</v>
      </c>
      <c r="C213" s="8">
        <f>SartoriRoson!V38</f>
        <v>10.7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f t="shared" si="4"/>
        <v>8.4033613445378148E-3</v>
      </c>
    </row>
    <row r="214" spans="1:23" x14ac:dyDescent="0.35">
      <c r="A214" s="5">
        <f>SartoriRoson!K39</f>
        <v>-1.92</v>
      </c>
      <c r="B214" s="8">
        <f>SartoriRoson!U39</f>
        <v>1850.8208503929698</v>
      </c>
      <c r="C214" s="8">
        <f>SartoriRoson!V39</f>
        <v>5.8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f t="shared" si="4"/>
        <v>8.4033613445378148E-3</v>
      </c>
    </row>
    <row r="215" spans="1:23" x14ac:dyDescent="0.35">
      <c r="A215" s="5">
        <f>SartoriRoson!K40</f>
        <v>0.75</v>
      </c>
      <c r="B215" s="8">
        <f>SartoriRoson!U40</f>
        <v>36127.047700224583</v>
      </c>
      <c r="C215" s="8">
        <f>SartoriRoson!V40</f>
        <v>8.4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f t="shared" si="4"/>
        <v>8.4033613445378148E-3</v>
      </c>
    </row>
    <row r="216" spans="1:23" x14ac:dyDescent="0.35">
      <c r="A216" s="5">
        <f>SartoriRoson!K41</f>
        <v>-13.19</v>
      </c>
      <c r="B216" s="8">
        <f>SartoriRoson!U41</f>
        <v>610.18365679635724</v>
      </c>
      <c r="C216" s="8">
        <f>SartoriRoson!V41</f>
        <v>27.2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f t="shared" si="4"/>
        <v>8.4033613445378148E-3</v>
      </c>
    </row>
    <row r="217" spans="1:23" x14ac:dyDescent="0.35">
      <c r="A217" s="5">
        <f>SartoriRoson!K42</f>
        <v>-1.35</v>
      </c>
      <c r="B217" s="8">
        <f>SartoriRoson!U42</f>
        <v>21308.962091753539</v>
      </c>
      <c r="C217" s="8">
        <f>SartoriRoson!V42</f>
        <v>15.4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f t="shared" si="4"/>
        <v>8.4033613445378148E-3</v>
      </c>
    </row>
    <row r="218" spans="1:23" x14ac:dyDescent="0.35">
      <c r="A218" s="5">
        <f>SartoriRoson!K43</f>
        <v>-3.57</v>
      </c>
      <c r="B218" s="8">
        <f>SartoriRoson!U43</f>
        <v>2270.0961392922113</v>
      </c>
      <c r="C218" s="8">
        <f>SartoriRoson!V43</f>
        <v>23.4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f t="shared" si="4"/>
        <v>8.4033613445378148E-3</v>
      </c>
    </row>
    <row r="219" spans="1:23" x14ac:dyDescent="0.35">
      <c r="A219" s="5">
        <f>SartoriRoson!K44</f>
        <v>-10.16</v>
      </c>
      <c r="B219" s="8">
        <f>SartoriRoson!U44</f>
        <v>300.44127805988973</v>
      </c>
      <c r="C219" s="8">
        <f>SartoriRoson!V44</f>
        <v>25.7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f t="shared" si="4"/>
        <v>8.4033613445378148E-3</v>
      </c>
    </row>
    <row r="220" spans="1:23" x14ac:dyDescent="0.35">
      <c r="A220" s="5">
        <f>SartoriRoson!K45</f>
        <v>-9.16</v>
      </c>
      <c r="B220" s="8">
        <f>SartoriRoson!U45</f>
        <v>1514.9920435883439</v>
      </c>
      <c r="C220" s="8">
        <f>SartoriRoson!V45</f>
        <v>23.5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f t="shared" si="4"/>
        <v>8.4033613445378148E-3</v>
      </c>
    </row>
    <row r="221" spans="1:23" x14ac:dyDescent="0.35">
      <c r="A221" s="5">
        <f>SartoriRoson!K46</f>
        <v>-7.67</v>
      </c>
      <c r="B221" s="8">
        <f>SartoriRoson!U46</f>
        <v>31328.585208738998</v>
      </c>
      <c r="C221" s="8">
        <f>SartoriRoson!V46</f>
        <v>22.7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f t="shared" si="4"/>
        <v>8.4033613445378148E-3</v>
      </c>
    </row>
    <row r="222" spans="1:23" x14ac:dyDescent="0.35">
      <c r="A222" s="5">
        <f>SartoriRoson!K47</f>
        <v>0.93</v>
      </c>
      <c r="B222" s="8">
        <f>SartoriRoson!U47</f>
        <v>10926.468951505391</v>
      </c>
      <c r="C222" s="8">
        <f>SartoriRoson!V47</f>
        <v>9.8000000000000007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f t="shared" si="4"/>
        <v>8.4033613445378148E-3</v>
      </c>
    </row>
    <row r="223" spans="1:23" x14ac:dyDescent="0.35">
      <c r="A223" s="5">
        <f>SartoriRoson!K48</f>
        <v>-6.24</v>
      </c>
      <c r="B223" s="8">
        <f>SartoriRoson!U48</f>
        <v>1031.5611094455749</v>
      </c>
      <c r="C223" s="8">
        <f>SartoriRoson!V48</f>
        <v>23.7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f t="shared" si="4"/>
        <v>8.4033613445378148E-3</v>
      </c>
    </row>
    <row r="224" spans="1:23" x14ac:dyDescent="0.35">
      <c r="A224" s="5">
        <f>SartoriRoson!K49</f>
        <v>-6.8</v>
      </c>
      <c r="B224" s="8">
        <f>SartoriRoson!U49</f>
        <v>1570.1529365014842</v>
      </c>
      <c r="C224" s="8">
        <f>SartoriRoson!V49</f>
        <v>25.8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f t="shared" si="4"/>
        <v>8.4033613445378148E-3</v>
      </c>
    </row>
    <row r="225" spans="1:23" x14ac:dyDescent="0.35">
      <c r="A225" s="5">
        <f>SartoriRoson!K50</f>
        <v>-0.82</v>
      </c>
      <c r="B225" s="8">
        <f>SartoriRoson!U50</f>
        <v>3259.3987232145187</v>
      </c>
      <c r="C225" s="8">
        <f>SartoriRoson!V50</f>
        <v>17.2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f t="shared" si="4"/>
        <v>8.4033613445378148E-3</v>
      </c>
    </row>
    <row r="226" spans="1:23" x14ac:dyDescent="0.35">
      <c r="A226" s="5">
        <f>SartoriRoson!K51</f>
        <v>0.69</v>
      </c>
      <c r="B226" s="8">
        <f>SartoriRoson!U51</f>
        <v>45438.261855700264</v>
      </c>
      <c r="C226" s="8">
        <f>SartoriRoson!V51</f>
        <v>9.3000000000000007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f t="shared" si="4"/>
        <v>8.4033613445378148E-3</v>
      </c>
    </row>
    <row r="227" spans="1:23" x14ac:dyDescent="0.35">
      <c r="A227" s="5">
        <f>SartoriRoson!K52</f>
        <v>-2.2200000000000002</v>
      </c>
      <c r="B227" s="8">
        <f>SartoriRoson!U52</f>
        <v>22169.403538765182</v>
      </c>
      <c r="C227" s="8">
        <f>SartoriRoson!V52</f>
        <v>19.2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f t="shared" si="4"/>
        <v>8.4033613445378148E-3</v>
      </c>
    </row>
    <row r="228" spans="1:23" x14ac:dyDescent="0.35">
      <c r="A228" s="5">
        <f>SartoriRoson!K53</f>
        <v>-0.18</v>
      </c>
      <c r="B228" s="8">
        <f>SartoriRoson!U53</f>
        <v>29163.146051932734</v>
      </c>
      <c r="C228" s="8">
        <f>SartoriRoson!V53</f>
        <v>13.4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f t="shared" si="4"/>
        <v>8.4033613445378148E-3</v>
      </c>
    </row>
    <row r="229" spans="1:23" x14ac:dyDescent="0.35">
      <c r="A229" s="5">
        <f>SartoriRoson!K54</f>
        <v>-11.38</v>
      </c>
      <c r="B229" s="8">
        <f>SartoriRoson!U54</f>
        <v>4329.9743592711902</v>
      </c>
      <c r="C229" s="8">
        <f>SartoriRoson!V54</f>
        <v>27.2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f t="shared" si="4"/>
        <v>8.4033613445378148E-3</v>
      </c>
    </row>
    <row r="230" spans="1:23" x14ac:dyDescent="0.35">
      <c r="A230" s="5">
        <f>SartoriRoson!K55</f>
        <v>-0.39</v>
      </c>
      <c r="B230" s="8">
        <f>SartoriRoson!U55</f>
        <v>36472.749157637452</v>
      </c>
      <c r="C230" s="8">
        <f>SartoriRoson!V55</f>
        <v>11.1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f t="shared" si="4"/>
        <v>8.4033613445378148E-3</v>
      </c>
    </row>
    <row r="231" spans="1:23" x14ac:dyDescent="0.35">
      <c r="A231" s="5">
        <f>SartoriRoson!K56</f>
        <v>-5.09</v>
      </c>
      <c r="B231" s="8">
        <f>SartoriRoson!U56</f>
        <v>2817.4886330764352</v>
      </c>
      <c r="C231" s="8">
        <f>SartoriRoson!V56</f>
        <v>18.3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f t="shared" si="4"/>
        <v>8.4033613445378148E-3</v>
      </c>
    </row>
    <row r="232" spans="1:23" x14ac:dyDescent="0.35">
      <c r="A232" s="5">
        <f>SartoriRoson!K57</f>
        <v>0.31</v>
      </c>
      <c r="B232" s="8">
        <f>SartoriRoson!U57</f>
        <v>4732.2159481266071</v>
      </c>
      <c r="C232" s="8">
        <f>SartoriRoson!V57</f>
        <v>6.4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f t="shared" si="4"/>
        <v>8.4033613445378148E-3</v>
      </c>
    </row>
    <row r="233" spans="1:23" x14ac:dyDescent="0.35">
      <c r="A233" s="5">
        <f>SartoriRoson!K58</f>
        <v>-5.62</v>
      </c>
      <c r="B233" s="8">
        <f>SartoriRoson!U58</f>
        <v>575.06029636736923</v>
      </c>
      <c r="C233" s="8">
        <f>SartoriRoson!V58</f>
        <v>24.7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f t="shared" si="4"/>
        <v>8.4033613445378148E-3</v>
      </c>
    </row>
    <row r="234" spans="1:23" x14ac:dyDescent="0.35">
      <c r="A234" s="5">
        <f>SartoriRoson!K59</f>
        <v>-2.5</v>
      </c>
      <c r="B234" s="8">
        <f>SartoriRoson!U59</f>
        <v>28615.94754819524</v>
      </c>
      <c r="C234" s="8">
        <f>SartoriRoson!V59</f>
        <v>25.3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f t="shared" si="4"/>
        <v>8.4033613445378148E-3</v>
      </c>
    </row>
    <row r="235" spans="1:23" x14ac:dyDescent="0.35">
      <c r="A235" s="5">
        <f>SartoriRoson!K60</f>
        <v>-1.05</v>
      </c>
      <c r="B235" s="8">
        <f>SartoriRoson!U60</f>
        <v>560.91462241153135</v>
      </c>
      <c r="C235" s="8">
        <f>SartoriRoson!V60</f>
        <v>1.6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f t="shared" si="4"/>
        <v>8.4033613445378148E-3</v>
      </c>
    </row>
    <row r="236" spans="1:23" x14ac:dyDescent="0.35">
      <c r="A236" s="5">
        <f>SartoriRoson!K61</f>
        <v>-13.57</v>
      </c>
      <c r="B236" s="8">
        <f>SartoriRoson!U61</f>
        <v>628.83134867195929</v>
      </c>
      <c r="C236" s="8">
        <f>SartoriRoson!V61</f>
        <v>22.7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f t="shared" si="4"/>
        <v>8.4033613445378148E-3</v>
      </c>
    </row>
    <row r="237" spans="1:23" x14ac:dyDescent="0.35">
      <c r="A237" s="5">
        <f>SartoriRoson!K62</f>
        <v>0.97</v>
      </c>
      <c r="B237" s="8">
        <f>SartoriRoson!U62</f>
        <v>6923.8888741529627</v>
      </c>
      <c r="C237" s="8">
        <f>SartoriRoson!V62</f>
        <v>5.6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f t="shared" si="4"/>
        <v>8.4033613445378148E-3</v>
      </c>
    </row>
    <row r="238" spans="1:23" x14ac:dyDescent="0.35">
      <c r="A238" s="5">
        <f>SartoriRoson!K63</f>
        <v>1.1000000000000001</v>
      </c>
      <c r="B238" s="8">
        <f>SartoriRoson!U63</f>
        <v>8320.1703793334709</v>
      </c>
      <c r="C238" s="8">
        <f>SartoriRoson!V63</f>
        <v>6.2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f t="shared" si="4"/>
        <v>8.4033613445378148E-3</v>
      </c>
    </row>
    <row r="239" spans="1:23" x14ac:dyDescent="0.35">
      <c r="A239" s="5">
        <f>SartoriRoson!K64</f>
        <v>2.84</v>
      </c>
      <c r="B239" s="8">
        <f>SartoriRoson!U64</f>
        <v>80276.011290059658</v>
      </c>
      <c r="C239" s="8">
        <f>SartoriRoson!V64</f>
        <v>8.6999999999999993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f t="shared" si="4"/>
        <v>8.4033613445378148E-3</v>
      </c>
    </row>
    <row r="240" spans="1:23" x14ac:dyDescent="0.35">
      <c r="A240" s="5">
        <f>SartoriRoson!K65</f>
        <v>-10</v>
      </c>
      <c r="B240" s="8">
        <f>SartoriRoson!U65</f>
        <v>273.22480306218836</v>
      </c>
      <c r="C240" s="8">
        <f>SartoriRoson!V65</f>
        <v>22.6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f t="shared" si="4"/>
        <v>8.4033613445378148E-3</v>
      </c>
    </row>
    <row r="241" spans="1:23" x14ac:dyDescent="0.35">
      <c r="A241" s="5">
        <f>SartoriRoson!K66</f>
        <v>-9.76</v>
      </c>
      <c r="B241" s="8">
        <f>SartoriRoson!U66</f>
        <v>219.15076343135976</v>
      </c>
      <c r="C241" s="8">
        <f>SartoriRoson!V66</f>
        <v>21.9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f t="shared" si="4"/>
        <v>8.4033613445378148E-3</v>
      </c>
    </row>
    <row r="242" spans="1:23" x14ac:dyDescent="0.35">
      <c r="A242" s="5">
        <f>SartoriRoson!K67</f>
        <v>-10.210000000000001</v>
      </c>
      <c r="B242" s="8">
        <f>SartoriRoson!U67</f>
        <v>6318.9012128220729</v>
      </c>
      <c r="C242" s="8">
        <f>SartoriRoson!V67</f>
        <v>25.4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f t="shared" si="4"/>
        <v>8.4033613445378148E-3</v>
      </c>
    </row>
    <row r="243" spans="1:23" x14ac:dyDescent="0.35">
      <c r="A243" s="5">
        <f>SartoriRoson!K68</f>
        <v>-6.55</v>
      </c>
      <c r="B243" s="8">
        <f>SartoriRoson!U68</f>
        <v>15992.434998447094</v>
      </c>
      <c r="C243" s="8">
        <f>SartoriRoson!V68</f>
        <v>19.2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f t="shared" si="4"/>
        <v>8.4033613445378148E-3</v>
      </c>
    </row>
    <row r="244" spans="1:23" x14ac:dyDescent="0.35">
      <c r="A244" s="5">
        <f>SartoriRoson!K69</f>
        <v>-12.14</v>
      </c>
      <c r="B244" s="8">
        <f>SartoriRoson!U69</f>
        <v>6109.775155938677</v>
      </c>
      <c r="C244" s="8">
        <f>SartoriRoson!V69</f>
        <v>22.4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f t="shared" si="4"/>
        <v>8.4033613445378148E-3</v>
      </c>
    </row>
    <row r="245" spans="1:23" x14ac:dyDescent="0.35">
      <c r="A245" s="5">
        <f>SartoriRoson!K70</f>
        <v>-1.1499999999999999</v>
      </c>
      <c r="B245" s="8">
        <f>SartoriRoson!U70</f>
        <v>8084.6290001796442</v>
      </c>
      <c r="C245" s="8">
        <f>SartoriRoson!V70</f>
        <v>21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f t="shared" si="4"/>
        <v>8.4033613445378148E-3</v>
      </c>
    </row>
    <row r="246" spans="1:23" x14ac:dyDescent="0.35">
      <c r="A246" s="5">
        <f>SartoriRoson!K71</f>
        <v>1.06</v>
      </c>
      <c r="B246" s="8">
        <f>SartoriRoson!U71</f>
        <v>1273.1540641800757</v>
      </c>
      <c r="C246" s="8">
        <f>SartoriRoson!V71</f>
        <v>-0.7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f t="shared" si="4"/>
        <v>8.4033613445378148E-3</v>
      </c>
    </row>
    <row r="247" spans="1:23" x14ac:dyDescent="0.35">
      <c r="A247" s="5">
        <f>SartoriRoson!K72</f>
        <v>-3.72</v>
      </c>
      <c r="B247" s="8">
        <f>SartoriRoson!U72</f>
        <v>2386.7846716762692</v>
      </c>
      <c r="C247" s="8">
        <f>SartoriRoson!V72</f>
        <v>17.100000000000001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4"/>
        <v>8.4033613445378148E-3</v>
      </c>
    </row>
    <row r="248" spans="1:23" x14ac:dyDescent="0.35">
      <c r="A248" s="5">
        <f>SartoriRoson!K73</f>
        <v>-7.88</v>
      </c>
      <c r="B248" s="8">
        <f>SartoriRoson!U73</f>
        <v>380.84424396822391</v>
      </c>
      <c r="C248" s="8">
        <f>SartoriRoson!V73</f>
        <v>23.8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f t="shared" si="4"/>
        <v>8.4033613445378148E-3</v>
      </c>
    </row>
    <row r="249" spans="1:23" x14ac:dyDescent="0.35">
      <c r="A249" s="5">
        <f>SartoriRoson!K74</f>
        <v>-5.08</v>
      </c>
      <c r="B249" s="8">
        <f>SartoriRoson!U74</f>
        <v>4101.3694407822486</v>
      </c>
      <c r="C249" s="8">
        <f>SartoriRoson!V74</f>
        <v>19.899999999999999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f t="shared" si="4"/>
        <v>8.4033613445378148E-3</v>
      </c>
    </row>
    <row r="250" spans="1:23" x14ac:dyDescent="0.35">
      <c r="A250" s="5">
        <f>SartoriRoson!K75</f>
        <v>-3.97</v>
      </c>
      <c r="B250" s="8">
        <f>SartoriRoson!U75</f>
        <v>376.34220962776232</v>
      </c>
      <c r="C250" s="8">
        <f>SartoriRoson!V75</f>
        <v>8.1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 t="shared" si="4"/>
        <v>8.4033613445378148E-3</v>
      </c>
    </row>
    <row r="251" spans="1:23" x14ac:dyDescent="0.35">
      <c r="A251" s="5">
        <f>SartoriRoson!K76</f>
        <v>0.72</v>
      </c>
      <c r="B251" s="8">
        <f>SartoriRoson!U76</f>
        <v>41110.27840287541</v>
      </c>
      <c r="C251" s="8">
        <f>SartoriRoson!V76</f>
        <v>9.1999999999999993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4"/>
        <v>8.4033613445378148E-3</v>
      </c>
    </row>
    <row r="252" spans="1:23" x14ac:dyDescent="0.35">
      <c r="A252" s="5">
        <f>SartoriRoson!K77</f>
        <v>-0.12</v>
      </c>
      <c r="B252" s="8">
        <f>SartoriRoson!U77</f>
        <v>27483.511003152802</v>
      </c>
      <c r="C252" s="8">
        <f>SartoriRoson!V77</f>
        <v>10.5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f t="shared" si="4"/>
        <v>8.4033613445378148E-3</v>
      </c>
    </row>
    <row r="253" spans="1:23" x14ac:dyDescent="0.35">
      <c r="A253" s="5">
        <f>SartoriRoson!K78</f>
        <v>-12.13</v>
      </c>
      <c r="B253" s="8">
        <f>SartoriRoson!U78</f>
        <v>1230.3353843860234</v>
      </c>
      <c r="C253" s="8">
        <f>SartoriRoson!V78</f>
        <v>24.8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f t="shared" si="4"/>
        <v>8.4033613445378148E-3</v>
      </c>
    </row>
    <row r="254" spans="1:23" x14ac:dyDescent="0.35">
      <c r="A254" s="5">
        <f>SartoriRoson!K79</f>
        <v>-13.93</v>
      </c>
      <c r="B254" s="8">
        <f>SartoriRoson!U79</f>
        <v>995.6802013953959</v>
      </c>
      <c r="C254" s="8">
        <f>SartoriRoson!V79</f>
        <v>26.8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f t="shared" si="4"/>
        <v>8.4033613445378148E-3</v>
      </c>
    </row>
    <row r="255" spans="1:23" x14ac:dyDescent="0.35">
      <c r="A255" s="5">
        <f>SartoriRoson!K80</f>
        <v>1.47</v>
      </c>
      <c r="B255" s="8">
        <f>SartoriRoson!U80</f>
        <v>64589.974659965468</v>
      </c>
      <c r="C255" s="8">
        <f>SartoriRoson!V80</f>
        <v>1.5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f t="shared" si="4"/>
        <v>8.4033613445378148E-3</v>
      </c>
    </row>
    <row r="256" spans="1:23" x14ac:dyDescent="0.35">
      <c r="A256" s="5">
        <f>SartoriRoson!K81</f>
        <v>-2.63</v>
      </c>
      <c r="B256" s="8">
        <f>SartoriRoson!U81</f>
        <v>14962.028989271066</v>
      </c>
      <c r="C256" s="8">
        <f>SartoriRoson!V81</f>
        <v>25.6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 t="shared" si="4"/>
        <v>8.4033613445378148E-3</v>
      </c>
    </row>
    <row r="257" spans="1:23" x14ac:dyDescent="0.35">
      <c r="A257" s="5">
        <f>SartoriRoson!K82</f>
        <v>-3.31</v>
      </c>
      <c r="B257" s="8">
        <f>SartoriRoson!U82</f>
        <v>748.01048783794772</v>
      </c>
      <c r="C257" s="8">
        <f>SartoriRoson!V82</f>
        <v>20.2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f t="shared" si="4"/>
        <v>8.4033613445378148E-3</v>
      </c>
    </row>
    <row r="258" spans="1:23" x14ac:dyDescent="0.35">
      <c r="A258" s="5">
        <f>SartoriRoson!K83</f>
        <v>-8.57</v>
      </c>
      <c r="B258" s="8">
        <f>SartoriRoson!U83</f>
        <v>6145.3352543359524</v>
      </c>
      <c r="C258" s="8">
        <f>SartoriRoson!V83</f>
        <v>25.4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f t="shared" si="4"/>
        <v>8.4033613445378148E-3</v>
      </c>
    </row>
    <row r="259" spans="1:23" x14ac:dyDescent="0.35">
      <c r="A259" s="5">
        <f>SartoriRoson!K84</f>
        <v>-5.76</v>
      </c>
      <c r="B259" s="8">
        <f>SartoriRoson!U84</f>
        <v>1725.7948003065951</v>
      </c>
      <c r="C259" s="8">
        <f>SartoriRoson!V84</f>
        <v>23.5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f t="shared" si="4"/>
        <v>8.4033613445378148E-3</v>
      </c>
    </row>
    <row r="260" spans="1:23" x14ac:dyDescent="0.35">
      <c r="A260" s="5">
        <f>SartoriRoson!K85</f>
        <v>-1.91</v>
      </c>
      <c r="B260" s="8">
        <f>SartoriRoson!U85</f>
        <v>3536.4885396339923</v>
      </c>
      <c r="C260" s="8">
        <f>SartoriRoson!V85</f>
        <v>19.600000000000001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f t="shared" ref="W260:W323" si="5">SUMPRODUCT(D260:V260,D$1:V$1)</f>
        <v>8.4033613445378148E-3</v>
      </c>
    </row>
    <row r="261" spans="1:23" x14ac:dyDescent="0.35">
      <c r="A261" s="5">
        <f>SartoriRoson!K86</f>
        <v>-7.42</v>
      </c>
      <c r="B261" s="8">
        <f>SartoriRoson!U86</f>
        <v>1403.3063361554944</v>
      </c>
      <c r="C261" s="8">
        <f>SartoriRoson!V86</f>
        <v>25.8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 t="shared" si="5"/>
        <v>8.4033613445378148E-3</v>
      </c>
    </row>
    <row r="262" spans="1:23" x14ac:dyDescent="0.35">
      <c r="A262" s="5">
        <f>SartoriRoson!K87</f>
        <v>0.96</v>
      </c>
      <c r="B262" s="8">
        <f>SartoriRoson!U87</f>
        <v>10035.850591834826</v>
      </c>
      <c r="C262" s="8">
        <f>SartoriRoson!V87</f>
        <v>7.8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f t="shared" si="5"/>
        <v>8.4033613445378148E-3</v>
      </c>
    </row>
    <row r="263" spans="1:23" x14ac:dyDescent="0.35">
      <c r="A263" s="5">
        <f>SartoriRoson!K88</f>
        <v>-0.93</v>
      </c>
      <c r="B263" s="8">
        <f>SartoriRoson!U88</f>
        <v>18535.131234142536</v>
      </c>
      <c r="C263" s="8">
        <f>SartoriRoson!V88</f>
        <v>15.1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f t="shared" si="5"/>
        <v>8.4033613445378148E-3</v>
      </c>
    </row>
    <row r="264" spans="1:23" x14ac:dyDescent="0.35">
      <c r="A264" s="5">
        <f>SartoriRoson!K89</f>
        <v>-2.74</v>
      </c>
      <c r="B264" s="8">
        <f>SartoriRoson!U89</f>
        <v>20782.83569150712</v>
      </c>
      <c r="C264" s="8">
        <f>SartoriRoson!V89</f>
        <v>25.2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f t="shared" si="5"/>
        <v>8.4033613445378148E-3</v>
      </c>
    </row>
    <row r="265" spans="1:23" x14ac:dyDescent="0.35">
      <c r="A265" s="5">
        <f>SartoriRoson!K90</f>
        <v>-2.5299999999999998</v>
      </c>
      <c r="B265" s="8">
        <f>SartoriRoson!U90</f>
        <v>58256.966788513462</v>
      </c>
      <c r="C265" s="8">
        <f>SartoriRoson!V90</f>
        <v>27.2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f t="shared" si="5"/>
        <v>8.4033613445378148E-3</v>
      </c>
    </row>
    <row r="266" spans="1:23" x14ac:dyDescent="0.35">
      <c r="A266" s="5">
        <f>SartoriRoson!K91</f>
        <v>0.27</v>
      </c>
      <c r="B266" s="8">
        <f>SartoriRoson!U91</f>
        <v>5321.8101990424975</v>
      </c>
      <c r="C266" s="8">
        <f>SartoriRoson!V91</f>
        <v>8.8000000000000007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f t="shared" si="5"/>
        <v>8.4033613445378148E-3</v>
      </c>
    </row>
    <row r="267" spans="1:23" x14ac:dyDescent="0.35">
      <c r="A267" s="5">
        <f>SartoriRoson!K92</f>
        <v>1.39</v>
      </c>
      <c r="B267" s="8">
        <f>SartoriRoson!U92</f>
        <v>6385.6173068952321</v>
      </c>
      <c r="C267" s="8">
        <f>SartoriRoson!V92</f>
        <v>-5.0999999999999996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5"/>
        <v>8.4033613445378148E-3</v>
      </c>
    </row>
    <row r="268" spans="1:23" x14ac:dyDescent="0.35">
      <c r="A268" s="5">
        <f>SartoriRoson!K93</f>
        <v>-9.67</v>
      </c>
      <c r="B268" s="8">
        <f>SartoriRoson!U93</f>
        <v>349.34486347036096</v>
      </c>
      <c r="C268" s="8">
        <f>SartoriRoson!V93</f>
        <v>17.899999999999999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f t="shared" si="5"/>
        <v>8.4033613445378148E-3</v>
      </c>
    </row>
    <row r="269" spans="1:23" x14ac:dyDescent="0.35">
      <c r="A269" s="5">
        <f>SartoriRoson!K94</f>
        <v>-3.36</v>
      </c>
      <c r="B269" s="8">
        <f>SartoriRoson!U94</f>
        <v>15994.78055746439</v>
      </c>
      <c r="C269" s="8">
        <f>SartoriRoson!V94</f>
        <v>24.6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f t="shared" si="5"/>
        <v>8.4033613445378148E-3</v>
      </c>
    </row>
    <row r="270" spans="1:23" x14ac:dyDescent="0.35">
      <c r="A270" s="5">
        <f>SartoriRoson!K95</f>
        <v>-9.58</v>
      </c>
      <c r="B270" s="8">
        <f>SartoriRoson!U95</f>
        <v>800.43110309607573</v>
      </c>
      <c r="C270" s="8">
        <f>SartoriRoson!V95</f>
        <v>27.8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f t="shared" si="5"/>
        <v>8.4033613445378148E-3</v>
      </c>
    </row>
    <row r="271" spans="1:23" x14ac:dyDescent="0.35">
      <c r="A271" s="5">
        <f>SartoriRoson!K96</f>
        <v>-10.74</v>
      </c>
      <c r="B271" s="8">
        <f>SartoriRoson!U96</f>
        <v>34758.404334915285</v>
      </c>
      <c r="C271" s="8">
        <f>SartoriRoson!V96</f>
        <v>26.4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f t="shared" si="5"/>
        <v>8.4033613445378148E-3</v>
      </c>
    </row>
    <row r="272" spans="1:23" x14ac:dyDescent="0.35">
      <c r="A272" s="5">
        <f>SartoriRoson!K97</f>
        <v>1.23</v>
      </c>
      <c r="B272" s="8">
        <f>SartoriRoson!U97</f>
        <v>14161.797545718329</v>
      </c>
      <c r="C272" s="8">
        <f>SartoriRoson!V97</f>
        <v>6.8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f t="shared" si="5"/>
        <v>8.4033613445378148E-3</v>
      </c>
    </row>
    <row r="273" spans="1:23" x14ac:dyDescent="0.35">
      <c r="A273" s="5">
        <f>SartoriRoson!K98</f>
        <v>1.28</v>
      </c>
      <c r="B273" s="8">
        <f>SartoriRoson!U98</f>
        <v>19054.257484924816</v>
      </c>
      <c r="C273" s="8">
        <f>SartoriRoson!V98</f>
        <v>8.9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f t="shared" si="5"/>
        <v>8.4033613445378148E-3</v>
      </c>
    </row>
    <row r="274" spans="1:23" x14ac:dyDescent="0.35">
      <c r="A274" s="5">
        <f>SartoriRoson!K99</f>
        <v>-1.59</v>
      </c>
      <c r="B274" s="8">
        <f>SartoriRoson!U99</f>
        <v>5797.2434904439497</v>
      </c>
      <c r="C274" s="8">
        <f>SartoriRoson!V99</f>
        <v>17.8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f t="shared" si="5"/>
        <v>8.4033613445378148E-3</v>
      </c>
    </row>
    <row r="275" spans="1:23" x14ac:dyDescent="0.35">
      <c r="A275" s="5">
        <f>SartoriRoson!K100</f>
        <v>-0.24</v>
      </c>
      <c r="B275" s="8">
        <f>SartoriRoson!U100</f>
        <v>22236.187948867053</v>
      </c>
      <c r="C275" s="8">
        <f>SartoriRoson!V100</f>
        <v>11.5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f t="shared" si="5"/>
        <v>8.4033613445378148E-3</v>
      </c>
    </row>
    <row r="276" spans="1:23" x14ac:dyDescent="0.35">
      <c r="A276" s="5">
        <f>SartoriRoson!K101</f>
        <v>-0.77</v>
      </c>
      <c r="B276" s="8">
        <f>SartoriRoson!U101</f>
        <v>25595.990106992766</v>
      </c>
      <c r="C276" s="8">
        <f>SartoriRoson!V101</f>
        <v>13.3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f t="shared" si="5"/>
        <v>8.4033613445378148E-3</v>
      </c>
    </row>
    <row r="277" spans="1:23" x14ac:dyDescent="0.35">
      <c r="A277" s="5">
        <f>SartoriRoson!K102</f>
        <v>-6.4</v>
      </c>
      <c r="B277" s="8">
        <f>SartoriRoson!U102</f>
        <v>1610.0848370777339</v>
      </c>
      <c r="C277" s="8">
        <f>SartoriRoson!V102</f>
        <v>26.9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f t="shared" si="5"/>
        <v>8.4033613445378148E-3</v>
      </c>
    </row>
    <row r="278" spans="1:23" x14ac:dyDescent="0.35">
      <c r="A278" s="5">
        <f>SartoriRoson!K103</f>
        <v>1.72</v>
      </c>
      <c r="B278" s="8">
        <f>SartoriRoson!U103</f>
        <v>42825.675932195161</v>
      </c>
      <c r="C278" s="8">
        <f>SartoriRoson!V103</f>
        <v>2.1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f t="shared" si="5"/>
        <v>8.4033613445378148E-3</v>
      </c>
    </row>
    <row r="279" spans="1:23" x14ac:dyDescent="0.35">
      <c r="A279" s="5">
        <f>SartoriRoson!K104</f>
        <v>1.42</v>
      </c>
      <c r="B279" s="8">
        <f>SartoriRoson!U104</f>
        <v>54642.81108074497</v>
      </c>
      <c r="C279" s="8">
        <f>SartoriRoson!V104</f>
        <v>5.5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f t="shared" si="5"/>
        <v>8.4033613445378148E-3</v>
      </c>
    </row>
    <row r="280" spans="1:23" x14ac:dyDescent="0.35">
      <c r="A280" s="5">
        <f>SartoriRoson!K106</f>
        <v>-8.7899999999999991</v>
      </c>
      <c r="B280" s="8">
        <f>SartoriRoson!U106</f>
        <v>438.4920862852793</v>
      </c>
      <c r="C280" s="8">
        <f>SartoriRoson!V106</f>
        <v>22.3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f t="shared" si="5"/>
        <v>8.4033613445378148E-3</v>
      </c>
    </row>
    <row r="281" spans="1:23" x14ac:dyDescent="0.35">
      <c r="A281" s="5">
        <f>SartoriRoson!K107</f>
        <v>-9.1300000000000008</v>
      </c>
      <c r="B281" s="8">
        <f>SartoriRoson!U107</f>
        <v>3163.9038450709104</v>
      </c>
      <c r="C281" s="8">
        <f>SartoriRoson!V107</f>
        <v>26.3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f t="shared" si="5"/>
        <v>8.4033613445378148E-3</v>
      </c>
    </row>
    <row r="282" spans="1:23" x14ac:dyDescent="0.35">
      <c r="A282" s="5">
        <f>SartoriRoson!K108</f>
        <v>-18.29</v>
      </c>
      <c r="B282" s="8">
        <f>SartoriRoson!U108</f>
        <v>392.85505650149429</v>
      </c>
      <c r="C282" s="8">
        <f>SartoriRoson!V108</f>
        <v>27.1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f t="shared" si="5"/>
        <v>8.4033613445378148E-3</v>
      </c>
    </row>
    <row r="283" spans="1:23" x14ac:dyDescent="0.35">
      <c r="A283" s="5">
        <f>SartoriRoson!K109</f>
        <v>-4.88</v>
      </c>
      <c r="B283" s="8">
        <f>SartoriRoson!U109</f>
        <v>14297.889414135465</v>
      </c>
      <c r="C283" s="8">
        <f>SartoriRoson!V109</f>
        <v>25.7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f t="shared" si="5"/>
        <v>8.4033613445378148E-3</v>
      </c>
    </row>
    <row r="284" spans="1:23" x14ac:dyDescent="0.35">
      <c r="A284" s="5">
        <f>SartoriRoson!K110</f>
        <v>-3.13</v>
      </c>
      <c r="B284" s="8">
        <f>SartoriRoson!U110</f>
        <v>3861.5088997834828</v>
      </c>
      <c r="C284" s="8">
        <f>SartoriRoson!V110</f>
        <v>19.2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f t="shared" si="5"/>
        <v>8.4033613445378148E-3</v>
      </c>
    </row>
    <row r="285" spans="1:23" x14ac:dyDescent="0.35">
      <c r="A285" s="5">
        <f>SartoriRoson!K111</f>
        <v>-0.83</v>
      </c>
      <c r="B285" s="8">
        <f>SartoriRoson!U111</f>
        <v>7833.5285846205052</v>
      </c>
      <c r="C285" s="8">
        <f>SartoriRoson!V111</f>
        <v>11.1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f t="shared" si="5"/>
        <v>8.4033613445378148E-3</v>
      </c>
    </row>
    <row r="286" spans="1:23" x14ac:dyDescent="0.35">
      <c r="A286" s="5">
        <f>SartoriRoson!K112</f>
        <v>-7.58</v>
      </c>
      <c r="B286" s="8">
        <f>SartoriRoson!U112</f>
        <v>393.14887775627386</v>
      </c>
      <c r="C286" s="8">
        <f>SartoriRoson!V112</f>
        <v>22.8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f t="shared" si="5"/>
        <v>8.4033613445378148E-3</v>
      </c>
    </row>
    <row r="287" spans="1:23" x14ac:dyDescent="0.35">
      <c r="A287" s="5">
        <f>SartoriRoson!K113</f>
        <v>0.92</v>
      </c>
      <c r="B287" s="8">
        <f>SartoriRoson!U113</f>
        <v>1974.6211818802449</v>
      </c>
      <c r="C287" s="8">
        <f>SartoriRoson!V113</f>
        <v>8.3000000000000007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f t="shared" si="5"/>
        <v>8.4033613445378148E-3</v>
      </c>
    </row>
    <row r="288" spans="1:23" x14ac:dyDescent="0.35">
      <c r="A288" s="5">
        <f>SartoriRoson!K114</f>
        <v>-4.8600000000000003</v>
      </c>
      <c r="B288" s="8">
        <f>SartoriRoson!U114</f>
        <v>24219.297645532275</v>
      </c>
      <c r="C288" s="8">
        <f>SartoriRoson!V114</f>
        <v>27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f t="shared" si="5"/>
        <v>8.4033613445378148E-3</v>
      </c>
    </row>
    <row r="289" spans="1:23" x14ac:dyDescent="0.35">
      <c r="A289" s="5">
        <f>SartoriRoson!K115</f>
        <v>0.59</v>
      </c>
      <c r="B289" s="8">
        <f>SartoriRoson!U115</f>
        <v>37899.295520911917</v>
      </c>
      <c r="C289" s="8">
        <f>SartoriRoson!V115</f>
        <v>8.4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f t="shared" si="5"/>
        <v>8.4033613445378148E-3</v>
      </c>
    </row>
    <row r="290" spans="1:23" x14ac:dyDescent="0.35">
      <c r="A290" s="5">
        <f>SartoriRoson!K116</f>
        <v>-2.17</v>
      </c>
      <c r="B290" s="8">
        <f>SartoriRoson!U116</f>
        <v>6791.0504176996537</v>
      </c>
      <c r="C290" s="8">
        <f>SartoriRoson!V116</f>
        <v>17.5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f t="shared" si="5"/>
        <v>8.4033613445378148E-3</v>
      </c>
    </row>
    <row r="291" spans="1:23" x14ac:dyDescent="0.35">
      <c r="A291" s="5">
        <f>SartoriRoson!K117</f>
        <v>-0.16</v>
      </c>
      <c r="B291" s="8">
        <f>SartoriRoson!U117</f>
        <v>43952.446494287382</v>
      </c>
      <c r="C291" s="8">
        <f>SartoriRoson!V117</f>
        <v>8.5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f t="shared" si="5"/>
        <v>8.4033613445378148E-3</v>
      </c>
    </row>
    <row r="292" spans="1:23" x14ac:dyDescent="0.35">
      <c r="A292" s="5">
        <f>SartoriRoson!K118</f>
        <v>-2.15</v>
      </c>
      <c r="B292" s="8">
        <f>SartoriRoson!U118</f>
        <v>6010.0797889966334</v>
      </c>
      <c r="C292" s="8">
        <f>SartoriRoson!V118</f>
        <v>25.3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f t="shared" si="5"/>
        <v>8.4033613445378148E-3</v>
      </c>
    </row>
    <row r="293" spans="1:23" x14ac:dyDescent="0.35">
      <c r="A293" s="5">
        <f>SartoriRoson!K119</f>
        <v>-7.09</v>
      </c>
      <c r="B293" s="8">
        <f>SartoriRoson!U119</f>
        <v>900.49369266691042</v>
      </c>
      <c r="C293" s="8">
        <f>SartoriRoson!V119</f>
        <v>24.4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f t="shared" si="5"/>
        <v>8.4033613445378148E-3</v>
      </c>
    </row>
    <row r="294" spans="1:23" x14ac:dyDescent="0.35">
      <c r="A294" s="5">
        <f>SartoriRoson!K120</f>
        <v>-4.3</v>
      </c>
      <c r="B294" s="8">
        <f>SartoriRoson!U120</f>
        <v>741.44209139426641</v>
      </c>
      <c r="C294" s="8">
        <f>SartoriRoson!V120</f>
        <v>21.4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f t="shared" si="5"/>
        <v>8.4033613445378148E-3</v>
      </c>
    </row>
    <row r="295" spans="1:23" x14ac:dyDescent="0.35">
      <c r="A295" s="5">
        <f>SartoriRoson!K121</f>
        <v>-4.79</v>
      </c>
      <c r="B295" s="8">
        <f>SartoriRoson!U121</f>
        <v>397.82159673579832</v>
      </c>
      <c r="C295" s="8">
        <f>SartoriRoson!V121</f>
        <v>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f t="shared" si="5"/>
        <v>8.4033613445378148E-3</v>
      </c>
    </row>
    <row r="296" spans="1:23" x14ac:dyDescent="0.35">
      <c r="A296">
        <f>Kompas!K2</f>
        <v>-1.4610000000000001</v>
      </c>
      <c r="B296">
        <f>Kompas!O2</f>
        <v>3404.6550318859572</v>
      </c>
      <c r="C296">
        <f>Kompas!P2</f>
        <v>11.4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f t="shared" si="5"/>
        <v>8.4033613445378148E-3</v>
      </c>
    </row>
    <row r="297" spans="1:23" x14ac:dyDescent="0.35">
      <c r="A297">
        <f>Kompas!K3</f>
        <v>-1.583</v>
      </c>
      <c r="B297">
        <f>Kompas!O3</f>
        <v>7274.3904532313973</v>
      </c>
      <c r="C297">
        <f>Kompas!P3</f>
        <v>14.8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f t="shared" si="5"/>
        <v>8.4033613445378148E-3</v>
      </c>
    </row>
    <row r="298" spans="1:23" x14ac:dyDescent="0.35">
      <c r="A298">
        <f>Kompas!K4</f>
        <v>-1.35</v>
      </c>
      <c r="B298">
        <f>Kompas!O4</f>
        <v>1997.0389119682286</v>
      </c>
      <c r="C298">
        <f>Kompas!P4</f>
        <v>7.1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f t="shared" si="5"/>
        <v>8.4033613445378148E-3</v>
      </c>
    </row>
    <row r="299" spans="1:23" x14ac:dyDescent="0.35">
      <c r="A299">
        <f>Kompas!K5</f>
        <v>-1.083</v>
      </c>
      <c r="B299">
        <f>Kompas!O5</f>
        <v>36140.105242213795</v>
      </c>
      <c r="C299">
        <f>Kompas!P5</f>
        <v>21.6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f t="shared" si="5"/>
        <v>8.4033613445378148E-3</v>
      </c>
    </row>
    <row r="300" spans="1:23" x14ac:dyDescent="0.35">
      <c r="A300">
        <f>Kompas!K6</f>
        <v>-0.48599999999999999</v>
      </c>
      <c r="B300">
        <f>Kompas!O6</f>
        <v>38803.235792365253</v>
      </c>
      <c r="C300">
        <f>Kompas!P6</f>
        <v>6.3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f t="shared" si="5"/>
        <v>8.4033613445378148E-3</v>
      </c>
    </row>
    <row r="301" spans="1:23" x14ac:dyDescent="0.35">
      <c r="A301">
        <f>Kompas!K7</f>
        <v>-2.6379999999999999</v>
      </c>
      <c r="B301">
        <f>Kompas!O7</f>
        <v>3126.7240594662121</v>
      </c>
      <c r="C301">
        <f>Kompas!P7</f>
        <v>11.9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f t="shared" si="5"/>
        <v>8.4033613445378148E-3</v>
      </c>
    </row>
    <row r="302" spans="1:23" x14ac:dyDescent="0.35">
      <c r="A302">
        <f>Kompas!K8</f>
        <v>-5.1379999999999999</v>
      </c>
      <c r="B302">
        <f>Kompas!O8</f>
        <v>16722.241255001882</v>
      </c>
      <c r="C302">
        <f>Kompas!P8</f>
        <v>27.1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f t="shared" si="5"/>
        <v>8.4033613445378148E-3</v>
      </c>
    </row>
    <row r="303" spans="1:23" x14ac:dyDescent="0.35">
      <c r="A303">
        <f>Kompas!K9</f>
        <v>-7.5910000000000002</v>
      </c>
      <c r="B303">
        <f>Kompas!O9</f>
        <v>539.09993134762863</v>
      </c>
      <c r="C303">
        <f>Kompas!P9</f>
        <v>25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f t="shared" si="5"/>
        <v>8.4033613445378148E-3</v>
      </c>
    </row>
    <row r="304" spans="1:23" x14ac:dyDescent="0.35">
      <c r="A304">
        <f>Kompas!K10</f>
        <v>-0.249</v>
      </c>
      <c r="B304">
        <f>Kompas!O10</f>
        <v>4526.3801215876556</v>
      </c>
      <c r="C304">
        <f>Kompas!P10</f>
        <v>6.2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f t="shared" si="5"/>
        <v>8.4033613445378148E-3</v>
      </c>
    </row>
    <row r="305" spans="1:23" x14ac:dyDescent="0.35">
      <c r="A305">
        <f>Kompas!K11</f>
        <v>-0.54</v>
      </c>
      <c r="B305">
        <f>Kompas!O11</f>
        <v>36747.279047091397</v>
      </c>
      <c r="C305">
        <f>Kompas!P11</f>
        <v>9.6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f t="shared" si="5"/>
        <v>8.4033613445378148E-3</v>
      </c>
    </row>
    <row r="306" spans="1:23" x14ac:dyDescent="0.35">
      <c r="A306">
        <f>Kompas!K12</f>
        <v>-2.3319999999999999</v>
      </c>
      <c r="B306">
        <f>Kompas!O12</f>
        <v>1176.9744750324021</v>
      </c>
      <c r="C306">
        <f>Kompas!P12</f>
        <v>21.5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f t="shared" si="5"/>
        <v>8.4033613445378148E-3</v>
      </c>
    </row>
    <row r="307" spans="1:23" x14ac:dyDescent="0.35">
      <c r="A307">
        <f>Kompas!K13</f>
        <v>-3.0470000000000002</v>
      </c>
      <c r="B307">
        <f>Kompas!O13</f>
        <v>6152.7263733715708</v>
      </c>
      <c r="C307">
        <f>Kompas!P13</f>
        <v>21.5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f t="shared" si="5"/>
        <v>8.4033613445378148E-3</v>
      </c>
    </row>
    <row r="308" spans="1:23" x14ac:dyDescent="0.35">
      <c r="A308">
        <f>Kompas!K14</f>
        <v>-3.843</v>
      </c>
      <c r="B308">
        <f>Kompas!O14</f>
        <v>5618.3246002281494</v>
      </c>
      <c r="C308">
        <f>Kompas!P14</f>
        <v>24.9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f t="shared" si="5"/>
        <v>8.4033613445378148E-3</v>
      </c>
    </row>
    <row r="309" spans="1:23" x14ac:dyDescent="0.35">
      <c r="A309">
        <f>Kompas!K15</f>
        <v>-5.5629999999999997</v>
      </c>
      <c r="B309">
        <f>Kompas!O15</f>
        <v>24589.277238754839</v>
      </c>
      <c r="C309">
        <f>Kompas!P15</f>
        <v>26.9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f t="shared" si="5"/>
        <v>8.4033613445378148E-3</v>
      </c>
    </row>
    <row r="310" spans="1:23" x14ac:dyDescent="0.35">
      <c r="A310">
        <f>Kompas!K16</f>
        <v>-0.59</v>
      </c>
      <c r="B310">
        <f>Kompas!O16</f>
        <v>4378.8790878779682</v>
      </c>
      <c r="C310">
        <f>Kompas!P16</f>
        <v>10.5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f t="shared" si="5"/>
        <v>8.4033613445378148E-3</v>
      </c>
    </row>
    <row r="311" spans="1:23" x14ac:dyDescent="0.35">
      <c r="A311">
        <f>Kompas!K17</f>
        <v>-17.058</v>
      </c>
      <c r="B311">
        <f>Kompas!O17</f>
        <v>457.22881322240346</v>
      </c>
      <c r="C311">
        <f>Kompas!P17</f>
        <v>28.2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f t="shared" si="5"/>
        <v>8.4033613445378148E-3</v>
      </c>
    </row>
    <row r="312" spans="1:23" x14ac:dyDescent="0.35">
      <c r="A312">
        <f>Kompas!K18</f>
        <v>-12.101000000000001</v>
      </c>
      <c r="B312">
        <f>Kompas!O18</f>
        <v>605.16804679176505</v>
      </c>
      <c r="C312">
        <f>Kompas!P18</f>
        <v>26.8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f t="shared" si="5"/>
        <v>8.4033613445378148E-3</v>
      </c>
    </row>
    <row r="313" spans="1:23" x14ac:dyDescent="0.35">
      <c r="A313">
        <f>Kompas!K19</f>
        <v>-9.3960000000000008</v>
      </c>
      <c r="B313">
        <f>Kompas!O19</f>
        <v>931.41534703166633</v>
      </c>
      <c r="C313">
        <f>Kompas!P19</f>
        <v>24.6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f t="shared" si="5"/>
        <v>8.4033613445378148E-3</v>
      </c>
    </row>
    <row r="314" spans="1:23" x14ac:dyDescent="0.35">
      <c r="A314">
        <f>Kompas!K20</f>
        <v>-0.218</v>
      </c>
      <c r="B314">
        <f>Kompas!O20</f>
        <v>36337.22567382102</v>
      </c>
      <c r="C314">
        <f>Kompas!P20</f>
        <v>-5.4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f t="shared" si="5"/>
        <v>8.4033613445378148E-3</v>
      </c>
    </row>
    <row r="315" spans="1:23" x14ac:dyDescent="0.35">
      <c r="A315">
        <f>Kompas!K21</f>
        <v>-1.1579999999999999</v>
      </c>
      <c r="B315">
        <f>Kompas!O21</f>
        <v>8610.0220425441075</v>
      </c>
      <c r="C315">
        <f>Kompas!P21</f>
        <v>8.5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f t="shared" si="5"/>
        <v>8.4033613445378148E-3</v>
      </c>
    </row>
    <row r="316" spans="1:23" x14ac:dyDescent="0.35">
      <c r="A316">
        <f>Kompas!K22</f>
        <v>-2.9180000000000001</v>
      </c>
      <c r="B316">
        <f>Kompas!O22</f>
        <v>2870.0529334764196</v>
      </c>
      <c r="C316">
        <f>Kompas!P22</f>
        <v>6.9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f t="shared" si="5"/>
        <v>8.4033613445378148E-3</v>
      </c>
    </row>
    <row r="317" spans="1:23" x14ac:dyDescent="0.35">
      <c r="A317">
        <f>Kompas!K23</f>
        <v>-5.532</v>
      </c>
      <c r="B317">
        <f>Kompas!O23</f>
        <v>3937.8672013546661</v>
      </c>
      <c r="C317">
        <f>Kompas!P23</f>
        <v>24.5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f t="shared" si="5"/>
        <v>8.4033613445378148E-3</v>
      </c>
    </row>
    <row r="318" spans="1:23" x14ac:dyDescent="0.35">
      <c r="A318">
        <f>Kompas!K24</f>
        <v>-7.8710000000000004</v>
      </c>
      <c r="B318">
        <f>Kompas!O24</f>
        <v>5357.4903708933716</v>
      </c>
      <c r="C318">
        <f>Kompas!P24</f>
        <v>24.8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f t="shared" si="5"/>
        <v>8.4033613445378148E-3</v>
      </c>
    </row>
    <row r="319" spans="1:23" x14ac:dyDescent="0.35">
      <c r="A319">
        <f>Kompas!K25</f>
        <v>-17.527999999999999</v>
      </c>
      <c r="B319">
        <f>Kompas!O25</f>
        <v>957.65895361709386</v>
      </c>
      <c r="C319">
        <f>Kompas!P25</f>
        <v>26.3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f t="shared" si="5"/>
        <v>8.4033613445378148E-3</v>
      </c>
    </row>
    <row r="320" spans="1:23" x14ac:dyDescent="0.35">
      <c r="A320">
        <f>Kompas!K26</f>
        <v>-0.45400000000000001</v>
      </c>
      <c r="B320">
        <f>Kompas!O26</f>
        <v>10383.506161918598</v>
      </c>
      <c r="C320">
        <f>Kompas!P26</f>
        <v>10.9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f t="shared" si="5"/>
        <v>8.4033613445378148E-3</v>
      </c>
    </row>
    <row r="321" spans="1:23" x14ac:dyDescent="0.35">
      <c r="A321">
        <f>Kompas!K27</f>
        <v>-0.81599999999999995</v>
      </c>
      <c r="B321">
        <f>Kompas!O27</f>
        <v>17402.698674388368</v>
      </c>
      <c r="C321">
        <f>Kompas!P27</f>
        <v>18.399999999999999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f t="shared" si="5"/>
        <v>8.4033613445378148E-3</v>
      </c>
    </row>
    <row r="322" spans="1:23" x14ac:dyDescent="0.35">
      <c r="A322">
        <f>Kompas!K28</f>
        <v>-0.56699999999999995</v>
      </c>
      <c r="B322">
        <f>Kompas!O28</f>
        <v>14114.421997373165</v>
      </c>
      <c r="C322">
        <f>Kompas!P28</f>
        <v>7.5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f t="shared" si="5"/>
        <v>8.4033613445378148E-3</v>
      </c>
    </row>
    <row r="323" spans="1:23" x14ac:dyDescent="0.35">
      <c r="A323">
        <f>Kompas!K29</f>
        <v>-0.39300000000000002</v>
      </c>
      <c r="B323">
        <f>Kompas!O29</f>
        <v>46292.736560813282</v>
      </c>
      <c r="C323">
        <f>Kompas!P29</f>
        <v>7.5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f t="shared" si="5"/>
        <v>8.4033613445378148E-3</v>
      </c>
    </row>
    <row r="324" spans="1:23" x14ac:dyDescent="0.35">
      <c r="A324">
        <f>Kompas!K30</f>
        <v>-7.9340000000000002</v>
      </c>
      <c r="B324">
        <f>Kompas!O30</f>
        <v>1085.8813944409201</v>
      </c>
      <c r="C324">
        <f>Kompas!P30</f>
        <v>28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f t="shared" ref="W324:W387" si="6">SUMPRODUCT(D324:V324,D$1:V$1)</f>
        <v>8.4033613445378148E-3</v>
      </c>
    </row>
    <row r="325" spans="1:23" x14ac:dyDescent="0.35">
      <c r="A325">
        <f>Kompas!K31</f>
        <v>-2.5990000000000002</v>
      </c>
      <c r="B325">
        <f>Kompas!O31</f>
        <v>4776.8421015330105</v>
      </c>
      <c r="C325">
        <f>Kompas!P31</f>
        <v>24.5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f t="shared" si="6"/>
        <v>8.4033613445378148E-3</v>
      </c>
    </row>
    <row r="326" spans="1:23" x14ac:dyDescent="0.35">
      <c r="A326">
        <f>Kompas!K32</f>
        <v>-4</v>
      </c>
      <c r="B326">
        <f>Kompas!O32</f>
        <v>3250.7458870185928</v>
      </c>
      <c r="C326">
        <f>Kompas!P32</f>
        <v>21.8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f t="shared" si="6"/>
        <v>8.4033613445378148E-3</v>
      </c>
    </row>
    <row r="327" spans="1:23" x14ac:dyDescent="0.35">
      <c r="A327">
        <f>Kompas!K33</f>
        <v>-4.9569999999999999</v>
      </c>
      <c r="B327">
        <f>Kompas!O33</f>
        <v>1550.2405578416574</v>
      </c>
      <c r="C327">
        <f>Kompas!P33</f>
        <v>22.1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f t="shared" si="6"/>
        <v>8.4033613445378148E-3</v>
      </c>
    </row>
    <row r="328" spans="1:23" x14ac:dyDescent="0.35">
      <c r="A328">
        <f>Kompas!K34</f>
        <v>-0.75</v>
      </c>
      <c r="B328">
        <f>Kompas!O34</f>
        <v>2949.613728722712</v>
      </c>
      <c r="C328">
        <f>Kompas!P34</f>
        <v>24.4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f t="shared" si="6"/>
        <v>8.4033613445378148E-3</v>
      </c>
    </row>
    <row r="329" spans="1:23" x14ac:dyDescent="0.35">
      <c r="A329">
        <f>Kompas!K35</f>
        <v>-6.7039999999999997</v>
      </c>
      <c r="B329">
        <f>Kompas!O35</f>
        <v>234.25889686975188</v>
      </c>
      <c r="C329">
        <f>Kompas!P35</f>
        <v>22.2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f t="shared" si="6"/>
        <v>8.4033613445378148E-3</v>
      </c>
    </row>
    <row r="330" spans="1:23" x14ac:dyDescent="0.35">
      <c r="A330">
        <f>Kompas!K36</f>
        <v>-0.254</v>
      </c>
      <c r="B330">
        <f>Kompas!O36</f>
        <v>38064.653322818347</v>
      </c>
      <c r="C330">
        <f>Kompas!P36</f>
        <v>1.7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f t="shared" si="6"/>
        <v>8.4033613445378148E-3</v>
      </c>
    </row>
    <row r="331" spans="1:23" x14ac:dyDescent="0.35">
      <c r="A331">
        <f>Kompas!K37</f>
        <v>-0.45500000000000002</v>
      </c>
      <c r="B331">
        <f>Kompas!O37</f>
        <v>33898.26965325878</v>
      </c>
      <c r="C331">
        <f>Kompas!P37</f>
        <v>10.7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f t="shared" si="6"/>
        <v>8.4033613445378148E-3</v>
      </c>
    </row>
    <row r="332" spans="1:23" x14ac:dyDescent="0.35">
      <c r="A332">
        <f>Kompas!K38</f>
        <v>-1.0349999999999999</v>
      </c>
      <c r="B332">
        <f>Kompas!O38</f>
        <v>1850.8208503929698</v>
      </c>
      <c r="C332">
        <f>Kompas!P38</f>
        <v>5.8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f t="shared" si="6"/>
        <v>8.4033613445378148E-3</v>
      </c>
    </row>
    <row r="333" spans="1:23" x14ac:dyDescent="0.35">
      <c r="A333">
        <f>Kompas!K39</f>
        <v>-0.41499999999999998</v>
      </c>
      <c r="B333">
        <f>Kompas!O39</f>
        <v>36127.047700224583</v>
      </c>
      <c r="C333">
        <f>Kompas!P39</f>
        <v>8.4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f t="shared" si="6"/>
        <v>8.4033613445378148E-3</v>
      </c>
    </row>
    <row r="334" spans="1:23" x14ac:dyDescent="0.35">
      <c r="A334">
        <f>Kompas!K40</f>
        <v>-17.571000000000002</v>
      </c>
      <c r="B334">
        <f>Kompas!O40</f>
        <v>610.18365679635724</v>
      </c>
      <c r="C334">
        <f>Kompas!P40</f>
        <v>27.2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f t="shared" si="6"/>
        <v>8.4033613445378148E-3</v>
      </c>
    </row>
    <row r="335" spans="1:23" x14ac:dyDescent="0.35">
      <c r="A335">
        <f>Kompas!K41</f>
        <v>-0.27500000000000002</v>
      </c>
      <c r="B335">
        <f>Kompas!O41</f>
        <v>21308.962091753539</v>
      </c>
      <c r="C335">
        <f>Kompas!P41</f>
        <v>15.4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f t="shared" si="6"/>
        <v>8.4033613445378148E-3</v>
      </c>
    </row>
    <row r="336" spans="1:23" x14ac:dyDescent="0.35">
      <c r="A336">
        <f>Kompas!K42</f>
        <v>-2.798</v>
      </c>
      <c r="B336">
        <f>Kompas!O42</f>
        <v>2270.0961392922113</v>
      </c>
      <c r="C336">
        <f>Kompas!P42</f>
        <v>23.4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f t="shared" si="6"/>
        <v>8.4033613445378148E-3</v>
      </c>
    </row>
    <row r="337" spans="1:23" x14ac:dyDescent="0.35">
      <c r="A337">
        <f>Kompas!K43</f>
        <v>-9.8960000000000008</v>
      </c>
      <c r="B337">
        <f>Kompas!O43</f>
        <v>300.44127805988973</v>
      </c>
      <c r="C337">
        <f>Kompas!P43</f>
        <v>25.7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f t="shared" si="6"/>
        <v>8.4033613445378148E-3</v>
      </c>
    </row>
    <row r="338" spans="1:23" x14ac:dyDescent="0.35">
      <c r="A338">
        <f>Kompas!K44</f>
        <v>-11.125999999999999</v>
      </c>
      <c r="B338">
        <f>Kompas!O44</f>
        <v>1514.9920435883439</v>
      </c>
      <c r="C338">
        <f>Kompas!P44</f>
        <v>23.5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f t="shared" si="6"/>
        <v>8.4033613445378148E-3</v>
      </c>
    </row>
    <row r="339" spans="1:23" x14ac:dyDescent="0.35">
      <c r="A339">
        <f>Kompas!K45</f>
        <v>-5.2880000000000003</v>
      </c>
      <c r="B339">
        <f>Kompas!O45</f>
        <v>31328.585208738998</v>
      </c>
      <c r="C339">
        <f>Kompas!P45</f>
        <v>22.7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f t="shared" si="6"/>
        <v>8.4033613445378148E-3</v>
      </c>
    </row>
    <row r="340" spans="1:23" x14ac:dyDescent="0.35">
      <c r="A340">
        <f>Kompas!K46</f>
        <v>-0.59</v>
      </c>
      <c r="B340">
        <f>Kompas!O46</f>
        <v>10926.468951505391</v>
      </c>
      <c r="C340">
        <f>Kompas!P46</f>
        <v>9.8000000000000007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f t="shared" si="6"/>
        <v>8.4033613445378148E-3</v>
      </c>
    </row>
    <row r="341" spans="1:23" x14ac:dyDescent="0.35">
      <c r="A341">
        <f>Kompas!K47</f>
        <v>-10.351000000000001</v>
      </c>
      <c r="B341">
        <f>Kompas!O47</f>
        <v>1031.5611094455749</v>
      </c>
      <c r="C341">
        <f>Kompas!P47</f>
        <v>23.7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f t="shared" si="6"/>
        <v>8.4033613445378148E-3</v>
      </c>
    </row>
    <row r="342" spans="1:23" x14ac:dyDescent="0.35">
      <c r="A342">
        <f>Kompas!K48</f>
        <v>-13.266999999999999</v>
      </c>
      <c r="B342">
        <f>Kompas!O48</f>
        <v>1570.1529365014842</v>
      </c>
      <c r="C342">
        <f>Kompas!P48</f>
        <v>25.8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f t="shared" si="6"/>
        <v>8.4033613445378148E-3</v>
      </c>
    </row>
    <row r="343" spans="1:23" x14ac:dyDescent="0.35">
      <c r="A343">
        <f>Kompas!K49</f>
        <v>-3.516</v>
      </c>
      <c r="B343">
        <f>Kompas!O49</f>
        <v>3259.3987232145187</v>
      </c>
      <c r="C343">
        <f>Kompas!P49</f>
        <v>17.2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f t="shared" si="6"/>
        <v>8.4033613445378148E-3</v>
      </c>
    </row>
    <row r="344" spans="1:23" x14ac:dyDescent="0.35">
      <c r="A344">
        <f>Kompas!K50</f>
        <v>-0.748</v>
      </c>
      <c r="B344">
        <f>Kompas!O50</f>
        <v>45438.261855700264</v>
      </c>
      <c r="C344">
        <f>Kompas!P50</f>
        <v>9.3000000000000007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f t="shared" si="6"/>
        <v>8.4033613445378148E-3</v>
      </c>
    </row>
    <row r="345" spans="1:23" x14ac:dyDescent="0.35">
      <c r="A345">
        <f>Kompas!K51</f>
        <v>-2.3170000000000002</v>
      </c>
      <c r="B345">
        <f>Kompas!O51</f>
        <v>22169.403538765182</v>
      </c>
      <c r="C345">
        <f>Kompas!P51</f>
        <v>19.2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f t="shared" si="6"/>
        <v>8.4033613445378148E-3</v>
      </c>
    </row>
    <row r="346" spans="1:23" x14ac:dyDescent="0.35">
      <c r="A346">
        <f>Kompas!K52</f>
        <v>-0.58799999999999997</v>
      </c>
      <c r="B346">
        <f>Kompas!O52</f>
        <v>29163.146051932734</v>
      </c>
      <c r="C346">
        <f>Kompas!P52</f>
        <v>13.4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f t="shared" si="6"/>
        <v>8.4033613445378148E-3</v>
      </c>
    </row>
    <row r="347" spans="1:23" x14ac:dyDescent="0.35">
      <c r="A347">
        <f>Kompas!K53</f>
        <v>-6.94</v>
      </c>
      <c r="B347">
        <f>Kompas!O53</f>
        <v>4329.9743592711902</v>
      </c>
      <c r="C347">
        <f>Kompas!P53</f>
        <v>27.2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f t="shared" si="6"/>
        <v>8.4033613445378148E-3</v>
      </c>
    </row>
    <row r="348" spans="1:23" x14ac:dyDescent="0.35">
      <c r="A348">
        <f>Kompas!K54</f>
        <v>-1.335</v>
      </c>
      <c r="B348">
        <f>Kompas!O54</f>
        <v>36472.749157637452</v>
      </c>
      <c r="C348">
        <f>Kompas!P54</f>
        <v>11.1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f t="shared" si="6"/>
        <v>8.4033613445378148E-3</v>
      </c>
    </row>
    <row r="349" spans="1:23" x14ac:dyDescent="0.35">
      <c r="A349">
        <f>Kompas!K55</f>
        <v>-3.254</v>
      </c>
      <c r="B349">
        <f>Kompas!O55</f>
        <v>2817.4886330764352</v>
      </c>
      <c r="C349">
        <f>Kompas!P55</f>
        <v>18.3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f t="shared" si="6"/>
        <v>8.4033613445378148E-3</v>
      </c>
    </row>
    <row r="350" spans="1:23" x14ac:dyDescent="0.35">
      <c r="A350">
        <f>Kompas!K56</f>
        <v>-0.82</v>
      </c>
      <c r="B350">
        <f>Kompas!O56</f>
        <v>4732.2159481266071</v>
      </c>
      <c r="C350">
        <f>Kompas!P56</f>
        <v>6.4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f t="shared" si="6"/>
        <v>8.4033613445378148E-3</v>
      </c>
    </row>
    <row r="351" spans="1:23" x14ac:dyDescent="0.35">
      <c r="A351">
        <f>Kompas!K57</f>
        <v>-7.2380000000000004</v>
      </c>
      <c r="B351">
        <f>Kompas!O57</f>
        <v>575.06029636736923</v>
      </c>
      <c r="C351">
        <f>Kompas!P57</f>
        <v>24.7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f t="shared" si="6"/>
        <v>8.4033613445378148E-3</v>
      </c>
    </row>
    <row r="352" spans="1:23" x14ac:dyDescent="0.35">
      <c r="A352">
        <f>Kompas!K58</f>
        <v>-4.4880000000000004</v>
      </c>
      <c r="B352">
        <f>Kompas!O58</f>
        <v>28615.94754819524</v>
      </c>
      <c r="C352">
        <f>Kompas!P58</f>
        <v>25.3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f t="shared" si="6"/>
        <v>8.4033613445378148E-3</v>
      </c>
    </row>
    <row r="353" spans="1:23" x14ac:dyDescent="0.35">
      <c r="A353">
        <f>Kompas!K59</f>
        <v>-0.93</v>
      </c>
      <c r="B353">
        <f>Kompas!O59</f>
        <v>560.91462241153135</v>
      </c>
      <c r="C353">
        <f>Kompas!P59</f>
        <v>1.6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f t="shared" si="6"/>
        <v>8.4033613445378148E-3</v>
      </c>
    </row>
    <row r="354" spans="1:23" x14ac:dyDescent="0.35">
      <c r="A354">
        <f>Kompas!K60</f>
        <v>-10.62</v>
      </c>
      <c r="B354">
        <f>Kompas!O60</f>
        <v>628.83134867195929</v>
      </c>
      <c r="C354">
        <f>Kompas!P60</f>
        <v>22.7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f t="shared" si="6"/>
        <v>8.4033613445378148E-3</v>
      </c>
    </row>
    <row r="355" spans="1:23" x14ac:dyDescent="0.35">
      <c r="A355">
        <f>Kompas!K61</f>
        <v>-0.39400000000000002</v>
      </c>
      <c r="B355">
        <f>Kompas!O61</f>
        <v>6923.8888741529627</v>
      </c>
      <c r="C355">
        <f>Kompas!P61</f>
        <v>5.6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f t="shared" si="6"/>
        <v>8.4033613445378148E-3</v>
      </c>
    </row>
    <row r="356" spans="1:23" x14ac:dyDescent="0.35">
      <c r="A356">
        <f>Kompas!K62</f>
        <v>-0.39400000000000002</v>
      </c>
      <c r="B356">
        <f>Kompas!O62</f>
        <v>8320.1703793334709</v>
      </c>
      <c r="C356">
        <f>Kompas!P62</f>
        <v>6.2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f t="shared" si="6"/>
        <v>8.4033613445378148E-3</v>
      </c>
    </row>
    <row r="357" spans="1:23" x14ac:dyDescent="0.35">
      <c r="A357">
        <f>Kompas!K63</f>
        <v>-0.6</v>
      </c>
      <c r="B357">
        <f>Kompas!O63</f>
        <v>80276.011290059658</v>
      </c>
      <c r="C357">
        <f>Kompas!P63</f>
        <v>8.6999999999999993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f t="shared" si="6"/>
        <v>8.4033613445378148E-3</v>
      </c>
    </row>
    <row r="358" spans="1:23" x14ac:dyDescent="0.35">
      <c r="A358">
        <f>Kompas!K64</f>
        <v>-7.2119999999999997</v>
      </c>
      <c r="B358">
        <f>Kompas!O64</f>
        <v>273.22480306218836</v>
      </c>
      <c r="C358">
        <f>Kompas!P64</f>
        <v>22.6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f t="shared" si="6"/>
        <v>8.4033613445378148E-3</v>
      </c>
    </row>
    <row r="359" spans="1:23" x14ac:dyDescent="0.35">
      <c r="A359">
        <f>Kompas!K65</f>
        <v>-9.266</v>
      </c>
      <c r="B359">
        <f>Kompas!O65</f>
        <v>219.15076343135976</v>
      </c>
      <c r="C359">
        <f>Kompas!P65</f>
        <v>21.9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f t="shared" si="6"/>
        <v>8.4033613445378148E-3</v>
      </c>
    </row>
    <row r="360" spans="1:23" x14ac:dyDescent="0.35">
      <c r="A360">
        <f>Kompas!K66</f>
        <v>-12.118</v>
      </c>
      <c r="B360">
        <f>Kompas!O66</f>
        <v>6318.9012128220729</v>
      </c>
      <c r="C360">
        <f>Kompas!P66</f>
        <v>25.4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f t="shared" si="6"/>
        <v>8.4033613445378148E-3</v>
      </c>
    </row>
    <row r="361" spans="1:23" x14ac:dyDescent="0.35">
      <c r="A361">
        <f>Kompas!K67</f>
        <v>-1.2609999999999999</v>
      </c>
      <c r="B361">
        <f>Kompas!O67</f>
        <v>15992.434998447094</v>
      </c>
      <c r="C361">
        <f>Kompas!P67</f>
        <v>19.2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f t="shared" si="6"/>
        <v>8.4033613445378148E-3</v>
      </c>
    </row>
    <row r="362" spans="1:23" x14ac:dyDescent="0.35">
      <c r="A362">
        <f>Kompas!K68</f>
        <v>-7.4580000000000002</v>
      </c>
      <c r="B362">
        <f>Kompas!O68</f>
        <v>6109.775155938677</v>
      </c>
      <c r="C362">
        <f>Kompas!P68</f>
        <v>22.4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f t="shared" si="6"/>
        <v>8.4033613445378148E-3</v>
      </c>
    </row>
    <row r="363" spans="1:23" x14ac:dyDescent="0.35">
      <c r="A363">
        <f>Kompas!K69</f>
        <v>-2.2770000000000001</v>
      </c>
      <c r="B363">
        <f>Kompas!O69</f>
        <v>8084.6290001796442</v>
      </c>
      <c r="C363">
        <f>Kompas!P69</f>
        <v>21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f t="shared" si="6"/>
        <v>8.4033613445378148E-3</v>
      </c>
    </row>
    <row r="364" spans="1:23" x14ac:dyDescent="0.35">
      <c r="A364">
        <f>Kompas!K70</f>
        <v>-2.71</v>
      </c>
      <c r="B364">
        <f>Kompas!O70</f>
        <v>1273.1540641800757</v>
      </c>
      <c r="C364">
        <f>Kompas!P70</f>
        <v>-0.7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f t="shared" si="6"/>
        <v>8.4033613445378148E-3</v>
      </c>
    </row>
    <row r="365" spans="1:23" x14ac:dyDescent="0.35">
      <c r="A365">
        <f>Kompas!K71</f>
        <v>-2.4359999999999999</v>
      </c>
      <c r="B365">
        <f>Kompas!O71</f>
        <v>2386.7846716762692</v>
      </c>
      <c r="C365">
        <f>Kompas!P71</f>
        <v>17.100000000000001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f t="shared" si="6"/>
        <v>8.4033613445378148E-3</v>
      </c>
    </row>
    <row r="366" spans="1:23" x14ac:dyDescent="0.35">
      <c r="A366">
        <f>Kompas!K72</f>
        <v>-8.8780000000000001</v>
      </c>
      <c r="B366">
        <f>Kompas!O72</f>
        <v>380.84424396822391</v>
      </c>
      <c r="C366">
        <f>Kompas!P72</f>
        <v>23.8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f t="shared" si="6"/>
        <v>8.4033613445378148E-3</v>
      </c>
    </row>
    <row r="367" spans="1:23" x14ac:dyDescent="0.35">
      <c r="A367">
        <f>Kompas!K73</f>
        <v>-2.4039999999999999</v>
      </c>
      <c r="B367">
        <f>Kompas!O73</f>
        <v>4101.3694407822486</v>
      </c>
      <c r="C367">
        <f>Kompas!P73</f>
        <v>19.899999999999999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f t="shared" si="6"/>
        <v>8.4033613445378148E-3</v>
      </c>
    </row>
    <row r="368" spans="1:23" x14ac:dyDescent="0.35">
      <c r="A368">
        <f>Kompas!K74</f>
        <v>-5.7309999999999999</v>
      </c>
      <c r="B368">
        <f>Kompas!O74</f>
        <v>376.34220962776232</v>
      </c>
      <c r="C368">
        <f>Kompas!P74</f>
        <v>8.1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f t="shared" si="6"/>
        <v>8.4033613445378148E-3</v>
      </c>
    </row>
    <row r="369" spans="1:23" x14ac:dyDescent="0.35">
      <c r="A369">
        <f>Kompas!K75</f>
        <v>-0.46700000000000003</v>
      </c>
      <c r="B369">
        <f>Kompas!O75</f>
        <v>41110.27840287541</v>
      </c>
      <c r="C369">
        <f>Kompas!P75</f>
        <v>9.1999999999999993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f t="shared" si="6"/>
        <v>8.4033613445378148E-3</v>
      </c>
    </row>
    <row r="370" spans="1:23" x14ac:dyDescent="0.35">
      <c r="A370">
        <f>Kompas!K76</f>
        <v>-0.79800000000000004</v>
      </c>
      <c r="B370">
        <f>Kompas!O76</f>
        <v>27483.511003152802</v>
      </c>
      <c r="C370">
        <f>Kompas!P76</f>
        <v>10.5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f t="shared" si="6"/>
        <v>8.4033613445378148E-3</v>
      </c>
    </row>
    <row r="371" spans="1:23" x14ac:dyDescent="0.35">
      <c r="A371">
        <f>Kompas!K77</f>
        <v>-11.673</v>
      </c>
      <c r="B371">
        <f>Kompas!O77</f>
        <v>1230.3353843860234</v>
      </c>
      <c r="C371">
        <f>Kompas!P77</f>
        <v>24.8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f t="shared" si="6"/>
        <v>8.4033613445378148E-3</v>
      </c>
    </row>
    <row r="372" spans="1:23" x14ac:dyDescent="0.35">
      <c r="A372">
        <f>Kompas!K78</f>
        <v>-15.723000000000001</v>
      </c>
      <c r="B372">
        <f>Kompas!O78</f>
        <v>995.6802013953959</v>
      </c>
      <c r="C372">
        <f>Kompas!P78</f>
        <v>26.8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f t="shared" si="6"/>
        <v>8.4033613445378148E-3</v>
      </c>
    </row>
    <row r="373" spans="1:23" x14ac:dyDescent="0.35">
      <c r="A373">
        <f>Kompas!K79</f>
        <v>-0.64600000000000002</v>
      </c>
      <c r="B373">
        <f>Kompas!O79</f>
        <v>64589.974659965468</v>
      </c>
      <c r="C373">
        <f>Kompas!P79</f>
        <v>1.5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f t="shared" si="6"/>
        <v>8.4033613445378148E-3</v>
      </c>
    </row>
    <row r="374" spans="1:23" x14ac:dyDescent="0.35">
      <c r="A374">
        <f>Kompas!K80</f>
        <v>-3.78</v>
      </c>
      <c r="B374">
        <f>Kompas!O80</f>
        <v>14962.028989271066</v>
      </c>
      <c r="C374">
        <f>Kompas!P80</f>
        <v>25.6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f t="shared" si="6"/>
        <v>8.4033613445378148E-3</v>
      </c>
    </row>
    <row r="375" spans="1:23" x14ac:dyDescent="0.35">
      <c r="A375">
        <f>Kompas!K81</f>
        <v>-6.4349999999999996</v>
      </c>
      <c r="B375">
        <f>Kompas!O81</f>
        <v>748.01048783794772</v>
      </c>
      <c r="C375">
        <f>Kompas!P81</f>
        <v>20.2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f t="shared" si="6"/>
        <v>8.4033613445378148E-3</v>
      </c>
    </row>
    <row r="376" spans="1:23" x14ac:dyDescent="0.35">
      <c r="A376">
        <f>Kompas!K82</f>
        <v>-9.58</v>
      </c>
      <c r="B376">
        <f>Kompas!O82</f>
        <v>6145.3352543359524</v>
      </c>
      <c r="C376">
        <f>Kompas!P82</f>
        <v>25.4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f t="shared" si="6"/>
        <v>8.4033613445378148E-3</v>
      </c>
    </row>
    <row r="377" spans="1:23" x14ac:dyDescent="0.35">
      <c r="A377">
        <f>Kompas!K83</f>
        <v>-6.7290000000000001</v>
      </c>
      <c r="B377">
        <f>Kompas!O83</f>
        <v>1725.7948003065951</v>
      </c>
      <c r="C377">
        <f>Kompas!P83</f>
        <v>23.5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f t="shared" si="6"/>
        <v>8.4033613445378148E-3</v>
      </c>
    </row>
    <row r="378" spans="1:23" x14ac:dyDescent="0.35">
      <c r="A378">
        <f>Kompas!K84</f>
        <v>-1.9339999999999999</v>
      </c>
      <c r="B378">
        <f>Kompas!O84</f>
        <v>3536.4885396339923</v>
      </c>
      <c r="C378">
        <f>Kompas!P84</f>
        <v>19.600000000000001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f t="shared" si="6"/>
        <v>8.4033613445378148E-3</v>
      </c>
    </row>
    <row r="379" spans="1:23" x14ac:dyDescent="0.35">
      <c r="A379">
        <f>Kompas!K85</f>
        <v>-14.798</v>
      </c>
      <c r="B379">
        <f>Kompas!O85</f>
        <v>1403.3063361554944</v>
      </c>
      <c r="C379">
        <f>Kompas!P85</f>
        <v>25.8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f t="shared" si="6"/>
        <v>8.4033613445378148E-3</v>
      </c>
    </row>
    <row r="380" spans="1:23" x14ac:dyDescent="0.35">
      <c r="A380">
        <f>Kompas!K86</f>
        <v>-0.51400000000000001</v>
      </c>
      <c r="B380">
        <f>Kompas!O86</f>
        <v>10035.850591834826</v>
      </c>
      <c r="C380">
        <f>Kompas!P86</f>
        <v>7.8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f t="shared" si="6"/>
        <v>8.4033613445378148E-3</v>
      </c>
    </row>
    <row r="381" spans="1:23" x14ac:dyDescent="0.35">
      <c r="A381">
        <f>Kompas!K87</f>
        <v>-0.46</v>
      </c>
      <c r="B381">
        <f>Kompas!O87</f>
        <v>18535.131234142536</v>
      </c>
      <c r="C381">
        <f>Kompas!P87</f>
        <v>15.1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f t="shared" si="6"/>
        <v>8.4033613445378148E-3</v>
      </c>
    </row>
    <row r="382" spans="1:23" x14ac:dyDescent="0.35">
      <c r="A382">
        <f>Kompas!K88</f>
        <v>-6.5270000000000001</v>
      </c>
      <c r="B382">
        <f>Kompas!O88</f>
        <v>20782.83569150712</v>
      </c>
      <c r="C382">
        <f>Kompas!P88</f>
        <v>25.2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f t="shared" si="6"/>
        <v>8.4033613445378148E-3</v>
      </c>
    </row>
    <row r="383" spans="1:23" x14ac:dyDescent="0.35">
      <c r="A383">
        <f>Kompas!K89</f>
        <v>-7.3040000000000003</v>
      </c>
      <c r="B383">
        <f>Kompas!O89</f>
        <v>58256.966788513462</v>
      </c>
      <c r="C383">
        <f>Kompas!P89</f>
        <v>27.2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f t="shared" si="6"/>
        <v>8.4033613445378148E-3</v>
      </c>
    </row>
    <row r="384" spans="1:23" x14ac:dyDescent="0.35">
      <c r="A384">
        <f>Kompas!K90</f>
        <v>-0.48299999999999998</v>
      </c>
      <c r="B384">
        <f>Kompas!O90</f>
        <v>5321.8101990424975</v>
      </c>
      <c r="C384">
        <f>Kompas!P90</f>
        <v>8.8000000000000007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f t="shared" si="6"/>
        <v>8.4033613445378148E-3</v>
      </c>
    </row>
    <row r="385" spans="1:23" x14ac:dyDescent="0.35">
      <c r="A385">
        <f>Kompas!K91</f>
        <v>-0.93600000000000005</v>
      </c>
      <c r="B385">
        <f>Kompas!O91</f>
        <v>6385.6173068952321</v>
      </c>
      <c r="C385">
        <f>Kompas!P91</f>
        <v>-5.0999999999999996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f t="shared" si="6"/>
        <v>8.4033613445378148E-3</v>
      </c>
    </row>
    <row r="386" spans="1:23" x14ac:dyDescent="0.35">
      <c r="A386">
        <f>Kompas!K92</f>
        <v>-7.0469999999999997</v>
      </c>
      <c r="B386">
        <f>Kompas!O92</f>
        <v>349.34486347036096</v>
      </c>
      <c r="C386">
        <f>Kompas!P92</f>
        <v>17.899999999999999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f t="shared" si="6"/>
        <v>8.4033613445378148E-3</v>
      </c>
    </row>
    <row r="387" spans="1:23" x14ac:dyDescent="0.35">
      <c r="A387">
        <f>Kompas!K93</f>
        <v>-5.4489999999999998</v>
      </c>
      <c r="B387">
        <f>Kompas!O93</f>
        <v>15994.78055746439</v>
      </c>
      <c r="C387">
        <f>Kompas!P93</f>
        <v>24.6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f t="shared" si="6"/>
        <v>8.4033613445378148E-3</v>
      </c>
    </row>
    <row r="388" spans="1:23" x14ac:dyDescent="0.35">
      <c r="A388">
        <f>Kompas!K94</f>
        <v>-13.000999999999999</v>
      </c>
      <c r="B388">
        <f>Kompas!O94</f>
        <v>800.43110309607573</v>
      </c>
      <c r="C388">
        <f>Kompas!P94</f>
        <v>27.8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f t="shared" ref="W388:W451" si="7">SUMPRODUCT(D388:V388,D$1:V$1)</f>
        <v>8.4033613445378148E-3</v>
      </c>
    </row>
    <row r="389" spans="1:23" x14ac:dyDescent="0.35">
      <c r="A389">
        <f>Kompas!K95</f>
        <v>-11.651999999999999</v>
      </c>
      <c r="B389">
        <f>Kompas!O95</f>
        <v>34758.404334915285</v>
      </c>
      <c r="C389">
        <f>Kompas!P95</f>
        <v>26.4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f t="shared" si="7"/>
        <v>8.4033613445378148E-3</v>
      </c>
    </row>
    <row r="390" spans="1:23" x14ac:dyDescent="0.35">
      <c r="A390">
        <f>Kompas!K96</f>
        <v>-0.47</v>
      </c>
      <c r="B390">
        <f>Kompas!O96</f>
        <v>14161.797545718329</v>
      </c>
      <c r="C390">
        <f>Kompas!P96</f>
        <v>6.8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f t="shared" si="7"/>
        <v>8.4033613445378148E-3</v>
      </c>
    </row>
    <row r="391" spans="1:23" x14ac:dyDescent="0.35">
      <c r="A391">
        <f>Kompas!K97</f>
        <v>-0.51200000000000001</v>
      </c>
      <c r="B391">
        <f>Kompas!O97</f>
        <v>19054.257484924816</v>
      </c>
      <c r="C391">
        <f>Kompas!P97</f>
        <v>8.9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f t="shared" si="7"/>
        <v>8.4033613445378148E-3</v>
      </c>
    </row>
    <row r="392" spans="1:23" x14ac:dyDescent="0.35">
      <c r="A392">
        <f>Kompas!K98</f>
        <v>-2.464</v>
      </c>
      <c r="B392">
        <f>Kompas!O98</f>
        <v>5797.2434904439497</v>
      </c>
      <c r="C392">
        <f>Kompas!P98</f>
        <v>17.8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f t="shared" si="7"/>
        <v>8.4033613445378148E-3</v>
      </c>
    </row>
    <row r="393" spans="1:23" x14ac:dyDescent="0.35">
      <c r="A393">
        <f>Kompas!K99</f>
        <v>-1.498</v>
      </c>
      <c r="B393">
        <f>Kompas!O99</f>
        <v>22236.187948867053</v>
      </c>
      <c r="C393">
        <f>Kompas!P99</f>
        <v>11.5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f t="shared" si="7"/>
        <v>8.4033613445378148E-3</v>
      </c>
    </row>
    <row r="394" spans="1:23" x14ac:dyDescent="0.35">
      <c r="A394">
        <f>Kompas!K100</f>
        <v>-0.57499999999999996</v>
      </c>
      <c r="B394">
        <f>Kompas!O100</f>
        <v>25595.990106992766</v>
      </c>
      <c r="C394">
        <f>Kompas!P100</f>
        <v>13.3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f t="shared" si="7"/>
        <v>8.4033613445378148E-3</v>
      </c>
    </row>
    <row r="395" spans="1:23" x14ac:dyDescent="0.35">
      <c r="A395">
        <f>Kompas!K101</f>
        <v>-11.715999999999999</v>
      </c>
      <c r="B395">
        <f>Kompas!O101</f>
        <v>1610.0848370777339</v>
      </c>
      <c r="C395">
        <f>Kompas!P101</f>
        <v>26.9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f t="shared" si="7"/>
        <v>8.4033613445378148E-3</v>
      </c>
    </row>
    <row r="396" spans="1:23" x14ac:dyDescent="0.35">
      <c r="A396">
        <f>Kompas!K102</f>
        <v>-0.34899999999999998</v>
      </c>
      <c r="B396">
        <f>Kompas!O102</f>
        <v>42825.675932195161</v>
      </c>
      <c r="C396">
        <f>Kompas!P102</f>
        <v>2.1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f t="shared" si="7"/>
        <v>8.4033613445378148E-3</v>
      </c>
    </row>
    <row r="397" spans="1:23" x14ac:dyDescent="0.35">
      <c r="A397">
        <f>Kompas!K103</f>
        <v>-0.35499999999999998</v>
      </c>
      <c r="B397">
        <f>Kompas!O103</f>
        <v>54642.81108074497</v>
      </c>
      <c r="C397">
        <f>Kompas!P103</f>
        <v>5.5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f t="shared" si="7"/>
        <v>8.4033613445378148E-3</v>
      </c>
    </row>
    <row r="398" spans="1:23" x14ac:dyDescent="0.35">
      <c r="A398">
        <f>Kompas!K105</f>
        <v>-6.9880000000000004</v>
      </c>
      <c r="B398">
        <f>Kompas!O105</f>
        <v>438.4920862852793</v>
      </c>
      <c r="C398">
        <f>Kompas!P105</f>
        <v>22.3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f t="shared" si="7"/>
        <v>8.4033613445378148E-3</v>
      </c>
    </row>
    <row r="399" spans="1:23" x14ac:dyDescent="0.35">
      <c r="A399">
        <f>Kompas!K106</f>
        <v>-9.2430000000000003</v>
      </c>
      <c r="B399">
        <f>Kompas!O106</f>
        <v>3163.9038450709104</v>
      </c>
      <c r="C399">
        <f>Kompas!P106</f>
        <v>26.3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f t="shared" si="7"/>
        <v>8.4033613445378148E-3</v>
      </c>
    </row>
    <row r="400" spans="1:23" x14ac:dyDescent="0.35">
      <c r="A400">
        <f>Kompas!K107</f>
        <v>-19.032</v>
      </c>
      <c r="B400">
        <f>Kompas!O107</f>
        <v>392.85505650149429</v>
      </c>
      <c r="C400">
        <f>Kompas!P107</f>
        <v>27.1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f t="shared" si="7"/>
        <v>8.4033613445378148E-3</v>
      </c>
    </row>
    <row r="401" spans="1:23" x14ac:dyDescent="0.35">
      <c r="A401">
        <f>Kompas!K108</f>
        <v>-7.3570000000000002</v>
      </c>
      <c r="B401">
        <f>Kompas!O108</f>
        <v>14297.889414135465</v>
      </c>
      <c r="C401">
        <f>Kompas!P108</f>
        <v>25.7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f t="shared" si="7"/>
        <v>8.4033613445378148E-3</v>
      </c>
    </row>
    <row r="402" spans="1:23" x14ac:dyDescent="0.35">
      <c r="A402">
        <f>Kompas!K109</f>
        <v>-3.052</v>
      </c>
      <c r="B402">
        <f>Kompas!O109</f>
        <v>3861.5088997834828</v>
      </c>
      <c r="C402">
        <f>Kompas!P109</f>
        <v>19.2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f t="shared" si="7"/>
        <v>8.4033613445378148E-3</v>
      </c>
    </row>
    <row r="403" spans="1:23" x14ac:dyDescent="0.35">
      <c r="A403">
        <f>Kompas!K110</f>
        <v>-1.54</v>
      </c>
      <c r="B403">
        <f>Kompas!O110</f>
        <v>7833.5285846205052</v>
      </c>
      <c r="C403">
        <f>Kompas!P110</f>
        <v>11.1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f t="shared" si="7"/>
        <v>8.4033613445378148E-3</v>
      </c>
    </row>
    <row r="404" spans="1:23" x14ac:dyDescent="0.35">
      <c r="A404">
        <f>Kompas!K111</f>
        <v>-6.3280000000000003</v>
      </c>
      <c r="B404">
        <f>Kompas!O111</f>
        <v>393.14887775627386</v>
      </c>
      <c r="C404">
        <f>Kompas!P111</f>
        <v>22.8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f t="shared" si="7"/>
        <v>8.4033613445378148E-3</v>
      </c>
    </row>
    <row r="405" spans="1:23" x14ac:dyDescent="0.35">
      <c r="A405">
        <f>Kompas!K112</f>
        <v>-0.25</v>
      </c>
      <c r="B405">
        <f>Kompas!O112</f>
        <v>1974.6211818802449</v>
      </c>
      <c r="C405">
        <f>Kompas!P112</f>
        <v>8.3000000000000007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f t="shared" si="7"/>
        <v>8.4033613445378148E-3</v>
      </c>
    </row>
    <row r="406" spans="1:23" x14ac:dyDescent="0.35">
      <c r="A406">
        <f>Kompas!K113</f>
        <v>-7.6840000000000002</v>
      </c>
      <c r="B406">
        <f>Kompas!O113</f>
        <v>24219.297645532275</v>
      </c>
      <c r="C406">
        <f>Kompas!P113</f>
        <v>27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f t="shared" si="7"/>
        <v>8.4033613445378148E-3</v>
      </c>
    </row>
    <row r="407" spans="1:23" x14ac:dyDescent="0.35">
      <c r="A407">
        <f>Kompas!K114</f>
        <v>-0.42199999999999999</v>
      </c>
      <c r="B407">
        <f>Kompas!O114</f>
        <v>37899.295520911917</v>
      </c>
      <c r="C407">
        <f>Kompas!P114</f>
        <v>8.4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f t="shared" si="7"/>
        <v>8.4033613445378148E-3</v>
      </c>
    </row>
    <row r="408" spans="1:23" x14ac:dyDescent="0.35">
      <c r="A408">
        <f>Kompas!K115</f>
        <v>-1.776</v>
      </c>
      <c r="B408">
        <f>Kompas!O115</f>
        <v>6791.0504176996537</v>
      </c>
      <c r="C408">
        <f>Kompas!P115</f>
        <v>17.5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f t="shared" si="7"/>
        <v>8.4033613445378148E-3</v>
      </c>
    </row>
    <row r="409" spans="1:23" x14ac:dyDescent="0.35">
      <c r="A409">
        <f>Kompas!K116</f>
        <v>-0.622</v>
      </c>
      <c r="B409">
        <f>Kompas!O116</f>
        <v>43952.446494287382</v>
      </c>
      <c r="C409">
        <f>Kompas!P116</f>
        <v>8.5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f t="shared" si="7"/>
        <v>8.4033613445378148E-3</v>
      </c>
    </row>
    <row r="410" spans="1:23" x14ac:dyDescent="0.35">
      <c r="A410">
        <f>Kompas!K117</f>
        <v>-3.6139999999999999</v>
      </c>
      <c r="B410">
        <f>Kompas!O117</f>
        <v>6010.0797889966334</v>
      </c>
      <c r="C410">
        <f>Kompas!P117</f>
        <v>25.3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f t="shared" si="7"/>
        <v>8.4033613445378148E-3</v>
      </c>
    </row>
    <row r="411" spans="1:23" x14ac:dyDescent="0.35">
      <c r="A411">
        <f>Kompas!K118</f>
        <v>-7.9589999999999996</v>
      </c>
      <c r="B411">
        <f>Kompas!O118</f>
        <v>900.49369266691042</v>
      </c>
      <c r="C411">
        <f>Kompas!P118</f>
        <v>24.4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f t="shared" si="7"/>
        <v>8.4033613445378148E-3</v>
      </c>
    </row>
    <row r="412" spans="1:23" x14ac:dyDescent="0.35">
      <c r="A412">
        <f>Kompas!K119</f>
        <v>-4.4139999999999997</v>
      </c>
      <c r="B412">
        <f>Kompas!O119</f>
        <v>2131.0935359039281</v>
      </c>
      <c r="C412">
        <f>Kompas!P119</f>
        <v>24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f t="shared" si="7"/>
        <v>8.4033613445378148E-3</v>
      </c>
    </row>
    <row r="413" spans="1:23" x14ac:dyDescent="0.35">
      <c r="A413">
        <f>Kompas!K120</f>
        <v>-4.423</v>
      </c>
      <c r="B413">
        <f>Kompas!O120</f>
        <v>741.44209139426641</v>
      </c>
      <c r="C413">
        <f>Kompas!P120</f>
        <v>21.4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f t="shared" si="7"/>
        <v>8.4033613445378148E-3</v>
      </c>
    </row>
    <row r="414" spans="1:23" x14ac:dyDescent="0.35">
      <c r="A414">
        <f>Kompas!K121</f>
        <v>-4.9770000000000003</v>
      </c>
      <c r="B414">
        <f>Kompas!O121</f>
        <v>397.82159673579832</v>
      </c>
      <c r="C414">
        <f>Kompas!P121</f>
        <v>21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f t="shared" si="7"/>
        <v>8.4033613445378148E-3</v>
      </c>
    </row>
    <row r="415" spans="1:23" x14ac:dyDescent="0.35">
      <c r="A415">
        <f>Mendelsohn!B5</f>
        <v>-0.2</v>
      </c>
      <c r="B415">
        <f>Mendelsohn!K5</f>
        <v>552.50918105058452</v>
      </c>
      <c r="C415">
        <f>Mendelsohn!L5</f>
        <v>22.363440631224808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f t="shared" si="7"/>
        <v>0.125</v>
      </c>
    </row>
    <row r="416" spans="1:23" x14ac:dyDescent="0.35">
      <c r="A416">
        <f>Mendelsohn!B6</f>
        <v>-0.4</v>
      </c>
      <c r="B416">
        <f>Mendelsohn!K6</f>
        <v>1976.2145394447914</v>
      </c>
      <c r="C416">
        <f>Mendelsohn!L6</f>
        <v>17.267907822545173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f t="shared" si="7"/>
        <v>0.125</v>
      </c>
    </row>
    <row r="417" spans="1:23" x14ac:dyDescent="0.35">
      <c r="A417">
        <f>Mendelsohn!B7</f>
        <v>0.8</v>
      </c>
      <c r="B417">
        <f>Mendelsohn!K7</f>
        <v>6667.8554103515198</v>
      </c>
      <c r="C417">
        <f>Mendelsohn!L7</f>
        <v>15.10945271854532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f t="shared" si="7"/>
        <v>0.125</v>
      </c>
    </row>
    <row r="418" spans="1:23" x14ac:dyDescent="0.35">
      <c r="A418">
        <f>Mendelsohn!B8</f>
        <v>0.2</v>
      </c>
      <c r="B418">
        <f>Mendelsohn!K8</f>
        <v>36181.806441981382</v>
      </c>
      <c r="C418">
        <f>Mendelsohn!L8</f>
        <v>10.508014108066311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f t="shared" si="7"/>
        <v>0.125</v>
      </c>
    </row>
    <row r="419" spans="1:23" x14ac:dyDescent="0.35">
      <c r="A419">
        <f>Mendelsohn!C5</f>
        <v>-1.4</v>
      </c>
      <c r="B419">
        <f>Mendelsohn!K5</f>
        <v>552.50918105058452</v>
      </c>
      <c r="C419">
        <f>Mendelsohn!L5</f>
        <v>22.363440631224808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f t="shared" si="7"/>
        <v>0.125</v>
      </c>
    </row>
    <row r="420" spans="1:23" x14ac:dyDescent="0.35">
      <c r="A420">
        <f>Mendelsohn!C6</f>
        <v>1.6</v>
      </c>
      <c r="B420">
        <f>Mendelsohn!K6</f>
        <v>1976.2145394447914</v>
      </c>
      <c r="C420">
        <f>Mendelsohn!L6</f>
        <v>17.267907822545173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f t="shared" si="7"/>
        <v>0.125</v>
      </c>
    </row>
    <row r="421" spans="1:23" x14ac:dyDescent="0.35">
      <c r="A421">
        <f>Mendelsohn!C7</f>
        <v>2.1</v>
      </c>
      <c r="B421">
        <f>Mendelsohn!K7</f>
        <v>6667.8554103515198</v>
      </c>
      <c r="C421">
        <f>Mendelsohn!L7</f>
        <v>15.10945271854532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f t="shared" si="7"/>
        <v>0.125</v>
      </c>
    </row>
    <row r="422" spans="1:23" x14ac:dyDescent="0.35">
      <c r="A422">
        <f>Mendelsohn!C8</f>
        <v>0.9</v>
      </c>
      <c r="B422">
        <f>Mendelsohn!K8</f>
        <v>36181.806441981382</v>
      </c>
      <c r="C422">
        <f>Mendelsohn!L8</f>
        <v>10.508014108066311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f t="shared" si="7"/>
        <v>0.125</v>
      </c>
    </row>
    <row r="423" spans="1:23" x14ac:dyDescent="0.35">
      <c r="A423" s="5">
        <f>-Maddison!J3</f>
        <v>1.2</v>
      </c>
      <c r="B423" s="8">
        <f>Maddison!H3</f>
        <v>7274.3904532313973</v>
      </c>
      <c r="C423" s="8">
        <f>Maddison!I3</f>
        <v>14.8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f t="shared" si="7"/>
        <v>1.2195121951219513E-2</v>
      </c>
    </row>
    <row r="424" spans="1:23" x14ac:dyDescent="0.35">
      <c r="A424" s="5">
        <f>-Maddison!J4</f>
        <v>1.6</v>
      </c>
      <c r="B424" s="8">
        <f>Maddison!H4</f>
        <v>36140.105242213795</v>
      </c>
      <c r="C424" s="8">
        <f>Maddison!I4</f>
        <v>21.6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f t="shared" si="7"/>
        <v>1.2195121951219513E-2</v>
      </c>
    </row>
    <row r="425" spans="1:23" x14ac:dyDescent="0.35">
      <c r="A425" s="5">
        <f>-Maddison!J5</f>
        <v>1.8</v>
      </c>
      <c r="B425" s="8">
        <f>Maddison!H5</f>
        <v>38803.235792365253</v>
      </c>
      <c r="C425" s="8">
        <f>Maddison!I5</f>
        <v>6.3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f t="shared" si="7"/>
        <v>1.2195121951219513E-2</v>
      </c>
    </row>
    <row r="426" spans="1:23" x14ac:dyDescent="0.35">
      <c r="A426" s="5">
        <f>-Maddison!J6</f>
        <v>-3.2</v>
      </c>
      <c r="B426" s="8">
        <f>Maddison!H6</f>
        <v>21013.899093651864</v>
      </c>
      <c r="C426" s="8">
        <f>Maddison!I6</f>
        <v>24.8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f t="shared" si="7"/>
        <v>1.2195121951219513E-2</v>
      </c>
    </row>
    <row r="427" spans="1:23" x14ac:dyDescent="0.35">
      <c r="A427" s="5">
        <f>-Maddison!J7</f>
        <v>-2.6</v>
      </c>
      <c r="B427" s="8">
        <f>Maddison!H7</f>
        <v>539.09993134762863</v>
      </c>
      <c r="C427" s="8">
        <f>Maddison!I7</f>
        <v>25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f t="shared" si="7"/>
        <v>1.2195121951219513E-2</v>
      </c>
    </row>
    <row r="428" spans="1:23" x14ac:dyDescent="0.35">
      <c r="A428" s="5">
        <f>-Maddison!J8</f>
        <v>-3.2</v>
      </c>
      <c r="B428" s="8">
        <f>Maddison!H8</f>
        <v>14383.678172735552</v>
      </c>
      <c r="C428" s="8">
        <f>Maddison!I8</f>
        <v>26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f t="shared" si="7"/>
        <v>1.2195121951219513E-2</v>
      </c>
    </row>
    <row r="429" spans="1:23" x14ac:dyDescent="0.35">
      <c r="A429" s="5">
        <f>-Maddison!J9</f>
        <v>3.4</v>
      </c>
      <c r="B429" s="8">
        <f>Maddison!H9</f>
        <v>36747.279047091397</v>
      </c>
      <c r="C429" s="8">
        <f>Maddison!I9</f>
        <v>9.6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f t="shared" si="7"/>
        <v>1.2195121951219513E-2</v>
      </c>
    </row>
    <row r="430" spans="1:23" x14ac:dyDescent="0.35">
      <c r="A430" s="5">
        <f>-Maddison!J10</f>
        <v>-7.2</v>
      </c>
      <c r="B430" s="8">
        <f>Maddison!H10</f>
        <v>550.04454433952765</v>
      </c>
      <c r="C430" s="8">
        <f>Maddison!I10</f>
        <v>27.5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f t="shared" si="7"/>
        <v>1.2195121951219513E-2</v>
      </c>
    </row>
    <row r="431" spans="1:23" x14ac:dyDescent="0.35">
      <c r="A431" s="5">
        <f>-Maddison!J12</f>
        <v>-2.6</v>
      </c>
      <c r="B431" s="8">
        <f>Maddison!H12</f>
        <v>6152.7263733715708</v>
      </c>
      <c r="C431" s="8">
        <f>Maddison!I12</f>
        <v>21.5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 t="shared" si="7"/>
        <v>1.2195121951219513E-2</v>
      </c>
    </row>
    <row r="432" spans="1:23" x14ac:dyDescent="0.35">
      <c r="A432" s="5">
        <f>-Maddison!J13</f>
        <v>-3.5</v>
      </c>
      <c r="B432" s="8">
        <f>Maddison!H13</f>
        <v>5618.3246002281494</v>
      </c>
      <c r="C432" s="8">
        <f>Maddison!I13</f>
        <v>24.9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f t="shared" si="7"/>
        <v>1.2195121951219513E-2</v>
      </c>
    </row>
    <row r="433" spans="1:23" x14ac:dyDescent="0.35">
      <c r="A433" s="5">
        <f>-Maddison!J14</f>
        <v>-0.4</v>
      </c>
      <c r="B433" s="8">
        <f>Maddison!H14</f>
        <v>931.41534703166633</v>
      </c>
      <c r="C433" s="8">
        <f>Maddison!I14</f>
        <v>24.6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7"/>
        <v>1.2195121951219513E-2</v>
      </c>
    </row>
    <row r="434" spans="1:23" x14ac:dyDescent="0.35">
      <c r="A434" s="5">
        <f>-Maddison!J15</f>
        <v>2.5</v>
      </c>
      <c r="B434" s="8">
        <f>Maddison!H15</f>
        <v>36337.22567382102</v>
      </c>
      <c r="C434" s="8">
        <f>Maddison!I15</f>
        <v>-5.4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7"/>
        <v>1.2195121951219513E-2</v>
      </c>
    </row>
    <row r="435" spans="1:23" x14ac:dyDescent="0.35">
      <c r="A435" s="5">
        <f>-Maddison!J16</f>
        <v>14.8</v>
      </c>
      <c r="B435" s="8">
        <f>Maddison!H16</f>
        <v>8610.0220425441075</v>
      </c>
      <c r="C435" s="8">
        <f>Maddison!I16</f>
        <v>8.5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f t="shared" si="7"/>
        <v>1.2195121951219513E-2</v>
      </c>
    </row>
    <row r="436" spans="1:23" x14ac:dyDescent="0.35">
      <c r="A436" s="5">
        <f>-Maddison!J18</f>
        <v>-3.3</v>
      </c>
      <c r="B436" s="8">
        <f>Maddison!H18</f>
        <v>1909.827611710635</v>
      </c>
      <c r="C436" s="8">
        <f>Maddison!I18</f>
        <v>24.5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f t="shared" si="7"/>
        <v>1.2195121951219513E-2</v>
      </c>
    </row>
    <row r="437" spans="1:23" x14ac:dyDescent="0.35">
      <c r="A437" s="5">
        <f>-Maddison!J19</f>
        <v>-3.8</v>
      </c>
      <c r="B437" s="8">
        <f>Maddison!H19</f>
        <v>5357.4903708933716</v>
      </c>
      <c r="C437" s="8">
        <f>Maddison!I19</f>
        <v>24.8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7"/>
        <v>1.2195121951219513E-2</v>
      </c>
    </row>
    <row r="438" spans="1:23" x14ac:dyDescent="0.35">
      <c r="A438" s="5">
        <f>-Maddison!J20</f>
        <v>3</v>
      </c>
      <c r="B438" s="8">
        <f>Maddison!H20</f>
        <v>46292.736560813282</v>
      </c>
      <c r="C438" s="8">
        <f>Maddison!I20</f>
        <v>7.5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7"/>
        <v>1.2195121951219513E-2</v>
      </c>
    </row>
    <row r="439" spans="1:23" x14ac:dyDescent="0.35">
      <c r="A439" s="5">
        <f>-Maddison!J21</f>
        <v>-0.9</v>
      </c>
      <c r="B439" s="8">
        <f>Maddison!H21</f>
        <v>6355.9314560512476</v>
      </c>
      <c r="C439" s="8">
        <f>Maddison!I21</f>
        <v>22.3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f t="shared" si="7"/>
        <v>1.2195121951219513E-2</v>
      </c>
    </row>
    <row r="440" spans="1:23" x14ac:dyDescent="0.35">
      <c r="A440" s="5">
        <f>-Maddison!J22</f>
        <v>-70.7</v>
      </c>
      <c r="B440" s="8">
        <f>Maddison!H22</f>
        <v>3250.7458870185928</v>
      </c>
      <c r="C440" s="8">
        <f>Maddison!I22</f>
        <v>21.8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7"/>
        <v>1.2195121951219513E-2</v>
      </c>
    </row>
    <row r="441" spans="1:23" x14ac:dyDescent="0.35">
      <c r="A441" s="5">
        <f>-Maddison!J23</f>
        <v>-3.1</v>
      </c>
      <c r="B441" s="8">
        <f>Maddison!H23</f>
        <v>1550.2405578416574</v>
      </c>
      <c r="C441" s="8">
        <f>Maddison!I23</f>
        <v>22.1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f t="shared" si="7"/>
        <v>1.2195121951219513E-2</v>
      </c>
    </row>
    <row r="442" spans="1:23" x14ac:dyDescent="0.35">
      <c r="A442" s="5">
        <f>-Maddison!J24</f>
        <v>-1.8</v>
      </c>
      <c r="B442" s="8">
        <f>Maddison!H24</f>
        <v>2949.613728722712</v>
      </c>
      <c r="C442" s="8">
        <f>Maddison!I24</f>
        <v>24.4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f t="shared" si="7"/>
        <v>1.2195121951219513E-2</v>
      </c>
    </row>
    <row r="443" spans="1:23" x14ac:dyDescent="0.35">
      <c r="A443" s="5">
        <f>-Maddison!J26</f>
        <v>2.1</v>
      </c>
      <c r="B443" s="8">
        <f>Maddison!H26</f>
        <v>38064.653322818347</v>
      </c>
      <c r="C443" s="8">
        <f>Maddison!I26</f>
        <v>1.7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f t="shared" si="7"/>
        <v>1.2195121951219513E-2</v>
      </c>
    </row>
    <row r="444" spans="1:23" x14ac:dyDescent="0.35">
      <c r="A444" s="5">
        <f>-Maddison!J27</f>
        <v>2</v>
      </c>
      <c r="B444" s="8">
        <f>Maddison!H27</f>
        <v>33898.26965325878</v>
      </c>
      <c r="C444" s="8">
        <f>Maddison!I27</f>
        <v>10.7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f t="shared" si="7"/>
        <v>1.2195121951219513E-2</v>
      </c>
    </row>
    <row r="445" spans="1:23" x14ac:dyDescent="0.35">
      <c r="A445" s="5">
        <f>-Maddison!J28</f>
        <v>2</v>
      </c>
      <c r="B445" s="8">
        <f>Maddison!H28</f>
        <v>36127.047700224583</v>
      </c>
      <c r="C445" s="8">
        <f>Maddison!I28</f>
        <v>8.4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f t="shared" si="7"/>
        <v>1.2195121951219513E-2</v>
      </c>
    </row>
    <row r="446" spans="1:23" x14ac:dyDescent="0.35">
      <c r="A446" s="5">
        <f>-Maddison!J29</f>
        <v>-0.1</v>
      </c>
      <c r="B446" s="8">
        <f>Maddison!H29</f>
        <v>21308.962091753539</v>
      </c>
      <c r="C446" s="8">
        <f>Maddison!I29</f>
        <v>15.4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f t="shared" si="7"/>
        <v>1.2195121951219513E-2</v>
      </c>
    </row>
    <row r="447" spans="1:23" x14ac:dyDescent="0.35">
      <c r="A447" s="5">
        <f>-Maddison!J31</f>
        <v>-10.5</v>
      </c>
      <c r="B447" s="8">
        <f>Maddison!H31</f>
        <v>2270.0961392922113</v>
      </c>
      <c r="C447" s="8">
        <f>Maddison!I31</f>
        <v>23.4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f t="shared" si="7"/>
        <v>1.2195121951219513E-2</v>
      </c>
    </row>
    <row r="448" spans="1:23" x14ac:dyDescent="0.35">
      <c r="A448" s="5">
        <f>-Maddison!J32</f>
        <v>-16.3</v>
      </c>
      <c r="B448" s="8">
        <f>Maddison!H32</f>
        <v>1514.9920435883439</v>
      </c>
      <c r="C448" s="8">
        <f>Maddison!I32</f>
        <v>23.5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f t="shared" si="7"/>
        <v>1.2195121951219513E-2</v>
      </c>
    </row>
    <row r="449" spans="1:23" x14ac:dyDescent="0.35">
      <c r="A449" s="5">
        <f>-Maddison!J33</f>
        <v>-0.8</v>
      </c>
      <c r="B449" s="8">
        <f>Maddison!H33</f>
        <v>31328.585208738998</v>
      </c>
      <c r="C449" s="8">
        <f>Maddison!I33</f>
        <v>22.7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f t="shared" si="7"/>
        <v>1.2195121951219513E-2</v>
      </c>
    </row>
    <row r="450" spans="1:23" x14ac:dyDescent="0.35">
      <c r="A450" s="5">
        <f>-Maddison!J34</f>
        <v>1.9</v>
      </c>
      <c r="B450" s="8">
        <f>Maddison!H34</f>
        <v>10926.468951505391</v>
      </c>
      <c r="C450" s="8">
        <f>Maddison!I34</f>
        <v>9.8000000000000007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f t="shared" si="7"/>
        <v>1.2195121951219513E-2</v>
      </c>
    </row>
    <row r="451" spans="1:23" x14ac:dyDescent="0.35">
      <c r="A451" s="5">
        <f>-Maddison!J35</f>
        <v>2.6</v>
      </c>
      <c r="B451" s="8">
        <f>Maddison!H35</f>
        <v>51528.384416011126</v>
      </c>
      <c r="C451" s="8">
        <f>Maddison!I35</f>
        <v>1.7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f t="shared" si="7"/>
        <v>1.2195121951219513E-2</v>
      </c>
    </row>
    <row r="452" spans="1:23" x14ac:dyDescent="0.35">
      <c r="A452" s="5">
        <f>-Maddison!J36</f>
        <v>-11</v>
      </c>
      <c r="B452" s="8">
        <f>Maddison!H36</f>
        <v>1031.5611094455749</v>
      </c>
      <c r="C452" s="8">
        <f>Maddison!I36</f>
        <v>23.7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f t="shared" ref="W452:W515" si="8">SUMPRODUCT(D452:V452,D$1:V$1)</f>
        <v>1.2195121951219513E-2</v>
      </c>
    </row>
    <row r="453" spans="1:23" x14ac:dyDescent="0.35">
      <c r="A453" s="5">
        <f>-Maddison!J37</f>
        <v>-1.2</v>
      </c>
      <c r="B453" s="8">
        <f>Maddison!H37</f>
        <v>1570.1529365014842</v>
      </c>
      <c r="C453" s="8">
        <f>Maddison!I37</f>
        <v>25.8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f t="shared" si="8"/>
        <v>1.2195121951219513E-2</v>
      </c>
    </row>
    <row r="454" spans="1:23" x14ac:dyDescent="0.35">
      <c r="A454" s="5">
        <f>-Maddison!J38</f>
        <v>0</v>
      </c>
      <c r="B454" s="8">
        <f>Maddison!H38</f>
        <v>3259.3987232145187</v>
      </c>
      <c r="C454" s="8">
        <f>Maddison!I38</f>
        <v>17.2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f t="shared" si="8"/>
        <v>1.2195121951219513E-2</v>
      </c>
    </row>
    <row r="455" spans="1:23" x14ac:dyDescent="0.35">
      <c r="A455" s="5">
        <f>-Maddison!J39</f>
        <v>5.2</v>
      </c>
      <c r="B455" s="8">
        <f>Maddison!H39</f>
        <v>45438.261855700264</v>
      </c>
      <c r="C455" s="8">
        <f>Maddison!I39</f>
        <v>9.3000000000000007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f t="shared" si="8"/>
        <v>1.2195121951219513E-2</v>
      </c>
    </row>
    <row r="456" spans="1:23" x14ac:dyDescent="0.35">
      <c r="A456" s="5">
        <f>-Maddison!J40</f>
        <v>-2.6</v>
      </c>
      <c r="B456" s="8">
        <f>Maddison!H40</f>
        <v>22169.403538765182</v>
      </c>
      <c r="C456" s="8">
        <f>Maddison!I40</f>
        <v>19.2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f t="shared" si="8"/>
        <v>1.2195121951219513E-2</v>
      </c>
    </row>
    <row r="457" spans="1:23" x14ac:dyDescent="0.35">
      <c r="A457" s="5">
        <f>-Maddison!J41</f>
        <v>0.6</v>
      </c>
      <c r="B457" s="8">
        <f>Maddison!H41</f>
        <v>29163.146051932734</v>
      </c>
      <c r="C457" s="8">
        <f>Maddison!I41</f>
        <v>13.4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f t="shared" si="8"/>
        <v>1.2195121951219513E-2</v>
      </c>
    </row>
    <row r="458" spans="1:23" x14ac:dyDescent="0.35">
      <c r="A458" s="5">
        <f>-Maddison!J42</f>
        <v>-3.2</v>
      </c>
      <c r="B458" s="8">
        <f>Maddison!H42</f>
        <v>957.65895361709386</v>
      </c>
      <c r="C458" s="8">
        <f>Maddison!I42</f>
        <v>26.3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f t="shared" si="8"/>
        <v>1.2195121951219513E-2</v>
      </c>
    </row>
    <row r="459" spans="1:23" x14ac:dyDescent="0.35">
      <c r="A459" s="5">
        <f>-Maddison!J44</f>
        <v>0.4</v>
      </c>
      <c r="B459" s="8">
        <f>Maddison!H44</f>
        <v>36472.749157637452</v>
      </c>
      <c r="C459" s="8">
        <f>Maddison!I44</f>
        <v>11.1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f t="shared" si="8"/>
        <v>1.2195121951219513E-2</v>
      </c>
    </row>
    <row r="460" spans="1:23" x14ac:dyDescent="0.35">
      <c r="A460" s="5">
        <f>-Maddison!J45</f>
        <v>-9.6999999999999993</v>
      </c>
      <c r="B460" s="8">
        <f>Maddison!H45</f>
        <v>575.06029636736923</v>
      </c>
      <c r="C460" s="8">
        <f>Maddison!I45</f>
        <v>24.7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f t="shared" si="8"/>
        <v>1.2195121951219513E-2</v>
      </c>
    </row>
    <row r="461" spans="1:23" x14ac:dyDescent="0.35">
      <c r="A461" s="5">
        <f>-Maddison!J46</f>
        <v>3.1</v>
      </c>
      <c r="B461" s="8">
        <f>Maddison!H46</f>
        <v>80276.011290059658</v>
      </c>
      <c r="C461" s="8">
        <f>Maddison!I46</f>
        <v>8.6999999999999993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f t="shared" si="8"/>
        <v>1.2195121951219513E-2</v>
      </c>
    </row>
    <row r="462" spans="1:23" x14ac:dyDescent="0.35">
      <c r="A462" s="5">
        <f>-Maddison!J47</f>
        <v>-1.9</v>
      </c>
      <c r="B462" s="8">
        <f>Maddison!H47</f>
        <v>273.22480306218836</v>
      </c>
      <c r="C462" s="8">
        <f>Maddison!I47</f>
        <v>22.6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f t="shared" si="8"/>
        <v>1.2195121951219513E-2</v>
      </c>
    </row>
    <row r="463" spans="1:23" x14ac:dyDescent="0.35">
      <c r="A463" s="5">
        <f>-Maddison!J48</f>
        <v>-12.4</v>
      </c>
      <c r="B463" s="8">
        <f>Maddison!H48</f>
        <v>219.15076343135976</v>
      </c>
      <c r="C463" s="8">
        <f>Maddison!I48</f>
        <v>21.9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f t="shared" si="8"/>
        <v>1.2195121951219513E-2</v>
      </c>
    </row>
    <row r="464" spans="1:23" x14ac:dyDescent="0.35">
      <c r="A464" s="5">
        <f>-Maddison!J49</f>
        <v>0</v>
      </c>
      <c r="B464" s="8">
        <f>Maddison!H49</f>
        <v>6318.9012128220729</v>
      </c>
      <c r="C464" s="8">
        <f>Maddison!I49</f>
        <v>25.4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f t="shared" si="8"/>
        <v>1.2195121951219513E-2</v>
      </c>
    </row>
    <row r="465" spans="1:23" x14ac:dyDescent="0.35">
      <c r="A465" s="5">
        <f>-Maddison!J50</f>
        <v>-4.8</v>
      </c>
      <c r="B465" s="8">
        <f>Maddison!H50</f>
        <v>498.47514810755899</v>
      </c>
      <c r="C465" s="8">
        <f>Maddison!I50</f>
        <v>28.2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f t="shared" si="8"/>
        <v>1.2195121951219513E-2</v>
      </c>
    </row>
    <row r="466" spans="1:23" x14ac:dyDescent="0.35">
      <c r="A466" s="5">
        <f>-Maddison!J51</f>
        <v>-4.7</v>
      </c>
      <c r="B466" s="8">
        <f>Maddison!H51</f>
        <v>6109.775155938677</v>
      </c>
      <c r="C466" s="8">
        <f>Maddison!I51</f>
        <v>22.4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f t="shared" si="8"/>
        <v>1.2195121951219513E-2</v>
      </c>
    </row>
    <row r="467" spans="1:23" x14ac:dyDescent="0.35">
      <c r="A467" s="5">
        <f>-Maddison!J52</f>
        <v>-11.8</v>
      </c>
      <c r="B467" s="8">
        <f>Maddison!H52</f>
        <v>8084.6290001796442</v>
      </c>
      <c r="C467" s="8">
        <f>Maddison!I52</f>
        <v>21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f t="shared" si="8"/>
        <v>1.2195121951219513E-2</v>
      </c>
    </row>
    <row r="468" spans="1:23" x14ac:dyDescent="0.35">
      <c r="A468" s="5">
        <f>-Maddison!J53</f>
        <v>-6</v>
      </c>
      <c r="B468" s="8">
        <f>Maddison!H53</f>
        <v>2386.7846716762692</v>
      </c>
      <c r="C468" s="8">
        <f>Maddison!I53</f>
        <v>17.100000000000001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f t="shared" si="8"/>
        <v>1.2195121951219513E-2</v>
      </c>
    </row>
    <row r="469" spans="1:23" x14ac:dyDescent="0.35">
      <c r="A469" s="5">
        <f>-Maddison!J54</f>
        <v>-1.8</v>
      </c>
      <c r="B469" s="8">
        <f>Maddison!H54</f>
        <v>376.34220962776232</v>
      </c>
      <c r="C469" s="8">
        <f>Maddison!I54</f>
        <v>8.1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f t="shared" si="8"/>
        <v>1.2195121951219513E-2</v>
      </c>
    </row>
    <row r="470" spans="1:23" x14ac:dyDescent="0.35">
      <c r="A470" s="5">
        <f>-Maddison!J55</f>
        <v>3.4</v>
      </c>
      <c r="B470" s="8">
        <f>Maddison!H55</f>
        <v>41110.27840287541</v>
      </c>
      <c r="C470" s="8">
        <f>Maddison!I55</f>
        <v>9.1999999999999993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f t="shared" si="8"/>
        <v>1.2195121951219513E-2</v>
      </c>
    </row>
    <row r="471" spans="1:23" x14ac:dyDescent="0.35">
      <c r="A471" s="5">
        <f>-Maddison!J56</f>
        <v>1.3</v>
      </c>
      <c r="B471" s="8">
        <f>Maddison!H56</f>
        <v>27483.511003152802</v>
      </c>
      <c r="C471" s="8">
        <f>Maddison!I56</f>
        <v>10.5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f t="shared" si="8"/>
        <v>1.2195121951219513E-2</v>
      </c>
    </row>
    <row r="472" spans="1:23" x14ac:dyDescent="0.35">
      <c r="A472" s="5">
        <f>-Maddison!J57</f>
        <v>-3.5</v>
      </c>
      <c r="B472" s="8">
        <f>Maddison!H57</f>
        <v>995.6802013953959</v>
      </c>
      <c r="C472" s="8">
        <f>Maddison!I57</f>
        <v>26.8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f t="shared" si="8"/>
        <v>1.2195121951219513E-2</v>
      </c>
    </row>
    <row r="473" spans="1:23" x14ac:dyDescent="0.35">
      <c r="A473" s="5">
        <f>-Maddison!J58</f>
        <v>1.9</v>
      </c>
      <c r="B473" s="8">
        <f>Maddison!H58</f>
        <v>64589.974659965468</v>
      </c>
      <c r="C473" s="8">
        <f>Maddison!I58</f>
        <v>1.5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f t="shared" si="8"/>
        <v>1.2195121951219513E-2</v>
      </c>
    </row>
    <row r="474" spans="1:23" x14ac:dyDescent="0.35">
      <c r="A474" s="5">
        <f>-Maddison!J59</f>
        <v>-11.9</v>
      </c>
      <c r="B474" s="8">
        <f>Maddison!H59</f>
        <v>748.01048783794772</v>
      </c>
      <c r="C474" s="8">
        <f>Maddison!I59</f>
        <v>20.2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f t="shared" si="8"/>
        <v>1.2195121951219513E-2</v>
      </c>
    </row>
    <row r="475" spans="1:23" x14ac:dyDescent="0.35">
      <c r="A475" s="5">
        <f>-Maddison!J60</f>
        <v>-1.3</v>
      </c>
      <c r="B475" s="8">
        <f>Maddison!H60</f>
        <v>6145.3352543359524</v>
      </c>
      <c r="C475" s="8">
        <f>Maddison!I60</f>
        <v>25.4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f t="shared" si="8"/>
        <v>1.2195121951219513E-2</v>
      </c>
    </row>
    <row r="476" spans="1:23" x14ac:dyDescent="0.35">
      <c r="A476" s="5">
        <f>-Maddison!J61</f>
        <v>-1.5</v>
      </c>
      <c r="B476" s="8">
        <f>Maddison!H61</f>
        <v>1725.7948003065951</v>
      </c>
      <c r="C476" s="8">
        <f>Maddison!I61</f>
        <v>23.5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f t="shared" si="8"/>
        <v>1.2195121951219513E-2</v>
      </c>
    </row>
    <row r="477" spans="1:23" x14ac:dyDescent="0.35">
      <c r="A477" s="5">
        <f>-Maddison!J62</f>
        <v>1.2</v>
      </c>
      <c r="B477" s="8">
        <f>Maddison!H62</f>
        <v>3536.4885396339923</v>
      </c>
      <c r="C477" s="8">
        <f>Maddison!I62</f>
        <v>19.600000000000001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f t="shared" si="8"/>
        <v>1.2195121951219513E-2</v>
      </c>
    </row>
    <row r="478" spans="1:23" x14ac:dyDescent="0.35">
      <c r="A478" s="5">
        <f>-Maddison!J63</f>
        <v>-1.1000000000000001</v>
      </c>
      <c r="B478" s="8">
        <f>Maddison!H63</f>
        <v>1403.3063361554944</v>
      </c>
      <c r="C478" s="8">
        <f>Maddison!I63</f>
        <v>25.8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f t="shared" si="8"/>
        <v>1.2195121951219513E-2</v>
      </c>
    </row>
    <row r="479" spans="1:23" x14ac:dyDescent="0.35">
      <c r="A479" s="5">
        <f>-Maddison!J64</f>
        <v>2.8</v>
      </c>
      <c r="B479" s="8">
        <f>Maddison!H64</f>
        <v>10035.850591834826</v>
      </c>
      <c r="C479" s="8">
        <f>Maddison!I64</f>
        <v>7.8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f t="shared" si="8"/>
        <v>1.2195121951219513E-2</v>
      </c>
    </row>
    <row r="480" spans="1:23" x14ac:dyDescent="0.35">
      <c r="A480" s="5">
        <f>-Maddison!J65</f>
        <v>2.5</v>
      </c>
      <c r="B480" s="8">
        <f>Maddison!H65</f>
        <v>18535.131234142536</v>
      </c>
      <c r="C480" s="8">
        <f>Maddison!I65</f>
        <v>15.1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f t="shared" si="8"/>
        <v>1.2195121951219513E-2</v>
      </c>
    </row>
    <row r="481" spans="1:23" x14ac:dyDescent="0.35">
      <c r="A481" s="5">
        <f>-Maddison!J66</f>
        <v>1.4</v>
      </c>
      <c r="B481" s="8">
        <f>Maddison!H66</f>
        <v>5321.8101990424975</v>
      </c>
      <c r="C481" s="8">
        <f>Maddison!I66</f>
        <v>8.8000000000000007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f t="shared" si="8"/>
        <v>1.2195121951219513E-2</v>
      </c>
    </row>
    <row r="482" spans="1:23" x14ac:dyDescent="0.35">
      <c r="A482" s="5">
        <f>-Maddison!J67</f>
        <v>-23</v>
      </c>
      <c r="B482" s="8">
        <f>Maddison!H67</f>
        <v>349.34486347036096</v>
      </c>
      <c r="C482" s="8">
        <f>Maddison!I67</f>
        <v>17.899999999999999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f t="shared" si="8"/>
        <v>1.2195121951219513E-2</v>
      </c>
    </row>
    <row r="483" spans="1:23" x14ac:dyDescent="0.35">
      <c r="A483" s="5">
        <f>-Maddison!J68</f>
        <v>-1.7</v>
      </c>
      <c r="B483" s="8">
        <f>Maddison!H68</f>
        <v>6109.4882023480113</v>
      </c>
      <c r="C483" s="8">
        <f>Maddison!I68</f>
        <v>25.5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f t="shared" si="8"/>
        <v>1.2195121951219513E-2</v>
      </c>
    </row>
    <row r="484" spans="1:23" x14ac:dyDescent="0.35">
      <c r="A484" s="5">
        <f>-Maddison!J69</f>
        <v>-28.4</v>
      </c>
      <c r="B484" s="8">
        <f>Maddison!H69</f>
        <v>800.43110309607573</v>
      </c>
      <c r="C484" s="8">
        <f>Maddison!I69</f>
        <v>27.8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f t="shared" si="8"/>
        <v>1.2195121951219513E-2</v>
      </c>
    </row>
    <row r="485" spans="1:23" x14ac:dyDescent="0.35">
      <c r="A485" s="5">
        <f>-Maddison!J70</f>
        <v>-2.4</v>
      </c>
      <c r="B485" s="8">
        <f>Maddison!H70</f>
        <v>370.43813687539563</v>
      </c>
      <c r="C485" s="8">
        <f>Maddison!I70</f>
        <v>26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f t="shared" si="8"/>
        <v>1.2195121951219513E-2</v>
      </c>
    </row>
    <row r="486" spans="1:23" x14ac:dyDescent="0.35">
      <c r="A486" s="5">
        <f>-Maddison!J71</f>
        <v>0.4</v>
      </c>
      <c r="B486" s="8">
        <f>Maddison!H71</f>
        <v>22236.187948867053</v>
      </c>
      <c r="C486" s="8">
        <f>Maddison!I71</f>
        <v>11.5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f t="shared" si="8"/>
        <v>1.2195121951219513E-2</v>
      </c>
    </row>
    <row r="487" spans="1:23" x14ac:dyDescent="0.35">
      <c r="A487" s="5">
        <f>-Maddison!J72</f>
        <v>1</v>
      </c>
      <c r="B487" s="8">
        <f>Maddison!H72</f>
        <v>25595.990106992766</v>
      </c>
      <c r="C487" s="8">
        <f>Maddison!I72</f>
        <v>13.3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f t="shared" si="8"/>
        <v>1.2195121951219513E-2</v>
      </c>
    </row>
    <row r="488" spans="1:23" x14ac:dyDescent="0.35">
      <c r="A488" s="5">
        <f>-Maddison!J73</f>
        <v>-0.9</v>
      </c>
      <c r="B488" s="8">
        <f>Maddison!H73</f>
        <v>1610.0848370777339</v>
      </c>
      <c r="C488" s="8">
        <f>Maddison!I73</f>
        <v>26.9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f t="shared" si="8"/>
        <v>1.2195121951219513E-2</v>
      </c>
    </row>
    <row r="489" spans="1:23" x14ac:dyDescent="0.35">
      <c r="A489" s="5">
        <f>-Maddison!J74</f>
        <v>-0.5</v>
      </c>
      <c r="B489" s="8">
        <f>Maddison!H74</f>
        <v>4169.5907084279788</v>
      </c>
      <c r="C489" s="8">
        <f>Maddison!I74</f>
        <v>25.7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f t="shared" si="8"/>
        <v>1.2195121951219513E-2</v>
      </c>
    </row>
    <row r="490" spans="1:23" x14ac:dyDescent="0.35">
      <c r="A490" s="5">
        <f>-Maddison!J75</f>
        <v>-0.4</v>
      </c>
      <c r="B490" s="8">
        <f>Maddison!H75</f>
        <v>2445.0802818366064</v>
      </c>
      <c r="C490" s="8">
        <f>Maddison!I75</f>
        <v>21.4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f t="shared" si="8"/>
        <v>1.2195121951219513E-2</v>
      </c>
    </row>
    <row r="491" spans="1:23" x14ac:dyDescent="0.35">
      <c r="A491" s="5">
        <f>-Maddison!J76</f>
        <v>2.1</v>
      </c>
      <c r="B491" s="8">
        <f>Maddison!H76</f>
        <v>42825.675932195161</v>
      </c>
      <c r="C491" s="8">
        <f>Maddison!I76</f>
        <v>2.1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f t="shared" si="8"/>
        <v>1.2195121951219513E-2</v>
      </c>
    </row>
    <row r="492" spans="1:23" x14ac:dyDescent="0.35">
      <c r="A492" s="5">
        <f>-Maddison!J77</f>
        <v>1.1000000000000001</v>
      </c>
      <c r="B492" s="8">
        <f>Maddison!H77</f>
        <v>54642.81108074497</v>
      </c>
      <c r="C492" s="8">
        <f>Maddison!I77</f>
        <v>5.5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f t="shared" si="8"/>
        <v>1.2195121951219513E-2</v>
      </c>
    </row>
    <row r="493" spans="1:23" x14ac:dyDescent="0.35">
      <c r="A493" s="5">
        <f>-Maddison!J79</f>
        <v>-6</v>
      </c>
      <c r="B493" s="8">
        <f>Maddison!H79</f>
        <v>438.4920862852793</v>
      </c>
      <c r="C493" s="8">
        <f>Maddison!I79</f>
        <v>22.3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f t="shared" si="8"/>
        <v>1.2195121951219513E-2</v>
      </c>
    </row>
    <row r="494" spans="1:23" x14ac:dyDescent="0.35">
      <c r="A494" s="5">
        <f>-Maddison!J80</f>
        <v>-2.7</v>
      </c>
      <c r="B494" s="8">
        <f>Maddison!H80</f>
        <v>3163.9038450709104</v>
      </c>
      <c r="C494" s="8">
        <f>Maddison!I80</f>
        <v>26.3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f t="shared" si="8"/>
        <v>1.2195121951219513E-2</v>
      </c>
    </row>
    <row r="495" spans="1:23" x14ac:dyDescent="0.35">
      <c r="A495" s="5">
        <f>-Maddison!J81</f>
        <v>-1.5</v>
      </c>
      <c r="B495" s="8">
        <f>Maddison!H81</f>
        <v>14297.889414135465</v>
      </c>
      <c r="C495" s="8">
        <f>Maddison!I81</f>
        <v>25.7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f t="shared" si="8"/>
        <v>1.2195121951219513E-2</v>
      </c>
    </row>
    <row r="496" spans="1:23" x14ac:dyDescent="0.35">
      <c r="A496" s="5">
        <f>-Maddison!J82</f>
        <v>-0.6</v>
      </c>
      <c r="B496" s="8">
        <f>Maddison!H82</f>
        <v>3861.5088997834828</v>
      </c>
      <c r="C496" s="8">
        <f>Maddison!I82</f>
        <v>19.2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f t="shared" si="8"/>
        <v>1.2195121951219513E-2</v>
      </c>
    </row>
    <row r="497" spans="1:23" x14ac:dyDescent="0.35">
      <c r="A497" s="5">
        <f>-Maddison!J83</f>
        <v>0.2</v>
      </c>
      <c r="B497" s="8">
        <f>Maddison!H83</f>
        <v>7833.5285846205052</v>
      </c>
      <c r="C497" s="8">
        <f>Maddison!I83</f>
        <v>11.1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f t="shared" si="8"/>
        <v>1.2195121951219513E-2</v>
      </c>
    </row>
    <row r="498" spans="1:23" x14ac:dyDescent="0.35">
      <c r="A498" s="5">
        <f>-Maddison!J84</f>
        <v>4.7</v>
      </c>
      <c r="B498" s="8">
        <f>Maddison!H84</f>
        <v>37899.295520911917</v>
      </c>
      <c r="C498" s="8">
        <f>Maddison!I84</f>
        <v>8.4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f t="shared" si="8"/>
        <v>1.2195121951219513E-2</v>
      </c>
    </row>
    <row r="499" spans="1:23" x14ac:dyDescent="0.35">
      <c r="A499" s="5">
        <f>-Maddison!J85</f>
        <v>0.3</v>
      </c>
      <c r="B499" s="8">
        <f>Maddison!H85</f>
        <v>43952.446494287382</v>
      </c>
      <c r="C499" s="8">
        <f>Maddison!I85</f>
        <v>8.5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f t="shared" si="8"/>
        <v>1.2195121951219513E-2</v>
      </c>
    </row>
    <row r="500" spans="1:23" x14ac:dyDescent="0.35">
      <c r="A500" s="5">
        <f>-Maddison!J86</f>
        <v>1.4</v>
      </c>
      <c r="B500" s="8">
        <f>Maddison!H86</f>
        <v>6791.0504176996537</v>
      </c>
      <c r="C500" s="8">
        <f>Maddison!I86</f>
        <v>17.5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f t="shared" si="8"/>
        <v>1.2195121951219513E-2</v>
      </c>
    </row>
    <row r="501" spans="1:23" x14ac:dyDescent="0.35">
      <c r="A501" s="5">
        <f>-Maddison!J87</f>
        <v>-42</v>
      </c>
      <c r="B501" s="8">
        <f>Maddison!H87</f>
        <v>6010.0797889966334</v>
      </c>
      <c r="C501" s="8">
        <f>Maddison!I87</f>
        <v>25.3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f t="shared" si="8"/>
        <v>1.2195121951219513E-2</v>
      </c>
    </row>
    <row r="502" spans="1:23" x14ac:dyDescent="0.35">
      <c r="A502" s="5">
        <f>-Maddison!J88</f>
        <v>0.8</v>
      </c>
      <c r="B502" s="8">
        <f>Maddison!H88</f>
        <v>3823.2204030260514</v>
      </c>
      <c r="C502" s="8">
        <f>Maddison!I88</f>
        <v>9.9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f t="shared" si="8"/>
        <v>1.2195121951219513E-2</v>
      </c>
    </row>
    <row r="503" spans="1:23" x14ac:dyDescent="0.35">
      <c r="A503" s="5">
        <f>-Maddison!J89</f>
        <v>-9.6</v>
      </c>
      <c r="B503" s="8">
        <f>Maddison!H89</f>
        <v>741.44209139426641</v>
      </c>
      <c r="C503" s="8">
        <f>Maddison!I89</f>
        <v>21.4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f t="shared" si="8"/>
        <v>1.2195121951219513E-2</v>
      </c>
    </row>
    <row r="504" spans="1:23" x14ac:dyDescent="0.35">
      <c r="A504" s="5">
        <f>-Maddison!J90</f>
        <v>-9.6999999999999993</v>
      </c>
      <c r="B504" s="8">
        <f>Maddison!H90</f>
        <v>397.82159673579832</v>
      </c>
      <c r="C504" s="8">
        <f>Maddison!I90</f>
        <v>21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f t="shared" si="8"/>
        <v>1.2195121951219513E-2</v>
      </c>
    </row>
    <row r="505" spans="1:23" x14ac:dyDescent="0.35">
      <c r="A505" s="5">
        <f>-100*RehdanzMaddison!V5</f>
        <v>-3.2147023383398428</v>
      </c>
      <c r="B505" s="8">
        <f>RehdanzMaddison!S5</f>
        <v>7274.3904532313973</v>
      </c>
      <c r="C505" s="8">
        <f>RehdanzMaddison!T5</f>
        <v>14.8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f t="shared" si="8"/>
        <v>1.5384615384615385E-2</v>
      </c>
    </row>
    <row r="506" spans="1:23" x14ac:dyDescent="0.35">
      <c r="A506" s="5">
        <f>-100*RehdanzMaddison!V6</f>
        <v>6.7735285070976143</v>
      </c>
      <c r="B506" s="8">
        <f>RehdanzMaddison!S6</f>
        <v>1997.0389119682286</v>
      </c>
      <c r="C506" s="8">
        <f>RehdanzMaddison!T6</f>
        <v>7.1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f t="shared" si="8"/>
        <v>1.5384615384615385E-2</v>
      </c>
    </row>
    <row r="507" spans="1:23" x14ac:dyDescent="0.35">
      <c r="A507" s="5">
        <f>-100*RehdanzMaddison!V7</f>
        <v>-0.35417716451608</v>
      </c>
      <c r="B507" s="8">
        <f>RehdanzMaddison!S7</f>
        <v>36140.105242213795</v>
      </c>
      <c r="C507" s="8">
        <f>RehdanzMaddison!T7</f>
        <v>21.6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f t="shared" si="8"/>
        <v>1.5384615384615385E-2</v>
      </c>
    </row>
    <row r="508" spans="1:23" x14ac:dyDescent="0.35">
      <c r="A508" s="5">
        <f>-100*RehdanzMaddison!V8</f>
        <v>-0.63762723635713181</v>
      </c>
      <c r="B508" s="8">
        <f>RehdanzMaddison!S8</f>
        <v>38803.235792365253</v>
      </c>
      <c r="C508" s="8">
        <f>RehdanzMaddison!T8</f>
        <v>6.3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f t="shared" si="8"/>
        <v>1.5384615384615385E-2</v>
      </c>
    </row>
    <row r="509" spans="1:23" x14ac:dyDescent="0.35">
      <c r="A509" s="5">
        <f>-100*RehdanzMaddison!V9</f>
        <v>3.7339399889330598</v>
      </c>
      <c r="B509" s="8">
        <f>RehdanzMaddison!S9</f>
        <v>3126.7240594662121</v>
      </c>
      <c r="C509" s="8">
        <f>RehdanzMaddison!T9</f>
        <v>11.9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f t="shared" si="8"/>
        <v>1.5384615384615385E-2</v>
      </c>
    </row>
    <row r="510" spans="1:23" x14ac:dyDescent="0.35">
      <c r="A510" s="5">
        <f>-100*RehdanzMaddison!V10</f>
        <v>14.782046030091845</v>
      </c>
      <c r="B510" s="8">
        <f>RehdanzMaddison!S10</f>
        <v>539.09993134762863</v>
      </c>
      <c r="C510" s="8">
        <f>RehdanzMaddison!T10</f>
        <v>25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f t="shared" si="8"/>
        <v>1.5384615384615385E-2</v>
      </c>
    </row>
    <row r="511" spans="1:23" x14ac:dyDescent="0.35">
      <c r="A511" s="5">
        <f>-100*RehdanzMaddison!V11</f>
        <v>2.5700448675352643</v>
      </c>
      <c r="B511" s="8">
        <f>RehdanzMaddison!S11</f>
        <v>4526.3801215876556</v>
      </c>
      <c r="C511" s="8">
        <f>RehdanzMaddison!T11</f>
        <v>6.2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f t="shared" si="8"/>
        <v>1.5384615384615385E-2</v>
      </c>
    </row>
    <row r="512" spans="1:23" x14ac:dyDescent="0.35">
      <c r="A512" s="5">
        <f>-100*RehdanzMaddison!V12</f>
        <v>-8.9476012517456044E-2</v>
      </c>
      <c r="B512" s="8">
        <f>RehdanzMaddison!S12</f>
        <v>36747.279047091397</v>
      </c>
      <c r="C512" s="8">
        <f>RehdanzMaddison!T12</f>
        <v>9.6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f t="shared" si="8"/>
        <v>1.5384615384615385E-2</v>
      </c>
    </row>
    <row r="513" spans="1:23" x14ac:dyDescent="0.35">
      <c r="A513" s="5">
        <f>-100*RehdanzMaddison!V13</f>
        <v>-8.3112235342548804</v>
      </c>
      <c r="B513" s="8">
        <f>RehdanzMaddison!S13</f>
        <v>3328.9924023780331</v>
      </c>
      <c r="C513" s="8">
        <f>RehdanzMaddison!T13</f>
        <v>9.8000000000000007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f t="shared" si="8"/>
        <v>1.5384615384615385E-2</v>
      </c>
    </row>
    <row r="514" spans="1:23" x14ac:dyDescent="0.35">
      <c r="A514" s="5">
        <f>-100*RehdanzMaddison!V14</f>
        <v>-2.0299645911410789</v>
      </c>
      <c r="B514" s="8">
        <f>RehdanzMaddison!S14</f>
        <v>5618.3246002281494</v>
      </c>
      <c r="C514" s="8">
        <f>RehdanzMaddison!T14</f>
        <v>24.9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f t="shared" si="8"/>
        <v>1.5384615384615385E-2</v>
      </c>
    </row>
    <row r="515" spans="1:23" x14ac:dyDescent="0.35">
      <c r="A515" s="5">
        <f>-100*RehdanzMaddison!V15</f>
        <v>-9.616387928264599</v>
      </c>
      <c r="B515" s="8">
        <f>RehdanzMaddison!S15</f>
        <v>4378.8790878779682</v>
      </c>
      <c r="C515" s="8">
        <f>RehdanzMaddison!T15</f>
        <v>10.5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f t="shared" si="8"/>
        <v>1.5384615384615385E-2</v>
      </c>
    </row>
    <row r="516" spans="1:23" x14ac:dyDescent="0.35">
      <c r="A516" s="5">
        <f>-100*RehdanzMaddison!V16</f>
        <v>1.6281099864655397</v>
      </c>
      <c r="B516" s="8">
        <f>RehdanzMaddison!S16</f>
        <v>36337.22567382102</v>
      </c>
      <c r="C516" s="8">
        <f>RehdanzMaddison!T16</f>
        <v>-5.4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f t="shared" ref="W516:W579" si="9">SUMPRODUCT(D516:V516,D$1:V$1)</f>
        <v>1.5384615384615385E-2</v>
      </c>
    </row>
    <row r="517" spans="1:23" x14ac:dyDescent="0.35">
      <c r="A517" s="5">
        <f>-100*RehdanzMaddison!V17</f>
        <v>-1.8995305609191437</v>
      </c>
      <c r="B517" s="8">
        <f>RehdanzMaddison!S17</f>
        <v>8610.0220425441075</v>
      </c>
      <c r="C517" s="8">
        <f>RehdanzMaddison!T17</f>
        <v>8.5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f t="shared" si="9"/>
        <v>1.5384615384615385E-2</v>
      </c>
    </row>
    <row r="518" spans="1:23" x14ac:dyDescent="0.35">
      <c r="A518" s="5">
        <f>-100*RehdanzMaddison!V18</f>
        <v>4.8779588127812572E-3</v>
      </c>
      <c r="B518" s="8">
        <f>RehdanzMaddison!S18</f>
        <v>2870.0529334764196</v>
      </c>
      <c r="C518" s="8">
        <f>RehdanzMaddison!T18</f>
        <v>6.9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f t="shared" si="9"/>
        <v>1.5384615384615385E-2</v>
      </c>
    </row>
    <row r="519" spans="1:23" x14ac:dyDescent="0.35">
      <c r="A519" s="5">
        <f>-100*RehdanzMaddison!V19</f>
        <v>-0.73948659289430652</v>
      </c>
      <c r="B519" s="8">
        <f>RehdanzMaddison!S19</f>
        <v>3937.8672013546661</v>
      </c>
      <c r="C519" s="8">
        <f>RehdanzMaddison!T19</f>
        <v>24.5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f t="shared" si="9"/>
        <v>1.5384615384615385E-2</v>
      </c>
    </row>
    <row r="520" spans="1:23" x14ac:dyDescent="0.35">
      <c r="A520" s="5">
        <f>-100*RehdanzMaddison!V20</f>
        <v>-3.6623467455980614</v>
      </c>
      <c r="B520" s="8">
        <f>RehdanzMaddison!S20</f>
        <v>10383.506161918598</v>
      </c>
      <c r="C520" s="8">
        <f>RehdanzMaddison!T20</f>
        <v>10.9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f t="shared" si="9"/>
        <v>1.5384615384615385E-2</v>
      </c>
    </row>
    <row r="521" spans="1:23" x14ac:dyDescent="0.35">
      <c r="A521" s="5">
        <f>-100*RehdanzMaddison!V21</f>
        <v>-1.0747871930443404</v>
      </c>
      <c r="B521" s="8">
        <f>RehdanzMaddison!S21</f>
        <v>14114.421997373165</v>
      </c>
      <c r="C521" s="8">
        <f>RehdanzMaddison!T21</f>
        <v>7.5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f t="shared" si="9"/>
        <v>1.5384615384615385E-2</v>
      </c>
    </row>
    <row r="522" spans="1:23" x14ac:dyDescent="0.35">
      <c r="A522" s="5">
        <f>-100*RehdanzMaddison!V22</f>
        <v>-1.0735604102750407</v>
      </c>
      <c r="B522" s="8">
        <f>RehdanzMaddison!S22</f>
        <v>14130.550879864808</v>
      </c>
      <c r="C522" s="8">
        <f>RehdanzMaddison!T22</f>
        <v>7.2616868165431345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f t="shared" si="9"/>
        <v>1.5384615384615385E-2</v>
      </c>
    </row>
    <row r="523" spans="1:23" x14ac:dyDescent="0.35">
      <c r="A523" s="5">
        <f>-100*RehdanzMaddison!V23</f>
        <v>0.31946696390636065</v>
      </c>
      <c r="B523" s="8">
        <f>RehdanzMaddison!S23</f>
        <v>46292.736560813282</v>
      </c>
      <c r="C523" s="8">
        <f>RehdanzMaddison!T23</f>
        <v>7.5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f t="shared" si="9"/>
        <v>1.5384615384615385E-2</v>
      </c>
    </row>
    <row r="524" spans="1:23" x14ac:dyDescent="0.35">
      <c r="A524" s="5">
        <f>-100*RehdanzMaddison!V24</f>
        <v>-2.1662847086109593</v>
      </c>
      <c r="B524" s="8">
        <f>RehdanzMaddison!S24</f>
        <v>4776.8421015330105</v>
      </c>
      <c r="C524" s="8">
        <f>RehdanzMaddison!T24</f>
        <v>24.5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f t="shared" si="9"/>
        <v>1.5384615384615385E-2</v>
      </c>
    </row>
    <row r="525" spans="1:23" x14ac:dyDescent="0.35">
      <c r="A525" s="5">
        <f>-100*RehdanzMaddison!V25</f>
        <v>0.6343396157087281</v>
      </c>
      <c r="B525" s="8">
        <f>RehdanzMaddison!S25</f>
        <v>10369.839494653985</v>
      </c>
      <c r="C525" s="8">
        <f>RehdanzMaddison!T25</f>
        <v>5.0999999999999996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f t="shared" si="9"/>
        <v>1.5384615384615385E-2</v>
      </c>
    </row>
    <row r="526" spans="1:23" x14ac:dyDescent="0.35">
      <c r="A526" s="5">
        <f>-100*RehdanzMaddison!V26</f>
        <v>1.6090255566122469</v>
      </c>
      <c r="B526" s="8">
        <f>RehdanzMaddison!S26</f>
        <v>38064.653322818347</v>
      </c>
      <c r="C526" s="8">
        <f>RehdanzMaddison!T26</f>
        <v>1.7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f t="shared" si="9"/>
        <v>1.5384615384615385E-2</v>
      </c>
    </row>
    <row r="527" spans="1:23" x14ac:dyDescent="0.35">
      <c r="A527" s="5">
        <f>-100*RehdanzMaddison!V27</f>
        <v>-0.61985464788997069</v>
      </c>
      <c r="B527" s="8">
        <f>RehdanzMaddison!S27</f>
        <v>33898.26965325878</v>
      </c>
      <c r="C527" s="8">
        <f>RehdanzMaddison!T27</f>
        <v>10.7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f t="shared" si="9"/>
        <v>1.5384615384615385E-2</v>
      </c>
    </row>
    <row r="528" spans="1:23" x14ac:dyDescent="0.35">
      <c r="A528" s="5">
        <f>-100*RehdanzMaddison!V28</f>
        <v>8.2406679159474923</v>
      </c>
      <c r="B528" s="8">
        <f>RehdanzMaddison!S28</f>
        <v>1850.8208503929698</v>
      </c>
      <c r="C528" s="8">
        <f>RehdanzMaddison!T28</f>
        <v>5.8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si="9"/>
        <v>1.5384615384615385E-2</v>
      </c>
    </row>
    <row r="529" spans="1:23" x14ac:dyDescent="0.35">
      <c r="A529" s="5">
        <f>-100*RehdanzMaddison!V29</f>
        <v>-5.9816678570902608E-2</v>
      </c>
      <c r="B529" s="8">
        <f>RehdanzMaddison!S29</f>
        <v>36127.047700224583</v>
      </c>
      <c r="C529" s="8">
        <f>RehdanzMaddison!T29</f>
        <v>8.4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9"/>
        <v>1.5384615384615385E-2</v>
      </c>
    </row>
    <row r="530" spans="1:23" x14ac:dyDescent="0.35">
      <c r="A530" s="5">
        <f>-100*RehdanzMaddison!V30</f>
        <v>-19.590822970844545</v>
      </c>
      <c r="B530" s="8">
        <f>RehdanzMaddison!S30</f>
        <v>610.18365679635724</v>
      </c>
      <c r="C530" s="8">
        <f>RehdanzMaddison!T30</f>
        <v>27.2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9"/>
        <v>1.5384615384615385E-2</v>
      </c>
    </row>
    <row r="531" spans="1:23" x14ac:dyDescent="0.35">
      <c r="A531" s="5">
        <f>-100*RehdanzMaddison!V31</f>
        <v>0.14132188808218582</v>
      </c>
      <c r="B531" s="8">
        <f>RehdanzMaddison!S31</f>
        <v>37899.295520911917</v>
      </c>
      <c r="C531" s="8">
        <f>RehdanzMaddison!T31</f>
        <v>8.4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f t="shared" si="9"/>
        <v>1.5384615384615385E-2</v>
      </c>
    </row>
    <row r="532" spans="1:23" x14ac:dyDescent="0.35">
      <c r="A532" s="5">
        <f>-100*RehdanzMaddison!V32</f>
        <v>-2.5050178718742404</v>
      </c>
      <c r="B532" s="8">
        <f>RehdanzMaddison!S32</f>
        <v>10926.468951505391</v>
      </c>
      <c r="C532" s="8">
        <f>RehdanzMaddison!T32</f>
        <v>9.8000000000000007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f t="shared" si="9"/>
        <v>1.5384615384615385E-2</v>
      </c>
    </row>
    <row r="533" spans="1:23" x14ac:dyDescent="0.35">
      <c r="A533" s="5">
        <f>-100*RehdanzMaddison!V33</f>
        <v>0.62858559155477101</v>
      </c>
      <c r="B533" s="8">
        <f>RehdanzMaddison!S33</f>
        <v>51528.384416011126</v>
      </c>
      <c r="C533" s="8">
        <f>RehdanzMaddison!T33</f>
        <v>1.7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f t="shared" si="9"/>
        <v>1.5384615384615385E-2</v>
      </c>
    </row>
    <row r="534" spans="1:23" x14ac:dyDescent="0.35">
      <c r="A534" s="5">
        <f>-100*RehdanzMaddison!V34</f>
        <v>4.251808215566899</v>
      </c>
      <c r="B534" s="8">
        <f>RehdanzMaddison!S34</f>
        <v>1031.5611094455749</v>
      </c>
      <c r="C534" s="8">
        <f>RehdanzMaddison!T34</f>
        <v>23.7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9"/>
        <v>1.5384615384615385E-2</v>
      </c>
    </row>
    <row r="535" spans="1:23" x14ac:dyDescent="0.35">
      <c r="A535" s="5">
        <f>-100*RehdanzMaddison!V35</f>
        <v>0.11694989603422419</v>
      </c>
      <c r="B535" s="8">
        <f>RehdanzMaddison!S35</f>
        <v>45438.261855700264</v>
      </c>
      <c r="C535" s="8">
        <f>RehdanzMaddison!T35</f>
        <v>9.3000000000000007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f t="shared" si="9"/>
        <v>1.5384615384615385E-2</v>
      </c>
    </row>
    <row r="536" spans="1:23" x14ac:dyDescent="0.35">
      <c r="A536" s="5">
        <f>-100*RehdanzMaddison!V36</f>
        <v>-1.8111899099941451</v>
      </c>
      <c r="B536" s="8">
        <f>RehdanzMaddison!S36</f>
        <v>22169.403538765182</v>
      </c>
      <c r="C536" s="8">
        <f>RehdanzMaddison!T36</f>
        <v>19.2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f t="shared" si="9"/>
        <v>1.5384615384615385E-2</v>
      </c>
    </row>
    <row r="537" spans="1:23" x14ac:dyDescent="0.35">
      <c r="A537" s="5">
        <f>-100*RehdanzMaddison!V37</f>
        <v>-1.1568367809125362</v>
      </c>
      <c r="B537" s="8">
        <f>RehdanzMaddison!S37</f>
        <v>29163.146051932734</v>
      </c>
      <c r="C537" s="8">
        <f>RehdanzMaddison!T37</f>
        <v>13.4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f t="shared" si="9"/>
        <v>1.5384615384615385E-2</v>
      </c>
    </row>
    <row r="538" spans="1:23" x14ac:dyDescent="0.35">
      <c r="A538" s="5">
        <f>-100*RehdanzMaddison!V38</f>
        <v>0.3893317703753762</v>
      </c>
      <c r="B538" s="8">
        <f>RehdanzMaddison!S38</f>
        <v>36472.749157637452</v>
      </c>
      <c r="C538" s="8">
        <f>RehdanzMaddison!T38</f>
        <v>11.1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f t="shared" si="9"/>
        <v>1.5384615384615385E-2</v>
      </c>
    </row>
    <row r="539" spans="1:23" x14ac:dyDescent="0.35">
      <c r="A539" s="5">
        <f>-100*RehdanzMaddison!V39</f>
        <v>2.2454144314818962</v>
      </c>
      <c r="B539" s="8">
        <f>RehdanzMaddison!S39</f>
        <v>6923.8888741529627</v>
      </c>
      <c r="C539" s="8">
        <f>RehdanzMaddison!T39</f>
        <v>5.6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f t="shared" si="9"/>
        <v>1.5384615384615385E-2</v>
      </c>
    </row>
    <row r="540" spans="1:23" x14ac:dyDescent="0.35">
      <c r="A540" s="5">
        <f>-100*RehdanzMaddison!V40</f>
        <v>1.640951973040454</v>
      </c>
      <c r="B540" s="8">
        <f>RehdanzMaddison!S40</f>
        <v>8320.1703793334709</v>
      </c>
      <c r="C540" s="8">
        <f>RehdanzMaddison!T40</f>
        <v>6.2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f t="shared" si="9"/>
        <v>1.5384615384615385E-2</v>
      </c>
    </row>
    <row r="541" spans="1:23" x14ac:dyDescent="0.35">
      <c r="A541" s="5">
        <f>-100*RehdanzMaddison!V41</f>
        <v>-12.973108464873134</v>
      </c>
      <c r="B541" s="8">
        <f>RehdanzMaddison!S41</f>
        <v>3396.7186907683758</v>
      </c>
      <c r="C541" s="8">
        <f>RehdanzMaddison!T41</f>
        <v>9.8000000000000007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f t="shared" si="9"/>
        <v>1.5384615384615385E-2</v>
      </c>
    </row>
    <row r="542" spans="1:23" x14ac:dyDescent="0.35">
      <c r="A542" s="5">
        <f>-100*RehdanzMaddison!V42</f>
        <v>-3.5114783868708366</v>
      </c>
      <c r="B542" s="8">
        <f>RehdanzMaddison!S42</f>
        <v>8084.6290001796442</v>
      </c>
      <c r="C542" s="8">
        <f>RehdanzMaddison!T42</f>
        <v>21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f t="shared" si="9"/>
        <v>1.5384615384615385E-2</v>
      </c>
    </row>
    <row r="543" spans="1:23" x14ac:dyDescent="0.35">
      <c r="A543" s="5">
        <f>-100*RehdanzMaddison!V43</f>
        <v>-10.440716748254729</v>
      </c>
      <c r="B543" s="8">
        <f>RehdanzMaddison!S43</f>
        <v>982.97849155955339</v>
      </c>
      <c r="C543" s="8">
        <f>RehdanzMaddison!T43</f>
        <v>9.4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f t="shared" si="9"/>
        <v>1.5384615384615385E-2</v>
      </c>
    </row>
    <row r="544" spans="1:23" x14ac:dyDescent="0.35">
      <c r="A544" s="5">
        <f>-100*RehdanzMaddison!V44</f>
        <v>-10.404273273163366</v>
      </c>
      <c r="B544" s="8">
        <f>RehdanzMaddison!S44</f>
        <v>4521.7958779831151</v>
      </c>
      <c r="C544" s="8">
        <f>RehdanzMaddison!T44</f>
        <v>9.9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f t="shared" si="9"/>
        <v>1.5384615384615385E-2</v>
      </c>
    </row>
    <row r="545" spans="1:23" x14ac:dyDescent="0.35">
      <c r="A545" s="5">
        <f>-100*RehdanzMaddison!V45</f>
        <v>2.9238430064144921E-2</v>
      </c>
      <c r="B545" s="8">
        <f>RehdanzMaddison!S45</f>
        <v>41110.27840287541</v>
      </c>
      <c r="C545" s="8">
        <f>RehdanzMaddison!T45</f>
        <v>9.1999999999999993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f t="shared" si="9"/>
        <v>1.5384615384615385E-2</v>
      </c>
    </row>
    <row r="546" spans="1:23" x14ac:dyDescent="0.35">
      <c r="A546" s="5">
        <f>-100*RehdanzMaddison!V46</f>
        <v>-0.21503802768583782</v>
      </c>
      <c r="B546" s="8">
        <f>RehdanzMaddison!S46</f>
        <v>27483.511003152802</v>
      </c>
      <c r="C546" s="8">
        <f>RehdanzMaddison!T46</f>
        <v>10.5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f t="shared" si="9"/>
        <v>1.5384615384615385E-2</v>
      </c>
    </row>
    <row r="547" spans="1:23" x14ac:dyDescent="0.35">
      <c r="A547" s="5">
        <f>-100*RehdanzMaddison!V47</f>
        <v>-30.557000086333829</v>
      </c>
      <c r="B547" s="8">
        <f>RehdanzMaddison!S47</f>
        <v>995.6802013953959</v>
      </c>
      <c r="C547" s="8">
        <f>RehdanzMaddison!T47</f>
        <v>26.8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f t="shared" si="9"/>
        <v>1.5384615384615385E-2</v>
      </c>
    </row>
    <row r="548" spans="1:23" x14ac:dyDescent="0.35">
      <c r="A548" s="5">
        <f>-100*RehdanzMaddison!V48</f>
        <v>-9.198060154116873E-2</v>
      </c>
      <c r="B548" s="8">
        <f>RehdanzMaddison!S48</f>
        <v>37899.295520911917</v>
      </c>
      <c r="C548" s="8">
        <f>RehdanzMaddison!T48</f>
        <v>8.4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f t="shared" si="9"/>
        <v>1.5384615384615385E-2</v>
      </c>
    </row>
    <row r="549" spans="1:23" x14ac:dyDescent="0.35">
      <c r="A549" s="5">
        <f>-100*RehdanzMaddison!V49</f>
        <v>0.71699981682613589</v>
      </c>
      <c r="B549" s="8">
        <f>RehdanzMaddison!S49</f>
        <v>64589.974659965468</v>
      </c>
      <c r="C549" s="8">
        <f>RehdanzMaddison!T49</f>
        <v>1.5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f t="shared" si="9"/>
        <v>1.5384615384615385E-2</v>
      </c>
    </row>
    <row r="550" spans="1:23" x14ac:dyDescent="0.35">
      <c r="A550" s="5">
        <f>-100*RehdanzMaddison!V50</f>
        <v>1.8719133190475812</v>
      </c>
      <c r="B550" s="8">
        <f>RehdanzMaddison!S50</f>
        <v>3536.4885396339923</v>
      </c>
      <c r="C550" s="8">
        <f>RehdanzMaddison!T50</f>
        <v>19.600000000000001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f t="shared" si="9"/>
        <v>1.5384615384615385E-2</v>
      </c>
    </row>
    <row r="551" spans="1:23" x14ac:dyDescent="0.35">
      <c r="A551" s="5">
        <f>-100*RehdanzMaddison!V51</f>
        <v>-1.0311362264380628</v>
      </c>
      <c r="B551" s="8">
        <f>RehdanzMaddison!S51</f>
        <v>1403.3063361554944</v>
      </c>
      <c r="C551" s="8">
        <f>RehdanzMaddison!T51</f>
        <v>25.8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f t="shared" si="9"/>
        <v>1.5384615384615385E-2</v>
      </c>
    </row>
    <row r="552" spans="1:23" x14ac:dyDescent="0.35">
      <c r="A552" s="5">
        <f>-100*RehdanzMaddison!V52</f>
        <v>-0.36379577063158514</v>
      </c>
      <c r="B552" s="8">
        <f>RehdanzMaddison!S52</f>
        <v>10035.850591834826</v>
      </c>
      <c r="C552" s="8">
        <f>RehdanzMaddison!T52</f>
        <v>7.8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f t="shared" si="9"/>
        <v>1.5384615384615385E-2</v>
      </c>
    </row>
    <row r="553" spans="1:23" x14ac:dyDescent="0.35">
      <c r="A553" s="5">
        <f>-100*RehdanzMaddison!V53</f>
        <v>-1.9874690680442966</v>
      </c>
      <c r="B553" s="8">
        <f>RehdanzMaddison!S53</f>
        <v>18535.131234142536</v>
      </c>
      <c r="C553" s="8">
        <f>RehdanzMaddison!T53</f>
        <v>15.1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f t="shared" si="9"/>
        <v>1.5384615384615385E-2</v>
      </c>
    </row>
    <row r="554" spans="1:23" x14ac:dyDescent="0.35">
      <c r="A554" s="5">
        <f>-100*RehdanzMaddison!V54</f>
        <v>-0.29048009086012322</v>
      </c>
      <c r="B554" s="8">
        <f>RehdanzMaddison!S54</f>
        <v>20782.83569150712</v>
      </c>
      <c r="C554" s="8">
        <f>RehdanzMaddison!T54</f>
        <v>25.2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f t="shared" si="9"/>
        <v>1.5384615384615385E-2</v>
      </c>
    </row>
    <row r="555" spans="1:23" x14ac:dyDescent="0.35">
      <c r="A555" s="5">
        <f>-100*RehdanzMaddison!V55</f>
        <v>-7.3213809855545469</v>
      </c>
      <c r="B555" s="8">
        <f>RehdanzMaddison!S55</f>
        <v>5321.8101990424975</v>
      </c>
      <c r="C555" s="8">
        <f>RehdanzMaddison!T55</f>
        <v>8.8000000000000007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f t="shared" si="9"/>
        <v>1.5384615384615385E-2</v>
      </c>
    </row>
    <row r="556" spans="1:23" x14ac:dyDescent="0.35">
      <c r="A556" s="5">
        <f>-100*RehdanzMaddison!V56</f>
        <v>1.9996500551656842</v>
      </c>
      <c r="B556" s="8">
        <f>RehdanzMaddison!S56</f>
        <v>6385.6173068952321</v>
      </c>
      <c r="C556" s="8">
        <f>RehdanzMaddison!T56</f>
        <v>-5.0999999999999996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f t="shared" si="9"/>
        <v>1.5384615384615385E-2</v>
      </c>
    </row>
    <row r="557" spans="1:23" x14ac:dyDescent="0.35">
      <c r="A557" s="5">
        <f>-100*RehdanzMaddison!V57</f>
        <v>-10.33552760095237</v>
      </c>
      <c r="B557" s="8">
        <f>RehdanzMaddison!S57</f>
        <v>3823.2204030260514</v>
      </c>
      <c r="C557" s="8">
        <f>RehdanzMaddison!T57</f>
        <v>9.9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f t="shared" si="9"/>
        <v>1.5384615384615385E-2</v>
      </c>
    </row>
    <row r="558" spans="1:23" x14ac:dyDescent="0.35">
      <c r="A558" s="5">
        <f>-100*RehdanzMaddison!V58</f>
        <v>-1.6303721279351799</v>
      </c>
      <c r="B558" s="8">
        <f>RehdanzMaddison!S58</f>
        <v>14161.797545718329</v>
      </c>
      <c r="C558" s="8">
        <f>RehdanzMaddison!T58</f>
        <v>6.8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f t="shared" si="9"/>
        <v>1.5384615384615385E-2</v>
      </c>
    </row>
    <row r="559" spans="1:23" x14ac:dyDescent="0.35">
      <c r="A559" s="5">
        <f>-100*RehdanzMaddison!V59</f>
        <v>-1.7259659698636514</v>
      </c>
      <c r="B559" s="8">
        <f>RehdanzMaddison!S59</f>
        <v>19054.257484924816</v>
      </c>
      <c r="C559" s="8">
        <f>RehdanzMaddison!T59</f>
        <v>8.9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f t="shared" si="9"/>
        <v>1.5384615384615385E-2</v>
      </c>
    </row>
    <row r="560" spans="1:23" x14ac:dyDescent="0.35">
      <c r="A560" s="5">
        <f>-100*RehdanzMaddison!V60</f>
        <v>-4.6920575347296589</v>
      </c>
      <c r="B560" s="8">
        <f>RehdanzMaddison!S60</f>
        <v>5797.2434904439497</v>
      </c>
      <c r="C560" s="8">
        <f>RehdanzMaddison!T60</f>
        <v>17.8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f t="shared" si="9"/>
        <v>1.5384615384615385E-2</v>
      </c>
    </row>
    <row r="561" spans="1:23" x14ac:dyDescent="0.35">
      <c r="A561" s="5">
        <f>-100*RehdanzMaddison!V61</f>
        <v>0.71995254028313194</v>
      </c>
      <c r="B561" s="8">
        <f>RehdanzMaddison!S61</f>
        <v>22236.187948867053</v>
      </c>
      <c r="C561" s="8">
        <f>RehdanzMaddison!T61</f>
        <v>11.5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f t="shared" si="9"/>
        <v>1.5384615384615385E-2</v>
      </c>
    </row>
    <row r="562" spans="1:23" x14ac:dyDescent="0.35">
      <c r="A562" s="5">
        <f>-100*RehdanzMaddison!V62</f>
        <v>-1.7714884171490752</v>
      </c>
      <c r="B562" s="8">
        <f>RehdanzMaddison!S62</f>
        <v>25595.990106992766</v>
      </c>
      <c r="C562" s="8">
        <f>RehdanzMaddison!T62</f>
        <v>13.3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f t="shared" si="9"/>
        <v>1.5384615384615385E-2</v>
      </c>
    </row>
    <row r="563" spans="1:23" x14ac:dyDescent="0.35">
      <c r="A563" s="5">
        <f>-100*RehdanzMaddison!V63</f>
        <v>1.0692650846305696</v>
      </c>
      <c r="B563" s="8">
        <f>RehdanzMaddison!S63</f>
        <v>42825.675932195161</v>
      </c>
      <c r="C563" s="8">
        <f>RehdanzMaddison!T63</f>
        <v>2.1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f t="shared" si="9"/>
        <v>1.5384615384615385E-2</v>
      </c>
    </row>
    <row r="564" spans="1:23" x14ac:dyDescent="0.35">
      <c r="A564" s="5">
        <f>-100*RehdanzMaddison!V64</f>
        <v>-0.47219386209601699</v>
      </c>
      <c r="B564" s="8">
        <f>RehdanzMaddison!S64</f>
        <v>54642.81108074497</v>
      </c>
      <c r="C564" s="8">
        <f>RehdanzMaddison!T64</f>
        <v>5.5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f t="shared" si="9"/>
        <v>1.5384615384615385E-2</v>
      </c>
    </row>
    <row r="565" spans="1:23" x14ac:dyDescent="0.35">
      <c r="A565" s="5">
        <f>-100*RehdanzMaddison!V65</f>
        <v>-6.3862663497797847</v>
      </c>
      <c r="B565" s="8">
        <f>RehdanzMaddison!S65</f>
        <v>7833.5285846205052</v>
      </c>
      <c r="C565" s="8">
        <f>RehdanzMaddison!T65</f>
        <v>11.1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9"/>
        <v>1.5384615384615385E-2</v>
      </c>
    </row>
    <row r="566" spans="1:23" x14ac:dyDescent="0.35">
      <c r="A566" s="5">
        <f>-100*RehdanzMaddison!V66</f>
        <v>-0.13064119196974172</v>
      </c>
      <c r="B566" s="8">
        <f>RehdanzMaddison!S66</f>
        <v>43952.446494287382</v>
      </c>
      <c r="C566" s="8">
        <f>RehdanzMaddison!T66</f>
        <v>8.5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f t="shared" si="9"/>
        <v>1.5384615384615385E-2</v>
      </c>
    </row>
    <row r="567" spans="1:23" x14ac:dyDescent="0.35">
      <c r="A567" s="5">
        <f>-100*RehdanzMaddison!V67</f>
        <v>6.7435719429082761</v>
      </c>
      <c r="B567" s="8">
        <f>RehdanzMaddison!S67</f>
        <v>1974.6211818802449</v>
      </c>
      <c r="C567" s="8">
        <f>RehdanzMaddison!T67</f>
        <v>8.3000000000000007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f t="shared" si="9"/>
        <v>1.5384615384615385E-2</v>
      </c>
    </row>
    <row r="568" spans="1:23" x14ac:dyDescent="0.35">
      <c r="A568" s="5">
        <f>-100*RehdanzMaddison!V68</f>
        <v>-3.8306297847825097</v>
      </c>
      <c r="B568" s="8">
        <f>RehdanzMaddison!S68</f>
        <v>6791.0504176996537</v>
      </c>
      <c r="C568" s="8">
        <f>RehdanzMaddison!T68</f>
        <v>17.5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f t="shared" si="9"/>
        <v>1.5384615384615385E-2</v>
      </c>
    </row>
    <row r="569" spans="1:23" x14ac:dyDescent="0.35">
      <c r="A569" s="5">
        <f>-100*RehdanzMaddison!V69</f>
        <v>0.9192889602090264</v>
      </c>
      <c r="B569" s="8">
        <f>RehdanzMaddison!S69</f>
        <v>6010.0797889966334</v>
      </c>
      <c r="C569" s="8">
        <f>RehdanzMaddison!T69</f>
        <v>25.3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f t="shared" si="9"/>
        <v>1.5384615384615385E-2</v>
      </c>
    </row>
    <row r="570" spans="1:23" x14ac:dyDescent="0.35">
      <c r="A570" s="5">
        <f>Dellink!B2</f>
        <v>0.90126677133885402</v>
      </c>
      <c r="B570" s="5">
        <f>Dellink!E2</f>
        <v>36337.22567382102</v>
      </c>
      <c r="C570" s="5">
        <f>Dellink!F2</f>
        <v>-5.4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f t="shared" si="9"/>
        <v>0.04</v>
      </c>
    </row>
    <row r="571" spans="1:23" x14ac:dyDescent="0.35">
      <c r="A571" s="5">
        <f>Dellink!B3</f>
        <v>-0.583735369683128</v>
      </c>
      <c r="B571" s="5">
        <f>Dellink!E3</f>
        <v>8610.0220425441075</v>
      </c>
      <c r="C571" s="5">
        <f>Dellink!F3</f>
        <v>8.5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f t="shared" si="9"/>
        <v>0.04</v>
      </c>
    </row>
    <row r="572" spans="1:23" x14ac:dyDescent="0.35">
      <c r="A572" s="5">
        <f>Dellink!B4</f>
        <v>-1.9756672851841299</v>
      </c>
      <c r="B572" s="5">
        <f>Dellink!E4</f>
        <v>8084.6290001796442</v>
      </c>
      <c r="C572" s="5">
        <f>Dellink!F4</f>
        <v>21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f t="shared" si="9"/>
        <v>0.04</v>
      </c>
    </row>
    <row r="573" spans="1:23" x14ac:dyDescent="0.35">
      <c r="A573" s="5">
        <f>Dellink!B5</f>
        <v>-0.456244647445047</v>
      </c>
      <c r="B573" s="5">
        <f>Dellink!E5</f>
        <v>43952.446494287382</v>
      </c>
      <c r="C573" s="5">
        <f>Dellink!F5</f>
        <v>8.5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f t="shared" si="9"/>
        <v>0.04</v>
      </c>
    </row>
    <row r="574" spans="1:23" x14ac:dyDescent="0.35">
      <c r="A574" s="5">
        <f>Dellink!B6</f>
        <v>-0.14448686839851499</v>
      </c>
      <c r="B574" s="5">
        <f>Dellink!E6</f>
        <v>34436.233169694337</v>
      </c>
      <c r="C574" s="5">
        <f>Dellink!F6</f>
        <v>10.076748007895024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f t="shared" si="9"/>
        <v>0.04</v>
      </c>
    </row>
    <row r="575" spans="1:23" x14ac:dyDescent="0.35">
      <c r="A575" s="5">
        <f>Dellink!B7</f>
        <v>-0.40611261775620799</v>
      </c>
      <c r="B575" s="5">
        <f>Dellink!E7</f>
        <v>24928.790288325927</v>
      </c>
      <c r="C575" s="5">
        <f>Dellink!F7</f>
        <v>9.7147519395630653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f t="shared" si="9"/>
        <v>0.04</v>
      </c>
    </row>
    <row r="576" spans="1:23" x14ac:dyDescent="0.35">
      <c r="A576" s="5">
        <f>Dellink!B8</f>
        <v>-0.23403511276049099</v>
      </c>
      <c r="B576" s="5">
        <f>Dellink!E8</f>
        <v>16098.805049460723</v>
      </c>
      <c r="C576" s="5">
        <f>Dellink!F8</f>
        <v>10.755204433403998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f t="shared" si="9"/>
        <v>0.04</v>
      </c>
    </row>
    <row r="577" spans="1:23" x14ac:dyDescent="0.35">
      <c r="A577" s="5">
        <f>Dellink!B9</f>
        <v>-0.898165857836139</v>
      </c>
      <c r="B577" s="5">
        <f>Dellink!E9</f>
        <v>34709.691393010689</v>
      </c>
      <c r="C577" s="5">
        <f>Dellink!F9</f>
        <v>19.765838286088279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f t="shared" si="9"/>
        <v>0.04</v>
      </c>
    </row>
    <row r="578" spans="1:23" x14ac:dyDescent="0.35">
      <c r="A578" s="5">
        <f>Dellink!B10</f>
        <v>4.8397801884101803E-2</v>
      </c>
      <c r="B578" s="5">
        <f>Dellink!E10</f>
        <v>36472.749157637452</v>
      </c>
      <c r="C578" s="5">
        <f>Dellink!F10</f>
        <v>11.1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f t="shared" si="9"/>
        <v>0.04</v>
      </c>
    </row>
    <row r="579" spans="1:23" x14ac:dyDescent="0.35">
      <c r="A579" s="5">
        <f>Dellink!B11</f>
        <v>-0.42989223522694697</v>
      </c>
      <c r="B579" s="5">
        <f>Dellink!E11</f>
        <v>22236.187948867053</v>
      </c>
      <c r="C579" s="5">
        <f>Dellink!F11</f>
        <v>11.5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f t="shared" si="9"/>
        <v>0.04</v>
      </c>
    </row>
    <row r="580" spans="1:23" x14ac:dyDescent="0.35">
      <c r="A580" s="5">
        <f>Dellink!B12</f>
        <v>-2.50346488723951</v>
      </c>
      <c r="B580" s="5">
        <f>Dellink!E12</f>
        <v>2870.0529334764196</v>
      </c>
      <c r="C580" s="5">
        <f>Dellink!F12</f>
        <v>6.9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f t="shared" ref="W580:W609" si="10">SUMPRODUCT(D580:V580,D$1:V$1)</f>
        <v>0.04</v>
      </c>
    </row>
    <row r="581" spans="1:23" x14ac:dyDescent="0.35">
      <c r="A581" s="5">
        <f>Dellink!B13</f>
        <v>-0.79797673422780302</v>
      </c>
      <c r="B581" s="5">
        <f>Dellink!E13</f>
        <v>6471.089704307029</v>
      </c>
      <c r="C581" s="5">
        <f>Dellink!F13</f>
        <v>9.3266853652071635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f t="shared" si="10"/>
        <v>0.04</v>
      </c>
    </row>
    <row r="582" spans="1:23" x14ac:dyDescent="0.35">
      <c r="A582" s="5">
        <f>Dellink!B14</f>
        <v>1.1549992863260099</v>
      </c>
      <c r="B582" s="5">
        <f>Dellink!E14</f>
        <v>6385.6173068952321</v>
      </c>
      <c r="C582" s="5">
        <f>Dellink!F14</f>
        <v>-5.0999999999999996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f t="shared" si="10"/>
        <v>0.04</v>
      </c>
    </row>
    <row r="583" spans="1:23" x14ac:dyDescent="0.35">
      <c r="A583" s="5">
        <f>Dellink!B15</f>
        <v>-2.3586140451041899</v>
      </c>
      <c r="B583" s="5">
        <f>Dellink!E15</f>
        <v>3447.0263931327568</v>
      </c>
      <c r="C583" s="5">
        <f>Dellink!F15</f>
        <v>14.960647108813635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f t="shared" si="10"/>
        <v>0.04</v>
      </c>
    </row>
    <row r="584" spans="1:23" x14ac:dyDescent="0.35">
      <c r="A584" s="5">
        <f>Dellink!B16</f>
        <v>-0.63778903796745501</v>
      </c>
      <c r="B584" s="5">
        <f>Dellink!E16</f>
        <v>2878.7667526846121</v>
      </c>
      <c r="C584" s="5">
        <f>Dellink!F16</f>
        <v>8.532061376947663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f t="shared" si="10"/>
        <v>0.04</v>
      </c>
    </row>
    <row r="585" spans="1:23" x14ac:dyDescent="0.35">
      <c r="A585" s="5">
        <f>Dellink!B17</f>
        <v>-1.1934377676277499</v>
      </c>
      <c r="B585" s="5">
        <f>Dellink!E17</f>
        <v>5618.3246002281494</v>
      </c>
      <c r="C585" s="5">
        <f>Dellink!F17</f>
        <v>24.9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f t="shared" si="10"/>
        <v>0.04</v>
      </c>
    </row>
    <row r="586" spans="1:23" x14ac:dyDescent="0.35">
      <c r="A586" s="5">
        <f>Dellink!B18</f>
        <v>-1.6716528689694501</v>
      </c>
      <c r="B586" s="5">
        <f>Dellink!E18</f>
        <v>4574.2253475251391</v>
      </c>
      <c r="C586" s="5">
        <f>Dellink!F18</f>
        <v>22.204395144382126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f t="shared" si="10"/>
        <v>0.04</v>
      </c>
    </row>
    <row r="587" spans="1:23" x14ac:dyDescent="0.35">
      <c r="A587" s="5">
        <f>Dellink!B19</f>
        <v>-3.17214173565515</v>
      </c>
      <c r="B587" s="5">
        <f>Dellink!E19</f>
        <v>7959.3740732395818</v>
      </c>
      <c r="C587" s="5">
        <f>Dellink!F19</f>
        <v>21.995852613382134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f t="shared" si="10"/>
        <v>0.04</v>
      </c>
    </row>
    <row r="588" spans="1:23" x14ac:dyDescent="0.35">
      <c r="A588" s="5">
        <f>Dellink!B20</f>
        <v>-3.5112011133314298</v>
      </c>
      <c r="B588" s="5">
        <f>Dellink!E20</f>
        <v>2502.1075728121955</v>
      </c>
      <c r="C588" s="5">
        <f>Dellink!F20</f>
        <v>21.023972557926076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f t="shared" si="10"/>
        <v>0.04</v>
      </c>
    </row>
    <row r="589" spans="1:23" x14ac:dyDescent="0.35">
      <c r="A589" s="5">
        <f>Dellink!B21</f>
        <v>-2.7040929203539799</v>
      </c>
      <c r="B589" s="5">
        <f>Dellink!E21</f>
        <v>2645.9258769740204</v>
      </c>
      <c r="C589" s="5">
        <f>Dellink!F21</f>
        <v>25.462156611955319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f t="shared" si="10"/>
        <v>0.04</v>
      </c>
    </row>
    <row r="590" spans="1:23" x14ac:dyDescent="0.35">
      <c r="A590" s="5">
        <f>Dellink!B22</f>
        <v>-2.3151263202968901</v>
      </c>
      <c r="B590" s="5">
        <f>Dellink!E22</f>
        <v>1570.1529365014842</v>
      </c>
      <c r="C590" s="5">
        <f>Dellink!F22</f>
        <v>25.8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f t="shared" si="10"/>
        <v>0.04</v>
      </c>
    </row>
    <row r="591" spans="1:23" x14ac:dyDescent="0.35">
      <c r="A591" s="5">
        <f>Dellink!B23</f>
        <v>-4.3110405366828397</v>
      </c>
      <c r="B591" s="5">
        <f>Dellink!E23</f>
        <v>1031.5611094455749</v>
      </c>
      <c r="C591" s="5">
        <f>Dellink!F23</f>
        <v>23.7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f t="shared" si="10"/>
        <v>0.04</v>
      </c>
    </row>
    <row r="592" spans="1:23" x14ac:dyDescent="0.35">
      <c r="A592" s="5">
        <f>Dellink!B24</f>
        <v>-3.1015022837567798</v>
      </c>
      <c r="B592" s="5">
        <f>Dellink!E24</f>
        <v>1205.031250477751</v>
      </c>
      <c r="C592" s="5">
        <f>Dellink!F24</f>
        <v>19.683273093913879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f t="shared" si="10"/>
        <v>0.04</v>
      </c>
    </row>
    <row r="593" spans="1:23" x14ac:dyDescent="0.35">
      <c r="A593" s="5">
        <f>Dellink!B25</f>
        <v>-2.1859120753639698</v>
      </c>
      <c r="B593" s="5">
        <f>Dellink!E25</f>
        <v>5797.2434904439497</v>
      </c>
      <c r="C593" s="5">
        <f>Dellink!F25</f>
        <v>17.8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f t="shared" si="10"/>
        <v>0.04</v>
      </c>
    </row>
    <row r="594" spans="1:23" x14ac:dyDescent="0.35">
      <c r="A594" s="5">
        <f>Dellink!B26</f>
        <v>-4.04237082500714</v>
      </c>
      <c r="B594" s="5">
        <f>Dellink!E26</f>
        <v>690.431507099643</v>
      </c>
      <c r="C594" s="5">
        <f>Dellink!F26</f>
        <v>24.605186735952024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f t="shared" si="10"/>
        <v>0.04</v>
      </c>
    </row>
    <row r="595" spans="1:23" x14ac:dyDescent="0.35">
      <c r="A595" s="5">
        <f>Eboli!B2</f>
        <v>2.9847328244274798</v>
      </c>
      <c r="B595" s="5">
        <f>Eboli!E2</f>
        <v>36472.749157637452</v>
      </c>
      <c r="C595" s="5">
        <f>Eboli!F2</f>
        <v>11.1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f t="shared" si="10"/>
        <v>0.125</v>
      </c>
    </row>
    <row r="596" spans="1:23" x14ac:dyDescent="0.35">
      <c r="A596" s="5">
        <f>Eboli!B3</f>
        <v>1.24427480916031</v>
      </c>
      <c r="B596" s="5">
        <f>Eboli!E3</f>
        <v>33644.066816168015</v>
      </c>
      <c r="C596" s="5">
        <f>Eboli!F3</f>
        <v>10.256838356254983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f t="shared" si="10"/>
        <v>0.125</v>
      </c>
    </row>
    <row r="597" spans="1:23" x14ac:dyDescent="0.35">
      <c r="A597" s="5">
        <f>Eboli!B4</f>
        <v>1.12213740458015</v>
      </c>
      <c r="B597" s="5">
        <f>Eboli!E4</f>
        <v>39638.252731958441</v>
      </c>
      <c r="C597" s="5">
        <f>Eboli!F4</f>
        <v>5.2897238671456988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f t="shared" si="10"/>
        <v>0.125</v>
      </c>
    </row>
    <row r="598" spans="1:23" x14ac:dyDescent="0.35">
      <c r="A598" s="5">
        <f>Eboli!B5</f>
        <v>-5.3435114503816598E-2</v>
      </c>
      <c r="B598" s="5">
        <f>Eboli!E5</f>
        <v>5614.9076379148273</v>
      </c>
      <c r="C598" s="5">
        <f>Eboli!F5</f>
        <v>3.7617944220202451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f t="shared" si="10"/>
        <v>0.125</v>
      </c>
    </row>
    <row r="599" spans="1:23" x14ac:dyDescent="0.35">
      <c r="A599" s="5">
        <f>Eboli!B6</f>
        <v>-0.84732824427480902</v>
      </c>
      <c r="B599" s="5">
        <f>Eboli!E6</f>
        <v>1998.5453568077482</v>
      </c>
      <c r="C599" s="5">
        <f>Eboli!F6</f>
        <v>14.863770682391699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f t="shared" si="10"/>
        <v>0.125</v>
      </c>
    </row>
    <row r="600" spans="1:23" x14ac:dyDescent="0.35">
      <c r="A600" s="5">
        <f>Eboli!B7</f>
        <v>-1.03053435114504</v>
      </c>
      <c r="B600" s="5">
        <f>Eboli!E7</f>
        <v>43952.446494287382</v>
      </c>
      <c r="C600" s="5">
        <f>Eboli!F7</f>
        <v>8.5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f t="shared" si="10"/>
        <v>0.125</v>
      </c>
    </row>
    <row r="601" spans="1:23" x14ac:dyDescent="0.35">
      <c r="A601" s="5">
        <f>Eboli!B8</f>
        <v>-4.1297709923664101</v>
      </c>
      <c r="B601" s="5">
        <f>Eboli!E8</f>
        <v>4067.3905915395799</v>
      </c>
      <c r="C601" s="5">
        <f>Eboli!F8</f>
        <v>21.526095126080534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f t="shared" si="10"/>
        <v>0.125</v>
      </c>
    </row>
    <row r="602" spans="1:23" x14ac:dyDescent="0.35">
      <c r="A602" s="5">
        <f>Eboli!B9</f>
        <v>-4.8931297709923696</v>
      </c>
      <c r="B602" s="5">
        <f>Eboli!E9</f>
        <v>2745.3883549984148</v>
      </c>
      <c r="C602" s="5">
        <f>Eboli!F9</f>
        <v>23.579823726431975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f t="shared" si="10"/>
        <v>0.125</v>
      </c>
    </row>
    <row r="603" spans="1:23" x14ac:dyDescent="0.35">
      <c r="A603" s="5">
        <f>-Takakura!G$2</f>
        <v>-1.6039518138982864</v>
      </c>
      <c r="B603" s="5">
        <f>Takakura!G$5</f>
        <v>1237.1351073516155</v>
      </c>
      <c r="C603" s="5">
        <f>Takakura!G$6</f>
        <v>23.687587146762144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f t="shared" si="10"/>
        <v>0.14285714285714285</v>
      </c>
    </row>
    <row r="604" spans="1:23" x14ac:dyDescent="0.35">
      <c r="A604" s="5">
        <f>-Takakura!H$2</f>
        <v>-2.3829564229979132</v>
      </c>
      <c r="B604" s="5">
        <f>Takakura!H$5</f>
        <v>3666.285269637398</v>
      </c>
      <c r="C604" s="5">
        <f>Takakura!H$6</f>
        <v>17.042653595201081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f t="shared" si="10"/>
        <v>0.14285714285714285</v>
      </c>
    </row>
    <row r="605" spans="1:23" x14ac:dyDescent="0.35">
      <c r="A605" s="5">
        <f>-Takakura!I$2</f>
        <v>-1.1443155776584417</v>
      </c>
      <c r="B605" s="5">
        <f>Takakura!I$5</f>
        <v>28383.157377781619</v>
      </c>
      <c r="C605" s="5">
        <f>Takakura!I$6</f>
        <v>9.7392884883152426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f t="shared" si="10"/>
        <v>0.14285714285714285</v>
      </c>
    </row>
    <row r="606" spans="1:23" x14ac:dyDescent="0.35">
      <c r="A606" s="5">
        <f>-Takakura!J$2</f>
        <v>-1.3630204816814462</v>
      </c>
      <c r="B606" s="5">
        <f>Takakura!J$5</f>
        <v>4298.6296951072927</v>
      </c>
      <c r="C606" s="5">
        <f>Takakura!J$6</f>
        <v>1.6085507386501414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f t="shared" si="10"/>
        <v>0.14285714285714285</v>
      </c>
    </row>
    <row r="607" spans="1:23" x14ac:dyDescent="0.35">
      <c r="A607" s="5">
        <f>-Takakura!K$2</f>
        <v>-0.93864792529988528</v>
      </c>
      <c r="B607" s="5">
        <f>Takakura!K$5</f>
        <v>34116.243899078007</v>
      </c>
      <c r="C607" s="5">
        <f>Takakura!K$6</f>
        <v>10.782209486800749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f t="shared" si="10"/>
        <v>0.14285714285714285</v>
      </c>
    </row>
    <row r="608" spans="1:23" x14ac:dyDescent="0.35">
      <c r="A608" s="5">
        <f>-Takakura!L$2</f>
        <v>-0.74933792132820543</v>
      </c>
      <c r="B608" s="5">
        <f>Takakura!L$5</f>
        <v>26197.375340471801</v>
      </c>
      <c r="C608" s="5">
        <f>Takakura!L$6</f>
        <v>21.157756408960982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f t="shared" si="10"/>
        <v>0.14285714285714285</v>
      </c>
    </row>
    <row r="609" spans="1:23" x14ac:dyDescent="0.35">
      <c r="A609" s="5">
        <f>-Takakura!M$2</f>
        <v>-1.5762756497433714</v>
      </c>
      <c r="B609" s="5">
        <f>Takakura!M$5</f>
        <v>5121.8469973254632</v>
      </c>
      <c r="C609" s="5">
        <f>Takakura!M$6</f>
        <v>22.75360656870291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f t="shared" si="10"/>
        <v>0.14285714285714285</v>
      </c>
    </row>
    <row r="610" spans="1:23" x14ac:dyDescent="0.35">
      <c r="A610" s="5"/>
      <c r="B610" s="5"/>
      <c r="C610" s="5"/>
      <c r="D610" s="5"/>
    </row>
    <row r="611" spans="1:23" x14ac:dyDescent="0.35">
      <c r="A611" s="5"/>
      <c r="B611" s="8"/>
      <c r="C611" s="8"/>
    </row>
    <row r="612" spans="1:23" x14ac:dyDescent="0.35">
      <c r="A612" s="5"/>
      <c r="B612" s="8"/>
      <c r="C612" s="8"/>
    </row>
    <row r="613" spans="1:23" x14ac:dyDescent="0.35">
      <c r="A613" s="5"/>
      <c r="B613" s="8"/>
      <c r="C613" s="8"/>
    </row>
    <row r="614" spans="1:23" x14ac:dyDescent="0.35">
      <c r="A614" s="5"/>
      <c r="B614" s="8"/>
      <c r="C614" s="8"/>
    </row>
    <row r="615" spans="1:23" x14ac:dyDescent="0.35">
      <c r="A615" s="5"/>
      <c r="B615" s="8"/>
      <c r="C615" s="8"/>
    </row>
    <row r="616" spans="1:23" x14ac:dyDescent="0.35">
      <c r="A616" s="5"/>
      <c r="B616" s="8"/>
      <c r="C616" s="8"/>
    </row>
    <row r="617" spans="1:23" x14ac:dyDescent="0.35">
      <c r="A617" s="5"/>
      <c r="B617" s="8"/>
      <c r="C617" s="8"/>
    </row>
    <row r="618" spans="1:23" x14ac:dyDescent="0.35">
      <c r="A618" s="5"/>
      <c r="B618" s="8"/>
      <c r="C618" s="8"/>
    </row>
    <row r="619" spans="1:23" x14ac:dyDescent="0.35">
      <c r="A619" s="5"/>
      <c r="B619" s="8"/>
      <c r="C619" s="8"/>
    </row>
    <row r="620" spans="1:23" x14ac:dyDescent="0.35">
      <c r="A620" s="5"/>
      <c r="B620" s="8"/>
      <c r="C620" s="8"/>
    </row>
    <row r="621" spans="1:23" x14ac:dyDescent="0.35">
      <c r="A621" s="5"/>
      <c r="B621" s="8"/>
      <c r="C621" s="8"/>
    </row>
    <row r="622" spans="1:23" x14ac:dyDescent="0.35">
      <c r="A622" s="5"/>
      <c r="B622" s="8"/>
      <c r="C622" s="8"/>
    </row>
    <row r="623" spans="1:23" x14ac:dyDescent="0.35">
      <c r="A623" s="5"/>
      <c r="B623" s="8"/>
      <c r="C623" s="8"/>
    </row>
    <row r="624" spans="1:23" x14ac:dyDescent="0.35">
      <c r="A624" s="5"/>
      <c r="B624" s="8"/>
      <c r="C624" s="8"/>
    </row>
    <row r="625" spans="1:3" x14ac:dyDescent="0.35">
      <c r="A625" s="5"/>
      <c r="B625" s="8"/>
      <c r="C625" s="8"/>
    </row>
    <row r="626" spans="1:3" x14ac:dyDescent="0.35">
      <c r="A626" s="5"/>
      <c r="B626" s="8"/>
      <c r="C626" s="8"/>
    </row>
    <row r="627" spans="1:3" x14ac:dyDescent="0.35">
      <c r="A627" s="5"/>
      <c r="B627" s="8"/>
      <c r="C627" s="8"/>
    </row>
    <row r="628" spans="1:3" x14ac:dyDescent="0.35">
      <c r="A628" s="5"/>
      <c r="B628" s="8"/>
      <c r="C628" s="8"/>
    </row>
    <row r="629" spans="1:3" x14ac:dyDescent="0.35">
      <c r="A629" s="5"/>
      <c r="B629" s="8"/>
      <c r="C629" s="8"/>
    </row>
    <row r="630" spans="1:3" x14ac:dyDescent="0.35">
      <c r="A630" s="5"/>
      <c r="B630" s="8"/>
      <c r="C630" s="8"/>
    </row>
    <row r="631" spans="1:3" x14ac:dyDescent="0.35">
      <c r="A631" s="5"/>
      <c r="B631" s="8"/>
      <c r="C631" s="8"/>
    </row>
    <row r="632" spans="1:3" x14ac:dyDescent="0.35">
      <c r="A632" s="5"/>
      <c r="B632" s="8"/>
      <c r="C632" s="8"/>
    </row>
    <row r="633" spans="1:3" x14ac:dyDescent="0.35">
      <c r="A633" s="5"/>
      <c r="B633" s="8"/>
      <c r="C633" s="8"/>
    </row>
    <row r="634" spans="1:3" x14ac:dyDescent="0.35">
      <c r="A634" s="5"/>
      <c r="B634" s="8"/>
      <c r="C634" s="8"/>
    </row>
    <row r="635" spans="1:3" x14ac:dyDescent="0.35">
      <c r="A635" s="5"/>
      <c r="B635" s="8"/>
      <c r="C635" s="8"/>
    </row>
    <row r="636" spans="1:3" x14ac:dyDescent="0.35">
      <c r="A636" s="5"/>
      <c r="B636" s="8"/>
      <c r="C636" s="8"/>
    </row>
    <row r="637" spans="1:3" x14ac:dyDescent="0.35">
      <c r="A637" s="5"/>
      <c r="B637" s="8"/>
      <c r="C637" s="8"/>
    </row>
    <row r="638" spans="1:3" x14ac:dyDescent="0.35">
      <c r="A638" s="5"/>
      <c r="B638" s="8"/>
      <c r="C638" s="8"/>
    </row>
    <row r="639" spans="1:3" x14ac:dyDescent="0.35">
      <c r="A639" s="5"/>
      <c r="B639" s="8"/>
      <c r="C639" s="8"/>
    </row>
    <row r="640" spans="1:3" x14ac:dyDescent="0.35">
      <c r="A640" s="5"/>
      <c r="B640" s="8"/>
      <c r="C640" s="8"/>
    </row>
    <row r="641" spans="1:3" x14ac:dyDescent="0.35">
      <c r="A641" s="5"/>
      <c r="B641" s="8"/>
      <c r="C641" s="8"/>
    </row>
    <row r="642" spans="1:3" x14ac:dyDescent="0.35">
      <c r="A642" s="5"/>
      <c r="B642" s="8"/>
      <c r="C642" s="8"/>
    </row>
    <row r="643" spans="1:3" x14ac:dyDescent="0.35">
      <c r="A643" s="5"/>
      <c r="B643" s="8"/>
      <c r="C643" s="8"/>
    </row>
    <row r="644" spans="1:3" x14ac:dyDescent="0.35">
      <c r="A644" s="5"/>
      <c r="B644" s="8"/>
      <c r="C644" s="8"/>
    </row>
    <row r="645" spans="1:3" x14ac:dyDescent="0.35">
      <c r="A645" s="5"/>
      <c r="B645" s="8"/>
      <c r="C645" s="8"/>
    </row>
    <row r="646" spans="1:3" x14ac:dyDescent="0.35">
      <c r="A646" s="5"/>
      <c r="B646" s="8"/>
      <c r="C646" s="8"/>
    </row>
    <row r="647" spans="1:3" x14ac:dyDescent="0.35">
      <c r="A647" s="5"/>
      <c r="B647" s="8"/>
      <c r="C647" s="8"/>
    </row>
    <row r="648" spans="1:3" x14ac:dyDescent="0.35">
      <c r="A648" s="5"/>
      <c r="B648" s="8"/>
      <c r="C648" s="8"/>
    </row>
    <row r="649" spans="1:3" x14ac:dyDescent="0.35">
      <c r="A649" s="5"/>
      <c r="B649" s="8"/>
      <c r="C649" s="8"/>
    </row>
    <row r="650" spans="1:3" x14ac:dyDescent="0.35">
      <c r="A650" s="5"/>
      <c r="B650" s="8"/>
      <c r="C650" s="8"/>
    </row>
    <row r="651" spans="1:3" x14ac:dyDescent="0.35">
      <c r="A651" s="5"/>
      <c r="B651" s="8"/>
      <c r="C651" s="8"/>
    </row>
    <row r="652" spans="1:3" x14ac:dyDescent="0.35">
      <c r="A652" s="5"/>
      <c r="B652" s="8"/>
      <c r="C652" s="8"/>
    </row>
    <row r="653" spans="1:3" x14ac:dyDescent="0.35">
      <c r="A653" s="5"/>
      <c r="B653" s="8"/>
      <c r="C653" s="8"/>
    </row>
    <row r="654" spans="1:3" x14ac:dyDescent="0.35">
      <c r="A654" s="5"/>
      <c r="B654" s="8"/>
      <c r="C654" s="8"/>
    </row>
    <row r="655" spans="1:3" x14ac:dyDescent="0.35">
      <c r="A655" s="5"/>
      <c r="B655" s="8"/>
      <c r="C655" s="8"/>
    </row>
    <row r="656" spans="1:3" x14ac:dyDescent="0.35">
      <c r="A656" s="5"/>
      <c r="B656" s="8"/>
      <c r="C656" s="8"/>
    </row>
    <row r="657" spans="1:3" x14ac:dyDescent="0.35">
      <c r="A657" s="5"/>
      <c r="B657" s="8"/>
      <c r="C657" s="8"/>
    </row>
    <row r="658" spans="1:3" x14ac:dyDescent="0.35">
      <c r="A658" s="5"/>
      <c r="B658" s="8"/>
      <c r="C658" s="8"/>
    </row>
    <row r="659" spans="1:3" x14ac:dyDescent="0.35">
      <c r="A659" s="5"/>
      <c r="B659" s="8"/>
      <c r="C659" s="8"/>
    </row>
    <row r="660" spans="1:3" x14ac:dyDescent="0.35">
      <c r="A660" s="5"/>
      <c r="B660" s="8"/>
      <c r="C660" s="8"/>
    </row>
    <row r="661" spans="1:3" x14ac:dyDescent="0.35">
      <c r="A661" s="5"/>
      <c r="B661" s="8"/>
      <c r="C661" s="8"/>
    </row>
    <row r="662" spans="1:3" x14ac:dyDescent="0.35">
      <c r="A662" s="5"/>
      <c r="B662" s="8"/>
      <c r="C662" s="8"/>
    </row>
    <row r="663" spans="1:3" x14ac:dyDescent="0.35">
      <c r="A663" s="5"/>
      <c r="B663" s="8"/>
      <c r="C663" s="8"/>
    </row>
    <row r="664" spans="1:3" x14ac:dyDescent="0.35">
      <c r="A664" s="5"/>
      <c r="B664" s="8"/>
      <c r="C664" s="8"/>
    </row>
    <row r="665" spans="1:3" x14ac:dyDescent="0.35">
      <c r="A665" s="5"/>
      <c r="B665" s="8"/>
      <c r="C665" s="8"/>
    </row>
    <row r="666" spans="1:3" x14ac:dyDescent="0.35">
      <c r="A666" s="5"/>
      <c r="B666" s="8"/>
      <c r="C666" s="8"/>
    </row>
    <row r="667" spans="1:3" x14ac:dyDescent="0.35">
      <c r="A667" s="5"/>
      <c r="B667" s="8"/>
      <c r="C667" s="8"/>
    </row>
    <row r="668" spans="1:3" x14ac:dyDescent="0.35">
      <c r="A668" s="5"/>
      <c r="B668" s="8"/>
      <c r="C668" s="8"/>
    </row>
    <row r="669" spans="1:3" x14ac:dyDescent="0.35">
      <c r="A669" s="5"/>
      <c r="B669" s="8"/>
      <c r="C669" s="8"/>
    </row>
    <row r="670" spans="1:3" x14ac:dyDescent="0.35">
      <c r="A670" s="5"/>
      <c r="B670" s="8"/>
      <c r="C670" s="8"/>
    </row>
    <row r="671" spans="1:3" x14ac:dyDescent="0.35">
      <c r="A671" s="5"/>
      <c r="B671" s="8"/>
      <c r="C671" s="8"/>
    </row>
    <row r="672" spans="1:3" x14ac:dyDescent="0.35">
      <c r="A672" s="5"/>
      <c r="B672" s="8"/>
      <c r="C672" s="8"/>
    </row>
    <row r="673" spans="1:3" x14ac:dyDescent="0.35">
      <c r="A673" s="5"/>
      <c r="B673" s="8"/>
      <c r="C673" s="8"/>
    </row>
    <row r="674" spans="1:3" x14ac:dyDescent="0.35">
      <c r="A674" s="5"/>
      <c r="B674" s="8"/>
      <c r="C674" s="8"/>
    </row>
    <row r="675" spans="1:3" x14ac:dyDescent="0.35">
      <c r="A675" s="5"/>
      <c r="B675" s="8"/>
      <c r="C675" s="8"/>
    </row>
    <row r="676" spans="1:3" x14ac:dyDescent="0.35">
      <c r="A676" s="5"/>
      <c r="B676" s="8"/>
      <c r="C676" s="8"/>
    </row>
    <row r="677" spans="1:3" x14ac:dyDescent="0.35">
      <c r="A677" s="5"/>
      <c r="B677" s="8"/>
      <c r="C677" s="8"/>
    </row>
    <row r="678" spans="1:3" x14ac:dyDescent="0.35">
      <c r="A678" s="5"/>
      <c r="B678" s="8"/>
      <c r="C678" s="8"/>
    </row>
    <row r="679" spans="1:3" x14ac:dyDescent="0.35">
      <c r="A679" s="5"/>
      <c r="B679" s="8"/>
      <c r="C679" s="8"/>
    </row>
    <row r="680" spans="1:3" x14ac:dyDescent="0.35">
      <c r="A680" s="5"/>
      <c r="B680" s="8"/>
      <c r="C680" s="8"/>
    </row>
    <row r="681" spans="1:3" x14ac:dyDescent="0.35">
      <c r="A681" s="5"/>
      <c r="B681" s="8"/>
      <c r="C681" s="8"/>
    </row>
    <row r="682" spans="1:3" x14ac:dyDescent="0.35">
      <c r="A682" s="5"/>
      <c r="B682" s="8"/>
      <c r="C682" s="8"/>
    </row>
    <row r="683" spans="1:3" x14ac:dyDescent="0.35">
      <c r="A683" s="5"/>
      <c r="B683" s="8"/>
      <c r="C683" s="8"/>
    </row>
    <row r="684" spans="1:3" x14ac:dyDescent="0.35">
      <c r="A684" s="5"/>
      <c r="B684" s="8"/>
      <c r="C684" s="8"/>
    </row>
    <row r="685" spans="1:3" x14ac:dyDescent="0.35">
      <c r="A685" s="5"/>
      <c r="B685" s="8"/>
      <c r="C685" s="8"/>
    </row>
    <row r="686" spans="1:3" x14ac:dyDescent="0.35">
      <c r="A686" s="5"/>
      <c r="B686" s="8"/>
      <c r="C686" s="8"/>
    </row>
    <row r="687" spans="1:3" x14ac:dyDescent="0.35">
      <c r="A687" s="5"/>
      <c r="B687" s="8"/>
      <c r="C687" s="8"/>
    </row>
    <row r="688" spans="1:3" x14ac:dyDescent="0.35">
      <c r="A688" s="5"/>
      <c r="B688" s="8"/>
      <c r="C688" s="8"/>
    </row>
    <row r="689" spans="1:3" x14ac:dyDescent="0.35">
      <c r="A689" s="5"/>
      <c r="B689" s="8"/>
      <c r="C689" s="8"/>
    </row>
    <row r="690" spans="1:3" x14ac:dyDescent="0.35">
      <c r="A690" s="5"/>
      <c r="B690" s="8"/>
      <c r="C690" s="8"/>
    </row>
    <row r="691" spans="1:3" x14ac:dyDescent="0.35">
      <c r="A691" s="5"/>
      <c r="B691" s="8"/>
      <c r="C691" s="8"/>
    </row>
    <row r="692" spans="1:3" x14ac:dyDescent="0.35">
      <c r="A692" s="5"/>
      <c r="B692" s="8"/>
      <c r="C692" s="8"/>
    </row>
    <row r="693" spans="1:3" x14ac:dyDescent="0.35">
      <c r="A693" s="5"/>
      <c r="B693" s="8"/>
      <c r="C693" s="8"/>
    </row>
    <row r="694" spans="1:3" x14ac:dyDescent="0.35">
      <c r="A694" s="5"/>
      <c r="B694" s="8"/>
      <c r="C694" s="8"/>
    </row>
    <row r="695" spans="1:3" x14ac:dyDescent="0.35">
      <c r="A695" s="5"/>
      <c r="B695" s="8"/>
      <c r="C695" s="8"/>
    </row>
    <row r="696" spans="1:3" x14ac:dyDescent="0.35">
      <c r="A696" s="5"/>
      <c r="B696" s="8"/>
      <c r="C696" s="8"/>
    </row>
    <row r="697" spans="1:3" x14ac:dyDescent="0.35">
      <c r="A697" s="5"/>
      <c r="B697" s="8"/>
      <c r="C697" s="8"/>
    </row>
    <row r="698" spans="1:3" x14ac:dyDescent="0.35">
      <c r="A698" s="5"/>
      <c r="B698" s="8"/>
      <c r="C698" s="8"/>
    </row>
    <row r="699" spans="1:3" x14ac:dyDescent="0.35">
      <c r="A699" s="5"/>
      <c r="B699" s="8"/>
      <c r="C699" s="8"/>
    </row>
    <row r="700" spans="1:3" x14ac:dyDescent="0.35">
      <c r="A700" s="5"/>
      <c r="B700" s="8"/>
      <c r="C700" s="8"/>
    </row>
    <row r="701" spans="1:3" x14ac:dyDescent="0.35">
      <c r="A701" s="5"/>
      <c r="B701" s="8"/>
      <c r="C701" s="8"/>
    </row>
    <row r="702" spans="1:3" x14ac:dyDescent="0.35">
      <c r="A702" s="5"/>
      <c r="B702" s="8"/>
      <c r="C702" s="8"/>
    </row>
    <row r="703" spans="1:3" x14ac:dyDescent="0.35">
      <c r="A703" s="5"/>
      <c r="B703" s="8"/>
      <c r="C703" s="8"/>
    </row>
    <row r="704" spans="1:3" x14ac:dyDescent="0.35">
      <c r="A704" s="5"/>
      <c r="B704" s="8"/>
      <c r="C704" s="8"/>
    </row>
    <row r="705" spans="1:3" x14ac:dyDescent="0.35">
      <c r="A705" s="5"/>
      <c r="B705" s="8"/>
      <c r="C705" s="8"/>
    </row>
    <row r="706" spans="1:3" x14ac:dyDescent="0.35">
      <c r="A706" s="5"/>
      <c r="B706" s="8"/>
      <c r="C706" s="8"/>
    </row>
    <row r="707" spans="1:3" x14ac:dyDescent="0.35">
      <c r="A707" s="5"/>
      <c r="B707" s="8"/>
      <c r="C707" s="8"/>
    </row>
    <row r="708" spans="1:3" x14ac:dyDescent="0.35">
      <c r="A708" s="5"/>
      <c r="B708" s="8"/>
      <c r="C708" s="8"/>
    </row>
    <row r="709" spans="1:3" x14ac:dyDescent="0.35">
      <c r="A709" s="5"/>
      <c r="B709" s="8"/>
      <c r="C709" s="8"/>
    </row>
    <row r="710" spans="1:3" x14ac:dyDescent="0.35">
      <c r="A710" s="5"/>
      <c r="B710" s="8"/>
      <c r="C710" s="8"/>
    </row>
    <row r="711" spans="1:3" x14ac:dyDescent="0.35">
      <c r="A711" s="5"/>
      <c r="B711" s="8"/>
      <c r="C711" s="8"/>
    </row>
    <row r="712" spans="1:3" x14ac:dyDescent="0.35">
      <c r="A712" s="5"/>
      <c r="B712" s="8"/>
      <c r="C712" s="8"/>
    </row>
    <row r="713" spans="1:3" x14ac:dyDescent="0.35">
      <c r="A713" s="5"/>
      <c r="B713" s="8"/>
      <c r="C713" s="8"/>
    </row>
    <row r="714" spans="1:3" x14ac:dyDescent="0.35">
      <c r="A714" s="5"/>
      <c r="B714" s="8"/>
      <c r="C714" s="8"/>
    </row>
    <row r="715" spans="1:3" x14ac:dyDescent="0.35">
      <c r="A715" s="5"/>
      <c r="B715" s="8"/>
      <c r="C715" s="8"/>
    </row>
    <row r="716" spans="1:3" x14ac:dyDescent="0.35">
      <c r="A716" s="5"/>
      <c r="B716" s="8"/>
      <c r="C716" s="8"/>
    </row>
    <row r="717" spans="1:3" x14ac:dyDescent="0.35">
      <c r="A717" s="5"/>
      <c r="B717" s="8"/>
      <c r="C717" s="8"/>
    </row>
    <row r="718" spans="1:3" x14ac:dyDescent="0.35">
      <c r="A718" s="5"/>
      <c r="B718" s="8"/>
      <c r="C718" s="8"/>
    </row>
    <row r="719" spans="1:3" x14ac:dyDescent="0.35">
      <c r="A719" s="5"/>
      <c r="B719" s="8"/>
      <c r="C719" s="8"/>
    </row>
    <row r="720" spans="1:3" x14ac:dyDescent="0.35">
      <c r="A720" s="5"/>
      <c r="B720" s="8"/>
      <c r="C720" s="8"/>
    </row>
    <row r="721" spans="1:3" x14ac:dyDescent="0.35">
      <c r="A721" s="5"/>
      <c r="B721" s="8"/>
      <c r="C721" s="8"/>
    </row>
    <row r="722" spans="1:3" x14ac:dyDescent="0.35">
      <c r="A722" s="5"/>
      <c r="B722" s="8"/>
      <c r="C722" s="8"/>
    </row>
    <row r="723" spans="1:3" x14ac:dyDescent="0.35">
      <c r="A723" s="5"/>
      <c r="B723" s="8"/>
      <c r="C723" s="8"/>
    </row>
    <row r="724" spans="1:3" x14ac:dyDescent="0.35">
      <c r="A724" s="5"/>
      <c r="B724" s="8"/>
      <c r="C724" s="8"/>
    </row>
    <row r="725" spans="1:3" x14ac:dyDescent="0.35">
      <c r="A725" s="5"/>
      <c r="B725" s="8"/>
      <c r="C725" s="8"/>
    </row>
    <row r="726" spans="1:3" x14ac:dyDescent="0.35">
      <c r="A726" s="5"/>
      <c r="B726" s="8"/>
      <c r="C726" s="8"/>
    </row>
    <row r="727" spans="1:3" x14ac:dyDescent="0.35">
      <c r="A727" s="5"/>
      <c r="B727" s="8"/>
      <c r="C727" s="8"/>
    </row>
    <row r="728" spans="1:3" x14ac:dyDescent="0.35">
      <c r="A728" s="5"/>
      <c r="B728" s="8"/>
      <c r="C728" s="8"/>
    </row>
    <row r="729" spans="1:3" x14ac:dyDescent="0.35">
      <c r="A729" s="5"/>
      <c r="B729" s="8"/>
      <c r="C729" s="8"/>
    </row>
    <row r="730" spans="1:3" x14ac:dyDescent="0.35">
      <c r="A730" s="5"/>
      <c r="B730" s="8"/>
      <c r="C730" s="8"/>
    </row>
    <row r="731" spans="1:3" x14ac:dyDescent="0.35">
      <c r="A731" s="5"/>
      <c r="B731" s="8"/>
      <c r="C731" s="8"/>
    </row>
    <row r="732" spans="1:3" x14ac:dyDescent="0.35">
      <c r="A732" s="5"/>
      <c r="B732" s="8"/>
      <c r="C732" s="8"/>
    </row>
    <row r="733" spans="1:3" x14ac:dyDescent="0.35">
      <c r="A733" s="5"/>
      <c r="B733" s="8"/>
      <c r="C733" s="8"/>
    </row>
    <row r="734" spans="1:3" x14ac:dyDescent="0.35">
      <c r="A734" s="5"/>
      <c r="B734" s="8"/>
      <c r="C734" s="8"/>
    </row>
    <row r="735" spans="1:3" x14ac:dyDescent="0.35">
      <c r="A735" s="5"/>
      <c r="B735" s="8"/>
      <c r="C735" s="8"/>
    </row>
    <row r="736" spans="1:3" x14ac:dyDescent="0.35">
      <c r="A736" s="5"/>
      <c r="B736" s="8"/>
      <c r="C736" s="8"/>
    </row>
    <row r="737" spans="1:3" x14ac:dyDescent="0.35">
      <c r="A737" s="5"/>
      <c r="B737" s="8"/>
      <c r="C737" s="8"/>
    </row>
    <row r="738" spans="1:3" x14ac:dyDescent="0.35">
      <c r="A738" s="5"/>
      <c r="B738" s="8"/>
      <c r="C738" s="8"/>
    </row>
    <row r="739" spans="1:3" x14ac:dyDescent="0.35">
      <c r="A739" s="5"/>
      <c r="B739" s="8"/>
      <c r="C739" s="8"/>
    </row>
    <row r="740" spans="1:3" x14ac:dyDescent="0.35">
      <c r="A740" s="5"/>
      <c r="B740" s="8"/>
      <c r="C740" s="8"/>
    </row>
    <row r="741" spans="1:3" x14ac:dyDescent="0.35">
      <c r="A741" s="5"/>
      <c r="B741" s="8"/>
      <c r="C741" s="8"/>
    </row>
    <row r="742" spans="1:3" x14ac:dyDescent="0.35">
      <c r="A742" s="5"/>
      <c r="B742" s="8"/>
      <c r="C742" s="8"/>
    </row>
    <row r="743" spans="1:3" x14ac:dyDescent="0.35">
      <c r="A743" s="5"/>
      <c r="B743" s="8"/>
      <c r="C743" s="8"/>
    </row>
    <row r="744" spans="1:3" x14ac:dyDescent="0.35">
      <c r="A744" s="5"/>
      <c r="B744" s="8"/>
      <c r="C744" s="8"/>
    </row>
    <row r="745" spans="1:3" x14ac:dyDescent="0.35">
      <c r="A745" s="5"/>
      <c r="B745" s="8"/>
      <c r="C745" s="8"/>
    </row>
    <row r="746" spans="1:3" x14ac:dyDescent="0.35">
      <c r="A746" s="5"/>
      <c r="B746" s="8"/>
      <c r="C746" s="8"/>
    </row>
    <row r="747" spans="1:3" x14ac:dyDescent="0.35">
      <c r="A747" s="5"/>
      <c r="B747" s="8"/>
      <c r="C747" s="8"/>
    </row>
    <row r="748" spans="1:3" x14ac:dyDescent="0.35">
      <c r="A748" s="5"/>
      <c r="B748" s="8"/>
      <c r="C748" s="8"/>
    </row>
    <row r="749" spans="1:3" x14ac:dyDescent="0.35">
      <c r="A749" s="5"/>
      <c r="B749" s="8"/>
      <c r="C749" s="8"/>
    </row>
    <row r="750" spans="1:3" x14ac:dyDescent="0.35">
      <c r="A750" s="5"/>
      <c r="B750" s="8"/>
      <c r="C750" s="8"/>
    </row>
    <row r="751" spans="1:3" x14ac:dyDescent="0.35">
      <c r="A751" s="5"/>
      <c r="B751" s="8"/>
      <c r="C751" s="8"/>
    </row>
    <row r="752" spans="1:3" x14ac:dyDescent="0.35">
      <c r="A752" s="5"/>
      <c r="B752" s="8"/>
      <c r="C752" s="8"/>
    </row>
    <row r="753" spans="1:3" x14ac:dyDescent="0.35">
      <c r="A753" s="5"/>
      <c r="B753" s="8"/>
      <c r="C753" s="8"/>
    </row>
    <row r="754" spans="1:3" x14ac:dyDescent="0.35">
      <c r="A754" s="5"/>
      <c r="B754" s="8"/>
      <c r="C754" s="8"/>
    </row>
    <row r="755" spans="1:3" x14ac:dyDescent="0.35">
      <c r="A755" s="5"/>
      <c r="B755" s="8"/>
      <c r="C755" s="8"/>
    </row>
    <row r="756" spans="1:3" x14ac:dyDescent="0.35">
      <c r="A756" s="5"/>
      <c r="B756" s="8"/>
      <c r="C756" s="8"/>
    </row>
    <row r="757" spans="1:3" x14ac:dyDescent="0.35">
      <c r="A757" s="5"/>
      <c r="B757" s="8"/>
      <c r="C757" s="8"/>
    </row>
    <row r="758" spans="1:3" x14ac:dyDescent="0.35">
      <c r="A758" s="5"/>
      <c r="B758" s="8"/>
      <c r="C758" s="8"/>
    </row>
    <row r="759" spans="1:3" x14ac:dyDescent="0.35">
      <c r="A759" s="5"/>
      <c r="B759" s="8"/>
      <c r="C759" s="8"/>
    </row>
    <row r="760" spans="1:3" x14ac:dyDescent="0.35">
      <c r="A760" s="5"/>
      <c r="B760" s="8"/>
      <c r="C760" s="8"/>
    </row>
    <row r="761" spans="1:3" x14ac:dyDescent="0.35">
      <c r="A761" s="5"/>
      <c r="B761" s="8"/>
      <c r="C761" s="8"/>
    </row>
    <row r="762" spans="1:3" x14ac:dyDescent="0.35">
      <c r="A762" s="5"/>
      <c r="B762" s="8"/>
      <c r="C762" s="8"/>
    </row>
    <row r="763" spans="1:3" x14ac:dyDescent="0.35">
      <c r="A763" s="5"/>
      <c r="B763" s="8"/>
      <c r="C763" s="8"/>
    </row>
    <row r="764" spans="1:3" x14ac:dyDescent="0.35">
      <c r="A764" s="5"/>
      <c r="B764" s="8"/>
      <c r="C764" s="8"/>
    </row>
    <row r="765" spans="1:3" x14ac:dyDescent="0.35">
      <c r="A765" s="5"/>
      <c r="B765" s="8"/>
      <c r="C765" s="8"/>
    </row>
    <row r="766" spans="1:3" x14ac:dyDescent="0.35">
      <c r="A766" s="5"/>
      <c r="B766" s="8"/>
      <c r="C766" s="8"/>
    </row>
    <row r="767" spans="1:3" x14ac:dyDescent="0.35">
      <c r="A767" s="5"/>
      <c r="B767" s="8"/>
      <c r="C767" s="8"/>
    </row>
    <row r="768" spans="1:3" x14ac:dyDescent="0.35">
      <c r="A768" s="5"/>
      <c r="B768" s="8"/>
      <c r="C768" s="8"/>
    </row>
    <row r="769" spans="1:3" x14ac:dyDescent="0.35">
      <c r="A769" s="5"/>
      <c r="B769" s="8"/>
      <c r="C769" s="8"/>
    </row>
    <row r="770" spans="1:3" x14ac:dyDescent="0.35">
      <c r="A770" s="5"/>
      <c r="B770" s="8"/>
      <c r="C770" s="8"/>
    </row>
    <row r="771" spans="1:3" x14ac:dyDescent="0.35">
      <c r="A771" s="5"/>
      <c r="B771" s="8"/>
      <c r="C771" s="8"/>
    </row>
    <row r="772" spans="1:3" x14ac:dyDescent="0.35">
      <c r="A772" s="5"/>
      <c r="B772" s="8"/>
      <c r="C772" s="8"/>
    </row>
    <row r="773" spans="1:3" x14ac:dyDescent="0.35">
      <c r="A773" s="5"/>
      <c r="B773" s="8"/>
      <c r="C773" s="8"/>
    </row>
    <row r="774" spans="1:3" x14ac:dyDescent="0.35">
      <c r="A774" s="5"/>
      <c r="B774" s="8"/>
      <c r="C774" s="8"/>
    </row>
    <row r="775" spans="1:3" x14ac:dyDescent="0.35">
      <c r="A775" s="5"/>
      <c r="B775" s="8"/>
      <c r="C775" s="8"/>
    </row>
    <row r="776" spans="1:3" x14ac:dyDescent="0.35">
      <c r="A776" s="5"/>
      <c r="B776" s="8"/>
      <c r="C776" s="8"/>
    </row>
    <row r="777" spans="1:3" x14ac:dyDescent="0.35">
      <c r="A777" s="5"/>
      <c r="B777" s="8"/>
      <c r="C777" s="8"/>
    </row>
    <row r="778" spans="1:3" x14ac:dyDescent="0.35">
      <c r="A778" s="5"/>
      <c r="B778" s="8"/>
      <c r="C778" s="8"/>
    </row>
    <row r="779" spans="1:3" x14ac:dyDescent="0.35">
      <c r="A779" s="5"/>
      <c r="B779" s="8"/>
      <c r="C779" s="8"/>
    </row>
    <row r="780" spans="1:3" x14ac:dyDescent="0.35">
      <c r="A780" s="5"/>
      <c r="B780" s="8"/>
      <c r="C780" s="8"/>
    </row>
    <row r="781" spans="1:3" x14ac:dyDescent="0.35">
      <c r="A781" s="5"/>
      <c r="B781" s="8"/>
      <c r="C781" s="8"/>
    </row>
    <row r="782" spans="1:3" x14ac:dyDescent="0.35">
      <c r="A782" s="5"/>
      <c r="B782" s="8"/>
      <c r="C782" s="8"/>
    </row>
    <row r="783" spans="1:3" x14ac:dyDescent="0.35">
      <c r="A783" s="5"/>
      <c r="B783" s="8"/>
      <c r="C783" s="8"/>
    </row>
    <row r="784" spans="1:3" x14ac:dyDescent="0.35">
      <c r="A784" s="5"/>
      <c r="B784" s="8"/>
      <c r="C784" s="8"/>
    </row>
    <row r="785" spans="1:3" x14ac:dyDescent="0.35">
      <c r="A785" s="5"/>
      <c r="B785" s="8"/>
      <c r="C785" s="8"/>
    </row>
    <row r="786" spans="1:3" x14ac:dyDescent="0.35">
      <c r="A786" s="5"/>
      <c r="B786" s="8"/>
      <c r="C786" s="8"/>
    </row>
    <row r="787" spans="1:3" x14ac:dyDescent="0.35">
      <c r="A787" s="5"/>
      <c r="B787" s="8"/>
      <c r="C787" s="8"/>
    </row>
    <row r="788" spans="1:3" x14ac:dyDescent="0.35">
      <c r="A788" s="5"/>
      <c r="B788" s="8"/>
      <c r="C788" s="8"/>
    </row>
    <row r="789" spans="1:3" x14ac:dyDescent="0.35">
      <c r="A789" s="5"/>
      <c r="B789" s="8"/>
      <c r="C789" s="8"/>
    </row>
    <row r="790" spans="1:3" x14ac:dyDescent="0.35">
      <c r="A790" s="5"/>
      <c r="B790" s="8"/>
      <c r="C790" s="8"/>
    </row>
    <row r="791" spans="1:3" x14ac:dyDescent="0.35">
      <c r="A791" s="5"/>
      <c r="B791" s="8"/>
      <c r="C791" s="8"/>
    </row>
    <row r="792" spans="1:3" x14ac:dyDescent="0.35">
      <c r="A792" s="5"/>
      <c r="B792" s="8"/>
      <c r="C792" s="8"/>
    </row>
    <row r="793" spans="1:3" x14ac:dyDescent="0.35">
      <c r="A793" s="5"/>
      <c r="B793" s="8"/>
      <c r="C793" s="8"/>
    </row>
    <row r="794" spans="1:3" x14ac:dyDescent="0.35">
      <c r="A794" s="5"/>
      <c r="B794" s="8"/>
      <c r="C794" s="8"/>
    </row>
    <row r="795" spans="1:3" x14ac:dyDescent="0.35">
      <c r="A795" s="5"/>
      <c r="B795" s="8"/>
      <c r="C795" s="8"/>
    </row>
    <row r="796" spans="1:3" x14ac:dyDescent="0.35">
      <c r="A796" s="5"/>
      <c r="B796" s="8"/>
      <c r="C796" s="8"/>
    </row>
    <row r="797" spans="1:3" x14ac:dyDescent="0.35">
      <c r="A797" s="5"/>
      <c r="B797" s="8"/>
      <c r="C797" s="8"/>
    </row>
    <row r="798" spans="1:3" x14ac:dyDescent="0.35">
      <c r="A798" s="5"/>
      <c r="B798" s="8"/>
      <c r="C798" s="8"/>
    </row>
    <row r="799" spans="1:3" x14ac:dyDescent="0.35">
      <c r="A799" s="5"/>
      <c r="B799" s="8"/>
      <c r="C799" s="8"/>
    </row>
    <row r="800" spans="1:3" x14ac:dyDescent="0.35">
      <c r="A800" s="5"/>
      <c r="B800" s="8"/>
      <c r="C800" s="8"/>
    </row>
    <row r="801" spans="1:3" x14ac:dyDescent="0.35">
      <c r="A801" s="5"/>
      <c r="B801" s="8"/>
      <c r="C801" s="8"/>
    </row>
    <row r="802" spans="1:3" x14ac:dyDescent="0.35">
      <c r="A802" s="5"/>
      <c r="B802" s="8"/>
      <c r="C802" s="8"/>
    </row>
    <row r="803" spans="1:3" x14ac:dyDescent="0.35">
      <c r="A803" s="5"/>
      <c r="B803" s="8"/>
      <c r="C803" s="8"/>
    </row>
    <row r="804" spans="1:3" x14ac:dyDescent="0.35">
      <c r="A804" s="5"/>
      <c r="B804" s="8"/>
      <c r="C804" s="8"/>
    </row>
    <row r="805" spans="1:3" x14ac:dyDescent="0.35">
      <c r="A805" s="5"/>
      <c r="B805" s="8"/>
      <c r="C805" s="8"/>
    </row>
    <row r="806" spans="1:3" x14ac:dyDescent="0.35">
      <c r="A806" s="5"/>
      <c r="B806" s="8"/>
      <c r="C806" s="8"/>
    </row>
    <row r="807" spans="1:3" x14ac:dyDescent="0.35">
      <c r="A807" s="5"/>
      <c r="B807" s="8"/>
      <c r="C807" s="8"/>
    </row>
    <row r="808" spans="1:3" x14ac:dyDescent="0.35">
      <c r="A808" s="5"/>
      <c r="B808" s="8"/>
      <c r="C808" s="8"/>
    </row>
    <row r="809" spans="1:3" x14ac:dyDescent="0.35">
      <c r="A809" s="5"/>
      <c r="B809" s="8"/>
      <c r="C809" s="8"/>
    </row>
    <row r="810" spans="1:3" x14ac:dyDescent="0.35">
      <c r="A810" s="5"/>
      <c r="B810" s="8"/>
      <c r="C810" s="8"/>
    </row>
    <row r="811" spans="1:3" x14ac:dyDescent="0.35">
      <c r="A811" s="5"/>
      <c r="B811" s="8"/>
      <c r="C811" s="8"/>
    </row>
    <row r="812" spans="1:3" x14ac:dyDescent="0.35">
      <c r="A812" s="5"/>
      <c r="B812" s="8"/>
      <c r="C812" s="8"/>
    </row>
    <row r="813" spans="1:3" x14ac:dyDescent="0.35">
      <c r="A813" s="5"/>
      <c r="B813" s="8"/>
      <c r="C813" s="8"/>
    </row>
    <row r="814" spans="1:3" x14ac:dyDescent="0.35">
      <c r="A814" s="5"/>
      <c r="B814" s="8"/>
      <c r="C814" s="8"/>
    </row>
    <row r="815" spans="1:3" x14ac:dyDescent="0.35">
      <c r="A815" s="5"/>
      <c r="B815" s="8"/>
      <c r="C815" s="8"/>
    </row>
    <row r="816" spans="1:3" x14ac:dyDescent="0.35">
      <c r="A816" s="5"/>
      <c r="B816" s="8"/>
      <c r="C816" s="8"/>
    </row>
    <row r="817" spans="1:3" x14ac:dyDescent="0.35">
      <c r="A817" s="5"/>
      <c r="B817" s="8"/>
      <c r="C817" s="8"/>
    </row>
    <row r="818" spans="1:3" x14ac:dyDescent="0.35">
      <c r="A818" s="5"/>
      <c r="B818" s="8"/>
      <c r="C818" s="8"/>
    </row>
    <row r="819" spans="1:3" x14ac:dyDescent="0.35">
      <c r="A819" s="5"/>
      <c r="B819" s="8"/>
      <c r="C819" s="8"/>
    </row>
    <row r="820" spans="1:3" x14ac:dyDescent="0.35">
      <c r="A820" s="5"/>
      <c r="B820" s="8"/>
      <c r="C820" s="8"/>
    </row>
    <row r="821" spans="1:3" x14ac:dyDescent="0.35">
      <c r="A821" s="5"/>
      <c r="B821" s="8"/>
      <c r="C821" s="8"/>
    </row>
    <row r="822" spans="1:3" x14ac:dyDescent="0.35">
      <c r="A822" s="5"/>
      <c r="B822" s="8"/>
      <c r="C822" s="8"/>
    </row>
    <row r="823" spans="1:3" x14ac:dyDescent="0.35">
      <c r="A823" s="5"/>
      <c r="B823" s="8"/>
      <c r="C823" s="8"/>
    </row>
    <row r="824" spans="1:3" x14ac:dyDescent="0.35">
      <c r="A824" s="5"/>
      <c r="B824" s="8"/>
      <c r="C824" s="8"/>
    </row>
    <row r="825" spans="1:3" x14ac:dyDescent="0.35">
      <c r="A825" s="5"/>
      <c r="B825" s="8"/>
      <c r="C825" s="8"/>
    </row>
    <row r="826" spans="1:3" x14ac:dyDescent="0.35">
      <c r="A826" s="5"/>
      <c r="B826" s="8"/>
      <c r="C826" s="8"/>
    </row>
    <row r="827" spans="1:3" x14ac:dyDescent="0.35">
      <c r="A827" s="5"/>
      <c r="B827" s="8"/>
      <c r="C827" s="8"/>
    </row>
    <row r="828" spans="1:3" x14ac:dyDescent="0.35">
      <c r="A828" s="5"/>
      <c r="B828" s="8"/>
      <c r="C828" s="8"/>
    </row>
    <row r="829" spans="1:3" x14ac:dyDescent="0.35">
      <c r="A829" s="5"/>
      <c r="B829" s="8"/>
      <c r="C829" s="8"/>
    </row>
    <row r="830" spans="1:3" x14ac:dyDescent="0.35">
      <c r="A830" s="5"/>
      <c r="B830" s="8"/>
      <c r="C830" s="8"/>
    </row>
    <row r="831" spans="1:3" x14ac:dyDescent="0.35">
      <c r="A831" s="5"/>
      <c r="B831" s="8"/>
      <c r="C831" s="8"/>
    </row>
    <row r="832" spans="1:3" x14ac:dyDescent="0.35">
      <c r="A832" s="5"/>
      <c r="B832" s="8"/>
      <c r="C832" s="8"/>
    </row>
    <row r="833" spans="1:3" x14ac:dyDescent="0.35">
      <c r="A833" s="5"/>
      <c r="B833" s="8"/>
      <c r="C833" s="8"/>
    </row>
    <row r="834" spans="1:3" x14ac:dyDescent="0.35">
      <c r="A834" s="5"/>
      <c r="B834" s="8"/>
      <c r="C834" s="8"/>
    </row>
    <row r="835" spans="1:3" x14ac:dyDescent="0.35">
      <c r="A835" s="5"/>
      <c r="B835" s="8"/>
      <c r="C835" s="8"/>
    </row>
    <row r="836" spans="1:3" x14ac:dyDescent="0.35">
      <c r="A836" s="5"/>
      <c r="B836" s="8"/>
      <c r="C836" s="8"/>
    </row>
    <row r="837" spans="1:3" x14ac:dyDescent="0.35">
      <c r="A837" s="5"/>
      <c r="B837" s="8"/>
      <c r="C837" s="8"/>
    </row>
    <row r="838" spans="1:3" x14ac:dyDescent="0.35">
      <c r="A838" s="5"/>
      <c r="B838" s="8"/>
      <c r="C838" s="8"/>
    </row>
    <row r="839" spans="1:3" x14ac:dyDescent="0.35">
      <c r="A839" s="5"/>
      <c r="B839" s="8"/>
      <c r="C839" s="8"/>
    </row>
    <row r="840" spans="1:3" x14ac:dyDescent="0.35">
      <c r="A840" s="5"/>
      <c r="B840" s="8"/>
      <c r="C840" s="8"/>
    </row>
    <row r="841" spans="1:3" x14ac:dyDescent="0.35">
      <c r="A841" s="5"/>
      <c r="B841" s="8"/>
      <c r="C841" s="8"/>
    </row>
    <row r="842" spans="1:3" x14ac:dyDescent="0.35">
      <c r="A842" s="5"/>
      <c r="B842" s="8"/>
      <c r="C842" s="8"/>
    </row>
    <row r="843" spans="1:3" x14ac:dyDescent="0.35">
      <c r="A843" s="5"/>
      <c r="B843" s="8"/>
      <c r="C843" s="8"/>
    </row>
    <row r="844" spans="1:3" x14ac:dyDescent="0.35">
      <c r="A844" s="5"/>
      <c r="B844" s="8"/>
      <c r="C844" s="8"/>
    </row>
    <row r="845" spans="1:3" x14ac:dyDescent="0.35">
      <c r="A845" s="5"/>
      <c r="B845" s="8"/>
      <c r="C845" s="8"/>
    </row>
    <row r="846" spans="1:3" x14ac:dyDescent="0.35">
      <c r="A846" s="5"/>
      <c r="B846" s="8"/>
      <c r="C846" s="8"/>
    </row>
    <row r="847" spans="1:3" x14ac:dyDescent="0.35">
      <c r="A847" s="5"/>
      <c r="B847" s="8"/>
      <c r="C847" s="8"/>
    </row>
    <row r="848" spans="1:3" x14ac:dyDescent="0.35">
      <c r="A848" s="5"/>
      <c r="B848" s="8"/>
      <c r="C848" s="8"/>
    </row>
    <row r="849" spans="1:3" x14ac:dyDescent="0.35">
      <c r="A849" s="5"/>
      <c r="B849" s="8"/>
      <c r="C849" s="8"/>
    </row>
    <row r="850" spans="1:3" x14ac:dyDescent="0.35">
      <c r="A850" s="5"/>
      <c r="B850" s="8"/>
      <c r="C850" s="8"/>
    </row>
    <row r="851" spans="1:3" x14ac:dyDescent="0.35">
      <c r="A851" s="5"/>
      <c r="B851" s="8"/>
      <c r="C851" s="8"/>
    </row>
    <row r="852" spans="1:3" x14ac:dyDescent="0.35">
      <c r="A852" s="5"/>
      <c r="B852" s="8"/>
      <c r="C852" s="8"/>
    </row>
    <row r="853" spans="1:3" x14ac:dyDescent="0.35">
      <c r="A853" s="5"/>
      <c r="B853" s="8"/>
      <c r="C853" s="8"/>
    </row>
    <row r="854" spans="1:3" x14ac:dyDescent="0.35">
      <c r="A854" s="5"/>
      <c r="B854" s="8"/>
      <c r="C854" s="8"/>
    </row>
    <row r="855" spans="1:3" x14ac:dyDescent="0.35">
      <c r="A855" s="5"/>
      <c r="B855" s="8"/>
      <c r="C855" s="8"/>
    </row>
    <row r="856" spans="1:3" x14ac:dyDescent="0.35">
      <c r="A856" s="5"/>
      <c r="B856" s="8"/>
      <c r="C856" s="8"/>
    </row>
    <row r="857" spans="1:3" x14ac:dyDescent="0.35">
      <c r="A857" s="5"/>
      <c r="B857" s="8"/>
      <c r="C857" s="8"/>
    </row>
    <row r="858" spans="1:3" x14ac:dyDescent="0.35">
      <c r="A858" s="5"/>
      <c r="B858" s="8"/>
      <c r="C858" s="8"/>
    </row>
    <row r="859" spans="1:3" x14ac:dyDescent="0.35">
      <c r="A859" s="5"/>
      <c r="B859" s="8"/>
      <c r="C859" s="8"/>
    </row>
    <row r="860" spans="1:3" x14ac:dyDescent="0.35">
      <c r="A860" s="5"/>
      <c r="B860" s="8"/>
      <c r="C860" s="8"/>
    </row>
    <row r="861" spans="1:3" x14ac:dyDescent="0.35">
      <c r="A861" s="5"/>
      <c r="B861" s="8"/>
      <c r="C861" s="8"/>
    </row>
    <row r="862" spans="1:3" x14ac:dyDescent="0.35">
      <c r="A862" s="5"/>
      <c r="B862" s="8"/>
      <c r="C862" s="8"/>
    </row>
    <row r="863" spans="1:3" x14ac:dyDescent="0.35">
      <c r="A863" s="5"/>
      <c r="B863" s="8"/>
      <c r="C863" s="8"/>
    </row>
    <row r="864" spans="1:3" x14ac:dyDescent="0.35">
      <c r="A864" s="5"/>
      <c r="B864" s="8"/>
      <c r="C864" s="8"/>
    </row>
    <row r="865" spans="1:3" x14ac:dyDescent="0.35">
      <c r="A865" s="5"/>
      <c r="B865" s="8"/>
      <c r="C865" s="8"/>
    </row>
    <row r="866" spans="1:3" x14ac:dyDescent="0.35">
      <c r="A866" s="5"/>
      <c r="B866" s="8"/>
      <c r="C866" s="8"/>
    </row>
    <row r="867" spans="1:3" x14ac:dyDescent="0.35">
      <c r="A867" s="5"/>
      <c r="B867" s="8"/>
      <c r="C867" s="8"/>
    </row>
    <row r="868" spans="1:3" x14ac:dyDescent="0.35">
      <c r="A868" s="5"/>
      <c r="B868" s="8"/>
      <c r="C868" s="8"/>
    </row>
    <row r="869" spans="1:3" x14ac:dyDescent="0.35">
      <c r="A869" s="5"/>
      <c r="B869" s="8"/>
      <c r="C869" s="8"/>
    </row>
    <row r="870" spans="1:3" x14ac:dyDescent="0.35">
      <c r="A870" s="5"/>
      <c r="B870" s="8"/>
      <c r="C870" s="8"/>
    </row>
    <row r="871" spans="1:3" x14ac:dyDescent="0.35">
      <c r="A871" s="5"/>
      <c r="B871" s="8"/>
      <c r="C871" s="8"/>
    </row>
    <row r="872" spans="1:3" x14ac:dyDescent="0.35">
      <c r="A872" s="5"/>
      <c r="B872" s="8"/>
      <c r="C872" s="8"/>
    </row>
    <row r="873" spans="1:3" x14ac:dyDescent="0.35">
      <c r="A873" s="5"/>
      <c r="B873" s="8"/>
      <c r="C873" s="8"/>
    </row>
    <row r="874" spans="1:3" x14ac:dyDescent="0.35">
      <c r="A874" s="5"/>
      <c r="B874" s="8"/>
      <c r="C874" s="8"/>
    </row>
    <row r="875" spans="1:3" x14ac:dyDescent="0.35">
      <c r="A875" s="5"/>
      <c r="B875" s="8"/>
      <c r="C875" s="8"/>
    </row>
    <row r="876" spans="1:3" x14ac:dyDescent="0.35">
      <c r="A876" s="5"/>
      <c r="B876" s="8"/>
      <c r="C876" s="8"/>
    </row>
    <row r="877" spans="1:3" x14ac:dyDescent="0.35">
      <c r="A877" s="5"/>
      <c r="B877" s="8"/>
      <c r="C877" s="8"/>
    </row>
    <row r="878" spans="1:3" x14ac:dyDescent="0.35">
      <c r="A878" s="5"/>
      <c r="B878" s="8"/>
      <c r="C878" s="8"/>
    </row>
    <row r="879" spans="1:3" x14ac:dyDescent="0.35">
      <c r="A879" s="5"/>
      <c r="B879" s="8"/>
      <c r="C879" s="8"/>
    </row>
    <row r="880" spans="1:3" x14ac:dyDescent="0.35">
      <c r="A880" s="5"/>
      <c r="B880" s="8"/>
      <c r="C880" s="8"/>
    </row>
    <row r="881" spans="1:3" x14ac:dyDescent="0.35">
      <c r="A881" s="5"/>
      <c r="B881" s="8"/>
      <c r="C881" s="8"/>
    </row>
    <row r="882" spans="1:3" x14ac:dyDescent="0.35">
      <c r="A882" s="5"/>
      <c r="B882" s="8"/>
      <c r="C882" s="8"/>
    </row>
    <row r="883" spans="1:3" x14ac:dyDescent="0.35">
      <c r="A883" s="5"/>
      <c r="B883" s="8"/>
      <c r="C883" s="8"/>
    </row>
    <row r="884" spans="1:3" x14ac:dyDescent="0.35">
      <c r="A884" s="5"/>
      <c r="B884" s="8"/>
      <c r="C884" s="8"/>
    </row>
    <row r="885" spans="1:3" x14ac:dyDescent="0.35">
      <c r="A885" s="5"/>
      <c r="B885" s="8"/>
      <c r="C885" s="8"/>
    </row>
    <row r="886" spans="1:3" x14ac:dyDescent="0.35">
      <c r="A886" s="5"/>
      <c r="B886" s="8"/>
      <c r="C886" s="8"/>
    </row>
    <row r="887" spans="1:3" x14ac:dyDescent="0.35">
      <c r="A887" s="5"/>
      <c r="B887" s="8"/>
      <c r="C887" s="8"/>
    </row>
    <row r="888" spans="1:3" x14ac:dyDescent="0.35">
      <c r="A888" s="5"/>
      <c r="B888" s="8"/>
      <c r="C888" s="8"/>
    </row>
    <row r="889" spans="1:3" x14ac:dyDescent="0.35">
      <c r="A889" s="5"/>
      <c r="B889" s="8"/>
      <c r="C889" s="8"/>
    </row>
    <row r="890" spans="1:3" x14ac:dyDescent="0.35">
      <c r="A890" s="5"/>
      <c r="B890" s="8"/>
      <c r="C890" s="8"/>
    </row>
    <row r="891" spans="1:3" x14ac:dyDescent="0.35">
      <c r="A891" s="5"/>
      <c r="B891" s="8"/>
      <c r="C891" s="8"/>
    </row>
    <row r="892" spans="1:3" x14ac:dyDescent="0.35">
      <c r="A892" s="5"/>
      <c r="B892" s="8"/>
      <c r="C892" s="8"/>
    </row>
    <row r="893" spans="1:3" x14ac:dyDescent="0.35">
      <c r="A893" s="5"/>
      <c r="B893" s="8"/>
      <c r="C893" s="8"/>
    </row>
    <row r="894" spans="1:3" x14ac:dyDescent="0.35">
      <c r="A894" s="5"/>
      <c r="B894" s="8"/>
      <c r="C894" s="8"/>
    </row>
    <row r="895" spans="1:3" x14ac:dyDescent="0.35">
      <c r="A895" s="5"/>
      <c r="B895" s="8"/>
      <c r="C895" s="8"/>
    </row>
    <row r="896" spans="1:3" x14ac:dyDescent="0.35">
      <c r="A896" s="5"/>
      <c r="B896" s="8"/>
      <c r="C896" s="8"/>
    </row>
    <row r="897" spans="1:3" x14ac:dyDescent="0.35">
      <c r="A897" s="5"/>
      <c r="B897" s="8"/>
      <c r="C897" s="8"/>
    </row>
    <row r="898" spans="1:3" x14ac:dyDescent="0.35">
      <c r="A898" s="5"/>
      <c r="B898" s="8"/>
      <c r="C898" s="8"/>
    </row>
    <row r="899" spans="1:3" x14ac:dyDescent="0.35">
      <c r="A899" s="5"/>
      <c r="B899" s="8"/>
      <c r="C899" s="8"/>
    </row>
    <row r="900" spans="1:3" x14ac:dyDescent="0.35">
      <c r="A900" s="5"/>
      <c r="B900" s="8"/>
      <c r="C900" s="8"/>
    </row>
    <row r="901" spans="1:3" x14ac:dyDescent="0.35">
      <c r="A901" s="5"/>
      <c r="B901" s="8"/>
      <c r="C901" s="8"/>
    </row>
    <row r="902" spans="1:3" x14ac:dyDescent="0.35">
      <c r="A902" s="5"/>
      <c r="B902" s="8"/>
      <c r="C902" s="8"/>
    </row>
    <row r="903" spans="1:3" x14ac:dyDescent="0.35">
      <c r="A903" s="5"/>
      <c r="B903" s="8"/>
      <c r="C903" s="8"/>
    </row>
    <row r="904" spans="1:3" x14ac:dyDescent="0.35">
      <c r="A904" s="5"/>
      <c r="B904" s="8"/>
      <c r="C904" s="8"/>
    </row>
    <row r="905" spans="1:3" x14ac:dyDescent="0.35">
      <c r="A905" s="5"/>
      <c r="B905" s="8"/>
      <c r="C905" s="8"/>
    </row>
    <row r="906" spans="1:3" x14ac:dyDescent="0.35">
      <c r="A906" s="5"/>
      <c r="B906" s="8"/>
      <c r="C906" s="8"/>
    </row>
    <row r="907" spans="1:3" x14ac:dyDescent="0.35">
      <c r="A907" s="5"/>
      <c r="B907" s="8"/>
      <c r="C907" s="8"/>
    </row>
    <row r="908" spans="1:3" x14ac:dyDescent="0.35">
      <c r="A908" s="5"/>
      <c r="B908" s="8"/>
      <c r="C908" s="8"/>
    </row>
    <row r="909" spans="1:3" x14ac:dyDescent="0.35">
      <c r="A909" s="5"/>
      <c r="B909" s="8"/>
      <c r="C909" s="8"/>
    </row>
    <row r="910" spans="1:3" x14ac:dyDescent="0.35">
      <c r="A910" s="5"/>
      <c r="B910" s="8"/>
      <c r="C910" s="8"/>
    </row>
    <row r="911" spans="1:3" x14ac:dyDescent="0.35">
      <c r="A911" s="5"/>
      <c r="B911" s="8"/>
      <c r="C911" s="8"/>
    </row>
    <row r="912" spans="1:3" x14ac:dyDescent="0.35">
      <c r="A912" s="5"/>
      <c r="B912" s="8"/>
      <c r="C912" s="8"/>
    </row>
    <row r="913" spans="1:3" x14ac:dyDescent="0.35">
      <c r="A913" s="5"/>
      <c r="B913" s="8"/>
      <c r="C913" s="8"/>
    </row>
    <row r="914" spans="1:3" x14ac:dyDescent="0.35">
      <c r="A914" s="5"/>
      <c r="B914" s="8"/>
      <c r="C914" s="8"/>
    </row>
    <row r="915" spans="1:3" x14ac:dyDescent="0.35">
      <c r="A915" s="5"/>
      <c r="B915" s="8"/>
      <c r="C915" s="8"/>
    </row>
    <row r="916" spans="1:3" x14ac:dyDescent="0.35">
      <c r="A916" s="5"/>
      <c r="B916" s="8"/>
      <c r="C916" s="8"/>
    </row>
    <row r="917" spans="1:3" x14ac:dyDescent="0.35">
      <c r="A917" s="5"/>
      <c r="B917" s="8"/>
      <c r="C917" s="8"/>
    </row>
    <row r="918" spans="1:3" x14ac:dyDescent="0.35">
      <c r="A918" s="5"/>
      <c r="B918" s="8"/>
      <c r="C918" s="8"/>
    </row>
    <row r="919" spans="1:3" x14ac:dyDescent="0.35">
      <c r="A919" s="5"/>
      <c r="B919" s="8"/>
      <c r="C919" s="8"/>
    </row>
    <row r="920" spans="1:3" x14ac:dyDescent="0.35">
      <c r="A920" s="5"/>
      <c r="B920" s="8"/>
      <c r="C920" s="8"/>
    </row>
    <row r="921" spans="1:3" x14ac:dyDescent="0.35">
      <c r="A921" s="5"/>
      <c r="B921" s="8"/>
      <c r="C921" s="8"/>
    </row>
    <row r="922" spans="1:3" x14ac:dyDescent="0.35">
      <c r="A922" s="5"/>
      <c r="B922" s="8"/>
      <c r="C922" s="8"/>
    </row>
    <row r="923" spans="1:3" x14ac:dyDescent="0.35">
      <c r="A923" s="5"/>
      <c r="B923" s="8"/>
      <c r="C923" s="8"/>
    </row>
    <row r="924" spans="1:3" x14ac:dyDescent="0.35">
      <c r="A924" s="5"/>
      <c r="B924" s="8"/>
      <c r="C924" s="8"/>
    </row>
    <row r="925" spans="1:3" x14ac:dyDescent="0.35">
      <c r="A925" s="5"/>
      <c r="B925" s="8"/>
      <c r="C925" s="8"/>
    </row>
    <row r="926" spans="1:3" x14ac:dyDescent="0.35">
      <c r="A926" s="5"/>
      <c r="B926" s="8"/>
      <c r="C926" s="8"/>
    </row>
    <row r="927" spans="1:3" x14ac:dyDescent="0.35">
      <c r="A927" s="5"/>
      <c r="B927" s="8"/>
      <c r="C927" s="8"/>
    </row>
    <row r="928" spans="1:3" x14ac:dyDescent="0.35">
      <c r="A928" s="5"/>
      <c r="B928" s="8"/>
      <c r="C928" s="8"/>
    </row>
    <row r="929" spans="1:3" x14ac:dyDescent="0.35">
      <c r="A929" s="5"/>
      <c r="B929" s="8"/>
      <c r="C929" s="8"/>
    </row>
    <row r="930" spans="1:3" x14ac:dyDescent="0.35">
      <c r="A930" s="5"/>
      <c r="B930" s="8"/>
      <c r="C930" s="8"/>
    </row>
    <row r="931" spans="1:3" x14ac:dyDescent="0.35">
      <c r="A931" s="5"/>
      <c r="B931" s="8"/>
      <c r="C931" s="8"/>
    </row>
    <row r="932" spans="1:3" x14ac:dyDescent="0.35">
      <c r="A932" s="5"/>
      <c r="B932" s="8"/>
      <c r="C932" s="8"/>
    </row>
    <row r="933" spans="1:3" x14ac:dyDescent="0.35">
      <c r="A933" s="5"/>
      <c r="B933" s="8"/>
      <c r="C933" s="8"/>
    </row>
    <row r="934" spans="1:3" x14ac:dyDescent="0.35">
      <c r="A934" s="5"/>
      <c r="B934" s="8"/>
      <c r="C934" s="8"/>
    </row>
    <row r="935" spans="1:3" x14ac:dyDescent="0.35">
      <c r="A935" s="5"/>
      <c r="B935" s="8"/>
      <c r="C935" s="8"/>
    </row>
    <row r="936" spans="1:3" x14ac:dyDescent="0.35">
      <c r="A936" s="5"/>
      <c r="B936" s="8"/>
      <c r="C936" s="8"/>
    </row>
    <row r="937" spans="1:3" x14ac:dyDescent="0.35">
      <c r="A937" s="5"/>
      <c r="B937" s="8"/>
      <c r="C937" s="8"/>
    </row>
    <row r="938" spans="1:3" x14ac:dyDescent="0.35">
      <c r="A938" s="5"/>
      <c r="B938" s="8"/>
      <c r="C938" s="8"/>
    </row>
    <row r="939" spans="1:3" x14ac:dyDescent="0.35">
      <c r="A939" s="5"/>
      <c r="B939" s="8"/>
      <c r="C939" s="8"/>
    </row>
    <row r="940" spans="1:3" x14ac:dyDescent="0.35">
      <c r="A940" s="5"/>
      <c r="B940" s="8"/>
      <c r="C940" s="8"/>
    </row>
    <row r="941" spans="1:3" x14ac:dyDescent="0.35">
      <c r="A941" s="5"/>
      <c r="B941" s="8"/>
      <c r="C941" s="8"/>
    </row>
    <row r="942" spans="1:3" x14ac:dyDescent="0.35">
      <c r="A942" s="5"/>
      <c r="B942" s="8"/>
      <c r="C942" s="8"/>
    </row>
    <row r="943" spans="1:3" x14ac:dyDescent="0.35">
      <c r="A943" s="5"/>
      <c r="B943" s="8"/>
      <c r="C943" s="8"/>
    </row>
    <row r="944" spans="1:3" x14ac:dyDescent="0.35">
      <c r="A944" s="5"/>
      <c r="B944" s="8"/>
      <c r="C944" s="8"/>
    </row>
    <row r="945" spans="1:3" x14ac:dyDescent="0.35">
      <c r="A945" s="5"/>
      <c r="B945" s="8"/>
      <c r="C945" s="8"/>
    </row>
    <row r="946" spans="1:3" x14ac:dyDescent="0.35">
      <c r="A946" s="5"/>
      <c r="B946" s="8"/>
      <c r="C946" s="8"/>
    </row>
    <row r="947" spans="1:3" x14ac:dyDescent="0.35">
      <c r="A947" s="5"/>
      <c r="B947" s="8"/>
      <c r="C947" s="8"/>
    </row>
    <row r="948" spans="1:3" x14ac:dyDescent="0.35">
      <c r="A948" s="5"/>
      <c r="B948" s="8"/>
      <c r="C948" s="8"/>
    </row>
    <row r="949" spans="1:3" x14ac:dyDescent="0.35">
      <c r="A949" s="5"/>
      <c r="B949" s="8"/>
      <c r="C949" s="8"/>
    </row>
    <row r="950" spans="1:3" x14ac:dyDescent="0.35">
      <c r="A950" s="5"/>
      <c r="B950" s="8"/>
      <c r="C950" s="8"/>
    </row>
    <row r="951" spans="1:3" x14ac:dyDescent="0.35">
      <c r="A951" s="5"/>
      <c r="B951" s="8"/>
      <c r="C951" s="8"/>
    </row>
    <row r="952" spans="1:3" x14ac:dyDescent="0.35">
      <c r="A952" s="5"/>
      <c r="B952" s="8"/>
      <c r="C952" s="8"/>
    </row>
    <row r="953" spans="1:3" x14ac:dyDescent="0.35">
      <c r="A953" s="5"/>
      <c r="B953" s="8"/>
      <c r="C953" s="8"/>
    </row>
    <row r="954" spans="1:3" x14ac:dyDescent="0.35">
      <c r="A954" s="5"/>
      <c r="B954" s="8"/>
      <c r="C954" s="8"/>
    </row>
    <row r="955" spans="1:3" x14ac:dyDescent="0.35">
      <c r="A955" s="5"/>
      <c r="B955" s="8"/>
      <c r="C955" s="8"/>
    </row>
    <row r="956" spans="1:3" x14ac:dyDescent="0.35">
      <c r="A956" s="5"/>
      <c r="B956" s="8"/>
      <c r="C956" s="8"/>
    </row>
    <row r="957" spans="1:3" x14ac:dyDescent="0.35">
      <c r="A957" s="5"/>
      <c r="B957" s="8"/>
      <c r="C957" s="8"/>
    </row>
    <row r="958" spans="1:3" x14ac:dyDescent="0.35">
      <c r="A958" s="5"/>
      <c r="B958" s="8"/>
      <c r="C958" s="8"/>
    </row>
    <row r="959" spans="1:3" x14ac:dyDescent="0.35">
      <c r="A959" s="5"/>
      <c r="B959" s="8"/>
      <c r="C959" s="8"/>
    </row>
    <row r="960" spans="1:3" x14ac:dyDescent="0.35">
      <c r="A960" s="5"/>
      <c r="B960" s="8"/>
      <c r="C960" s="8"/>
    </row>
    <row r="961" spans="1:3" x14ac:dyDescent="0.35">
      <c r="A961" s="5"/>
      <c r="B961" s="8"/>
      <c r="C961" s="8"/>
    </row>
    <row r="962" spans="1:3" x14ac:dyDescent="0.35">
      <c r="A962" s="5"/>
      <c r="B962" s="8"/>
      <c r="C962" s="8"/>
    </row>
    <row r="963" spans="1:3" x14ac:dyDescent="0.35">
      <c r="A963" s="5"/>
      <c r="B963" s="8"/>
      <c r="C963" s="8"/>
    </row>
    <row r="964" spans="1:3" x14ac:dyDescent="0.35">
      <c r="A964" s="5"/>
      <c r="B964" s="8"/>
      <c r="C964" s="8"/>
    </row>
    <row r="965" spans="1:3" x14ac:dyDescent="0.35">
      <c r="A965" s="5"/>
      <c r="B965" s="8"/>
      <c r="C965" s="8"/>
    </row>
    <row r="966" spans="1:3" x14ac:dyDescent="0.35">
      <c r="A966" s="5"/>
      <c r="B966" s="8"/>
      <c r="C966" s="8"/>
    </row>
    <row r="967" spans="1:3" x14ac:dyDescent="0.35">
      <c r="A967" s="5"/>
      <c r="B967" s="8"/>
      <c r="C967" s="8"/>
    </row>
    <row r="968" spans="1:3" x14ac:dyDescent="0.35">
      <c r="A968" s="5"/>
      <c r="B968" s="8"/>
      <c r="C968" s="8"/>
    </row>
    <row r="969" spans="1:3" x14ac:dyDescent="0.35">
      <c r="A969" s="5"/>
      <c r="B969" s="8"/>
      <c r="C969" s="8"/>
    </row>
    <row r="970" spans="1:3" x14ac:dyDescent="0.35">
      <c r="A970" s="5"/>
      <c r="B970" s="8"/>
      <c r="C970" s="8"/>
    </row>
    <row r="971" spans="1:3" x14ac:dyDescent="0.35">
      <c r="A971" s="5"/>
      <c r="B971" s="8"/>
      <c r="C971" s="8"/>
    </row>
    <row r="972" spans="1:3" x14ac:dyDescent="0.35">
      <c r="A972" s="5"/>
      <c r="B972" s="8"/>
      <c r="C972" s="8"/>
    </row>
    <row r="973" spans="1:3" x14ac:dyDescent="0.35">
      <c r="A973" s="5"/>
      <c r="B973" s="8"/>
      <c r="C973" s="8"/>
    </row>
    <row r="974" spans="1:3" x14ac:dyDescent="0.35">
      <c r="A974" s="5"/>
      <c r="B974" s="8"/>
      <c r="C974" s="8"/>
    </row>
    <row r="975" spans="1:3" x14ac:dyDescent="0.35">
      <c r="A975" s="5"/>
      <c r="B975" s="8"/>
      <c r="C975" s="8"/>
    </row>
    <row r="976" spans="1:3" x14ac:dyDescent="0.35">
      <c r="A976" s="5"/>
      <c r="B976" s="8"/>
      <c r="C976" s="8"/>
    </row>
    <row r="977" spans="1:3" x14ac:dyDescent="0.35">
      <c r="A977" s="5"/>
      <c r="B977" s="8"/>
      <c r="C977" s="8"/>
    </row>
    <row r="978" spans="1:3" x14ac:dyDescent="0.35">
      <c r="A978" s="5"/>
      <c r="B978" s="8"/>
      <c r="C978" s="8"/>
    </row>
    <row r="979" spans="1:3" x14ac:dyDescent="0.35">
      <c r="A979" s="5"/>
      <c r="B979" s="8"/>
      <c r="C979" s="8"/>
    </row>
    <row r="980" spans="1:3" x14ac:dyDescent="0.35">
      <c r="A980" s="5"/>
      <c r="B980" s="8"/>
      <c r="C980" s="8"/>
    </row>
    <row r="981" spans="1:3" x14ac:dyDescent="0.35">
      <c r="A981" s="5"/>
      <c r="B981" s="8"/>
      <c r="C981" s="8"/>
    </row>
    <row r="982" spans="1:3" x14ac:dyDescent="0.35">
      <c r="A982" s="5"/>
      <c r="B982" s="8"/>
      <c r="C982" s="8"/>
    </row>
    <row r="983" spans="1:3" x14ac:dyDescent="0.35">
      <c r="A983" s="5"/>
      <c r="B983" s="8"/>
      <c r="C983" s="8"/>
    </row>
    <row r="984" spans="1:3" x14ac:dyDescent="0.35">
      <c r="A984" s="5"/>
      <c r="B984" s="8"/>
      <c r="C984" s="8"/>
    </row>
    <row r="985" spans="1:3" x14ac:dyDescent="0.35">
      <c r="A985" s="5"/>
      <c r="B985" s="8"/>
      <c r="C985" s="8"/>
    </row>
    <row r="986" spans="1:3" x14ac:dyDescent="0.35">
      <c r="A986" s="5"/>
      <c r="B986" s="8"/>
      <c r="C986" s="8"/>
    </row>
    <row r="987" spans="1:3" x14ac:dyDescent="0.35">
      <c r="A987" s="5"/>
      <c r="B987" s="8"/>
      <c r="C987" s="8"/>
    </row>
    <row r="988" spans="1:3" x14ac:dyDescent="0.35">
      <c r="A988" s="5"/>
      <c r="B988" s="8"/>
      <c r="C988" s="8"/>
    </row>
    <row r="989" spans="1:3" x14ac:dyDescent="0.35">
      <c r="A989" s="5"/>
      <c r="B989" s="8"/>
      <c r="C989" s="8"/>
    </row>
    <row r="990" spans="1:3" x14ac:dyDescent="0.35">
      <c r="A990" s="5"/>
      <c r="B990" s="8"/>
      <c r="C990" s="8"/>
    </row>
    <row r="991" spans="1:3" x14ac:dyDescent="0.35">
      <c r="A991" s="5"/>
      <c r="B991" s="8"/>
      <c r="C991" s="8"/>
    </row>
    <row r="992" spans="1:3" x14ac:dyDescent="0.35">
      <c r="A992" s="5"/>
      <c r="B992" s="8"/>
      <c r="C992" s="8"/>
    </row>
    <row r="993" spans="1:3" x14ac:dyDescent="0.35">
      <c r="A993" s="5"/>
      <c r="B993" s="8"/>
      <c r="C993" s="8"/>
    </row>
    <row r="994" spans="1:3" x14ac:dyDescent="0.35">
      <c r="A994" s="5"/>
      <c r="B994" s="8"/>
      <c r="C994" s="8"/>
    </row>
    <row r="995" spans="1:3" x14ac:dyDescent="0.35">
      <c r="A995" s="5"/>
      <c r="B995" s="8"/>
      <c r="C995" s="8"/>
    </row>
    <row r="996" spans="1:3" x14ac:dyDescent="0.35">
      <c r="A996" s="5"/>
      <c r="B996" s="8"/>
      <c r="C996" s="8"/>
    </row>
    <row r="997" spans="1:3" x14ac:dyDescent="0.35">
      <c r="A997" s="5"/>
      <c r="B997" s="8"/>
      <c r="C997" s="8"/>
    </row>
    <row r="998" spans="1:3" x14ac:dyDescent="0.35">
      <c r="A998" s="5"/>
      <c r="B998" s="8"/>
      <c r="C998" s="8"/>
    </row>
    <row r="999" spans="1:3" x14ac:dyDescent="0.35">
      <c r="A999" s="5"/>
      <c r="B999" s="8"/>
      <c r="C999" s="8"/>
    </row>
    <row r="1000" spans="1:3" x14ac:dyDescent="0.35">
      <c r="A1000" s="5"/>
      <c r="B1000" s="8"/>
      <c r="C1000" s="8"/>
    </row>
    <row r="1001" spans="1:3" x14ac:dyDescent="0.35">
      <c r="A1001" s="5"/>
      <c r="B1001" s="8"/>
      <c r="C1001" s="8"/>
    </row>
    <row r="1002" spans="1:3" x14ac:dyDescent="0.35">
      <c r="A1002" s="5"/>
      <c r="B1002" s="8"/>
      <c r="C1002" s="8"/>
    </row>
    <row r="1003" spans="1:3" x14ac:dyDescent="0.35">
      <c r="A1003" s="5"/>
      <c r="B1003" s="8"/>
      <c r="C1003" s="8"/>
    </row>
    <row r="1004" spans="1:3" x14ac:dyDescent="0.35">
      <c r="A1004" s="5"/>
      <c r="B1004" s="8"/>
      <c r="C1004" s="8"/>
    </row>
    <row r="1005" spans="1:3" x14ac:dyDescent="0.35">
      <c r="A1005" s="5"/>
      <c r="B1005" s="8"/>
      <c r="C1005" s="8"/>
    </row>
    <row r="1006" spans="1:3" x14ac:dyDescent="0.35">
      <c r="A1006" s="5"/>
      <c r="B1006" s="8"/>
      <c r="C1006" s="8"/>
    </row>
    <row r="1007" spans="1:3" x14ac:dyDescent="0.35">
      <c r="A1007" s="5"/>
      <c r="B1007" s="8"/>
      <c r="C1007" s="8"/>
    </row>
    <row r="1008" spans="1:3" x14ac:dyDescent="0.35">
      <c r="A1008" s="5"/>
      <c r="B1008" s="8"/>
      <c r="C1008" s="8"/>
    </row>
    <row r="1009" spans="1:3" x14ac:dyDescent="0.35">
      <c r="A1009" s="5"/>
      <c r="B1009" s="8"/>
      <c r="C1009" s="8"/>
    </row>
    <row r="1010" spans="1:3" x14ac:dyDescent="0.35">
      <c r="A1010" s="5"/>
      <c r="B1010" s="8"/>
      <c r="C1010" s="8"/>
    </row>
    <row r="1011" spans="1:3" x14ac:dyDescent="0.35">
      <c r="A1011" s="5"/>
      <c r="B1011" s="8"/>
      <c r="C1011" s="8"/>
    </row>
    <row r="1012" spans="1:3" x14ac:dyDescent="0.35">
      <c r="A1012" s="5"/>
      <c r="B1012" s="8"/>
      <c r="C1012" s="8"/>
    </row>
    <row r="1013" spans="1:3" x14ac:dyDescent="0.35">
      <c r="A1013" s="5"/>
      <c r="B1013" s="8"/>
      <c r="C1013" s="8"/>
    </row>
    <row r="1014" spans="1:3" x14ac:dyDescent="0.35">
      <c r="A1014" s="5"/>
      <c r="B1014" s="8"/>
      <c r="C1014" s="8"/>
    </row>
    <row r="1015" spans="1:3" x14ac:dyDescent="0.35">
      <c r="A1015" s="5"/>
      <c r="B1015" s="8"/>
      <c r="C1015" s="8"/>
    </row>
    <row r="1016" spans="1:3" x14ac:dyDescent="0.35">
      <c r="A1016" s="5"/>
      <c r="B1016" s="8"/>
      <c r="C1016" s="8"/>
    </row>
    <row r="1017" spans="1:3" x14ac:dyDescent="0.35">
      <c r="A1017" s="5"/>
      <c r="B1017" s="8"/>
      <c r="C1017" s="8"/>
    </row>
    <row r="1018" spans="1:3" x14ac:dyDescent="0.35">
      <c r="A1018" s="5"/>
      <c r="B1018" s="8"/>
      <c r="C1018" s="8"/>
    </row>
    <row r="1019" spans="1:3" x14ac:dyDescent="0.35">
      <c r="A1019" s="5"/>
      <c r="B1019" s="8"/>
      <c r="C1019" s="8"/>
    </row>
    <row r="1020" spans="1:3" x14ac:dyDescent="0.35">
      <c r="A1020" s="5"/>
      <c r="B1020" s="8"/>
      <c r="C1020" s="8"/>
    </row>
    <row r="1021" spans="1:3" x14ac:dyDescent="0.35">
      <c r="A1021" s="5"/>
      <c r="B1021" s="8"/>
      <c r="C1021" s="8"/>
    </row>
    <row r="1022" spans="1:3" x14ac:dyDescent="0.35">
      <c r="A1022" s="5"/>
      <c r="B1022" s="8"/>
      <c r="C1022" s="8"/>
    </row>
    <row r="1023" spans="1:3" x14ac:dyDescent="0.35">
      <c r="A1023" s="5"/>
      <c r="B1023" s="8"/>
      <c r="C1023" s="8"/>
    </row>
    <row r="1024" spans="1:3" x14ac:dyDescent="0.35">
      <c r="A1024" s="5"/>
      <c r="B1024" s="8"/>
      <c r="C1024" s="8"/>
    </row>
    <row r="1025" spans="1:3" x14ac:dyDescent="0.35">
      <c r="A1025" s="5"/>
      <c r="B1025" s="8"/>
      <c r="C1025" s="8"/>
    </row>
    <row r="1026" spans="1:3" x14ac:dyDescent="0.35">
      <c r="A1026" s="5"/>
      <c r="B1026" s="8"/>
      <c r="C1026" s="8"/>
    </row>
    <row r="1027" spans="1:3" x14ac:dyDescent="0.35">
      <c r="A1027" s="5"/>
      <c r="B1027" s="8"/>
      <c r="C1027" s="8"/>
    </row>
    <row r="1028" spans="1:3" x14ac:dyDescent="0.35">
      <c r="A1028" s="5"/>
      <c r="B1028" s="8"/>
      <c r="C1028" s="8"/>
    </row>
    <row r="1029" spans="1:3" x14ac:dyDescent="0.35">
      <c r="A1029" s="5"/>
      <c r="B1029" s="8"/>
      <c r="C1029" s="8"/>
    </row>
    <row r="1030" spans="1:3" x14ac:dyDescent="0.35">
      <c r="A1030" s="5"/>
      <c r="B1030" s="8"/>
      <c r="C1030" s="8"/>
    </row>
    <row r="1031" spans="1:3" x14ac:dyDescent="0.35">
      <c r="A1031" s="5"/>
      <c r="B1031" s="8"/>
      <c r="C1031" s="8"/>
    </row>
    <row r="1032" spans="1:3" x14ac:dyDescent="0.35">
      <c r="A1032" s="5"/>
      <c r="B1032" s="8"/>
      <c r="C1032" s="8"/>
    </row>
    <row r="1033" spans="1:3" x14ac:dyDescent="0.35">
      <c r="A1033" s="5"/>
      <c r="B1033" s="8"/>
      <c r="C1033" s="8"/>
    </row>
    <row r="1034" spans="1:3" x14ac:dyDescent="0.35">
      <c r="A1034" s="5"/>
      <c r="B1034" s="8"/>
      <c r="C1034" s="8"/>
    </row>
    <row r="1035" spans="1:3" x14ac:dyDescent="0.35">
      <c r="A1035" s="5"/>
      <c r="B1035" s="8"/>
      <c r="C1035" s="8"/>
    </row>
    <row r="1036" spans="1:3" x14ac:dyDescent="0.35">
      <c r="A1036" s="5"/>
      <c r="B1036" s="8"/>
      <c r="C1036" s="8"/>
    </row>
    <row r="1037" spans="1:3" x14ac:dyDescent="0.35">
      <c r="A1037" s="5"/>
      <c r="B1037" s="8"/>
      <c r="C1037" s="8"/>
    </row>
    <row r="1038" spans="1:3" x14ac:dyDescent="0.35">
      <c r="A1038" s="5"/>
      <c r="B1038" s="8"/>
      <c r="C1038" s="8"/>
    </row>
    <row r="1039" spans="1:3" x14ac:dyDescent="0.35">
      <c r="A1039" s="5"/>
      <c r="B1039" s="8"/>
      <c r="C1039" s="8"/>
    </row>
    <row r="1040" spans="1:3" x14ac:dyDescent="0.35">
      <c r="A1040" s="5"/>
      <c r="B1040" s="8"/>
      <c r="C1040" s="8"/>
    </row>
    <row r="1041" spans="1:3" x14ac:dyDescent="0.35">
      <c r="A1041" s="5"/>
      <c r="B1041" s="8"/>
      <c r="C1041" s="8"/>
    </row>
    <row r="1042" spans="1:3" x14ac:dyDescent="0.35">
      <c r="A1042" s="5"/>
      <c r="B1042" s="8"/>
      <c r="C1042" s="8"/>
    </row>
    <row r="1043" spans="1:3" x14ac:dyDescent="0.35">
      <c r="A1043" s="5"/>
      <c r="B1043" s="8"/>
      <c r="C1043" s="8"/>
    </row>
    <row r="1044" spans="1:3" x14ac:dyDescent="0.35">
      <c r="A1044" s="5"/>
      <c r="B1044" s="8"/>
      <c r="C1044" s="8"/>
    </row>
    <row r="1045" spans="1:3" x14ac:dyDescent="0.35">
      <c r="A1045" s="5"/>
      <c r="B1045" s="8"/>
      <c r="C1045" s="8"/>
    </row>
    <row r="1046" spans="1:3" x14ac:dyDescent="0.35">
      <c r="A1046" s="5"/>
      <c r="B1046" s="8"/>
      <c r="C1046" s="8"/>
    </row>
    <row r="1047" spans="1:3" x14ac:dyDescent="0.35">
      <c r="A1047" s="5"/>
      <c r="B1047" s="8"/>
      <c r="C1047" s="8"/>
    </row>
    <row r="1048" spans="1:3" x14ac:dyDescent="0.35">
      <c r="A1048" s="5"/>
      <c r="B1048" s="8"/>
      <c r="C1048" s="8"/>
    </row>
    <row r="1049" spans="1:3" x14ac:dyDescent="0.35">
      <c r="A1049" s="5"/>
      <c r="B1049" s="8"/>
      <c r="C1049" s="8"/>
    </row>
    <row r="1050" spans="1:3" x14ac:dyDescent="0.35">
      <c r="A1050" s="5"/>
      <c r="B1050" s="8"/>
      <c r="C1050" s="8"/>
    </row>
    <row r="1051" spans="1:3" x14ac:dyDescent="0.35">
      <c r="A1051" s="5"/>
      <c r="B1051" s="8"/>
      <c r="C1051" s="8"/>
    </row>
    <row r="1052" spans="1:3" x14ac:dyDescent="0.35">
      <c r="A1052" s="5"/>
      <c r="B1052" s="8"/>
      <c r="C1052" s="8"/>
    </row>
    <row r="1053" spans="1:3" x14ac:dyDescent="0.35">
      <c r="A1053" s="5"/>
      <c r="B1053" s="8"/>
      <c r="C1053" s="8"/>
    </row>
    <row r="1054" spans="1:3" x14ac:dyDescent="0.35">
      <c r="A1054" s="5"/>
      <c r="B1054" s="8"/>
      <c r="C1054" s="8"/>
    </row>
    <row r="1055" spans="1:3" x14ac:dyDescent="0.35">
      <c r="A1055" s="5"/>
      <c r="B1055" s="8"/>
      <c r="C1055" s="8"/>
    </row>
    <row r="1056" spans="1:3" x14ac:dyDescent="0.35">
      <c r="A1056" s="5"/>
      <c r="B1056" s="8"/>
      <c r="C1056" s="8"/>
    </row>
    <row r="1057" spans="1:3" x14ac:dyDescent="0.35">
      <c r="A1057" s="5"/>
      <c r="B1057" s="8"/>
      <c r="C1057" s="8"/>
    </row>
    <row r="1058" spans="1:3" x14ac:dyDescent="0.35">
      <c r="A1058" s="5"/>
      <c r="B1058" s="8"/>
      <c r="C1058" s="8"/>
    </row>
    <row r="1059" spans="1:3" x14ac:dyDescent="0.35">
      <c r="A1059" s="5"/>
      <c r="B1059" s="8"/>
      <c r="C1059" s="8"/>
    </row>
    <row r="1060" spans="1:3" x14ac:dyDescent="0.35">
      <c r="A1060" s="5"/>
      <c r="B1060" s="8"/>
      <c r="C1060" s="8"/>
    </row>
    <row r="1061" spans="1:3" x14ac:dyDescent="0.35">
      <c r="A1061" s="5"/>
      <c r="B1061" s="8"/>
      <c r="C1061" s="8"/>
    </row>
    <row r="1062" spans="1:3" x14ac:dyDescent="0.35">
      <c r="A1062" s="5"/>
      <c r="B1062" s="8"/>
      <c r="C1062" s="8"/>
    </row>
    <row r="1063" spans="1:3" x14ac:dyDescent="0.35">
      <c r="A1063" s="5"/>
      <c r="B1063" s="8"/>
      <c r="C1063" s="8"/>
    </row>
    <row r="1064" spans="1:3" x14ac:dyDescent="0.35">
      <c r="A1064" s="5"/>
      <c r="B1064" s="8"/>
      <c r="C1064" s="8"/>
    </row>
    <row r="1065" spans="1:3" x14ac:dyDescent="0.35">
      <c r="A1065" s="5"/>
      <c r="B1065" s="8"/>
      <c r="C1065" s="8"/>
    </row>
    <row r="1066" spans="1:3" x14ac:dyDescent="0.35">
      <c r="A1066" s="5"/>
      <c r="B1066" s="8"/>
      <c r="C1066" s="8"/>
    </row>
    <row r="1067" spans="1:3" x14ac:dyDescent="0.35">
      <c r="A1067" s="5"/>
      <c r="B1067" s="8"/>
      <c r="C1067" s="8"/>
    </row>
    <row r="1068" spans="1:3" x14ac:dyDescent="0.35">
      <c r="A1068" s="5"/>
      <c r="B1068" s="8"/>
      <c r="C1068" s="8"/>
    </row>
    <row r="1069" spans="1:3" x14ac:dyDescent="0.35">
      <c r="A1069" s="5"/>
      <c r="B1069" s="8"/>
      <c r="C1069" s="8"/>
    </row>
    <row r="1070" spans="1:3" x14ac:dyDescent="0.35">
      <c r="A1070" s="5"/>
      <c r="B1070" s="8"/>
      <c r="C1070" s="8"/>
    </row>
    <row r="1071" spans="1:3" x14ac:dyDescent="0.35">
      <c r="A1071" s="5"/>
      <c r="B1071" s="8"/>
      <c r="C1071" s="8"/>
    </row>
    <row r="1072" spans="1:3" x14ac:dyDescent="0.35">
      <c r="A1072" s="5"/>
      <c r="B1072" s="8"/>
      <c r="C1072" s="8"/>
    </row>
    <row r="1073" spans="1:3" x14ac:dyDescent="0.35">
      <c r="A1073" s="5"/>
      <c r="B1073" s="8"/>
      <c r="C1073" s="8"/>
    </row>
    <row r="1074" spans="1:3" x14ac:dyDescent="0.35">
      <c r="A1074" s="5"/>
      <c r="B1074" s="8"/>
      <c r="C1074" s="8"/>
    </row>
    <row r="1075" spans="1:3" x14ac:dyDescent="0.35">
      <c r="A1075" s="5"/>
      <c r="B1075" s="8"/>
      <c r="C1075" s="8"/>
    </row>
    <row r="1076" spans="1:3" x14ac:dyDescent="0.35">
      <c r="A1076" s="5"/>
      <c r="B1076" s="8"/>
      <c r="C1076" s="8"/>
    </row>
    <row r="1077" spans="1:3" x14ac:dyDescent="0.35">
      <c r="A1077" s="5"/>
      <c r="B1077" s="8"/>
      <c r="C1077" s="8"/>
    </row>
    <row r="1078" spans="1:3" x14ac:dyDescent="0.35">
      <c r="A1078" s="5"/>
      <c r="B1078" s="8"/>
      <c r="C1078" s="8"/>
    </row>
    <row r="1079" spans="1:3" x14ac:dyDescent="0.35">
      <c r="A1079" s="5"/>
      <c r="B1079" s="8"/>
      <c r="C1079" s="8"/>
    </row>
    <row r="1080" spans="1:3" x14ac:dyDescent="0.35">
      <c r="A1080" s="5"/>
      <c r="B1080" s="8"/>
      <c r="C1080" s="8"/>
    </row>
    <row r="1081" spans="1:3" x14ac:dyDescent="0.35">
      <c r="A1081" s="5"/>
      <c r="B1081" s="8"/>
      <c r="C1081" s="8"/>
    </row>
    <row r="1082" spans="1:3" x14ac:dyDescent="0.35">
      <c r="A1082" s="5"/>
      <c r="B1082" s="8"/>
      <c r="C1082" s="8"/>
    </row>
    <row r="1083" spans="1:3" x14ac:dyDescent="0.35">
      <c r="A1083" s="5"/>
      <c r="B1083" s="8"/>
      <c r="C1083" s="8"/>
    </row>
    <row r="1084" spans="1:3" x14ac:dyDescent="0.35">
      <c r="A1084" s="5"/>
      <c r="B1084" s="8"/>
      <c r="C1084" s="8"/>
    </row>
    <row r="1085" spans="1:3" x14ac:dyDescent="0.35">
      <c r="A1085" s="5"/>
      <c r="B1085" s="8"/>
      <c r="C1085" s="8"/>
    </row>
    <row r="1086" spans="1:3" x14ac:dyDescent="0.35">
      <c r="A1086" s="5"/>
      <c r="B1086" s="8"/>
      <c r="C1086" s="8"/>
    </row>
    <row r="1087" spans="1:3" x14ac:dyDescent="0.35">
      <c r="A1087" s="5"/>
      <c r="B1087" s="8"/>
      <c r="C1087" s="8"/>
    </row>
    <row r="1088" spans="1:3" x14ac:dyDescent="0.35">
      <c r="A1088" s="5"/>
      <c r="B1088" s="8"/>
      <c r="C1088" s="8"/>
    </row>
    <row r="1089" spans="1:3" x14ac:dyDescent="0.35">
      <c r="A1089" s="5"/>
      <c r="B1089" s="8"/>
      <c r="C1089" s="8"/>
    </row>
    <row r="1090" spans="1:3" x14ac:dyDescent="0.35">
      <c r="A1090" s="5"/>
      <c r="B1090" s="8"/>
      <c r="C1090" s="8"/>
    </row>
    <row r="1091" spans="1:3" x14ac:dyDescent="0.35">
      <c r="A1091" s="5"/>
      <c r="B1091" s="8"/>
      <c r="C1091" s="8"/>
    </row>
    <row r="1092" spans="1:3" x14ac:dyDescent="0.35">
      <c r="A1092" s="5"/>
      <c r="B1092" s="8"/>
      <c r="C1092" s="8"/>
    </row>
    <row r="1093" spans="1:3" x14ac:dyDescent="0.35">
      <c r="A1093" s="5"/>
      <c r="B1093" s="8"/>
      <c r="C1093" s="8"/>
    </row>
    <row r="1094" spans="1:3" x14ac:dyDescent="0.35">
      <c r="A1094" s="5"/>
      <c r="B1094" s="8"/>
      <c r="C1094" s="8"/>
    </row>
    <row r="1095" spans="1:3" x14ac:dyDescent="0.35">
      <c r="A1095" s="5"/>
      <c r="B1095" s="8"/>
      <c r="C1095" s="8"/>
    </row>
    <row r="1096" spans="1:3" x14ac:dyDescent="0.35">
      <c r="A1096" s="5"/>
      <c r="B1096" s="8"/>
      <c r="C1096" s="8"/>
    </row>
    <row r="1097" spans="1:3" x14ac:dyDescent="0.35">
      <c r="A1097" s="5"/>
      <c r="B1097" s="8"/>
      <c r="C1097" s="8"/>
    </row>
    <row r="1098" spans="1:3" x14ac:dyDescent="0.35">
      <c r="A1098" s="5"/>
      <c r="B1098" s="8"/>
      <c r="C1098" s="8"/>
    </row>
    <row r="1099" spans="1:3" x14ac:dyDescent="0.35">
      <c r="A1099" s="5"/>
      <c r="B1099" s="8"/>
      <c r="C1099" s="8"/>
    </row>
    <row r="1100" spans="1:3" x14ac:dyDescent="0.35">
      <c r="A1100" s="5"/>
      <c r="B1100" s="8"/>
      <c r="C1100" s="8"/>
    </row>
    <row r="1101" spans="1:3" x14ac:dyDescent="0.35">
      <c r="A1101" s="5"/>
      <c r="B1101" s="8"/>
      <c r="C1101" s="8"/>
    </row>
    <row r="1102" spans="1:3" x14ac:dyDescent="0.35">
      <c r="A1102" s="5"/>
      <c r="B1102" s="8"/>
      <c r="C1102" s="8"/>
    </row>
    <row r="1103" spans="1:3" x14ac:dyDescent="0.35">
      <c r="A1103" s="5"/>
      <c r="B1103" s="8"/>
      <c r="C1103" s="8"/>
    </row>
    <row r="1104" spans="1:3" x14ac:dyDescent="0.35">
      <c r="A1104" s="5"/>
      <c r="B1104" s="8"/>
      <c r="C1104" s="8"/>
    </row>
    <row r="1105" spans="1:3" x14ac:dyDescent="0.35">
      <c r="A1105" s="5"/>
      <c r="B1105" s="8"/>
      <c r="C1105" s="8"/>
    </row>
    <row r="1106" spans="1:3" x14ac:dyDescent="0.35">
      <c r="A1106" s="5"/>
      <c r="B1106" s="8"/>
      <c r="C1106" s="8"/>
    </row>
    <row r="1107" spans="1:3" x14ac:dyDescent="0.35">
      <c r="A1107" s="5"/>
      <c r="B1107" s="8"/>
      <c r="C1107" s="8"/>
    </row>
    <row r="1108" spans="1:3" x14ac:dyDescent="0.35">
      <c r="A1108" s="5"/>
      <c r="B1108" s="8"/>
      <c r="C1108" s="8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8A26D-270F-47E1-B21F-E4B628BCC2C8}">
  <dimension ref="A1:B59"/>
  <sheetViews>
    <sheetView workbookViewId="0">
      <selection activeCell="G21" sqref="G21"/>
    </sheetView>
  </sheetViews>
  <sheetFormatPr defaultRowHeight="14.5" x14ac:dyDescent="0.35"/>
  <sheetData>
    <row r="1" spans="1:2" x14ac:dyDescent="0.35">
      <c r="A1">
        <f>AVERAGE(A5:A59)</f>
        <v>-2.3366631273490555</v>
      </c>
      <c r="B1">
        <f>AVERAGE(B5:B59)</f>
        <v>4.2539626478530961</v>
      </c>
    </row>
    <row r="2" spans="1:2" x14ac:dyDescent="0.35">
      <c r="A2">
        <f>_xlfn.STDEV.S(A5:A59)</f>
        <v>1.2946952005351227</v>
      </c>
      <c r="B2">
        <f>_xlfn.STDEV.S(B5:B59)</f>
        <v>32.315907177434156</v>
      </c>
    </row>
    <row r="3" spans="1:2" ht="43.5" x14ac:dyDescent="0.35">
      <c r="A3" s="67" t="s">
        <v>1079</v>
      </c>
      <c r="B3" s="67"/>
    </row>
    <row r="4" spans="1:2" x14ac:dyDescent="0.35">
      <c r="A4" s="68" t="s">
        <v>1080</v>
      </c>
      <c r="B4" s="68" t="s">
        <v>1081</v>
      </c>
    </row>
    <row r="5" spans="1:2" x14ac:dyDescent="0.35">
      <c r="A5">
        <v>-5.1039118663132701</v>
      </c>
      <c r="B5">
        <v>-80.043841410512997</v>
      </c>
    </row>
    <row r="6" spans="1:2" x14ac:dyDescent="0.35">
      <c r="A6">
        <v>-5.0816231159193102</v>
      </c>
      <c r="B6">
        <v>-78.671698091744304</v>
      </c>
    </row>
    <row r="7" spans="1:2" x14ac:dyDescent="0.35">
      <c r="A7">
        <v>-4.9282109677145902</v>
      </c>
      <c r="B7">
        <v>-25.283841070744799</v>
      </c>
    </row>
    <row r="8" spans="1:2" x14ac:dyDescent="0.35">
      <c r="A8">
        <v>-4.8385770143112596</v>
      </c>
      <c r="B8">
        <v>-7.9901733026831803</v>
      </c>
    </row>
    <row r="9" spans="1:2" x14ac:dyDescent="0.35">
      <c r="A9">
        <v>-4.71554542082343</v>
      </c>
      <c r="B9">
        <v>-1.90154502865919</v>
      </c>
    </row>
    <row r="10" spans="1:2" x14ac:dyDescent="0.35">
      <c r="A10">
        <v>-4.5984494358022303</v>
      </c>
      <c r="B10">
        <v>-1.1086635591568901</v>
      </c>
    </row>
    <row r="11" spans="1:2" x14ac:dyDescent="0.35">
      <c r="A11">
        <v>-4.5541231617008604</v>
      </c>
      <c r="B11">
        <v>-0.66376592059106398</v>
      </c>
    </row>
    <row r="12" spans="1:2" x14ac:dyDescent="0.35">
      <c r="A12">
        <v>-4.3348088565934804</v>
      </c>
      <c r="B12">
        <v>-0.647076048033701</v>
      </c>
    </row>
    <row r="13" spans="1:2" x14ac:dyDescent="0.35">
      <c r="A13">
        <v>-4.2905384900355896</v>
      </c>
      <c r="B13">
        <v>0.15215089450939501</v>
      </c>
    </row>
    <row r="14" spans="1:2" x14ac:dyDescent="0.35">
      <c r="A14">
        <v>-4.0656929872581804</v>
      </c>
      <c r="B14">
        <v>0.94190616153548801</v>
      </c>
    </row>
    <row r="15" spans="1:2" x14ac:dyDescent="0.35">
      <c r="A15">
        <v>-4.01055587507323</v>
      </c>
      <c r="B15">
        <v>1.1691002575604099</v>
      </c>
    </row>
    <row r="16" spans="1:2" x14ac:dyDescent="0.35">
      <c r="A16">
        <v>-3.9593704725706602</v>
      </c>
      <c r="B16">
        <v>1.4223351019533299</v>
      </c>
    </row>
    <row r="17" spans="1:2" x14ac:dyDescent="0.35">
      <c r="A17">
        <v>-3.7362521227332102</v>
      </c>
      <c r="B17">
        <v>1.6138938913008001</v>
      </c>
    </row>
    <row r="18" spans="1:2" x14ac:dyDescent="0.35">
      <c r="A18">
        <v>-2.4066579550014202</v>
      </c>
      <c r="B18">
        <v>2.46116279288777</v>
      </c>
    </row>
    <row r="19" spans="1:2" x14ac:dyDescent="0.35">
      <c r="A19">
        <v>-2.25368450099716</v>
      </c>
      <c r="B19">
        <v>2.4938952232460299</v>
      </c>
    </row>
    <row r="20" spans="1:2" x14ac:dyDescent="0.35">
      <c r="A20">
        <v>-2.2378188989517902</v>
      </c>
      <c r="B20">
        <v>3.6076164705803699</v>
      </c>
    </row>
    <row r="21" spans="1:2" x14ac:dyDescent="0.35">
      <c r="A21">
        <v>-2.2301054303616201</v>
      </c>
      <c r="B21">
        <v>3.6114677238884298</v>
      </c>
    </row>
    <row r="22" spans="1:2" x14ac:dyDescent="0.35">
      <c r="A22">
        <v>-2.2265487034026101</v>
      </c>
      <c r="B22">
        <v>4.8445253166646198</v>
      </c>
    </row>
    <row r="23" spans="1:2" x14ac:dyDescent="0.35">
      <c r="A23">
        <v>-2.1690642773748401</v>
      </c>
      <c r="B23">
        <v>5.1874017400846997</v>
      </c>
    </row>
    <row r="24" spans="1:2" x14ac:dyDescent="0.35">
      <c r="A24">
        <v>-2.1564805358458599</v>
      </c>
      <c r="B24">
        <v>5.6347180379370903</v>
      </c>
    </row>
    <row r="25" spans="1:2" x14ac:dyDescent="0.35">
      <c r="A25">
        <v>-2.0862003659313699</v>
      </c>
      <c r="B25">
        <v>6.7540403996245297</v>
      </c>
    </row>
    <row r="26" spans="1:2" x14ac:dyDescent="0.35">
      <c r="A26">
        <v>-2.0798983123316002</v>
      </c>
      <c r="B26">
        <v>6.8887794931534696</v>
      </c>
    </row>
    <row r="27" spans="1:2" x14ac:dyDescent="0.35">
      <c r="A27">
        <v>-2.0588396084172702</v>
      </c>
      <c r="B27">
        <v>46.385949518747999</v>
      </c>
    </row>
    <row r="28" spans="1:2" x14ac:dyDescent="0.35">
      <c r="A28">
        <v>-2.0328517808783402</v>
      </c>
      <c r="B28">
        <v>46.978376685975697</v>
      </c>
    </row>
    <row r="29" spans="1:2" x14ac:dyDescent="0.35">
      <c r="A29">
        <v>-1.88960666335216</v>
      </c>
      <c r="B29">
        <v>54.9449118270065</v>
      </c>
    </row>
    <row r="30" spans="1:2" x14ac:dyDescent="0.35">
      <c r="A30">
        <v>-1.8849807232052</v>
      </c>
      <c r="B30">
        <v>57.317833059424203</v>
      </c>
    </row>
    <row r="31" spans="1:2" x14ac:dyDescent="0.35">
      <c r="A31">
        <v>-1.8228942644341699</v>
      </c>
      <c r="B31">
        <v>58.757531328078898</v>
      </c>
    </row>
    <row r="32" spans="1:2" x14ac:dyDescent="0.35">
      <c r="A32">
        <v>-1.8188251880772599</v>
      </c>
    </row>
    <row r="33" spans="1:1" x14ac:dyDescent="0.35">
      <c r="A33">
        <v>-1.81619805901224</v>
      </c>
    </row>
    <row r="34" spans="1:1" x14ac:dyDescent="0.35">
      <c r="A34">
        <v>-1.8036205680439199</v>
      </c>
    </row>
    <row r="35" spans="1:1" x14ac:dyDescent="0.35">
      <c r="A35">
        <v>-1.8020864459403301</v>
      </c>
    </row>
    <row r="36" spans="1:1" x14ac:dyDescent="0.35">
      <c r="A36">
        <v>-1.7942646682694099</v>
      </c>
    </row>
    <row r="37" spans="1:1" x14ac:dyDescent="0.35">
      <c r="A37">
        <v>-1.78336747733208</v>
      </c>
    </row>
    <row r="38" spans="1:1" x14ac:dyDescent="0.35">
      <c r="A38">
        <v>-1.7516234066146401</v>
      </c>
    </row>
    <row r="39" spans="1:1" x14ac:dyDescent="0.35">
      <c r="A39">
        <v>-1.74723637507693</v>
      </c>
    </row>
    <row r="40" spans="1:1" x14ac:dyDescent="0.35">
      <c r="A40">
        <v>-1.7182801574772499</v>
      </c>
    </row>
    <row r="41" spans="1:1" x14ac:dyDescent="0.35">
      <c r="A41">
        <v>-1.71365230224069</v>
      </c>
    </row>
    <row r="42" spans="1:1" x14ac:dyDescent="0.35">
      <c r="A42">
        <v>-1.6998735413352699</v>
      </c>
    </row>
    <row r="43" spans="1:1" x14ac:dyDescent="0.35">
      <c r="A43">
        <v>-1.6919784129482001</v>
      </c>
    </row>
    <row r="44" spans="1:1" x14ac:dyDescent="0.35">
      <c r="A44">
        <v>-1.6745511749267601</v>
      </c>
    </row>
    <row r="45" spans="1:1" x14ac:dyDescent="0.35">
      <c r="A45">
        <v>-1.6352798944550999</v>
      </c>
    </row>
    <row r="46" spans="1:1" x14ac:dyDescent="0.35">
      <c r="A46">
        <v>-1.62831858905618</v>
      </c>
    </row>
    <row r="47" spans="1:1" x14ac:dyDescent="0.35">
      <c r="A47">
        <v>-1.62184478012358</v>
      </c>
    </row>
    <row r="48" spans="1:1" x14ac:dyDescent="0.35">
      <c r="A48">
        <v>-1.6060503251838201</v>
      </c>
    </row>
    <row r="49" spans="1:1" x14ac:dyDescent="0.35">
      <c r="A49">
        <v>-1.54600458415755</v>
      </c>
    </row>
    <row r="50" spans="1:1" x14ac:dyDescent="0.35">
      <c r="A50">
        <v>-1.5305850092742701</v>
      </c>
    </row>
    <row r="51" spans="1:1" x14ac:dyDescent="0.35">
      <c r="A51">
        <v>-1.5227076795562899</v>
      </c>
    </row>
    <row r="52" spans="1:1" x14ac:dyDescent="0.35">
      <c r="A52">
        <v>-1.5197706291372499</v>
      </c>
    </row>
    <row r="53" spans="1:1" x14ac:dyDescent="0.35">
      <c r="A53">
        <v>-1.4932715511672501</v>
      </c>
    </row>
    <row r="54" spans="1:1" x14ac:dyDescent="0.35">
      <c r="A54">
        <v>-1.10824161909103</v>
      </c>
    </row>
    <row r="55" spans="1:1" x14ac:dyDescent="0.35">
      <c r="A55">
        <v>-0.72497212845121795</v>
      </c>
    </row>
    <row r="56" spans="1:1" x14ac:dyDescent="0.35">
      <c r="A56">
        <v>-0.63971979023842396</v>
      </c>
    </row>
    <row r="57" spans="1:1" x14ac:dyDescent="0.35">
      <c r="A57">
        <v>-0.53059349373937303</v>
      </c>
    </row>
    <row r="58" spans="1:1" x14ac:dyDescent="0.35">
      <c r="A58">
        <v>-0.50262694559968202</v>
      </c>
    </row>
    <row r="59" spans="1:1" x14ac:dyDescent="0.35">
      <c r="A59">
        <v>-0.33763540033734402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8"/>
  <sheetViews>
    <sheetView workbookViewId="0">
      <selection activeCell="J5" sqref="J5"/>
    </sheetView>
  </sheetViews>
  <sheetFormatPr defaultRowHeight="14.5" x14ac:dyDescent="0.35"/>
  <cols>
    <col min="9" max="9" width="11" bestFit="1" customWidth="1"/>
    <col min="10" max="11" width="12" bestFit="1" customWidth="1"/>
  </cols>
  <sheetData>
    <row r="1" spans="1:13" x14ac:dyDescent="0.35">
      <c r="A1" t="s">
        <v>661</v>
      </c>
      <c r="B1" t="s">
        <v>325</v>
      </c>
    </row>
    <row r="2" spans="1:13" x14ac:dyDescent="0.35">
      <c r="A2" t="s">
        <v>662</v>
      </c>
    </row>
    <row r="3" spans="1:13" x14ac:dyDescent="0.35">
      <c r="B3">
        <v>2.5</v>
      </c>
      <c r="D3">
        <v>4</v>
      </c>
      <c r="F3">
        <v>5.2</v>
      </c>
      <c r="I3" t="s">
        <v>295</v>
      </c>
      <c r="J3" t="s">
        <v>72</v>
      </c>
      <c r="M3" t="s">
        <v>503</v>
      </c>
    </row>
    <row r="4" spans="1:13" x14ac:dyDescent="0.35">
      <c r="A4" t="s">
        <v>663</v>
      </c>
      <c r="B4">
        <v>0.03</v>
      </c>
      <c r="C4">
        <v>0.1</v>
      </c>
      <c r="D4">
        <v>-0.01</v>
      </c>
      <c r="E4">
        <v>-0.04</v>
      </c>
      <c r="F4">
        <v>-0.01</v>
      </c>
      <c r="G4">
        <v>-0.13</v>
      </c>
    </row>
    <row r="5" spans="1:13" x14ac:dyDescent="0.35">
      <c r="A5" t="s">
        <v>664</v>
      </c>
      <c r="B5">
        <v>-0.2</v>
      </c>
      <c r="C5">
        <v>-1.4</v>
      </c>
      <c r="D5">
        <v>-0.8</v>
      </c>
      <c r="E5">
        <v>-11.8</v>
      </c>
      <c r="F5">
        <v>-1.2</v>
      </c>
      <c r="G5">
        <v>-23.8</v>
      </c>
      <c r="I5">
        <f>SUMPRODUCT(regions!$AB4:$AB201,regions!B4:B201)</f>
        <v>1138847387</v>
      </c>
      <c r="J5">
        <f>SUMPRODUCT(regions!$AB4:$AB201,regions!$C4:$C201)</f>
        <v>629223637132.96814</v>
      </c>
      <c r="K5">
        <f>J5/I5</f>
        <v>552.50918105058452</v>
      </c>
      <c r="L5">
        <f>M5/I5</f>
        <v>22.363440631224808</v>
      </c>
      <c r="M5">
        <f>SUMPRODUCT(regions!AB4:AB201,regions!$B4:$B201,regions!$Z4:$Z201)</f>
        <v>25468545927.200005</v>
      </c>
    </row>
    <row r="6" spans="1:13" x14ac:dyDescent="0.35">
      <c r="B6">
        <v>-0.4</v>
      </c>
      <c r="C6">
        <v>1.6</v>
      </c>
      <c r="D6">
        <v>-0.5</v>
      </c>
      <c r="E6">
        <v>-2.4</v>
      </c>
      <c r="F6">
        <v>-0.8</v>
      </c>
      <c r="G6">
        <v>-7.4</v>
      </c>
      <c r="I6">
        <f>SUMPRODUCT(regions!AC4:AC201,regions!$B4:$B201)</f>
        <v>3649170056</v>
      </c>
      <c r="J6">
        <f>SUMPRODUCT(regions!AC4:AC201,regions!$C4:$C201)</f>
        <v>7211542921573.7637</v>
      </c>
      <c r="K6">
        <f>J6/I6</f>
        <v>1976.2145394447914</v>
      </c>
      <c r="L6">
        <f>M6/I6</f>
        <v>17.267907822545173</v>
      </c>
      <c r="M6">
        <f>SUMPRODUCT(regions!AC4:AC201,regions!$B4:$B201,regions!$Z4:$Z201)</f>
        <v>63013532155.800003</v>
      </c>
    </row>
    <row r="7" spans="1:13" x14ac:dyDescent="0.35">
      <c r="B7">
        <v>0.8</v>
      </c>
      <c r="C7">
        <v>2.1</v>
      </c>
      <c r="D7">
        <v>0</v>
      </c>
      <c r="E7">
        <v>-0.3</v>
      </c>
      <c r="F7">
        <v>-0.2</v>
      </c>
      <c r="G7">
        <v>-2.4</v>
      </c>
      <c r="I7">
        <f>SUMPRODUCT(regions!AD4:AD201,regions!$B4:$B201)</f>
        <v>944549492</v>
      </c>
      <c r="J7">
        <f>SUMPRODUCT(regions!AD4:AD201,regions!$C4:$C201)</f>
        <v>6298119440576.9795</v>
      </c>
      <c r="K7">
        <f>J7/I7</f>
        <v>6667.8554103515198</v>
      </c>
      <c r="L7">
        <f>M7/I7</f>
        <v>15.10945271854532</v>
      </c>
      <c r="M7">
        <f>SUMPRODUCT(regions!AD4:AD201,regions!$B4:$B201,regions!$Z4:$Z201)</f>
        <v>14271625889.700001</v>
      </c>
    </row>
    <row r="8" spans="1:13" x14ac:dyDescent="0.35">
      <c r="A8" t="s">
        <v>665</v>
      </c>
      <c r="B8">
        <v>0.2</v>
      </c>
      <c r="C8">
        <v>0.9</v>
      </c>
      <c r="D8">
        <v>-0.1</v>
      </c>
      <c r="E8">
        <v>0.1</v>
      </c>
      <c r="F8">
        <v>0</v>
      </c>
      <c r="G8">
        <v>0.1</v>
      </c>
      <c r="I8">
        <f>SUMPRODUCT(regions!AE4:AE201,regions!$B4:$B201)</f>
        <v>1032152790</v>
      </c>
      <c r="J8">
        <f>SUMPRODUCT(regions!AE4:AE201,regions!$C4:$C201)</f>
        <v>37345152466331.055</v>
      </c>
      <c r="K8">
        <f>J8/I8</f>
        <v>36181.806441981382</v>
      </c>
      <c r="L8">
        <f>M8/I8</f>
        <v>10.508014108066311</v>
      </c>
      <c r="M8">
        <f>SUMPRODUCT(regions!AE4:AE201,regions!$B4:$B201,regions!$Z4:$Z201)</f>
        <v>10845876079.000004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F39"/>
  <sheetViews>
    <sheetView workbookViewId="0">
      <selection activeCell="G2" sqref="G2"/>
    </sheetView>
  </sheetViews>
  <sheetFormatPr defaultRowHeight="14.5" x14ac:dyDescent="0.35"/>
  <cols>
    <col min="4" max="4" width="11" bestFit="1" customWidth="1"/>
    <col min="5" max="5" width="12" bestFit="1" customWidth="1"/>
    <col min="6" max="6" width="11" bestFit="1" customWidth="1"/>
  </cols>
  <sheetData>
    <row r="1" spans="1:32" x14ac:dyDescent="0.35">
      <c r="B1" t="s">
        <v>90</v>
      </c>
      <c r="C1" t="s">
        <v>72</v>
      </c>
      <c r="D1" t="s">
        <v>295</v>
      </c>
      <c r="F1" t="s">
        <v>503</v>
      </c>
    </row>
    <row r="2" spans="1:32" ht="15" thickBot="1" x14ac:dyDescent="0.4">
      <c r="A2" t="s">
        <v>336</v>
      </c>
      <c r="B2">
        <v>-5</v>
      </c>
      <c r="C2">
        <f>SUMPRODUCT(regions!$C4:$C201,regions!AG4:AG201)</f>
        <v>3839284159376.0742</v>
      </c>
      <c r="D2">
        <f>SUMPRODUCT(regions!$B4:$B201,regions!AG4:AG201)</f>
        <v>1337705000</v>
      </c>
      <c r="E2" s="8">
        <f>C2/D2</f>
        <v>2870.0529334764196</v>
      </c>
      <c r="F2" s="1">
        <f>G2/D2</f>
        <v>6.9</v>
      </c>
      <c r="G2">
        <f>SUMPRODUCT(regions!$Z4:$Z201,regions!AG4:AG201,regions!$B4:$B201)</f>
        <v>9230164500</v>
      </c>
      <c r="K2" s="1"/>
    </row>
    <row r="3" spans="1:32" x14ac:dyDescent="0.35">
      <c r="A3" t="s">
        <v>337</v>
      </c>
      <c r="B3">
        <v>0.2</v>
      </c>
      <c r="C3">
        <f>SUMPRODUCT(regions!$C4:$C201,regions!AH4:AH201)</f>
        <v>4648468621132.7568</v>
      </c>
      <c r="D3">
        <f>SUMPRODUCT(regions!$B4:$B201,regions!AH4:AH201)</f>
        <v>127450459</v>
      </c>
      <c r="E3" s="8">
        <f t="shared" ref="E3:E16" si="0">C3/D3</f>
        <v>36472.749157637452</v>
      </c>
      <c r="F3" s="1">
        <f t="shared" ref="F3:F16" si="1">G3/D3</f>
        <v>11.1</v>
      </c>
      <c r="G3">
        <f>SUMPRODUCT(regions!$Z4:$Z201,regions!AH4:AH201,regions!$B4:$B201)</f>
        <v>1414700094.8999999</v>
      </c>
      <c r="K3" s="1"/>
      <c r="M3" s="4"/>
      <c r="N3" s="4"/>
      <c r="X3" s="4"/>
      <c r="Y3" s="4"/>
    </row>
    <row r="4" spans="1:32" x14ac:dyDescent="0.35">
      <c r="A4" t="s">
        <v>338</v>
      </c>
      <c r="B4">
        <v>-12.5</v>
      </c>
      <c r="C4">
        <f>SUMPRODUCT(regions!$C4:$C201,regions!AI4:AI201)</f>
        <v>896731759478.74573</v>
      </c>
      <c r="D4">
        <f>SUMPRODUCT(regions!$B4:$B201,regions!AI4:AI201)</f>
        <v>398206238</v>
      </c>
      <c r="E4" s="8">
        <f t="shared" si="0"/>
        <v>2251.9279556809597</v>
      </c>
      <c r="F4" s="1">
        <f t="shared" si="1"/>
        <v>25.575773499058045</v>
      </c>
      <c r="G4">
        <f>SUMPRODUCT(regions!$Z4:$Z201,regions!AI4:AI201,regions!$B4:$B201)</f>
        <v>10184432549</v>
      </c>
      <c r="K4" s="1"/>
    </row>
    <row r="5" spans="1:32" x14ac:dyDescent="0.35">
      <c r="A5" t="s">
        <v>339</v>
      </c>
      <c r="B5">
        <v>-5.6</v>
      </c>
      <c r="C5">
        <f>SUMPRODUCT(regions!$C4:$C201,regions!AJ4:AJ201)</f>
        <v>1243675499465.8105</v>
      </c>
      <c r="D5">
        <f>SUMPRODUCT(regions!$B4:$B201,regions!AJ4:AJ201)</f>
        <v>1205624648</v>
      </c>
      <c r="E5" s="8">
        <f t="shared" si="0"/>
        <v>1031.5611094455749</v>
      </c>
      <c r="F5" s="1">
        <f t="shared" si="1"/>
        <v>23.7</v>
      </c>
      <c r="G5">
        <f>SUMPRODUCT(regions!$Z4:$Z201,regions!AJ4:AJ201,regions!$B4:$B201)</f>
        <v>28573304157.599998</v>
      </c>
      <c r="K5" s="1"/>
    </row>
    <row r="6" spans="1:32" x14ac:dyDescent="0.35">
      <c r="A6" t="s">
        <v>340</v>
      </c>
      <c r="B6">
        <v>-6.1</v>
      </c>
      <c r="C6">
        <f>SUMPRODUCT(regions!$C4:$C201,regions!AK4:AK201)</f>
        <v>265877068028.7063</v>
      </c>
      <c r="D6">
        <f>SUMPRODUCT(regions!$B4:$B201,regions!AK4:AK201)</f>
        <v>400888548</v>
      </c>
      <c r="E6" s="8">
        <f t="shared" si="0"/>
        <v>663.219414361286</v>
      </c>
      <c r="F6" s="1">
        <f t="shared" si="1"/>
        <v>20.983111409807595</v>
      </c>
      <c r="G6">
        <f>SUMPRODUCT(regions!$Z4:$Z201,regions!AK4:AK201,regions!$B4:$B201)</f>
        <v>8411889065.5999994</v>
      </c>
      <c r="K6" s="1"/>
    </row>
    <row r="7" spans="1:32" x14ac:dyDescent="0.35">
      <c r="A7" t="s">
        <v>63</v>
      </c>
      <c r="B7">
        <v>-0.7</v>
      </c>
      <c r="C7">
        <f>SUMPRODUCT(regions!$C4:$C201,regions!AL4:AL201)</f>
        <v>13595644353592.4</v>
      </c>
      <c r="D7">
        <f>SUMPRODUCT(regions!$B4:$B201,regions!AL4:AL201)</f>
        <v>309326225</v>
      </c>
      <c r="E7" s="8">
        <f t="shared" si="0"/>
        <v>43952.446494287382</v>
      </c>
      <c r="F7" s="1">
        <f t="shared" si="1"/>
        <v>8.5</v>
      </c>
      <c r="G7">
        <f>SUMPRODUCT(regions!$Z4:$Z201,regions!AL4:AL201,regions!$B4:$B201)</f>
        <v>2629272912.5</v>
      </c>
      <c r="K7" s="1"/>
    </row>
    <row r="8" spans="1:32" ht="15" thickBot="1" x14ac:dyDescent="0.4">
      <c r="A8" t="s">
        <v>341</v>
      </c>
      <c r="B8">
        <v>-5.8</v>
      </c>
      <c r="C8">
        <f>SUMPRODUCT(regions!$C4:$C201,regions!AM4:AM201)</f>
        <v>1096754010432.5254</v>
      </c>
      <c r="D8">
        <f>SUMPRODUCT(regions!$B4:$B201,regions!AM4:AM201)</f>
        <v>195210154</v>
      </c>
      <c r="E8" s="8">
        <f t="shared" si="0"/>
        <v>5618.3246002281494</v>
      </c>
      <c r="F8" s="1">
        <f t="shared" si="1"/>
        <v>24.9</v>
      </c>
      <c r="G8">
        <f>SUMPRODUCT(regions!$Z4:$Z201,regions!AM4:AM201,regions!$B4:$B201)</f>
        <v>4860732834.5999994</v>
      </c>
      <c r="K8" s="1"/>
      <c r="M8" s="2"/>
      <c r="N8" s="2"/>
      <c r="X8" s="2"/>
      <c r="Y8" s="2"/>
    </row>
    <row r="9" spans="1:32" x14ac:dyDescent="0.35">
      <c r="A9" t="s">
        <v>342</v>
      </c>
      <c r="B9">
        <v>2.4</v>
      </c>
      <c r="C9">
        <f>SUMPRODUCT(regions!$C4:$C201,regions!AN4:AN201)</f>
        <v>909241662711.50525</v>
      </c>
      <c r="D9">
        <f>SUMPRODUCT(regions!$B4:$B201,regions!AN4:AN201)</f>
        <v>142389000</v>
      </c>
      <c r="E9" s="8">
        <f t="shared" si="0"/>
        <v>6385.6173068952321</v>
      </c>
      <c r="F9" s="1">
        <f t="shared" si="1"/>
        <v>-5.0999999999999996</v>
      </c>
      <c r="G9">
        <f>SUMPRODUCT(regions!$Z4:$Z201,regions!AN4:AN201,regions!$B4:$B201)</f>
        <v>-726183900</v>
      </c>
      <c r="K9" s="1"/>
    </row>
    <row r="10" spans="1:32" ht="15" thickBot="1" x14ac:dyDescent="0.4">
      <c r="A10" t="s">
        <v>343</v>
      </c>
      <c r="B10">
        <v>-2.8</v>
      </c>
      <c r="C10">
        <f>SUMPRODUCT(regions!$C4:$C201,regions!AO4:AO201)</f>
        <v>1659567149582.458</v>
      </c>
      <c r="D10">
        <f>SUMPRODUCT(regions!$B4:$B201,regions!AO4:AO201)</f>
        <v>418097357</v>
      </c>
      <c r="E10" s="8">
        <f t="shared" si="0"/>
        <v>3969.3318357486246</v>
      </c>
      <c r="F10" s="1">
        <f t="shared" si="1"/>
        <v>14.71072896688988</v>
      </c>
      <c r="G10">
        <f>SUMPRODUCT(regions!$Z4:$Z201,regions!AO4:AO201,regions!$B4:$B201)</f>
        <v>6150516900.5999994</v>
      </c>
      <c r="K10" s="1"/>
    </row>
    <row r="11" spans="1:32" x14ac:dyDescent="0.35">
      <c r="A11" t="s">
        <v>104</v>
      </c>
      <c r="B11">
        <v>-8.4</v>
      </c>
      <c r="C11">
        <f>SUMPRODUCT(regions!$C4:$C201,regions!AP4:AP201)</f>
        <v>838699344666.90784</v>
      </c>
      <c r="D11">
        <f>SUMPRODUCT(regions!$B4:$B201,regions!AP4:AP201)</f>
        <v>844983418</v>
      </c>
      <c r="E11" s="8">
        <f t="shared" si="0"/>
        <v>992.56308088510661</v>
      </c>
      <c r="F11" s="1">
        <f t="shared" si="1"/>
        <v>24.202575129113367</v>
      </c>
      <c r="G11">
        <f>SUMPRODUCT(regions!$Z4:$Z201,regions!AP4:AP201,regions!$B4:$B201)</f>
        <v>20450774657.000004</v>
      </c>
      <c r="K11" s="1"/>
      <c r="M11" s="3"/>
      <c r="N11" s="3"/>
      <c r="O11" s="3"/>
      <c r="P11" s="3"/>
      <c r="Q11" s="3"/>
      <c r="R11" s="3"/>
      <c r="X11" s="3"/>
      <c r="Y11" s="3"/>
      <c r="Z11" s="3"/>
      <c r="AA11" s="3"/>
      <c r="AB11" s="3"/>
      <c r="AC11" s="3"/>
    </row>
    <row r="12" spans="1:32" x14ac:dyDescent="0.35">
      <c r="A12" t="s">
        <v>344</v>
      </c>
      <c r="B12">
        <v>1.4</v>
      </c>
      <c r="C12">
        <f>SUMPRODUCT(regions!$C4:$C201,regions!AQ4:AQ201)</f>
        <v>14222904185480.756</v>
      </c>
      <c r="D12">
        <f>SUMPRODUCT(regions!$B4:$B201,regions!AQ4:AQ201)</f>
        <v>413673860</v>
      </c>
      <c r="E12" s="8">
        <f t="shared" si="0"/>
        <v>34381.926345263288</v>
      </c>
      <c r="F12" s="1">
        <f t="shared" si="1"/>
        <v>10.08720749747156</v>
      </c>
      <c r="G12">
        <f>SUMPRODUCT(regions!$Z4:$Z201,regions!AQ4:AQ201,regions!$B4:$B201)</f>
        <v>4172814062.1000004</v>
      </c>
      <c r="K12" s="1"/>
    </row>
    <row r="13" spans="1:32" x14ac:dyDescent="0.35">
      <c r="A13" t="s">
        <v>345</v>
      </c>
      <c r="B13">
        <v>-10.4</v>
      </c>
      <c r="C13">
        <f>SUMPRODUCT(regions!$C4:$C201,regions!AR4:AR201)</f>
        <v>2451747275490.7207</v>
      </c>
      <c r="D13">
        <f>SUMPRODUCT(regions!$B4:$B201,regions!AR4:AR201)</f>
        <v>451545784</v>
      </c>
      <c r="E13" s="8">
        <f t="shared" si="0"/>
        <v>5429.6759318003524</v>
      </c>
      <c r="F13" s="1">
        <f t="shared" si="1"/>
        <v>19.065471052875562</v>
      </c>
      <c r="G13">
        <f>SUMPRODUCT(regions!$Z4:$Z201,regions!AR4:AR201,regions!$B4:$B201)</f>
        <v>8608933073.9000015</v>
      </c>
    </row>
    <row r="14" spans="1:32" ht="15" thickBot="1" x14ac:dyDescent="0.4">
      <c r="A14" t="s">
        <v>346</v>
      </c>
      <c r="B14">
        <v>0.5</v>
      </c>
      <c r="C14">
        <f>SUMPRODUCT(regions!$C4:$C201,regions!AS4:AS201)</f>
        <v>2157548783367.8506</v>
      </c>
      <c r="D14">
        <f>SUMPRODUCT(regions!$B4:$B201,regions!AS4:AS201)</f>
        <v>60559647</v>
      </c>
      <c r="E14" s="8">
        <f t="shared" si="0"/>
        <v>35626.838831604327</v>
      </c>
      <c r="F14" s="1">
        <f t="shared" si="1"/>
        <v>5.5843955992676122</v>
      </c>
      <c r="G14">
        <f>SUMPRODUCT(regions!$Z4:$Z201,regions!AS4:AS201,regions!$B4:$B201)</f>
        <v>338189026.20000005</v>
      </c>
      <c r="K14" s="1"/>
      <c r="M14" s="2"/>
      <c r="N14" s="2"/>
      <c r="O14" s="2"/>
      <c r="P14" s="2"/>
      <c r="Q14" s="2"/>
      <c r="R14" s="2"/>
      <c r="X14" s="2"/>
      <c r="Y14" s="2"/>
      <c r="Z14" s="2"/>
      <c r="AA14" s="2"/>
      <c r="AB14" s="2"/>
      <c r="AC14" s="2"/>
    </row>
    <row r="15" spans="1:32" ht="15" thickBot="1" x14ac:dyDescent="0.4">
      <c r="A15" t="s">
        <v>347</v>
      </c>
      <c r="B15">
        <v>-0.4</v>
      </c>
      <c r="C15">
        <f>SUMPRODUCT(regions!$C4:$C201,regions!AT4:AT201)</f>
        <v>2292500289790.5869</v>
      </c>
      <c r="D15">
        <f>SUMPRODUCT(regions!$B4:$B201,regions!AT4:AT201)</f>
        <v>174855230</v>
      </c>
      <c r="E15" s="8">
        <f t="shared" si="0"/>
        <v>13110.847698353586</v>
      </c>
      <c r="F15" s="1">
        <f t="shared" si="1"/>
        <v>18.389317247187861</v>
      </c>
      <c r="G15">
        <f>SUMPRODUCT(regions!$Z4:$Z201,regions!AT4:AT201,regions!$B4:$B201)</f>
        <v>3215468296.8000002</v>
      </c>
      <c r="K15" s="1"/>
    </row>
    <row r="16" spans="1:32" x14ac:dyDescent="0.35">
      <c r="A16" t="s">
        <v>348</v>
      </c>
      <c r="B16">
        <v>-8.4</v>
      </c>
      <c r="C16">
        <f>SUMPRODUCT(regions!$C4:$C201,regions!AU4:AU201)</f>
        <v>1365394303016.9724</v>
      </c>
      <c r="D16">
        <f>SUMPRODUCT(regions!$B4:$B201,regions!AU4:AU201)</f>
        <v>284204157</v>
      </c>
      <c r="E16" s="8">
        <f t="shared" si="0"/>
        <v>4804.2728066675409</v>
      </c>
      <c r="F16" s="1">
        <f t="shared" si="1"/>
        <v>21.409158420226767</v>
      </c>
      <c r="G16">
        <f>SUMPRODUCT(regions!$Z4:$Z201,regions!AU4:AU201,regions!$B4:$B201)</f>
        <v>6084571820.8999996</v>
      </c>
      <c r="K16" s="1"/>
      <c r="M16" s="3"/>
      <c r="N16" s="3"/>
      <c r="O16" s="3"/>
      <c r="P16" s="3"/>
      <c r="Q16" s="3"/>
      <c r="R16" s="3"/>
      <c r="S16" s="3"/>
      <c r="T16" s="3"/>
      <c r="U16" s="3"/>
      <c r="X16" s="3"/>
      <c r="Y16" s="3"/>
      <c r="Z16" s="3"/>
      <c r="AA16" s="3"/>
      <c r="AB16" s="3"/>
      <c r="AC16" s="3"/>
      <c r="AD16" s="3"/>
      <c r="AE16" s="3"/>
      <c r="AF16" s="3"/>
    </row>
    <row r="17" spans="11:32" x14ac:dyDescent="0.35">
      <c r="K17" s="1"/>
    </row>
    <row r="18" spans="11:32" ht="15" thickBot="1" x14ac:dyDescent="0.4">
      <c r="X18" s="2"/>
      <c r="Y18" s="2"/>
      <c r="Z18" s="2"/>
      <c r="AA18" s="2"/>
      <c r="AB18" s="2"/>
      <c r="AC18" s="2"/>
      <c r="AD18" s="2"/>
      <c r="AE18" s="2"/>
      <c r="AF18" s="2"/>
    </row>
    <row r="19" spans="11:32" ht="15" thickBot="1" x14ac:dyDescent="0.4">
      <c r="M19" s="2"/>
      <c r="N19" s="2"/>
      <c r="O19" s="2"/>
      <c r="P19" s="2"/>
      <c r="Q19" s="2"/>
      <c r="R19" s="2"/>
      <c r="S19" s="2"/>
      <c r="T19" s="2"/>
      <c r="U19" s="2"/>
    </row>
    <row r="22" spans="11:32" ht="15" thickBot="1" x14ac:dyDescent="0.4"/>
    <row r="23" spans="11:32" x14ac:dyDescent="0.35">
      <c r="M23" s="4"/>
      <c r="N23" s="4"/>
      <c r="X23" s="4"/>
      <c r="Y23" s="4"/>
    </row>
    <row r="28" spans="11:32" ht="15" thickBot="1" x14ac:dyDescent="0.4">
      <c r="M28" s="2"/>
      <c r="N28" s="2"/>
      <c r="X28" s="2"/>
      <c r="Y28" s="2"/>
    </row>
    <row r="30" spans="11:32" ht="15" thickBot="1" x14ac:dyDescent="0.4"/>
    <row r="31" spans="11:32" x14ac:dyDescent="0.35">
      <c r="M31" s="3"/>
      <c r="N31" s="3"/>
      <c r="O31" s="3"/>
      <c r="P31" s="3"/>
      <c r="Q31" s="3"/>
      <c r="R31" s="3"/>
      <c r="X31" s="3"/>
      <c r="Y31" s="3"/>
      <c r="Z31" s="3"/>
      <c r="AA31" s="3"/>
      <c r="AB31" s="3"/>
      <c r="AC31" s="3"/>
    </row>
    <row r="34" spans="13:32" ht="15" thickBot="1" x14ac:dyDescent="0.4">
      <c r="M34" s="2"/>
      <c r="N34" s="2"/>
      <c r="O34" s="2"/>
      <c r="P34" s="2"/>
      <c r="Q34" s="2"/>
      <c r="R34" s="2"/>
      <c r="X34" s="2"/>
      <c r="Y34" s="2"/>
      <c r="Z34" s="2"/>
      <c r="AA34" s="2"/>
      <c r="AB34" s="2"/>
      <c r="AC34" s="2"/>
    </row>
    <row r="35" spans="13:32" ht="15" thickBot="1" x14ac:dyDescent="0.4"/>
    <row r="36" spans="13:32" x14ac:dyDescent="0.35">
      <c r="M36" s="3"/>
      <c r="N36" s="3"/>
      <c r="O36" s="3"/>
      <c r="P36" s="3"/>
      <c r="Q36" s="3"/>
      <c r="R36" s="3"/>
      <c r="S36" s="3"/>
      <c r="T36" s="3"/>
      <c r="U36" s="3"/>
      <c r="X36" s="3"/>
      <c r="Y36" s="3"/>
      <c r="Z36" s="3"/>
      <c r="AA36" s="3"/>
      <c r="AB36" s="3"/>
      <c r="AC36" s="3"/>
      <c r="AD36" s="3"/>
      <c r="AE36" s="3"/>
      <c r="AF36" s="3"/>
    </row>
    <row r="38" spans="13:32" ht="15" thickBot="1" x14ac:dyDescent="0.4">
      <c r="X38" s="2"/>
      <c r="Y38" s="2"/>
      <c r="Z38" s="2"/>
      <c r="AA38" s="2"/>
      <c r="AB38" s="2"/>
      <c r="AC38" s="2"/>
      <c r="AD38" s="2"/>
      <c r="AE38" s="2"/>
      <c r="AF38" s="2"/>
    </row>
    <row r="39" spans="13:32" ht="15" thickBot="1" x14ac:dyDescent="0.4">
      <c r="M39" s="2"/>
      <c r="N39" s="2"/>
      <c r="O39" s="2"/>
      <c r="P39" s="2"/>
      <c r="Q39" s="2"/>
      <c r="R39" s="2"/>
      <c r="S39" s="2"/>
      <c r="T39" s="2"/>
      <c r="U39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F39"/>
  <sheetViews>
    <sheetView workbookViewId="0"/>
  </sheetViews>
  <sheetFormatPr defaultRowHeight="14.5" x14ac:dyDescent="0.35"/>
  <cols>
    <col min="1" max="1" width="18.453125" customWidth="1"/>
    <col min="3" max="3" width="12" bestFit="1" customWidth="1"/>
    <col min="4" max="4" width="10" bestFit="1" customWidth="1"/>
    <col min="7" max="7" width="11" bestFit="1" customWidth="1"/>
  </cols>
  <sheetData>
    <row r="1" spans="1:32" x14ac:dyDescent="0.35">
      <c r="C1" t="s">
        <v>72</v>
      </c>
      <c r="D1" t="s">
        <v>295</v>
      </c>
      <c r="F1" t="s">
        <v>503</v>
      </c>
    </row>
    <row r="2" spans="1:32" ht="15" thickBot="1" x14ac:dyDescent="0.4">
      <c r="A2" t="s">
        <v>63</v>
      </c>
      <c r="B2">
        <v>0.2</v>
      </c>
      <c r="C2">
        <f>SUMPRODUCT(regions!$C4:$C201,regions!AX4:AX201)</f>
        <v>13595644353592.4</v>
      </c>
      <c r="D2">
        <f>SUMPRODUCT(regions!$B4:$B201,regions!AX4:AX201)</f>
        <v>309326225</v>
      </c>
      <c r="E2" s="8">
        <f>C2/D2</f>
        <v>43952.446494287382</v>
      </c>
      <c r="F2" s="1">
        <f>G2/D2</f>
        <v>8.5</v>
      </c>
      <c r="G2">
        <f>SUMPRODUCT(regions!$Z4:$Z201,regions!AX4:AX201,regions!$B4:$B201)</f>
        <v>2629272912.5</v>
      </c>
      <c r="K2" s="1"/>
    </row>
    <row r="3" spans="1:32" x14ac:dyDescent="0.35">
      <c r="A3" t="s">
        <v>327</v>
      </c>
      <c r="B3">
        <v>-0.1</v>
      </c>
      <c r="C3">
        <f>SUMPRODUCT(regions!$C4:$C201,regions!AY4:AY201)</f>
        <v>5621817114168.1914</v>
      </c>
      <c r="D3">
        <f>SUMPRODUCT(regions!$B4:$B201,regions!AY4:AY201)</f>
        <v>195195732</v>
      </c>
      <c r="E3" s="8">
        <f t="shared" ref="E3:E15" si="0">C3/D3</f>
        <v>28800.922318159042</v>
      </c>
      <c r="F3" s="1">
        <f t="shared" ref="F3:F15" si="1">G3/D3</f>
        <v>12.724356830199545</v>
      </c>
      <c r="G3">
        <f>SUMPRODUCT(regions!$Z4:$Z201,regions!AY4:AY201,regions!$B4:$B201)</f>
        <v>2483740145.6999998</v>
      </c>
      <c r="K3" s="1"/>
      <c r="M3" s="4"/>
      <c r="N3" s="4"/>
      <c r="X3" s="4"/>
      <c r="Y3" s="4"/>
    </row>
    <row r="4" spans="1:32" x14ac:dyDescent="0.35">
      <c r="A4" t="s">
        <v>326</v>
      </c>
      <c r="B4">
        <v>0.2</v>
      </c>
      <c r="C4">
        <f>SUMPRODUCT(regions!$C4:$C201,regions!AZ4:AZ201)</f>
        <v>8601087071312.5645</v>
      </c>
      <c r="D4">
        <f>SUMPRODUCT(regions!$B4:$B201,regions!AZ4:AZ201)</f>
        <v>218478128</v>
      </c>
      <c r="E4" s="8">
        <f t="shared" si="0"/>
        <v>39368.183671514089</v>
      </c>
      <c r="F4" s="1">
        <f t="shared" si="1"/>
        <v>7.7310892942107223</v>
      </c>
      <c r="G4">
        <f>SUMPRODUCT(regions!$Z4:$Z201,regions!AZ4:AZ201,regions!$B4:$B201)</f>
        <v>1689073916.3999999</v>
      </c>
      <c r="K4" s="1"/>
    </row>
    <row r="5" spans="1:32" x14ac:dyDescent="0.35">
      <c r="A5" t="s">
        <v>328</v>
      </c>
      <c r="B5">
        <v>-0.2</v>
      </c>
      <c r="C5">
        <f>SUMPRODUCT(regions!$C4:$C201,regions!BA4:BA201)</f>
        <v>1015964434757.6732</v>
      </c>
      <c r="D5">
        <f>SUMPRODUCT(regions!$B4:$B201,regions!BA4:BA201)</f>
        <v>118357752</v>
      </c>
      <c r="E5" s="8">
        <f t="shared" si="0"/>
        <v>8583.843623167777</v>
      </c>
      <c r="F5" s="1">
        <f t="shared" si="1"/>
        <v>8.7523932509296056</v>
      </c>
      <c r="G5">
        <f>SUMPRODUCT(regions!$Z4:$Z201,regions!BA4:BA201,regions!$B4:$B201)</f>
        <v>1035913589.8000001</v>
      </c>
      <c r="K5" s="1"/>
    </row>
    <row r="6" spans="1:32" x14ac:dyDescent="0.35">
      <c r="A6" t="s">
        <v>67</v>
      </c>
      <c r="B6">
        <v>0.8</v>
      </c>
      <c r="C6">
        <f>SUMPRODUCT(regions!$C4:$C201,regions!BB4:BB201)</f>
        <v>1263738819385.8857</v>
      </c>
      <c r="D6">
        <f>SUMPRODUCT(regions!$B4:$B201,regions!BB4:BB201)</f>
        <v>287651287</v>
      </c>
      <c r="E6" s="8">
        <f t="shared" si="0"/>
        <v>4393.3014608270669</v>
      </c>
      <c r="F6" s="1">
        <f t="shared" si="1"/>
        <v>1.7083495558982151</v>
      </c>
      <c r="G6">
        <f>SUMPRODUCT(regions!$Z4:$Z201,regions!BB4:BB201,regions!$B4:$B201)</f>
        <v>491408948.40000004</v>
      </c>
      <c r="K6" s="1"/>
    </row>
    <row r="7" spans="1:32" x14ac:dyDescent="0.35">
      <c r="A7" t="s">
        <v>329</v>
      </c>
      <c r="B7">
        <v>0.1</v>
      </c>
      <c r="C7">
        <f>SUMPRODUCT(regions!$C4:$C201,regions!BC4:BC201)</f>
        <v>2185944049258.3716</v>
      </c>
      <c r="D7">
        <f>SUMPRODUCT(regions!$B4:$B201,regions!BC4:BC201)</f>
        <v>121466600</v>
      </c>
      <c r="E7" s="8">
        <f t="shared" si="0"/>
        <v>17996.256166373074</v>
      </c>
      <c r="F7" s="1">
        <f t="shared" si="1"/>
        <v>15.927593428975538</v>
      </c>
      <c r="G7">
        <f>SUMPRODUCT(regions!$Z4:$Z201,regions!BC4:BC201,regions!$B4:$B201)</f>
        <v>1934670620</v>
      </c>
      <c r="K7" s="1"/>
    </row>
    <row r="8" spans="1:32" ht="15" thickBot="1" x14ac:dyDescent="0.4">
      <c r="A8" t="s">
        <v>330</v>
      </c>
      <c r="B8">
        <v>-0.1</v>
      </c>
      <c r="C8">
        <f>SUMPRODUCT(regions!$C4:$C201,regions!BD4:BD201)</f>
        <v>6008575140299.5879</v>
      </c>
      <c r="D8">
        <f>SUMPRODUCT(regions!$B4:$B201,regions!BD4:BD201)</f>
        <v>165944806</v>
      </c>
      <c r="E8" s="8">
        <f t="shared" si="0"/>
        <v>36208.274818192185</v>
      </c>
      <c r="F8" s="1">
        <f t="shared" si="1"/>
        <v>7.69098275422974</v>
      </c>
      <c r="G8">
        <f>SUMPRODUCT(regions!$Z4:$Z201,regions!BD4:BD201,regions!$B4:$B201)</f>
        <v>1276278641.0999999</v>
      </c>
      <c r="K8" s="1"/>
      <c r="M8" s="2"/>
      <c r="N8" s="2"/>
      <c r="X8" s="2"/>
      <c r="Y8" s="2"/>
    </row>
    <row r="9" spans="1:32" x14ac:dyDescent="0.35">
      <c r="A9" t="s">
        <v>331</v>
      </c>
      <c r="B9">
        <v>-2.7</v>
      </c>
      <c r="C9">
        <f>SUMPRODUCT(regions!$C4:$C201,regions!BE4:BE201)</f>
        <v>232770704229.45807</v>
      </c>
      <c r="D9">
        <f>SUMPRODUCT(regions!$B4:$B201,regions!BE4:BE201)</f>
        <v>79254280</v>
      </c>
      <c r="E9" s="8">
        <f t="shared" si="0"/>
        <v>2937.0111523246196</v>
      </c>
      <c r="F9" s="1">
        <f t="shared" si="1"/>
        <v>19.904799160373422</v>
      </c>
      <c r="G9">
        <f>SUMPRODUCT(regions!$Z4:$Z201,regions!BE4:BE201,regions!$B4:$B201)</f>
        <v>1577540526</v>
      </c>
      <c r="K9" s="1"/>
    </row>
    <row r="10" spans="1:32" ht="15" thickBot="1" x14ac:dyDescent="0.4">
      <c r="A10" t="s">
        <v>332</v>
      </c>
      <c r="B10">
        <v>-0.8</v>
      </c>
      <c r="C10">
        <f>SUMPRODUCT(regions!$C4:$C201,regions!BF4:BF201)</f>
        <v>2218976571261.2632</v>
      </c>
      <c r="D10">
        <f>SUMPRODUCT(regions!$B4:$B201,regions!BF4:BF201)</f>
        <v>372291504</v>
      </c>
      <c r="E10" s="8">
        <f t="shared" si="0"/>
        <v>5960.3201991449778</v>
      </c>
      <c r="F10" s="1">
        <f t="shared" si="1"/>
        <v>18.886792936053677</v>
      </c>
      <c r="G10">
        <f>SUMPRODUCT(regions!$Z4:$Z201,regions!BF4:BF201,regions!$B4:$B201)</f>
        <v>7031392547.8999996</v>
      </c>
      <c r="K10" s="1"/>
    </row>
    <row r="11" spans="1:32" x14ac:dyDescent="0.35">
      <c r="A11" t="s">
        <v>104</v>
      </c>
      <c r="B11">
        <v>-1.5</v>
      </c>
      <c r="C11">
        <f>SUMPRODUCT(regions!$C4:$C201,regions!BG4:BG201)</f>
        <v>838699344666.90784</v>
      </c>
      <c r="D11">
        <f>SUMPRODUCT(regions!$B4:$B201,regions!BG4:BG201)</f>
        <v>844983418</v>
      </c>
      <c r="E11" s="8">
        <f t="shared" si="0"/>
        <v>992.56308088510661</v>
      </c>
      <c r="F11" s="1">
        <f t="shared" si="1"/>
        <v>24.202575129113367</v>
      </c>
      <c r="G11">
        <f>SUMPRODUCT(regions!$Z4:$Z201,regions!BG4:BG201,regions!$B4:$B201)</f>
        <v>20450774657.000004</v>
      </c>
      <c r="M11" s="3"/>
      <c r="N11" s="3"/>
      <c r="O11" s="3"/>
      <c r="P11" s="3"/>
      <c r="Q11" s="3"/>
      <c r="R11" s="3"/>
      <c r="X11" s="3"/>
      <c r="Y11" s="3"/>
      <c r="Z11" s="3"/>
      <c r="AA11" s="3"/>
      <c r="AB11" s="3"/>
      <c r="AC11" s="3"/>
    </row>
    <row r="12" spans="1:32" x14ac:dyDescent="0.35">
      <c r="A12" t="s">
        <v>333</v>
      </c>
      <c r="B12">
        <v>-3.4</v>
      </c>
      <c r="C12">
        <f>SUMPRODUCT(regions!$C4:$C201,regions!BH4:BH201)</f>
        <v>1510687716750.272</v>
      </c>
      <c r="D12">
        <f>SUMPRODUCT(regions!$B4:$B201,regions!BH4:BH201)</f>
        <v>1606602966</v>
      </c>
      <c r="E12" s="8">
        <f t="shared" si="0"/>
        <v>940.29934509051066</v>
      </c>
      <c r="F12" s="1">
        <f t="shared" si="1"/>
        <v>23.022256757242907</v>
      </c>
      <c r="G12">
        <f>SUMPRODUCT(regions!$Z4:$Z201,regions!BH4:BH201,regions!$B4:$B201)</f>
        <v>36987625990.199997</v>
      </c>
      <c r="K12" s="1"/>
    </row>
    <row r="13" spans="1:32" x14ac:dyDescent="0.35">
      <c r="A13" t="s">
        <v>65</v>
      </c>
      <c r="B13">
        <v>0.1</v>
      </c>
      <c r="C13">
        <f>SUMPRODUCT(regions!$C4:$C201,regions!BI4:BI201)</f>
        <v>3839284159376.0742</v>
      </c>
      <c r="D13">
        <f>SUMPRODUCT(regions!$B4:$B201,regions!BI4:BI201)</f>
        <v>1337705000</v>
      </c>
      <c r="E13" s="8">
        <f t="shared" si="0"/>
        <v>2870.0529334764196</v>
      </c>
      <c r="F13" s="1">
        <f t="shared" si="1"/>
        <v>6.9</v>
      </c>
      <c r="G13">
        <f>SUMPRODUCT(regions!$Z4:$Z201,regions!BI4:BI201,regions!$B4:$B201)</f>
        <v>9230164500</v>
      </c>
      <c r="K13" s="1"/>
    </row>
    <row r="14" spans="1:32" ht="15" thickBot="1" x14ac:dyDescent="0.4">
      <c r="A14" t="s">
        <v>334</v>
      </c>
      <c r="B14">
        <v>-2.8</v>
      </c>
      <c r="C14">
        <f>SUMPRODUCT(regions!$C4:$C201,regions!BJ4:BJ201)</f>
        <v>1433560407846.9143</v>
      </c>
      <c r="D14">
        <f>SUMPRODUCT(regions!$B4:$B201,regions!BJ4:BJ201)</f>
        <v>562765595</v>
      </c>
      <c r="E14" s="8">
        <f t="shared" si="0"/>
        <v>2547.3490571983425</v>
      </c>
      <c r="F14" s="1">
        <f t="shared" si="1"/>
        <v>25.441676073854516</v>
      </c>
      <c r="G14">
        <f>SUMPRODUCT(regions!$Z4:$Z201,regions!BJ4:BJ201,regions!$B4:$B201)</f>
        <v>14317699973.5</v>
      </c>
      <c r="K14" s="1"/>
      <c r="M14" s="2"/>
      <c r="N14" s="2"/>
      <c r="O14" s="2"/>
      <c r="P14" s="2"/>
      <c r="Q14" s="2"/>
      <c r="R14" s="2"/>
      <c r="X14" s="2"/>
      <c r="Y14" s="2"/>
      <c r="Z14" s="2"/>
      <c r="AA14" s="2"/>
      <c r="AB14" s="2"/>
      <c r="AC14" s="2"/>
    </row>
    <row r="15" spans="1:32" ht="15" thickBot="1" x14ac:dyDescent="0.4">
      <c r="A15" t="s">
        <v>335</v>
      </c>
      <c r="B15">
        <v>-0.7</v>
      </c>
      <c r="C15">
        <f>SUMPRODUCT(regions!$C4:$C201,regions!BK4:BK201)</f>
        <v>3407100317213.0459</v>
      </c>
      <c r="D15">
        <f>SUMPRODUCT(regions!$B4:$B201,regions!BK4:BK201)</f>
        <v>594687732</v>
      </c>
      <c r="E15" s="8">
        <f t="shared" si="0"/>
        <v>5729.2258337911126</v>
      </c>
      <c r="F15" s="1">
        <f t="shared" si="1"/>
        <v>22.455260979219261</v>
      </c>
      <c r="G15">
        <f>SUMPRODUCT(regions!$Z4:$Z201,regions!BK4:BK201,regions!$B4:$B201)</f>
        <v>13353868223.200001</v>
      </c>
      <c r="K15" s="1"/>
    </row>
    <row r="16" spans="1:32" x14ac:dyDescent="0.35">
      <c r="K16" s="1"/>
      <c r="M16" s="3"/>
      <c r="N16" s="3"/>
      <c r="O16" s="3"/>
      <c r="P16" s="3"/>
      <c r="Q16" s="3"/>
      <c r="R16" s="3"/>
      <c r="S16" s="3"/>
      <c r="T16" s="3"/>
      <c r="U16" s="3"/>
      <c r="X16" s="3"/>
      <c r="Y16" s="3"/>
      <c r="Z16" s="3"/>
      <c r="AA16" s="3"/>
      <c r="AB16" s="3"/>
      <c r="AC16" s="3"/>
      <c r="AD16" s="3"/>
      <c r="AE16" s="3"/>
      <c r="AF16" s="3"/>
    </row>
    <row r="18" spans="13:32" ht="15" thickBot="1" x14ac:dyDescent="0.4">
      <c r="X18" s="2"/>
      <c r="Y18" s="2"/>
      <c r="Z18" s="2"/>
      <c r="AA18" s="2"/>
      <c r="AB18" s="2"/>
      <c r="AC18" s="2"/>
      <c r="AD18" s="2"/>
      <c r="AE18" s="2"/>
      <c r="AF18" s="2"/>
    </row>
    <row r="19" spans="13:32" ht="15" thickBot="1" x14ac:dyDescent="0.4">
      <c r="M19" s="2"/>
      <c r="N19" s="2"/>
      <c r="O19" s="2"/>
      <c r="P19" s="2"/>
      <c r="Q19" s="2"/>
      <c r="R19" s="2"/>
      <c r="S19" s="2"/>
      <c r="T19" s="2"/>
      <c r="U19" s="2"/>
    </row>
    <row r="22" spans="13:32" ht="15" thickBot="1" x14ac:dyDescent="0.4"/>
    <row r="23" spans="13:32" x14ac:dyDescent="0.35">
      <c r="M23" s="4"/>
      <c r="N23" s="4"/>
      <c r="X23" s="4"/>
      <c r="Y23" s="4"/>
    </row>
    <row r="28" spans="13:32" ht="15" thickBot="1" x14ac:dyDescent="0.4">
      <c r="M28" s="2"/>
      <c r="N28" s="2"/>
      <c r="X28" s="2"/>
      <c r="Y28" s="2"/>
    </row>
    <row r="30" spans="13:32" ht="15" thickBot="1" x14ac:dyDescent="0.4"/>
    <row r="31" spans="13:32" x14ac:dyDescent="0.35">
      <c r="M31" s="3"/>
      <c r="N31" s="3"/>
      <c r="O31" s="3"/>
      <c r="P31" s="3"/>
      <c r="Q31" s="3"/>
      <c r="R31" s="3"/>
      <c r="X31" s="3"/>
      <c r="Y31" s="3"/>
      <c r="Z31" s="3"/>
      <c r="AA31" s="3"/>
      <c r="AB31" s="3"/>
      <c r="AC31" s="3"/>
    </row>
    <row r="34" spans="13:32" ht="15" thickBot="1" x14ac:dyDescent="0.4">
      <c r="M34" s="2"/>
      <c r="N34" s="2"/>
      <c r="O34" s="2"/>
      <c r="P34" s="2"/>
      <c r="Q34" s="2"/>
      <c r="R34" s="2"/>
      <c r="X34" s="2"/>
      <c r="Y34" s="2"/>
      <c r="Z34" s="2"/>
      <c r="AA34" s="2"/>
      <c r="AB34" s="2"/>
      <c r="AC34" s="2"/>
    </row>
    <row r="35" spans="13:32" ht="15" thickBot="1" x14ac:dyDescent="0.4"/>
    <row r="36" spans="13:32" x14ac:dyDescent="0.35">
      <c r="M36" s="3"/>
      <c r="N36" s="3"/>
      <c r="O36" s="3"/>
      <c r="P36" s="3"/>
      <c r="Q36" s="3"/>
      <c r="R36" s="3"/>
      <c r="S36" s="3"/>
      <c r="T36" s="3"/>
      <c r="U36" s="3"/>
      <c r="X36" s="3"/>
      <c r="Y36" s="3"/>
      <c r="Z36" s="3"/>
      <c r="AA36" s="3"/>
      <c r="AB36" s="3"/>
      <c r="AC36" s="3"/>
      <c r="AD36" s="3"/>
      <c r="AE36" s="3"/>
      <c r="AF36" s="3"/>
    </row>
    <row r="38" spans="13:32" ht="15" thickBot="1" x14ac:dyDescent="0.4">
      <c r="X38" s="2"/>
      <c r="Y38" s="2"/>
      <c r="Z38" s="2"/>
      <c r="AA38" s="2"/>
      <c r="AB38" s="2"/>
      <c r="AC38" s="2"/>
      <c r="AD38" s="2"/>
      <c r="AE38" s="2"/>
      <c r="AF38" s="2"/>
    </row>
    <row r="39" spans="13:32" ht="15" thickBot="1" x14ac:dyDescent="0.4">
      <c r="M39" s="2"/>
      <c r="N39" s="2"/>
      <c r="O39" s="2"/>
      <c r="P39" s="2"/>
      <c r="Q39" s="2"/>
      <c r="R39" s="2"/>
      <c r="S39" s="2"/>
      <c r="T39" s="2"/>
      <c r="U39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F9F4F-22C0-4CC1-AFB4-C5F30686379E}">
  <dimension ref="A1:G11"/>
  <sheetViews>
    <sheetView workbookViewId="0">
      <selection activeCell="B3" sqref="B3"/>
    </sheetView>
  </sheetViews>
  <sheetFormatPr defaultRowHeight="14.5" x14ac:dyDescent="0.35"/>
  <cols>
    <col min="3" max="4" width="12" bestFit="1" customWidth="1"/>
    <col min="7" max="7" width="11" bestFit="1" customWidth="1"/>
  </cols>
  <sheetData>
    <row r="1" spans="1:7" x14ac:dyDescent="0.35">
      <c r="C1" t="s">
        <v>72</v>
      </c>
      <c r="D1" t="s">
        <v>295</v>
      </c>
      <c r="F1" t="s">
        <v>503</v>
      </c>
    </row>
    <row r="2" spans="1:7" x14ac:dyDescent="0.35">
      <c r="A2" t="s">
        <v>64</v>
      </c>
      <c r="B2">
        <v>2.9847328244274798</v>
      </c>
      <c r="C2">
        <f>SUMPRODUCT(regions!$C3:$C200,regions!BN$3:BN$200)</f>
        <v>4648468621132.7568</v>
      </c>
      <c r="D2">
        <f>SUMPRODUCT(regions!$B3:$B200,regions!BN$3:BN$200)</f>
        <v>127450459</v>
      </c>
      <c r="E2" s="8">
        <f>C2/D2</f>
        <v>36472.749157637452</v>
      </c>
      <c r="F2" s="1">
        <f>G2/D2</f>
        <v>11.1</v>
      </c>
      <c r="G2">
        <f>SUMPRODUCT(regions!$Z4:$Z201,regions!BN4:BN201,regions!$B4:$B201)</f>
        <v>1414700094.8999999</v>
      </c>
    </row>
    <row r="3" spans="1:7" x14ac:dyDescent="0.35">
      <c r="A3" t="s">
        <v>66</v>
      </c>
      <c r="B3">
        <v>1.24427480916031</v>
      </c>
      <c r="C3">
        <f>SUMPRODUCT(regions!$C3:$C200,regions!BO$3:BO$200)</f>
        <v>13417478319501.602</v>
      </c>
      <c r="D3">
        <f>SUMPRODUCT(regions!$B3:$B200,regions!BO$3:BO$200)</f>
        <v>398806672</v>
      </c>
      <c r="E3" s="8">
        <f t="shared" ref="E3:E9" si="0">C3/D3</f>
        <v>33644.066816168015</v>
      </c>
      <c r="F3" s="1">
        <f t="shared" ref="F3:F9" si="1">G3/D3</f>
        <v>10.256838356254983</v>
      </c>
      <c r="G3">
        <f>SUMPRODUCT(regions!$Z4:$Z201,regions!BO4:BO201,regions!$B4:$B201)</f>
        <v>4090495570.0999999</v>
      </c>
    </row>
    <row r="4" spans="1:7" x14ac:dyDescent="0.35">
      <c r="A4" t="s">
        <v>1000</v>
      </c>
      <c r="B4">
        <v>1.12213740458015</v>
      </c>
      <c r="C4">
        <f>SUMPRODUCT(regions!$C3:$C200,regions!BP$3:BP$200)</f>
        <v>2920140407029.7119</v>
      </c>
      <c r="D4">
        <f>SUMPRODUCT(regions!$B3:$B200,regions!BP$3:BP$200)</f>
        <v>73669756</v>
      </c>
      <c r="E4" s="8">
        <f t="shared" si="0"/>
        <v>39638.252731958441</v>
      </c>
      <c r="F4" s="1">
        <f t="shared" si="1"/>
        <v>5.2897238671456988</v>
      </c>
      <c r="G4">
        <f>SUMPRODUCT(regions!$Z4:$Z201,regions!BP4:BP201,regions!$B4:$B201)</f>
        <v>389692666.60000002</v>
      </c>
    </row>
    <row r="5" spans="1:7" x14ac:dyDescent="0.35">
      <c r="A5" t="s">
        <v>1001</v>
      </c>
      <c r="B5">
        <v>-5.3435114503816598E-2</v>
      </c>
      <c r="C5">
        <f>SUMPRODUCT(regions!$C3:$C200,regions!BQ$3:BQ$200)</f>
        <v>2279703254143.5591</v>
      </c>
      <c r="D5">
        <f>SUMPRODUCT(regions!$B3:$B200,regions!BQ$3:BQ$200)</f>
        <v>406009039</v>
      </c>
      <c r="E5" s="8">
        <f t="shared" si="0"/>
        <v>5614.9076379148273</v>
      </c>
      <c r="F5" s="1">
        <f t="shared" si="1"/>
        <v>3.7617944220202451</v>
      </c>
      <c r="G5">
        <f>SUMPRODUCT(regions!$Z4:$Z201,regions!BQ4:BQ201,regions!$B4:$B201)</f>
        <v>1527322538.2</v>
      </c>
    </row>
    <row r="6" spans="1:7" x14ac:dyDescent="0.35">
      <c r="A6" t="s">
        <v>1002</v>
      </c>
      <c r="B6">
        <v>-0.84732824427480902</v>
      </c>
      <c r="C6">
        <f>SUMPRODUCT(regions!$C3:$C200,regions!BR$3:BR$200)</f>
        <v>5082959658841.8848</v>
      </c>
      <c r="D6">
        <f>SUMPRODUCT(regions!$B3:$B200,regions!BR$3:BR$200)</f>
        <v>2543329648</v>
      </c>
      <c r="E6" s="8">
        <f t="shared" si="0"/>
        <v>1998.5453568077482</v>
      </c>
      <c r="F6" s="1">
        <f t="shared" si="1"/>
        <v>14.863770682391699</v>
      </c>
      <c r="G6">
        <f>SUMPRODUCT(regions!$Z4:$Z201,regions!BR4:BR201,regions!$B4:$B201)</f>
        <v>37803468657.599998</v>
      </c>
    </row>
    <row r="7" spans="1:7" x14ac:dyDescent="0.35">
      <c r="A7" t="s">
        <v>63</v>
      </c>
      <c r="B7">
        <v>-1.03053435114504</v>
      </c>
      <c r="C7">
        <f>SUMPRODUCT(regions!$C3:$C200,regions!BS$3:BS$200)</f>
        <v>13595644353592.4</v>
      </c>
      <c r="D7">
        <f>SUMPRODUCT(regions!$B3:$B200,regions!BS$3:BS$200)</f>
        <v>309326225</v>
      </c>
      <c r="E7" s="8">
        <f t="shared" si="0"/>
        <v>43952.446494287382</v>
      </c>
      <c r="F7" s="1">
        <f t="shared" si="1"/>
        <v>8.5</v>
      </c>
      <c r="G7">
        <f>SUMPRODUCT(regions!$Z4:$Z201,regions!BS4:BS201,regions!$B4:$B201)</f>
        <v>2629272912.5</v>
      </c>
    </row>
    <row r="8" spans="1:7" x14ac:dyDescent="0.35">
      <c r="A8" t="s">
        <v>501</v>
      </c>
      <c r="B8">
        <v>-4.1297709923664101</v>
      </c>
      <c r="C8">
        <f>SUMPRODUCT(regions!$C3:$C200,regions!BT$3:BT$200)</f>
        <v>4897761213419.7012</v>
      </c>
      <c r="D8">
        <f>SUMPRODUCT(regions!$B3:$B200,regions!BT$3:BT$200)</f>
        <v>1204153155</v>
      </c>
      <c r="E8" s="8">
        <f t="shared" si="0"/>
        <v>4067.3905915395799</v>
      </c>
      <c r="F8" s="1">
        <f t="shared" si="1"/>
        <v>21.526095126080534</v>
      </c>
      <c r="G8">
        <f>SUMPRODUCT(regions!$Z4:$Z201,regions!BT4:BT201,regions!$B4:$B201)</f>
        <v>25920715360.899998</v>
      </c>
    </row>
    <row r="9" spans="1:7" x14ac:dyDescent="0.35">
      <c r="A9" t="s">
        <v>1003</v>
      </c>
      <c r="B9">
        <v>-4.8931297709923696</v>
      </c>
      <c r="C9">
        <f>SUMPRODUCT(regions!$C3:$C200,regions!BU$3:BU$200)</f>
        <v>4636680333684.7236</v>
      </c>
      <c r="D9">
        <f>SUMPRODUCT(regions!$B3:$B200,regions!BU$3:BU$200)</f>
        <v>1688897793</v>
      </c>
      <c r="E9" s="8">
        <f t="shared" si="0"/>
        <v>2745.3883549984148</v>
      </c>
      <c r="F9" s="1">
        <f t="shared" si="1"/>
        <v>23.579823726431975</v>
      </c>
      <c r="G9">
        <f>SUMPRODUCT(regions!$Z4:$Z201,regions!BU4:BU201,regions!$B4:$B201)</f>
        <v>39823912250.900002</v>
      </c>
    </row>
    <row r="11" spans="1:7" x14ac:dyDescent="0.35">
      <c r="A11" t="s">
        <v>298</v>
      </c>
      <c r="B11">
        <v>-1.35114503816794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A32A9-FC1E-45D4-A0E6-0AF702ACD81A}">
  <dimension ref="A1:I7"/>
  <sheetViews>
    <sheetView workbookViewId="0">
      <selection activeCell="H20" sqref="H20"/>
    </sheetView>
  </sheetViews>
  <sheetFormatPr defaultRowHeight="14.5" x14ac:dyDescent="0.35"/>
  <sheetData>
    <row r="1" spans="1:9" x14ac:dyDescent="0.35">
      <c r="A1" t="s">
        <v>711</v>
      </c>
    </row>
    <row r="2" spans="1:9" x14ac:dyDescent="0.35">
      <c r="C2" t="s">
        <v>597</v>
      </c>
      <c r="F2" t="s">
        <v>712</v>
      </c>
      <c r="G2" t="s">
        <v>713</v>
      </c>
    </row>
    <row r="3" spans="1:9" x14ac:dyDescent="0.35">
      <c r="A3">
        <v>18.645271873969701</v>
      </c>
      <c r="C3">
        <v>0.33750040102233902</v>
      </c>
      <c r="D3">
        <v>4.9999429982899501</v>
      </c>
      <c r="E3">
        <v>4.7982697902312097</v>
      </c>
      <c r="F3">
        <f>EXP(D3)</f>
        <v>148.40469953982091</v>
      </c>
      <c r="G3">
        <f t="shared" ref="G3:G7" si="0">EXP(E3)</f>
        <v>121.30036078084673</v>
      </c>
      <c r="H3">
        <f>C3*F3+(1-C3)*G3</f>
        <v>130.44808598144584</v>
      </c>
    </row>
    <row r="4" spans="1:9" x14ac:dyDescent="0.35">
      <c r="A4">
        <v>23.2940092553836</v>
      </c>
      <c r="B4">
        <f>A4-A$3</f>
        <v>4.6487373814138984</v>
      </c>
      <c r="C4">
        <v>0.35526344494230599</v>
      </c>
      <c r="D4">
        <v>4.9710621318639596</v>
      </c>
      <c r="E4">
        <v>4.8923020976879501</v>
      </c>
      <c r="F4">
        <f t="shared" ref="F4:F7" si="1">EXP(D4)</f>
        <v>144.17994418613446</v>
      </c>
      <c r="G4">
        <f t="shared" si="0"/>
        <v>133.25999874116729</v>
      </c>
      <c r="H4">
        <f>C4*F4+(1-C4)*G4</f>
        <v>137.13945617852838</v>
      </c>
      <c r="I4">
        <f>H4/H3-1</f>
        <v>5.1295273109904338E-2</v>
      </c>
    </row>
    <row r="5" spans="1:9" x14ac:dyDescent="0.35">
      <c r="A5">
        <v>27.943494924504801</v>
      </c>
      <c r="B5">
        <f>A5-A$3</f>
        <v>9.2982230505350998</v>
      </c>
      <c r="C5">
        <v>0.38881842777855002</v>
      </c>
      <c r="D5">
        <v>4.7328329849895496</v>
      </c>
      <c r="E5">
        <v>4.9501799111927696</v>
      </c>
      <c r="F5">
        <f t="shared" si="1"/>
        <v>113.61698204979962</v>
      </c>
      <c r="G5">
        <f t="shared" si="0"/>
        <v>141.20036516254044</v>
      </c>
      <c r="H5">
        <f>C5*F5+(1-C5)*G5</f>
        <v>130.47543750783115</v>
      </c>
      <c r="I5">
        <f>H5/H4-1</f>
        <v>-4.8593007850505132E-2</v>
      </c>
    </row>
    <row r="6" spans="1:9" x14ac:dyDescent="0.35">
      <c r="A6">
        <v>32.2514807912207</v>
      </c>
      <c r="B6">
        <f>A6-A$3</f>
        <v>13.606208917250999</v>
      </c>
      <c r="C6">
        <v>0.47072323042208902</v>
      </c>
      <c r="D6">
        <v>4.0685730571917196</v>
      </c>
      <c r="E6">
        <v>4.9067332720869699</v>
      </c>
      <c r="F6">
        <f t="shared" si="1"/>
        <v>58.473464742742749</v>
      </c>
      <c r="G6">
        <f t="shared" si="0"/>
        <v>135.19704029863624</v>
      </c>
      <c r="H6">
        <f>C6*F6+(1-C6)*G6</f>
        <v>99.081470963432849</v>
      </c>
      <c r="I6">
        <f>H6/H5-1</f>
        <v>-0.2406120810479293</v>
      </c>
    </row>
    <row r="7" spans="1:9" x14ac:dyDescent="0.35">
      <c r="A7">
        <v>35.327972163697297</v>
      </c>
      <c r="B7">
        <f>A7-A$3</f>
        <v>16.682700289727595</v>
      </c>
      <c r="C7">
        <v>0.81611703435959404</v>
      </c>
      <c r="D7">
        <v>1.086661599848</v>
      </c>
      <c r="E7">
        <v>4.61010947787475</v>
      </c>
      <c r="F7">
        <f t="shared" si="1"/>
        <v>2.964361311135665</v>
      </c>
      <c r="G7">
        <f t="shared" si="0"/>
        <v>100.4951510297312</v>
      </c>
      <c r="H7">
        <f>C7*F7+(1-C7)*G7</f>
        <v>20.898612165841826</v>
      </c>
      <c r="I7">
        <f>H7/H6-1</f>
        <v>-0.78907648460775581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U38"/>
  <sheetViews>
    <sheetView workbookViewId="0">
      <selection activeCell="C1" sqref="C1"/>
    </sheetView>
  </sheetViews>
  <sheetFormatPr defaultRowHeight="14.5" x14ac:dyDescent="0.35"/>
  <cols>
    <col min="1" max="1" width="17.81640625" customWidth="1"/>
    <col min="3" max="3" width="12" bestFit="1" customWidth="1"/>
    <col min="4" max="4" width="10" bestFit="1" customWidth="1"/>
  </cols>
  <sheetData>
    <row r="1" spans="1:21" x14ac:dyDescent="0.35">
      <c r="B1" t="s">
        <v>87</v>
      </c>
      <c r="C1" t="s">
        <v>72</v>
      </c>
      <c r="D1" t="s">
        <v>295</v>
      </c>
      <c r="F1" t="s">
        <v>503</v>
      </c>
    </row>
    <row r="2" spans="1:21" ht="15" thickBot="1" x14ac:dyDescent="0.4">
      <c r="A2" t="s">
        <v>63</v>
      </c>
      <c r="B2">
        <v>0.45</v>
      </c>
      <c r="C2">
        <f>SUMPRODUCT(regions!$C4:$C201,regions!BX4:BX201)</f>
        <v>13595644353592.4</v>
      </c>
      <c r="D2">
        <f>SUMPRODUCT(regions!$B4:$B201,regions!BX4:BX201)</f>
        <v>309326225</v>
      </c>
      <c r="E2" s="8">
        <f>C2/D2</f>
        <v>43952.446494287382</v>
      </c>
      <c r="F2" s="1">
        <f>G2/D2</f>
        <v>8.5</v>
      </c>
      <c r="G2">
        <f>SUMPRODUCT(regions!$Z4:$Z201,regions!BX4:BX201,regions!$B4:$B201)</f>
        <v>2629272912.5</v>
      </c>
      <c r="K2" s="1"/>
    </row>
    <row r="3" spans="1:21" x14ac:dyDescent="0.35">
      <c r="A3" t="s">
        <v>65</v>
      </c>
      <c r="B3">
        <v>0.22</v>
      </c>
      <c r="C3">
        <f>SUMPRODUCT(regions!$C4:$C201,regions!BY4:BY201)</f>
        <v>3839284159376.0742</v>
      </c>
      <c r="D3">
        <f>SUMPRODUCT(regions!$B4:$B201,regions!BY4:BY201)</f>
        <v>1337705000</v>
      </c>
      <c r="E3" s="8">
        <f t="shared" ref="E3:E14" si="0">C3/D3</f>
        <v>2870.0529334764196</v>
      </c>
      <c r="F3" s="1">
        <f t="shared" ref="F3:F14" si="1">G3/D3</f>
        <v>6.9</v>
      </c>
      <c r="G3">
        <f>SUMPRODUCT(regions!$Z4:$Z201,regions!BY4:BY201,regions!$B4:$B201)</f>
        <v>9230164500</v>
      </c>
      <c r="K3" s="1"/>
      <c r="M3" s="4"/>
      <c r="N3" s="4"/>
    </row>
    <row r="4" spans="1:21" x14ac:dyDescent="0.35">
      <c r="A4" t="s">
        <v>64</v>
      </c>
      <c r="B4">
        <v>0.5</v>
      </c>
      <c r="C4">
        <f>SUMPRODUCT(regions!$C4:$C201,regions!BZ4:BZ201)</f>
        <v>4648468621132.7568</v>
      </c>
      <c r="D4">
        <f>SUMPRODUCT(regions!$B4:$B201,regions!BZ4:BZ201)</f>
        <v>127450459</v>
      </c>
      <c r="E4" s="8">
        <f t="shared" si="0"/>
        <v>36472.749157637452</v>
      </c>
      <c r="F4" s="1">
        <f t="shared" si="1"/>
        <v>11.1</v>
      </c>
      <c r="G4">
        <f>SUMPRODUCT(regions!$Z4:$Z201,regions!BZ4:BZ201,regions!$B4:$B201)</f>
        <v>1414700094.8999999</v>
      </c>
      <c r="K4" s="1"/>
    </row>
    <row r="5" spans="1:21" x14ac:dyDescent="0.35">
      <c r="A5" t="s">
        <v>300</v>
      </c>
      <c r="B5">
        <v>2.83</v>
      </c>
      <c r="C5">
        <f>SUMPRODUCT(regions!$C4:$C201,regions!CA4:CA201)</f>
        <v>14197044314997.135</v>
      </c>
      <c r="D5">
        <f>SUMPRODUCT(regions!$B4:$B201,regions!CA4:CA201)</f>
        <v>412154180</v>
      </c>
      <c r="E5" s="8">
        <f t="shared" si="0"/>
        <v>34445.954945785423</v>
      </c>
      <c r="F5" s="1">
        <f t="shared" si="1"/>
        <v>10.055749414211935</v>
      </c>
      <c r="G5">
        <f>SUMPRODUCT(regions!$Z4:$Z201,regions!CA4:CA201,regions!$B4:$B201)</f>
        <v>4144519154.1000004</v>
      </c>
      <c r="K5" s="1"/>
    </row>
    <row r="6" spans="1:21" x14ac:dyDescent="0.35">
      <c r="A6" t="s">
        <v>233</v>
      </c>
      <c r="B6">
        <v>-0.65</v>
      </c>
      <c r="C6">
        <f>SUMPRODUCT(regions!$C4:$C201,regions!CB4:CB201)</f>
        <v>909241662711.50525</v>
      </c>
      <c r="D6">
        <f>SUMPRODUCT(regions!$B4:$B201,regions!CB4:CB201)</f>
        <v>142389000</v>
      </c>
      <c r="E6" s="8">
        <f t="shared" si="0"/>
        <v>6385.6173068952321</v>
      </c>
      <c r="F6" s="1">
        <f t="shared" si="1"/>
        <v>-5.0999999999999996</v>
      </c>
      <c r="G6">
        <f>SUMPRODUCT(regions!$Z4:$Z201,regions!CB4:CB201,regions!$B4:$B201)</f>
        <v>-726183900</v>
      </c>
      <c r="K6" s="1"/>
    </row>
    <row r="7" spans="1:21" x14ac:dyDescent="0.35">
      <c r="A7" t="s">
        <v>152</v>
      </c>
      <c r="B7">
        <v>4.93</v>
      </c>
      <c r="C7">
        <f>SUMPRODUCT(regions!$C4:$C201,regions!CC4:CC201)</f>
        <v>1243675499465.8105</v>
      </c>
      <c r="D7">
        <f>SUMPRODUCT(regions!$B4:$B201,regions!CC4:CC201)</f>
        <v>1205624648</v>
      </c>
      <c r="E7" s="8">
        <f t="shared" si="0"/>
        <v>1031.5611094455749</v>
      </c>
      <c r="F7" s="1">
        <f t="shared" si="1"/>
        <v>23.7</v>
      </c>
      <c r="G7">
        <f>SUMPRODUCT(regions!$Z4:$Z201,regions!CC4:CC201,regions!$B4:$B201)</f>
        <v>28573304157.599998</v>
      </c>
      <c r="K7" s="1"/>
    </row>
    <row r="8" spans="1:21" ht="15" thickBot="1" x14ac:dyDescent="0.4">
      <c r="A8" t="s">
        <v>301</v>
      </c>
      <c r="B8">
        <v>-0.39</v>
      </c>
      <c r="C8">
        <f>SUMPRODUCT(regions!$C4:$C201,regions!CD4:CD201)</f>
        <v>2735626228166.8091</v>
      </c>
      <c r="D8">
        <f>SUMPRODUCT(regions!$B4:$B201,regions!CD4:CD201)</f>
        <v>80709769</v>
      </c>
      <c r="E8" s="8">
        <f t="shared" si="0"/>
        <v>33894.611049708357</v>
      </c>
      <c r="F8" s="1">
        <f t="shared" si="1"/>
        <v>9.767886435160035</v>
      </c>
      <c r="G8">
        <f>SUMPRODUCT(regions!$Z4:$Z201,regions!CD4:CD201,regions!$B4:$B201)</f>
        <v>788363857.79999995</v>
      </c>
      <c r="K8" s="1"/>
      <c r="M8" s="2"/>
      <c r="N8" s="2"/>
    </row>
    <row r="9" spans="1:21" x14ac:dyDescent="0.35">
      <c r="A9" t="s">
        <v>302</v>
      </c>
      <c r="B9">
        <v>1.95</v>
      </c>
      <c r="C9">
        <f>SUMPRODUCT(regions!$C4:$C201,regions!CE4:CE201)</f>
        <v>955656763907.10767</v>
      </c>
      <c r="D9">
        <f>SUMPRODUCT(regions!$B4:$B201,regions!CE4:CE201)</f>
        <v>50936679</v>
      </c>
      <c r="E9" s="8">
        <f t="shared" si="0"/>
        <v>18761.66217878295</v>
      </c>
      <c r="F9" s="1">
        <f t="shared" si="1"/>
        <v>24.930649632654696</v>
      </c>
      <c r="G9">
        <f>SUMPRODUCT(regions!$Z4:$Z201,regions!CE4:CE201,regions!$B4:$B201)</f>
        <v>1269884497.6000001</v>
      </c>
      <c r="K9" s="1"/>
    </row>
    <row r="10" spans="1:21" ht="15" thickBot="1" x14ac:dyDescent="0.4">
      <c r="A10" t="s">
        <v>303</v>
      </c>
      <c r="B10">
        <v>0.71</v>
      </c>
      <c r="C10">
        <f>SUMPRODUCT(regions!$C4:$C201,regions!CF4:CF201)</f>
        <v>1199020117528.2407</v>
      </c>
      <c r="D10">
        <f>SUMPRODUCT(regions!$B4:$B201,regions!CF4:CF201)</f>
        <v>180996360</v>
      </c>
      <c r="E10" s="8">
        <f t="shared" si="0"/>
        <v>6624.553761900188</v>
      </c>
      <c r="F10" s="1">
        <f t="shared" si="1"/>
        <v>8.3581885420237185</v>
      </c>
      <c r="G10">
        <f>SUMPRODUCT(regions!$Z4:$Z201,regions!CF4:CF201,regions!$B4:$B201)</f>
        <v>1512801702.3000002</v>
      </c>
      <c r="K10" s="1"/>
    </row>
    <row r="11" spans="1:21" x14ac:dyDescent="0.35">
      <c r="A11" t="s">
        <v>304</v>
      </c>
      <c r="B11">
        <v>2.44</v>
      </c>
      <c r="C11">
        <f>SUMPRODUCT(regions!$C4:$C201,regions!CG4:CG201)</f>
        <v>2865823417826.8203</v>
      </c>
      <c r="D11">
        <f>SUMPRODUCT(regions!$B4:$B201,regions!CG4:CG201)</f>
        <v>344674799</v>
      </c>
      <c r="E11" s="8">
        <f t="shared" si="0"/>
        <v>8314.5719563524581</v>
      </c>
      <c r="F11" s="1">
        <f t="shared" si="1"/>
        <v>21.297175616543985</v>
      </c>
      <c r="G11">
        <f>SUMPRODUCT(regions!$Z4:$Z201,regions!CG4:CG201,regions!$B4:$B201)</f>
        <v>7340599724.8999996</v>
      </c>
      <c r="K11" s="1"/>
      <c r="M11" s="3"/>
      <c r="N11" s="3"/>
      <c r="O11" s="3"/>
      <c r="P11" s="3"/>
      <c r="Q11" s="3"/>
      <c r="R11" s="3"/>
    </row>
    <row r="12" spans="1:21" x14ac:dyDescent="0.35">
      <c r="A12" t="s">
        <v>305</v>
      </c>
      <c r="B12">
        <v>1.81</v>
      </c>
      <c r="C12">
        <f>SUMPRODUCT(regions!$C4:$C201,regions!CH4:CH201)</f>
        <v>3488946696410.5625</v>
      </c>
      <c r="D12">
        <f>SUMPRODUCT(regions!$B4:$B201,regions!CH4:CH201)</f>
        <v>679170852</v>
      </c>
      <c r="E12" s="8">
        <f t="shared" si="0"/>
        <v>5137.067773353976</v>
      </c>
      <c r="F12" s="1">
        <f t="shared" si="1"/>
        <v>19.644359250417303</v>
      </c>
      <c r="G12">
        <f>SUMPRODUCT(regions!$Z4:$Z201,regions!CH4:CH201,regions!$B4:$B201)</f>
        <v>13341876209.1</v>
      </c>
      <c r="K12" s="1"/>
    </row>
    <row r="13" spans="1:21" x14ac:dyDescent="0.35">
      <c r="A13" t="s">
        <v>306</v>
      </c>
      <c r="B13">
        <v>3.91</v>
      </c>
      <c r="C13">
        <f>SUMPRODUCT(regions!$C4:$C201,regions!CI4:CI201)</f>
        <v>519794828560.33118</v>
      </c>
      <c r="D13">
        <f>SUMPRODUCT(regions!$B4:$B201,regions!CI4:CI201)</f>
        <v>783491763</v>
      </c>
      <c r="E13" s="8">
        <f t="shared" si="0"/>
        <v>663.43368636069658</v>
      </c>
      <c r="F13" s="1">
        <f t="shared" si="1"/>
        <v>24.601219506502975</v>
      </c>
      <c r="G13">
        <f>SUMPRODUCT(regions!$Z4:$Z201,regions!CI4:CI201,regions!$B4:$B201)</f>
        <v>19274852843.100006</v>
      </c>
    </row>
    <row r="14" spans="1:21" ht="15" thickBot="1" x14ac:dyDescent="0.4">
      <c r="A14" t="s">
        <v>307</v>
      </c>
      <c r="B14">
        <v>2.64</v>
      </c>
      <c r="C14">
        <f>SUMPRODUCT(regions!$C4:$C201,regions!CJ4:CJ201)</f>
        <v>1285205291817.2422</v>
      </c>
      <c r="D14">
        <f>SUMPRODUCT(regions!$B4:$B201,regions!CJ4:CJ201)</f>
        <v>1109883492</v>
      </c>
      <c r="E14" s="8">
        <f t="shared" si="0"/>
        <v>1157.9641476614036</v>
      </c>
      <c r="F14" s="1">
        <f t="shared" si="1"/>
        <v>22.344590698264032</v>
      </c>
      <c r="G14">
        <f>SUMPRODUCT(regions!$Z4:$Z201,regions!CJ4:CJ201,regions!$B4:$B201)</f>
        <v>24799892351.5</v>
      </c>
      <c r="M14" s="2"/>
      <c r="N14" s="2"/>
      <c r="O14" s="2"/>
      <c r="P14" s="2"/>
      <c r="Q14" s="2"/>
      <c r="R14" s="2"/>
    </row>
    <row r="15" spans="1:21" ht="15" thickBot="1" x14ac:dyDescent="0.4"/>
    <row r="16" spans="1:21" x14ac:dyDescent="0.35">
      <c r="M16" s="3"/>
      <c r="N16" s="3"/>
      <c r="O16" s="3"/>
      <c r="P16" s="3"/>
      <c r="Q16" s="3"/>
      <c r="R16" s="3"/>
      <c r="S16" s="3"/>
      <c r="T16" s="3"/>
      <c r="U16" s="3"/>
    </row>
    <row r="19" spans="13:21" ht="15" thickBot="1" x14ac:dyDescent="0.4">
      <c r="M19" s="2"/>
      <c r="N19" s="2"/>
      <c r="O19" s="2"/>
      <c r="P19" s="2"/>
      <c r="Q19" s="2"/>
      <c r="R19" s="2"/>
      <c r="S19" s="2"/>
      <c r="T19" s="2"/>
      <c r="U19" s="2"/>
    </row>
    <row r="22" spans="13:21" ht="15" thickBot="1" x14ac:dyDescent="0.4"/>
    <row r="23" spans="13:21" x14ac:dyDescent="0.35">
      <c r="M23" s="4"/>
      <c r="N23" s="4"/>
    </row>
    <row r="28" spans="13:21" ht="15" thickBot="1" x14ac:dyDescent="0.4">
      <c r="M28" s="2"/>
      <c r="N28" s="2"/>
    </row>
    <row r="30" spans="13:21" ht="15" thickBot="1" x14ac:dyDescent="0.4"/>
    <row r="31" spans="13:21" x14ac:dyDescent="0.35">
      <c r="M31" s="3"/>
      <c r="N31" s="3"/>
      <c r="O31" s="3"/>
      <c r="P31" s="3"/>
      <c r="Q31" s="3"/>
      <c r="R31" s="3"/>
    </row>
    <row r="34" spans="13:21" ht="15" thickBot="1" x14ac:dyDescent="0.4">
      <c r="M34" s="2"/>
      <c r="N34" s="2"/>
      <c r="O34" s="2"/>
      <c r="P34" s="2"/>
      <c r="Q34" s="2"/>
      <c r="R34" s="2"/>
    </row>
    <row r="35" spans="13:21" ht="15" thickBot="1" x14ac:dyDescent="0.4"/>
    <row r="36" spans="13:21" x14ac:dyDescent="0.35">
      <c r="M36" s="3"/>
      <c r="N36" s="3"/>
      <c r="O36" s="3"/>
      <c r="P36" s="3"/>
      <c r="Q36" s="3"/>
      <c r="R36" s="3"/>
      <c r="S36" s="3"/>
      <c r="T36" s="3"/>
      <c r="U36" s="3"/>
    </row>
    <row r="38" spans="13:21" ht="15" thickBot="1" x14ac:dyDescent="0.4">
      <c r="M38" s="2"/>
      <c r="N38" s="2"/>
      <c r="O38" s="2"/>
      <c r="P38" s="2"/>
      <c r="Q38" s="2"/>
      <c r="R38" s="2"/>
      <c r="S38" s="2"/>
      <c r="T38" s="2"/>
      <c r="U38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U38"/>
  <sheetViews>
    <sheetView workbookViewId="0"/>
  </sheetViews>
  <sheetFormatPr defaultRowHeight="14.5" x14ac:dyDescent="0.35"/>
  <cols>
    <col min="3" max="3" width="12" bestFit="1" customWidth="1"/>
    <col min="4" max="4" width="10" bestFit="1" customWidth="1"/>
    <col min="7" max="7" width="11" bestFit="1" customWidth="1"/>
  </cols>
  <sheetData>
    <row r="1" spans="1:21" x14ac:dyDescent="0.35">
      <c r="C1" t="s">
        <v>72</v>
      </c>
      <c r="D1" t="s">
        <v>295</v>
      </c>
      <c r="F1" t="s">
        <v>503</v>
      </c>
    </row>
    <row r="2" spans="1:21" ht="15" thickBot="1" x14ac:dyDescent="0.4">
      <c r="A2" t="s">
        <v>308</v>
      </c>
      <c r="B2">
        <v>1.5</v>
      </c>
      <c r="C2">
        <f>SUMPRODUCT(regions!$C4:$C201,regions!CM4:CM201)</f>
        <v>14835708393399.66</v>
      </c>
      <c r="D2">
        <f>SUMPRODUCT(regions!$B4:$B201,regions!CM4:CM201)</f>
        <v>343452772</v>
      </c>
      <c r="E2" s="8">
        <f>C2/D2</f>
        <v>43195.774216664817</v>
      </c>
      <c r="F2" s="1">
        <f>G2/D2</f>
        <v>7.1188523081712081</v>
      </c>
      <c r="G2">
        <f>SUMPRODUCT(regions!$Z4:$Z201,regions!CM4:CM201,regions!$B4:$B201)</f>
        <v>2444989558.6999998</v>
      </c>
      <c r="I2">
        <f>LN(B2)</f>
        <v>0.40546510810816438</v>
      </c>
      <c r="J2">
        <f>LN(E2)</f>
        <v>10.673497950388921</v>
      </c>
      <c r="K2" s="1">
        <f>F2</f>
        <v>7.1188523081712081</v>
      </c>
    </row>
    <row r="3" spans="1:21" x14ac:dyDescent="0.35">
      <c r="A3" t="s">
        <v>309</v>
      </c>
      <c r="B3">
        <v>1.3</v>
      </c>
      <c r="C3">
        <f>SUMPRODUCT(regions!$C4:$C201,regions!CN4:CN201)</f>
        <v>14391914850298.887</v>
      </c>
      <c r="D3">
        <f>SUMPRODUCT(regions!$B4:$B201,regions!CN4:CN201)</f>
        <v>421297460</v>
      </c>
      <c r="E3" s="8">
        <f t="shared" ref="E3:E10" si="0">C3/D3</f>
        <v>34160.934296396867</v>
      </c>
      <c r="F3" s="1">
        <f t="shared" ref="F3:F10" si="1">G3/D3</f>
        <v>10.252108289710554</v>
      </c>
      <c r="G3">
        <f>SUMPRODUCT(regions!$Z4:$Z201,regions!CN4:CN201,regions!$B4:$B201)</f>
        <v>4319187182.1000004</v>
      </c>
      <c r="I3">
        <f>LN(B3)</f>
        <v>0.26236426446749106</v>
      </c>
      <c r="J3">
        <f>LN(E3)</f>
        <v>10.438837998125583</v>
      </c>
      <c r="K3" s="1">
        <f>F3</f>
        <v>10.252108289710554</v>
      </c>
      <c r="M3" s="4"/>
      <c r="N3" s="4"/>
    </row>
    <row r="4" spans="1:21" x14ac:dyDescent="0.35">
      <c r="A4" t="s">
        <v>310</v>
      </c>
      <c r="B4">
        <v>2.8</v>
      </c>
      <c r="C4">
        <f>SUMPRODUCT(regions!$C4:$C201,regions!CO4:CO201)</f>
        <v>5565953364693.3477</v>
      </c>
      <c r="D4">
        <f>SUMPRODUCT(regions!$B4:$B201,regions!CO4:CO201)</f>
        <v>153883559</v>
      </c>
      <c r="E4" s="8">
        <f t="shared" si="0"/>
        <v>36169.902755455165</v>
      </c>
      <c r="F4" s="1">
        <f t="shared" si="1"/>
        <v>12.588560386103364</v>
      </c>
      <c r="G4">
        <f>SUMPRODUCT(regions!$Z4:$Z201,regions!CO4:CO201,regions!$B4:$B201)</f>
        <v>1937172474.8999999</v>
      </c>
      <c r="I4">
        <f>LN(B4)</f>
        <v>1.0296194171811581</v>
      </c>
      <c r="J4">
        <f>LN(E4)</f>
        <v>10.495982636401063</v>
      </c>
      <c r="K4" s="1">
        <f>F4</f>
        <v>12.588560386103364</v>
      </c>
    </row>
    <row r="5" spans="1:21" x14ac:dyDescent="0.35">
      <c r="A5" t="s">
        <v>311</v>
      </c>
      <c r="B5">
        <v>-0.3</v>
      </c>
      <c r="C5">
        <f>SUMPRODUCT(regions!$C4:$C201,regions!CP4:CP201)</f>
        <v>2291249317566.1226</v>
      </c>
      <c r="D5">
        <f>SUMPRODUCT(regions!$B4:$B201,regions!CP4:CP201)</f>
        <v>413630243</v>
      </c>
      <c r="E5" s="8">
        <f t="shared" si="0"/>
        <v>5539.3660312360735</v>
      </c>
      <c r="F5" s="1">
        <f t="shared" si="1"/>
        <v>4.1254740461518917</v>
      </c>
      <c r="G5">
        <f>SUMPRODUCT(regions!$Z4:$Z201,regions!CP4:CP201,regions!$B4:$B201)</f>
        <v>1706420832.2</v>
      </c>
      <c r="I5">
        <f>LN(B6)</f>
        <v>1.410986973710262</v>
      </c>
      <c r="J5">
        <f>LN(E6)</f>
        <v>8.8068098744184216</v>
      </c>
      <c r="K5" s="1">
        <f>F6</f>
        <v>17.921342237140866</v>
      </c>
    </row>
    <row r="6" spans="1:21" x14ac:dyDescent="0.35">
      <c r="A6" t="s">
        <v>97</v>
      </c>
      <c r="B6">
        <v>4.0999999999999996</v>
      </c>
      <c r="C6">
        <f>SUMPRODUCT(regions!$C4:$C201,regions!CQ4:CQ201)</f>
        <v>1873965802744.042</v>
      </c>
      <c r="D6">
        <f>SUMPRODUCT(regions!$B4:$B201,regions!CQ4:CQ201)</f>
        <v>280551587</v>
      </c>
      <c r="E6" s="8">
        <f t="shared" si="0"/>
        <v>6679.5765541117471</v>
      </c>
      <c r="F6" s="1">
        <f t="shared" si="1"/>
        <v>17.921342237140866</v>
      </c>
      <c r="G6">
        <f>SUMPRODUCT(regions!$Z4:$Z201,regions!CQ4:CQ201,regions!$B4:$B201)</f>
        <v>5027861005.8000002</v>
      </c>
      <c r="I6">
        <f>LN(B7)</f>
        <v>1.4586150226995167</v>
      </c>
      <c r="J6">
        <f>LN(E7)</f>
        <v>8.6628394125422066</v>
      </c>
      <c r="K6" s="1">
        <f>F7</f>
        <v>22.441698343939652</v>
      </c>
    </row>
    <row r="7" spans="1:21" x14ac:dyDescent="0.35">
      <c r="A7" t="s">
        <v>312</v>
      </c>
      <c r="B7">
        <v>4.3</v>
      </c>
      <c r="C7">
        <f>SUMPRODUCT(regions!$C4:$C201,regions!CR4:CR201)</f>
        <v>3395554253790.4824</v>
      </c>
      <c r="D7">
        <f>SUMPRODUCT(regions!$B4:$B201,regions!CR4:CR201)</f>
        <v>587066528</v>
      </c>
      <c r="E7" s="8">
        <f t="shared" si="0"/>
        <v>5783.9343444742981</v>
      </c>
      <c r="F7" s="1">
        <f t="shared" si="1"/>
        <v>22.441698343939652</v>
      </c>
      <c r="G7">
        <f>SUMPRODUCT(regions!$Z4:$Z201,regions!CR4:CR201,regions!$B4:$B201)</f>
        <v>13174769929.200001</v>
      </c>
      <c r="I7">
        <f>LN(B8)</f>
        <v>2.1517622032594619</v>
      </c>
      <c r="J7">
        <f>LN(E8)</f>
        <v>7.4501085272257264</v>
      </c>
      <c r="K7" s="1">
        <f>F8</f>
        <v>23.411200932455088</v>
      </c>
    </row>
    <row r="8" spans="1:21" ht="15" thickBot="1" x14ac:dyDescent="0.4">
      <c r="A8" t="s">
        <v>313</v>
      </c>
      <c r="B8">
        <v>8.6</v>
      </c>
      <c r="C8">
        <f>SUMPRODUCT(regions!$C4:$C201,regions!CS4:CS201)</f>
        <v>3798742035009.1792</v>
      </c>
      <c r="D8">
        <f>SUMPRODUCT(regions!$B4:$B201,regions!CS4:CS201)</f>
        <v>2208506997</v>
      </c>
      <c r="E8" s="8">
        <f t="shared" si="0"/>
        <v>1720.0498074804964</v>
      </c>
      <c r="F8" s="1">
        <f t="shared" si="1"/>
        <v>23.411200932455088</v>
      </c>
      <c r="G8">
        <f>SUMPRODUCT(regions!$Z4:$Z201,regions!CS4:CS201,regions!$B4:$B201)</f>
        <v>51703801067.499985</v>
      </c>
      <c r="I8">
        <f>LN(B9)</f>
        <v>1.6486586255873816</v>
      </c>
      <c r="J8">
        <f>LN(E9)</f>
        <v>8.0161002908138119</v>
      </c>
      <c r="K8" s="1">
        <f>F9</f>
        <v>6.97334408270914</v>
      </c>
      <c r="M8" s="2"/>
      <c r="N8" s="2"/>
    </row>
    <row r="9" spans="1:21" x14ac:dyDescent="0.35">
      <c r="A9" t="s">
        <v>65</v>
      </c>
      <c r="B9">
        <v>5.2</v>
      </c>
      <c r="C9">
        <f>SUMPRODUCT(regions!$C4:$C201,regions!CT4:CT201)</f>
        <v>4083480295517.6025</v>
      </c>
      <c r="D9">
        <f>SUMPRODUCT(regions!$B4:$B201,regions!CT4:CT201)</f>
        <v>1347976564</v>
      </c>
      <c r="E9" s="8">
        <f t="shared" si="0"/>
        <v>3029.340720435257</v>
      </c>
      <c r="F9" s="1">
        <f t="shared" si="1"/>
        <v>6.97334408270914</v>
      </c>
      <c r="G9">
        <f>SUMPRODUCT(regions!$Z4:$Z201,regions!CT4:CT201,regions!$B4:$B201)</f>
        <v>9399904396.1999989</v>
      </c>
      <c r="I9">
        <f>LN(B10)</f>
        <v>2.1633230256605378</v>
      </c>
      <c r="J9">
        <f>LN(E10)</f>
        <v>7.1205535882161088</v>
      </c>
      <c r="K9" s="1">
        <f>F10</f>
        <v>23.687587146762144</v>
      </c>
    </row>
    <row r="10" spans="1:21" ht="15" thickBot="1" x14ac:dyDescent="0.4">
      <c r="A10" t="s">
        <v>306</v>
      </c>
      <c r="B10">
        <v>8.6999999999999993</v>
      </c>
      <c r="C10">
        <f>SUMPRODUCT(regions!$C4:$C201,regions!CU4:CU201)</f>
        <v>1247470152595.4575</v>
      </c>
      <c r="D10">
        <f>SUMPRODUCT(regions!$B4:$B201,regions!CU4:CU201)</f>
        <v>1008354015</v>
      </c>
      <c r="E10" s="8">
        <f t="shared" si="0"/>
        <v>1237.1351073516155</v>
      </c>
      <c r="F10" s="1">
        <f t="shared" si="1"/>
        <v>23.687587146762144</v>
      </c>
      <c r="G10">
        <f>SUMPRODUCT(regions!$Z4:$Z201,regions!CU4:CU201,regions!$B4:$B201)</f>
        <v>23885473605.100002</v>
      </c>
    </row>
    <row r="11" spans="1:21" x14ac:dyDescent="0.35">
      <c r="M11" s="3"/>
      <c r="N11" s="3"/>
      <c r="O11" s="3"/>
      <c r="P11" s="3"/>
      <c r="Q11" s="3"/>
      <c r="R11" s="3"/>
    </row>
    <row r="14" spans="1:21" ht="15" thickBot="1" x14ac:dyDescent="0.4">
      <c r="M14" s="2"/>
      <c r="N14" s="2"/>
      <c r="O14" s="2"/>
      <c r="P14" s="2"/>
      <c r="Q14" s="2"/>
      <c r="R14" s="2"/>
    </row>
    <row r="15" spans="1:21" ht="15" thickBot="1" x14ac:dyDescent="0.4"/>
    <row r="16" spans="1:21" x14ac:dyDescent="0.35">
      <c r="M16" s="3"/>
      <c r="N16" s="3"/>
      <c r="O16" s="3"/>
      <c r="P16" s="3"/>
      <c r="Q16" s="3"/>
      <c r="R16" s="3"/>
      <c r="S16" s="3"/>
      <c r="T16" s="3"/>
      <c r="U16" s="3"/>
    </row>
    <row r="19" spans="13:21" ht="15" thickBot="1" x14ac:dyDescent="0.4">
      <c r="M19" s="2"/>
      <c r="N19" s="2"/>
      <c r="O19" s="2"/>
      <c r="P19" s="2"/>
      <c r="Q19" s="2"/>
      <c r="R19" s="2"/>
      <c r="S19" s="2"/>
      <c r="T19" s="2"/>
      <c r="U19" s="2"/>
    </row>
    <row r="22" spans="13:21" ht="15" thickBot="1" x14ac:dyDescent="0.4"/>
    <row r="23" spans="13:21" x14ac:dyDescent="0.35">
      <c r="M23" s="4"/>
      <c r="N23" s="4"/>
    </row>
    <row r="28" spans="13:21" ht="15" thickBot="1" x14ac:dyDescent="0.4">
      <c r="M28" s="2"/>
      <c r="N28" s="2"/>
    </row>
    <row r="30" spans="13:21" ht="15" thickBot="1" x14ac:dyDescent="0.4"/>
    <row r="31" spans="13:21" x14ac:dyDescent="0.35">
      <c r="M31" s="3"/>
      <c r="N31" s="3"/>
      <c r="O31" s="3"/>
      <c r="P31" s="3"/>
      <c r="Q31" s="3"/>
      <c r="R31" s="3"/>
    </row>
    <row r="34" spans="13:21" ht="15" thickBot="1" x14ac:dyDescent="0.4">
      <c r="M34" s="2"/>
      <c r="N34" s="2"/>
      <c r="O34" s="2"/>
      <c r="P34" s="2"/>
      <c r="Q34" s="2"/>
      <c r="R34" s="2"/>
    </row>
    <row r="35" spans="13:21" ht="15" thickBot="1" x14ac:dyDescent="0.4"/>
    <row r="36" spans="13:21" x14ac:dyDescent="0.35">
      <c r="M36" s="3"/>
      <c r="N36" s="3"/>
      <c r="O36" s="3"/>
      <c r="P36" s="3"/>
      <c r="Q36" s="3"/>
      <c r="R36" s="3"/>
      <c r="S36" s="3"/>
      <c r="T36" s="3"/>
      <c r="U36" s="3"/>
    </row>
    <row r="38" spans="13:21" ht="15" thickBot="1" x14ac:dyDescent="0.4">
      <c r="M38" s="2"/>
      <c r="N38" s="2"/>
      <c r="O38" s="2"/>
      <c r="P38" s="2"/>
      <c r="Q38" s="2"/>
      <c r="R38" s="2"/>
      <c r="S38" s="2"/>
      <c r="T38" s="2"/>
      <c r="U38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U57"/>
  <sheetViews>
    <sheetView workbookViewId="0">
      <selection activeCell="A6" sqref="A6"/>
    </sheetView>
  </sheetViews>
  <sheetFormatPr defaultRowHeight="14.5" x14ac:dyDescent="0.35"/>
  <cols>
    <col min="1" max="1" width="14.453125" customWidth="1"/>
    <col min="3" max="3" width="12" bestFit="1" customWidth="1"/>
  </cols>
  <sheetData>
    <row r="2" spans="1:21" ht="15" thickBot="1" x14ac:dyDescent="0.4">
      <c r="A2" t="s">
        <v>308</v>
      </c>
      <c r="B2">
        <v>3.4</v>
      </c>
      <c r="C2">
        <f>'Tol1995'!C2</f>
        <v>14835708393399.66</v>
      </c>
      <c r="D2">
        <f>'Tol1995'!D2</f>
        <v>343452772</v>
      </c>
      <c r="E2" s="8">
        <f>'Tol1995'!E2</f>
        <v>43195.774216664817</v>
      </c>
      <c r="F2">
        <f>'Tol1995'!F2</f>
        <v>7.1188523081712081</v>
      </c>
      <c r="G2">
        <f>'Tol1995'!G2</f>
        <v>2444989558.6999998</v>
      </c>
      <c r="K2" s="1"/>
    </row>
    <row r="3" spans="1:21" x14ac:dyDescent="0.35">
      <c r="A3" t="s">
        <v>309</v>
      </c>
      <c r="B3">
        <v>3.7</v>
      </c>
      <c r="C3">
        <f>'Tol1995'!C3</f>
        <v>14391914850298.887</v>
      </c>
      <c r="D3">
        <f>'Tol1995'!D3</f>
        <v>421297460</v>
      </c>
      <c r="E3" s="8">
        <f>'Tol1995'!E3</f>
        <v>34160.934296396867</v>
      </c>
      <c r="F3">
        <f>'Tol1995'!F3</f>
        <v>10.252108289710554</v>
      </c>
      <c r="G3">
        <f>'Tol1995'!G3</f>
        <v>4319187182.1000004</v>
      </c>
      <c r="K3" s="1"/>
      <c r="M3" s="4"/>
      <c r="N3" s="4"/>
    </row>
    <row r="4" spans="1:21" x14ac:dyDescent="0.35">
      <c r="A4" t="s">
        <v>310</v>
      </c>
      <c r="B4">
        <v>1</v>
      </c>
      <c r="C4">
        <f>'Tol1995'!C4</f>
        <v>5565953364693.3477</v>
      </c>
      <c r="D4">
        <f>'Tol1995'!D4</f>
        <v>153883559</v>
      </c>
      <c r="E4" s="8">
        <f>'Tol1995'!E4</f>
        <v>36169.902755455165</v>
      </c>
      <c r="F4">
        <f>'Tol1995'!F4</f>
        <v>12.588560386103364</v>
      </c>
      <c r="G4">
        <f>'Tol1995'!G4</f>
        <v>1937172474.8999999</v>
      </c>
      <c r="K4" s="1"/>
    </row>
    <row r="5" spans="1:21" x14ac:dyDescent="0.35">
      <c r="A5" t="s">
        <v>311</v>
      </c>
      <c r="B5">
        <v>2</v>
      </c>
      <c r="C5">
        <f>'Tol1995'!C5</f>
        <v>2291249317566.1226</v>
      </c>
      <c r="D5">
        <f>'Tol1995'!D5</f>
        <v>413630243</v>
      </c>
      <c r="E5" s="8">
        <f>'Tol1995'!E5</f>
        <v>5539.3660312360735</v>
      </c>
      <c r="F5">
        <f>'Tol1995'!F5</f>
        <v>4.1254740461518917</v>
      </c>
      <c r="G5">
        <f>'Tol1995'!G5</f>
        <v>1706420832.2</v>
      </c>
      <c r="K5" s="1"/>
    </row>
    <row r="6" spans="1:21" x14ac:dyDescent="0.35">
      <c r="A6" t="s">
        <v>97</v>
      </c>
      <c r="B6">
        <v>1.1000000000000001</v>
      </c>
      <c r="C6">
        <f>'Tol1995'!C6</f>
        <v>1873965802744.042</v>
      </c>
      <c r="D6">
        <f>'Tol1995'!D6</f>
        <v>280551587</v>
      </c>
      <c r="E6" s="8">
        <f>'Tol1995'!E6</f>
        <v>6679.5765541117471</v>
      </c>
      <c r="F6">
        <f>'Tol1995'!F6</f>
        <v>17.921342237140866</v>
      </c>
      <c r="G6">
        <f>'Tol1995'!G6</f>
        <v>5027861005.8000002</v>
      </c>
      <c r="K6" s="1"/>
    </row>
    <row r="7" spans="1:21" x14ac:dyDescent="0.35">
      <c r="A7" t="s">
        <v>312</v>
      </c>
      <c r="B7">
        <v>-0.1</v>
      </c>
      <c r="C7">
        <f>'Tol1995'!C7</f>
        <v>3395554253790.4824</v>
      </c>
      <c r="D7">
        <f>'Tol1995'!D7</f>
        <v>587066528</v>
      </c>
      <c r="E7" s="8">
        <f>'Tol1995'!E7</f>
        <v>5783.9343444742981</v>
      </c>
      <c r="F7">
        <f>'Tol1995'!F7</f>
        <v>22.441698343939652</v>
      </c>
      <c r="G7">
        <f>'Tol1995'!G7</f>
        <v>13174769929.200001</v>
      </c>
      <c r="K7" s="1"/>
    </row>
    <row r="8" spans="1:21" ht="15" thickBot="1" x14ac:dyDescent="0.4">
      <c r="A8" t="s">
        <v>313</v>
      </c>
      <c r="B8">
        <v>-1.7</v>
      </c>
      <c r="C8">
        <f>'Tol1995'!C8</f>
        <v>3798742035009.1792</v>
      </c>
      <c r="D8">
        <f>'Tol1995'!D8</f>
        <v>2208506997</v>
      </c>
      <c r="E8" s="8">
        <f>'Tol1995'!E8</f>
        <v>1720.0498074804964</v>
      </c>
      <c r="F8">
        <f>'Tol1995'!F8</f>
        <v>23.411200932455088</v>
      </c>
      <c r="G8">
        <f>'Tol1995'!G8</f>
        <v>51703801067.499985</v>
      </c>
      <c r="M8" s="2"/>
      <c r="N8" s="2"/>
    </row>
    <row r="9" spans="1:21" x14ac:dyDescent="0.35">
      <c r="A9" t="s">
        <v>65</v>
      </c>
      <c r="B9">
        <v>2.1</v>
      </c>
      <c r="C9">
        <f>'Tol1995'!C9</f>
        <v>4083480295517.6025</v>
      </c>
      <c r="D9">
        <f>'Tol1995'!D9</f>
        <v>1347976564</v>
      </c>
      <c r="E9" s="8">
        <f>'Tol1995'!E9</f>
        <v>3029.340720435257</v>
      </c>
      <c r="F9">
        <f>'Tol1995'!F9</f>
        <v>6.97334408270914</v>
      </c>
      <c r="G9">
        <f>'Tol1995'!G9</f>
        <v>9399904396.1999989</v>
      </c>
      <c r="K9" s="1"/>
    </row>
    <row r="10" spans="1:21" ht="15" thickBot="1" x14ac:dyDescent="0.4">
      <c r="A10" t="s">
        <v>306</v>
      </c>
      <c r="B10">
        <v>-4.0999999999999996</v>
      </c>
      <c r="C10">
        <f>'Tol1995'!C10</f>
        <v>1247470152595.4575</v>
      </c>
      <c r="D10">
        <f>'Tol1995'!D10</f>
        <v>1008354015</v>
      </c>
      <c r="E10" s="8">
        <f>'Tol1995'!E10</f>
        <v>1237.1351073516155</v>
      </c>
      <c r="F10">
        <f>'Tol1995'!F10</f>
        <v>23.687587146762144</v>
      </c>
      <c r="G10">
        <f>'Tol1995'!G10</f>
        <v>23885473605.100002</v>
      </c>
      <c r="K10" s="1"/>
    </row>
    <row r="11" spans="1:21" x14ac:dyDescent="0.35">
      <c r="K11" s="1"/>
      <c r="M11" s="3"/>
      <c r="N11" s="3"/>
      <c r="O11" s="3"/>
      <c r="P11" s="3"/>
      <c r="Q11" s="3"/>
      <c r="R11" s="3"/>
    </row>
    <row r="14" spans="1:21" ht="15" thickBot="1" x14ac:dyDescent="0.4">
      <c r="M14" s="2"/>
      <c r="N14" s="2"/>
      <c r="O14" s="2"/>
      <c r="P14" s="2"/>
      <c r="Q14" s="2"/>
      <c r="R14" s="2"/>
    </row>
    <row r="15" spans="1:21" ht="15" thickBot="1" x14ac:dyDescent="0.4"/>
    <row r="16" spans="1:21" x14ac:dyDescent="0.35">
      <c r="M16" s="3"/>
      <c r="N16" s="3"/>
      <c r="O16" s="3"/>
      <c r="P16" s="3"/>
      <c r="Q16" s="3"/>
      <c r="R16" s="3"/>
      <c r="S16" s="3"/>
      <c r="T16" s="3"/>
      <c r="U16" s="3"/>
    </row>
    <row r="19" spans="1:21" ht="15" thickBot="1" x14ac:dyDescent="0.4">
      <c r="M19" s="2"/>
      <c r="N19" s="2"/>
      <c r="O19" s="2"/>
      <c r="P19" s="2"/>
      <c r="Q19" s="2"/>
      <c r="R19" s="2"/>
      <c r="S19" s="2"/>
      <c r="T19" s="2"/>
      <c r="U19" s="2"/>
    </row>
    <row r="22" spans="1:21" ht="15" thickBot="1" x14ac:dyDescent="0.4"/>
    <row r="23" spans="1:21" x14ac:dyDescent="0.35">
      <c r="M23" s="4"/>
      <c r="N23" s="4"/>
    </row>
    <row r="28" spans="1:21" ht="15" thickBot="1" x14ac:dyDescent="0.4">
      <c r="M28" s="2"/>
      <c r="N28" s="2"/>
    </row>
    <row r="30" spans="1:21" ht="15" thickBot="1" x14ac:dyDescent="0.4">
      <c r="A30" t="s">
        <v>21</v>
      </c>
    </row>
    <row r="31" spans="1:21" x14ac:dyDescent="0.35">
      <c r="M31" s="3"/>
      <c r="N31" s="3"/>
      <c r="O31" s="3"/>
      <c r="P31" s="3"/>
      <c r="Q31" s="3"/>
      <c r="R31" s="3"/>
    </row>
    <row r="34" spans="13:21" ht="15" thickBot="1" x14ac:dyDescent="0.4">
      <c r="M34" s="2"/>
      <c r="N34" s="2"/>
      <c r="O34" s="2"/>
      <c r="P34" s="2"/>
      <c r="Q34" s="2"/>
      <c r="R34" s="2"/>
    </row>
    <row r="35" spans="13:21" ht="15" thickBot="1" x14ac:dyDescent="0.4"/>
    <row r="36" spans="13:21" x14ac:dyDescent="0.35">
      <c r="M36" s="3"/>
      <c r="N36" s="3"/>
      <c r="O36" s="3"/>
      <c r="P36" s="3"/>
      <c r="Q36" s="3"/>
      <c r="R36" s="3"/>
      <c r="S36" s="3"/>
      <c r="T36" s="3"/>
      <c r="U36" s="3"/>
    </row>
    <row r="38" spans="13:21" ht="15" thickBot="1" x14ac:dyDescent="0.4">
      <c r="M38" s="2"/>
      <c r="N38" s="2"/>
      <c r="O38" s="2"/>
      <c r="P38" s="2"/>
      <c r="Q38" s="2"/>
      <c r="R38" s="2"/>
      <c r="S38" s="2"/>
      <c r="T38" s="2"/>
      <c r="U38" s="2"/>
    </row>
    <row r="41" spans="13:21" ht="15" thickBot="1" x14ac:dyDescent="0.4"/>
    <row r="42" spans="13:21" x14ac:dyDescent="0.35">
      <c r="M42" s="4"/>
      <c r="N42" s="4"/>
    </row>
    <row r="47" spans="13:21" ht="15" thickBot="1" x14ac:dyDescent="0.4">
      <c r="M47" s="2"/>
      <c r="N47" s="2"/>
    </row>
    <row r="49" spans="13:21" ht="15" thickBot="1" x14ac:dyDescent="0.4"/>
    <row r="50" spans="13:21" x14ac:dyDescent="0.35">
      <c r="M50" s="3"/>
      <c r="N50" s="3"/>
      <c r="O50" s="3"/>
      <c r="P50" s="3"/>
      <c r="Q50" s="3"/>
      <c r="R50" s="3"/>
    </row>
    <row r="53" spans="13:21" ht="15" thickBot="1" x14ac:dyDescent="0.4">
      <c r="M53" s="2"/>
      <c r="N53" s="2"/>
      <c r="O53" s="2"/>
      <c r="P53" s="2"/>
      <c r="Q53" s="2"/>
      <c r="R53" s="2"/>
    </row>
    <row r="54" spans="13:21" ht="15" thickBot="1" x14ac:dyDescent="0.4"/>
    <row r="55" spans="13:21" x14ac:dyDescent="0.35">
      <c r="M55" s="3"/>
      <c r="N55" s="3"/>
      <c r="O55" s="3"/>
      <c r="P55" s="3"/>
      <c r="Q55" s="3"/>
      <c r="R55" s="3"/>
      <c r="S55" s="3"/>
      <c r="T55" s="3"/>
      <c r="U55" s="3"/>
    </row>
    <row r="57" spans="13:21" ht="15" thickBot="1" x14ac:dyDescent="0.4">
      <c r="M57" s="2"/>
      <c r="N57" s="2"/>
      <c r="O57" s="2"/>
      <c r="P57" s="2"/>
      <c r="Q57" s="2"/>
      <c r="R57" s="2"/>
      <c r="S57" s="2"/>
      <c r="T57" s="2"/>
      <c r="U57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F38"/>
  <sheetViews>
    <sheetView topLeftCell="C1" workbookViewId="0"/>
  </sheetViews>
  <sheetFormatPr defaultRowHeight="14.5" x14ac:dyDescent="0.35"/>
  <cols>
    <col min="3" max="3" width="17.453125" customWidth="1"/>
    <col min="4" max="4" width="16.54296875" customWidth="1"/>
    <col min="7" max="7" width="10.453125" customWidth="1"/>
    <col min="8" max="8" width="23.54296875" customWidth="1"/>
    <col min="9" max="10" width="17.453125" customWidth="1"/>
    <col min="14" max="14" width="12" bestFit="1" customWidth="1"/>
    <col min="15" max="15" width="10" bestFit="1" customWidth="1"/>
    <col min="18" max="18" width="11" bestFit="1" customWidth="1"/>
  </cols>
  <sheetData>
    <row r="1" spans="1:32" x14ac:dyDescent="0.35">
      <c r="B1" t="s">
        <v>70</v>
      </c>
      <c r="C1" t="s">
        <v>72</v>
      </c>
      <c r="D1" t="s">
        <v>70</v>
      </c>
      <c r="F1" t="s">
        <v>70</v>
      </c>
      <c r="G1" t="s">
        <v>81</v>
      </c>
      <c r="H1" t="s">
        <v>75</v>
      </c>
      <c r="I1" t="s">
        <v>72</v>
      </c>
      <c r="J1" t="s">
        <v>70</v>
      </c>
      <c r="N1" t="s">
        <v>72</v>
      </c>
      <c r="O1" t="s">
        <v>295</v>
      </c>
      <c r="Q1" t="s">
        <v>503</v>
      </c>
    </row>
    <row r="2" spans="1:32" ht="15" thickBot="1" x14ac:dyDescent="0.4">
      <c r="A2" t="s">
        <v>80</v>
      </c>
      <c r="C2">
        <v>1990</v>
      </c>
      <c r="D2">
        <v>1990</v>
      </c>
      <c r="G2">
        <v>2100</v>
      </c>
      <c r="H2">
        <v>2100</v>
      </c>
      <c r="I2">
        <v>2100</v>
      </c>
      <c r="J2">
        <v>2100</v>
      </c>
      <c r="L2" t="s">
        <v>63</v>
      </c>
      <c r="M2">
        <f t="shared" ref="M2:M7" si="0">100*B4</f>
        <v>1.1020000000000001</v>
      </c>
      <c r="N2">
        <f>SUMPRODUCT(regions!$C4:$C201,regions!DH4:DH201)</f>
        <v>13595644353592.4</v>
      </c>
      <c r="O2">
        <f>SUMPRODUCT(regions!$B4:$B201,regions!DH4:DH201)</f>
        <v>309326225</v>
      </c>
      <c r="P2" s="8">
        <f t="shared" ref="P2:P7" si="1">N2/O2</f>
        <v>43952.446494287382</v>
      </c>
      <c r="Q2" s="1">
        <f t="shared" ref="Q2:Q7" si="2">R2/O2</f>
        <v>8.5</v>
      </c>
      <c r="R2">
        <f>SUMPRODUCT(regions!$Z4:$Z201,regions!DH4:DH201,regions!$B4:$B201)</f>
        <v>2629272912.5</v>
      </c>
      <c r="T2">
        <f t="shared" ref="T2:T7" si="3">LN(M2)</f>
        <v>9.7126710730722821E-2</v>
      </c>
      <c r="U2">
        <f t="shared" ref="U2:U7" si="4">LN(P2)</f>
        <v>10.690863566963092</v>
      </c>
      <c r="V2" s="1">
        <f t="shared" ref="V2:V7" si="5">Q2</f>
        <v>8.5</v>
      </c>
    </row>
    <row r="3" spans="1:32" x14ac:dyDescent="0.35">
      <c r="B3" t="s">
        <v>74</v>
      </c>
      <c r="C3" t="s">
        <v>76</v>
      </c>
      <c r="D3" t="s">
        <v>76</v>
      </c>
      <c r="F3" t="s">
        <v>74</v>
      </c>
      <c r="G3" t="s">
        <v>77</v>
      </c>
      <c r="H3" t="s">
        <v>79</v>
      </c>
      <c r="I3" t="s">
        <v>78</v>
      </c>
      <c r="J3" t="s">
        <v>78</v>
      </c>
      <c r="L3" t="s">
        <v>64</v>
      </c>
      <c r="M3">
        <f t="shared" si="0"/>
        <v>1.1739999999999999</v>
      </c>
      <c r="N3">
        <f>SUMPRODUCT(regions!$C4:$C201,regions!DI4:DI201)</f>
        <v>4648468621132.7568</v>
      </c>
      <c r="O3">
        <f>SUMPRODUCT(regions!$B4:$B201,regions!DI4:DI201)</f>
        <v>127450459</v>
      </c>
      <c r="P3" s="8">
        <f t="shared" si="1"/>
        <v>36472.749157637452</v>
      </c>
      <c r="Q3" s="1">
        <f t="shared" si="2"/>
        <v>11.1</v>
      </c>
      <c r="R3">
        <f>SUMPRODUCT(regions!$Z4:$Z201,regions!DI4:DI201,regions!$B4:$B201)</f>
        <v>1414700094.8999999</v>
      </c>
      <c r="T3">
        <f t="shared" si="3"/>
        <v>0.16041672140590466</v>
      </c>
      <c r="U3">
        <f t="shared" si="4"/>
        <v>10.504320662306291</v>
      </c>
      <c r="V3" s="1">
        <f t="shared" si="5"/>
        <v>11.1</v>
      </c>
      <c r="X3" s="4"/>
      <c r="Y3" s="4"/>
    </row>
    <row r="4" spans="1:32" x14ac:dyDescent="0.35">
      <c r="A4" t="s">
        <v>63</v>
      </c>
      <c r="B4">
        <v>1.102E-2</v>
      </c>
      <c r="C4" s="8">
        <v>5464796</v>
      </c>
      <c r="D4" s="8">
        <f t="shared" ref="D4:D9" si="6">B4*C4</f>
        <v>60222.051919999998</v>
      </c>
      <c r="F4">
        <f t="shared" ref="F4:F9" si="7">B4</f>
        <v>1.102E-2</v>
      </c>
      <c r="G4">
        <v>0.29399999999999998</v>
      </c>
      <c r="H4" s="1">
        <v>68.8</v>
      </c>
      <c r="I4" s="7">
        <f t="shared" ref="I4:I9" si="8">G4*H4</f>
        <v>20.227199999999996</v>
      </c>
      <c r="J4" s="7">
        <f t="shared" ref="J4:J9" si="9">I4*F4</f>
        <v>0.22290374399999996</v>
      </c>
      <c r="L4" t="s">
        <v>65</v>
      </c>
      <c r="M4">
        <f t="shared" si="0"/>
        <v>1.5230000000000001</v>
      </c>
      <c r="N4">
        <f>SUMPRODUCT(regions!$C4:$C201,regions!DJ4:DJ201)</f>
        <v>3839284159376.0742</v>
      </c>
      <c r="O4">
        <f>SUMPRODUCT(regions!$B4:$B201,regions!DJ4:DJ201)</f>
        <v>1337705000</v>
      </c>
      <c r="P4" s="8">
        <f t="shared" si="1"/>
        <v>2870.0529334764196</v>
      </c>
      <c r="Q4" s="1">
        <f t="shared" si="2"/>
        <v>6.9</v>
      </c>
      <c r="R4">
        <f>SUMPRODUCT(regions!$Z4:$Z201,regions!DJ4:DJ201,regions!$B4:$B201)</f>
        <v>9230164500</v>
      </c>
      <c r="T4">
        <f t="shared" si="3"/>
        <v>0.42068207391302487</v>
      </c>
      <c r="U4">
        <f t="shared" si="4"/>
        <v>7.9620857523035902</v>
      </c>
      <c r="V4" s="1">
        <f t="shared" si="5"/>
        <v>6.9</v>
      </c>
    </row>
    <row r="5" spans="1:32" x14ac:dyDescent="0.35">
      <c r="A5" t="s">
        <v>64</v>
      </c>
      <c r="B5">
        <v>1.174E-2</v>
      </c>
      <c r="C5" s="8">
        <v>2932055</v>
      </c>
      <c r="D5" s="8">
        <f t="shared" si="6"/>
        <v>34422.325700000001</v>
      </c>
      <c r="F5">
        <f t="shared" si="7"/>
        <v>1.174E-2</v>
      </c>
      <c r="G5">
        <v>0.125</v>
      </c>
      <c r="H5" s="1">
        <v>89.1</v>
      </c>
      <c r="I5" s="7">
        <f t="shared" si="8"/>
        <v>11.137499999999999</v>
      </c>
      <c r="J5" s="7">
        <f t="shared" si="9"/>
        <v>0.13075424999999999</v>
      </c>
      <c r="L5" t="s">
        <v>66</v>
      </c>
      <c r="M5">
        <f t="shared" si="0"/>
        <v>1.1739999999999999</v>
      </c>
      <c r="N5">
        <f>SUMPRODUCT(regions!$C4:$C201,regions!DK4:DK201)</f>
        <v>13437284489091.875</v>
      </c>
      <c r="O5">
        <f>SUMPRODUCT(regions!$B4:$B201,regions!DK4:DK201)</f>
        <v>399121978</v>
      </c>
      <c r="P5" s="8">
        <f t="shared" si="1"/>
        <v>33667.112386108376</v>
      </c>
      <c r="Q5" s="1">
        <f t="shared" si="2"/>
        <v>10.2565326705712</v>
      </c>
      <c r="R5">
        <f>SUMPRODUCT(regions!$Z4:$Z201,regions!DK4:DK201,regions!$B4:$B201)</f>
        <v>4093607606.9000001</v>
      </c>
      <c r="T5">
        <f t="shared" si="3"/>
        <v>0.16041672140590466</v>
      </c>
      <c r="U5">
        <f t="shared" si="4"/>
        <v>10.424276746258988</v>
      </c>
      <c r="V5" s="1">
        <f t="shared" si="5"/>
        <v>10.2565326705712</v>
      </c>
    </row>
    <row r="6" spans="1:32" x14ac:dyDescent="0.35">
      <c r="A6" t="s">
        <v>65</v>
      </c>
      <c r="B6">
        <v>1.523E-2</v>
      </c>
      <c r="C6" s="8">
        <v>370024</v>
      </c>
      <c r="D6" s="8">
        <f t="shared" si="6"/>
        <v>5635.4655199999997</v>
      </c>
      <c r="F6">
        <f t="shared" si="7"/>
        <v>1.523E-2</v>
      </c>
      <c r="G6">
        <v>1.6559999999999999</v>
      </c>
      <c r="H6" s="1">
        <v>9.9</v>
      </c>
      <c r="I6" s="7">
        <f t="shared" si="8"/>
        <v>16.394400000000001</v>
      </c>
      <c r="J6" s="7">
        <f t="shared" si="9"/>
        <v>0.24968671200000003</v>
      </c>
      <c r="L6" t="s">
        <v>67</v>
      </c>
      <c r="M6">
        <f t="shared" si="0"/>
        <v>0.85699999999999998</v>
      </c>
      <c r="N6">
        <f>SUMPRODUCT(regions!$C4:$C201,regions!DL4:DL201)</f>
        <v>1263738819385.8857</v>
      </c>
      <c r="O6">
        <f>SUMPRODUCT(regions!$B4:$B201,regions!DL4:DL201)</f>
        <v>287651287</v>
      </c>
      <c r="P6" s="8">
        <f t="shared" si="1"/>
        <v>4393.3014608270669</v>
      </c>
      <c r="Q6" s="1">
        <f t="shared" si="2"/>
        <v>1.7083495558982151</v>
      </c>
      <c r="R6">
        <f>SUMPRODUCT(regions!$Z4:$Z201,regions!DL4:DL201,regions!$B4:$B201)</f>
        <v>491408948.40000004</v>
      </c>
      <c r="T6">
        <f t="shared" si="3"/>
        <v>-0.15431736038435728</v>
      </c>
      <c r="U6">
        <f t="shared" si="4"/>
        <v>8.3878362646186133</v>
      </c>
      <c r="V6" s="1">
        <f t="shared" si="5"/>
        <v>1.7083495558982151</v>
      </c>
    </row>
    <row r="7" spans="1:32" x14ac:dyDescent="0.35">
      <c r="A7" t="s">
        <v>66</v>
      </c>
      <c r="B7">
        <v>1.174E-2</v>
      </c>
      <c r="C7" s="8">
        <v>6828042</v>
      </c>
      <c r="D7" s="8">
        <f t="shared" si="6"/>
        <v>80161.213080000001</v>
      </c>
      <c r="F7">
        <f t="shared" si="7"/>
        <v>1.174E-2</v>
      </c>
      <c r="G7">
        <v>0.42699999999999999</v>
      </c>
      <c r="H7" s="1">
        <v>63</v>
      </c>
      <c r="I7" s="7">
        <f t="shared" si="8"/>
        <v>26.901</v>
      </c>
      <c r="J7" s="7">
        <f t="shared" si="9"/>
        <v>0.31581774000000001</v>
      </c>
      <c r="L7" t="s">
        <v>68</v>
      </c>
      <c r="M7">
        <f t="shared" si="0"/>
        <v>2.093</v>
      </c>
      <c r="N7">
        <f>SUMPRODUCT(regions!$C4:$C201,regions!DM4:DM201)</f>
        <v>14699618023035.785</v>
      </c>
      <c r="O7">
        <f>SUMPRODUCT(regions!$B4:$B201,regions!DM4:DM201)</f>
        <v>4303464776</v>
      </c>
      <c r="P7" s="8">
        <f t="shared" si="1"/>
        <v>3415.7635273359524</v>
      </c>
      <c r="Q7" s="1">
        <f t="shared" si="2"/>
        <v>22.247289329038999</v>
      </c>
      <c r="R7">
        <f>SUMPRODUCT(regions!$Z4:$Z201,regions!DM4:DM201,regions!$B4:$B201)</f>
        <v>95740425989</v>
      </c>
      <c r="T7">
        <f t="shared" si="3"/>
        <v>0.73859844346386272</v>
      </c>
      <c r="U7">
        <f t="shared" si="4"/>
        <v>8.1361563274935484</v>
      </c>
      <c r="V7" s="1">
        <f t="shared" si="5"/>
        <v>22.247289329038999</v>
      </c>
    </row>
    <row r="8" spans="1:32" ht="15" thickBot="1" x14ac:dyDescent="0.4">
      <c r="A8" t="s">
        <v>67</v>
      </c>
      <c r="B8">
        <v>8.5699999999999995E-3</v>
      </c>
      <c r="C8" s="8">
        <v>855207</v>
      </c>
      <c r="D8" s="8">
        <f t="shared" si="6"/>
        <v>7329.1239899999991</v>
      </c>
      <c r="F8">
        <f t="shared" si="7"/>
        <v>8.5699999999999995E-3</v>
      </c>
      <c r="G8">
        <v>0.36599999999999999</v>
      </c>
      <c r="H8" s="1">
        <v>18.899999999999999</v>
      </c>
      <c r="I8" s="7">
        <f t="shared" si="8"/>
        <v>6.9173999999999998</v>
      </c>
      <c r="J8" s="7">
        <f t="shared" si="9"/>
        <v>5.9282117999999995E-2</v>
      </c>
      <c r="X8" s="2"/>
      <c r="Y8" s="2"/>
    </row>
    <row r="9" spans="1:32" x14ac:dyDescent="0.35">
      <c r="A9" t="s">
        <v>68</v>
      </c>
      <c r="B9">
        <v>2.0930000000000001E-2</v>
      </c>
      <c r="C9" s="8">
        <v>4628621</v>
      </c>
      <c r="D9" s="8">
        <f t="shared" si="6"/>
        <v>96877.037530000001</v>
      </c>
      <c r="F9">
        <f t="shared" si="7"/>
        <v>2.0930000000000001E-2</v>
      </c>
      <c r="G9">
        <v>6.7380000000000004</v>
      </c>
      <c r="H9" s="1">
        <v>18.100000000000001</v>
      </c>
      <c r="I9" s="7">
        <f t="shared" si="8"/>
        <v>121.95780000000002</v>
      </c>
      <c r="J9" s="7">
        <f t="shared" si="9"/>
        <v>2.5525767540000004</v>
      </c>
      <c r="M9" s="18">
        <f>SUMPRODUCT(M2:M7,N2:N7)/N9</f>
        <v>1.435622202473182</v>
      </c>
      <c r="N9">
        <f>SUM(N2:N7)</f>
        <v>51484038465614.781</v>
      </c>
    </row>
    <row r="10" spans="1:32" ht="15" thickBot="1" x14ac:dyDescent="0.4">
      <c r="C10" s="6"/>
      <c r="I10" s="7"/>
      <c r="J10" s="7"/>
    </row>
    <row r="11" spans="1:32" x14ac:dyDescent="0.35">
      <c r="A11" t="s">
        <v>21</v>
      </c>
      <c r="B11" s="9">
        <f>D11/C11</f>
        <v>1.350399265895574E-2</v>
      </c>
      <c r="C11" s="6">
        <f>SUM(C4:C9)</f>
        <v>21078745</v>
      </c>
      <c r="D11" s="6">
        <f>SUM(D4:D9)</f>
        <v>284647.21773999999</v>
      </c>
      <c r="F11" s="17">
        <f>J11/I11</f>
        <v>1.7348446770658457E-2</v>
      </c>
      <c r="I11" s="7">
        <f>SUM(I4:I9)</f>
        <v>203.53530000000001</v>
      </c>
      <c r="J11" s="7">
        <f>SUM(J4:J9)</f>
        <v>3.5310213180000005</v>
      </c>
      <c r="X11" s="3"/>
      <c r="Y11" s="3"/>
      <c r="Z11" s="3"/>
      <c r="AA11" s="3"/>
      <c r="AB11" s="3"/>
      <c r="AC11" s="3"/>
    </row>
    <row r="12" spans="1:32" x14ac:dyDescent="0.35">
      <c r="C12" s="6"/>
    </row>
    <row r="13" spans="1:32" x14ac:dyDescent="0.35">
      <c r="A13" t="s">
        <v>71</v>
      </c>
      <c r="B13" t="s">
        <v>40</v>
      </c>
      <c r="C13" s="6" t="s">
        <v>73</v>
      </c>
    </row>
    <row r="14" spans="1:32" ht="15" thickBot="1" x14ac:dyDescent="0.4">
      <c r="X14" s="2"/>
      <c r="Y14" s="2"/>
      <c r="Z14" s="2"/>
      <c r="AA14" s="2"/>
      <c r="AB14" s="2"/>
      <c r="AC14" s="2"/>
    </row>
    <row r="15" spans="1:32" ht="15" thickBot="1" x14ac:dyDescent="0.4"/>
    <row r="16" spans="1:32" x14ac:dyDescent="0.35">
      <c r="X16" s="3"/>
      <c r="Y16" s="3"/>
      <c r="Z16" s="3"/>
      <c r="AA16" s="3"/>
      <c r="AB16" s="3"/>
      <c r="AC16" s="3"/>
      <c r="AD16" s="3"/>
      <c r="AE16" s="3"/>
      <c r="AF16" s="3"/>
    </row>
    <row r="19" spans="24:32" ht="15" thickBot="1" x14ac:dyDescent="0.4">
      <c r="X19" s="2"/>
      <c r="Y19" s="2"/>
      <c r="Z19" s="2"/>
      <c r="AA19" s="2"/>
      <c r="AB19" s="2"/>
      <c r="AC19" s="2"/>
      <c r="AD19" s="2"/>
      <c r="AE19" s="2"/>
      <c r="AF19" s="2"/>
    </row>
    <row r="22" spans="24:32" ht="15" thickBot="1" x14ac:dyDescent="0.4"/>
    <row r="23" spans="24:32" x14ac:dyDescent="0.35">
      <c r="X23" s="4"/>
      <c r="Y23" s="4"/>
    </row>
    <row r="28" spans="24:32" ht="15" thickBot="1" x14ac:dyDescent="0.4">
      <c r="X28" s="2"/>
      <c r="Y28" s="2"/>
    </row>
    <row r="30" spans="24:32" ht="15" thickBot="1" x14ac:dyDescent="0.4"/>
    <row r="31" spans="24:32" x14ac:dyDescent="0.35">
      <c r="X31" s="3"/>
      <c r="Y31" s="3"/>
      <c r="Z31" s="3"/>
      <c r="AA31" s="3"/>
      <c r="AB31" s="3"/>
      <c r="AC31" s="3"/>
    </row>
    <row r="34" spans="24:32" ht="15" thickBot="1" x14ac:dyDescent="0.4">
      <c r="X34" s="2"/>
      <c r="Y34" s="2"/>
      <c r="Z34" s="2"/>
      <c r="AA34" s="2"/>
      <c r="AB34" s="2"/>
      <c r="AC34" s="2"/>
    </row>
    <row r="35" spans="24:32" ht="15" thickBot="1" x14ac:dyDescent="0.4"/>
    <row r="36" spans="24:32" x14ac:dyDescent="0.35">
      <c r="X36" s="3"/>
      <c r="Y36" s="3"/>
      <c r="Z36" s="3"/>
      <c r="AA36" s="3"/>
      <c r="AB36" s="3"/>
      <c r="AC36" s="3"/>
      <c r="AD36" s="3"/>
      <c r="AE36" s="3"/>
      <c r="AF36" s="3"/>
    </row>
    <row r="38" spans="24:32" ht="15" thickBot="1" x14ac:dyDescent="0.4">
      <c r="X38" s="2"/>
      <c r="Y38" s="2"/>
      <c r="Z38" s="2"/>
      <c r="AA38" s="2"/>
      <c r="AB38" s="2"/>
      <c r="AC38" s="2"/>
      <c r="AD38" s="2"/>
      <c r="AE38" s="2"/>
      <c r="AF38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S38"/>
  <sheetViews>
    <sheetView topLeftCell="AD1" workbookViewId="0">
      <selection activeCell="AV7" sqref="AV7"/>
    </sheetView>
  </sheetViews>
  <sheetFormatPr defaultRowHeight="14.5" x14ac:dyDescent="0.35"/>
  <cols>
    <col min="1" max="2" width="12.81640625" customWidth="1"/>
    <col min="25" max="25" width="10.453125" customWidth="1"/>
    <col min="27" max="27" width="12" bestFit="1" customWidth="1"/>
    <col min="28" max="28" width="10" bestFit="1" customWidth="1"/>
    <col min="31" max="31" width="11" bestFit="1" customWidth="1"/>
  </cols>
  <sheetData>
    <row r="1" spans="1:45" x14ac:dyDescent="0.35">
      <c r="B1" t="s">
        <v>285</v>
      </c>
      <c r="C1" t="s">
        <v>72</v>
      </c>
      <c r="D1" t="s">
        <v>107</v>
      </c>
      <c r="G1" t="s">
        <v>108</v>
      </c>
      <c r="J1" t="s">
        <v>90</v>
      </c>
      <c r="M1" t="s">
        <v>109</v>
      </c>
      <c r="P1" t="s">
        <v>90</v>
      </c>
      <c r="S1" t="s">
        <v>90</v>
      </c>
      <c r="AA1" t="s">
        <v>72</v>
      </c>
      <c r="AB1" t="s">
        <v>295</v>
      </c>
      <c r="AD1" t="s">
        <v>503</v>
      </c>
    </row>
    <row r="2" spans="1:45" ht="15" thickBot="1" x14ac:dyDescent="0.4">
      <c r="C2" t="s">
        <v>106</v>
      </c>
      <c r="D2" t="s">
        <v>87</v>
      </c>
      <c r="G2" t="s">
        <v>87</v>
      </c>
      <c r="J2" t="s">
        <v>87</v>
      </c>
      <c r="P2" t="s">
        <v>87</v>
      </c>
      <c r="S2" t="s">
        <v>106</v>
      </c>
      <c r="W2" t="s">
        <v>66</v>
      </c>
      <c r="X2" s="5">
        <f t="shared" ref="X2:Z9" si="0">P4</f>
        <v>0.6</v>
      </c>
      <c r="Y2" s="5">
        <f t="shared" si="0"/>
        <v>1.2999999999999998</v>
      </c>
      <c r="Z2" s="5">
        <f t="shared" si="0"/>
        <v>5</v>
      </c>
      <c r="AA2">
        <f>SUMPRODUCT(regions!$C4:$C201,regions!DP4:DP201)</f>
        <v>13443937262089.053</v>
      </c>
      <c r="AB2">
        <f>SUMPRODUCT(regions!$B4:$B201,regions!DP4:DP201)</f>
        <v>399537973</v>
      </c>
      <c r="AC2" s="8">
        <f>AA2/AB2</f>
        <v>33648.709686198097</v>
      </c>
      <c r="AD2" s="1">
        <f>AE2/AB2</f>
        <v>10.265844520615817</v>
      </c>
      <c r="AE2">
        <f>SUMPRODUCT(regions!$Z4:$Z201,regions!DP4:DP201,regions!$B4:$B201)</f>
        <v>4101594710.9000001</v>
      </c>
      <c r="AI2" s="1"/>
    </row>
    <row r="3" spans="1:45" x14ac:dyDescent="0.35">
      <c r="D3" t="s">
        <v>110</v>
      </c>
      <c r="E3" t="s">
        <v>111</v>
      </c>
      <c r="F3" t="s">
        <v>112</v>
      </c>
      <c r="W3" t="s">
        <v>63</v>
      </c>
      <c r="X3" s="5">
        <f t="shared" si="0"/>
        <v>0.44999999999999996</v>
      </c>
      <c r="Y3" s="5">
        <f t="shared" si="0"/>
        <v>1.5599999999999998</v>
      </c>
      <c r="Z3" s="5">
        <f t="shared" si="0"/>
        <v>7</v>
      </c>
      <c r="AA3">
        <f>SUMPRODUCT(regions!$C4:$C201,regions!DQ4:DQ201)</f>
        <v>13595644353592.4</v>
      </c>
      <c r="AB3">
        <f>SUMPRODUCT(regions!$B4:$B201,regions!DQ4:DQ201)</f>
        <v>309326225</v>
      </c>
      <c r="AC3" s="8">
        <f t="shared" ref="AC3:AC9" si="1">AA3/AB3</f>
        <v>43952.446494287382</v>
      </c>
      <c r="AD3" s="1">
        <f t="shared" ref="AD3:AD9" si="2">AE3/AB3</f>
        <v>8.5</v>
      </c>
      <c r="AE3">
        <f>SUMPRODUCT(regions!$Z4:$Z201,regions!DQ4:DQ201,regions!$B4:$B201)</f>
        <v>2629272912.5</v>
      </c>
      <c r="AI3" s="1"/>
      <c r="AK3" s="4"/>
      <c r="AL3" s="4"/>
    </row>
    <row r="4" spans="1:45" x14ac:dyDescent="0.35">
      <c r="A4" t="s">
        <v>66</v>
      </c>
      <c r="B4" s="8">
        <f>B18</f>
        <v>403.034582</v>
      </c>
      <c r="C4" s="8">
        <f>C18</f>
        <v>13704.506339972859</v>
      </c>
      <c r="D4">
        <v>0.3</v>
      </c>
      <c r="E4">
        <v>0.7</v>
      </c>
      <c r="F4">
        <v>3.5</v>
      </c>
      <c r="G4">
        <v>0.3</v>
      </c>
      <c r="H4">
        <v>0.6</v>
      </c>
      <c r="I4">
        <v>1.5</v>
      </c>
      <c r="J4">
        <f>D4+G4</f>
        <v>0.6</v>
      </c>
      <c r="K4">
        <f>E4+H4</f>
        <v>1.2999999999999998</v>
      </c>
      <c r="L4">
        <f>F4+I4</f>
        <v>5</v>
      </c>
      <c r="M4" s="5">
        <v>1</v>
      </c>
      <c r="N4" s="5">
        <v>1</v>
      </c>
      <c r="O4" s="5">
        <v>1</v>
      </c>
      <c r="P4" s="5">
        <f>J$4*M4</f>
        <v>0.6</v>
      </c>
      <c r="Q4" s="5">
        <f t="shared" ref="Q4:Q11" si="3">K$4*N4</f>
        <v>1.2999999999999998</v>
      </c>
      <c r="R4" s="5">
        <f t="shared" ref="R4:R11" si="4">L$4*O4</f>
        <v>5</v>
      </c>
      <c r="S4" s="8">
        <f>$C4*P4/100</f>
        <v>82.227038039837154</v>
      </c>
      <c r="T4" s="8">
        <f t="shared" ref="T4:T11" si="5">$C4*Q4/100</f>
        <v>178.15858241964713</v>
      </c>
      <c r="U4" s="8">
        <f t="shared" ref="U4:U11" si="6">$C4*R4/100</f>
        <v>685.22531699864294</v>
      </c>
      <c r="W4" t="s">
        <v>82</v>
      </c>
      <c r="X4" s="5">
        <f t="shared" si="0"/>
        <v>0.44999999999999996</v>
      </c>
      <c r="Y4" s="5">
        <f t="shared" si="0"/>
        <v>2.86</v>
      </c>
      <c r="Z4" s="5">
        <f t="shared" si="0"/>
        <v>13</v>
      </c>
      <c r="AA4">
        <f>SUMPRODUCT(regions!$C4:$C201,regions!DR4:DR201)</f>
        <v>7584984327892.3086</v>
      </c>
      <c r="AB4">
        <f>SUMPRODUCT(regions!$B4:$B201,regions!DR4:DR201)</f>
        <v>202145993</v>
      </c>
      <c r="AC4" s="8">
        <f t="shared" si="1"/>
        <v>37522.30858166112</v>
      </c>
      <c r="AD4" s="1">
        <f t="shared" si="2"/>
        <v>9.0237181812453731</v>
      </c>
      <c r="AE4">
        <f>SUMPRODUCT(regions!$Z4:$Z201,regions!DR4:DR201,regions!$B4:$B201)</f>
        <v>1824108472.3</v>
      </c>
      <c r="AI4" s="1"/>
    </row>
    <row r="5" spans="1:45" x14ac:dyDescent="0.35">
      <c r="A5" t="s">
        <v>63</v>
      </c>
      <c r="B5" s="8">
        <f>B16</f>
        <v>295.51659899999999</v>
      </c>
      <c r="C5" s="8">
        <f>C16</f>
        <v>13095.4</v>
      </c>
      <c r="M5" s="5">
        <v>0.75</v>
      </c>
      <c r="N5" s="5">
        <v>1.2</v>
      </c>
      <c r="O5" s="5">
        <v>1.4</v>
      </c>
      <c r="P5" s="5">
        <f t="shared" ref="P5:P11" si="7">J$4*M5</f>
        <v>0.44999999999999996</v>
      </c>
      <c r="Q5" s="5">
        <f t="shared" si="3"/>
        <v>1.5599999999999998</v>
      </c>
      <c r="R5" s="5">
        <f t="shared" si="4"/>
        <v>7</v>
      </c>
      <c r="S5" s="8">
        <f t="shared" ref="S5:S11" si="8">$C5*P5/100</f>
        <v>58.929299999999991</v>
      </c>
      <c r="T5" s="8">
        <f t="shared" si="5"/>
        <v>204.28823999999997</v>
      </c>
      <c r="U5" s="8">
        <f t="shared" si="6"/>
        <v>916.678</v>
      </c>
      <c r="W5" t="s">
        <v>83</v>
      </c>
      <c r="X5" s="5">
        <f t="shared" si="0"/>
        <v>-0.18</v>
      </c>
      <c r="Y5" s="5">
        <f t="shared" si="0"/>
        <v>0</v>
      </c>
      <c r="Z5" s="5">
        <f t="shared" si="0"/>
        <v>1.5</v>
      </c>
      <c r="AA5">
        <f>SUMPRODUCT(regions!$C4:$C201,regions!DS4:DS201)</f>
        <v>2291249317566.1226</v>
      </c>
      <c r="AB5">
        <f>SUMPRODUCT(regions!$B4:$B201,regions!DS4:DS201)</f>
        <v>413630243</v>
      </c>
      <c r="AC5" s="8">
        <f t="shared" si="1"/>
        <v>5539.3660312360735</v>
      </c>
      <c r="AD5" s="1">
        <f t="shared" si="2"/>
        <v>4.1254740461518917</v>
      </c>
      <c r="AE5">
        <f>SUMPRODUCT(regions!$Z4:$Z201,regions!DS4:DS201,regions!$B4:$B201)</f>
        <v>1706420832.2</v>
      </c>
      <c r="AI5" s="1"/>
    </row>
    <row r="6" spans="1:45" x14ac:dyDescent="0.35">
      <c r="A6" t="s">
        <v>82</v>
      </c>
      <c r="B6" s="8">
        <f>B17+B19+B20</f>
        <v>232.75170000000003</v>
      </c>
      <c r="C6" s="8">
        <f>C17+C19+C20</f>
        <v>7357.9957547470685</v>
      </c>
      <c r="M6" s="5">
        <v>0.75</v>
      </c>
      <c r="N6" s="5">
        <v>2.2000000000000002</v>
      </c>
      <c r="O6" s="5">
        <v>2.6</v>
      </c>
      <c r="P6" s="5">
        <f t="shared" si="7"/>
        <v>0.44999999999999996</v>
      </c>
      <c r="Q6" s="5">
        <f t="shared" si="3"/>
        <v>2.86</v>
      </c>
      <c r="R6" s="5">
        <f t="shared" si="4"/>
        <v>13</v>
      </c>
      <c r="S6" s="8">
        <f t="shared" si="8"/>
        <v>33.110980896361809</v>
      </c>
      <c r="T6" s="8">
        <f t="shared" si="5"/>
        <v>210.43867858576613</v>
      </c>
      <c r="U6" s="8">
        <f t="shared" si="6"/>
        <v>956.53944811711892</v>
      </c>
      <c r="W6" t="s">
        <v>65</v>
      </c>
      <c r="X6" s="5">
        <f t="shared" si="0"/>
        <v>0.6</v>
      </c>
      <c r="Y6" s="5">
        <f t="shared" si="0"/>
        <v>5.1999999999999993</v>
      </c>
      <c r="Z6" s="5">
        <f t="shared" si="0"/>
        <v>24</v>
      </c>
      <c r="AA6">
        <f>SUMPRODUCT(regions!$C4:$C201,regions!DT4:DT201)</f>
        <v>3842737892785.8301</v>
      </c>
      <c r="AB6">
        <f>SUMPRODUCT(regions!$B4:$B201,regions!DT4:DT201)</f>
        <v>1340417738</v>
      </c>
      <c r="AC6" s="8">
        <f t="shared" si="1"/>
        <v>2866.8211288515718</v>
      </c>
      <c r="AD6" s="1">
        <f t="shared" si="2"/>
        <v>6.8846191167010646</v>
      </c>
      <c r="AE6">
        <f>SUMPRODUCT(regions!$Z4:$Z201,regions!DT4:DT201,regions!$B4:$B201)</f>
        <v>9228265583.3999996</v>
      </c>
      <c r="AI6" s="1"/>
    </row>
    <row r="7" spans="1:45" x14ac:dyDescent="0.35">
      <c r="A7" t="s">
        <v>83</v>
      </c>
      <c r="B7" s="8">
        <f>B21+B22</f>
        <v>402.99299000000002</v>
      </c>
      <c r="C7" s="8">
        <f>C21+C22</f>
        <v>1918.6231002581308</v>
      </c>
      <c r="M7" s="5">
        <v>-0.3</v>
      </c>
      <c r="N7" s="5">
        <v>0</v>
      </c>
      <c r="O7" s="5">
        <v>0.3</v>
      </c>
      <c r="P7" s="5">
        <f t="shared" si="7"/>
        <v>-0.18</v>
      </c>
      <c r="Q7" s="5">
        <f t="shared" si="3"/>
        <v>0</v>
      </c>
      <c r="R7" s="5">
        <f t="shared" si="4"/>
        <v>1.5</v>
      </c>
      <c r="S7" s="8">
        <f t="shared" si="8"/>
        <v>-3.4535215804646349</v>
      </c>
      <c r="T7" s="8">
        <f t="shared" si="5"/>
        <v>0</v>
      </c>
      <c r="U7" s="8">
        <f t="shared" si="6"/>
        <v>28.779346503871963</v>
      </c>
      <c r="W7" t="s">
        <v>84</v>
      </c>
      <c r="X7" s="5">
        <f t="shared" si="0"/>
        <v>0.6</v>
      </c>
      <c r="Y7" s="5">
        <f t="shared" si="0"/>
        <v>8.5799999999999983</v>
      </c>
      <c r="Z7" s="5">
        <f t="shared" si="0"/>
        <v>39.5</v>
      </c>
      <c r="AA7">
        <f>SUMPRODUCT(regions!$C4:$C201,regions!DU4:DU201)</f>
        <v>4039484437740.9517</v>
      </c>
      <c r="AB7">
        <f>SUMPRODUCT(regions!$B4:$B201,regions!DU4:DU201)</f>
        <v>2216065823</v>
      </c>
      <c r="AC7" s="8">
        <f t="shared" si="1"/>
        <v>1822.8178945842403</v>
      </c>
      <c r="AD7" s="1">
        <f t="shared" si="2"/>
        <v>23.408799207089249</v>
      </c>
      <c r="AE7">
        <f>SUMPRODUCT(regions!$Z4:$Z201,regions!DU4:DU201,regions!$B4:$B201)</f>
        <v>51875439880.299988</v>
      </c>
      <c r="AI7" s="1"/>
    </row>
    <row r="8" spans="1:45" ht="15" thickBot="1" x14ac:dyDescent="0.4">
      <c r="A8" t="s">
        <v>65</v>
      </c>
      <c r="B8" s="8">
        <f>B28</f>
        <v>1337.3411840000001</v>
      </c>
      <c r="C8" s="8">
        <f>C28</f>
        <v>2452.7886029440251</v>
      </c>
      <c r="M8" s="5">
        <v>1</v>
      </c>
      <c r="N8" s="5">
        <v>4</v>
      </c>
      <c r="O8" s="5">
        <v>4.8</v>
      </c>
      <c r="P8" s="5">
        <f t="shared" si="7"/>
        <v>0.6</v>
      </c>
      <c r="Q8" s="5">
        <f t="shared" si="3"/>
        <v>5.1999999999999993</v>
      </c>
      <c r="R8" s="5">
        <f t="shared" si="4"/>
        <v>24</v>
      </c>
      <c r="S8" s="8">
        <f t="shared" si="8"/>
        <v>14.71673161766415</v>
      </c>
      <c r="T8" s="8">
        <f t="shared" si="5"/>
        <v>127.54500735308929</v>
      </c>
      <c r="U8" s="8">
        <f t="shared" si="6"/>
        <v>588.66926470656608</v>
      </c>
      <c r="W8" t="s">
        <v>85</v>
      </c>
      <c r="X8" s="5">
        <f t="shared" si="0"/>
        <v>0.6</v>
      </c>
      <c r="Y8" s="5">
        <f t="shared" si="0"/>
        <v>5.85</v>
      </c>
      <c r="Z8" s="5">
        <f t="shared" si="0"/>
        <v>27</v>
      </c>
      <c r="AA8">
        <f>SUMPRODUCT(regions!$C4:$C201,regions!DV4:DV201)</f>
        <v>3290446620157.6289</v>
      </c>
      <c r="AB8">
        <f>SUMPRODUCT(regions!$B4:$B201,regions!DV4:DV201)</f>
        <v>1296529202</v>
      </c>
      <c r="AC8" s="8">
        <f t="shared" si="1"/>
        <v>2537.8885528238407</v>
      </c>
      <c r="AD8" s="1">
        <f t="shared" si="2"/>
        <v>22.413461791738342</v>
      </c>
      <c r="AE8">
        <f>SUMPRODUCT(regions!$Z4:$Z201,regions!DV4:DV201,regions!$B4:$B201)</f>
        <v>29059707730.900005</v>
      </c>
      <c r="AI8" s="1"/>
      <c r="AK8" s="2"/>
      <c r="AL8" s="2"/>
    </row>
    <row r="9" spans="1:45" x14ac:dyDescent="0.35">
      <c r="A9" t="s">
        <v>84</v>
      </c>
      <c r="B9" s="8">
        <f>B26+B27</f>
        <v>2063.8368300000002</v>
      </c>
      <c r="C9" s="8">
        <f>C26+C27</f>
        <v>1957.525186861506</v>
      </c>
      <c r="M9" s="5">
        <v>1</v>
      </c>
      <c r="N9" s="5">
        <v>6.6</v>
      </c>
      <c r="O9" s="5">
        <v>7.9</v>
      </c>
      <c r="P9" s="5">
        <f t="shared" si="7"/>
        <v>0.6</v>
      </c>
      <c r="Q9" s="5">
        <f t="shared" si="3"/>
        <v>8.5799999999999983</v>
      </c>
      <c r="R9" s="5">
        <f t="shared" si="4"/>
        <v>39.5</v>
      </c>
      <c r="S9" s="8">
        <f t="shared" si="8"/>
        <v>11.745151121169036</v>
      </c>
      <c r="T9" s="8">
        <f t="shared" si="5"/>
        <v>167.95566103271719</v>
      </c>
      <c r="U9" s="8">
        <f t="shared" si="6"/>
        <v>773.22244881029485</v>
      </c>
      <c r="W9" t="s">
        <v>86</v>
      </c>
      <c r="X9" s="5">
        <f t="shared" si="0"/>
        <v>0.6</v>
      </c>
      <c r="Y9" s="5">
        <f t="shared" si="0"/>
        <v>4.2899999999999991</v>
      </c>
      <c r="Z9" s="5">
        <f t="shared" si="0"/>
        <v>20</v>
      </c>
      <c r="AA9">
        <f>SUMPRODUCT(regions!$C4:$C201,regions!DW4:DW201)</f>
        <v>3395554253790.4824</v>
      </c>
      <c r="AB9">
        <f>SUMPRODUCT(regions!$B4:$B201,regions!DW4:DW201)</f>
        <v>587066528</v>
      </c>
      <c r="AC9" s="8">
        <f t="shared" si="1"/>
        <v>5783.9343444742981</v>
      </c>
      <c r="AD9" s="1">
        <f t="shared" si="2"/>
        <v>22.441698343939652</v>
      </c>
      <c r="AE9">
        <f>SUMPRODUCT(regions!$Z4:$Z201,regions!DW4:DW201,regions!$B4:$B201)</f>
        <v>13174769929.200001</v>
      </c>
    </row>
    <row r="10" spans="1:45" ht="15" thickBot="1" x14ac:dyDescent="0.4">
      <c r="A10" t="s">
        <v>85</v>
      </c>
      <c r="B10" s="8">
        <f>B29+B30+B23</f>
        <v>1157.561661</v>
      </c>
      <c r="C10" s="8">
        <f>C29+C30+C23</f>
        <v>2578.6074737893882</v>
      </c>
      <c r="M10" s="5">
        <v>1</v>
      </c>
      <c r="N10" s="5">
        <v>4.5</v>
      </c>
      <c r="O10" s="5">
        <v>5.4</v>
      </c>
      <c r="P10" s="5">
        <f t="shared" si="7"/>
        <v>0.6</v>
      </c>
      <c r="Q10" s="5">
        <f t="shared" si="3"/>
        <v>5.85</v>
      </c>
      <c r="R10" s="5">
        <f t="shared" si="4"/>
        <v>27</v>
      </c>
      <c r="S10" s="8">
        <f t="shared" si="8"/>
        <v>15.47164484273633</v>
      </c>
      <c r="T10" s="8">
        <f t="shared" si="5"/>
        <v>150.8485372166792</v>
      </c>
      <c r="U10" s="8">
        <f t="shared" si="6"/>
        <v>696.22401792313485</v>
      </c>
    </row>
    <row r="11" spans="1:45" x14ac:dyDescent="0.35">
      <c r="A11" t="s">
        <v>86</v>
      </c>
      <c r="B11" s="8">
        <f>B24+B25+B31</f>
        <v>566.5828039999999</v>
      </c>
      <c r="C11" s="8">
        <f>C24+C25+C31</f>
        <v>2835.5421716576316</v>
      </c>
      <c r="M11" s="5">
        <v>1</v>
      </c>
      <c r="N11" s="5">
        <v>3.3</v>
      </c>
      <c r="O11" s="5">
        <v>4</v>
      </c>
      <c r="P11" s="5">
        <f t="shared" si="7"/>
        <v>0.6</v>
      </c>
      <c r="Q11" s="5">
        <f t="shared" si="3"/>
        <v>4.2899999999999991</v>
      </c>
      <c r="R11" s="5">
        <f t="shared" si="4"/>
        <v>20</v>
      </c>
      <c r="S11" s="8">
        <f t="shared" si="8"/>
        <v>17.013253029945787</v>
      </c>
      <c r="T11" s="8">
        <f t="shared" si="5"/>
        <v>121.64475916411237</v>
      </c>
      <c r="U11" s="8">
        <f t="shared" si="6"/>
        <v>567.10843433152627</v>
      </c>
      <c r="X11" s="5">
        <f>SUMPRODUCT(X2:X9,$AA2:$AA9)/$AA11</f>
        <v>0.50357654687015618</v>
      </c>
      <c r="Y11" s="5">
        <f>SUMPRODUCT(Y2:Y9,$AA2:$AA9)/$AA11</f>
        <v>2.8909238132996098</v>
      </c>
      <c r="Z11" s="5">
        <f>SUMPRODUCT(Z2:Z9,$AA2:$AA9)/$AA11</f>
        <v>13.071417387190749</v>
      </c>
      <c r="AA11">
        <f>SUM(AA2:AA9)</f>
        <v>51484038465614.781</v>
      </c>
      <c r="AK11" s="3"/>
      <c r="AL11" s="3"/>
      <c r="AM11" s="3"/>
      <c r="AN11" s="3"/>
      <c r="AO11" s="3"/>
      <c r="AP11" s="3"/>
    </row>
    <row r="12" spans="1:45" x14ac:dyDescent="0.35">
      <c r="B12" s="8"/>
      <c r="C12" s="8"/>
    </row>
    <row r="13" spans="1:45" x14ac:dyDescent="0.35">
      <c r="A13" t="s">
        <v>21</v>
      </c>
      <c r="B13" s="8">
        <f>SUM(B4:B11)</f>
        <v>6459.6183499999997</v>
      </c>
      <c r="C13" s="8">
        <f>SUM(C4:C11)</f>
        <v>45900.988630230611</v>
      </c>
      <c r="P13" s="5">
        <f>S13/$C13*100</f>
        <v>0.50055692660163809</v>
      </c>
      <c r="Q13" s="5">
        <f>T13/$C13*100</f>
        <v>2.5290946892752775</v>
      </c>
      <c r="R13" s="5">
        <f>U13/$C13*100</f>
        <v>11.355847516448074</v>
      </c>
      <c r="S13" s="8">
        <f>SUM(S4:S11)</f>
        <v>229.76057796724965</v>
      </c>
      <c r="T13" s="8">
        <f>SUM(T4:T11)</f>
        <v>1160.8794657720114</v>
      </c>
      <c r="U13" s="8">
        <f>SUM(U4:U11)</f>
        <v>5212.4462773911555</v>
      </c>
    </row>
    <row r="14" spans="1:45" ht="15" thickBot="1" x14ac:dyDescent="0.4">
      <c r="AK14" s="2"/>
      <c r="AL14" s="2"/>
      <c r="AM14" s="2"/>
      <c r="AN14" s="2"/>
      <c r="AO14" s="2"/>
      <c r="AP14" s="2"/>
    </row>
    <row r="15" spans="1:45" ht="15" thickBot="1" x14ac:dyDescent="0.4">
      <c r="B15">
        <v>2005</v>
      </c>
      <c r="C15">
        <v>2005</v>
      </c>
      <c r="D15" s="8">
        <v>1990</v>
      </c>
      <c r="E15">
        <v>1995</v>
      </c>
      <c r="F15">
        <v>2000</v>
      </c>
      <c r="G15">
        <v>2005</v>
      </c>
    </row>
    <row r="16" spans="1:45" x14ac:dyDescent="0.35">
      <c r="A16" t="s">
        <v>63</v>
      </c>
      <c r="B16">
        <v>295.51659899999999</v>
      </c>
      <c r="C16" s="8">
        <v>13095.4</v>
      </c>
      <c r="D16" s="8">
        <v>8228.9184270420574</v>
      </c>
      <c r="E16" s="8">
        <v>9349.6387212340887</v>
      </c>
      <c r="F16" s="8">
        <v>11558.790643176299</v>
      </c>
      <c r="G16" s="8">
        <v>13095.4</v>
      </c>
      <c r="W16" s="3"/>
      <c r="AK16" s="3"/>
      <c r="AL16" s="3"/>
      <c r="AM16" s="3"/>
      <c r="AN16" s="3"/>
      <c r="AO16" s="3"/>
      <c r="AP16" s="3"/>
      <c r="AQ16" s="3"/>
      <c r="AR16" s="3"/>
      <c r="AS16" s="3"/>
    </row>
    <row r="17" spans="1:45" x14ac:dyDescent="0.35">
      <c r="A17" t="s">
        <v>91</v>
      </c>
      <c r="B17">
        <v>32.311999999999998</v>
      </c>
      <c r="C17" s="8">
        <v>1133.7599854756718</v>
      </c>
      <c r="D17" s="8">
        <v>749.88561828296326</v>
      </c>
      <c r="E17" s="8">
        <v>816.66423380004289</v>
      </c>
      <c r="F17" s="8">
        <v>999.93017382957044</v>
      </c>
      <c r="G17" s="8">
        <v>1133.7599854756718</v>
      </c>
    </row>
    <row r="18" spans="1:45" ht="15" thickBot="1" x14ac:dyDescent="0.4">
      <c r="A18" t="s">
        <v>92</v>
      </c>
      <c r="B18">
        <v>403.034582</v>
      </c>
      <c r="C18" s="8">
        <v>13704.506339972859</v>
      </c>
      <c r="D18" s="8">
        <v>9889.9597636472754</v>
      </c>
      <c r="E18" s="8">
        <v>10762.164920650266</v>
      </c>
      <c r="F18" s="8">
        <v>12546.160997079836</v>
      </c>
      <c r="G18" s="8">
        <v>13704.506339972859</v>
      </c>
      <c r="W18" s="2"/>
    </row>
    <row r="19" spans="1:45" ht="15" thickBot="1" x14ac:dyDescent="0.4">
      <c r="A19" t="s">
        <v>93</v>
      </c>
      <c r="B19">
        <v>175.911</v>
      </c>
      <c r="C19" s="8">
        <v>5416.738741510846</v>
      </c>
      <c r="D19" s="8">
        <v>4227.165129541745</v>
      </c>
      <c r="E19" s="8">
        <v>4679.688820583141</v>
      </c>
      <c r="F19" s="8">
        <v>4986.3690858426662</v>
      </c>
      <c r="G19" s="8">
        <v>5416.738741510846</v>
      </c>
      <c r="AK19" s="2"/>
      <c r="AL19" s="2"/>
      <c r="AM19" s="2"/>
      <c r="AN19" s="2"/>
      <c r="AO19" s="2"/>
      <c r="AP19" s="2"/>
      <c r="AQ19" s="2"/>
      <c r="AR19" s="2"/>
      <c r="AS19" s="2"/>
    </row>
    <row r="20" spans="1:45" x14ac:dyDescent="0.35">
      <c r="A20" t="s">
        <v>94</v>
      </c>
      <c r="B20">
        <v>24.528700000000001</v>
      </c>
      <c r="C20" s="8">
        <v>807.49702776055062</v>
      </c>
      <c r="D20" s="8">
        <v>496.11520531775324</v>
      </c>
      <c r="E20" s="8">
        <v>561.83366073001093</v>
      </c>
      <c r="F20" s="8">
        <v>685.36031189850462</v>
      </c>
      <c r="G20" s="8">
        <v>807.49702776055062</v>
      </c>
    </row>
    <row r="21" spans="1:45" x14ac:dyDescent="0.35">
      <c r="A21" t="s">
        <v>95</v>
      </c>
      <c r="B21">
        <v>118.62045500000001</v>
      </c>
      <c r="C21" s="8">
        <v>870.50752202667718</v>
      </c>
      <c r="D21" s="8">
        <v>613.36191860851113</v>
      </c>
      <c r="E21" s="8">
        <v>606.50734919830882</v>
      </c>
      <c r="F21" s="8">
        <v>713.32898950664833</v>
      </c>
      <c r="G21" s="8">
        <v>870.50752202667718</v>
      </c>
    </row>
    <row r="22" spans="1:45" ht="15" thickBot="1" x14ac:dyDescent="0.4">
      <c r="A22" t="s">
        <v>96</v>
      </c>
      <c r="B22">
        <v>284.37253500000003</v>
      </c>
      <c r="C22" s="8">
        <v>1048.1155782314536</v>
      </c>
      <c r="D22" s="8">
        <v>1153.3017619693453</v>
      </c>
      <c r="E22" s="8">
        <v>695.60395028047776</v>
      </c>
      <c r="F22" s="8">
        <v>758.55463541260485</v>
      </c>
      <c r="G22" s="8">
        <v>1048.1155782314536</v>
      </c>
    </row>
    <row r="23" spans="1:45" x14ac:dyDescent="0.35">
      <c r="A23" t="s">
        <v>97</v>
      </c>
      <c r="B23">
        <v>258.58615200000003</v>
      </c>
      <c r="C23" s="8">
        <v>1607.0495694691306</v>
      </c>
      <c r="D23" s="8">
        <v>786.3614076767243</v>
      </c>
      <c r="E23" s="8">
        <v>1003.9702308234445</v>
      </c>
      <c r="F23" s="8">
        <v>1288.9107881075161</v>
      </c>
      <c r="G23" s="8">
        <v>1607.0495694691306</v>
      </c>
      <c r="AK23" s="4"/>
      <c r="AL23" s="4"/>
    </row>
    <row r="24" spans="1:45" x14ac:dyDescent="0.35">
      <c r="A24" t="s">
        <v>98</v>
      </c>
      <c r="B24">
        <v>153.616668</v>
      </c>
      <c r="C24" s="8">
        <v>1049.8675874434059</v>
      </c>
      <c r="D24" s="8">
        <v>668.55336952256607</v>
      </c>
      <c r="E24" s="8">
        <v>755.49428764970526</v>
      </c>
      <c r="F24" s="8">
        <v>961.81764825476091</v>
      </c>
      <c r="G24" s="8">
        <v>1049.8675874434059</v>
      </c>
    </row>
    <row r="25" spans="1:45" x14ac:dyDescent="0.35">
      <c r="A25" t="s">
        <v>99</v>
      </c>
      <c r="B25">
        <v>372.38273199999998</v>
      </c>
      <c r="C25" s="8">
        <v>1640.9742140292117</v>
      </c>
      <c r="D25" s="8">
        <v>1054.6511436298779</v>
      </c>
      <c r="E25" s="8">
        <v>1283.8154713896593</v>
      </c>
      <c r="F25" s="8">
        <v>1420.1028099551299</v>
      </c>
      <c r="G25" s="8">
        <v>1640.9742140292117</v>
      </c>
    </row>
    <row r="26" spans="1:45" x14ac:dyDescent="0.35">
      <c r="A26" t="s">
        <v>100</v>
      </c>
      <c r="B26">
        <v>1498.6974729999999</v>
      </c>
      <c r="C26" s="8">
        <v>1043.6246722115218</v>
      </c>
      <c r="D26" s="8">
        <v>454.16563330480011</v>
      </c>
      <c r="E26" s="8">
        <v>579.29883857574919</v>
      </c>
      <c r="F26" s="8">
        <v>762.27629457646481</v>
      </c>
      <c r="G26" s="8">
        <v>1043.6246722115218</v>
      </c>
    </row>
    <row r="27" spans="1:45" x14ac:dyDescent="0.35">
      <c r="A27" t="s">
        <v>101</v>
      </c>
      <c r="B27">
        <v>565.13935700000002</v>
      </c>
      <c r="C27" s="8">
        <v>913.90051464998407</v>
      </c>
      <c r="D27" s="8">
        <v>438.40959091568544</v>
      </c>
      <c r="E27" s="8">
        <v>633.26765077961136</v>
      </c>
      <c r="F27" s="8">
        <v>719.36533947397288</v>
      </c>
      <c r="G27" s="8">
        <v>913.90051464998407</v>
      </c>
    </row>
    <row r="28" spans="1:45" ht="15" thickBot="1" x14ac:dyDescent="0.4">
      <c r="A28" t="s">
        <v>102</v>
      </c>
      <c r="B28">
        <v>1337.3411840000001</v>
      </c>
      <c r="C28" s="8">
        <v>2452.7886029440251</v>
      </c>
      <c r="D28" s="8">
        <v>632.9501938226208</v>
      </c>
      <c r="E28" s="8">
        <v>1075.6471202939645</v>
      </c>
      <c r="F28" s="8">
        <v>1573.3214314666402</v>
      </c>
      <c r="G28" s="8">
        <v>2452.7886029440251</v>
      </c>
      <c r="AK28" s="2"/>
      <c r="AL28" s="2"/>
    </row>
    <row r="29" spans="1:45" x14ac:dyDescent="0.35">
      <c r="A29" t="s">
        <v>103</v>
      </c>
      <c r="B29">
        <v>151.48747599999999</v>
      </c>
      <c r="C29" s="8">
        <v>328.69119373345109</v>
      </c>
      <c r="D29" s="8">
        <v>169.58741093153526</v>
      </c>
      <c r="E29" s="8">
        <v>184.59696161721965</v>
      </c>
      <c r="F29" s="8">
        <v>262.86017834927293</v>
      </c>
      <c r="G29" s="8">
        <v>328.69119373345109</v>
      </c>
    </row>
    <row r="30" spans="1:45" ht="15" thickBot="1" x14ac:dyDescent="0.4">
      <c r="A30" t="s">
        <v>104</v>
      </c>
      <c r="B30">
        <v>747.48803299999997</v>
      </c>
      <c r="C30" s="8">
        <v>642.86671058680668</v>
      </c>
      <c r="D30" s="8">
        <v>399.50179324370919</v>
      </c>
      <c r="E30" s="8">
        <v>417.23380945664729</v>
      </c>
      <c r="F30" s="8">
        <v>492.80828133714073</v>
      </c>
      <c r="G30" s="8">
        <v>642.86671058680668</v>
      </c>
    </row>
    <row r="31" spans="1:45" x14ac:dyDescent="0.35">
      <c r="A31" t="s">
        <v>105</v>
      </c>
      <c r="B31">
        <v>40.583404000000002</v>
      </c>
      <c r="C31" s="8">
        <v>144.70037018501392</v>
      </c>
      <c r="D31" s="8">
        <v>84.774357999431743</v>
      </c>
      <c r="E31" s="8">
        <v>82.056783623449064</v>
      </c>
      <c r="F31" s="8">
        <v>109.23177708668412</v>
      </c>
      <c r="G31" s="8">
        <v>144.70037018501392</v>
      </c>
      <c r="AK31" s="3"/>
      <c r="AL31" s="3"/>
      <c r="AM31" s="3"/>
      <c r="AN31" s="3"/>
      <c r="AO31" s="3"/>
      <c r="AP31" s="3"/>
    </row>
    <row r="33" spans="1:45" x14ac:dyDescent="0.35">
      <c r="A33" t="s">
        <v>21</v>
      </c>
      <c r="C33" s="8">
        <f>SUM(C16:C31)</f>
        <v>45900.988630230611</v>
      </c>
    </row>
    <row r="34" spans="1:45" ht="15" thickBot="1" x14ac:dyDescent="0.4">
      <c r="AK34" s="2"/>
      <c r="AL34" s="2"/>
      <c r="AM34" s="2"/>
      <c r="AN34" s="2"/>
      <c r="AO34" s="2"/>
      <c r="AP34" s="2"/>
    </row>
    <row r="35" spans="1:45" ht="15" thickBot="1" x14ac:dyDescent="0.4"/>
    <row r="36" spans="1:45" x14ac:dyDescent="0.35">
      <c r="AK36" s="3"/>
      <c r="AL36" s="3"/>
      <c r="AM36" s="3"/>
      <c r="AN36" s="3"/>
      <c r="AO36" s="3"/>
      <c r="AP36" s="3"/>
      <c r="AQ36" s="3"/>
      <c r="AR36" s="3"/>
      <c r="AS36" s="3"/>
    </row>
    <row r="38" spans="1:45" ht="15" thickBot="1" x14ac:dyDescent="0.4">
      <c r="AK38" s="2"/>
      <c r="AL38" s="2"/>
      <c r="AM38" s="2"/>
      <c r="AN38" s="2"/>
      <c r="AO38" s="2"/>
      <c r="AP38" s="2"/>
      <c r="AQ38" s="2"/>
      <c r="AR38" s="2"/>
      <c r="AS38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S38"/>
  <sheetViews>
    <sheetView topLeftCell="P1" workbookViewId="0">
      <selection activeCell="A2" sqref="A2"/>
    </sheetView>
  </sheetViews>
  <sheetFormatPr defaultRowHeight="14.5" x14ac:dyDescent="0.35"/>
  <cols>
    <col min="1" max="2" width="12.81640625" customWidth="1"/>
    <col min="24" max="24" width="17.54296875" bestFit="1" customWidth="1"/>
    <col min="27" max="27" width="12" bestFit="1" customWidth="1"/>
  </cols>
  <sheetData>
    <row r="1" spans="1:45" x14ac:dyDescent="0.35">
      <c r="B1" t="s">
        <v>295</v>
      </c>
      <c r="C1" t="s">
        <v>72</v>
      </c>
      <c r="D1" t="s">
        <v>107</v>
      </c>
      <c r="G1" t="s">
        <v>108</v>
      </c>
      <c r="J1" t="s">
        <v>90</v>
      </c>
      <c r="M1" t="s">
        <v>109</v>
      </c>
      <c r="P1" t="s">
        <v>90</v>
      </c>
      <c r="S1" t="s">
        <v>90</v>
      </c>
      <c r="AA1" t="s">
        <v>72</v>
      </c>
      <c r="AB1" t="s">
        <v>295</v>
      </c>
      <c r="AD1" t="s">
        <v>503</v>
      </c>
    </row>
    <row r="2" spans="1:45" ht="15" thickBot="1" x14ac:dyDescent="0.4">
      <c r="C2" t="s">
        <v>106</v>
      </c>
      <c r="D2" t="s">
        <v>87</v>
      </c>
      <c r="G2" t="s">
        <v>87</v>
      </c>
      <c r="J2" t="s">
        <v>87</v>
      </c>
      <c r="P2" t="s">
        <v>87</v>
      </c>
      <c r="S2" t="s">
        <v>106</v>
      </c>
      <c r="W2" t="s">
        <v>66</v>
      </c>
      <c r="X2" s="5">
        <f>P4</f>
        <v>-0.1</v>
      </c>
      <c r="Y2" s="5">
        <f>Q4</f>
        <v>1.23</v>
      </c>
      <c r="Z2" s="5">
        <f>R4</f>
        <v>2.5</v>
      </c>
      <c r="AA2">
        <f>PlambeckHope!AA2</f>
        <v>13443937262089.053</v>
      </c>
      <c r="AB2">
        <f>PlambeckHope!AB2</f>
        <v>399537973</v>
      </c>
      <c r="AC2">
        <f>PlambeckHope!AC2</f>
        <v>33648.709686198097</v>
      </c>
      <c r="AD2">
        <f>PlambeckHope!AD2</f>
        <v>10.265844520615817</v>
      </c>
      <c r="AE2">
        <f>PlambeckHope!AE2</f>
        <v>4101594710.9000001</v>
      </c>
      <c r="AI2" s="1"/>
    </row>
    <row r="3" spans="1:45" x14ac:dyDescent="0.35">
      <c r="D3" t="s">
        <v>110</v>
      </c>
      <c r="E3" t="s">
        <v>111</v>
      </c>
      <c r="F3" t="s">
        <v>112</v>
      </c>
      <c r="W3" t="s">
        <v>63</v>
      </c>
      <c r="X3" s="5">
        <f t="shared" ref="X3:Z9" si="0">P5</f>
        <v>0</v>
      </c>
      <c r="Y3" s="5">
        <f t="shared" si="0"/>
        <v>0.3075</v>
      </c>
      <c r="Z3" s="5">
        <f t="shared" si="0"/>
        <v>1.25</v>
      </c>
      <c r="AA3">
        <f>PlambeckHope!AA3</f>
        <v>13595644353592.4</v>
      </c>
      <c r="AB3">
        <f>PlambeckHope!AB3</f>
        <v>309326225</v>
      </c>
      <c r="AC3">
        <f>PlambeckHope!AC3</f>
        <v>43952.446494287382</v>
      </c>
      <c r="AD3">
        <f>PlambeckHope!AD3</f>
        <v>8.5</v>
      </c>
      <c r="AE3">
        <f>PlambeckHope!AE3</f>
        <v>2629272912.5</v>
      </c>
      <c r="AI3" s="1"/>
      <c r="AK3" s="4"/>
      <c r="AL3" s="4"/>
    </row>
    <row r="4" spans="1:45" x14ac:dyDescent="0.35">
      <c r="A4" t="s">
        <v>66</v>
      </c>
      <c r="B4" s="8">
        <f>B18</f>
        <v>403.034582</v>
      </c>
      <c r="C4" s="8">
        <f>C18</f>
        <v>13704.506339972859</v>
      </c>
      <c r="D4">
        <v>0</v>
      </c>
      <c r="E4">
        <v>0.73</v>
      </c>
      <c r="F4">
        <v>1.5</v>
      </c>
      <c r="G4">
        <v>-0.1</v>
      </c>
      <c r="H4">
        <v>0.5</v>
      </c>
      <c r="I4">
        <v>1</v>
      </c>
      <c r="J4">
        <f>D4+G4</f>
        <v>-0.1</v>
      </c>
      <c r="K4">
        <f>E4+H4</f>
        <v>1.23</v>
      </c>
      <c r="L4">
        <f>F4+I4</f>
        <v>2.5</v>
      </c>
      <c r="M4" s="5">
        <v>1</v>
      </c>
      <c r="N4" s="5">
        <v>1</v>
      </c>
      <c r="O4" s="5">
        <v>1</v>
      </c>
      <c r="P4" s="5">
        <f>J$4*M4</f>
        <v>-0.1</v>
      </c>
      <c r="Q4" s="5">
        <f t="shared" ref="Q4:R11" si="1">K$4*N4</f>
        <v>1.23</v>
      </c>
      <c r="R4" s="5">
        <f t="shared" si="1"/>
        <v>2.5</v>
      </c>
      <c r="S4" s="8">
        <f>$C4*P4/100</f>
        <v>-13.704506339972859</v>
      </c>
      <c r="T4" s="8">
        <f t="shared" ref="T4:U11" si="2">$C4*Q4/100</f>
        <v>168.56542798166615</v>
      </c>
      <c r="U4" s="8">
        <f t="shared" si="2"/>
        <v>342.61265849932147</v>
      </c>
      <c r="W4" t="s">
        <v>82</v>
      </c>
      <c r="X4" s="5">
        <f t="shared" si="0"/>
        <v>0</v>
      </c>
      <c r="Y4" s="5">
        <f t="shared" si="0"/>
        <v>0.3075</v>
      </c>
      <c r="Z4" s="5">
        <f t="shared" si="0"/>
        <v>1.25</v>
      </c>
      <c r="AA4">
        <f>PlambeckHope!AA4</f>
        <v>7584984327892.3086</v>
      </c>
      <c r="AB4">
        <f>PlambeckHope!AB4</f>
        <v>202145993</v>
      </c>
      <c r="AC4">
        <f>PlambeckHope!AC4</f>
        <v>37522.30858166112</v>
      </c>
      <c r="AD4">
        <f>PlambeckHope!AD4</f>
        <v>9.0237181812453731</v>
      </c>
      <c r="AE4">
        <f>PlambeckHope!AE4</f>
        <v>1824108472.3</v>
      </c>
      <c r="AI4" s="1"/>
    </row>
    <row r="5" spans="1:45" x14ac:dyDescent="0.35">
      <c r="A5" t="s">
        <v>63</v>
      </c>
      <c r="B5" s="8">
        <f>B16</f>
        <v>295.51659899999999</v>
      </c>
      <c r="C5" s="8">
        <f>C16</f>
        <v>13095.4</v>
      </c>
      <c r="M5" s="5">
        <v>0</v>
      </c>
      <c r="N5" s="5">
        <v>0.25</v>
      </c>
      <c r="O5" s="5">
        <v>0.5</v>
      </c>
      <c r="P5" s="5">
        <f t="shared" ref="P5:P11" si="3">J$4*M5</f>
        <v>0</v>
      </c>
      <c r="Q5" s="5">
        <f t="shared" si="1"/>
        <v>0.3075</v>
      </c>
      <c r="R5" s="5">
        <f t="shared" si="1"/>
        <v>1.25</v>
      </c>
      <c r="S5" s="8">
        <f t="shared" ref="S5:S11" si="4">$C5*P5/100</f>
        <v>0</v>
      </c>
      <c r="T5" s="8">
        <f t="shared" si="2"/>
        <v>40.268355</v>
      </c>
      <c r="U5" s="8">
        <f t="shared" si="2"/>
        <v>163.6925</v>
      </c>
      <c r="W5" t="s">
        <v>83</v>
      </c>
      <c r="X5" s="5">
        <f t="shared" si="0"/>
        <v>0.1</v>
      </c>
      <c r="Y5" s="5">
        <f t="shared" si="0"/>
        <v>-0.43049999999999999</v>
      </c>
      <c r="Z5" s="5">
        <f t="shared" si="0"/>
        <v>0.5</v>
      </c>
      <c r="AA5">
        <f>PlambeckHope!AA5</f>
        <v>2291249317566.1226</v>
      </c>
      <c r="AB5">
        <f>PlambeckHope!AB5</f>
        <v>413630243</v>
      </c>
      <c r="AC5">
        <f>PlambeckHope!AC5</f>
        <v>5539.3660312360735</v>
      </c>
      <c r="AD5">
        <f>PlambeckHope!AD5</f>
        <v>4.1254740461518917</v>
      </c>
      <c r="AE5">
        <f>PlambeckHope!AE5</f>
        <v>1706420832.2</v>
      </c>
      <c r="AI5" s="1"/>
    </row>
    <row r="6" spans="1:45" x14ac:dyDescent="0.35">
      <c r="A6" t="s">
        <v>82</v>
      </c>
      <c r="B6" s="8">
        <f>B17+B19+B20</f>
        <v>232.75170000000003</v>
      </c>
      <c r="C6" s="8">
        <f>C17+C19+C20</f>
        <v>7357.9957547470685</v>
      </c>
      <c r="M6" s="5">
        <v>0</v>
      </c>
      <c r="N6" s="5">
        <v>0.25</v>
      </c>
      <c r="O6" s="5">
        <v>0.5</v>
      </c>
      <c r="P6" s="5">
        <f t="shared" si="3"/>
        <v>0</v>
      </c>
      <c r="Q6" s="5">
        <f t="shared" si="1"/>
        <v>0.3075</v>
      </c>
      <c r="R6" s="5">
        <f t="shared" si="1"/>
        <v>1.25</v>
      </c>
      <c r="S6" s="8">
        <f t="shared" si="4"/>
        <v>0</v>
      </c>
      <c r="T6" s="8">
        <f t="shared" si="2"/>
        <v>22.625836945847237</v>
      </c>
      <c r="U6" s="8">
        <f t="shared" si="2"/>
        <v>91.974946934338348</v>
      </c>
      <c r="W6" t="s">
        <v>65</v>
      </c>
      <c r="X6" s="5">
        <f t="shared" si="0"/>
        <v>0</v>
      </c>
      <c r="Y6" s="5">
        <f t="shared" si="0"/>
        <v>0.246</v>
      </c>
      <c r="Z6" s="5">
        <f t="shared" si="0"/>
        <v>1.25</v>
      </c>
      <c r="AA6">
        <f>PlambeckHope!AA6</f>
        <v>3842737892785.8301</v>
      </c>
      <c r="AB6">
        <f>PlambeckHope!AB6</f>
        <v>1340417738</v>
      </c>
      <c r="AC6">
        <f>PlambeckHope!AC6</f>
        <v>2866.8211288515718</v>
      </c>
      <c r="AD6">
        <f>PlambeckHope!AD6</f>
        <v>6.8846191167010646</v>
      </c>
      <c r="AE6">
        <f>PlambeckHope!AE6</f>
        <v>9228265583.3999996</v>
      </c>
      <c r="AI6" s="1"/>
    </row>
    <row r="7" spans="1:45" x14ac:dyDescent="0.35">
      <c r="A7" t="s">
        <v>83</v>
      </c>
      <c r="B7" s="8">
        <f>B21+B22</f>
        <v>402.99299000000002</v>
      </c>
      <c r="C7" s="8">
        <f>C21+C22</f>
        <v>1918.6231002581308</v>
      </c>
      <c r="M7" s="5">
        <v>-1</v>
      </c>
      <c r="N7" s="5">
        <v>-0.35</v>
      </c>
      <c r="O7" s="5">
        <v>0.2</v>
      </c>
      <c r="P7" s="5">
        <f t="shared" si="3"/>
        <v>0.1</v>
      </c>
      <c r="Q7" s="5">
        <f t="shared" si="1"/>
        <v>-0.43049999999999999</v>
      </c>
      <c r="R7" s="5">
        <f t="shared" si="1"/>
        <v>0.5</v>
      </c>
      <c r="S7" s="8">
        <f t="shared" si="4"/>
        <v>1.9186231002581309</v>
      </c>
      <c r="T7" s="8">
        <f t="shared" si="2"/>
        <v>-8.259672446611253</v>
      </c>
      <c r="U7" s="8">
        <f t="shared" si="2"/>
        <v>9.5931155012906544</v>
      </c>
      <c r="W7" t="s">
        <v>84</v>
      </c>
      <c r="X7" s="5">
        <f t="shared" si="0"/>
        <v>-0.15000000000000002</v>
      </c>
      <c r="Y7" s="5">
        <f t="shared" si="0"/>
        <v>3.0750000000000002</v>
      </c>
      <c r="Z7" s="5">
        <f t="shared" si="0"/>
        <v>10</v>
      </c>
      <c r="AA7">
        <f>PlambeckHope!AA7</f>
        <v>4039484437740.9517</v>
      </c>
      <c r="AB7">
        <f>PlambeckHope!AB7</f>
        <v>2216065823</v>
      </c>
      <c r="AC7">
        <f>PlambeckHope!AC7</f>
        <v>1822.8178945842403</v>
      </c>
      <c r="AD7">
        <f>PlambeckHope!AD7</f>
        <v>23.408799207089249</v>
      </c>
      <c r="AE7">
        <f>PlambeckHope!AE7</f>
        <v>51875439880.299988</v>
      </c>
      <c r="AI7" s="1"/>
    </row>
    <row r="8" spans="1:45" ht="15" thickBot="1" x14ac:dyDescent="0.4">
      <c r="A8" t="s">
        <v>65</v>
      </c>
      <c r="B8" s="8">
        <f>B28</f>
        <v>1337.3411840000001</v>
      </c>
      <c r="C8" s="8">
        <f>C28</f>
        <v>2452.7886029440251</v>
      </c>
      <c r="M8" s="5">
        <v>0</v>
      </c>
      <c r="N8" s="5">
        <v>0.2</v>
      </c>
      <c r="O8" s="5">
        <v>0.5</v>
      </c>
      <c r="P8" s="5">
        <f t="shared" si="3"/>
        <v>0</v>
      </c>
      <c r="Q8" s="5">
        <f t="shared" si="1"/>
        <v>0.246</v>
      </c>
      <c r="R8" s="5">
        <f t="shared" si="1"/>
        <v>1.25</v>
      </c>
      <c r="S8" s="8">
        <f t="shared" si="4"/>
        <v>0</v>
      </c>
      <c r="T8" s="8">
        <f t="shared" si="2"/>
        <v>6.0338599632423016</v>
      </c>
      <c r="U8" s="8">
        <f t="shared" si="2"/>
        <v>30.659857536800313</v>
      </c>
      <c r="W8" t="s">
        <v>85</v>
      </c>
      <c r="X8" s="5">
        <f t="shared" si="0"/>
        <v>-0.1</v>
      </c>
      <c r="Y8" s="5">
        <f t="shared" si="0"/>
        <v>2.2509000000000001</v>
      </c>
      <c r="Z8" s="5">
        <f t="shared" si="0"/>
        <v>7.5</v>
      </c>
      <c r="AA8">
        <f>PlambeckHope!AA8</f>
        <v>3290446620157.6289</v>
      </c>
      <c r="AB8">
        <f>PlambeckHope!AB8</f>
        <v>1296529202</v>
      </c>
      <c r="AC8">
        <f>PlambeckHope!AC8</f>
        <v>2537.8885528238407</v>
      </c>
      <c r="AD8">
        <f>PlambeckHope!AD8</f>
        <v>22.413461791738342</v>
      </c>
      <c r="AE8">
        <f>PlambeckHope!AE8</f>
        <v>29059707730.900005</v>
      </c>
      <c r="AI8" s="1"/>
      <c r="AK8" s="2"/>
      <c r="AL8" s="2"/>
    </row>
    <row r="9" spans="1:45" x14ac:dyDescent="0.35">
      <c r="A9" t="s">
        <v>84</v>
      </c>
      <c r="B9" s="8">
        <f>B26+B27</f>
        <v>2063.8368300000002</v>
      </c>
      <c r="C9" s="8">
        <f>C26+C27</f>
        <v>1957.525186861506</v>
      </c>
      <c r="M9" s="5">
        <v>1.5</v>
      </c>
      <c r="N9" s="5">
        <v>2.5</v>
      </c>
      <c r="O9" s="5">
        <v>4</v>
      </c>
      <c r="P9" s="5">
        <f t="shared" si="3"/>
        <v>-0.15000000000000002</v>
      </c>
      <c r="Q9" s="5">
        <f t="shared" si="1"/>
        <v>3.0750000000000002</v>
      </c>
      <c r="R9" s="5">
        <f t="shared" si="1"/>
        <v>10</v>
      </c>
      <c r="S9" s="8">
        <f t="shared" si="4"/>
        <v>-2.9362877802922593</v>
      </c>
      <c r="T9" s="8">
        <f t="shared" si="2"/>
        <v>60.19389949599131</v>
      </c>
      <c r="U9" s="8">
        <f t="shared" si="2"/>
        <v>195.75251868615058</v>
      </c>
      <c r="W9" t="s">
        <v>86</v>
      </c>
      <c r="X9" s="5">
        <f t="shared" si="0"/>
        <v>-0.1</v>
      </c>
      <c r="Y9" s="5">
        <f t="shared" si="0"/>
        <v>2.2509000000000001</v>
      </c>
      <c r="Z9" s="5">
        <f t="shared" si="0"/>
        <v>7.5</v>
      </c>
      <c r="AA9">
        <f>PlambeckHope!AA9</f>
        <v>3395554253790.4824</v>
      </c>
      <c r="AB9">
        <f>PlambeckHope!AB9</f>
        <v>587066528</v>
      </c>
      <c r="AC9">
        <f>PlambeckHope!AC9</f>
        <v>5783.9343444742981</v>
      </c>
      <c r="AD9">
        <f>PlambeckHope!AD9</f>
        <v>22.441698343939652</v>
      </c>
      <c r="AE9">
        <f>PlambeckHope!AE9</f>
        <v>13174769929.200001</v>
      </c>
    </row>
    <row r="10" spans="1:45" ht="15" thickBot="1" x14ac:dyDescent="0.4">
      <c r="A10" t="s">
        <v>85</v>
      </c>
      <c r="B10" s="8">
        <f>B29+B30+B23</f>
        <v>1157.561661</v>
      </c>
      <c r="C10" s="8">
        <f>C29+C30+C23</f>
        <v>2578.6074737893882</v>
      </c>
      <c r="M10" s="5">
        <v>1</v>
      </c>
      <c r="N10" s="5">
        <v>1.83</v>
      </c>
      <c r="O10" s="5">
        <v>3</v>
      </c>
      <c r="P10" s="5">
        <f t="shared" si="3"/>
        <v>-0.1</v>
      </c>
      <c r="Q10" s="5">
        <f t="shared" si="1"/>
        <v>2.2509000000000001</v>
      </c>
      <c r="R10" s="5">
        <f t="shared" si="1"/>
        <v>7.5</v>
      </c>
      <c r="S10" s="8">
        <f t="shared" si="4"/>
        <v>-2.578607473789388</v>
      </c>
      <c r="T10" s="8">
        <f t="shared" si="2"/>
        <v>58.041875627525343</v>
      </c>
      <c r="U10" s="8">
        <f t="shared" si="2"/>
        <v>193.39556053420412</v>
      </c>
    </row>
    <row r="11" spans="1:45" x14ac:dyDescent="0.35">
      <c r="A11" t="s">
        <v>86</v>
      </c>
      <c r="B11" s="8">
        <f>B24+B25+B31</f>
        <v>566.5828039999999</v>
      </c>
      <c r="C11" s="8">
        <f>C24+C25+C31</f>
        <v>2835.5421716576316</v>
      </c>
      <c r="M11" s="5">
        <v>1</v>
      </c>
      <c r="N11" s="5">
        <v>1.83</v>
      </c>
      <c r="O11" s="5">
        <v>3</v>
      </c>
      <c r="P11" s="5">
        <f t="shared" si="3"/>
        <v>-0.1</v>
      </c>
      <c r="Q11" s="5">
        <f t="shared" si="1"/>
        <v>2.2509000000000001</v>
      </c>
      <c r="R11" s="5">
        <f t="shared" si="1"/>
        <v>7.5</v>
      </c>
      <c r="S11" s="8">
        <f t="shared" si="4"/>
        <v>-2.8355421716576319</v>
      </c>
      <c r="T11" s="8">
        <f t="shared" si="2"/>
        <v>63.825218741841638</v>
      </c>
      <c r="U11" s="8">
        <f t="shared" si="2"/>
        <v>212.66566287432238</v>
      </c>
      <c r="X11" s="5">
        <f>SUMPRODUCT(X2:X9,$AA2:$AA9)/$AA11</f>
        <v>-4.6418105858271858E-2</v>
      </c>
      <c r="Y11" s="5">
        <f>SUMPRODUCT(Y2:Y9,$AA2:$AA9)/$AA11</f>
        <v>0.9804776851232514</v>
      </c>
      <c r="Z11" s="5">
        <f>SUMPRODUCT(Z2:Z9,$AA2:$AA9)/$AA11</f>
        <v>3.0412246519557202</v>
      </c>
      <c r="AA11">
        <f>SUM(AA2:AA9)</f>
        <v>51484038465614.781</v>
      </c>
      <c r="AK11" s="3"/>
      <c r="AL11" s="3"/>
      <c r="AM11" s="3"/>
      <c r="AN11" s="3"/>
      <c r="AO11" s="3"/>
      <c r="AP11" s="3"/>
    </row>
    <row r="12" spans="1:45" x14ac:dyDescent="0.35">
      <c r="B12" s="8"/>
      <c r="C12" s="8"/>
      <c r="N12" s="5"/>
      <c r="Q12" s="5"/>
    </row>
    <row r="13" spans="1:45" x14ac:dyDescent="0.35">
      <c r="A13" t="s">
        <v>21</v>
      </c>
      <c r="B13" s="8">
        <f>SUM(B4:B11)</f>
        <v>6459.6183499999997</v>
      </c>
      <c r="C13" s="8">
        <f>SUM(C4:C11)</f>
        <v>45900.988630230611</v>
      </c>
      <c r="P13" s="5">
        <f>S13/$C13*100</f>
        <v>-4.3869034777591111E-2</v>
      </c>
      <c r="Q13" s="5">
        <f>T13/$C13*100</f>
        <v>0.89604780546844676</v>
      </c>
      <c r="R13" s="5">
        <f>U13/$C13*100</f>
        <v>2.7022224522404503</v>
      </c>
      <c r="S13" s="8">
        <f>SUM(S4:S11)</f>
        <v>-20.136320665454008</v>
      </c>
      <c r="T13" s="8">
        <f>SUM(T4:T11)</f>
        <v>411.2948013095027</v>
      </c>
      <c r="U13" s="8">
        <f>SUM(U4:U11)</f>
        <v>1240.3468205664278</v>
      </c>
    </row>
    <row r="14" spans="1:45" ht="15" thickBot="1" x14ac:dyDescent="0.4">
      <c r="AK14" s="2"/>
      <c r="AL14" s="2"/>
      <c r="AM14" s="2"/>
      <c r="AN14" s="2"/>
      <c r="AO14" s="2"/>
      <c r="AP14" s="2"/>
    </row>
    <row r="15" spans="1:45" ht="15" thickBot="1" x14ac:dyDescent="0.4">
      <c r="B15">
        <v>2005</v>
      </c>
      <c r="C15">
        <v>2005</v>
      </c>
      <c r="D15" s="8"/>
    </row>
    <row r="16" spans="1:45" x14ac:dyDescent="0.35">
      <c r="A16" t="s">
        <v>63</v>
      </c>
      <c r="B16">
        <v>295.51659899999999</v>
      </c>
      <c r="C16" s="8">
        <v>13095.4</v>
      </c>
      <c r="D16" s="8"/>
      <c r="E16" s="8"/>
      <c r="G16" s="8"/>
      <c r="AK16" s="3"/>
      <c r="AL16" s="3"/>
      <c r="AM16" s="3"/>
      <c r="AN16" s="3"/>
      <c r="AO16" s="3"/>
      <c r="AP16" s="3"/>
      <c r="AQ16" s="3"/>
      <c r="AR16" s="3"/>
      <c r="AS16" s="3"/>
    </row>
    <row r="17" spans="1:45" x14ac:dyDescent="0.35">
      <c r="A17" t="s">
        <v>91</v>
      </c>
      <c r="B17">
        <v>32.311999999999998</v>
      </c>
      <c r="C17" s="8">
        <v>1133.7599854756718</v>
      </c>
      <c r="D17" s="8"/>
      <c r="E17" s="8"/>
      <c r="F17" s="8"/>
      <c r="G17" s="8"/>
    </row>
    <row r="18" spans="1:45" x14ac:dyDescent="0.35">
      <c r="A18" t="s">
        <v>92</v>
      </c>
      <c r="B18">
        <v>403.034582</v>
      </c>
      <c r="C18" s="8">
        <v>13704.506339972859</v>
      </c>
      <c r="D18" s="8"/>
      <c r="E18" s="8"/>
      <c r="F18" s="8"/>
      <c r="G18" s="8"/>
    </row>
    <row r="19" spans="1:45" ht="15" thickBot="1" x14ac:dyDescent="0.4">
      <c r="A19" t="s">
        <v>93</v>
      </c>
      <c r="B19">
        <v>175.911</v>
      </c>
      <c r="C19" s="8">
        <v>5416.738741510846</v>
      </c>
      <c r="D19" s="8"/>
      <c r="E19" s="8"/>
      <c r="F19" s="8"/>
      <c r="G19" s="8"/>
      <c r="AK19" s="2"/>
      <c r="AL19" s="2"/>
      <c r="AM19" s="2"/>
      <c r="AN19" s="2"/>
      <c r="AO19" s="2"/>
      <c r="AP19" s="2"/>
      <c r="AQ19" s="2"/>
      <c r="AR19" s="2"/>
      <c r="AS19" s="2"/>
    </row>
    <row r="20" spans="1:45" x14ac:dyDescent="0.35">
      <c r="A20" t="s">
        <v>94</v>
      </c>
      <c r="B20">
        <v>24.528700000000001</v>
      </c>
      <c r="C20" s="8">
        <v>807.49702776055062</v>
      </c>
      <c r="D20" s="8"/>
      <c r="E20" s="8"/>
      <c r="F20" s="8"/>
      <c r="G20" s="8"/>
    </row>
    <row r="21" spans="1:45" x14ac:dyDescent="0.35">
      <c r="A21" t="s">
        <v>95</v>
      </c>
      <c r="B21">
        <v>118.62045500000001</v>
      </c>
      <c r="C21" s="8">
        <v>870.50752202667718</v>
      </c>
      <c r="D21" s="8"/>
      <c r="E21" s="8"/>
      <c r="F21" s="8"/>
      <c r="G21" s="8"/>
    </row>
    <row r="22" spans="1:45" ht="15" thickBot="1" x14ac:dyDescent="0.4">
      <c r="A22" t="s">
        <v>96</v>
      </c>
      <c r="B22">
        <v>284.37253500000003</v>
      </c>
      <c r="C22" s="8">
        <v>1048.1155782314536</v>
      </c>
      <c r="D22" s="8"/>
      <c r="E22" s="8"/>
      <c r="F22" s="8"/>
      <c r="G22" s="8"/>
    </row>
    <row r="23" spans="1:45" x14ac:dyDescent="0.35">
      <c r="A23" t="s">
        <v>97</v>
      </c>
      <c r="B23">
        <v>258.58615200000003</v>
      </c>
      <c r="C23" s="8">
        <v>1607.0495694691306</v>
      </c>
      <c r="D23" s="8"/>
      <c r="E23" s="8"/>
      <c r="F23" s="8"/>
      <c r="G23" s="8"/>
      <c r="AK23" s="4"/>
      <c r="AL23" s="4"/>
    </row>
    <row r="24" spans="1:45" x14ac:dyDescent="0.35">
      <c r="A24" t="s">
        <v>98</v>
      </c>
      <c r="B24">
        <v>153.616668</v>
      </c>
      <c r="C24" s="8">
        <v>1049.8675874434059</v>
      </c>
      <c r="D24" s="8"/>
      <c r="E24" s="8"/>
      <c r="F24" s="8"/>
      <c r="G24" s="8"/>
    </row>
    <row r="25" spans="1:45" x14ac:dyDescent="0.35">
      <c r="A25" t="s">
        <v>99</v>
      </c>
      <c r="B25">
        <v>372.38273199999998</v>
      </c>
      <c r="C25" s="8">
        <v>1640.9742140292117</v>
      </c>
      <c r="D25" s="8"/>
      <c r="E25" s="8"/>
      <c r="F25" s="8"/>
      <c r="G25" s="8"/>
    </row>
    <row r="26" spans="1:45" x14ac:dyDescent="0.35">
      <c r="A26" t="s">
        <v>100</v>
      </c>
      <c r="B26">
        <v>1498.6974729999999</v>
      </c>
      <c r="C26" s="8">
        <v>1043.6246722115218</v>
      </c>
      <c r="D26" s="8"/>
      <c r="E26" s="8"/>
      <c r="F26" s="8"/>
      <c r="G26" s="8"/>
    </row>
    <row r="27" spans="1:45" x14ac:dyDescent="0.35">
      <c r="A27" t="s">
        <v>101</v>
      </c>
      <c r="B27">
        <v>565.13935700000002</v>
      </c>
      <c r="C27" s="8">
        <v>913.90051464998407</v>
      </c>
      <c r="D27" s="8"/>
      <c r="E27" s="8"/>
      <c r="F27" s="8"/>
      <c r="G27" s="8"/>
    </row>
    <row r="28" spans="1:45" ht="15" thickBot="1" x14ac:dyDescent="0.4">
      <c r="A28" t="s">
        <v>102</v>
      </c>
      <c r="B28">
        <v>1337.3411840000001</v>
      </c>
      <c r="C28" s="8">
        <v>2452.7886029440251</v>
      </c>
      <c r="D28" s="8"/>
      <c r="E28" s="8"/>
      <c r="F28" s="8"/>
      <c r="G28" s="8"/>
      <c r="AK28" s="2"/>
      <c r="AL28" s="2"/>
    </row>
    <row r="29" spans="1:45" x14ac:dyDescent="0.35">
      <c r="A29" t="s">
        <v>103</v>
      </c>
      <c r="B29">
        <v>151.48747599999999</v>
      </c>
      <c r="C29" s="8">
        <v>328.69119373345109</v>
      </c>
      <c r="D29" s="8"/>
      <c r="E29" s="8"/>
      <c r="F29" s="8"/>
      <c r="G29" s="8"/>
    </row>
    <row r="30" spans="1:45" ht="15" thickBot="1" x14ac:dyDescent="0.4">
      <c r="A30" t="s">
        <v>104</v>
      </c>
      <c r="B30">
        <v>747.48803299999997</v>
      </c>
      <c r="C30" s="8">
        <v>642.86671058680668</v>
      </c>
      <c r="D30" s="8"/>
      <c r="E30" s="8"/>
      <c r="F30" s="8"/>
      <c r="G30" s="8"/>
    </row>
    <row r="31" spans="1:45" x14ac:dyDescent="0.35">
      <c r="A31" t="s">
        <v>105</v>
      </c>
      <c r="B31">
        <v>40.583404000000002</v>
      </c>
      <c r="C31" s="8">
        <v>144.70037018501392</v>
      </c>
      <c r="D31" s="8"/>
      <c r="E31" s="8"/>
      <c r="F31" s="8"/>
      <c r="G31" s="8"/>
      <c r="AK31" s="3"/>
      <c r="AL31" s="3"/>
      <c r="AM31" s="3"/>
      <c r="AN31" s="3"/>
      <c r="AO31" s="3"/>
      <c r="AP31" s="3"/>
    </row>
    <row r="33" spans="1:45" x14ac:dyDescent="0.35">
      <c r="A33" t="s">
        <v>21</v>
      </c>
      <c r="C33" s="8">
        <f>SUM(C16:C31)</f>
        <v>45900.988630230611</v>
      </c>
    </row>
    <row r="34" spans="1:45" ht="15" thickBot="1" x14ac:dyDescent="0.4">
      <c r="AK34" s="2"/>
      <c r="AL34" s="2"/>
      <c r="AM34" s="2"/>
      <c r="AN34" s="2"/>
      <c r="AO34" s="2"/>
      <c r="AP34" s="2"/>
    </row>
    <row r="35" spans="1:45" ht="15" thickBot="1" x14ac:dyDescent="0.4"/>
    <row r="36" spans="1:45" x14ac:dyDescent="0.35">
      <c r="AK36" s="3"/>
      <c r="AL36" s="3"/>
      <c r="AM36" s="3"/>
      <c r="AN36" s="3"/>
      <c r="AO36" s="3"/>
      <c r="AP36" s="3"/>
      <c r="AQ36" s="3"/>
      <c r="AR36" s="3"/>
      <c r="AS36" s="3"/>
    </row>
    <row r="38" spans="1:45" ht="15" thickBot="1" x14ac:dyDescent="0.4">
      <c r="AK38" s="2"/>
      <c r="AL38" s="2"/>
      <c r="AM38" s="2"/>
      <c r="AN38" s="2"/>
      <c r="AO38" s="2"/>
      <c r="AP38" s="2"/>
      <c r="AQ38" s="2"/>
      <c r="AR38" s="2"/>
      <c r="AS38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U38"/>
  <sheetViews>
    <sheetView workbookViewId="0">
      <selection activeCell="I2" sqref="I2:K7"/>
    </sheetView>
  </sheetViews>
  <sheetFormatPr defaultRowHeight="14.5" x14ac:dyDescent="0.35"/>
  <cols>
    <col min="3" max="3" width="12" bestFit="1" customWidth="1"/>
    <col min="4" max="4" width="10" bestFit="1" customWidth="1"/>
    <col min="7" max="7" width="11" bestFit="1" customWidth="1"/>
  </cols>
  <sheetData>
    <row r="1" spans="1:21" x14ac:dyDescent="0.35">
      <c r="B1" t="s">
        <v>87</v>
      </c>
      <c r="C1" t="s">
        <v>72</v>
      </c>
      <c r="D1" t="s">
        <v>295</v>
      </c>
      <c r="F1" t="s">
        <v>503</v>
      </c>
    </row>
    <row r="2" spans="1:21" ht="15" thickBot="1" x14ac:dyDescent="0.4">
      <c r="A2" t="s">
        <v>66</v>
      </c>
      <c r="B2">
        <v>1.4</v>
      </c>
      <c r="C2">
        <f>SUMPRODUCT(regions!$C4:$C201,regions!EI4:EI201)</f>
        <v>13443937262089.053</v>
      </c>
      <c r="D2">
        <f>SUMPRODUCT(regions!$B4:$B201,regions!EI4:EI201)</f>
        <v>399537973</v>
      </c>
      <c r="E2" s="8">
        <f t="shared" ref="E2:E7" si="0">C2/D2</f>
        <v>33648.709686198097</v>
      </c>
      <c r="F2" s="1">
        <f t="shared" ref="F2:F7" si="1">G2/D2</f>
        <v>10.265844520615817</v>
      </c>
      <c r="G2">
        <f>SUMPRODUCT(regions!$Z4:$Z201,regions!EI4:EI201,regions!$B4:$B201)</f>
        <v>4101594710.9000001</v>
      </c>
      <c r="K2" s="1"/>
    </row>
    <row r="3" spans="1:21" x14ac:dyDescent="0.35">
      <c r="A3" t="s">
        <v>63</v>
      </c>
      <c r="B3">
        <v>1.3</v>
      </c>
      <c r="C3">
        <f>SUMPRODUCT(regions!$C4:$C201,regions!EJ4:EJ201)</f>
        <v>13595644353592.4</v>
      </c>
      <c r="D3">
        <f>SUMPRODUCT(regions!$B4:$B201,regions!EJ4:EJ201)</f>
        <v>309326225</v>
      </c>
      <c r="E3" s="8">
        <f t="shared" si="0"/>
        <v>43952.446494287382</v>
      </c>
      <c r="F3" s="1">
        <f t="shared" si="1"/>
        <v>8.5</v>
      </c>
      <c r="G3">
        <f>SUMPRODUCT(regions!$Z4:$Z201,regions!EJ4:EJ201,regions!$B4:$B201)</f>
        <v>2629272912.5</v>
      </c>
      <c r="K3" s="1"/>
      <c r="M3" s="4"/>
      <c r="N3" s="4"/>
    </row>
    <row r="4" spans="1:21" x14ac:dyDescent="0.35">
      <c r="A4" t="s">
        <v>293</v>
      </c>
      <c r="B4">
        <v>1.4</v>
      </c>
      <c r="C4">
        <f>SUMPRODUCT(regions!$C4:$C201,regions!EK4:EK201)</f>
        <v>7584984327892.3086</v>
      </c>
      <c r="D4">
        <f>SUMPRODUCT(regions!$B4:$B201,regions!EK4:EK201)</f>
        <v>202145993</v>
      </c>
      <c r="E4" s="8">
        <f t="shared" si="0"/>
        <v>37522.30858166112</v>
      </c>
      <c r="F4" s="1">
        <f t="shared" si="1"/>
        <v>9.0237181812453731</v>
      </c>
      <c r="G4">
        <f>SUMPRODUCT(regions!$Z4:$Z201,regions!EK4:EK201,regions!$B4:$B201)</f>
        <v>1824108472.3</v>
      </c>
      <c r="K4" s="1"/>
    </row>
    <row r="5" spans="1:21" x14ac:dyDescent="0.35">
      <c r="A5" t="s">
        <v>96</v>
      </c>
      <c r="B5">
        <v>0.7</v>
      </c>
      <c r="C5">
        <f>SUMPRODUCT(regions!$C4:$C201,regions!EL4:EL201)</f>
        <v>1263738819385.8857</v>
      </c>
      <c r="D5">
        <f>SUMPRODUCT(regions!$B4:$B201,regions!EL4:EL201)</f>
        <v>287651287</v>
      </c>
      <c r="E5" s="8">
        <f t="shared" si="0"/>
        <v>4393.3014608270669</v>
      </c>
      <c r="F5" s="1">
        <f t="shared" si="1"/>
        <v>1.7083495558982151</v>
      </c>
      <c r="G5">
        <f>SUMPRODUCT(regions!$Z4:$Z201,regions!EL4:EL201,regions!$B4:$B201)</f>
        <v>491408948.40000004</v>
      </c>
      <c r="K5" s="1"/>
    </row>
    <row r="6" spans="1:21" x14ac:dyDescent="0.35">
      <c r="A6" t="s">
        <v>65</v>
      </c>
      <c r="B6">
        <v>4.7</v>
      </c>
      <c r="C6">
        <f>SUMPRODUCT(regions!$C4:$C201,regions!EM4:EM201)</f>
        <v>3839284159376.0742</v>
      </c>
      <c r="D6">
        <f>SUMPRODUCT(regions!$B4:$B201,regions!EM4:EM201)</f>
        <v>1337705000</v>
      </c>
      <c r="E6" s="8">
        <f t="shared" si="0"/>
        <v>2870.0529334764196</v>
      </c>
      <c r="F6" s="1">
        <f t="shared" si="1"/>
        <v>6.9</v>
      </c>
      <c r="G6">
        <f>SUMPRODUCT(regions!$Z4:$Z201,regions!EM4:EM201,regions!$B4:$B201)</f>
        <v>9230164500</v>
      </c>
      <c r="K6" s="1"/>
    </row>
    <row r="7" spans="1:21" x14ac:dyDescent="0.35">
      <c r="A7" t="s">
        <v>294</v>
      </c>
      <c r="B7">
        <v>2</v>
      </c>
      <c r="C7">
        <f>SUMPRODUCT(regions!$C4:$C201,regions!EN4:EN201)</f>
        <v>11756449543279.059</v>
      </c>
      <c r="D7">
        <f>SUMPRODUCT(regions!$B4:$B201,regions!EN4:EN201)</f>
        <v>4228353247</v>
      </c>
      <c r="E7" s="8">
        <f t="shared" si="0"/>
        <v>2780.3849055469086</v>
      </c>
      <c r="F7" s="1">
        <f t="shared" si="1"/>
        <v>22.543771756825503</v>
      </c>
      <c r="G7">
        <f>SUMPRODUCT(regions!$Z4:$Z201,regions!EN4:EN201,regions!$B4:$B201)</f>
        <v>95323030507.600006</v>
      </c>
      <c r="K7" s="1"/>
    </row>
    <row r="8" spans="1:21" ht="15" thickBot="1" x14ac:dyDescent="0.4">
      <c r="M8" s="2"/>
      <c r="N8" s="2"/>
    </row>
    <row r="10" spans="1:21" ht="15" thickBot="1" x14ac:dyDescent="0.4"/>
    <row r="11" spans="1:21" x14ac:dyDescent="0.35">
      <c r="M11" s="3"/>
      <c r="N11" s="3"/>
      <c r="O11" s="3"/>
      <c r="P11" s="3"/>
      <c r="Q11" s="3"/>
      <c r="R11" s="3"/>
    </row>
    <row r="14" spans="1:21" ht="15" thickBot="1" x14ac:dyDescent="0.4">
      <c r="M14" s="2"/>
      <c r="N14" s="2"/>
      <c r="O14" s="2"/>
      <c r="P14" s="2"/>
      <c r="Q14" s="2"/>
      <c r="R14" s="2"/>
    </row>
    <row r="15" spans="1:21" ht="15" thickBot="1" x14ac:dyDescent="0.4"/>
    <row r="16" spans="1:21" x14ac:dyDescent="0.35">
      <c r="M16" s="3"/>
      <c r="N16" s="3"/>
      <c r="O16" s="3"/>
      <c r="P16" s="3"/>
      <c r="Q16" s="3"/>
      <c r="R16" s="3"/>
      <c r="S16" s="3"/>
      <c r="T16" s="3"/>
      <c r="U16" s="3"/>
    </row>
    <row r="19" spans="13:21" ht="15" thickBot="1" x14ac:dyDescent="0.4">
      <c r="M19" s="2"/>
      <c r="N19" s="2"/>
      <c r="O19" s="2"/>
      <c r="P19" s="2"/>
      <c r="Q19" s="2"/>
      <c r="R19" s="2"/>
      <c r="S19" s="2"/>
      <c r="T19" s="2"/>
      <c r="U19" s="2"/>
    </row>
    <row r="22" spans="13:21" ht="15" thickBot="1" x14ac:dyDescent="0.4"/>
    <row r="23" spans="13:21" x14ac:dyDescent="0.35">
      <c r="M23" s="4"/>
      <c r="N23" s="4"/>
    </row>
    <row r="28" spans="13:21" ht="15" thickBot="1" x14ac:dyDescent="0.4">
      <c r="M28" s="2"/>
      <c r="N28" s="2"/>
    </row>
    <row r="30" spans="13:21" ht="15" thickBot="1" x14ac:dyDescent="0.4"/>
    <row r="31" spans="13:21" x14ac:dyDescent="0.35">
      <c r="M31" s="3"/>
      <c r="N31" s="3"/>
      <c r="O31" s="3"/>
      <c r="P31" s="3"/>
      <c r="Q31" s="3"/>
      <c r="R31" s="3"/>
    </row>
    <row r="34" spans="13:21" ht="15" thickBot="1" x14ac:dyDescent="0.4">
      <c r="M34" s="2"/>
      <c r="N34" s="2"/>
      <c r="O34" s="2"/>
      <c r="P34" s="2"/>
      <c r="Q34" s="2"/>
      <c r="R34" s="2"/>
    </row>
    <row r="35" spans="13:21" ht="15" thickBot="1" x14ac:dyDescent="0.4"/>
    <row r="36" spans="13:21" x14ac:dyDescent="0.35">
      <c r="M36" s="3"/>
      <c r="N36" s="3"/>
      <c r="O36" s="3"/>
      <c r="P36" s="3"/>
      <c r="Q36" s="3"/>
      <c r="R36" s="3"/>
      <c r="S36" s="3"/>
      <c r="T36" s="3"/>
      <c r="U36" s="3"/>
    </row>
    <row r="38" spans="13:21" ht="15" thickBot="1" x14ac:dyDescent="0.4">
      <c r="M38" s="2"/>
      <c r="N38" s="2"/>
      <c r="O38" s="2"/>
      <c r="P38" s="2"/>
      <c r="Q38" s="2"/>
      <c r="R38" s="2"/>
      <c r="S38" s="2"/>
      <c r="T38" s="2"/>
      <c r="U38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B38"/>
  <sheetViews>
    <sheetView workbookViewId="0">
      <selection activeCell="D1" sqref="D1"/>
    </sheetView>
  </sheetViews>
  <sheetFormatPr defaultRowHeight="14.5" x14ac:dyDescent="0.35"/>
  <cols>
    <col min="10" max="10" width="12" bestFit="1" customWidth="1"/>
  </cols>
  <sheetData>
    <row r="1" spans="1:28" x14ac:dyDescent="0.35">
      <c r="B1" t="s">
        <v>87</v>
      </c>
      <c r="D1" t="s">
        <v>285</v>
      </c>
      <c r="E1" t="s">
        <v>72</v>
      </c>
      <c r="F1" t="s">
        <v>291</v>
      </c>
      <c r="J1" t="s">
        <v>72</v>
      </c>
      <c r="K1" t="s">
        <v>295</v>
      </c>
      <c r="M1" t="s">
        <v>503</v>
      </c>
    </row>
    <row r="2" spans="1:28" ht="15" thickBot="1" x14ac:dyDescent="0.4">
      <c r="A2" t="s">
        <v>66</v>
      </c>
      <c r="B2">
        <v>1.6</v>
      </c>
      <c r="C2">
        <v>72.400000000000006</v>
      </c>
      <c r="D2" s="8">
        <f>D14</f>
        <v>378.62175100000002</v>
      </c>
      <c r="E2" s="8">
        <f>E14</f>
        <v>9889.9597636472754</v>
      </c>
      <c r="F2" s="8">
        <f t="shared" ref="F2:F7" si="0">E2/D2*1000</f>
        <v>26120.949833247363</v>
      </c>
      <c r="H2" t="s">
        <v>66</v>
      </c>
      <c r="I2">
        <f t="shared" ref="I2:I7" si="1">B2</f>
        <v>1.6</v>
      </c>
      <c r="J2">
        <f>Fankhauser!C2</f>
        <v>13443937262089.053</v>
      </c>
      <c r="K2">
        <f>Fankhauser!D2</f>
        <v>399537973</v>
      </c>
      <c r="L2">
        <f>Fankhauser!E2</f>
        <v>33648.709686198097</v>
      </c>
      <c r="M2">
        <f>Fankhauser!F2</f>
        <v>10.265844520615817</v>
      </c>
      <c r="N2">
        <f>Fankhauser!G2</f>
        <v>4101594710.9000001</v>
      </c>
      <c r="R2" s="1"/>
    </row>
    <row r="3" spans="1:28" x14ac:dyDescent="0.35">
      <c r="A3" t="s">
        <v>63</v>
      </c>
      <c r="B3">
        <v>1.4</v>
      </c>
      <c r="C3">
        <v>68</v>
      </c>
      <c r="D3" s="8">
        <f>D12</f>
        <v>249.62299999999999</v>
      </c>
      <c r="E3" s="8">
        <f>E12</f>
        <v>8228.9184270420574</v>
      </c>
      <c r="F3" s="8">
        <f t="shared" si="0"/>
        <v>32965.385509516578</v>
      </c>
      <c r="H3" t="s">
        <v>63</v>
      </c>
      <c r="I3">
        <f t="shared" si="1"/>
        <v>1.4</v>
      </c>
      <c r="J3">
        <f>Fankhauser!C3</f>
        <v>13595644353592.4</v>
      </c>
      <c r="K3">
        <f>Fankhauser!D3</f>
        <v>309326225</v>
      </c>
      <c r="L3">
        <f>Fankhauser!E3</f>
        <v>43952.446494287382</v>
      </c>
      <c r="M3">
        <f>Fankhauser!F3</f>
        <v>8.5</v>
      </c>
      <c r="N3">
        <f>Fankhauser!G3</f>
        <v>2629272912.5</v>
      </c>
      <c r="R3" s="1"/>
      <c r="T3" s="4"/>
      <c r="U3" s="4"/>
    </row>
    <row r="4" spans="1:28" x14ac:dyDescent="0.35">
      <c r="A4" t="s">
        <v>293</v>
      </c>
      <c r="B4" s="1">
        <f>C4/E4*100</f>
        <v>1.056431537895876</v>
      </c>
      <c r="C4">
        <f>C10-C2-C3</f>
        <v>64.299999999999983</v>
      </c>
      <c r="D4" s="8">
        <f>SUM(D12:D17)-D2-D3</f>
        <v>337.45320100000009</v>
      </c>
      <c r="E4" s="8">
        <f>SUM(E12:E17)-E2-E3</f>
        <v>6086.5278717509773</v>
      </c>
      <c r="F4" s="8">
        <f t="shared" si="0"/>
        <v>18036.657686797218</v>
      </c>
      <c r="H4" t="s">
        <v>293</v>
      </c>
      <c r="I4">
        <f t="shared" si="1"/>
        <v>1.056431537895876</v>
      </c>
      <c r="J4">
        <f>Fankhauser!C4</f>
        <v>7584984327892.3086</v>
      </c>
      <c r="K4">
        <f>Fankhauser!D4</f>
        <v>202145993</v>
      </c>
      <c r="L4">
        <f>Fankhauser!E4</f>
        <v>37522.30858166112</v>
      </c>
      <c r="M4">
        <f>Fankhauser!F4</f>
        <v>9.0237181812453731</v>
      </c>
      <c r="N4">
        <f>Fankhauser!G4</f>
        <v>1824108472.3</v>
      </c>
      <c r="R4" s="1"/>
    </row>
    <row r="5" spans="1:28" x14ac:dyDescent="0.35">
      <c r="A5" t="s">
        <v>96</v>
      </c>
      <c r="B5">
        <v>0.8</v>
      </c>
      <c r="C5">
        <v>20</v>
      </c>
      <c r="D5" s="8">
        <f>D18</f>
        <v>287.71934399999998</v>
      </c>
      <c r="E5" s="8">
        <f>E18</f>
        <v>1153.3017619693453</v>
      </c>
      <c r="F5" s="8">
        <f t="shared" si="0"/>
        <v>4008.4262181876288</v>
      </c>
      <c r="H5" t="s">
        <v>96</v>
      </c>
      <c r="I5">
        <f t="shared" si="1"/>
        <v>0.8</v>
      </c>
      <c r="J5">
        <f>Fankhauser!C5</f>
        <v>1263738819385.8857</v>
      </c>
      <c r="K5">
        <f>Fankhauser!D5</f>
        <v>287651287</v>
      </c>
      <c r="L5">
        <f>Fankhauser!E5</f>
        <v>4393.3014608270669</v>
      </c>
      <c r="M5">
        <f>Fankhauser!F5</f>
        <v>1.7083495558982151</v>
      </c>
      <c r="N5">
        <f>Fankhauser!G5</f>
        <v>491408948.40000004</v>
      </c>
      <c r="R5" s="1"/>
    </row>
    <row r="6" spans="1:28" x14ac:dyDescent="0.35">
      <c r="A6" t="s">
        <v>65</v>
      </c>
      <c r="B6">
        <v>6.1</v>
      </c>
      <c r="C6">
        <v>18.7</v>
      </c>
      <c r="D6" s="8">
        <f>D24</f>
        <v>1163.627755</v>
      </c>
      <c r="E6" s="8">
        <f>E24</f>
        <v>632.9501938226208</v>
      </c>
      <c r="F6" s="8">
        <f t="shared" si="0"/>
        <v>543.94559695133853</v>
      </c>
      <c r="H6" t="s">
        <v>65</v>
      </c>
      <c r="I6">
        <f t="shared" si="1"/>
        <v>6.1</v>
      </c>
      <c r="J6">
        <f>Fankhauser!C6</f>
        <v>3839284159376.0742</v>
      </c>
      <c r="K6">
        <f>Fankhauser!D6</f>
        <v>1337705000</v>
      </c>
      <c r="L6">
        <f>Fankhauser!E6</f>
        <v>2870.0529334764196</v>
      </c>
      <c r="M6">
        <f>Fankhauser!F6</f>
        <v>6.9</v>
      </c>
      <c r="N6">
        <f>Fankhauser!G6</f>
        <v>9230164500</v>
      </c>
      <c r="R6" s="1"/>
    </row>
    <row r="7" spans="1:28" x14ac:dyDescent="0.35">
      <c r="A7" t="s">
        <v>294</v>
      </c>
      <c r="B7" s="1">
        <f>C7/E7*100</f>
        <v>1.4990120670152702</v>
      </c>
      <c r="C7">
        <f>C9-SUM(C2:C6)</f>
        <v>60.800000000000011</v>
      </c>
      <c r="D7" s="8">
        <f>D29-SUM(D2:D6)</f>
        <v>2835.7071809999998</v>
      </c>
      <c r="E7" s="8">
        <f>E29-SUM(E2:E6)</f>
        <v>4056.0047072243251</v>
      </c>
      <c r="F7" s="8">
        <f t="shared" si="0"/>
        <v>1430.3326995116586</v>
      </c>
      <c r="H7" t="s">
        <v>294</v>
      </c>
      <c r="I7">
        <f t="shared" si="1"/>
        <v>1.4990120670152702</v>
      </c>
      <c r="J7">
        <f>Fankhauser!C7</f>
        <v>11756449543279.059</v>
      </c>
      <c r="K7">
        <f>Fankhauser!D7</f>
        <v>4228353247</v>
      </c>
      <c r="L7">
        <f>Fankhauser!E7</f>
        <v>2780.3849055469086</v>
      </c>
      <c r="M7">
        <f>Fankhauser!F7</f>
        <v>22.543771756825503</v>
      </c>
      <c r="N7">
        <f>Fankhauser!G7</f>
        <v>95323030507.600006</v>
      </c>
      <c r="R7" s="1"/>
    </row>
    <row r="8" spans="1:28" ht="15" thickBot="1" x14ac:dyDescent="0.4">
      <c r="T8" s="2"/>
      <c r="U8" s="2"/>
    </row>
    <row r="9" spans="1:28" x14ac:dyDescent="0.35">
      <c r="A9" t="s">
        <v>298</v>
      </c>
      <c r="B9">
        <v>1.5</v>
      </c>
      <c r="C9">
        <v>304.2</v>
      </c>
    </row>
    <row r="10" spans="1:28" ht="15" thickBot="1" x14ac:dyDescent="0.4">
      <c r="A10" t="s">
        <v>299</v>
      </c>
      <c r="B10">
        <v>1.4</v>
      </c>
      <c r="C10">
        <v>204.7</v>
      </c>
    </row>
    <row r="11" spans="1:28" x14ac:dyDescent="0.35">
      <c r="D11">
        <v>1990</v>
      </c>
      <c r="E11">
        <v>1990</v>
      </c>
      <c r="T11" s="3"/>
      <c r="U11" s="3"/>
      <c r="V11" s="3"/>
      <c r="W11" s="3"/>
      <c r="X11" s="3"/>
      <c r="Y11" s="3"/>
    </row>
    <row r="12" spans="1:28" x14ac:dyDescent="0.35">
      <c r="A12" t="s">
        <v>63</v>
      </c>
      <c r="D12">
        <v>249.62299999999999</v>
      </c>
      <c r="E12" s="8">
        <v>8228.9184270420574</v>
      </c>
    </row>
    <row r="13" spans="1:28" x14ac:dyDescent="0.35">
      <c r="A13" t="s">
        <v>91</v>
      </c>
      <c r="D13">
        <v>27.791</v>
      </c>
      <c r="E13" s="8">
        <v>749.88561828296326</v>
      </c>
    </row>
    <row r="14" spans="1:28" ht="15" thickBot="1" x14ac:dyDescent="0.4">
      <c r="A14" t="s">
        <v>92</v>
      </c>
      <c r="D14">
        <v>378.62175100000002</v>
      </c>
      <c r="E14" s="8">
        <v>9889.9597636472754</v>
      </c>
      <c r="T14" s="2"/>
      <c r="U14" s="2"/>
      <c r="V14" s="2"/>
      <c r="W14" s="2"/>
      <c r="X14" s="2"/>
      <c r="Y14" s="2"/>
    </row>
    <row r="15" spans="1:28" ht="15" thickBot="1" x14ac:dyDescent="0.4">
      <c r="A15" t="s">
        <v>93</v>
      </c>
      <c r="D15">
        <v>166.40600000000001</v>
      </c>
      <c r="E15" s="8">
        <v>4227.165129541745</v>
      </c>
    </row>
    <row r="16" spans="1:28" x14ac:dyDescent="0.35">
      <c r="A16" t="s">
        <v>94</v>
      </c>
      <c r="D16">
        <v>20.3949</v>
      </c>
      <c r="E16" s="8">
        <v>496.11520531775324</v>
      </c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35">
      <c r="A17" t="s">
        <v>95</v>
      </c>
      <c r="D17">
        <v>122.861301</v>
      </c>
      <c r="E17" s="8">
        <v>613.36191860851113</v>
      </c>
    </row>
    <row r="18" spans="1:28" x14ac:dyDescent="0.35">
      <c r="A18" t="s">
        <v>96</v>
      </c>
      <c r="D18">
        <v>287.71934399999998</v>
      </c>
      <c r="E18" s="8">
        <v>1153.3017619693453</v>
      </c>
    </row>
    <row r="19" spans="1:28" ht="15" thickBot="1" x14ac:dyDescent="0.4">
      <c r="A19" t="s">
        <v>97</v>
      </c>
      <c r="D19">
        <v>187.48196300000001</v>
      </c>
      <c r="E19" s="8">
        <v>786.3614076767243</v>
      </c>
      <c r="T19" s="2"/>
      <c r="U19" s="2"/>
      <c r="V19" s="2"/>
      <c r="W19" s="2"/>
      <c r="X19" s="2"/>
      <c r="Y19" s="2"/>
      <c r="Z19" s="2"/>
      <c r="AA19" s="2"/>
      <c r="AB19" s="2"/>
    </row>
    <row r="20" spans="1:28" x14ac:dyDescent="0.35">
      <c r="A20" t="s">
        <v>98</v>
      </c>
      <c r="D20">
        <v>118.64292</v>
      </c>
      <c r="E20" s="8">
        <v>668.55336952256607</v>
      </c>
    </row>
    <row r="21" spans="1:28" x14ac:dyDescent="0.35">
      <c r="A21" t="s">
        <v>99</v>
      </c>
      <c r="D21">
        <v>295.71604100000002</v>
      </c>
      <c r="E21" s="8">
        <v>1054.6511436298779</v>
      </c>
    </row>
    <row r="22" spans="1:28" ht="15" thickBot="1" x14ac:dyDescent="0.4">
      <c r="A22" t="s">
        <v>100</v>
      </c>
      <c r="D22">
        <v>1134.7605570000001</v>
      </c>
      <c r="E22" s="8">
        <v>454.16563330480011</v>
      </c>
    </row>
    <row r="23" spans="1:28" x14ac:dyDescent="0.35">
      <c r="A23" t="s">
        <v>101</v>
      </c>
      <c r="D23">
        <v>445.03063200000003</v>
      </c>
      <c r="E23" s="8">
        <v>438.40959091568544</v>
      </c>
      <c r="T23" s="4"/>
      <c r="U23" s="4"/>
    </row>
    <row r="24" spans="1:28" x14ac:dyDescent="0.35">
      <c r="A24" t="s">
        <v>102</v>
      </c>
      <c r="D24">
        <v>1163.627755</v>
      </c>
      <c r="E24" s="8">
        <v>632.9501938226208</v>
      </c>
    </row>
    <row r="25" spans="1:28" x14ac:dyDescent="0.35">
      <c r="A25" t="s">
        <v>103</v>
      </c>
      <c r="D25">
        <v>119.66550700000001</v>
      </c>
      <c r="E25" s="8">
        <v>169.58741093153526</v>
      </c>
    </row>
    <row r="26" spans="1:28" x14ac:dyDescent="0.35">
      <c r="A26" t="s">
        <v>104</v>
      </c>
      <c r="D26">
        <v>500.40195899999998</v>
      </c>
      <c r="E26" s="8">
        <v>399.50179324370919</v>
      </c>
    </row>
    <row r="27" spans="1:28" x14ac:dyDescent="0.35">
      <c r="A27" t="s">
        <v>105</v>
      </c>
      <c r="D27">
        <v>34.007601999999999</v>
      </c>
      <c r="E27" s="8">
        <v>84.774357999431743</v>
      </c>
    </row>
    <row r="28" spans="1:28" ht="15" thickBot="1" x14ac:dyDescent="0.4">
      <c r="T28" s="2"/>
      <c r="U28" s="2"/>
    </row>
    <row r="29" spans="1:28" x14ac:dyDescent="0.35">
      <c r="A29" t="s">
        <v>21</v>
      </c>
      <c r="D29" s="8">
        <f>SUM(D12:D27)</f>
        <v>5252.7522319999998</v>
      </c>
      <c r="E29" s="8">
        <f>SUM(E12:E27)</f>
        <v>30047.662725456605</v>
      </c>
    </row>
    <row r="30" spans="1:28" ht="15" thickBot="1" x14ac:dyDescent="0.4"/>
    <row r="31" spans="1:28" x14ac:dyDescent="0.35">
      <c r="T31" s="3"/>
      <c r="U31" s="3"/>
      <c r="V31" s="3"/>
      <c r="W31" s="3"/>
      <c r="X31" s="3"/>
      <c r="Y31" s="3"/>
    </row>
    <row r="34" spans="20:28" ht="15" thickBot="1" x14ac:dyDescent="0.4">
      <c r="T34" s="2"/>
      <c r="U34" s="2"/>
      <c r="V34" s="2"/>
      <c r="W34" s="2"/>
      <c r="X34" s="2"/>
      <c r="Y34" s="2"/>
    </row>
    <row r="35" spans="20:28" ht="15" thickBot="1" x14ac:dyDescent="0.4"/>
    <row r="36" spans="20:28" x14ac:dyDescent="0.35">
      <c r="T36" s="3"/>
      <c r="U36" s="3"/>
      <c r="V36" s="3"/>
      <c r="W36" s="3"/>
      <c r="X36" s="3"/>
      <c r="Y36" s="3"/>
      <c r="Z36" s="3"/>
      <c r="AA36" s="3"/>
      <c r="AB36" s="3"/>
    </row>
    <row r="38" spans="20:28" ht="15" thickBot="1" x14ac:dyDescent="0.4">
      <c r="T38" s="2"/>
      <c r="U38" s="2"/>
      <c r="V38" s="2"/>
      <c r="W38" s="2"/>
      <c r="X38" s="2"/>
      <c r="Y38" s="2"/>
      <c r="Z38" s="2"/>
      <c r="AA38" s="2"/>
      <c r="AB38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9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defaultRowHeight="14.5" x14ac:dyDescent="0.35"/>
  <cols>
    <col min="1" max="1" width="14.453125" customWidth="1"/>
    <col min="5" max="5" width="13.54296875" customWidth="1"/>
    <col min="7" max="7" width="16.54296875" bestFit="1" customWidth="1"/>
    <col min="10" max="10" width="16.453125" bestFit="1" customWidth="1"/>
  </cols>
  <sheetData>
    <row r="1" spans="1:34" x14ac:dyDescent="0.35">
      <c r="B1" t="s">
        <v>292</v>
      </c>
    </row>
    <row r="2" spans="1:34" x14ac:dyDescent="0.35">
      <c r="B2" t="s">
        <v>206</v>
      </c>
    </row>
    <row r="3" spans="1:34" x14ac:dyDescent="0.35">
      <c r="A3" t="s">
        <v>118</v>
      </c>
      <c r="B3" s="1">
        <v>-1.2</v>
      </c>
      <c r="E3" t="str">
        <f>regions!A10</f>
        <v>Argentina</v>
      </c>
      <c r="F3">
        <f>regions!B10</f>
        <v>40374224</v>
      </c>
      <c r="G3">
        <f>regions!C10</f>
        <v>293697869622.22595</v>
      </c>
      <c r="H3">
        <f>regions!D10</f>
        <v>7274.3904532313973</v>
      </c>
      <c r="I3">
        <f>regions!Z10</f>
        <v>14.8</v>
      </c>
      <c r="J3" s="1">
        <f t="shared" ref="J3:J34" si="0">B3</f>
        <v>-1.2</v>
      </c>
    </row>
    <row r="4" spans="1:34" ht="15" thickBot="1" x14ac:dyDescent="0.4">
      <c r="A4" t="s">
        <v>119</v>
      </c>
      <c r="B4" s="1">
        <v>-1.6</v>
      </c>
      <c r="E4" t="str">
        <f>regions!A13</f>
        <v>Australia</v>
      </c>
      <c r="F4">
        <f>regions!B13</f>
        <v>22065300</v>
      </c>
      <c r="G4">
        <f>regions!C13</f>
        <v>797442264201.02002</v>
      </c>
      <c r="H4">
        <f>regions!D13</f>
        <v>36140.105242213795</v>
      </c>
      <c r="I4">
        <f>regions!Z13</f>
        <v>21.6</v>
      </c>
      <c r="J4" s="1">
        <f t="shared" si="0"/>
        <v>-1.6</v>
      </c>
    </row>
    <row r="5" spans="1:34" x14ac:dyDescent="0.35">
      <c r="A5" t="s">
        <v>120</v>
      </c>
      <c r="B5" s="1">
        <v>-1.8</v>
      </c>
      <c r="E5" t="str">
        <f>regions!A14</f>
        <v>Austria</v>
      </c>
      <c r="F5">
        <f>regions!B14</f>
        <v>8389771</v>
      </c>
      <c r="G5">
        <f>regions!C14</f>
        <v>325550262356.948</v>
      </c>
      <c r="H5">
        <f>regions!D14</f>
        <v>38803.235792365253</v>
      </c>
      <c r="I5">
        <f>regions!Z14</f>
        <v>6.3</v>
      </c>
      <c r="J5" s="1">
        <f t="shared" si="0"/>
        <v>-1.8</v>
      </c>
      <c r="S5" s="4"/>
      <c r="T5" s="4"/>
      <c r="AC5" s="4"/>
      <c r="AD5" s="4"/>
    </row>
    <row r="6" spans="1:34" x14ac:dyDescent="0.35">
      <c r="A6" t="s">
        <v>121</v>
      </c>
      <c r="B6" s="1">
        <v>3.2</v>
      </c>
      <c r="E6" t="str">
        <f>regions!A16</f>
        <v>Bahamas</v>
      </c>
      <c r="F6">
        <f>regions!B16</f>
        <v>360498</v>
      </c>
      <c r="G6">
        <f>regions!C16</f>
        <v>7575468595.4633093</v>
      </c>
      <c r="H6">
        <f>regions!D16</f>
        <v>21013.899093651864</v>
      </c>
      <c r="I6">
        <f>regions!Z16</f>
        <v>24.8</v>
      </c>
      <c r="J6" s="1">
        <f t="shared" si="0"/>
        <v>3.2</v>
      </c>
    </row>
    <row r="7" spans="1:34" x14ac:dyDescent="0.35">
      <c r="A7" t="s">
        <v>122</v>
      </c>
      <c r="B7" s="1">
        <v>2.6</v>
      </c>
      <c r="E7" t="str">
        <f>regions!A18</f>
        <v>Bangladesh</v>
      </c>
      <c r="F7">
        <f>regions!B18</f>
        <v>151125475</v>
      </c>
      <c r="G7">
        <f>regions!C18</f>
        <v>81471733197.377762</v>
      </c>
      <c r="H7">
        <f>regions!D18</f>
        <v>539.09993134762863</v>
      </c>
      <c r="I7">
        <f>regions!Z18</f>
        <v>25</v>
      </c>
      <c r="J7" s="1">
        <f t="shared" si="0"/>
        <v>2.6</v>
      </c>
    </row>
    <row r="8" spans="1:34" x14ac:dyDescent="0.35">
      <c r="A8" t="s">
        <v>123</v>
      </c>
      <c r="B8" s="1">
        <v>3.2</v>
      </c>
      <c r="E8" t="str">
        <f>regions!A19</f>
        <v>Barbados</v>
      </c>
      <c r="F8">
        <f>regions!B19</f>
        <v>280396</v>
      </c>
      <c r="G8">
        <f>regions!C19</f>
        <v>4033125824.922358</v>
      </c>
      <c r="H8">
        <f>regions!D19</f>
        <v>14383.678172735552</v>
      </c>
      <c r="I8">
        <f>regions!Z19</f>
        <v>26</v>
      </c>
      <c r="J8" s="1">
        <f t="shared" si="0"/>
        <v>3.2</v>
      </c>
    </row>
    <row r="9" spans="1:34" x14ac:dyDescent="0.35">
      <c r="A9" t="s">
        <v>124</v>
      </c>
      <c r="B9" s="1">
        <v>-3.4</v>
      </c>
      <c r="E9" t="str">
        <f>regions!A21</f>
        <v>Belgium</v>
      </c>
      <c r="F9">
        <f>regions!B21</f>
        <v>10895586</v>
      </c>
      <c r="G9">
        <f>regions!C21</f>
        <v>400383139123.5824</v>
      </c>
      <c r="H9">
        <f>regions!D21</f>
        <v>36747.279047091397</v>
      </c>
      <c r="I9">
        <f>regions!Z21</f>
        <v>9.6</v>
      </c>
      <c r="J9" s="1">
        <f t="shared" si="0"/>
        <v>-3.4</v>
      </c>
    </row>
    <row r="10" spans="1:34" ht="15" thickBot="1" x14ac:dyDescent="0.4">
      <c r="A10" t="s">
        <v>125</v>
      </c>
      <c r="B10" s="1">
        <v>7.2</v>
      </c>
      <c r="E10" t="str">
        <f>regions!A23</f>
        <v>Benin</v>
      </c>
      <c r="F10">
        <f>regions!B23</f>
        <v>9509798</v>
      </c>
      <c r="G10">
        <f>regions!C23</f>
        <v>5230812507.6709518</v>
      </c>
      <c r="H10">
        <f>regions!D23</f>
        <v>550.04454433952765</v>
      </c>
      <c r="I10">
        <f>regions!Z23</f>
        <v>27.5</v>
      </c>
      <c r="J10" s="1">
        <f t="shared" si="0"/>
        <v>7.2</v>
      </c>
      <c r="S10" s="2"/>
      <c r="T10" s="2"/>
      <c r="AC10" s="2"/>
      <c r="AD10" s="2"/>
    </row>
    <row r="11" spans="1:34" x14ac:dyDescent="0.35">
      <c r="A11" t="s">
        <v>126</v>
      </c>
      <c r="B11" s="1" t="s">
        <v>127</v>
      </c>
      <c r="E11" t="str">
        <f>regions!A26</f>
        <v>Bolivia</v>
      </c>
      <c r="F11">
        <f>regions!B26</f>
        <v>10156601</v>
      </c>
      <c r="G11">
        <f>regions!C26</f>
        <v>11954060130.08857</v>
      </c>
      <c r="H11">
        <f>regions!D26</f>
        <v>1176.9744750324021</v>
      </c>
      <c r="I11">
        <f>regions!Z26</f>
        <v>21.5</v>
      </c>
      <c r="J11" s="1" t="str">
        <f t="shared" si="0"/>
        <v>n.a.</v>
      </c>
    </row>
    <row r="12" spans="1:34" ht="15" thickBot="1" x14ac:dyDescent="0.4">
      <c r="A12" t="s">
        <v>128</v>
      </c>
      <c r="B12" s="1">
        <v>2.6</v>
      </c>
      <c r="E12" t="str">
        <f>regions!A28</f>
        <v>Botswana</v>
      </c>
      <c r="F12">
        <f>regions!B28</f>
        <v>1969341</v>
      </c>
      <c r="G12">
        <f>regions!C28</f>
        <v>12116816308.861942</v>
      </c>
      <c r="H12">
        <f>regions!D28</f>
        <v>6152.7263733715708</v>
      </c>
      <c r="I12">
        <f>regions!Z28</f>
        <v>21.5</v>
      </c>
      <c r="J12" s="1">
        <f t="shared" si="0"/>
        <v>2.6</v>
      </c>
    </row>
    <row r="13" spans="1:34" x14ac:dyDescent="0.35">
      <c r="A13" t="s">
        <v>129</v>
      </c>
      <c r="B13" s="1">
        <v>3.5</v>
      </c>
      <c r="E13" t="str">
        <f>regions!A29</f>
        <v>Brazil</v>
      </c>
      <c r="F13">
        <f>regions!B29</f>
        <v>195210154</v>
      </c>
      <c r="G13">
        <f>regions!C29</f>
        <v>1096754010432.5254</v>
      </c>
      <c r="H13">
        <f>regions!D29</f>
        <v>5618.3246002281494</v>
      </c>
      <c r="I13">
        <f>regions!Z29</f>
        <v>24.9</v>
      </c>
      <c r="J13" s="1">
        <f t="shared" si="0"/>
        <v>3.5</v>
      </c>
      <c r="S13" s="3"/>
      <c r="T13" s="3"/>
      <c r="U13" s="3"/>
      <c r="V13" s="3"/>
      <c r="W13" s="3"/>
      <c r="X13" s="3"/>
      <c r="AC13" s="3"/>
      <c r="AD13" s="3"/>
      <c r="AE13" s="3"/>
      <c r="AF13" s="3"/>
      <c r="AG13" s="3"/>
      <c r="AH13" s="3"/>
    </row>
    <row r="14" spans="1:34" x14ac:dyDescent="0.35">
      <c r="A14" t="s">
        <v>130</v>
      </c>
      <c r="B14" s="1">
        <v>0.4</v>
      </c>
      <c r="E14" t="str">
        <f>regions!A36</f>
        <v>Cameroon</v>
      </c>
      <c r="F14">
        <f>regions!B36</f>
        <v>20624343</v>
      </c>
      <c r="G14">
        <f>regions!C36</f>
        <v>19209829592.645119</v>
      </c>
      <c r="H14">
        <f>regions!D36</f>
        <v>931.41534703166633</v>
      </c>
      <c r="I14">
        <f>regions!Z36</f>
        <v>24.6</v>
      </c>
      <c r="J14" s="1">
        <f t="shared" si="0"/>
        <v>0.4</v>
      </c>
    </row>
    <row r="15" spans="1:34" x14ac:dyDescent="0.35">
      <c r="A15" t="s">
        <v>131</v>
      </c>
      <c r="B15" s="1">
        <v>-2.5</v>
      </c>
      <c r="E15" t="str">
        <f>regions!A37</f>
        <v>Canada</v>
      </c>
      <c r="F15">
        <f>regions!B37</f>
        <v>34126547</v>
      </c>
      <c r="G15">
        <f>regions!C37</f>
        <v>1240064039807.2598</v>
      </c>
      <c r="H15">
        <f>regions!D37</f>
        <v>36337.22567382102</v>
      </c>
      <c r="I15">
        <f>regions!Z37</f>
        <v>-5.4</v>
      </c>
      <c r="J15" s="1">
        <f t="shared" si="0"/>
        <v>-2.5</v>
      </c>
    </row>
    <row r="16" spans="1:34" ht="15" thickBot="1" x14ac:dyDescent="0.4">
      <c r="A16" t="s">
        <v>132</v>
      </c>
      <c r="B16" s="1">
        <v>-14.8</v>
      </c>
      <c r="E16" t="str">
        <f>regions!A41</f>
        <v>Chile</v>
      </c>
      <c r="F16">
        <f>regions!B41</f>
        <v>17150760</v>
      </c>
      <c r="G16">
        <f>regions!C41</f>
        <v>147668421646.38379</v>
      </c>
      <c r="H16">
        <f>regions!D41</f>
        <v>8610.0220425441075</v>
      </c>
      <c r="I16">
        <f>regions!Z41</f>
        <v>8.5</v>
      </c>
      <c r="J16" s="1">
        <f t="shared" si="0"/>
        <v>-14.8</v>
      </c>
      <c r="S16" s="2"/>
      <c r="T16" s="2"/>
      <c r="U16" s="2"/>
      <c r="V16" s="2"/>
      <c r="W16" s="2"/>
      <c r="X16" s="2"/>
      <c r="AC16" s="2"/>
      <c r="AD16" s="2"/>
      <c r="AE16" s="2"/>
      <c r="AF16" s="2"/>
      <c r="AG16" s="2"/>
      <c r="AH16" s="2"/>
    </row>
    <row r="17" spans="1:37" ht="15" thickBot="1" x14ac:dyDescent="0.4">
      <c r="A17" t="s">
        <v>133</v>
      </c>
      <c r="B17" s="1" t="s">
        <v>127</v>
      </c>
      <c r="E17" t="str">
        <f>regions!A43</f>
        <v>Colombia</v>
      </c>
      <c r="F17">
        <f>regions!B43</f>
        <v>46444798</v>
      </c>
      <c r="G17">
        <f>regions!C43</f>
        <v>182893446717.7428</v>
      </c>
      <c r="H17">
        <f>regions!D43</f>
        <v>3937.8672013546661</v>
      </c>
      <c r="I17">
        <f>regions!Z43</f>
        <v>24.5</v>
      </c>
      <c r="J17" s="1" t="str">
        <f t="shared" si="0"/>
        <v>n.a.</v>
      </c>
    </row>
    <row r="18" spans="1:37" x14ac:dyDescent="0.35">
      <c r="A18" t="s">
        <v>134</v>
      </c>
      <c r="B18" s="1">
        <v>3.3</v>
      </c>
      <c r="E18" t="str">
        <f>regions!A46</f>
        <v>Congo [Republic]</v>
      </c>
      <c r="F18">
        <f>regions!B46</f>
        <v>4111715</v>
      </c>
      <c r="G18">
        <f>regions!C46</f>
        <v>7852666838.4847937</v>
      </c>
      <c r="H18">
        <f>regions!D46</f>
        <v>1909.827611710635</v>
      </c>
      <c r="I18">
        <f>regions!Z46</f>
        <v>24.5</v>
      </c>
      <c r="J18" s="1">
        <f t="shared" si="0"/>
        <v>3.3</v>
      </c>
      <c r="S18" s="3"/>
      <c r="T18" s="3"/>
      <c r="U18" s="3"/>
      <c r="V18" s="3"/>
      <c r="W18" s="3"/>
      <c r="X18" s="3"/>
      <c r="Y18" s="3"/>
      <c r="Z18" s="3"/>
      <c r="AA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:37" x14ac:dyDescent="0.35">
      <c r="A19" t="s">
        <v>135</v>
      </c>
      <c r="B19" s="1">
        <v>3.8</v>
      </c>
      <c r="E19" t="str">
        <f>regions!A47</f>
        <v>Costa Rica</v>
      </c>
      <c r="F19">
        <f>regions!B47</f>
        <v>4669685</v>
      </c>
      <c r="G19">
        <f>regions!C47</f>
        <v>25017792422.605213</v>
      </c>
      <c r="H19">
        <f>regions!D47</f>
        <v>5357.4903708933716</v>
      </c>
      <c r="I19">
        <f>regions!Z47</f>
        <v>24.8</v>
      </c>
      <c r="J19" s="1">
        <f t="shared" si="0"/>
        <v>3.8</v>
      </c>
    </row>
    <row r="20" spans="1:37" ht="15" thickBot="1" x14ac:dyDescent="0.4">
      <c r="A20" t="s">
        <v>136</v>
      </c>
      <c r="B20" s="1">
        <v>-3</v>
      </c>
      <c r="E20" t="str">
        <f>regions!A52</f>
        <v>Denmark</v>
      </c>
      <c r="F20">
        <f>regions!B52</f>
        <v>5547683</v>
      </c>
      <c r="G20">
        <f>regions!C52</f>
        <v>256817427641.90231</v>
      </c>
      <c r="H20">
        <f>regions!D52</f>
        <v>46292.736560813282</v>
      </c>
      <c r="I20">
        <f>regions!Z52</f>
        <v>7.5</v>
      </c>
      <c r="J20" s="1">
        <f t="shared" si="0"/>
        <v>-3</v>
      </c>
      <c r="AC20" s="2"/>
      <c r="AD20" s="2"/>
      <c r="AE20" s="2"/>
      <c r="AF20" s="2"/>
      <c r="AG20" s="2"/>
      <c r="AH20" s="2"/>
      <c r="AI20" s="2"/>
      <c r="AJ20" s="2"/>
      <c r="AK20" s="2"/>
    </row>
    <row r="21" spans="1:37" ht="15" thickBot="1" x14ac:dyDescent="0.4">
      <c r="A21" t="s">
        <v>137</v>
      </c>
      <c r="B21" s="1">
        <v>0.9</v>
      </c>
      <c r="E21" t="str">
        <f>regions!A54</f>
        <v>Dominica</v>
      </c>
      <c r="F21">
        <f>regions!B54</f>
        <v>71167</v>
      </c>
      <c r="G21">
        <f>regions!C54</f>
        <v>452332573.93279916</v>
      </c>
      <c r="H21">
        <f>regions!D54</f>
        <v>6355.9314560512476</v>
      </c>
      <c r="I21">
        <f>regions!Z54</f>
        <v>22.3</v>
      </c>
      <c r="J21" s="1">
        <f t="shared" si="0"/>
        <v>0.9</v>
      </c>
      <c r="S21" s="2"/>
      <c r="T21" s="2"/>
      <c r="U21" s="2"/>
      <c r="V21" s="2"/>
      <c r="W21" s="2"/>
      <c r="X21" s="2"/>
      <c r="Y21" s="2"/>
      <c r="Z21" s="2"/>
      <c r="AA21" s="2"/>
    </row>
    <row r="22" spans="1:37" x14ac:dyDescent="0.35">
      <c r="A22" t="s">
        <v>138</v>
      </c>
      <c r="B22" s="1">
        <v>70.7</v>
      </c>
      <c r="E22" t="str">
        <f>regions!A56</f>
        <v>Ecuador</v>
      </c>
      <c r="F22">
        <f>regions!B56</f>
        <v>15001072</v>
      </c>
      <c r="G22">
        <f>regions!C56</f>
        <v>48764673104.869774</v>
      </c>
      <c r="H22">
        <f>regions!D56</f>
        <v>3250.7458870185928</v>
      </c>
      <c r="I22">
        <f>regions!Z56</f>
        <v>21.8</v>
      </c>
      <c r="J22" s="1">
        <f t="shared" si="0"/>
        <v>70.7</v>
      </c>
    </row>
    <row r="23" spans="1:37" x14ac:dyDescent="0.35">
      <c r="A23" t="s">
        <v>139</v>
      </c>
      <c r="B23" s="1">
        <v>3.1</v>
      </c>
      <c r="E23" t="str">
        <f>regions!A57</f>
        <v>Egypt</v>
      </c>
      <c r="F23">
        <f>regions!B57</f>
        <v>78075705</v>
      </c>
      <c r="G23">
        <f>regions!C57</f>
        <v>121036124473.08067</v>
      </c>
      <c r="H23">
        <f>regions!D57</f>
        <v>1550.2405578416574</v>
      </c>
      <c r="I23">
        <f>regions!Z57</f>
        <v>22.1</v>
      </c>
      <c r="J23" s="1">
        <f t="shared" si="0"/>
        <v>3.1</v>
      </c>
    </row>
    <row r="24" spans="1:37" ht="15" thickBot="1" x14ac:dyDescent="0.4">
      <c r="A24" t="s">
        <v>140</v>
      </c>
      <c r="B24" s="1">
        <v>1.8</v>
      </c>
      <c r="E24" t="str">
        <f>regions!A58</f>
        <v>El Salvador</v>
      </c>
      <c r="F24">
        <f>regions!B58</f>
        <v>6218195</v>
      </c>
      <c r="G24">
        <f>regions!C58</f>
        <v>18341273339.874924</v>
      </c>
      <c r="H24">
        <f>regions!D58</f>
        <v>2949.613728722712</v>
      </c>
      <c r="I24">
        <f>regions!Z58</f>
        <v>24.4</v>
      </c>
      <c r="J24" s="1">
        <f t="shared" si="0"/>
        <v>1.8</v>
      </c>
    </row>
    <row r="25" spans="1:37" x14ac:dyDescent="0.35">
      <c r="A25" t="s">
        <v>141</v>
      </c>
      <c r="B25" s="1" t="s">
        <v>127</v>
      </c>
      <c r="E25" t="str">
        <f>regions!A62</f>
        <v>Ethiopia</v>
      </c>
      <c r="F25">
        <f>regions!B62</f>
        <v>87095281</v>
      </c>
      <c r="G25">
        <f>regions!C62</f>
        <v>20402844449.621059</v>
      </c>
      <c r="H25">
        <f>regions!D62</f>
        <v>234.25889686975188</v>
      </c>
      <c r="I25">
        <f>regions!Z62</f>
        <v>22.2</v>
      </c>
      <c r="J25" s="1" t="str">
        <f t="shared" si="0"/>
        <v>n.a.</v>
      </c>
      <c r="S25" s="4"/>
      <c r="T25" s="4"/>
      <c r="AC25" s="4"/>
      <c r="AD25" s="4"/>
    </row>
    <row r="26" spans="1:37" x14ac:dyDescent="0.35">
      <c r="A26" t="s">
        <v>142</v>
      </c>
      <c r="B26" s="1">
        <v>-2.1</v>
      </c>
      <c r="E26" t="str">
        <f>regions!A65</f>
        <v>Finland</v>
      </c>
      <c r="F26">
        <f>regions!B65</f>
        <v>5363352</v>
      </c>
      <c r="G26">
        <f>regions!C65</f>
        <v>204154134528.24445</v>
      </c>
      <c r="H26">
        <f>regions!D65</f>
        <v>38064.653322818347</v>
      </c>
      <c r="I26">
        <f>regions!Z65</f>
        <v>1.7</v>
      </c>
      <c r="J26" s="1">
        <f t="shared" si="0"/>
        <v>-2.1</v>
      </c>
    </row>
    <row r="27" spans="1:37" x14ac:dyDescent="0.35">
      <c r="A27" t="s">
        <v>143</v>
      </c>
      <c r="B27" s="1">
        <v>-2</v>
      </c>
      <c r="E27" t="str">
        <f>regions!A66</f>
        <v>France</v>
      </c>
      <c r="F27">
        <f>regions!B66</f>
        <v>65031235</v>
      </c>
      <c r="G27">
        <f>regions!C66</f>
        <v>2204446339914.4404</v>
      </c>
      <c r="H27">
        <f>regions!D66</f>
        <v>33898.26965325878</v>
      </c>
      <c r="I27">
        <f>regions!Z66</f>
        <v>10.7</v>
      </c>
      <c r="J27" s="1">
        <f t="shared" si="0"/>
        <v>-2</v>
      </c>
    </row>
    <row r="28" spans="1:37" x14ac:dyDescent="0.35">
      <c r="A28" t="s">
        <v>144</v>
      </c>
      <c r="B28" s="1">
        <v>-2</v>
      </c>
      <c r="E28" t="str">
        <f>regions!A70</f>
        <v>Germany</v>
      </c>
      <c r="F28">
        <f>regions!B70</f>
        <v>81776930</v>
      </c>
      <c r="G28">
        <f>regions!C70</f>
        <v>2954359050887.9268</v>
      </c>
      <c r="H28">
        <f>regions!D70</f>
        <v>36127.047700224583</v>
      </c>
      <c r="I28">
        <f>regions!Z70</f>
        <v>8.4</v>
      </c>
      <c r="J28" s="1">
        <f t="shared" si="0"/>
        <v>-2</v>
      </c>
    </row>
    <row r="29" spans="1:37" x14ac:dyDescent="0.35">
      <c r="A29" t="s">
        <v>145</v>
      </c>
      <c r="B29" s="1">
        <v>0.1</v>
      </c>
      <c r="E29" t="str">
        <f>regions!A72</f>
        <v>Greece</v>
      </c>
      <c r="F29">
        <f>regions!B72</f>
        <v>11307502</v>
      </c>
      <c r="G29">
        <f>regions!C72</f>
        <v>240951131470.42734</v>
      </c>
      <c r="H29">
        <f>regions!D72</f>
        <v>21308.962091753539</v>
      </c>
      <c r="I29">
        <f>regions!Z72</f>
        <v>15.4</v>
      </c>
      <c r="J29" s="1">
        <f t="shared" si="0"/>
        <v>0.1</v>
      </c>
    </row>
    <row r="30" spans="1:37" ht="15" thickBot="1" x14ac:dyDescent="0.4">
      <c r="A30" t="s">
        <v>146</v>
      </c>
      <c r="B30" s="1">
        <v>2.2000000000000002</v>
      </c>
      <c r="J30" s="1">
        <f t="shared" si="0"/>
        <v>2.2000000000000002</v>
      </c>
      <c r="S30" s="2"/>
      <c r="T30" s="2"/>
      <c r="AC30" s="2"/>
      <c r="AD30" s="2"/>
    </row>
    <row r="31" spans="1:37" x14ac:dyDescent="0.35">
      <c r="A31" t="s">
        <v>147</v>
      </c>
      <c r="B31" s="1">
        <v>10.5</v>
      </c>
      <c r="E31" t="str">
        <f>regions!A75</f>
        <v>Guatemala</v>
      </c>
      <c r="F31">
        <f>regions!B75</f>
        <v>14341576</v>
      </c>
      <c r="G31">
        <f>regions!C75</f>
        <v>32556756308.965832</v>
      </c>
      <c r="H31">
        <f>regions!D75</f>
        <v>2270.0961392922113</v>
      </c>
      <c r="I31">
        <f>regions!Z75</f>
        <v>23.4</v>
      </c>
      <c r="J31" s="1">
        <f t="shared" si="0"/>
        <v>10.5</v>
      </c>
    </row>
    <row r="32" spans="1:37" ht="15" thickBot="1" x14ac:dyDescent="0.4">
      <c r="A32" t="s">
        <v>148</v>
      </c>
      <c r="B32" s="1">
        <v>16.3</v>
      </c>
      <c r="E32" t="str">
        <f>regions!A80</f>
        <v>Honduras</v>
      </c>
      <c r="F32">
        <f>regions!B80</f>
        <v>7621204</v>
      </c>
      <c r="G32">
        <f>regions!C80</f>
        <v>11546063422.563662</v>
      </c>
      <c r="H32">
        <f>regions!D80</f>
        <v>1514.9920435883439</v>
      </c>
      <c r="I32">
        <f>regions!Z80</f>
        <v>23.5</v>
      </c>
      <c r="J32" s="1">
        <f t="shared" si="0"/>
        <v>16.3</v>
      </c>
    </row>
    <row r="33" spans="1:37" x14ac:dyDescent="0.35">
      <c r="A33" t="s">
        <v>149</v>
      </c>
      <c r="B33" s="1">
        <v>0.8</v>
      </c>
      <c r="E33" t="str">
        <f>regions!A81</f>
        <v>Hong Kong</v>
      </c>
      <c r="F33">
        <f>regions!B81</f>
        <v>7024200</v>
      </c>
      <c r="G33">
        <f>regions!C81</f>
        <v>220058248223.22446</v>
      </c>
      <c r="H33">
        <f>regions!D81</f>
        <v>31328.585208738998</v>
      </c>
      <c r="I33">
        <f>regions!Z81</f>
        <v>22.7</v>
      </c>
      <c r="J33" s="1">
        <f t="shared" si="0"/>
        <v>0.8</v>
      </c>
      <c r="S33" s="3"/>
      <c r="T33" s="3"/>
      <c r="U33" s="3"/>
      <c r="V33" s="3"/>
      <c r="W33" s="3"/>
      <c r="X33" s="3"/>
      <c r="AC33" s="3"/>
      <c r="AD33" s="3"/>
      <c r="AE33" s="3"/>
      <c r="AF33" s="3"/>
      <c r="AG33" s="3"/>
      <c r="AH33" s="3"/>
    </row>
    <row r="34" spans="1:37" x14ac:dyDescent="0.35">
      <c r="A34" t="s">
        <v>150</v>
      </c>
      <c r="B34" s="1">
        <v>-1.9</v>
      </c>
      <c r="E34" t="str">
        <f>regions!A82</f>
        <v>Hungary</v>
      </c>
      <c r="F34">
        <f>regions!B82</f>
        <v>10000023</v>
      </c>
      <c r="G34">
        <f>regions!C82</f>
        <v>109264940823.83978</v>
      </c>
      <c r="H34">
        <f>regions!D82</f>
        <v>10926.468951505391</v>
      </c>
      <c r="I34">
        <f>regions!Z82</f>
        <v>9.8000000000000007</v>
      </c>
      <c r="J34" s="1">
        <f t="shared" si="0"/>
        <v>-1.9</v>
      </c>
    </row>
    <row r="35" spans="1:37" x14ac:dyDescent="0.35">
      <c r="A35" t="s">
        <v>151</v>
      </c>
      <c r="B35" s="1">
        <v>-2.6</v>
      </c>
      <c r="E35" t="str">
        <f>regions!A83</f>
        <v>Iceland</v>
      </c>
      <c r="F35">
        <f>regions!B83</f>
        <v>318041</v>
      </c>
      <c r="G35">
        <f>regions!C83</f>
        <v>16388138908.052595</v>
      </c>
      <c r="H35">
        <f>regions!D83</f>
        <v>51528.384416011126</v>
      </c>
      <c r="I35">
        <f>regions!Z83</f>
        <v>1.7</v>
      </c>
      <c r="J35" s="1">
        <f t="shared" ref="J35:J67" si="1">B35</f>
        <v>-2.6</v>
      </c>
    </row>
    <row r="36" spans="1:37" ht="15" thickBot="1" x14ac:dyDescent="0.4">
      <c r="A36" t="s">
        <v>152</v>
      </c>
      <c r="B36" s="1">
        <v>11</v>
      </c>
      <c r="E36" t="str">
        <f>regions!A84</f>
        <v>India</v>
      </c>
      <c r="F36">
        <f>regions!B84</f>
        <v>1205624648</v>
      </c>
      <c r="G36">
        <f>regions!C84</f>
        <v>1243675499465.8105</v>
      </c>
      <c r="H36">
        <f>regions!D84</f>
        <v>1031.5611094455749</v>
      </c>
      <c r="I36">
        <f>regions!Z84</f>
        <v>23.7</v>
      </c>
      <c r="J36" s="1">
        <f t="shared" si="1"/>
        <v>11</v>
      </c>
      <c r="S36" s="2"/>
      <c r="T36" s="2"/>
      <c r="U36" s="2"/>
      <c r="V36" s="2"/>
      <c r="W36" s="2"/>
      <c r="X36" s="2"/>
      <c r="AC36" s="2"/>
      <c r="AD36" s="2"/>
      <c r="AE36" s="2"/>
      <c r="AF36" s="2"/>
      <c r="AG36" s="2"/>
      <c r="AH36" s="2"/>
    </row>
    <row r="37" spans="1:37" ht="15" thickBot="1" x14ac:dyDescent="0.4">
      <c r="A37" t="s">
        <v>153</v>
      </c>
      <c r="B37" s="1">
        <v>1.2</v>
      </c>
      <c r="E37" t="str">
        <f>regions!A85</f>
        <v>Indonesia</v>
      </c>
      <c r="F37">
        <f>regions!B85</f>
        <v>240676485</v>
      </c>
      <c r="G37">
        <f>regions!C85</f>
        <v>377898889669.60541</v>
      </c>
      <c r="H37">
        <f>regions!D85</f>
        <v>1570.1529365014842</v>
      </c>
      <c r="I37">
        <f>regions!Z85</f>
        <v>25.8</v>
      </c>
      <c r="J37" s="1">
        <f t="shared" si="1"/>
        <v>1.2</v>
      </c>
    </row>
    <row r="38" spans="1:37" x14ac:dyDescent="0.35">
      <c r="A38" t="s">
        <v>154</v>
      </c>
      <c r="B38" s="1">
        <v>0</v>
      </c>
      <c r="E38" t="str">
        <f>regions!A86</f>
        <v>Iran</v>
      </c>
      <c r="F38">
        <f>regions!B86</f>
        <v>74462314</v>
      </c>
      <c r="G38">
        <f>regions!C86</f>
        <v>242702371179.19858</v>
      </c>
      <c r="H38">
        <f>regions!D86</f>
        <v>3259.3987232145187</v>
      </c>
      <c r="I38">
        <f>regions!Z86</f>
        <v>17.2</v>
      </c>
      <c r="J38" s="1">
        <f t="shared" si="1"/>
        <v>0</v>
      </c>
      <c r="S38" s="3"/>
      <c r="T38" s="3"/>
      <c r="U38" s="3"/>
      <c r="V38" s="3"/>
      <c r="W38" s="3"/>
      <c r="X38" s="3"/>
      <c r="Y38" s="3"/>
      <c r="Z38" s="3"/>
      <c r="AA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:37" x14ac:dyDescent="0.35">
      <c r="A39" t="s">
        <v>155</v>
      </c>
      <c r="B39" s="1">
        <v>-5.2</v>
      </c>
      <c r="E39" t="str">
        <f>regions!A88</f>
        <v>Ireland</v>
      </c>
      <c r="F39">
        <f>regions!B88</f>
        <v>4474356</v>
      </c>
      <c r="G39">
        <f>regions!C88</f>
        <v>203306959563.6236</v>
      </c>
      <c r="H39">
        <f>regions!D88</f>
        <v>45438.261855700264</v>
      </c>
      <c r="I39">
        <f>regions!Z88</f>
        <v>9.3000000000000007</v>
      </c>
      <c r="J39" s="1">
        <f t="shared" si="1"/>
        <v>-5.2</v>
      </c>
    </row>
    <row r="40" spans="1:37" ht="15" thickBot="1" x14ac:dyDescent="0.4">
      <c r="A40" t="s">
        <v>156</v>
      </c>
      <c r="B40" s="1">
        <v>2.6</v>
      </c>
      <c r="E40" t="str">
        <f>regions!A90</f>
        <v>Israel</v>
      </c>
      <c r="F40">
        <f>regions!B90</f>
        <v>7623600</v>
      </c>
      <c r="G40">
        <f>regions!C90</f>
        <v>169010664818.13025</v>
      </c>
      <c r="H40">
        <f>regions!D90</f>
        <v>22169.403538765182</v>
      </c>
      <c r="I40">
        <f>regions!Z90</f>
        <v>19.2</v>
      </c>
      <c r="J40" s="1">
        <f t="shared" si="1"/>
        <v>2.6</v>
      </c>
      <c r="AC40" s="2"/>
      <c r="AD40" s="2"/>
      <c r="AE40" s="2"/>
      <c r="AF40" s="2"/>
      <c r="AG40" s="2"/>
      <c r="AH40" s="2"/>
      <c r="AI40" s="2"/>
      <c r="AJ40" s="2"/>
      <c r="AK40" s="2"/>
    </row>
    <row r="41" spans="1:37" ht="15" thickBot="1" x14ac:dyDescent="0.4">
      <c r="A41" t="s">
        <v>157</v>
      </c>
      <c r="B41" s="1">
        <v>-0.6</v>
      </c>
      <c r="E41" t="str">
        <f>regions!A91</f>
        <v>Italy</v>
      </c>
      <c r="F41">
        <f>regions!B91</f>
        <v>60483385</v>
      </c>
      <c r="G41">
        <f>regions!C91</f>
        <v>1763885790470.2776</v>
      </c>
      <c r="H41">
        <f>regions!D91</f>
        <v>29163.146051932734</v>
      </c>
      <c r="I41">
        <f>regions!Z91</f>
        <v>13.4</v>
      </c>
      <c r="J41" s="1">
        <f t="shared" si="1"/>
        <v>-0.6</v>
      </c>
      <c r="S41" s="2"/>
      <c r="T41" s="2"/>
      <c r="U41" s="2"/>
      <c r="V41" s="2"/>
      <c r="W41" s="2"/>
      <c r="X41" s="2"/>
      <c r="Y41" s="2"/>
      <c r="Z41" s="2"/>
      <c r="AA41" s="2"/>
    </row>
    <row r="42" spans="1:37" x14ac:dyDescent="0.35">
      <c r="A42" t="s">
        <v>158</v>
      </c>
      <c r="B42" s="1">
        <v>3.2</v>
      </c>
      <c r="E42" t="str">
        <f>regions!A34</f>
        <v>CÃ´te d'Ivoire</v>
      </c>
      <c r="F42">
        <f>regions!B34</f>
        <v>18976588</v>
      </c>
      <c r="G42">
        <f>regions!C34</f>
        <v>18173099407.3027</v>
      </c>
      <c r="H42">
        <f>regions!D34</f>
        <v>957.65895361709386</v>
      </c>
      <c r="I42">
        <f>regions!Z34</f>
        <v>26.3</v>
      </c>
      <c r="J42" s="1">
        <f t="shared" si="1"/>
        <v>3.2</v>
      </c>
    </row>
    <row r="43" spans="1:37" x14ac:dyDescent="0.35">
      <c r="A43" t="s">
        <v>159</v>
      </c>
      <c r="B43" s="1">
        <v>5.3</v>
      </c>
      <c r="J43" s="1">
        <f t="shared" si="1"/>
        <v>5.3</v>
      </c>
    </row>
    <row r="44" spans="1:37" x14ac:dyDescent="0.35">
      <c r="A44" t="s">
        <v>64</v>
      </c>
      <c r="B44" s="1">
        <v>-0.4</v>
      </c>
      <c r="E44" t="str">
        <f>regions!A93</f>
        <v>Japan</v>
      </c>
      <c r="F44">
        <f>regions!B93</f>
        <v>127450459</v>
      </c>
      <c r="G44">
        <f>regions!C93</f>
        <v>4648468621132.7568</v>
      </c>
      <c r="H44">
        <f>regions!D93</f>
        <v>36472.749157637452</v>
      </c>
      <c r="I44">
        <f>regions!Z93</f>
        <v>11.1</v>
      </c>
      <c r="J44" s="1">
        <f t="shared" si="1"/>
        <v>-0.4</v>
      </c>
    </row>
    <row r="45" spans="1:37" x14ac:dyDescent="0.35">
      <c r="A45" t="s">
        <v>160</v>
      </c>
      <c r="B45" s="1">
        <v>9.6999999999999993</v>
      </c>
      <c r="E45" t="str">
        <f>regions!A96</f>
        <v>Kenya</v>
      </c>
      <c r="F45">
        <f>regions!B96</f>
        <v>40909194</v>
      </c>
      <c r="G45">
        <f>regions!C96</f>
        <v>23525253225.790203</v>
      </c>
      <c r="H45">
        <f>regions!D96</f>
        <v>575.06029636736923</v>
      </c>
      <c r="I45">
        <f>regions!Z96</f>
        <v>24.7</v>
      </c>
      <c r="J45" s="1">
        <f t="shared" si="1"/>
        <v>9.6999999999999993</v>
      </c>
    </row>
    <row r="46" spans="1:37" x14ac:dyDescent="0.35">
      <c r="A46" t="s">
        <v>161</v>
      </c>
      <c r="B46" s="1">
        <v>-3.1</v>
      </c>
      <c r="E46" t="str">
        <f>regions!A109</f>
        <v>Luxembourg</v>
      </c>
      <c r="F46">
        <f>regions!B109</f>
        <v>506953</v>
      </c>
      <c r="G46">
        <f>regions!C109</f>
        <v>40696164751.529617</v>
      </c>
      <c r="H46">
        <f>regions!D109</f>
        <v>80276.011290059658</v>
      </c>
      <c r="I46">
        <f>regions!Z109</f>
        <v>8.6999999999999993</v>
      </c>
      <c r="J46" s="1">
        <f t="shared" si="1"/>
        <v>-3.1</v>
      </c>
    </row>
    <row r="47" spans="1:37" x14ac:dyDescent="0.35">
      <c r="A47" t="s">
        <v>162</v>
      </c>
      <c r="B47" s="1">
        <v>1.9</v>
      </c>
      <c r="E47" t="str">
        <f>regions!A112</f>
        <v>Madagascar</v>
      </c>
      <c r="F47">
        <f>regions!B112</f>
        <v>21079532</v>
      </c>
      <c r="G47">
        <f>regions!C112</f>
        <v>5759450979.3430977</v>
      </c>
      <c r="H47">
        <f>regions!D112</f>
        <v>273.22480306218836</v>
      </c>
      <c r="I47">
        <f>regions!Z112</f>
        <v>22.6</v>
      </c>
      <c r="J47" s="1">
        <f t="shared" si="1"/>
        <v>1.9</v>
      </c>
    </row>
    <row r="48" spans="1:37" x14ac:dyDescent="0.35">
      <c r="A48" t="s">
        <v>163</v>
      </c>
      <c r="B48" s="1">
        <v>12.4</v>
      </c>
      <c r="E48" t="str">
        <f>regions!A113</f>
        <v>Malawi</v>
      </c>
      <c r="F48">
        <f>regions!B113</f>
        <v>15013694</v>
      </c>
      <c r="G48">
        <f>regions!C113</f>
        <v>3290262502.0248256</v>
      </c>
      <c r="H48">
        <f>regions!D113</f>
        <v>219.15076343135976</v>
      </c>
      <c r="I48">
        <f>regions!Z113</f>
        <v>21.9</v>
      </c>
      <c r="J48" s="1">
        <f t="shared" si="1"/>
        <v>12.4</v>
      </c>
    </row>
    <row r="49" spans="1:10" x14ac:dyDescent="0.35">
      <c r="A49" t="s">
        <v>164</v>
      </c>
      <c r="B49" s="1">
        <v>0</v>
      </c>
      <c r="E49" t="str">
        <f>regions!A114</f>
        <v>Malaysia</v>
      </c>
      <c r="F49">
        <f>regions!B114</f>
        <v>28275835</v>
      </c>
      <c r="G49">
        <f>regions!C114</f>
        <v>178672208075.05682</v>
      </c>
      <c r="H49">
        <f>regions!D114</f>
        <v>6318.9012128220729</v>
      </c>
      <c r="I49">
        <f>regions!Z114</f>
        <v>25.4</v>
      </c>
      <c r="J49" s="1">
        <f t="shared" si="1"/>
        <v>0</v>
      </c>
    </row>
    <row r="50" spans="1:10" x14ac:dyDescent="0.35">
      <c r="A50" t="s">
        <v>165</v>
      </c>
      <c r="B50" s="1">
        <v>4.8</v>
      </c>
      <c r="E50" t="str">
        <f>regions!A116</f>
        <v>Mali</v>
      </c>
      <c r="F50">
        <f>regions!B116</f>
        <v>13985961</v>
      </c>
      <c r="G50">
        <f>regions!C116</f>
        <v>6971653980.9015436</v>
      </c>
      <c r="H50">
        <f>regions!D116</f>
        <v>498.47514810755899</v>
      </c>
      <c r="I50">
        <f>regions!Z116</f>
        <v>28.2</v>
      </c>
      <c r="J50" s="1">
        <f t="shared" si="1"/>
        <v>4.8</v>
      </c>
    </row>
    <row r="51" spans="1:10" x14ac:dyDescent="0.35">
      <c r="A51" t="s">
        <v>166</v>
      </c>
      <c r="B51" s="1">
        <v>4.7</v>
      </c>
      <c r="E51" t="str">
        <f>regions!A120</f>
        <v>Mauritius</v>
      </c>
      <c r="F51">
        <f>regions!B120</f>
        <v>1280924</v>
      </c>
      <c r="G51">
        <f>regions!C120</f>
        <v>7826157631.8455935</v>
      </c>
      <c r="H51">
        <f>regions!D120</f>
        <v>6109.775155938677</v>
      </c>
      <c r="I51">
        <f>regions!Z120</f>
        <v>22.4</v>
      </c>
      <c r="J51" s="1">
        <f t="shared" si="1"/>
        <v>4.7</v>
      </c>
    </row>
    <row r="52" spans="1:10" x14ac:dyDescent="0.35">
      <c r="A52" t="s">
        <v>167</v>
      </c>
      <c r="B52" s="1">
        <v>11.8</v>
      </c>
      <c r="E52" t="str">
        <f>regions!A121</f>
        <v>Mexico</v>
      </c>
      <c r="F52">
        <f>regions!B121</f>
        <v>117886404</v>
      </c>
      <c r="G52">
        <f>regions!C121</f>
        <v>953067840505.29358</v>
      </c>
      <c r="H52">
        <f>regions!D121</f>
        <v>8084.6290001796442</v>
      </c>
      <c r="I52">
        <f>regions!Z121</f>
        <v>21</v>
      </c>
      <c r="J52" s="1">
        <f t="shared" si="1"/>
        <v>11.8</v>
      </c>
    </row>
    <row r="53" spans="1:10" x14ac:dyDescent="0.35">
      <c r="A53" t="s">
        <v>168</v>
      </c>
      <c r="B53" s="1">
        <v>6</v>
      </c>
      <c r="E53" t="str">
        <f>regions!A127</f>
        <v>Morocco</v>
      </c>
      <c r="F53">
        <f>regions!B127</f>
        <v>31642360</v>
      </c>
      <c r="G53">
        <f>regions!C127</f>
        <v>75523499823.662308</v>
      </c>
      <c r="H53">
        <f>regions!D127</f>
        <v>2386.7846716762692</v>
      </c>
      <c r="I53">
        <f>regions!Z127</f>
        <v>17.100000000000001</v>
      </c>
      <c r="J53" s="1">
        <f t="shared" si="1"/>
        <v>6</v>
      </c>
    </row>
    <row r="54" spans="1:10" x14ac:dyDescent="0.35">
      <c r="A54" t="s">
        <v>169</v>
      </c>
      <c r="B54" s="1">
        <v>1.8</v>
      </c>
      <c r="E54" t="str">
        <f>regions!A130</f>
        <v>Nepal</v>
      </c>
      <c r="F54">
        <f>regions!B130</f>
        <v>26846016</v>
      </c>
      <c r="G54">
        <f>regions!C130</f>
        <v>10103288981.142262</v>
      </c>
      <c r="H54">
        <f>regions!D130</f>
        <v>376.34220962776232</v>
      </c>
      <c r="I54">
        <f>regions!Z130</f>
        <v>8.1</v>
      </c>
      <c r="J54" s="1">
        <f t="shared" si="1"/>
        <v>1.8</v>
      </c>
    </row>
    <row r="55" spans="1:10" x14ac:dyDescent="0.35">
      <c r="A55" t="s">
        <v>170</v>
      </c>
      <c r="B55" s="1">
        <v>-3.4</v>
      </c>
      <c r="E55" t="str">
        <f>regions!A131</f>
        <v>Netherlands</v>
      </c>
      <c r="F55">
        <f>regions!B131</f>
        <v>16615394</v>
      </c>
      <c r="G55">
        <f>regions!C131</f>
        <v>683063473113.4657</v>
      </c>
      <c r="H55">
        <f>regions!D131</f>
        <v>41110.27840287541</v>
      </c>
      <c r="I55">
        <f>regions!Z131</f>
        <v>9.1999999999999993</v>
      </c>
      <c r="J55" s="1">
        <f t="shared" si="1"/>
        <v>-3.4</v>
      </c>
    </row>
    <row r="56" spans="1:10" x14ac:dyDescent="0.35">
      <c r="A56" t="s">
        <v>171</v>
      </c>
      <c r="B56" s="1">
        <v>-1.3</v>
      </c>
      <c r="E56" t="str">
        <f>regions!A132</f>
        <v>New Zealand</v>
      </c>
      <c r="F56">
        <f>regions!B132</f>
        <v>4367800</v>
      </c>
      <c r="G56">
        <f>regions!C132</f>
        <v>120042479359.5708</v>
      </c>
      <c r="H56">
        <f>regions!D132</f>
        <v>27483.511003152802</v>
      </c>
      <c r="I56">
        <f>regions!Z132</f>
        <v>10.5</v>
      </c>
      <c r="J56" s="1">
        <f t="shared" si="1"/>
        <v>-1.3</v>
      </c>
    </row>
    <row r="57" spans="1:10" x14ac:dyDescent="0.35">
      <c r="A57" t="s">
        <v>172</v>
      </c>
      <c r="B57" s="1">
        <v>3.5</v>
      </c>
      <c r="E57" t="str">
        <f>regions!A135</f>
        <v>Nigeria</v>
      </c>
      <c r="F57">
        <f>regions!B135</f>
        <v>159707780</v>
      </c>
      <c r="G57">
        <f>regions!C135</f>
        <v>159017874554.81158</v>
      </c>
      <c r="H57">
        <f>regions!D135</f>
        <v>995.6802013953959</v>
      </c>
      <c r="I57">
        <f>regions!Z135</f>
        <v>26.8</v>
      </c>
      <c r="J57" s="1">
        <f t="shared" si="1"/>
        <v>3.5</v>
      </c>
    </row>
    <row r="58" spans="1:10" x14ac:dyDescent="0.35">
      <c r="A58" t="s">
        <v>173</v>
      </c>
      <c r="B58" s="1">
        <v>-1.9</v>
      </c>
      <c r="E58" t="str">
        <f>regions!A136</f>
        <v>Norway</v>
      </c>
      <c r="F58">
        <f>regions!B136</f>
        <v>4889252</v>
      </c>
      <c r="G58">
        <f>regions!C136</f>
        <v>315796662786.18549</v>
      </c>
      <c r="H58">
        <f>regions!D136</f>
        <v>64589.974659965468</v>
      </c>
      <c r="I58">
        <f>regions!Z136</f>
        <v>1.5</v>
      </c>
      <c r="J58" s="1">
        <f t="shared" si="1"/>
        <v>-1.9</v>
      </c>
    </row>
    <row r="59" spans="1:10" x14ac:dyDescent="0.35">
      <c r="A59" t="s">
        <v>174</v>
      </c>
      <c r="B59" s="1">
        <v>11.9</v>
      </c>
      <c r="E59" t="str">
        <f>regions!A138</f>
        <v>Pakistan</v>
      </c>
      <c r="F59">
        <f>regions!B138</f>
        <v>173149306</v>
      </c>
      <c r="G59">
        <f>regions!C138</f>
        <v>129517496849.86209</v>
      </c>
      <c r="H59">
        <f>regions!D138</f>
        <v>748.01048783794772</v>
      </c>
      <c r="I59">
        <f>regions!Z138</f>
        <v>20.2</v>
      </c>
      <c r="J59" s="1">
        <f t="shared" si="1"/>
        <v>11.9</v>
      </c>
    </row>
    <row r="60" spans="1:10" x14ac:dyDescent="0.35">
      <c r="A60" t="s">
        <v>175</v>
      </c>
      <c r="B60" s="1">
        <v>1.3</v>
      </c>
      <c r="E60" t="str">
        <f>regions!A141</f>
        <v>Panama</v>
      </c>
      <c r="F60">
        <f>regions!B141</f>
        <v>3678128</v>
      </c>
      <c r="G60">
        <f>regions!C141</f>
        <v>22603329668.360188</v>
      </c>
      <c r="H60">
        <f>regions!D141</f>
        <v>6145.3352543359524</v>
      </c>
      <c r="I60">
        <f>regions!Z141</f>
        <v>25.4</v>
      </c>
      <c r="J60" s="1">
        <f t="shared" si="1"/>
        <v>1.3</v>
      </c>
    </row>
    <row r="61" spans="1:10" x14ac:dyDescent="0.35">
      <c r="A61" t="s">
        <v>176</v>
      </c>
      <c r="B61" s="1">
        <v>1.5</v>
      </c>
      <c r="E61" t="str">
        <f>regions!A143</f>
        <v>Paraguay</v>
      </c>
      <c r="F61">
        <f>regions!B143</f>
        <v>6459721</v>
      </c>
      <c r="G61">
        <f>regions!C143</f>
        <v>11148152913.231319</v>
      </c>
      <c r="H61">
        <f>regions!D143</f>
        <v>1725.7948003065951</v>
      </c>
      <c r="I61">
        <f>regions!Z143</f>
        <v>23.5</v>
      </c>
      <c r="J61" s="1">
        <f t="shared" si="1"/>
        <v>1.5</v>
      </c>
    </row>
    <row r="62" spans="1:10" x14ac:dyDescent="0.35">
      <c r="A62" t="s">
        <v>177</v>
      </c>
      <c r="B62" s="1">
        <v>-1.2</v>
      </c>
      <c r="E62" t="str">
        <f>regions!A144</f>
        <v>Peru</v>
      </c>
      <c r="F62">
        <f>regions!B144</f>
        <v>29262830</v>
      </c>
      <c r="G62">
        <f>regions!C144</f>
        <v>103487662932.25778</v>
      </c>
      <c r="H62">
        <f>regions!D144</f>
        <v>3536.4885396339923</v>
      </c>
      <c r="I62">
        <f>regions!Z144</f>
        <v>19.600000000000001</v>
      </c>
      <c r="J62" s="1">
        <f t="shared" si="1"/>
        <v>-1.2</v>
      </c>
    </row>
    <row r="63" spans="1:10" x14ac:dyDescent="0.35">
      <c r="A63" t="s">
        <v>178</v>
      </c>
      <c r="B63" s="1">
        <v>1.1000000000000001</v>
      </c>
      <c r="E63" t="str">
        <f>regions!A145</f>
        <v>Philippines</v>
      </c>
      <c r="F63">
        <f>regions!B145</f>
        <v>93444322</v>
      </c>
      <c r="G63">
        <f>regions!C145</f>
        <v>131131009140.35426</v>
      </c>
      <c r="H63">
        <f>regions!D145</f>
        <v>1403.3063361554944</v>
      </c>
      <c r="I63">
        <f>regions!Z145</f>
        <v>25.8</v>
      </c>
      <c r="J63" s="1">
        <f t="shared" si="1"/>
        <v>1.1000000000000001</v>
      </c>
    </row>
    <row r="64" spans="1:10" x14ac:dyDescent="0.35">
      <c r="A64" t="s">
        <v>179</v>
      </c>
      <c r="B64" s="1">
        <v>-2.8</v>
      </c>
      <c r="E64" t="str">
        <f>regions!A146</f>
        <v>Poland</v>
      </c>
      <c r="F64">
        <f>regions!B146</f>
        <v>38183683</v>
      </c>
      <c r="G64">
        <f>regions!C146</f>
        <v>383205737633.98334</v>
      </c>
      <c r="H64">
        <f>regions!D146</f>
        <v>10035.850591834826</v>
      </c>
      <c r="I64">
        <f>regions!Z146</f>
        <v>7.8</v>
      </c>
      <c r="J64" s="1">
        <f t="shared" si="1"/>
        <v>-2.8</v>
      </c>
    </row>
    <row r="65" spans="1:10" x14ac:dyDescent="0.35">
      <c r="A65" t="s">
        <v>180</v>
      </c>
      <c r="B65" s="1">
        <v>-2.5</v>
      </c>
      <c r="E65" t="str">
        <f>regions!A147</f>
        <v>Portugal</v>
      </c>
      <c r="F65">
        <f>regions!B147</f>
        <v>10637346</v>
      </c>
      <c r="G65">
        <f>regions!C147</f>
        <v>197164604092.98117</v>
      </c>
      <c r="H65">
        <f>regions!D147</f>
        <v>18535.131234142536</v>
      </c>
      <c r="I65">
        <f>regions!Z147</f>
        <v>15.1</v>
      </c>
      <c r="J65" s="1">
        <f t="shared" si="1"/>
        <v>-2.5</v>
      </c>
    </row>
    <row r="66" spans="1:10" x14ac:dyDescent="0.35">
      <c r="A66" t="s">
        <v>181</v>
      </c>
      <c r="B66" s="1">
        <v>-1.4</v>
      </c>
      <c r="E66" t="str">
        <f>regions!A150</f>
        <v>Romania</v>
      </c>
      <c r="F66">
        <f>regions!B150</f>
        <v>21438001</v>
      </c>
      <c r="G66">
        <f>regions!C150</f>
        <v>114088972368.88327</v>
      </c>
      <c r="H66">
        <f>regions!D150</f>
        <v>5321.8101990424975</v>
      </c>
      <c r="I66">
        <f>regions!Z150</f>
        <v>8.8000000000000007</v>
      </c>
      <c r="J66" s="1">
        <f t="shared" si="1"/>
        <v>-1.4</v>
      </c>
    </row>
    <row r="67" spans="1:10" x14ac:dyDescent="0.35">
      <c r="A67" t="s">
        <v>182</v>
      </c>
      <c r="B67" s="1">
        <v>23</v>
      </c>
      <c r="E67" t="str">
        <f>regions!A152</f>
        <v>Rwanda</v>
      </c>
      <c r="F67">
        <f>regions!B152</f>
        <v>10836732</v>
      </c>
      <c r="G67">
        <f>regions!C152</f>
        <v>3785756661.0048919</v>
      </c>
      <c r="H67">
        <f>regions!D152</f>
        <v>349.34486347036096</v>
      </c>
      <c r="I67">
        <f>regions!Z152</f>
        <v>17.899999999999999</v>
      </c>
      <c r="J67" s="1">
        <f t="shared" si="1"/>
        <v>23</v>
      </c>
    </row>
    <row r="68" spans="1:10" x14ac:dyDescent="0.35">
      <c r="A68" t="s">
        <v>183</v>
      </c>
      <c r="B68" s="1">
        <v>1.7</v>
      </c>
      <c r="E68" t="str">
        <f>regions!A155</f>
        <v>Saint Lucia</v>
      </c>
      <c r="F68">
        <f>regions!B155</f>
        <v>177397</v>
      </c>
      <c r="G68">
        <f>regions!C155</f>
        <v>1083804878.6319301</v>
      </c>
      <c r="H68">
        <f>regions!D155</f>
        <v>6109.4882023480113</v>
      </c>
      <c r="I68">
        <f>regions!Z155</f>
        <v>25.5</v>
      </c>
      <c r="J68" s="1">
        <f t="shared" ref="J68:J90" si="2">B68</f>
        <v>1.7</v>
      </c>
    </row>
    <row r="69" spans="1:10" x14ac:dyDescent="0.35">
      <c r="A69" t="s">
        <v>184</v>
      </c>
      <c r="B69" s="1">
        <v>28.4</v>
      </c>
      <c r="E69" t="str">
        <f>regions!A160</f>
        <v>Senegal</v>
      </c>
      <c r="F69">
        <f>regions!B160</f>
        <v>12950564</v>
      </c>
      <c r="G69">
        <f>regions!C160</f>
        <v>10366034228.236326</v>
      </c>
      <c r="H69">
        <f>regions!D160</f>
        <v>800.43110309607573</v>
      </c>
      <c r="I69">
        <f>regions!Z160</f>
        <v>27.8</v>
      </c>
      <c r="J69" s="1">
        <f t="shared" si="2"/>
        <v>28.4</v>
      </c>
    </row>
    <row r="70" spans="1:10" x14ac:dyDescent="0.35">
      <c r="A70" t="s">
        <v>185</v>
      </c>
      <c r="B70" s="1">
        <v>2.4</v>
      </c>
      <c r="E70" t="str">
        <f>regions!A163</f>
        <v>Sierra Leone</v>
      </c>
      <c r="F70">
        <f>regions!B163</f>
        <v>5751976</v>
      </c>
      <c r="G70">
        <f>regions!C163</f>
        <v>2130751272.7919905</v>
      </c>
      <c r="H70">
        <f>regions!D163</f>
        <v>370.43813687539563</v>
      </c>
      <c r="I70">
        <f>regions!Z163</f>
        <v>26</v>
      </c>
      <c r="J70" s="1">
        <f t="shared" si="2"/>
        <v>2.4</v>
      </c>
    </row>
    <row r="71" spans="1:10" x14ac:dyDescent="0.35">
      <c r="A71" t="s">
        <v>186</v>
      </c>
      <c r="B71" s="1">
        <v>-0.4</v>
      </c>
      <c r="E71" t="str">
        <f>regions!A169</f>
        <v>South Korea</v>
      </c>
      <c r="F71">
        <f>regions!B169</f>
        <v>49410000</v>
      </c>
      <c r="G71">
        <f>regions!C169</f>
        <v>1098690046553.521</v>
      </c>
      <c r="H71">
        <f>regions!D169</f>
        <v>22236.187948867053</v>
      </c>
      <c r="I71">
        <f>regions!Z169</f>
        <v>11.5</v>
      </c>
      <c r="J71" s="1">
        <f t="shared" si="2"/>
        <v>-0.4</v>
      </c>
    </row>
    <row r="72" spans="1:10" x14ac:dyDescent="0.35">
      <c r="A72" t="s">
        <v>187</v>
      </c>
      <c r="B72" s="1">
        <v>-1</v>
      </c>
      <c r="E72" t="str">
        <f>regions!A170</f>
        <v>Spain</v>
      </c>
      <c r="F72">
        <f>regions!B170</f>
        <v>46070971</v>
      </c>
      <c r="G72">
        <f>regions!C170</f>
        <v>1179232117935.5505</v>
      </c>
      <c r="H72">
        <f>regions!D170</f>
        <v>25595.990106992766</v>
      </c>
      <c r="I72">
        <f>regions!Z170</f>
        <v>13.3</v>
      </c>
      <c r="J72" s="1">
        <f t="shared" si="2"/>
        <v>-1</v>
      </c>
    </row>
    <row r="73" spans="1:10" x14ac:dyDescent="0.35">
      <c r="A73" t="s">
        <v>188</v>
      </c>
      <c r="B73" s="1">
        <v>0.9</v>
      </c>
      <c r="E73" t="str">
        <f>regions!A171</f>
        <v>Sri Lanka</v>
      </c>
      <c r="F73">
        <f>regions!B171</f>
        <v>20653000</v>
      </c>
      <c r="G73">
        <f>regions!C171</f>
        <v>33253082140.166439</v>
      </c>
      <c r="H73">
        <f>regions!D171</f>
        <v>1610.0848370777339</v>
      </c>
      <c r="I73">
        <f>regions!Z171</f>
        <v>26.9</v>
      </c>
      <c r="J73" s="1">
        <f t="shared" si="2"/>
        <v>0.9</v>
      </c>
    </row>
    <row r="74" spans="1:10" x14ac:dyDescent="0.35">
      <c r="A74" t="s">
        <v>189</v>
      </c>
      <c r="B74" s="1">
        <v>0.5</v>
      </c>
      <c r="E74" t="str">
        <f>regions!A173</f>
        <v>Suriname</v>
      </c>
      <c r="F74">
        <f>regions!B173</f>
        <v>524960</v>
      </c>
      <c r="G74">
        <f>regions!C173</f>
        <v>2188868338.2963519</v>
      </c>
      <c r="H74">
        <f>regions!D173</f>
        <v>4169.5907084279788</v>
      </c>
      <c r="I74">
        <f>regions!Z173</f>
        <v>25.7</v>
      </c>
      <c r="J74" s="1">
        <f t="shared" si="2"/>
        <v>0.5</v>
      </c>
    </row>
    <row r="75" spans="1:10" x14ac:dyDescent="0.35">
      <c r="A75" t="s">
        <v>190</v>
      </c>
      <c r="B75" s="1">
        <v>0.4</v>
      </c>
      <c r="E75" t="str">
        <f>regions!A174</f>
        <v>Swaziland</v>
      </c>
      <c r="F75">
        <f>regions!B174</f>
        <v>1193148</v>
      </c>
      <c r="G75">
        <f>regions!C174</f>
        <v>2917342648.1127834</v>
      </c>
      <c r="H75">
        <f>regions!D174</f>
        <v>2445.0802818366064</v>
      </c>
      <c r="I75">
        <f>regions!Z174</f>
        <v>21.4</v>
      </c>
      <c r="J75" s="1">
        <f t="shared" si="2"/>
        <v>0.4</v>
      </c>
    </row>
    <row r="76" spans="1:10" x14ac:dyDescent="0.35">
      <c r="A76" t="s">
        <v>191</v>
      </c>
      <c r="B76" s="1">
        <v>-2.1</v>
      </c>
      <c r="E76" t="str">
        <f>regions!A175</f>
        <v>Sweden</v>
      </c>
      <c r="F76">
        <f>regions!B175</f>
        <v>9378126</v>
      </c>
      <c r="G76">
        <f>regions!C175</f>
        <v>401624584927.2937</v>
      </c>
      <c r="H76">
        <f>regions!D175</f>
        <v>42825.675932195161</v>
      </c>
      <c r="I76">
        <f>regions!Z175</f>
        <v>2.1</v>
      </c>
      <c r="J76" s="1">
        <f t="shared" si="2"/>
        <v>-2.1</v>
      </c>
    </row>
    <row r="77" spans="1:10" x14ac:dyDescent="0.35">
      <c r="A77" t="s">
        <v>192</v>
      </c>
      <c r="B77" s="1">
        <v>-1.1000000000000001</v>
      </c>
      <c r="E77" t="str">
        <f>regions!A176</f>
        <v>Switzerland</v>
      </c>
      <c r="F77">
        <f>regions!B176</f>
        <v>7824909</v>
      </c>
      <c r="G77">
        <f>regions!C176</f>
        <v>427575024211.02106</v>
      </c>
      <c r="H77">
        <f>regions!D176</f>
        <v>54642.81108074497</v>
      </c>
      <c r="I77">
        <f>regions!Z176</f>
        <v>5.5</v>
      </c>
      <c r="J77" s="1">
        <f t="shared" si="2"/>
        <v>-1.1000000000000001</v>
      </c>
    </row>
    <row r="78" spans="1:10" x14ac:dyDescent="0.35">
      <c r="A78" t="s">
        <v>193</v>
      </c>
      <c r="B78" s="1">
        <v>0.4</v>
      </c>
      <c r="J78" s="1">
        <f t="shared" si="2"/>
        <v>0.4</v>
      </c>
    </row>
    <row r="79" spans="1:10" x14ac:dyDescent="0.35">
      <c r="A79" t="s">
        <v>194</v>
      </c>
      <c r="B79" s="1">
        <v>6</v>
      </c>
      <c r="E79" t="str">
        <f>regions!A179</f>
        <v>Tanzania</v>
      </c>
      <c r="F79">
        <f>regions!B179</f>
        <v>44973330</v>
      </c>
      <c r="G79">
        <f>regions!C179</f>
        <v>19720449298.896339</v>
      </c>
      <c r="H79">
        <f>regions!D179</f>
        <v>438.4920862852793</v>
      </c>
      <c r="I79">
        <f>regions!Z179</f>
        <v>22.3</v>
      </c>
      <c r="J79" s="1">
        <f t="shared" si="2"/>
        <v>6</v>
      </c>
    </row>
    <row r="80" spans="1:10" x14ac:dyDescent="0.35">
      <c r="A80" t="s">
        <v>195</v>
      </c>
      <c r="B80" s="1">
        <v>2.7</v>
      </c>
      <c r="E80" t="str">
        <f>regions!A180</f>
        <v>Thailand</v>
      </c>
      <c r="F80">
        <f>regions!B180</f>
        <v>66402316</v>
      </c>
      <c r="G80">
        <f>regions!C180</f>
        <v>210090542914.01364</v>
      </c>
      <c r="H80">
        <f>regions!D180</f>
        <v>3163.9038450709104</v>
      </c>
      <c r="I80">
        <f>regions!Z180</f>
        <v>26.3</v>
      </c>
      <c r="J80" s="1">
        <f t="shared" si="2"/>
        <v>2.7</v>
      </c>
    </row>
    <row r="81" spans="1:10" x14ac:dyDescent="0.35">
      <c r="A81" t="s">
        <v>196</v>
      </c>
      <c r="B81" s="1">
        <v>1.5</v>
      </c>
      <c r="E81" t="str">
        <f>regions!A184</f>
        <v>Trinidad and Tobago</v>
      </c>
      <c r="F81">
        <f>regions!B184</f>
        <v>1328095</v>
      </c>
      <c r="G81">
        <f>regions!C184</f>
        <v>18988955441.46624</v>
      </c>
      <c r="H81">
        <f>regions!D184</f>
        <v>14297.889414135465</v>
      </c>
      <c r="I81">
        <f>regions!Z184</f>
        <v>25.7</v>
      </c>
      <c r="J81" s="1">
        <f t="shared" si="2"/>
        <v>1.5</v>
      </c>
    </row>
    <row r="82" spans="1:10" x14ac:dyDescent="0.35">
      <c r="A82" t="s">
        <v>197</v>
      </c>
      <c r="B82" s="1">
        <v>0.6</v>
      </c>
      <c r="E82" t="str">
        <f>regions!A185</f>
        <v>Tunisia</v>
      </c>
      <c r="F82">
        <f>regions!B185</f>
        <v>10549100</v>
      </c>
      <c r="G82">
        <f>regions!C185</f>
        <v>40735443534.70594</v>
      </c>
      <c r="H82">
        <f>regions!D185</f>
        <v>3861.5088997834828</v>
      </c>
      <c r="I82">
        <f>regions!Z185</f>
        <v>19.2</v>
      </c>
      <c r="J82" s="1">
        <f t="shared" si="2"/>
        <v>0.6</v>
      </c>
    </row>
    <row r="83" spans="1:10" x14ac:dyDescent="0.35">
      <c r="A83" t="s">
        <v>198</v>
      </c>
      <c r="B83" s="1">
        <v>-0.2</v>
      </c>
      <c r="E83" t="str">
        <f>regions!A186</f>
        <v>Turkey</v>
      </c>
      <c r="F83">
        <f>regions!B186</f>
        <v>72137546</v>
      </c>
      <c r="G83">
        <f>regions!C186</f>
        <v>565091528615.37659</v>
      </c>
      <c r="H83">
        <f>regions!D186</f>
        <v>7833.5285846205052</v>
      </c>
      <c r="I83">
        <f>regions!Z186</f>
        <v>11.1</v>
      </c>
      <c r="J83" s="1">
        <f t="shared" si="2"/>
        <v>-0.2</v>
      </c>
    </row>
    <row r="84" spans="1:10" x14ac:dyDescent="0.35">
      <c r="A84" t="s">
        <v>199</v>
      </c>
      <c r="B84" s="1">
        <v>-4.7</v>
      </c>
      <c r="E84" t="str">
        <f>regions!A192</f>
        <v>United Kingdom</v>
      </c>
      <c r="F84">
        <f>regions!B192</f>
        <v>62271177</v>
      </c>
      <c r="G84">
        <f>regions!C192</f>
        <v>2360033739558.0132</v>
      </c>
      <c r="H84">
        <f>regions!D192</f>
        <v>37899.295520911917</v>
      </c>
      <c r="I84">
        <f>regions!Z192</f>
        <v>8.4</v>
      </c>
      <c r="J84" s="1">
        <f t="shared" si="2"/>
        <v>-4.7</v>
      </c>
    </row>
    <row r="85" spans="1:10" x14ac:dyDescent="0.35">
      <c r="A85" t="s">
        <v>200</v>
      </c>
      <c r="B85" s="1">
        <v>-0.3</v>
      </c>
      <c r="E85" t="str">
        <f>regions!A193</f>
        <v>United States</v>
      </c>
      <c r="F85">
        <f>regions!B193</f>
        <v>309326225</v>
      </c>
      <c r="G85">
        <f>regions!C193</f>
        <v>13595644353592.4</v>
      </c>
      <c r="H85">
        <f>regions!D193</f>
        <v>43952.446494287382</v>
      </c>
      <c r="I85">
        <f>regions!Z193</f>
        <v>8.5</v>
      </c>
      <c r="J85" s="1">
        <f t="shared" si="2"/>
        <v>-0.3</v>
      </c>
    </row>
    <row r="86" spans="1:10" x14ac:dyDescent="0.35">
      <c r="A86" t="s">
        <v>201</v>
      </c>
      <c r="B86" s="1">
        <v>-1.4</v>
      </c>
      <c r="E86" t="str">
        <f>regions!A194</f>
        <v>Uruguay</v>
      </c>
      <c r="F86">
        <f>regions!B194</f>
        <v>3371982</v>
      </c>
      <c r="G86">
        <f>regions!C194</f>
        <v>22899299769.575714</v>
      </c>
      <c r="H86">
        <f>regions!D194</f>
        <v>6791.0504176996537</v>
      </c>
      <c r="I86">
        <f>regions!Z194</f>
        <v>17.5</v>
      </c>
      <c r="J86" s="1">
        <f t="shared" si="2"/>
        <v>-1.4</v>
      </c>
    </row>
    <row r="87" spans="1:10" x14ac:dyDescent="0.35">
      <c r="A87" t="s">
        <v>202</v>
      </c>
      <c r="B87" s="1">
        <v>42</v>
      </c>
      <c r="E87" t="str">
        <f>regions!A197</f>
        <v>Venezuela</v>
      </c>
      <c r="F87">
        <f>regions!B197</f>
        <v>29043283</v>
      </c>
      <c r="G87">
        <f>regions!C197</f>
        <v>174552448164.40952</v>
      </c>
      <c r="H87">
        <f>regions!D197</f>
        <v>6010.0797889966334</v>
      </c>
      <c r="I87">
        <f>regions!Z197</f>
        <v>25.3</v>
      </c>
      <c r="J87" s="1">
        <f t="shared" si="2"/>
        <v>42</v>
      </c>
    </row>
    <row r="88" spans="1:10" x14ac:dyDescent="0.35">
      <c r="A88" t="s">
        <v>203</v>
      </c>
      <c r="B88" s="1">
        <v>-0.8</v>
      </c>
      <c r="E88" t="str">
        <f>regions!A161</f>
        <v>Serbia</v>
      </c>
      <c r="F88">
        <f>regions!B161</f>
        <v>7291436</v>
      </c>
      <c r="G88">
        <f>regions!C161</f>
        <v>27876766882.558659</v>
      </c>
      <c r="H88">
        <f>regions!D161</f>
        <v>3823.2204030260514</v>
      </c>
      <c r="I88">
        <f>regions!Z161</f>
        <v>9.9</v>
      </c>
      <c r="J88" s="1">
        <f t="shared" si="2"/>
        <v>-0.8</v>
      </c>
    </row>
    <row r="89" spans="1:10" x14ac:dyDescent="0.35">
      <c r="A89" t="s">
        <v>204</v>
      </c>
      <c r="B89" s="1">
        <v>9.6</v>
      </c>
      <c r="E89" t="str">
        <f>regions!A200</f>
        <v>Zambia</v>
      </c>
      <c r="F89">
        <f>regions!B200</f>
        <v>13216985</v>
      </c>
      <c r="G89">
        <f>regions!C200</f>
        <v>9799629000.3266487</v>
      </c>
      <c r="H89">
        <f>regions!D200</f>
        <v>741.44209139426641</v>
      </c>
      <c r="I89">
        <f>regions!Z200</f>
        <v>21.4</v>
      </c>
      <c r="J89" s="1">
        <f t="shared" si="2"/>
        <v>9.6</v>
      </c>
    </row>
    <row r="90" spans="1:10" x14ac:dyDescent="0.35">
      <c r="A90" t="s">
        <v>205</v>
      </c>
      <c r="B90" s="1">
        <v>9.6999999999999993</v>
      </c>
      <c r="E90" t="str">
        <f>regions!A201</f>
        <v>Zimbabwe</v>
      </c>
      <c r="F90">
        <f>regions!B201</f>
        <v>13076978</v>
      </c>
      <c r="G90">
        <f>regions!C201</f>
        <v>5202304268.4389067</v>
      </c>
      <c r="H90">
        <f>regions!D201</f>
        <v>397.82159673579832</v>
      </c>
      <c r="I90">
        <f>regions!Z201</f>
        <v>21</v>
      </c>
      <c r="J90" s="1">
        <f t="shared" si="2"/>
        <v>9.6999999999999993</v>
      </c>
    </row>
    <row r="92" spans="1:10" x14ac:dyDescent="0.35">
      <c r="G92" s="1">
        <f>SUM(G3:G90)-SUMIF(J3:J90,"=n.a.",G3:G90)</f>
        <v>43459512894511.367</v>
      </c>
      <c r="J92" s="5">
        <f>SUMPRODUCT(J3:J90,G3:G90)/G92</f>
        <v>-3.3000365094043249E-2</v>
      </c>
    </row>
  </sheetData>
  <sortState xmlns:xlrd2="http://schemas.microsoft.com/office/spreadsheetml/2017/richdata2" ref="L3:N90">
    <sortCondition ref="L3:L90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8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5" sqref="D5"/>
    </sheetView>
  </sheetViews>
  <sheetFormatPr defaultRowHeight="14.5" x14ac:dyDescent="0.35"/>
  <cols>
    <col min="1" max="1" width="12.453125" customWidth="1"/>
    <col min="2" max="2" width="13.453125" customWidth="1"/>
    <col min="7" max="7" width="13.453125" bestFit="1" customWidth="1"/>
    <col min="8" max="8" width="14" bestFit="1" customWidth="1"/>
  </cols>
  <sheetData>
    <row r="1" spans="1:36" x14ac:dyDescent="0.35">
      <c r="G1" t="s">
        <v>72</v>
      </c>
      <c r="H1" t="s">
        <v>287</v>
      </c>
      <c r="I1" t="s">
        <v>81</v>
      </c>
      <c r="L1" t="s">
        <v>33</v>
      </c>
    </row>
    <row r="2" spans="1:36" x14ac:dyDescent="0.35">
      <c r="B2" t="s">
        <v>266</v>
      </c>
      <c r="C2" t="s">
        <v>267</v>
      </c>
      <c r="D2" t="s">
        <v>268</v>
      </c>
      <c r="G2">
        <v>2005</v>
      </c>
      <c r="H2">
        <v>2005</v>
      </c>
      <c r="I2">
        <v>2005</v>
      </c>
    </row>
    <row r="3" spans="1:36" x14ac:dyDescent="0.35">
      <c r="A3" t="s">
        <v>244</v>
      </c>
      <c r="B3">
        <v>7</v>
      </c>
      <c r="C3">
        <v>-697</v>
      </c>
      <c r="D3">
        <v>-9.6</v>
      </c>
      <c r="F3" s="10" t="s">
        <v>244</v>
      </c>
      <c r="G3" s="8">
        <v>3925.5459775138702</v>
      </c>
      <c r="H3" s="8">
        <v>3735.8221686778065</v>
      </c>
      <c r="I3" s="8">
        <v>3198.6966051655886</v>
      </c>
      <c r="J3" s="8">
        <f>G3/I3*1000</f>
        <v>1227.2329833265492</v>
      </c>
      <c r="K3" s="8" t="str">
        <f>regions!A5</f>
        <v>Albania</v>
      </c>
      <c r="L3" s="8">
        <f>regions!Z5</f>
        <v>11.4</v>
      </c>
      <c r="O3" s="8"/>
      <c r="P3" s="8"/>
      <c r="S3" s="8"/>
    </row>
    <row r="4" spans="1:36" ht="15" thickBot="1" x14ac:dyDescent="0.4">
      <c r="A4" t="s">
        <v>245</v>
      </c>
      <c r="B4">
        <v>15</v>
      </c>
      <c r="C4">
        <v>-1649</v>
      </c>
      <c r="D4">
        <v>-22.3</v>
      </c>
      <c r="F4" s="10" t="s">
        <v>245</v>
      </c>
      <c r="G4" s="8">
        <v>58535.006574738596</v>
      </c>
      <c r="H4" s="8">
        <v>6066.2656423992603</v>
      </c>
      <c r="I4" s="8">
        <v>32879.3653222141</v>
      </c>
      <c r="J4" s="8">
        <f t="shared" ref="J4:J67" si="0">G4/I4*1000</f>
        <v>1780.2961219324668</v>
      </c>
      <c r="K4" s="8" t="str">
        <f>regions!A6</f>
        <v>Algeria</v>
      </c>
      <c r="L4" s="8">
        <f>regions!Z6</f>
        <v>22.5</v>
      </c>
      <c r="O4" s="8"/>
      <c r="P4" s="8"/>
      <c r="S4" s="8"/>
    </row>
    <row r="5" spans="1:36" x14ac:dyDescent="0.35">
      <c r="A5" t="s">
        <v>118</v>
      </c>
      <c r="B5">
        <v>2</v>
      </c>
      <c r="C5">
        <v>-231</v>
      </c>
      <c r="D5">
        <v>-1.7</v>
      </c>
      <c r="F5" s="10" t="s">
        <v>118</v>
      </c>
      <c r="G5" s="8">
        <v>176283.40853441539</v>
      </c>
      <c r="H5" s="8">
        <v>7306.0396360183177</v>
      </c>
      <c r="I5" s="8">
        <v>39369.926435590642</v>
      </c>
      <c r="J5" s="8">
        <f t="shared" si="0"/>
        <v>4477.6158985924385</v>
      </c>
      <c r="K5" s="8" t="str">
        <f>regions!A10</f>
        <v>Argentina</v>
      </c>
      <c r="L5" s="8">
        <f>regions!Z10</f>
        <v>14.8</v>
      </c>
      <c r="O5" s="8"/>
      <c r="P5" s="8"/>
      <c r="S5" s="8"/>
      <c r="U5" s="4"/>
      <c r="V5" s="4"/>
      <c r="AE5" s="4"/>
      <c r="AF5" s="4"/>
    </row>
    <row r="6" spans="1:36" x14ac:dyDescent="0.35">
      <c r="A6" t="s">
        <v>212</v>
      </c>
      <c r="B6">
        <v>4</v>
      </c>
      <c r="C6">
        <v>-233</v>
      </c>
      <c r="D6">
        <v>-4.0999999999999996</v>
      </c>
      <c r="F6" s="10" t="s">
        <v>212</v>
      </c>
      <c r="G6" s="8">
        <v>6607.0938842738697</v>
      </c>
      <c r="H6" s="8">
        <v>5495.4592406523652</v>
      </c>
      <c r="I6" s="8">
        <v>3024.495693385099</v>
      </c>
      <c r="J6" s="8">
        <f t="shared" si="0"/>
        <v>2184.5274565026834</v>
      </c>
      <c r="K6" s="8" t="str">
        <f>regions!A11</f>
        <v>Armenia</v>
      </c>
      <c r="L6" s="8">
        <f>regions!Z11</f>
        <v>7.1</v>
      </c>
      <c r="O6" s="8"/>
      <c r="P6" s="8"/>
      <c r="S6" s="8"/>
    </row>
    <row r="7" spans="1:36" x14ac:dyDescent="0.35">
      <c r="A7" t="s">
        <v>119</v>
      </c>
      <c r="B7">
        <v>8</v>
      </c>
      <c r="C7">
        <v>-1070</v>
      </c>
      <c r="D7">
        <v>-3.1</v>
      </c>
      <c r="F7" s="10" t="s">
        <v>119</v>
      </c>
      <c r="G7" s="8">
        <v>538437.61964936857</v>
      </c>
      <c r="H7" s="8">
        <v>26316.339850887143</v>
      </c>
      <c r="I7" s="8">
        <v>20131.505302129397</v>
      </c>
      <c r="J7" s="8">
        <f t="shared" si="0"/>
        <v>26746.01881819616</v>
      </c>
      <c r="K7" s="8" t="str">
        <f>regions!A13</f>
        <v>Australia</v>
      </c>
      <c r="L7" s="8">
        <f>regions!Z13</f>
        <v>21.6</v>
      </c>
      <c r="O7" s="8"/>
      <c r="P7" s="8"/>
      <c r="S7" s="8"/>
    </row>
    <row r="8" spans="1:36" x14ac:dyDescent="0.35">
      <c r="A8" t="s">
        <v>213</v>
      </c>
      <c r="B8">
        <v>10</v>
      </c>
      <c r="C8">
        <v>-939</v>
      </c>
      <c r="D8">
        <v>-11.6</v>
      </c>
      <c r="F8" s="10" t="s">
        <v>322</v>
      </c>
      <c r="G8" s="8">
        <v>5589.4006777500372</v>
      </c>
      <c r="H8" s="8">
        <v>4724.5009021205369</v>
      </c>
      <c r="I8" s="8">
        <v>8513.698081016395</v>
      </c>
      <c r="J8" s="8">
        <f t="shared" si="0"/>
        <v>656.51854512120008</v>
      </c>
      <c r="K8" s="8" t="str">
        <f>regions!A15</f>
        <v>Azerbaijan</v>
      </c>
      <c r="L8" s="8">
        <f>regions!Z15</f>
        <v>11.9</v>
      </c>
      <c r="O8" s="8"/>
      <c r="P8" s="8"/>
      <c r="S8" s="8"/>
    </row>
    <row r="9" spans="1:36" x14ac:dyDescent="0.35">
      <c r="A9" t="s">
        <v>122</v>
      </c>
      <c r="B9">
        <v>50</v>
      </c>
      <c r="C9">
        <v>-1666</v>
      </c>
      <c r="D9">
        <v>-135.1</v>
      </c>
      <c r="F9" s="10" t="s">
        <v>122</v>
      </c>
      <c r="G9" s="8">
        <v>61162.714925709952</v>
      </c>
      <c r="H9" s="8">
        <v>1770.7413965863902</v>
      </c>
      <c r="I9" s="8">
        <v>152966.46715581231</v>
      </c>
      <c r="J9" s="8">
        <f t="shared" si="0"/>
        <v>399.84394006700404</v>
      </c>
      <c r="K9" s="8" t="str">
        <f>regions!A18</f>
        <v>Bangladesh</v>
      </c>
      <c r="L9" s="8">
        <f>regions!Z18</f>
        <v>25</v>
      </c>
      <c r="O9" s="8"/>
      <c r="P9" s="8"/>
      <c r="S9" s="8"/>
    </row>
    <row r="10" spans="1:36" ht="15" thickBot="1" x14ac:dyDescent="0.4">
      <c r="A10" t="s">
        <v>214</v>
      </c>
      <c r="B10">
        <v>-41</v>
      </c>
      <c r="C10">
        <v>3329</v>
      </c>
      <c r="D10">
        <v>29.3</v>
      </c>
      <c r="F10" s="10" t="s">
        <v>214</v>
      </c>
      <c r="G10" s="8">
        <v>18000.507867075823</v>
      </c>
      <c r="H10" s="8">
        <v>9662.2845402804032</v>
      </c>
      <c r="I10" s="8">
        <v>9803.2674800636487</v>
      </c>
      <c r="J10" s="8">
        <f t="shared" si="0"/>
        <v>1836.17430654447</v>
      </c>
      <c r="K10" s="8" t="str">
        <f>regions!A20</f>
        <v>Belarus</v>
      </c>
      <c r="L10" s="8">
        <f>regions!Z20</f>
        <v>6.2</v>
      </c>
      <c r="O10" s="8"/>
      <c r="P10" s="8"/>
      <c r="S10" s="8"/>
      <c r="U10" s="2"/>
      <c r="V10" s="2"/>
      <c r="AE10" s="2"/>
      <c r="AF10" s="2"/>
    </row>
    <row r="11" spans="1:36" x14ac:dyDescent="0.35">
      <c r="A11" t="s">
        <v>246</v>
      </c>
      <c r="B11">
        <v>-11</v>
      </c>
      <c r="C11">
        <v>889</v>
      </c>
      <c r="D11">
        <v>11.7</v>
      </c>
      <c r="F11" s="10" t="s">
        <v>246</v>
      </c>
      <c r="G11" s="8">
        <v>7723.187667287827</v>
      </c>
      <c r="H11" s="8">
        <v>1911.1775248268789</v>
      </c>
      <c r="I11" s="8">
        <v>4308.1853277998443</v>
      </c>
      <c r="J11" s="8">
        <f t="shared" si="0"/>
        <v>1792.6776774090165</v>
      </c>
      <c r="K11" s="8" t="str">
        <f>regions!A27</f>
        <v>Bosnia and Herzegovina</v>
      </c>
      <c r="L11" s="8">
        <f>regions!Z27</f>
        <v>9.8000000000000007</v>
      </c>
      <c r="O11" s="8"/>
      <c r="P11" s="8"/>
      <c r="S11" s="8"/>
    </row>
    <row r="12" spans="1:36" ht="15" thickBot="1" x14ac:dyDescent="0.4">
      <c r="A12" t="s">
        <v>129</v>
      </c>
      <c r="B12">
        <v>66</v>
      </c>
      <c r="C12">
        <v>-8897</v>
      </c>
      <c r="D12">
        <v>-93</v>
      </c>
      <c r="F12" s="10" t="s">
        <v>129</v>
      </c>
      <c r="G12" s="8">
        <v>847755.52721151849</v>
      </c>
      <c r="H12" s="8">
        <v>6569.5532982156883</v>
      </c>
      <c r="I12" s="8">
        <v>183113.60871761179</v>
      </c>
      <c r="J12" s="8">
        <f t="shared" si="0"/>
        <v>4629.6697069570764</v>
      </c>
      <c r="K12" s="8" t="str">
        <f>regions!A29</f>
        <v>Brazil</v>
      </c>
      <c r="L12" s="8">
        <f>regions!Z29</f>
        <v>24.9</v>
      </c>
      <c r="O12" s="8"/>
      <c r="P12" s="8"/>
      <c r="S12" s="8"/>
    </row>
    <row r="13" spans="1:36" x14ac:dyDescent="0.35">
      <c r="A13" t="s">
        <v>216</v>
      </c>
      <c r="B13">
        <v>-8</v>
      </c>
      <c r="C13">
        <v>742</v>
      </c>
      <c r="D13">
        <v>6.5</v>
      </c>
      <c r="F13" s="10" t="s">
        <v>216</v>
      </c>
      <c r="G13" s="8">
        <v>15469.822526554879</v>
      </c>
      <c r="H13" s="8">
        <v>7959.4682200183106</v>
      </c>
      <c r="I13" s="8">
        <v>7764.4343036470345</v>
      </c>
      <c r="J13" s="8">
        <f t="shared" si="0"/>
        <v>1992.3953145290373</v>
      </c>
      <c r="K13" s="8" t="str">
        <f>regions!A31</f>
        <v>Bulgaria</v>
      </c>
      <c r="L13" s="8">
        <f>regions!Z31</f>
        <v>10.5</v>
      </c>
      <c r="O13" s="8"/>
      <c r="P13" s="8"/>
      <c r="S13" s="8"/>
      <c r="U13" s="3"/>
      <c r="V13" s="3"/>
      <c r="W13" s="3"/>
      <c r="X13" s="3"/>
      <c r="Y13" s="3"/>
      <c r="Z13" s="3"/>
      <c r="AE13" s="3"/>
      <c r="AF13" s="3"/>
      <c r="AG13" s="3"/>
      <c r="AH13" s="3"/>
      <c r="AI13" s="3"/>
      <c r="AJ13" s="3"/>
    </row>
    <row r="14" spans="1:36" x14ac:dyDescent="0.35">
      <c r="A14" t="s">
        <v>247</v>
      </c>
      <c r="B14">
        <v>54</v>
      </c>
      <c r="C14">
        <v>-1400</v>
      </c>
      <c r="D14">
        <v>-130</v>
      </c>
      <c r="F14" s="10" t="s">
        <v>247</v>
      </c>
      <c r="G14" s="8">
        <v>3589.1160437150716</v>
      </c>
      <c r="H14" s="8">
        <v>1132.7403764573671</v>
      </c>
      <c r="I14" s="8">
        <v>13785.509070147011</v>
      </c>
      <c r="J14" s="8">
        <f t="shared" si="0"/>
        <v>260.35426225117976</v>
      </c>
      <c r="K14" s="8" t="str">
        <f>regions!A32</f>
        <v>Burkina Faso</v>
      </c>
      <c r="L14" s="8">
        <f>regions!Z32</f>
        <v>28.2</v>
      </c>
      <c r="O14" s="8"/>
      <c r="P14" s="8"/>
      <c r="S14" s="8"/>
    </row>
    <row r="15" spans="1:36" x14ac:dyDescent="0.35">
      <c r="A15" t="s">
        <v>131</v>
      </c>
      <c r="B15">
        <v>-32</v>
      </c>
      <c r="C15">
        <v>2696</v>
      </c>
      <c r="D15">
        <v>7.5</v>
      </c>
      <c r="F15" s="10" t="s">
        <v>131</v>
      </c>
      <c r="G15" s="8">
        <v>816871.95950482355</v>
      </c>
      <c r="H15" s="8">
        <v>27529.022015146173</v>
      </c>
      <c r="I15" s="8">
        <v>32020.765323183747</v>
      </c>
      <c r="J15" s="8">
        <f t="shared" si="0"/>
        <v>25510.694427824623</v>
      </c>
      <c r="K15" s="8" t="str">
        <f>regions!A37</f>
        <v>Canada</v>
      </c>
      <c r="L15" s="8">
        <f>regions!Z37</f>
        <v>-5.4</v>
      </c>
      <c r="O15" s="8"/>
      <c r="P15" s="8"/>
      <c r="S15" s="8"/>
    </row>
    <row r="16" spans="1:36" ht="15" thickBot="1" x14ac:dyDescent="0.4">
      <c r="A16" t="s">
        <v>132</v>
      </c>
      <c r="B16">
        <v>-5</v>
      </c>
      <c r="C16">
        <v>662</v>
      </c>
      <c r="D16">
        <v>4.9000000000000004</v>
      </c>
      <c r="F16" s="10" t="s">
        <v>132</v>
      </c>
      <c r="G16" s="8">
        <v>90136.970471717665</v>
      </c>
      <c r="H16" s="8">
        <v>10596.672076418698</v>
      </c>
      <c r="I16" s="8">
        <v>16209.76853780304</v>
      </c>
      <c r="J16" s="8">
        <f t="shared" si="0"/>
        <v>5560.6574678415618</v>
      </c>
      <c r="K16" s="8" t="str">
        <f>regions!A41</f>
        <v>Chile</v>
      </c>
      <c r="L16" s="8">
        <f>regions!Z41</f>
        <v>8.5</v>
      </c>
      <c r="O16" s="8"/>
      <c r="P16" s="8"/>
      <c r="S16" s="8"/>
      <c r="U16" s="2"/>
      <c r="V16" s="2"/>
      <c r="W16" s="2"/>
      <c r="X16" s="2"/>
      <c r="Y16" s="2"/>
      <c r="Z16" s="2"/>
      <c r="AE16" s="2"/>
      <c r="AF16" s="2"/>
      <c r="AG16" s="2"/>
      <c r="AH16" s="2"/>
      <c r="AI16" s="2"/>
      <c r="AJ16" s="2"/>
    </row>
    <row r="17" spans="1:39" ht="15" thickBot="1" x14ac:dyDescent="0.4">
      <c r="A17" t="s">
        <v>65</v>
      </c>
      <c r="B17">
        <v>-4</v>
      </c>
      <c r="C17">
        <v>258</v>
      </c>
      <c r="D17">
        <v>4.5</v>
      </c>
      <c r="F17" s="10" t="s">
        <v>65</v>
      </c>
      <c r="G17" s="8">
        <v>1519974.1930984012</v>
      </c>
      <c r="H17" s="8">
        <v>5060.8254435133804</v>
      </c>
      <c r="I17" s="8">
        <v>1324216.8272861396</v>
      </c>
      <c r="J17" s="8">
        <f t="shared" si="0"/>
        <v>1147.8287858744766</v>
      </c>
      <c r="K17" s="8" t="str">
        <f>regions!A42</f>
        <v>China</v>
      </c>
      <c r="L17" s="8">
        <f>regions!Z42</f>
        <v>6.9</v>
      </c>
      <c r="O17" s="8"/>
      <c r="P17" s="8"/>
      <c r="S17" s="8"/>
    </row>
    <row r="18" spans="1:39" x14ac:dyDescent="0.35">
      <c r="A18" t="s">
        <v>133</v>
      </c>
      <c r="B18">
        <v>33</v>
      </c>
      <c r="C18">
        <v>-5207</v>
      </c>
      <c r="D18">
        <v>-64.099999999999994</v>
      </c>
      <c r="F18" s="10" t="s">
        <v>133</v>
      </c>
      <c r="G18" s="8">
        <v>104015.62520700305</v>
      </c>
      <c r="H18" s="8">
        <v>6150.3112545694185</v>
      </c>
      <c r="I18" s="8">
        <v>45695.401006971748</v>
      </c>
      <c r="J18" s="8">
        <f t="shared" si="0"/>
        <v>2276.2821403215912</v>
      </c>
      <c r="K18" s="8" t="str">
        <f>regions!A43</f>
        <v>Colombia</v>
      </c>
      <c r="L18" s="8">
        <f>regions!Z43</f>
        <v>24.5</v>
      </c>
      <c r="O18" s="8"/>
      <c r="P18" s="8"/>
      <c r="S18" s="8"/>
      <c r="U18" s="3"/>
      <c r="V18" s="3"/>
      <c r="W18" s="3"/>
      <c r="X18" s="3"/>
      <c r="Y18" s="3"/>
      <c r="Z18" s="3"/>
      <c r="AA18" s="3"/>
      <c r="AB18" s="3"/>
      <c r="AC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x14ac:dyDescent="0.35">
      <c r="A19" t="s">
        <v>217</v>
      </c>
      <c r="B19">
        <v>-5</v>
      </c>
      <c r="C19">
        <v>540</v>
      </c>
      <c r="D19">
        <v>3.1</v>
      </c>
      <c r="F19" s="10" t="s">
        <v>217</v>
      </c>
      <c r="G19" s="8">
        <v>28299.053787235163</v>
      </c>
      <c r="H19" s="8">
        <v>7420.8999783228855</v>
      </c>
      <c r="I19" s="8">
        <v>4421.0485502114498</v>
      </c>
      <c r="J19" s="8">
        <f t="shared" si="0"/>
        <v>6400.9823610468329</v>
      </c>
      <c r="K19" s="8" t="str">
        <f>regions!A48</f>
        <v>Croatia</v>
      </c>
      <c r="L19" s="8">
        <f>regions!Z48</f>
        <v>10.9</v>
      </c>
      <c r="O19" s="8"/>
      <c r="P19" s="8"/>
      <c r="S19" s="8"/>
    </row>
    <row r="20" spans="1:39" ht="15" thickBot="1" x14ac:dyDescent="0.4">
      <c r="A20" t="s">
        <v>248</v>
      </c>
      <c r="B20">
        <v>4</v>
      </c>
      <c r="C20">
        <v>-448</v>
      </c>
      <c r="D20">
        <v>-1.7</v>
      </c>
      <c r="F20" s="10" t="s">
        <v>248</v>
      </c>
      <c r="G20" s="8">
        <v>12014.298701246225</v>
      </c>
      <c r="H20" s="8">
        <v>14884.614392214289</v>
      </c>
      <c r="I20" s="8">
        <v>817.37483240419579</v>
      </c>
      <c r="J20" s="8">
        <f t="shared" si="0"/>
        <v>14698.640360515892</v>
      </c>
      <c r="K20" s="8" t="str">
        <f>regions!A50</f>
        <v>Cyprus</v>
      </c>
      <c r="L20" s="8">
        <f>regions!Z50</f>
        <v>18.399999999999999</v>
      </c>
      <c r="O20" s="8"/>
      <c r="P20" s="8"/>
      <c r="S20" s="8"/>
      <c r="U20" s="2"/>
      <c r="V20" s="2"/>
      <c r="W20" s="2"/>
      <c r="X20" s="2"/>
      <c r="Y20" s="2"/>
      <c r="Z20" s="2"/>
      <c r="AA20" s="2"/>
      <c r="AB20" s="2"/>
      <c r="AC20" s="2"/>
    </row>
    <row r="21" spans="1:39" ht="15" thickBot="1" x14ac:dyDescent="0.4">
      <c r="A21" t="s">
        <v>249</v>
      </c>
      <c r="B21">
        <v>-30</v>
      </c>
      <c r="C21">
        <v>3244</v>
      </c>
      <c r="D21">
        <v>13.9</v>
      </c>
      <c r="F21" s="10" t="s">
        <v>255</v>
      </c>
      <c r="G21" s="8">
        <v>61584.699364432949</v>
      </c>
      <c r="H21" s="8">
        <v>14448.82513887697</v>
      </c>
      <c r="I21" s="8">
        <v>10213.070730338208</v>
      </c>
      <c r="J21" s="8">
        <f t="shared" si="0"/>
        <v>6029.9885304322725</v>
      </c>
      <c r="K21" s="8" t="str">
        <f>regions!A51</f>
        <v>Czech Republic</v>
      </c>
      <c r="L21" s="8">
        <f>regions!Z51</f>
        <v>7.5</v>
      </c>
      <c r="O21" s="8"/>
      <c r="P21" s="8"/>
      <c r="S21" s="8"/>
      <c r="AE21" s="2"/>
      <c r="AF21" s="2"/>
      <c r="AG21" s="2"/>
      <c r="AH21" s="2"/>
      <c r="AI21" s="2"/>
      <c r="AJ21" s="2"/>
      <c r="AK21" s="2"/>
      <c r="AL21" s="2"/>
      <c r="AM21" s="2"/>
    </row>
    <row r="22" spans="1:39" x14ac:dyDescent="0.35">
      <c r="A22" t="s">
        <v>220</v>
      </c>
      <c r="B22">
        <v>37</v>
      </c>
      <c r="C22">
        <v>-3179</v>
      </c>
      <c r="D22">
        <v>-42.3</v>
      </c>
      <c r="F22" s="10" t="s">
        <v>256</v>
      </c>
      <c r="G22" s="8">
        <v>20743.272789181163</v>
      </c>
      <c r="H22" s="8">
        <v>6366.6365836814057</v>
      </c>
      <c r="I22" s="8">
        <v>9021.2604461934698</v>
      </c>
      <c r="J22" s="8">
        <f t="shared" si="0"/>
        <v>2299.3763358127867</v>
      </c>
      <c r="K22" s="8" t="str">
        <f>regions!A55</f>
        <v>Dominican Republic</v>
      </c>
      <c r="L22" s="8">
        <f>regions!Z55</f>
        <v>24.5</v>
      </c>
      <c r="O22" s="8"/>
      <c r="P22" s="8"/>
      <c r="S22" s="8"/>
    </row>
    <row r="23" spans="1:39" ht="15" thickBot="1" x14ac:dyDescent="0.4">
      <c r="A23" t="s">
        <v>139</v>
      </c>
      <c r="B23">
        <v>28</v>
      </c>
      <c r="C23">
        <v>-2446</v>
      </c>
      <c r="D23">
        <v>-48.8</v>
      </c>
      <c r="F23" s="10" t="s">
        <v>139</v>
      </c>
      <c r="G23" s="8">
        <v>90515.043642891615</v>
      </c>
      <c r="H23" s="8">
        <v>3792.5077192908611</v>
      </c>
      <c r="I23" s="8">
        <v>74824.247964899187</v>
      </c>
      <c r="J23" s="8">
        <f t="shared" si="0"/>
        <v>1209.7020164553226</v>
      </c>
      <c r="K23" s="8" t="str">
        <f>regions!A57</f>
        <v>Egypt</v>
      </c>
      <c r="L23" s="8">
        <f>regions!Z57</f>
        <v>22.1</v>
      </c>
      <c r="O23" s="8"/>
      <c r="P23" s="8"/>
      <c r="S23" s="8"/>
    </row>
    <row r="24" spans="1:39" x14ac:dyDescent="0.35">
      <c r="A24" t="s">
        <v>140</v>
      </c>
      <c r="B24">
        <v>53</v>
      </c>
      <c r="C24">
        <v>-5167</v>
      </c>
      <c r="D24">
        <v>-82.2</v>
      </c>
      <c r="F24" s="10" t="s">
        <v>140</v>
      </c>
      <c r="G24" s="8">
        <v>12313.240018037815</v>
      </c>
      <c r="H24" s="8">
        <v>4115.1156567510443</v>
      </c>
      <c r="I24" s="8">
        <v>6730.995107139318</v>
      </c>
      <c r="J24" s="8">
        <f t="shared" si="0"/>
        <v>1829.3342696056363</v>
      </c>
      <c r="K24" s="8" t="str">
        <f>regions!A58</f>
        <v>El Salvador</v>
      </c>
      <c r="L24" s="8">
        <f>regions!Z58</f>
        <v>24.4</v>
      </c>
      <c r="O24" s="8"/>
      <c r="P24" s="8"/>
      <c r="S24" s="8"/>
      <c r="U24" s="4"/>
      <c r="V24" s="4"/>
    </row>
    <row r="25" spans="1:39" x14ac:dyDescent="0.35">
      <c r="A25" t="s">
        <v>221</v>
      </c>
      <c r="B25">
        <v>-51</v>
      </c>
      <c r="C25">
        <v>4734</v>
      </c>
      <c r="D25">
        <v>25.2</v>
      </c>
      <c r="F25" s="10" t="s">
        <v>221</v>
      </c>
      <c r="G25" s="8">
        <v>8031.0701940401832</v>
      </c>
      <c r="H25" s="8">
        <v>13879.17274362533</v>
      </c>
      <c r="I25" s="8">
        <v>1293.990428549653</v>
      </c>
      <c r="J25" s="8">
        <f t="shared" si="0"/>
        <v>6206.4370932338888</v>
      </c>
      <c r="K25" s="8" t="str">
        <f>regions!A61</f>
        <v>Estonia</v>
      </c>
      <c r="L25" s="8">
        <f>regions!Z61</f>
        <v>5.0999999999999996</v>
      </c>
      <c r="O25" s="8"/>
      <c r="P25" s="8"/>
      <c r="S25" s="8"/>
    </row>
    <row r="26" spans="1:39" x14ac:dyDescent="0.35">
      <c r="A26" t="s">
        <v>141</v>
      </c>
      <c r="B26">
        <v>7</v>
      </c>
      <c r="C26">
        <v>-268</v>
      </c>
      <c r="D26">
        <v>-33.4</v>
      </c>
      <c r="F26" s="10" t="s">
        <v>141</v>
      </c>
      <c r="G26" s="8">
        <v>9660.9145706418258</v>
      </c>
      <c r="H26" s="8">
        <v>694.78151872883029</v>
      </c>
      <c r="I26" s="8">
        <v>74306.60056421347</v>
      </c>
      <c r="J26" s="8">
        <f t="shared" si="0"/>
        <v>130.01421808138244</v>
      </c>
      <c r="K26" s="8" t="str">
        <f>regions!A62</f>
        <v>Ethiopia</v>
      </c>
      <c r="L26" s="8">
        <f>regions!Z62</f>
        <v>22.2</v>
      </c>
      <c r="O26" s="8"/>
      <c r="P26" s="8"/>
      <c r="S26" s="8"/>
    </row>
    <row r="27" spans="1:39" x14ac:dyDescent="0.35">
      <c r="A27" t="s">
        <v>142</v>
      </c>
      <c r="B27">
        <v>-57</v>
      </c>
      <c r="C27">
        <v>4713</v>
      </c>
      <c r="D27">
        <v>14</v>
      </c>
      <c r="F27" s="10" t="s">
        <v>142</v>
      </c>
      <c r="G27" s="8">
        <v>177761.71603177037</v>
      </c>
      <c r="H27" s="8">
        <v>24387.060935619571</v>
      </c>
      <c r="I27" s="8">
        <v>5224.0937861044849</v>
      </c>
      <c r="J27" s="8">
        <f t="shared" si="0"/>
        <v>34027.282684816455</v>
      </c>
      <c r="K27" s="8" t="str">
        <f>regions!A65</f>
        <v>Finland</v>
      </c>
      <c r="L27" s="8">
        <f>regions!Z65</f>
        <v>1.7</v>
      </c>
      <c r="O27" s="8"/>
      <c r="P27" s="8"/>
      <c r="S27" s="8"/>
    </row>
    <row r="28" spans="1:39" x14ac:dyDescent="0.35">
      <c r="A28" t="s">
        <v>143</v>
      </c>
      <c r="B28">
        <v>-10</v>
      </c>
      <c r="C28">
        <v>1136</v>
      </c>
      <c r="D28">
        <v>3.7</v>
      </c>
      <c r="F28" s="10" t="s">
        <v>143</v>
      </c>
      <c r="G28" s="8">
        <v>1878135.0850233627</v>
      </c>
      <c r="H28" s="8">
        <v>25251.675599250215</v>
      </c>
      <c r="I28" s="8">
        <v>60716.265880040832</v>
      </c>
      <c r="J28" s="8">
        <f t="shared" si="0"/>
        <v>30932.980772138679</v>
      </c>
      <c r="K28" s="8" t="str">
        <f>regions!A66</f>
        <v>France</v>
      </c>
      <c r="L28" s="8">
        <f>regions!Z66</f>
        <v>10.7</v>
      </c>
      <c r="O28" s="8"/>
      <c r="P28" s="8"/>
      <c r="S28" s="8"/>
    </row>
    <row r="29" spans="1:39" ht="15" thickBot="1" x14ac:dyDescent="0.4">
      <c r="A29" t="s">
        <v>222</v>
      </c>
      <c r="B29">
        <v>6</v>
      </c>
      <c r="C29">
        <v>-351</v>
      </c>
      <c r="D29">
        <v>-7.7</v>
      </c>
      <c r="F29" s="10" t="s">
        <v>222</v>
      </c>
      <c r="G29" s="8">
        <v>3257.8336996856606</v>
      </c>
      <c r="H29" s="8">
        <v>6207.1563271598789</v>
      </c>
      <c r="I29" s="8">
        <v>5038.5219528847665</v>
      </c>
      <c r="J29" s="8">
        <f t="shared" si="0"/>
        <v>646.58519505316701</v>
      </c>
      <c r="K29" s="8" t="str">
        <f>regions!A69</f>
        <v>Georgia</v>
      </c>
      <c r="L29" s="8">
        <f>regions!Z69</f>
        <v>5.8</v>
      </c>
      <c r="O29" s="8"/>
      <c r="P29" s="8"/>
      <c r="S29" s="8"/>
      <c r="U29" s="2"/>
      <c r="V29" s="2"/>
      <c r="AE29" s="2"/>
      <c r="AF29" s="2"/>
    </row>
    <row r="30" spans="1:39" x14ac:dyDescent="0.35">
      <c r="A30" t="s">
        <v>144</v>
      </c>
      <c r="B30">
        <v>-27</v>
      </c>
      <c r="C30">
        <v>2579</v>
      </c>
      <c r="D30">
        <v>7.6</v>
      </c>
      <c r="F30" s="10" t="s">
        <v>144</v>
      </c>
      <c r="G30" s="8">
        <v>2720752.676384097</v>
      </c>
      <c r="H30" s="8">
        <v>23604.821599691179</v>
      </c>
      <c r="I30" s="8">
        <v>82609.307998180884</v>
      </c>
      <c r="J30" s="8">
        <f t="shared" si="0"/>
        <v>32935.182999523611</v>
      </c>
      <c r="K30" s="8" t="str">
        <f>regions!A70</f>
        <v>Germany</v>
      </c>
      <c r="L30" s="8">
        <f>regions!Z70</f>
        <v>8.4</v>
      </c>
      <c r="O30" s="8"/>
      <c r="P30" s="8"/>
      <c r="S30" s="8"/>
    </row>
    <row r="31" spans="1:39" ht="15" thickBot="1" x14ac:dyDescent="0.4">
      <c r="A31" t="s">
        <v>224</v>
      </c>
      <c r="B31">
        <v>47</v>
      </c>
      <c r="C31">
        <v>-1604</v>
      </c>
      <c r="D31">
        <v>-118.7</v>
      </c>
      <c r="F31" s="10" t="s">
        <v>224</v>
      </c>
      <c r="G31" s="8">
        <v>9894.881436350588</v>
      </c>
      <c r="H31" s="8">
        <v>2112.084486136619</v>
      </c>
      <c r="I31" s="8">
        <v>21859.664138598495</v>
      </c>
      <c r="J31" s="8">
        <f t="shared" si="0"/>
        <v>452.65477884807916</v>
      </c>
      <c r="K31" s="8" t="str">
        <f>regions!A71</f>
        <v>Ghana</v>
      </c>
      <c r="L31" s="8">
        <f>regions!Z71</f>
        <v>27.2</v>
      </c>
      <c r="O31" s="8"/>
      <c r="P31" s="8"/>
      <c r="S31" s="8"/>
    </row>
    <row r="32" spans="1:39" x14ac:dyDescent="0.35">
      <c r="A32" t="s">
        <v>225</v>
      </c>
      <c r="B32">
        <v>-24</v>
      </c>
      <c r="C32">
        <v>2551</v>
      </c>
      <c r="D32">
        <v>7.4</v>
      </c>
      <c r="F32" s="10" t="s">
        <v>199</v>
      </c>
      <c r="G32" s="8">
        <v>1416494.7960412775</v>
      </c>
      <c r="H32" s="8">
        <v>24341.798424606382</v>
      </c>
      <c r="I32" s="8">
        <v>59632.57090716016</v>
      </c>
      <c r="J32" s="8">
        <f t="shared" si="0"/>
        <v>23753.710002652209</v>
      </c>
      <c r="K32" s="8" t="str">
        <f>regions!A192</f>
        <v>United Kingdom</v>
      </c>
      <c r="L32" s="8">
        <f>regions!Z192</f>
        <v>8.4</v>
      </c>
      <c r="O32" s="8"/>
      <c r="P32" s="8"/>
      <c r="S32" s="8"/>
      <c r="U32" s="3"/>
      <c r="V32" s="3"/>
      <c r="W32" s="3"/>
      <c r="X32" s="3"/>
      <c r="Y32" s="3"/>
      <c r="Z32" s="3"/>
      <c r="AE32" s="3"/>
      <c r="AF32" s="3"/>
      <c r="AG32" s="3"/>
      <c r="AH32" s="3"/>
      <c r="AI32" s="3"/>
      <c r="AJ32" s="3"/>
    </row>
    <row r="33" spans="1:39" x14ac:dyDescent="0.35">
      <c r="A33" t="s">
        <v>147</v>
      </c>
      <c r="B33">
        <v>48</v>
      </c>
      <c r="C33">
        <v>-6085</v>
      </c>
      <c r="D33">
        <v>-138.30000000000001</v>
      </c>
      <c r="F33" s="10" t="s">
        <v>147</v>
      </c>
      <c r="G33" s="8">
        <v>19666.39579774137</v>
      </c>
      <c r="H33" s="8">
        <v>3591.4835678468412</v>
      </c>
      <c r="I33" s="8">
        <v>13009.387335977934</v>
      </c>
      <c r="J33" s="8">
        <f t="shared" si="0"/>
        <v>1511.7080681696084</v>
      </c>
      <c r="K33" s="8" t="str">
        <f>regions!A75</f>
        <v>Guatemala</v>
      </c>
      <c r="L33" s="8">
        <f>regions!Z75</f>
        <v>23.4</v>
      </c>
      <c r="O33" s="8"/>
      <c r="P33" s="8"/>
      <c r="S33" s="8"/>
    </row>
    <row r="34" spans="1:39" x14ac:dyDescent="0.35">
      <c r="A34" t="s">
        <v>149</v>
      </c>
      <c r="B34">
        <v>33</v>
      </c>
      <c r="C34">
        <v>-2411</v>
      </c>
      <c r="D34">
        <v>-5.9</v>
      </c>
      <c r="F34" s="10" t="s">
        <v>209</v>
      </c>
      <c r="G34" s="8">
        <v>184750.92778731228</v>
      </c>
      <c r="H34" s="8">
        <v>26286.365891026679</v>
      </c>
      <c r="I34" s="8">
        <v>7226.6075392926241</v>
      </c>
      <c r="J34" s="8">
        <f t="shared" si="0"/>
        <v>25565.374455826146</v>
      </c>
      <c r="K34" s="8" t="str">
        <f>regions!A81</f>
        <v>Hong Kong</v>
      </c>
      <c r="L34" s="8">
        <f>regions!Z81</f>
        <v>22.7</v>
      </c>
      <c r="O34" s="8"/>
      <c r="P34" s="8"/>
      <c r="S34" s="8"/>
    </row>
    <row r="35" spans="1:39" ht="15" thickBot="1" x14ac:dyDescent="0.4">
      <c r="A35" t="s">
        <v>150</v>
      </c>
      <c r="B35">
        <v>-5</v>
      </c>
      <c r="C35">
        <v>598</v>
      </c>
      <c r="D35">
        <v>3.3</v>
      </c>
      <c r="F35" s="10" t="s">
        <v>150</v>
      </c>
      <c r="G35" s="8">
        <v>64264.126305409351</v>
      </c>
      <c r="H35" s="8">
        <v>13539.077615629838</v>
      </c>
      <c r="I35" s="8">
        <v>9789.2152361813314</v>
      </c>
      <c r="J35" s="8">
        <f t="shared" si="0"/>
        <v>6564.7883670885658</v>
      </c>
      <c r="K35" s="8" t="str">
        <f>regions!A82</f>
        <v>Hungary</v>
      </c>
      <c r="L35" s="8">
        <f>regions!Z82</f>
        <v>9.8000000000000007</v>
      </c>
      <c r="O35" s="8"/>
      <c r="P35" s="8"/>
      <c r="S35" s="8"/>
      <c r="U35" s="2"/>
      <c r="V35" s="2"/>
      <c r="W35" s="2"/>
      <c r="X35" s="2"/>
      <c r="Y35" s="2"/>
      <c r="Z35" s="2"/>
      <c r="AE35" s="2"/>
      <c r="AF35" s="2"/>
      <c r="AG35" s="2"/>
      <c r="AH35" s="2"/>
      <c r="AI35" s="2"/>
      <c r="AJ35" s="2"/>
    </row>
    <row r="36" spans="1:39" ht="15" thickBot="1" x14ac:dyDescent="0.4">
      <c r="A36" t="s">
        <v>152</v>
      </c>
      <c r="B36">
        <v>48</v>
      </c>
      <c r="C36">
        <v>-2507</v>
      </c>
      <c r="D36">
        <v>-89.6</v>
      </c>
      <c r="F36" s="10" t="s">
        <v>152</v>
      </c>
      <c r="G36" s="8">
        <v>589249.81981291273</v>
      </c>
      <c r="H36" s="8">
        <v>2549.0139282869914</v>
      </c>
      <c r="I36" s="8">
        <v>1099541.9642679892</v>
      </c>
      <c r="J36" s="8">
        <f t="shared" si="0"/>
        <v>535.90480305606241</v>
      </c>
      <c r="K36" s="8" t="str">
        <f>regions!A84</f>
        <v>India</v>
      </c>
      <c r="L36" s="8">
        <f>regions!Z84</f>
        <v>23.7</v>
      </c>
      <c r="O36" s="8"/>
      <c r="P36" s="8"/>
      <c r="S36" s="8"/>
    </row>
    <row r="37" spans="1:39" x14ac:dyDescent="0.35">
      <c r="A37" t="s">
        <v>153</v>
      </c>
      <c r="B37">
        <v>35</v>
      </c>
      <c r="C37">
        <v>-2013</v>
      </c>
      <c r="D37">
        <v>-54.5</v>
      </c>
      <c r="F37" s="10" t="s">
        <v>153</v>
      </c>
      <c r="G37" s="8">
        <v>249903.79462945557</v>
      </c>
      <c r="H37" s="8">
        <v>3246.2998166491607</v>
      </c>
      <c r="I37" s="8">
        <v>225673.41309853006</v>
      </c>
      <c r="J37" s="8">
        <f t="shared" si="0"/>
        <v>1107.369234143441</v>
      </c>
      <c r="K37" s="8" t="str">
        <f>regions!A85</f>
        <v>Indonesia</v>
      </c>
      <c r="L37" s="8">
        <f>regions!Z85</f>
        <v>25.8</v>
      </c>
      <c r="O37" s="8"/>
      <c r="P37" s="8"/>
      <c r="S37" s="8"/>
      <c r="U37" s="3"/>
      <c r="V37" s="3"/>
      <c r="W37" s="3"/>
      <c r="X37" s="3"/>
      <c r="Y37" s="3"/>
      <c r="Z37" s="3"/>
      <c r="AA37" s="3"/>
      <c r="AB37" s="3"/>
      <c r="AC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x14ac:dyDescent="0.35">
      <c r="A38" t="s">
        <v>154</v>
      </c>
      <c r="B38">
        <v>7</v>
      </c>
      <c r="C38">
        <v>-656</v>
      </c>
      <c r="D38">
        <v>-6.2</v>
      </c>
      <c r="F38" s="10" t="s">
        <v>210</v>
      </c>
      <c r="G38" s="8">
        <v>138948.35156650367</v>
      </c>
      <c r="H38" s="8">
        <v>7805.2420399046723</v>
      </c>
      <c r="I38" s="8">
        <v>70606.227654523464</v>
      </c>
      <c r="J38" s="8">
        <f t="shared" si="0"/>
        <v>1967.9333705006657</v>
      </c>
      <c r="K38" s="8" t="str">
        <f>regions!A86</f>
        <v>Iran</v>
      </c>
      <c r="L38" s="8">
        <f>regions!Z86</f>
        <v>17.2</v>
      </c>
      <c r="O38" s="8"/>
      <c r="P38" s="8"/>
      <c r="S38" s="8"/>
    </row>
    <row r="39" spans="1:39" ht="15" thickBot="1" x14ac:dyDescent="0.4">
      <c r="A39" t="s">
        <v>250</v>
      </c>
      <c r="B39">
        <v>31</v>
      </c>
      <c r="C39">
        <v>-1622</v>
      </c>
      <c r="D39">
        <v>-51.1</v>
      </c>
      <c r="F39" s="10" t="s">
        <v>250</v>
      </c>
      <c r="G39" s="8">
        <v>92379.452352015855</v>
      </c>
      <c r="H39" s="8">
        <v>2911.160142012031</v>
      </c>
      <c r="I39" s="8">
        <v>26568.187466497311</v>
      </c>
      <c r="J39" s="8">
        <f t="shared" si="0"/>
        <v>3477.0701790819212</v>
      </c>
      <c r="K39" s="8" t="str">
        <f>regions!A87</f>
        <v>Iraq</v>
      </c>
      <c r="L39" s="8">
        <f>regions!Z87</f>
        <v>21.4</v>
      </c>
      <c r="O39" s="8"/>
      <c r="P39" s="8"/>
      <c r="S39" s="8"/>
      <c r="U39" s="2"/>
      <c r="V39" s="2"/>
      <c r="W39" s="2"/>
      <c r="X39" s="2"/>
      <c r="Y39" s="2"/>
      <c r="Z39" s="2"/>
      <c r="AA39" s="2"/>
      <c r="AB39" s="2"/>
      <c r="AC39" s="2"/>
    </row>
    <row r="40" spans="1:39" ht="15" thickBot="1" x14ac:dyDescent="0.4">
      <c r="A40" t="s">
        <v>156</v>
      </c>
      <c r="B40">
        <v>13</v>
      </c>
      <c r="C40">
        <v>-1747</v>
      </c>
      <c r="D40">
        <v>-6.8</v>
      </c>
      <c r="F40" s="10" t="s">
        <v>156</v>
      </c>
      <c r="G40" s="8">
        <v>137595.65002497257</v>
      </c>
      <c r="H40" s="8">
        <v>22009.431700698431</v>
      </c>
      <c r="I40" s="8">
        <v>6710.6554715151096</v>
      </c>
      <c r="J40" s="8">
        <f t="shared" si="0"/>
        <v>20504.055171514665</v>
      </c>
      <c r="K40" s="8" t="str">
        <f>regions!A90</f>
        <v>Israel</v>
      </c>
      <c r="L40" s="8">
        <f>regions!Z90</f>
        <v>19.2</v>
      </c>
      <c r="O40" s="8"/>
      <c r="P40" s="8"/>
      <c r="S40" s="8"/>
      <c r="AE40" s="2"/>
      <c r="AF40" s="2"/>
      <c r="AG40" s="2"/>
      <c r="AH40" s="2"/>
      <c r="AI40" s="2"/>
      <c r="AJ40" s="2"/>
      <c r="AK40" s="2"/>
      <c r="AL40" s="2"/>
      <c r="AM40" s="2"/>
    </row>
    <row r="41" spans="1:39" x14ac:dyDescent="0.35">
      <c r="A41" t="s">
        <v>157</v>
      </c>
      <c r="B41">
        <v>3</v>
      </c>
      <c r="C41">
        <v>-388</v>
      </c>
      <c r="D41">
        <v>-1.3</v>
      </c>
      <c r="F41" s="10" t="s">
        <v>157</v>
      </c>
      <c r="G41" s="8">
        <v>1243581.8083514723</v>
      </c>
      <c r="H41" s="8">
        <v>22896.596643237899</v>
      </c>
      <c r="I41" s="8">
        <v>57365.15858339853</v>
      </c>
      <c r="J41" s="8">
        <f t="shared" si="0"/>
        <v>21678.346910582142</v>
      </c>
      <c r="K41" s="8" t="str">
        <f>regions!A91</f>
        <v>Italy</v>
      </c>
      <c r="L41" s="8">
        <f>regions!Z91</f>
        <v>13.4</v>
      </c>
      <c r="O41" s="8"/>
      <c r="P41" s="8"/>
      <c r="S41" s="8"/>
    </row>
    <row r="42" spans="1:39" x14ac:dyDescent="0.35">
      <c r="A42" t="s">
        <v>64</v>
      </c>
      <c r="B42">
        <v>-3</v>
      </c>
      <c r="C42">
        <v>327</v>
      </c>
      <c r="D42">
        <v>1</v>
      </c>
      <c r="F42" s="10" t="s">
        <v>64</v>
      </c>
      <c r="G42" s="8">
        <v>5491198.6200520638</v>
      </c>
      <c r="H42" s="8">
        <v>23869.433648270769</v>
      </c>
      <c r="I42" s="8">
        <v>128101.02224293424</v>
      </c>
      <c r="J42" s="8">
        <f t="shared" si="0"/>
        <v>42866.15769262486</v>
      </c>
      <c r="K42" s="8" t="str">
        <f>regions!A93</f>
        <v>Japan</v>
      </c>
      <c r="L42" s="8">
        <f>regions!Z93</f>
        <v>11.1</v>
      </c>
      <c r="O42" s="8"/>
      <c r="P42" s="8"/>
      <c r="S42" s="8"/>
    </row>
    <row r="43" spans="1:39" x14ac:dyDescent="0.35">
      <c r="A43" t="s">
        <v>251</v>
      </c>
      <c r="B43">
        <v>14</v>
      </c>
      <c r="C43">
        <v>-1146</v>
      </c>
      <c r="D43">
        <v>-22.3</v>
      </c>
      <c r="F43" s="10" t="s">
        <v>251</v>
      </c>
      <c r="G43" s="8">
        <v>9900.9924383599755</v>
      </c>
      <c r="H43" s="8">
        <v>3833.9835085755694</v>
      </c>
      <c r="I43" s="8">
        <v>5792.1427198381734</v>
      </c>
      <c r="J43" s="8">
        <f t="shared" si="0"/>
        <v>1709.3833693788195</v>
      </c>
      <c r="K43" s="8" t="str">
        <f>regions!A94</f>
        <v>Jordan</v>
      </c>
      <c r="L43" s="8">
        <f>regions!Z94</f>
        <v>18.3</v>
      </c>
      <c r="O43" s="8"/>
      <c r="P43" s="8"/>
      <c r="S43" s="8"/>
    </row>
    <row r="44" spans="1:39" x14ac:dyDescent="0.35">
      <c r="A44" t="s">
        <v>252</v>
      </c>
      <c r="B44">
        <v>-6</v>
      </c>
      <c r="C44">
        <v>211</v>
      </c>
      <c r="D44">
        <v>10.3</v>
      </c>
      <c r="F44" s="10" t="s">
        <v>252</v>
      </c>
      <c r="G44" s="8">
        <v>2024.9896619452306</v>
      </c>
      <c r="H44" s="8">
        <v>2594.8978139785836</v>
      </c>
      <c r="I44" s="8">
        <v>5289.2870819628988</v>
      </c>
      <c r="J44" s="8">
        <f t="shared" si="0"/>
        <v>382.84737254112895</v>
      </c>
      <c r="K44" s="8" t="str">
        <f>regions!A100</f>
        <v>Kyrgyzstan</v>
      </c>
      <c r="L44" s="8">
        <f>regions!Z100</f>
        <v>1.6</v>
      </c>
      <c r="O44" s="8"/>
      <c r="P44" s="8"/>
      <c r="S44" s="8"/>
    </row>
    <row r="45" spans="1:39" x14ac:dyDescent="0.35">
      <c r="A45" t="s">
        <v>226</v>
      </c>
      <c r="B45">
        <v>-42</v>
      </c>
      <c r="C45">
        <v>3888</v>
      </c>
      <c r="D45">
        <v>24.9</v>
      </c>
      <c r="F45" s="10" t="s">
        <v>226</v>
      </c>
      <c r="G45" s="8">
        <v>8637.0826760118125</v>
      </c>
      <c r="H45" s="8">
        <v>10308.332219281841</v>
      </c>
      <c r="I45" s="8">
        <v>2264.2275311936382</v>
      </c>
      <c r="J45" s="8">
        <f t="shared" si="0"/>
        <v>3814.5824821141455</v>
      </c>
      <c r="K45" s="8" t="str">
        <f>regions!A102</f>
        <v>Latvia</v>
      </c>
      <c r="L45" s="8">
        <f>regions!Z102</f>
        <v>5.6</v>
      </c>
      <c r="O45" s="8"/>
      <c r="P45" s="8"/>
      <c r="S45" s="8"/>
    </row>
    <row r="46" spans="1:39" x14ac:dyDescent="0.35">
      <c r="A46" t="s">
        <v>227</v>
      </c>
      <c r="B46">
        <v>-42</v>
      </c>
      <c r="C46">
        <v>4070</v>
      </c>
      <c r="D46">
        <v>23.1</v>
      </c>
      <c r="F46" s="10" t="s">
        <v>227</v>
      </c>
      <c r="G46" s="8">
        <v>11232.687482216763</v>
      </c>
      <c r="H46" s="8">
        <v>10355.586430942756</v>
      </c>
      <c r="I46" s="8">
        <v>3408.6194419861936</v>
      </c>
      <c r="J46" s="8">
        <f t="shared" si="0"/>
        <v>3295.3774023161427</v>
      </c>
      <c r="K46" s="8" t="str">
        <f>regions!A108</f>
        <v>Lithuania</v>
      </c>
      <c r="L46" s="8">
        <f>regions!Z108</f>
        <v>6.2</v>
      </c>
      <c r="O46" s="8"/>
      <c r="P46" s="8"/>
      <c r="S46" s="8"/>
    </row>
    <row r="47" spans="1:39" x14ac:dyDescent="0.35">
      <c r="A47" t="s">
        <v>228</v>
      </c>
      <c r="B47">
        <v>9</v>
      </c>
      <c r="C47">
        <v>-831</v>
      </c>
      <c r="D47">
        <v>-9.4</v>
      </c>
      <c r="F47" s="10" t="s">
        <v>258</v>
      </c>
      <c r="G47" s="8">
        <v>4967.0034928642208</v>
      </c>
      <c r="H47" s="8">
        <v>4132.1203585617668</v>
      </c>
      <c r="I47" s="8">
        <v>2079.3580441040012</v>
      </c>
      <c r="J47" s="8">
        <f t="shared" si="0"/>
        <v>2388.7196853606374</v>
      </c>
      <c r="K47" s="8" t="str">
        <f>regions!A111</f>
        <v>Macedonia [FYROM]</v>
      </c>
      <c r="L47" s="8">
        <f>regions!Z111</f>
        <v>9.8000000000000007</v>
      </c>
      <c r="O47" s="8"/>
      <c r="P47" s="8"/>
      <c r="S47" s="8"/>
    </row>
    <row r="48" spans="1:39" x14ac:dyDescent="0.35">
      <c r="A48" t="s">
        <v>164</v>
      </c>
      <c r="B48">
        <v>41</v>
      </c>
      <c r="C48">
        <v>-4031</v>
      </c>
      <c r="D48">
        <v>-30.7</v>
      </c>
      <c r="F48" s="10" t="s">
        <v>164</v>
      </c>
      <c r="G48" s="8">
        <v>132338.60000724686</v>
      </c>
      <c r="H48" s="8">
        <v>11031.290904320615</v>
      </c>
      <c r="I48" s="8">
        <v>25441.912625491881</v>
      </c>
      <c r="J48" s="8">
        <f t="shared" si="0"/>
        <v>5201.5979283982115</v>
      </c>
      <c r="K48" s="8" t="str">
        <f>regions!A114</f>
        <v>Malaysia</v>
      </c>
      <c r="L48" s="8">
        <f>regions!Z114</f>
        <v>25.4</v>
      </c>
      <c r="O48" s="8"/>
      <c r="P48" s="8"/>
      <c r="S48" s="8"/>
    </row>
    <row r="49" spans="1:19" x14ac:dyDescent="0.35">
      <c r="A49" t="s">
        <v>165</v>
      </c>
      <c r="B49">
        <v>61</v>
      </c>
      <c r="C49">
        <v>-1661</v>
      </c>
      <c r="D49">
        <v>-157.1</v>
      </c>
      <c r="F49" s="10" t="s">
        <v>165</v>
      </c>
      <c r="G49" s="8">
        <v>4667.7104884088931</v>
      </c>
      <c r="H49" s="8">
        <v>1073.8498127967318</v>
      </c>
      <c r="I49" s="8">
        <v>13791.263998068112</v>
      </c>
      <c r="J49" s="8">
        <f t="shared" si="0"/>
        <v>338.45414670205344</v>
      </c>
      <c r="K49" s="8" t="str">
        <f>regions!A116</f>
        <v>Mali</v>
      </c>
      <c r="L49" s="8">
        <f>regions!Z116</f>
        <v>28.2</v>
      </c>
      <c r="O49" s="8"/>
      <c r="P49" s="8"/>
      <c r="S49" s="8"/>
    </row>
    <row r="50" spans="1:19" x14ac:dyDescent="0.35">
      <c r="A50" t="s">
        <v>167</v>
      </c>
      <c r="B50">
        <v>28</v>
      </c>
      <c r="C50">
        <v>-4790</v>
      </c>
      <c r="D50">
        <v>-35.6</v>
      </c>
      <c r="F50" s="10" t="s">
        <v>167</v>
      </c>
      <c r="G50" s="8">
        <v>383138.87288288889</v>
      </c>
      <c r="H50" s="8">
        <v>8681.8113641495875</v>
      </c>
      <c r="I50" s="8">
        <v>106629.37178983702</v>
      </c>
      <c r="J50" s="8">
        <f t="shared" si="0"/>
        <v>3593.1832519659119</v>
      </c>
      <c r="K50" s="8" t="str">
        <f>regions!A121</f>
        <v>Mexico</v>
      </c>
      <c r="L50" s="8">
        <f>regions!Z121</f>
        <v>21</v>
      </c>
      <c r="O50" s="8"/>
      <c r="P50" s="8"/>
      <c r="S50" s="8"/>
    </row>
    <row r="51" spans="1:19" x14ac:dyDescent="0.35">
      <c r="A51" t="s">
        <v>229</v>
      </c>
      <c r="B51">
        <v>-11</v>
      </c>
      <c r="C51">
        <v>449</v>
      </c>
      <c r="D51">
        <v>16.2</v>
      </c>
      <c r="F51" s="10" t="s">
        <v>259</v>
      </c>
      <c r="G51" s="8">
        <v>3822.429486001176</v>
      </c>
      <c r="H51" s="8">
        <v>3527.5515108517134</v>
      </c>
      <c r="I51" s="8">
        <v>4252.0504672621355</v>
      </c>
      <c r="J51" s="8">
        <f t="shared" si="0"/>
        <v>898.96145763820402</v>
      </c>
      <c r="K51" s="8" t="str">
        <f>regions!A123</f>
        <v>Moldova</v>
      </c>
      <c r="L51" s="8">
        <f>regions!Z123</f>
        <v>9.4</v>
      </c>
      <c r="O51" s="8"/>
      <c r="P51" s="8"/>
      <c r="S51" s="8"/>
    </row>
    <row r="52" spans="1:19" x14ac:dyDescent="0.35">
      <c r="A52" t="s">
        <v>168</v>
      </c>
      <c r="B52">
        <v>15</v>
      </c>
      <c r="C52">
        <v>-1315</v>
      </c>
      <c r="D52">
        <v>-33.299999999999997</v>
      </c>
      <c r="F52" s="10" t="s">
        <v>168</v>
      </c>
      <c r="G52" s="8">
        <v>49997.906441749146</v>
      </c>
      <c r="H52" s="8">
        <v>4102.0690647477741</v>
      </c>
      <c r="I52" s="8">
        <v>31581.629185821679</v>
      </c>
      <c r="J52" s="8">
        <f t="shared" si="0"/>
        <v>1583.1325910252694</v>
      </c>
      <c r="K52" s="8" t="str">
        <f>regions!A127</f>
        <v>Morocco</v>
      </c>
      <c r="L52" s="8">
        <f>regions!Z127</f>
        <v>17.100000000000001</v>
      </c>
      <c r="O52" s="8"/>
      <c r="P52" s="8"/>
      <c r="S52" s="8"/>
    </row>
    <row r="53" spans="1:19" x14ac:dyDescent="0.35">
      <c r="A53" t="s">
        <v>170</v>
      </c>
      <c r="B53">
        <v>-31</v>
      </c>
      <c r="C53">
        <v>2847</v>
      </c>
      <c r="D53">
        <v>7.4</v>
      </c>
      <c r="F53" s="10" t="s">
        <v>170</v>
      </c>
      <c r="G53" s="8">
        <v>504556.51674917707</v>
      </c>
      <c r="H53" s="8">
        <v>24126.004025494876</v>
      </c>
      <c r="I53" s="8">
        <v>16324.722056597135</v>
      </c>
      <c r="J53" s="8">
        <f t="shared" si="0"/>
        <v>30907.510400477295</v>
      </c>
      <c r="K53" s="8" t="str">
        <f>regions!A131</f>
        <v>Netherlands</v>
      </c>
      <c r="L53" s="8">
        <f>regions!Z131</f>
        <v>9.1999999999999993</v>
      </c>
      <c r="O53" s="8"/>
      <c r="P53" s="8"/>
      <c r="S53" s="8"/>
    </row>
    <row r="54" spans="1:19" x14ac:dyDescent="0.35">
      <c r="A54" t="s">
        <v>171</v>
      </c>
      <c r="B54">
        <v>-8</v>
      </c>
      <c r="C54">
        <v>1281</v>
      </c>
      <c r="D54">
        <v>5</v>
      </c>
      <c r="F54" s="10" t="s">
        <v>171</v>
      </c>
      <c r="G54" s="8">
        <v>82328.250097803771</v>
      </c>
      <c r="H54" s="8">
        <v>20362.907803625607</v>
      </c>
      <c r="I54" s="8">
        <v>3940.5196065799641</v>
      </c>
      <c r="J54" s="8">
        <f t="shared" si="0"/>
        <v>20892.739617468287</v>
      </c>
      <c r="K54" s="8" t="str">
        <f>regions!A132</f>
        <v>New Zealand</v>
      </c>
      <c r="L54" s="8">
        <f>regions!Z132</f>
        <v>10.5</v>
      </c>
      <c r="O54" s="8"/>
      <c r="P54" s="8"/>
      <c r="S54" s="8"/>
    </row>
    <row r="55" spans="1:19" x14ac:dyDescent="0.35">
      <c r="A55" t="s">
        <v>172</v>
      </c>
      <c r="B55">
        <v>47</v>
      </c>
      <c r="C55">
        <v>-1936</v>
      </c>
      <c r="D55">
        <v>-99.8</v>
      </c>
      <c r="F55" s="10" t="s">
        <v>172</v>
      </c>
      <c r="G55" s="8">
        <v>32070.67776238174</v>
      </c>
      <c r="H55" s="8">
        <v>827.92457113279204</v>
      </c>
      <c r="I55" s="8">
        <v>130669.13693358886</v>
      </c>
      <c r="J55" s="8">
        <f t="shared" si="0"/>
        <v>245.43422046692868</v>
      </c>
      <c r="K55" s="8" t="str">
        <f>regions!A135</f>
        <v>Nigeria</v>
      </c>
      <c r="L55" s="8">
        <f>regions!Z135</f>
        <v>26.8</v>
      </c>
      <c r="O55" s="8"/>
      <c r="P55" s="8"/>
      <c r="S55" s="8"/>
    </row>
    <row r="56" spans="1:19" x14ac:dyDescent="0.35">
      <c r="A56" t="s">
        <v>173</v>
      </c>
      <c r="B56">
        <v>-47</v>
      </c>
      <c r="C56">
        <v>1583</v>
      </c>
      <c r="D56">
        <v>3.2</v>
      </c>
      <c r="F56" s="10" t="s">
        <v>173</v>
      </c>
      <c r="G56" s="8">
        <v>187085.67921696423</v>
      </c>
      <c r="H56" s="8">
        <v>29728.336328588353</v>
      </c>
      <c r="I56" s="8">
        <v>4574.5356316260786</v>
      </c>
      <c r="J56" s="8">
        <f t="shared" si="0"/>
        <v>40897.195755465604</v>
      </c>
      <c r="K56" s="8" t="str">
        <f>regions!A136</f>
        <v>Norway</v>
      </c>
      <c r="L56" s="8">
        <f>regions!Z136</f>
        <v>1.5</v>
      </c>
      <c r="O56" s="8"/>
      <c r="P56" s="8"/>
      <c r="S56" s="8"/>
    </row>
    <row r="57" spans="1:19" x14ac:dyDescent="0.35">
      <c r="A57" t="s">
        <v>174</v>
      </c>
      <c r="B57">
        <v>47</v>
      </c>
      <c r="C57">
        <v>-2265</v>
      </c>
      <c r="D57">
        <v>-96.6</v>
      </c>
      <c r="F57" s="10" t="s">
        <v>174</v>
      </c>
      <c r="G57" s="8">
        <v>86944.023805183941</v>
      </c>
      <c r="H57" s="8">
        <v>2158.7813553015694</v>
      </c>
      <c r="I57" s="8">
        <v>161363.70997794578</v>
      </c>
      <c r="J57" s="8">
        <f t="shared" si="0"/>
        <v>538.80778904418423</v>
      </c>
      <c r="K57" s="8" t="str">
        <f>regions!A138</f>
        <v>Pakistan</v>
      </c>
      <c r="L57" s="8">
        <f>regions!Z138</f>
        <v>20.2</v>
      </c>
      <c r="O57" s="8"/>
      <c r="P57" s="8"/>
      <c r="S57" s="8"/>
    </row>
    <row r="58" spans="1:19" x14ac:dyDescent="0.35">
      <c r="A58" t="s">
        <v>177</v>
      </c>
      <c r="B58">
        <v>46</v>
      </c>
      <c r="C58">
        <v>-6522</v>
      </c>
      <c r="D58">
        <v>-83</v>
      </c>
      <c r="F58" s="10" t="s">
        <v>177</v>
      </c>
      <c r="G58" s="8">
        <v>74953.700202795007</v>
      </c>
      <c r="H58" s="8">
        <v>5198.2096053597807</v>
      </c>
      <c r="I58" s="8">
        <v>28019.715969678615</v>
      </c>
      <c r="J58" s="8">
        <f t="shared" si="0"/>
        <v>2675.0342610148423</v>
      </c>
      <c r="K58" s="8" t="str">
        <f>regions!A144</f>
        <v>Peru</v>
      </c>
      <c r="L58" s="8">
        <f>regions!Z144</f>
        <v>19.600000000000001</v>
      </c>
      <c r="O58" s="8"/>
      <c r="P58" s="8"/>
      <c r="S58" s="8"/>
    </row>
    <row r="59" spans="1:19" x14ac:dyDescent="0.35">
      <c r="A59" t="s">
        <v>178</v>
      </c>
      <c r="B59">
        <v>37</v>
      </c>
      <c r="C59">
        <v>-1892</v>
      </c>
      <c r="D59">
        <v>-58.3</v>
      </c>
      <c r="F59" s="10" t="s">
        <v>178</v>
      </c>
      <c r="G59" s="8">
        <v>109253.25677153621</v>
      </c>
      <c r="H59" s="8">
        <v>4275.274508995446</v>
      </c>
      <c r="I59" s="8">
        <v>83027.778710140483</v>
      </c>
      <c r="J59" s="8">
        <f t="shared" si="0"/>
        <v>1315.8639008391624</v>
      </c>
      <c r="K59" s="8" t="str">
        <f>regions!A145</f>
        <v>Philippines</v>
      </c>
      <c r="L59" s="8">
        <f>regions!Z145</f>
        <v>25.8</v>
      </c>
      <c r="O59" s="8"/>
      <c r="P59" s="8"/>
      <c r="S59" s="8"/>
    </row>
    <row r="60" spans="1:19" x14ac:dyDescent="0.35">
      <c r="A60" t="s">
        <v>179</v>
      </c>
      <c r="B60">
        <v>-29</v>
      </c>
      <c r="C60">
        <v>3011</v>
      </c>
      <c r="D60">
        <v>18.3</v>
      </c>
      <c r="F60" s="10" t="s">
        <v>179</v>
      </c>
      <c r="G60" s="8">
        <v>150599.25242028959</v>
      </c>
      <c r="H60" s="8">
        <v>9036.3087788727662</v>
      </c>
      <c r="I60" s="8">
        <v>38535.130487605777</v>
      </c>
      <c r="J60" s="8">
        <f t="shared" si="0"/>
        <v>3908.1028275933172</v>
      </c>
      <c r="K60" s="8" t="str">
        <f>regions!A146</f>
        <v>Poland</v>
      </c>
      <c r="L60" s="8">
        <f>regions!Z146</f>
        <v>7.8</v>
      </c>
      <c r="O60" s="8"/>
      <c r="P60" s="8"/>
      <c r="S60" s="8"/>
    </row>
    <row r="61" spans="1:19" x14ac:dyDescent="0.35">
      <c r="A61" t="s">
        <v>181</v>
      </c>
      <c r="B61">
        <v>-4</v>
      </c>
      <c r="C61">
        <v>405</v>
      </c>
      <c r="D61">
        <v>3.4</v>
      </c>
      <c r="F61" s="10" t="s">
        <v>181</v>
      </c>
      <c r="G61" s="8">
        <v>40858.124719267907</v>
      </c>
      <c r="H61" s="8">
        <v>7432.3343372459258</v>
      </c>
      <c r="I61" s="8">
        <v>22237.66754591951</v>
      </c>
      <c r="J61" s="8">
        <f t="shared" si="0"/>
        <v>1837.338589350624</v>
      </c>
      <c r="K61" s="8" t="str">
        <f>regions!A150</f>
        <v>Romania</v>
      </c>
      <c r="L61" s="8">
        <f>regions!Z150</f>
        <v>8.8000000000000007</v>
      </c>
      <c r="O61" s="8"/>
      <c r="P61" s="8"/>
      <c r="S61" s="8"/>
    </row>
    <row r="62" spans="1:19" x14ac:dyDescent="0.35">
      <c r="A62" t="s">
        <v>260</v>
      </c>
      <c r="B62">
        <v>-45</v>
      </c>
      <c r="C62">
        <v>3783</v>
      </c>
      <c r="D62">
        <v>25.7</v>
      </c>
      <c r="F62" s="10" t="s">
        <v>260</v>
      </c>
      <c r="G62" s="8">
        <v>446873.63849549781</v>
      </c>
      <c r="H62" s="8">
        <v>9830.4627385235508</v>
      </c>
      <c r="I62" s="8">
        <v>141723.07933834477</v>
      </c>
      <c r="J62" s="8">
        <f t="shared" si="0"/>
        <v>3153.1465487611031</v>
      </c>
      <c r="K62" s="8" t="str">
        <f>regions!A151</f>
        <v>Russia</v>
      </c>
      <c r="L62" s="8">
        <f>regions!Z151</f>
        <v>-5.0999999999999996</v>
      </c>
      <c r="O62" s="8"/>
      <c r="P62" s="8"/>
      <c r="S62" s="8"/>
    </row>
    <row r="63" spans="1:19" x14ac:dyDescent="0.35">
      <c r="A63" t="s">
        <v>182</v>
      </c>
      <c r="B63">
        <v>52</v>
      </c>
      <c r="C63">
        <v>-3078</v>
      </c>
      <c r="D63">
        <v>-324.39999999999998</v>
      </c>
      <c r="F63" s="10" t="s">
        <v>182</v>
      </c>
      <c r="G63" s="8">
        <v>3147.7578599248923</v>
      </c>
      <c r="H63" s="8">
        <v>1190.2714665937431</v>
      </c>
      <c r="I63" s="8">
        <v>8922.1074661790681</v>
      </c>
      <c r="J63" s="8">
        <f t="shared" si="0"/>
        <v>352.80429784746065</v>
      </c>
      <c r="K63" s="8" t="str">
        <f>regions!A152</f>
        <v>Rwanda</v>
      </c>
      <c r="L63" s="8">
        <f>regions!Z152</f>
        <v>17.899999999999999</v>
      </c>
      <c r="O63" s="8"/>
      <c r="P63" s="8"/>
      <c r="S63" s="8"/>
    </row>
    <row r="64" spans="1:19" x14ac:dyDescent="0.35">
      <c r="A64" t="s">
        <v>253</v>
      </c>
      <c r="B64">
        <v>56</v>
      </c>
      <c r="C64">
        <v>-5504</v>
      </c>
      <c r="D64">
        <v>-25.3</v>
      </c>
      <c r="F64" s="10" t="s">
        <v>253</v>
      </c>
      <c r="G64" s="8">
        <v>191900.0864893173</v>
      </c>
      <c r="H64" s="8">
        <v>12400.349982995878</v>
      </c>
      <c r="I64" s="8">
        <v>25721.044768901545</v>
      </c>
      <c r="J64" s="8">
        <f t="shared" si="0"/>
        <v>7460.8200488549855</v>
      </c>
      <c r="K64" s="8" t="str">
        <f>regions!A159</f>
        <v>Saudi Arabia</v>
      </c>
      <c r="L64" s="8">
        <f>regions!Z159</f>
        <v>24.6</v>
      </c>
      <c r="O64" s="8"/>
      <c r="P64" s="8"/>
      <c r="S64" s="8"/>
    </row>
    <row r="65" spans="1:19" x14ac:dyDescent="0.35">
      <c r="A65" t="s">
        <v>207</v>
      </c>
      <c r="B65">
        <v>35</v>
      </c>
      <c r="C65">
        <v>-1144</v>
      </c>
      <c r="D65">
        <v>-2.2999999999999998</v>
      </c>
      <c r="F65" s="10" t="s">
        <v>207</v>
      </c>
      <c r="G65" s="8">
        <v>121309.37848741094</v>
      </c>
      <c r="H65" s="8">
        <v>25656.500749856674</v>
      </c>
      <c r="I65" s="8">
        <v>4426.0057515828266</v>
      </c>
      <c r="J65" s="8">
        <f t="shared" si="0"/>
        <v>27408.319215136202</v>
      </c>
      <c r="K65" s="8" t="str">
        <f>regions!A164</f>
        <v>Singapore</v>
      </c>
      <c r="L65" s="8">
        <f>regions!Z164</f>
        <v>26.4</v>
      </c>
      <c r="O65" s="8"/>
      <c r="P65" s="8"/>
      <c r="S65" s="8"/>
    </row>
    <row r="66" spans="1:19" x14ac:dyDescent="0.35">
      <c r="A66" t="s">
        <v>235</v>
      </c>
      <c r="B66">
        <v>-16</v>
      </c>
      <c r="C66">
        <v>1893</v>
      </c>
      <c r="D66">
        <v>9.1999999999999993</v>
      </c>
      <c r="F66" s="10" t="s">
        <v>235</v>
      </c>
      <c r="G66" s="8">
        <v>28280.536352148727</v>
      </c>
      <c r="H66" s="8">
        <v>12472.119986063211</v>
      </c>
      <c r="I66" s="8">
        <v>5410.0178063531584</v>
      </c>
      <c r="J66" s="8">
        <f t="shared" si="0"/>
        <v>5227.4386821681037</v>
      </c>
      <c r="K66" s="8" t="str">
        <f>regions!A165</f>
        <v>Slovakia</v>
      </c>
      <c r="L66" s="8">
        <f>regions!Z165</f>
        <v>6.8</v>
      </c>
      <c r="O66" s="8"/>
      <c r="P66" s="8"/>
      <c r="S66" s="8"/>
    </row>
    <row r="67" spans="1:19" x14ac:dyDescent="0.35">
      <c r="A67" t="s">
        <v>236</v>
      </c>
      <c r="B67">
        <v>-10</v>
      </c>
      <c r="C67">
        <v>1112</v>
      </c>
      <c r="D67">
        <v>4</v>
      </c>
      <c r="F67" s="10" t="s">
        <v>236</v>
      </c>
      <c r="G67" s="8">
        <v>26751.123600778843</v>
      </c>
      <c r="H67" s="8">
        <v>13920.206305022033</v>
      </c>
      <c r="I67" s="8">
        <v>1980.0120643397734</v>
      </c>
      <c r="J67" s="8">
        <f t="shared" si="0"/>
        <v>13510.586163877184</v>
      </c>
      <c r="K67" s="8" t="str">
        <f>regions!A166</f>
        <v>Slovenia</v>
      </c>
      <c r="L67" s="8">
        <f>regions!Z166</f>
        <v>8.9</v>
      </c>
      <c r="O67" s="8"/>
      <c r="P67" s="8"/>
      <c r="S67" s="8"/>
    </row>
    <row r="68" spans="1:19" x14ac:dyDescent="0.35">
      <c r="A68" t="s">
        <v>237</v>
      </c>
      <c r="B68">
        <v>13</v>
      </c>
      <c r="C68">
        <v>-1884</v>
      </c>
      <c r="D68">
        <v>-19.600000000000001</v>
      </c>
      <c r="F68" s="10" t="s">
        <v>237</v>
      </c>
      <c r="G68" s="8">
        <v>199045.22547948066</v>
      </c>
      <c r="H68" s="8">
        <v>9441.2625690508721</v>
      </c>
      <c r="I68" s="8">
        <v>45803.974765098515</v>
      </c>
      <c r="J68" s="8">
        <f t="shared" ref="J68:J83" si="1">G68/I68*1000</f>
        <v>4345.5884887777938</v>
      </c>
      <c r="K68" s="8" t="str">
        <f>regions!A168</f>
        <v>South Africa</v>
      </c>
      <c r="L68" s="8">
        <f>regions!Z168</f>
        <v>17.8</v>
      </c>
      <c r="O68" s="8"/>
      <c r="P68" s="8"/>
      <c r="S68" s="8"/>
    </row>
    <row r="69" spans="1:19" x14ac:dyDescent="0.35">
      <c r="A69" t="s">
        <v>186</v>
      </c>
      <c r="B69">
        <v>-12</v>
      </c>
      <c r="C69">
        <v>1315</v>
      </c>
      <c r="D69">
        <v>5.0999999999999996</v>
      </c>
      <c r="F69" s="10" t="s">
        <v>269</v>
      </c>
      <c r="G69" s="12"/>
      <c r="H69" s="8">
        <v>20585.433864148898</v>
      </c>
      <c r="I69" s="8">
        <v>48304.599762043654</v>
      </c>
      <c r="J69" s="8">
        <f t="shared" si="1"/>
        <v>0</v>
      </c>
      <c r="K69" s="8" t="str">
        <f>regions!A169</f>
        <v>South Korea</v>
      </c>
      <c r="L69" s="8">
        <f>regions!Z169</f>
        <v>11.5</v>
      </c>
      <c r="O69" s="8"/>
      <c r="P69" s="8"/>
      <c r="S69" s="8"/>
    </row>
    <row r="70" spans="1:19" x14ac:dyDescent="0.35">
      <c r="A70" t="s">
        <v>187</v>
      </c>
      <c r="B70">
        <v>7</v>
      </c>
      <c r="C70">
        <v>-836</v>
      </c>
      <c r="D70">
        <v>-2.9</v>
      </c>
      <c r="F70" s="10" t="s">
        <v>187</v>
      </c>
      <c r="G70" s="8">
        <v>776985.38354965823</v>
      </c>
      <c r="H70" s="8">
        <v>19608.429907928083</v>
      </c>
      <c r="I70" s="8">
        <v>41284.529734896321</v>
      </c>
      <c r="J70" s="8">
        <f t="shared" si="1"/>
        <v>18820.255154630006</v>
      </c>
      <c r="K70" s="8" t="str">
        <f>regions!A170</f>
        <v>Spain</v>
      </c>
      <c r="L70" s="8">
        <f>regions!Z170</f>
        <v>13.3</v>
      </c>
      <c r="O70" s="8"/>
      <c r="P70" s="8"/>
      <c r="S70" s="8"/>
    </row>
    <row r="71" spans="1:19" x14ac:dyDescent="0.35">
      <c r="A71" t="s">
        <v>191</v>
      </c>
      <c r="B71">
        <v>-41</v>
      </c>
      <c r="C71">
        <v>3722</v>
      </c>
      <c r="D71">
        <v>10.8</v>
      </c>
      <c r="F71" s="10" t="s">
        <v>191</v>
      </c>
      <c r="G71" s="8">
        <v>303188.69492912933</v>
      </c>
      <c r="H71" s="8">
        <v>24129.436345419417</v>
      </c>
      <c r="I71" s="8">
        <v>8888.033200325488</v>
      </c>
      <c r="J71" s="8">
        <f t="shared" si="1"/>
        <v>34112.011971110354</v>
      </c>
      <c r="K71" s="8" t="str">
        <f>regions!A175</f>
        <v>Sweden</v>
      </c>
      <c r="L71" s="8">
        <f>regions!Z175</f>
        <v>2.1</v>
      </c>
      <c r="O71" s="8"/>
      <c r="P71" s="8"/>
      <c r="S71" s="8"/>
    </row>
    <row r="72" spans="1:19" x14ac:dyDescent="0.35">
      <c r="A72" t="s">
        <v>192</v>
      </c>
      <c r="B72">
        <v>-28</v>
      </c>
      <c r="C72">
        <v>2284</v>
      </c>
      <c r="D72">
        <v>6</v>
      </c>
      <c r="F72" s="10" t="s">
        <v>192</v>
      </c>
      <c r="G72" s="8">
        <v>337608.45577253244</v>
      </c>
      <c r="H72" s="8">
        <v>28781.377502097293</v>
      </c>
      <c r="I72" s="8">
        <v>7165.0033452584903</v>
      </c>
      <c r="J72" s="8">
        <f t="shared" si="1"/>
        <v>47119.092553661969</v>
      </c>
      <c r="K72" s="8" t="str">
        <f>regions!A176</f>
        <v>Switzerland</v>
      </c>
      <c r="L72" s="8">
        <f>regions!Z176</f>
        <v>5.5</v>
      </c>
      <c r="O72" s="8"/>
      <c r="P72" s="8"/>
      <c r="S72" s="8"/>
    </row>
    <row r="73" spans="1:19" x14ac:dyDescent="0.35">
      <c r="A73" t="s">
        <v>194</v>
      </c>
      <c r="B73">
        <v>48</v>
      </c>
      <c r="C73">
        <v>-1613</v>
      </c>
      <c r="D73">
        <v>-134.30000000000001</v>
      </c>
      <c r="F73" s="10" t="s">
        <v>211</v>
      </c>
      <c r="G73" s="8">
        <v>8507.0520591085296</v>
      </c>
      <c r="H73" s="8">
        <v>851.58644922447445</v>
      </c>
      <c r="I73" s="8">
        <v>38495.426336596778</v>
      </c>
      <c r="J73" s="8">
        <f t="shared" si="1"/>
        <v>220.98864381250033</v>
      </c>
      <c r="K73" s="8" t="str">
        <f>regions!A179</f>
        <v>Tanzania</v>
      </c>
      <c r="L73" s="8">
        <f>regions!Z179</f>
        <v>22.3</v>
      </c>
      <c r="O73" s="8"/>
      <c r="P73" s="8"/>
      <c r="S73" s="8"/>
    </row>
    <row r="74" spans="1:19" x14ac:dyDescent="0.35">
      <c r="A74" t="s">
        <v>195</v>
      </c>
      <c r="B74">
        <v>48</v>
      </c>
      <c r="C74">
        <v>-3573</v>
      </c>
      <c r="D74">
        <v>-47.8</v>
      </c>
      <c r="F74" s="10" t="s">
        <v>195</v>
      </c>
      <c r="G74" s="8">
        <v>214308.79712347392</v>
      </c>
      <c r="H74" s="8">
        <v>7950.5425287906155</v>
      </c>
      <c r="I74" s="8">
        <v>64146.950991909805</v>
      </c>
      <c r="J74" s="8">
        <f t="shared" si="1"/>
        <v>3340.9038747687709</v>
      </c>
      <c r="K74" s="8" t="str">
        <f>regions!A180</f>
        <v>Thailand</v>
      </c>
      <c r="L74" s="8">
        <f>regions!Z180</f>
        <v>26.3</v>
      </c>
      <c r="O74" s="8"/>
      <c r="P74" s="8"/>
      <c r="S74" s="8"/>
    </row>
    <row r="75" spans="1:19" x14ac:dyDescent="0.35">
      <c r="A75" t="s">
        <v>196</v>
      </c>
      <c r="B75">
        <v>25</v>
      </c>
      <c r="C75">
        <v>-2629</v>
      </c>
      <c r="D75">
        <v>-10.7</v>
      </c>
      <c r="F75" s="10" t="s">
        <v>196</v>
      </c>
      <c r="G75" s="8">
        <v>7805.7000366512539</v>
      </c>
      <c r="H75" s="8">
        <v>10740.498328165604</v>
      </c>
      <c r="I75" s="8">
        <v>1310.0743415680483</v>
      </c>
      <c r="J75" s="8">
        <f t="shared" si="1"/>
        <v>5958.2115220335436</v>
      </c>
      <c r="K75" s="8" t="str">
        <f>regions!A184</f>
        <v>Trinidad and Tobago</v>
      </c>
      <c r="L75" s="8">
        <f>regions!Z184</f>
        <v>25.7</v>
      </c>
      <c r="O75" s="8"/>
      <c r="P75" s="8"/>
      <c r="S75" s="8"/>
    </row>
    <row r="76" spans="1:19" x14ac:dyDescent="0.35">
      <c r="A76" t="s">
        <v>198</v>
      </c>
      <c r="B76">
        <v>2</v>
      </c>
      <c r="C76">
        <v>-244</v>
      </c>
      <c r="D76">
        <v>-2</v>
      </c>
      <c r="F76" s="10" t="s">
        <v>198</v>
      </c>
      <c r="G76" s="8">
        <v>256530.32171723363</v>
      </c>
      <c r="H76" s="8">
        <v>7891.9260228141757</v>
      </c>
      <c r="I76" s="8">
        <v>73453.067168622743</v>
      </c>
      <c r="J76" s="8">
        <f t="shared" si="1"/>
        <v>3492.4385271527062</v>
      </c>
      <c r="K76" s="8" t="str">
        <f>regions!A186</f>
        <v>Turkey</v>
      </c>
      <c r="L76" s="8">
        <f>regions!Z186</f>
        <v>11.1</v>
      </c>
      <c r="O76" s="8"/>
      <c r="P76" s="8"/>
      <c r="S76" s="8"/>
    </row>
    <row r="77" spans="1:19" x14ac:dyDescent="0.35">
      <c r="A77" t="s">
        <v>254</v>
      </c>
      <c r="B77">
        <v>53</v>
      </c>
      <c r="C77">
        <v>-2633</v>
      </c>
      <c r="D77">
        <v>-246.8</v>
      </c>
      <c r="F77" s="10" t="s">
        <v>254</v>
      </c>
      <c r="G77" s="8">
        <v>10334.064206966383</v>
      </c>
      <c r="H77" s="8">
        <v>1256.5439148907253</v>
      </c>
      <c r="I77" s="8">
        <v>27494.5492228402</v>
      </c>
      <c r="J77" s="8">
        <f t="shared" si="1"/>
        <v>375.85865195351869</v>
      </c>
      <c r="K77" s="8" t="str">
        <f>regions!A189</f>
        <v>Uganda</v>
      </c>
      <c r="L77" s="8">
        <f>regions!Z189</f>
        <v>22.8</v>
      </c>
      <c r="O77" s="8"/>
      <c r="P77" s="8"/>
      <c r="S77" s="8"/>
    </row>
    <row r="78" spans="1:19" x14ac:dyDescent="0.35">
      <c r="A78" t="s">
        <v>238</v>
      </c>
      <c r="B78">
        <v>-17</v>
      </c>
      <c r="C78">
        <v>1155</v>
      </c>
      <c r="D78">
        <v>17.100000000000001</v>
      </c>
      <c r="F78" s="10" t="s">
        <v>238</v>
      </c>
      <c r="G78" s="8">
        <v>57704.26618801304</v>
      </c>
      <c r="H78" s="8">
        <v>5211.6232411700557</v>
      </c>
      <c r="I78" s="8">
        <v>47756.22952184813</v>
      </c>
      <c r="J78" s="8">
        <f t="shared" si="1"/>
        <v>1208.3086702147152</v>
      </c>
      <c r="K78" s="8" t="str">
        <f>regions!A190</f>
        <v>Ukraine</v>
      </c>
      <c r="L78" s="8">
        <f>regions!Z190</f>
        <v>8.3000000000000007</v>
      </c>
      <c r="O78" s="8"/>
      <c r="P78" s="8"/>
      <c r="S78" s="8"/>
    </row>
    <row r="79" spans="1:19" x14ac:dyDescent="0.35">
      <c r="A79" t="s">
        <v>265</v>
      </c>
      <c r="B79">
        <v>-2</v>
      </c>
      <c r="C79">
        <v>135</v>
      </c>
      <c r="D79">
        <v>0.3</v>
      </c>
      <c r="F79" s="10" t="s">
        <v>200</v>
      </c>
      <c r="G79" s="8">
        <v>9872183.977084944</v>
      </c>
      <c r="H79" s="8">
        <v>37744.449870580458</v>
      </c>
      <c r="I79" s="8">
        <v>300267.43440884893</v>
      </c>
      <c r="J79" s="8">
        <f t="shared" si="1"/>
        <v>32877.970921224914</v>
      </c>
      <c r="K79" s="8" t="str">
        <f>regions!A193</f>
        <v>United States</v>
      </c>
      <c r="L79" s="8">
        <f>regions!Z193</f>
        <v>8.5</v>
      </c>
      <c r="O79" s="8"/>
      <c r="P79" s="8"/>
      <c r="S79" s="8"/>
    </row>
    <row r="80" spans="1:19" x14ac:dyDescent="0.35">
      <c r="A80" t="s">
        <v>201</v>
      </c>
      <c r="B80">
        <v>-8</v>
      </c>
      <c r="C80">
        <v>1132</v>
      </c>
      <c r="D80">
        <v>9.6</v>
      </c>
      <c r="F80" s="10" t="s">
        <v>201</v>
      </c>
      <c r="G80" s="8">
        <v>13121.835823004341</v>
      </c>
      <c r="H80" s="8">
        <v>5490.6880840749373</v>
      </c>
      <c r="I80" s="8">
        <v>3467.119608588966</v>
      </c>
      <c r="J80" s="8">
        <f t="shared" si="1"/>
        <v>3784.6504604277593</v>
      </c>
      <c r="K80" s="8" t="str">
        <f>regions!A194</f>
        <v>Uruguay</v>
      </c>
      <c r="L80" s="8">
        <f>regions!Z194</f>
        <v>17.5</v>
      </c>
      <c r="O80" s="8"/>
      <c r="P80" s="8"/>
      <c r="S80" s="8"/>
    </row>
    <row r="81" spans="1:19" x14ac:dyDescent="0.35">
      <c r="A81" t="s">
        <v>202</v>
      </c>
      <c r="B81">
        <v>62</v>
      </c>
      <c r="C81">
        <v>-7423</v>
      </c>
      <c r="D81">
        <v>-63.1</v>
      </c>
      <c r="F81" s="10" t="s">
        <v>202</v>
      </c>
      <c r="G81" s="8">
        <v>56542.29633492318</v>
      </c>
      <c r="H81" s="8">
        <v>3994.4617034508947</v>
      </c>
      <c r="I81" s="8">
        <v>26703.161140353091</v>
      </c>
      <c r="J81" s="8">
        <f t="shared" si="1"/>
        <v>2117.4383076870249</v>
      </c>
      <c r="K81" s="8" t="str">
        <f>regions!A197</f>
        <v>Venezuela</v>
      </c>
      <c r="L81" s="8">
        <f>regions!Z197</f>
        <v>25.3</v>
      </c>
      <c r="O81" s="8"/>
      <c r="P81" s="8"/>
      <c r="S81" s="8"/>
    </row>
    <row r="82" spans="1:19" x14ac:dyDescent="0.35">
      <c r="A82" t="s">
        <v>261</v>
      </c>
      <c r="B82">
        <v>48</v>
      </c>
      <c r="C82">
        <v>-2523</v>
      </c>
      <c r="D82">
        <v>-98</v>
      </c>
      <c r="F82" s="10" t="s">
        <v>261</v>
      </c>
      <c r="G82" s="8">
        <v>40788.534995795344</v>
      </c>
      <c r="H82" s="8">
        <v>2561.5538307434826</v>
      </c>
      <c r="I82" s="8">
        <v>83610.339051218209</v>
      </c>
      <c r="J82" s="8">
        <f t="shared" si="1"/>
        <v>487.84080364521679</v>
      </c>
      <c r="K82" s="8" t="str">
        <f>regions!A198</f>
        <v>Vietnam</v>
      </c>
      <c r="L82" s="8">
        <f>regions!Z198</f>
        <v>24.4</v>
      </c>
      <c r="O82" s="8"/>
      <c r="P82" s="8"/>
      <c r="S82" s="8"/>
    </row>
    <row r="83" spans="1:19" x14ac:dyDescent="0.35">
      <c r="A83" t="s">
        <v>204</v>
      </c>
      <c r="B83">
        <v>48</v>
      </c>
      <c r="C83">
        <v>-2595</v>
      </c>
      <c r="D83">
        <v>-207.4</v>
      </c>
      <c r="F83" s="10" t="s">
        <v>204</v>
      </c>
      <c r="G83" s="8">
        <v>4693.6676085755289</v>
      </c>
      <c r="H83" s="8">
        <v>977.19107223573053</v>
      </c>
      <c r="I83" s="8">
        <v>11091.375593837854</v>
      </c>
      <c r="J83" s="8">
        <f t="shared" si="1"/>
        <v>423.18173871807534</v>
      </c>
      <c r="K83" s="8" t="str">
        <f>regions!A200</f>
        <v>Zambia</v>
      </c>
      <c r="L83" s="8">
        <f>regions!Z200</f>
        <v>21.4</v>
      </c>
      <c r="O83" s="8"/>
      <c r="P83" s="8"/>
      <c r="S83" s="8"/>
    </row>
    <row r="84" spans="1:19" x14ac:dyDescent="0.35">
      <c r="F84" s="10"/>
      <c r="K84" s="8"/>
      <c r="L84" s="8"/>
    </row>
    <row r="85" spans="1:19" x14ac:dyDescent="0.35">
      <c r="G85" s="5">
        <f>SUMPRODUCT(D3:D83,G3:G83)/SUM(G3:G83)</f>
        <v>-5.1135252093739076</v>
      </c>
      <c r="H85" s="5">
        <f>SUMPRODUCT($D3:$D83,H3:H83,I3:I83)/SUMPRODUCT(H3:H83,I3:I83)</f>
        <v>-12.4297787133381</v>
      </c>
      <c r="K85" s="8"/>
      <c r="L85" s="8"/>
    </row>
    <row r="86" spans="1:19" x14ac:dyDescent="0.35">
      <c r="F86" s="10"/>
    </row>
    <row r="87" spans="1:19" x14ac:dyDescent="0.35">
      <c r="F87" s="10"/>
    </row>
  </sheetData>
  <sortState xmlns:xlrd2="http://schemas.microsoft.com/office/spreadsheetml/2017/richdata2" ref="N3:P83">
    <sortCondition ref="N3:N83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85"/>
  <sheetViews>
    <sheetView workbookViewId="0">
      <pane xSplit="1" ySplit="4" topLeftCell="F5" activePane="bottomRight" state="frozen"/>
      <selection pane="topRight" activeCell="B1" sqref="B1"/>
      <selection pane="bottomLeft" activeCell="A5" sqref="A5"/>
      <selection pane="bottomRight" activeCell="V17" sqref="V17"/>
    </sheetView>
  </sheetViews>
  <sheetFormatPr defaultRowHeight="14.5" x14ac:dyDescent="0.35"/>
  <cols>
    <col min="1" max="1" width="16.1796875" customWidth="1"/>
    <col min="2" max="2" width="10" bestFit="1" customWidth="1"/>
    <col min="4" max="4" width="12" bestFit="1" customWidth="1"/>
    <col min="10" max="10" width="9.453125" bestFit="1" customWidth="1"/>
    <col min="19" max="19" width="12" bestFit="1" customWidth="1"/>
  </cols>
  <sheetData>
    <row r="1" spans="1:52" x14ac:dyDescent="0.35">
      <c r="B1" t="s">
        <v>243</v>
      </c>
      <c r="E1" t="s">
        <v>292</v>
      </c>
      <c r="H1" t="s">
        <v>81</v>
      </c>
      <c r="I1" t="s">
        <v>75</v>
      </c>
      <c r="J1" t="s">
        <v>72</v>
      </c>
    </row>
    <row r="2" spans="1:52" x14ac:dyDescent="0.35">
      <c r="B2" t="s">
        <v>241</v>
      </c>
      <c r="D2" t="s">
        <v>242</v>
      </c>
      <c r="H2" t="s">
        <v>262</v>
      </c>
      <c r="I2" t="s">
        <v>264</v>
      </c>
      <c r="J2" t="s">
        <v>263</v>
      </c>
    </row>
    <row r="3" spans="1:52" x14ac:dyDescent="0.35">
      <c r="B3">
        <v>0.62</v>
      </c>
      <c r="C3">
        <v>1.024</v>
      </c>
      <c r="D3">
        <v>0.62</v>
      </c>
      <c r="E3">
        <v>1.024</v>
      </c>
    </row>
    <row r="4" spans="1:52" x14ac:dyDescent="0.35">
      <c r="B4">
        <v>2039</v>
      </c>
      <c r="C4">
        <v>2069</v>
      </c>
      <c r="D4">
        <v>2039</v>
      </c>
      <c r="E4">
        <v>2069</v>
      </c>
      <c r="H4">
        <v>2005</v>
      </c>
      <c r="I4">
        <v>2005</v>
      </c>
      <c r="J4">
        <v>2005</v>
      </c>
    </row>
    <row r="5" spans="1:52" x14ac:dyDescent="0.35">
      <c r="A5" t="s">
        <v>118</v>
      </c>
      <c r="B5">
        <v>155.93</v>
      </c>
      <c r="C5">
        <v>263.10000000000002</v>
      </c>
      <c r="D5">
        <v>138.58000000000001</v>
      </c>
      <c r="E5">
        <v>233.85</v>
      </c>
      <c r="G5" s="10" t="s">
        <v>118</v>
      </c>
      <c r="H5" s="8">
        <v>39369.926435590642</v>
      </c>
      <c r="I5" s="8">
        <v>4477.6158985924385</v>
      </c>
      <c r="J5" s="8">
        <f t="shared" ref="J5:J68" si="0">H5*I5/1000</f>
        <v>176283.40853441539</v>
      </c>
      <c r="L5" s="8">
        <f t="shared" ref="L5:L36" si="1">I5</f>
        <v>4477.6158985924385</v>
      </c>
      <c r="M5">
        <f t="shared" ref="M5:M36" si="2">E5</f>
        <v>233.85</v>
      </c>
      <c r="N5" s="11">
        <f>M5/L5</f>
        <v>5.2226453830823659E-2</v>
      </c>
      <c r="P5" t="str">
        <f>regions!A10</f>
        <v>Argentina</v>
      </c>
      <c r="Q5">
        <f>regions!B10</f>
        <v>40374224</v>
      </c>
      <c r="R5">
        <f>regions!C10</f>
        <v>293697869622.22595</v>
      </c>
      <c r="S5">
        <f>regions!D10</f>
        <v>7274.3904532313973</v>
      </c>
      <c r="T5">
        <f>regions!Z10</f>
        <v>14.8</v>
      </c>
      <c r="U5" s="11">
        <f t="shared" ref="U5:U36" si="3">D5/S5</f>
        <v>1.9050393416597623E-2</v>
      </c>
      <c r="V5" s="11">
        <f t="shared" ref="V5:V36" si="4">E5/S5</f>
        <v>3.2147023383398428E-2</v>
      </c>
      <c r="X5" s="11"/>
      <c r="AA5" s="11"/>
    </row>
    <row r="6" spans="1:52" ht="15" thickBot="1" x14ac:dyDescent="0.4">
      <c r="A6" t="s">
        <v>212</v>
      </c>
      <c r="B6">
        <v>-36.229999999999997</v>
      </c>
      <c r="C6">
        <v>-67.89</v>
      </c>
      <c r="D6">
        <v>-75.89</v>
      </c>
      <c r="E6">
        <v>-135.27000000000001</v>
      </c>
      <c r="G6" s="10" t="s">
        <v>212</v>
      </c>
      <c r="H6" s="8">
        <v>3024.495693385099</v>
      </c>
      <c r="I6" s="8">
        <v>2184.5274565026834</v>
      </c>
      <c r="J6" s="8">
        <f t="shared" si="0"/>
        <v>6607.0938842738697</v>
      </c>
      <c r="L6" s="8">
        <f t="shared" si="1"/>
        <v>2184.5274565026834</v>
      </c>
      <c r="M6">
        <f t="shared" si="2"/>
        <v>-135.27000000000001</v>
      </c>
      <c r="N6" s="11">
        <f t="shared" ref="N6:N69" si="5">M6/L6</f>
        <v>-6.1921858476688754E-2</v>
      </c>
      <c r="P6" t="str">
        <f>regions!A11</f>
        <v>Armenia</v>
      </c>
      <c r="Q6">
        <f>regions!B11</f>
        <v>2963496</v>
      </c>
      <c r="R6">
        <f>regions!C11</f>
        <v>5918216827.4621973</v>
      </c>
      <c r="S6">
        <f>regions!D11</f>
        <v>1997.0389119682286</v>
      </c>
      <c r="T6">
        <f>regions!Z11</f>
        <v>7.1</v>
      </c>
      <c r="U6" s="11">
        <f t="shared" si="3"/>
        <v>-3.8001262541852439E-2</v>
      </c>
      <c r="V6" s="11">
        <f t="shared" si="4"/>
        <v>-6.7735285070976148E-2</v>
      </c>
      <c r="X6" s="11"/>
      <c r="AA6" s="11"/>
    </row>
    <row r="7" spans="1:52" x14ac:dyDescent="0.35">
      <c r="A7" t="s">
        <v>119</v>
      </c>
      <c r="B7">
        <v>89.53</v>
      </c>
      <c r="C7">
        <v>147.46</v>
      </c>
      <c r="D7">
        <v>78.12</v>
      </c>
      <c r="E7">
        <v>128</v>
      </c>
      <c r="G7" s="10" t="s">
        <v>119</v>
      </c>
      <c r="H7" s="8">
        <v>20131.505302129397</v>
      </c>
      <c r="I7" s="8">
        <v>26746.018818196153</v>
      </c>
      <c r="J7" s="8">
        <f t="shared" si="0"/>
        <v>538437.61964936857</v>
      </c>
      <c r="L7" s="8">
        <f t="shared" si="1"/>
        <v>26746.018818196153</v>
      </c>
      <c r="M7">
        <f t="shared" si="2"/>
        <v>128</v>
      </c>
      <c r="N7" s="11">
        <f t="shared" si="5"/>
        <v>4.7857589897797271E-3</v>
      </c>
      <c r="P7" t="str">
        <f>regions!A13</f>
        <v>Australia</v>
      </c>
      <c r="Q7">
        <f>regions!B13</f>
        <v>22065300</v>
      </c>
      <c r="R7">
        <f>regions!C13</f>
        <v>797442264201.02002</v>
      </c>
      <c r="S7">
        <f>regions!D13</f>
        <v>36140.105242213795</v>
      </c>
      <c r="T7">
        <f>regions!Z13</f>
        <v>21.6</v>
      </c>
      <c r="U7" s="11">
        <f t="shared" si="3"/>
        <v>2.1615875071872006E-3</v>
      </c>
      <c r="V7" s="11">
        <f t="shared" si="4"/>
        <v>3.5417716451607998E-3</v>
      </c>
      <c r="X7" s="11"/>
      <c r="AA7" s="11"/>
      <c r="AK7" s="4"/>
      <c r="AL7" s="4"/>
      <c r="AU7" s="4"/>
      <c r="AV7" s="4"/>
    </row>
    <row r="8" spans="1:52" x14ac:dyDescent="0.35">
      <c r="A8" t="s">
        <v>120</v>
      </c>
      <c r="B8">
        <v>166.51</v>
      </c>
      <c r="C8">
        <v>286.01</v>
      </c>
      <c r="D8">
        <v>123.35</v>
      </c>
      <c r="E8">
        <v>247.42</v>
      </c>
      <c r="G8" s="10" t="s">
        <v>120</v>
      </c>
      <c r="H8" s="8">
        <v>8126.0185124219352</v>
      </c>
      <c r="I8" s="8">
        <v>34598.698758536782</v>
      </c>
      <c r="J8" s="8">
        <f t="shared" si="0"/>
        <v>281149.6666175797</v>
      </c>
      <c r="L8" s="8">
        <f t="shared" si="1"/>
        <v>34598.698758536782</v>
      </c>
      <c r="M8">
        <f t="shared" si="2"/>
        <v>247.42</v>
      </c>
      <c r="N8" s="11">
        <f t="shared" si="5"/>
        <v>7.1511359929093375E-3</v>
      </c>
      <c r="P8" t="str">
        <f>regions!A14</f>
        <v>Austria</v>
      </c>
      <c r="Q8">
        <f>regions!B14</f>
        <v>8389771</v>
      </c>
      <c r="R8">
        <f>regions!C14</f>
        <v>325550262356.948</v>
      </c>
      <c r="S8">
        <f>regions!D14</f>
        <v>38803.235792365253</v>
      </c>
      <c r="T8">
        <f>regions!Z14</f>
        <v>6.3</v>
      </c>
      <c r="U8" s="11">
        <f t="shared" si="3"/>
        <v>3.1788586049895811E-3</v>
      </c>
      <c r="V8" s="11">
        <f t="shared" si="4"/>
        <v>6.3762723635713186E-3</v>
      </c>
      <c r="X8" s="11"/>
      <c r="AA8" s="11"/>
    </row>
    <row r="9" spans="1:52" x14ac:dyDescent="0.35">
      <c r="A9" t="s">
        <v>213</v>
      </c>
      <c r="B9">
        <v>-51.45</v>
      </c>
      <c r="C9">
        <v>-77.16</v>
      </c>
      <c r="D9">
        <v>-74.63</v>
      </c>
      <c r="E9">
        <v>-116.75</v>
      </c>
      <c r="G9" s="10" t="s">
        <v>213</v>
      </c>
      <c r="H9" s="8">
        <v>8513.698081016395</v>
      </c>
      <c r="I9" s="8">
        <v>656.51854512120008</v>
      </c>
      <c r="J9" s="8">
        <f t="shared" si="0"/>
        <v>5589.4006777500372</v>
      </c>
      <c r="L9" s="8">
        <f t="shared" si="1"/>
        <v>656.51854512120008</v>
      </c>
      <c r="M9">
        <f t="shared" si="2"/>
        <v>-116.75</v>
      </c>
      <c r="N9" s="11">
        <f t="shared" si="5"/>
        <v>-0.17783199098884062</v>
      </c>
      <c r="P9" t="str">
        <f>regions!A15</f>
        <v>Azerbaijan</v>
      </c>
      <c r="Q9">
        <f>regions!B15</f>
        <v>9054332</v>
      </c>
      <c r="R9">
        <f>regions!C15</f>
        <v>28310397706.794827</v>
      </c>
      <c r="S9">
        <f>regions!D15</f>
        <v>3126.7240594662121</v>
      </c>
      <c r="T9">
        <f>regions!Z15</f>
        <v>11.9</v>
      </c>
      <c r="U9" s="11">
        <f t="shared" si="3"/>
        <v>-2.3868431809342547E-2</v>
      </c>
      <c r="V9" s="11">
        <f t="shared" si="4"/>
        <v>-3.7339399889330598E-2</v>
      </c>
      <c r="X9" s="11"/>
      <c r="AA9" s="11"/>
    </row>
    <row r="10" spans="1:52" x14ac:dyDescent="0.35">
      <c r="A10" t="s">
        <v>122</v>
      </c>
      <c r="B10">
        <v>68.819999999999993</v>
      </c>
      <c r="C10">
        <v>115.74</v>
      </c>
      <c r="D10">
        <v>-17.25</v>
      </c>
      <c r="E10">
        <v>-79.69</v>
      </c>
      <c r="G10" s="10" t="s">
        <v>122</v>
      </c>
      <c r="H10" s="8">
        <v>152966.46715581231</v>
      </c>
      <c r="I10" s="8">
        <v>399.84394006700404</v>
      </c>
      <c r="J10" s="8">
        <f t="shared" si="0"/>
        <v>61162.714925709952</v>
      </c>
      <c r="L10" s="8">
        <f t="shared" si="1"/>
        <v>399.84394006700404</v>
      </c>
      <c r="M10">
        <f t="shared" si="2"/>
        <v>-79.69</v>
      </c>
      <c r="N10" s="11">
        <f t="shared" si="5"/>
        <v>-0.19930275793762414</v>
      </c>
      <c r="P10" t="str">
        <f>regions!A18</f>
        <v>Bangladesh</v>
      </c>
      <c r="Q10">
        <f>regions!B18</f>
        <v>151125475</v>
      </c>
      <c r="R10">
        <f>regions!C18</f>
        <v>81471733197.377762</v>
      </c>
      <c r="S10">
        <f>regions!D18</f>
        <v>539.09993134762863</v>
      </c>
      <c r="T10">
        <f>regions!Z18</f>
        <v>25</v>
      </c>
      <c r="U10" s="11">
        <f t="shared" si="3"/>
        <v>-3.1997778142688456E-2</v>
      </c>
      <c r="V10" s="11">
        <f t="shared" si="4"/>
        <v>-0.14782046030091844</v>
      </c>
      <c r="X10" s="11"/>
      <c r="AA10" s="11"/>
    </row>
    <row r="11" spans="1:52" x14ac:dyDescent="0.35">
      <c r="A11" t="s">
        <v>214</v>
      </c>
      <c r="B11">
        <v>-36.229999999999997</v>
      </c>
      <c r="C11">
        <v>-67.89</v>
      </c>
      <c r="D11">
        <v>-64.94</v>
      </c>
      <c r="E11">
        <v>-116.33</v>
      </c>
      <c r="G11" s="10" t="s">
        <v>214</v>
      </c>
      <c r="H11" s="8">
        <v>9803.2674800636487</v>
      </c>
      <c r="I11" s="8">
        <v>1836.1743065444698</v>
      </c>
      <c r="J11" s="8">
        <f t="shared" si="0"/>
        <v>18000.507867075823</v>
      </c>
      <c r="L11" s="8">
        <f t="shared" si="1"/>
        <v>1836.1743065444698</v>
      </c>
      <c r="M11">
        <f t="shared" si="2"/>
        <v>-116.33</v>
      </c>
      <c r="N11" s="11">
        <f t="shared" si="5"/>
        <v>-6.3354551681383431E-2</v>
      </c>
      <c r="P11" t="str">
        <f>regions!A20</f>
        <v>Belarus</v>
      </c>
      <c r="Q11">
        <f>regions!B20</f>
        <v>9490000</v>
      </c>
      <c r="R11">
        <f>regions!C20</f>
        <v>42955347353.866852</v>
      </c>
      <c r="S11">
        <f>regions!D20</f>
        <v>4526.3801215876556</v>
      </c>
      <c r="T11">
        <f>regions!Z20</f>
        <v>6.2</v>
      </c>
      <c r="U11" s="11">
        <f t="shared" si="3"/>
        <v>-1.4347005389644981E-2</v>
      </c>
      <c r="V11" s="11">
        <f t="shared" si="4"/>
        <v>-2.5700448675352643E-2</v>
      </c>
      <c r="X11" s="11"/>
      <c r="AA11" s="11"/>
    </row>
    <row r="12" spans="1:52" ht="15" thickBot="1" x14ac:dyDescent="0.4">
      <c r="A12" t="s">
        <v>124</v>
      </c>
      <c r="B12">
        <v>65.02</v>
      </c>
      <c r="C12">
        <v>116.58</v>
      </c>
      <c r="D12">
        <v>15.66</v>
      </c>
      <c r="E12">
        <v>32.880000000000003</v>
      </c>
      <c r="G12" s="10" t="s">
        <v>124</v>
      </c>
      <c r="H12" s="8">
        <v>10365.309426663956</v>
      </c>
      <c r="I12" s="8">
        <v>31855.685984454816</v>
      </c>
      <c r="J12" s="8">
        <f t="shared" si="0"/>
        <v>330194.04222751636</v>
      </c>
      <c r="L12" s="8">
        <f t="shared" si="1"/>
        <v>31855.685984454816</v>
      </c>
      <c r="M12">
        <f t="shared" si="2"/>
        <v>32.880000000000003</v>
      </c>
      <c r="N12" s="11">
        <f t="shared" si="5"/>
        <v>1.0321548252341839E-3</v>
      </c>
      <c r="P12" t="str">
        <f>regions!A21</f>
        <v>Belgium</v>
      </c>
      <c r="Q12">
        <f>regions!B21</f>
        <v>10895586</v>
      </c>
      <c r="R12">
        <f>regions!C21</f>
        <v>400383139123.5824</v>
      </c>
      <c r="S12">
        <f>regions!D21</f>
        <v>36747.279047091397</v>
      </c>
      <c r="T12">
        <f>regions!Z21</f>
        <v>9.6</v>
      </c>
      <c r="U12" s="11">
        <f t="shared" si="3"/>
        <v>4.2615400122365013E-4</v>
      </c>
      <c r="V12" s="11">
        <f t="shared" si="4"/>
        <v>8.9476012517456047E-4</v>
      </c>
      <c r="X12" s="11"/>
      <c r="AA12" s="11"/>
      <c r="AK12" s="2"/>
      <c r="AL12" s="2"/>
      <c r="AU12" s="2"/>
      <c r="AV12" s="2"/>
    </row>
    <row r="13" spans="1:52" x14ac:dyDescent="0.35">
      <c r="A13" t="s">
        <v>215</v>
      </c>
      <c r="B13">
        <v>210.55</v>
      </c>
      <c r="C13">
        <v>363.28</v>
      </c>
      <c r="D13">
        <v>158.88999999999999</v>
      </c>
      <c r="E13">
        <v>276.68</v>
      </c>
      <c r="G13" s="10" t="s">
        <v>246</v>
      </c>
      <c r="H13" s="8">
        <v>4308.1853277998443</v>
      </c>
      <c r="I13" s="8">
        <v>1792.6776774090165</v>
      </c>
      <c r="J13" s="8">
        <f t="shared" si="0"/>
        <v>7723.187667287827</v>
      </c>
      <c r="L13" s="8">
        <f t="shared" si="1"/>
        <v>1792.6776774090165</v>
      </c>
      <c r="M13">
        <f t="shared" si="2"/>
        <v>276.68</v>
      </c>
      <c r="N13" s="11">
        <f t="shared" si="5"/>
        <v>0.15433895534410275</v>
      </c>
      <c r="P13" t="str">
        <f>regions!A27</f>
        <v>Bosnia and Herzegovina</v>
      </c>
      <c r="Q13">
        <f>regions!B27</f>
        <v>3845929</v>
      </c>
      <c r="R13">
        <f>regions!C27</f>
        <v>12803068421.085346</v>
      </c>
      <c r="S13">
        <f>regions!D27</f>
        <v>3328.9924023780331</v>
      </c>
      <c r="T13">
        <f>regions!Z27</f>
        <v>9.8000000000000007</v>
      </c>
      <c r="U13" s="11">
        <f t="shared" si="3"/>
        <v>4.7729156692126566E-2</v>
      </c>
      <c r="V13" s="11">
        <f t="shared" si="4"/>
        <v>8.3112235342548801E-2</v>
      </c>
      <c r="X13" s="11"/>
      <c r="AA13" s="11"/>
    </row>
    <row r="14" spans="1:52" ht="15" thickBot="1" x14ac:dyDescent="0.4">
      <c r="A14" t="s">
        <v>129</v>
      </c>
      <c r="B14">
        <v>46.43</v>
      </c>
      <c r="C14">
        <v>94.18</v>
      </c>
      <c r="D14">
        <v>58.26</v>
      </c>
      <c r="E14">
        <v>114.05</v>
      </c>
      <c r="G14" s="10" t="s">
        <v>129</v>
      </c>
      <c r="H14" s="8">
        <v>183113.60871761179</v>
      </c>
      <c r="I14" s="8">
        <v>4629.6697069570764</v>
      </c>
      <c r="J14" s="8">
        <f t="shared" si="0"/>
        <v>847755.52721151849</v>
      </c>
      <c r="L14" s="8">
        <f t="shared" si="1"/>
        <v>4629.6697069570764</v>
      </c>
      <c r="M14">
        <f t="shared" si="2"/>
        <v>114.05</v>
      </c>
      <c r="N14" s="11">
        <f t="shared" si="5"/>
        <v>2.4634586745705702E-2</v>
      </c>
      <c r="P14" t="str">
        <f>regions!A29</f>
        <v>Brazil</v>
      </c>
      <c r="Q14">
        <f>regions!B29</f>
        <v>195210154</v>
      </c>
      <c r="R14">
        <f>regions!C29</f>
        <v>1096754010432.5254</v>
      </c>
      <c r="S14">
        <f>regions!D29</f>
        <v>5618.3246002281494</v>
      </c>
      <c r="T14">
        <f>regions!Z29</f>
        <v>24.9</v>
      </c>
      <c r="U14" s="11">
        <f t="shared" si="3"/>
        <v>1.0369639375701819E-2</v>
      </c>
      <c r="V14" s="11">
        <f t="shared" si="4"/>
        <v>2.0299645911410789E-2</v>
      </c>
      <c r="X14" s="11"/>
      <c r="AA14" s="11"/>
    </row>
    <row r="15" spans="1:52" x14ac:dyDescent="0.35">
      <c r="A15" t="s">
        <v>216</v>
      </c>
      <c r="B15">
        <v>257.17</v>
      </c>
      <c r="C15">
        <v>444.92</v>
      </c>
      <c r="D15">
        <v>244.03</v>
      </c>
      <c r="E15">
        <v>421.09</v>
      </c>
      <c r="G15" s="10" t="s">
        <v>216</v>
      </c>
      <c r="H15" s="8">
        <v>7764.4343036470345</v>
      </c>
      <c r="I15" s="8">
        <v>1992.395314529037</v>
      </c>
      <c r="J15" s="8">
        <f t="shared" si="0"/>
        <v>15469.822526554879</v>
      </c>
      <c r="L15" s="8">
        <f t="shared" si="1"/>
        <v>1992.395314529037</v>
      </c>
      <c r="M15">
        <f t="shared" si="2"/>
        <v>421.09</v>
      </c>
      <c r="N15" s="11">
        <f t="shared" si="5"/>
        <v>0.21134861988949083</v>
      </c>
      <c r="P15" t="str">
        <f>regions!A31</f>
        <v>Bulgaria</v>
      </c>
      <c r="Q15">
        <f>regions!B31</f>
        <v>7534289</v>
      </c>
      <c r="R15">
        <f>regions!C31</f>
        <v>32991740544.129009</v>
      </c>
      <c r="S15">
        <f>regions!D31</f>
        <v>4378.8790878779682</v>
      </c>
      <c r="T15">
        <f>regions!Z31</f>
        <v>10.5</v>
      </c>
      <c r="U15" s="11">
        <f t="shared" si="3"/>
        <v>5.5728873783143999E-2</v>
      </c>
      <c r="V15" s="11">
        <f t="shared" si="4"/>
        <v>9.6163879282645998E-2</v>
      </c>
      <c r="X15" s="11"/>
      <c r="AA15" s="11"/>
      <c r="AK15" s="3"/>
      <c r="AL15" s="3"/>
      <c r="AM15" s="3"/>
      <c r="AN15" s="3"/>
      <c r="AO15" s="3"/>
      <c r="AP15" s="3"/>
      <c r="AU15" s="3"/>
      <c r="AV15" s="3"/>
      <c r="AW15" s="3"/>
      <c r="AX15" s="3"/>
      <c r="AY15" s="3"/>
      <c r="AZ15" s="3"/>
    </row>
    <row r="16" spans="1:52" x14ac:dyDescent="0.35">
      <c r="A16" t="s">
        <v>131</v>
      </c>
      <c r="B16">
        <v>-261.8</v>
      </c>
      <c r="C16">
        <v>-445.37</v>
      </c>
      <c r="D16">
        <v>-354.08</v>
      </c>
      <c r="E16">
        <v>-591.61</v>
      </c>
      <c r="G16" s="10" t="s">
        <v>131</v>
      </c>
      <c r="H16" s="8">
        <v>32020.765323183747</v>
      </c>
      <c r="I16" s="8">
        <v>25510.694427824623</v>
      </c>
      <c r="J16" s="8">
        <f t="shared" si="0"/>
        <v>816871.95950482355</v>
      </c>
      <c r="L16" s="8">
        <f t="shared" si="1"/>
        <v>25510.694427824623</v>
      </c>
      <c r="M16">
        <f t="shared" si="2"/>
        <v>-591.61</v>
      </c>
      <c r="N16" s="11">
        <f t="shared" si="5"/>
        <v>-2.3190666238968722E-2</v>
      </c>
      <c r="P16" t="str">
        <f>regions!A37</f>
        <v>Canada</v>
      </c>
      <c r="Q16">
        <f>regions!B37</f>
        <v>34126547</v>
      </c>
      <c r="R16">
        <f>regions!C37</f>
        <v>1240064039807.2598</v>
      </c>
      <c r="S16">
        <f>regions!D37</f>
        <v>36337.22567382102</v>
      </c>
      <c r="T16">
        <f>regions!Z37</f>
        <v>-5.4</v>
      </c>
      <c r="U16" s="11">
        <f t="shared" si="3"/>
        <v>-9.7442772097787091E-3</v>
      </c>
      <c r="V16" s="11">
        <f t="shared" si="4"/>
        <v>-1.6281099864655396E-2</v>
      </c>
      <c r="X16" s="11"/>
      <c r="AA16" s="11"/>
    </row>
    <row r="17" spans="1:55" x14ac:dyDescent="0.35">
      <c r="A17" t="s">
        <v>132</v>
      </c>
      <c r="B17">
        <v>142.81</v>
      </c>
      <c r="C17">
        <v>233.43</v>
      </c>
      <c r="D17">
        <v>102.21</v>
      </c>
      <c r="E17">
        <v>163.55000000000001</v>
      </c>
      <c r="G17" s="10" t="s">
        <v>132</v>
      </c>
      <c r="H17" s="8">
        <v>16209.76853780304</v>
      </c>
      <c r="I17" s="8">
        <v>5560.6574678415618</v>
      </c>
      <c r="J17" s="8">
        <f t="shared" si="0"/>
        <v>90136.970471717665</v>
      </c>
      <c r="L17" s="8">
        <f t="shared" si="1"/>
        <v>5560.6574678415618</v>
      </c>
      <c r="M17">
        <f t="shared" si="2"/>
        <v>163.55000000000001</v>
      </c>
      <c r="N17" s="11">
        <f t="shared" si="5"/>
        <v>2.9411989669538837E-2</v>
      </c>
      <c r="P17" t="str">
        <f>regions!A41</f>
        <v>Chile</v>
      </c>
      <c r="Q17">
        <f>regions!B41</f>
        <v>17150760</v>
      </c>
      <c r="R17">
        <f>regions!C41</f>
        <v>147668421646.38379</v>
      </c>
      <c r="S17">
        <f>regions!D41</f>
        <v>8610.0220425441075</v>
      </c>
      <c r="T17">
        <f>regions!Z41</f>
        <v>8.5</v>
      </c>
      <c r="U17" s="11">
        <f t="shared" si="3"/>
        <v>1.1871049748183777E-2</v>
      </c>
      <c r="V17" s="11">
        <f t="shared" si="4"/>
        <v>1.8995305609191437E-2</v>
      </c>
      <c r="X17" s="11"/>
      <c r="AA17" s="11"/>
    </row>
    <row r="18" spans="1:55" ht="15" thickBot="1" x14ac:dyDescent="0.4">
      <c r="A18" t="s">
        <v>65</v>
      </c>
      <c r="B18">
        <v>45.17</v>
      </c>
      <c r="C18">
        <v>74.739999999999995</v>
      </c>
      <c r="D18">
        <v>1.1399999999999999</v>
      </c>
      <c r="E18">
        <v>-0.14000000000000001</v>
      </c>
      <c r="G18" s="10" t="s">
        <v>65</v>
      </c>
      <c r="H18" s="8">
        <v>1324216.8272861396</v>
      </c>
      <c r="I18" s="8">
        <v>1147.8287858744766</v>
      </c>
      <c r="J18" s="8">
        <f t="shared" si="0"/>
        <v>1519974.1930984012</v>
      </c>
      <c r="L18" s="8">
        <f t="shared" si="1"/>
        <v>1147.8287858744766</v>
      </c>
      <c r="M18">
        <f t="shared" si="2"/>
        <v>-0.14000000000000001</v>
      </c>
      <c r="N18" s="11">
        <f t="shared" si="5"/>
        <v>-1.2196941017935931E-4</v>
      </c>
      <c r="P18" t="str">
        <f>regions!A42</f>
        <v>China</v>
      </c>
      <c r="Q18">
        <f>regions!B42</f>
        <v>1337705000</v>
      </c>
      <c r="R18">
        <f>regions!C42</f>
        <v>3839284159376.0742</v>
      </c>
      <c r="S18">
        <f>regions!D42</f>
        <v>2870.0529334764196</v>
      </c>
      <c r="T18">
        <f>regions!Z42</f>
        <v>6.9</v>
      </c>
      <c r="U18" s="11">
        <f t="shared" si="3"/>
        <v>3.9720521761218806E-4</v>
      </c>
      <c r="V18" s="11">
        <f t="shared" si="4"/>
        <v>-4.8779588127812573E-5</v>
      </c>
      <c r="X18" s="11"/>
      <c r="AA18" s="11"/>
      <c r="AK18" s="2"/>
      <c r="AL18" s="2"/>
      <c r="AM18" s="2"/>
      <c r="AN18" s="2"/>
      <c r="AO18" s="2"/>
      <c r="AP18" s="2"/>
      <c r="AU18" s="2"/>
      <c r="AV18" s="2"/>
      <c r="AW18" s="2"/>
      <c r="AX18" s="2"/>
      <c r="AY18" s="2"/>
      <c r="AZ18" s="2"/>
    </row>
    <row r="19" spans="1:55" ht="15" thickBot="1" x14ac:dyDescent="0.4">
      <c r="A19" t="s">
        <v>133</v>
      </c>
      <c r="B19">
        <v>82.77</v>
      </c>
      <c r="C19">
        <v>148.31</v>
      </c>
      <c r="D19">
        <v>12.36</v>
      </c>
      <c r="E19">
        <v>29.12</v>
      </c>
      <c r="G19" s="10" t="s">
        <v>133</v>
      </c>
      <c r="H19" s="8">
        <v>45695.401006971748</v>
      </c>
      <c r="I19" s="8">
        <v>2276.2821403215912</v>
      </c>
      <c r="J19" s="8">
        <f t="shared" si="0"/>
        <v>104015.62520700305</v>
      </c>
      <c r="L19" s="8">
        <f t="shared" si="1"/>
        <v>2276.2821403215912</v>
      </c>
      <c r="M19">
        <f t="shared" si="2"/>
        <v>29.12</v>
      </c>
      <c r="N19" s="11">
        <f t="shared" si="5"/>
        <v>1.2792790262759762E-2</v>
      </c>
      <c r="P19" t="str">
        <f>regions!A43</f>
        <v>Colombia</v>
      </c>
      <c r="Q19">
        <f>regions!B43</f>
        <v>46444798</v>
      </c>
      <c r="R19">
        <f>regions!C43</f>
        <v>182893446717.7428</v>
      </c>
      <c r="S19">
        <f>regions!D43</f>
        <v>3937.8672013546661</v>
      </c>
      <c r="T19">
        <f>regions!Z43</f>
        <v>24.5</v>
      </c>
      <c r="U19" s="11">
        <f t="shared" si="3"/>
        <v>3.1387549066530314E-3</v>
      </c>
      <c r="V19" s="11">
        <f t="shared" si="4"/>
        <v>7.3948659289430653E-3</v>
      </c>
      <c r="X19" s="11"/>
      <c r="AA19" s="11"/>
    </row>
    <row r="20" spans="1:55" x14ac:dyDescent="0.35">
      <c r="A20" t="s">
        <v>217</v>
      </c>
      <c r="B20">
        <v>241.06</v>
      </c>
      <c r="C20">
        <v>417.26</v>
      </c>
      <c r="D20">
        <v>219.44</v>
      </c>
      <c r="E20">
        <v>380.28</v>
      </c>
      <c r="G20" s="10" t="s">
        <v>217</v>
      </c>
      <c r="H20" s="8">
        <v>4421.0485502114498</v>
      </c>
      <c r="I20" s="8">
        <v>6400.9823610468329</v>
      </c>
      <c r="J20" s="8">
        <f t="shared" si="0"/>
        <v>28299.053787235163</v>
      </c>
      <c r="L20" s="8">
        <f t="shared" si="1"/>
        <v>6400.9823610468329</v>
      </c>
      <c r="M20">
        <f t="shared" si="2"/>
        <v>380.28</v>
      </c>
      <c r="N20" s="11">
        <f t="shared" si="5"/>
        <v>5.9409630983236768E-2</v>
      </c>
      <c r="P20" t="str">
        <f>regions!A48</f>
        <v>Croatia</v>
      </c>
      <c r="Q20">
        <f>regions!B48</f>
        <v>4417800</v>
      </c>
      <c r="R20">
        <f>regions!C48</f>
        <v>45872253522.123985</v>
      </c>
      <c r="S20">
        <f>regions!D48</f>
        <v>10383.506161918598</v>
      </c>
      <c r="T20">
        <f>regions!Z48</f>
        <v>10.9</v>
      </c>
      <c r="U20" s="11">
        <f t="shared" si="3"/>
        <v>2.1133516615494865E-2</v>
      </c>
      <c r="V20" s="11">
        <f t="shared" si="4"/>
        <v>3.6623467455980614E-2</v>
      </c>
      <c r="X20" s="11"/>
      <c r="AA20" s="11"/>
      <c r="AK20" s="3"/>
      <c r="AL20" s="3"/>
      <c r="AM20" s="3"/>
      <c r="AN20" s="3"/>
      <c r="AO20" s="3"/>
      <c r="AP20" s="3"/>
      <c r="AQ20" s="3"/>
      <c r="AR20" s="3"/>
      <c r="AS20" s="3"/>
      <c r="AT20" s="14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35">
      <c r="A21" t="s">
        <v>218</v>
      </c>
      <c r="B21">
        <v>121.66</v>
      </c>
      <c r="C21">
        <v>206.31</v>
      </c>
      <c r="D21">
        <v>89.95</v>
      </c>
      <c r="E21">
        <v>151.69999999999999</v>
      </c>
      <c r="G21" s="10" t="s">
        <v>255</v>
      </c>
      <c r="H21" s="8">
        <v>10213.070730338208</v>
      </c>
      <c r="I21" s="8">
        <v>6029.9885304322725</v>
      </c>
      <c r="J21" s="8">
        <f t="shared" si="0"/>
        <v>61584.699364432949</v>
      </c>
      <c r="L21" s="8">
        <f t="shared" si="1"/>
        <v>6029.9885304322725</v>
      </c>
      <c r="M21">
        <f t="shared" si="2"/>
        <v>151.69999999999999</v>
      </c>
      <c r="N21" s="11">
        <f t="shared" si="5"/>
        <v>2.515759345716783E-2</v>
      </c>
      <c r="P21" t="str">
        <f>regions!A51</f>
        <v>Czech Republic</v>
      </c>
      <c r="Q21">
        <f>regions!B51</f>
        <v>10519792</v>
      </c>
      <c r="R21">
        <f>regions!C51</f>
        <v>148480783612.59024</v>
      </c>
      <c r="S21">
        <f>regions!D51</f>
        <v>14114.421997373165</v>
      </c>
      <c r="T21">
        <f>regions!Z51</f>
        <v>7.5</v>
      </c>
      <c r="U21" s="11">
        <f t="shared" si="3"/>
        <v>6.3729141736544792E-3</v>
      </c>
      <c r="V21" s="11">
        <f t="shared" si="4"/>
        <v>1.0747871930443405E-2</v>
      </c>
      <c r="X21" s="11"/>
      <c r="AA21" s="11"/>
    </row>
    <row r="22" spans="1:55" ht="15" thickBot="1" x14ac:dyDescent="0.4">
      <c r="A22" t="s">
        <v>219</v>
      </c>
      <c r="B22">
        <v>121.66</v>
      </c>
      <c r="C22">
        <v>206.31</v>
      </c>
      <c r="D22">
        <v>89.95</v>
      </c>
      <c r="E22">
        <v>151.69999999999999</v>
      </c>
      <c r="H22" s="8"/>
      <c r="I22" s="8"/>
      <c r="J22" s="8">
        <f t="shared" si="0"/>
        <v>0</v>
      </c>
      <c r="L22" s="8">
        <f t="shared" si="1"/>
        <v>0</v>
      </c>
      <c r="M22">
        <f t="shared" si="2"/>
        <v>151.69999999999999</v>
      </c>
      <c r="N22" s="11" t="e">
        <f t="shared" si="5"/>
        <v>#DIV/0!</v>
      </c>
      <c r="Q22">
        <f>Q21+Q58</f>
        <v>15949891</v>
      </c>
      <c r="R22">
        <f>R21+R58</f>
        <v>225380746303.79779</v>
      </c>
      <c r="S22">
        <f>R22/Q22</f>
        <v>14130.550879864808</v>
      </c>
      <c r="T22">
        <f>(T21*Q21+T58*Q58)/Q22</f>
        <v>7.2616868165431345</v>
      </c>
      <c r="U22" s="11">
        <f t="shared" si="3"/>
        <v>6.365640006871451E-3</v>
      </c>
      <c r="V22" s="11">
        <f t="shared" si="4"/>
        <v>1.0735604102750406E-2</v>
      </c>
      <c r="X22" s="11"/>
      <c r="AA22" s="11"/>
      <c r="AK22" s="2"/>
      <c r="AL22" s="2"/>
      <c r="AM22" s="2"/>
      <c r="AN22" s="2"/>
      <c r="AO22" s="2"/>
      <c r="AP22" s="2"/>
      <c r="AQ22" s="2"/>
      <c r="AR22" s="2"/>
      <c r="AS22" s="2"/>
    </row>
    <row r="23" spans="1:55" ht="15" thickBot="1" x14ac:dyDescent="0.4">
      <c r="A23" t="s">
        <v>136</v>
      </c>
      <c r="B23">
        <v>3.86</v>
      </c>
      <c r="C23">
        <v>-1.85</v>
      </c>
      <c r="D23">
        <v>-81.790000000000006</v>
      </c>
      <c r="E23">
        <v>-147.88999999999999</v>
      </c>
      <c r="G23" s="10" t="s">
        <v>136</v>
      </c>
      <c r="H23" s="8">
        <v>5390.1902673870018</v>
      </c>
      <c r="I23" s="8">
        <v>40948.776996671819</v>
      </c>
      <c r="J23" s="8">
        <f t="shared" si="0"/>
        <v>220721.69922886119</v>
      </c>
      <c r="L23" s="8">
        <f t="shared" si="1"/>
        <v>40948.776996671819</v>
      </c>
      <c r="M23">
        <f t="shared" si="2"/>
        <v>-147.88999999999999</v>
      </c>
      <c r="N23" s="11">
        <f t="shared" si="5"/>
        <v>-3.6115852742566647E-3</v>
      </c>
      <c r="P23" t="str">
        <f>regions!A52</f>
        <v>Denmark</v>
      </c>
      <c r="Q23">
        <f>regions!B52</f>
        <v>5547683</v>
      </c>
      <c r="R23">
        <f>regions!C52</f>
        <v>256817427641.90231</v>
      </c>
      <c r="S23">
        <f>regions!D52</f>
        <v>46292.736560813282</v>
      </c>
      <c r="T23">
        <f>regions!Z52</f>
        <v>7.5</v>
      </c>
      <c r="U23" s="11">
        <f t="shared" si="3"/>
        <v>-1.7667998497465172E-3</v>
      </c>
      <c r="V23" s="11">
        <f t="shared" si="4"/>
        <v>-3.1946696390636065E-3</v>
      </c>
      <c r="X23" s="11"/>
      <c r="AA23" s="11"/>
      <c r="AU23" s="2"/>
      <c r="AV23" s="2"/>
      <c r="AW23" s="2"/>
      <c r="AX23" s="2"/>
      <c r="AY23" s="2"/>
      <c r="AZ23" s="2"/>
      <c r="BA23" s="2"/>
      <c r="BB23" s="2"/>
      <c r="BC23" s="2"/>
    </row>
    <row r="24" spans="1:55" x14ac:dyDescent="0.35">
      <c r="A24" t="s">
        <v>220</v>
      </c>
      <c r="B24">
        <v>78.540000000000006</v>
      </c>
      <c r="C24">
        <v>126.73</v>
      </c>
      <c r="D24">
        <v>65.02</v>
      </c>
      <c r="E24">
        <v>103.48</v>
      </c>
      <c r="G24" s="10" t="s">
        <v>256</v>
      </c>
      <c r="H24" s="8">
        <v>9021.2604461934698</v>
      </c>
      <c r="I24" s="8">
        <v>2299.3763358127862</v>
      </c>
      <c r="J24" s="8">
        <f t="shared" si="0"/>
        <v>20743.272789181163</v>
      </c>
      <c r="L24" s="8">
        <f t="shared" si="1"/>
        <v>2299.3763358127862</v>
      </c>
      <c r="M24">
        <f t="shared" si="2"/>
        <v>103.48</v>
      </c>
      <c r="N24" s="11">
        <f t="shared" si="5"/>
        <v>4.5003507424295458E-2</v>
      </c>
      <c r="P24" t="str">
        <f>regions!A55</f>
        <v>Dominican Republic</v>
      </c>
      <c r="Q24">
        <f>regions!B55</f>
        <v>10016797</v>
      </c>
      <c r="R24">
        <f>regions!C55</f>
        <v>47848657632.10955</v>
      </c>
      <c r="S24">
        <f>regions!D55</f>
        <v>4776.8421015330105</v>
      </c>
      <c r="T24">
        <f>regions!Z55</f>
        <v>24.5</v>
      </c>
      <c r="U24" s="11">
        <f t="shared" si="3"/>
        <v>1.3611502875327074E-2</v>
      </c>
      <c r="V24" s="11">
        <f t="shared" si="4"/>
        <v>2.1662847086109594E-2</v>
      </c>
      <c r="X24" s="11"/>
      <c r="AA24" s="11"/>
    </row>
    <row r="25" spans="1:55" x14ac:dyDescent="0.35">
      <c r="A25" t="s">
        <v>221</v>
      </c>
      <c r="B25">
        <v>4.9400000000000004</v>
      </c>
      <c r="C25">
        <v>-3.16</v>
      </c>
      <c r="D25">
        <v>-31.93</v>
      </c>
      <c r="E25">
        <v>-65.78</v>
      </c>
      <c r="G25" s="10" t="s">
        <v>221</v>
      </c>
      <c r="H25" s="8">
        <v>1293.990428549653</v>
      </c>
      <c r="I25" s="8">
        <v>6206.4370932338898</v>
      </c>
      <c r="J25" s="8">
        <f t="shared" si="0"/>
        <v>8031.0701940401832</v>
      </c>
      <c r="L25" s="8">
        <f t="shared" si="1"/>
        <v>6206.4370932338898</v>
      </c>
      <c r="M25">
        <f t="shared" si="2"/>
        <v>-65.78</v>
      </c>
      <c r="N25" s="11">
        <f t="shared" si="5"/>
        <v>-1.0598673443691517E-2</v>
      </c>
      <c r="P25" t="str">
        <f>regions!A61</f>
        <v>Estonia</v>
      </c>
      <c r="Q25">
        <f>regions!B61</f>
        <v>1340161</v>
      </c>
      <c r="R25">
        <f>regions!C61</f>
        <v>13897254466.99498</v>
      </c>
      <c r="S25">
        <f>regions!D61</f>
        <v>10369.839494653985</v>
      </c>
      <c r="T25">
        <f>regions!Z61</f>
        <v>5.0999999999999996</v>
      </c>
      <c r="U25" s="11">
        <f t="shared" si="3"/>
        <v>-3.0791219108512752E-3</v>
      </c>
      <c r="V25" s="11">
        <f t="shared" si="4"/>
        <v>-6.343396157087281E-3</v>
      </c>
      <c r="X25" s="11"/>
      <c r="AA25" s="11"/>
    </row>
    <row r="26" spans="1:55" ht="15" thickBot="1" x14ac:dyDescent="0.4">
      <c r="A26" t="s">
        <v>142</v>
      </c>
      <c r="B26">
        <v>-246.26</v>
      </c>
      <c r="C26">
        <v>-424.45</v>
      </c>
      <c r="D26">
        <v>-356.6</v>
      </c>
      <c r="E26">
        <v>-612.47</v>
      </c>
      <c r="G26" s="10" t="s">
        <v>142</v>
      </c>
      <c r="H26" s="8">
        <v>5224.0937861044849</v>
      </c>
      <c r="I26" s="8">
        <v>34027.282684816455</v>
      </c>
      <c r="J26" s="8">
        <f t="shared" si="0"/>
        <v>177761.71603177037</v>
      </c>
      <c r="L26" s="8">
        <f t="shared" si="1"/>
        <v>34027.282684816455</v>
      </c>
      <c r="M26">
        <f t="shared" si="2"/>
        <v>-612.47</v>
      </c>
      <c r="N26" s="11">
        <f t="shared" si="5"/>
        <v>-1.7999380252402417E-2</v>
      </c>
      <c r="P26" t="str">
        <f>regions!A65</f>
        <v>Finland</v>
      </c>
      <c r="Q26">
        <f>regions!B65</f>
        <v>5363352</v>
      </c>
      <c r="R26">
        <f>regions!C65</f>
        <v>204154134528.24445</v>
      </c>
      <c r="S26">
        <f>regions!D65</f>
        <v>38064.653322818347</v>
      </c>
      <c r="T26">
        <f>regions!Z65</f>
        <v>1.7</v>
      </c>
      <c r="U26" s="11">
        <f t="shared" si="3"/>
        <v>-9.3682713192144475E-3</v>
      </c>
      <c r="V26" s="11">
        <f t="shared" si="4"/>
        <v>-1.609025556612247E-2</v>
      </c>
      <c r="X26" s="11"/>
      <c r="AA26" s="11"/>
    </row>
    <row r="27" spans="1:55" x14ac:dyDescent="0.35">
      <c r="A27" t="s">
        <v>143</v>
      </c>
      <c r="B27">
        <v>150.43</v>
      </c>
      <c r="C27">
        <v>254.62</v>
      </c>
      <c r="D27">
        <v>123.77</v>
      </c>
      <c r="E27">
        <v>210.12</v>
      </c>
      <c r="G27" s="10" t="s">
        <v>143</v>
      </c>
      <c r="H27" s="8">
        <v>60716.265880040832</v>
      </c>
      <c r="I27" s="8">
        <v>30932.980772138675</v>
      </c>
      <c r="J27" s="8">
        <f t="shared" si="0"/>
        <v>1878135.0850233627</v>
      </c>
      <c r="L27" s="8">
        <f t="shared" si="1"/>
        <v>30932.980772138675</v>
      </c>
      <c r="M27">
        <f t="shared" si="2"/>
        <v>210.12</v>
      </c>
      <c r="N27" s="11">
        <f t="shared" si="5"/>
        <v>6.792749833836092E-3</v>
      </c>
      <c r="P27" t="str">
        <f>regions!A66</f>
        <v>France</v>
      </c>
      <c r="Q27">
        <f>regions!B66</f>
        <v>65031235</v>
      </c>
      <c r="R27">
        <f>regions!C66</f>
        <v>2204446339914.4404</v>
      </c>
      <c r="S27">
        <f>regions!D66</f>
        <v>33898.26965325878</v>
      </c>
      <c r="T27">
        <f>regions!Z66</f>
        <v>10.7</v>
      </c>
      <c r="U27" s="11">
        <f t="shared" si="3"/>
        <v>3.651218816359303E-3</v>
      </c>
      <c r="V27" s="11">
        <f t="shared" si="4"/>
        <v>6.1985464788997073E-3</v>
      </c>
      <c r="X27" s="11"/>
      <c r="AA27" s="11"/>
      <c r="AK27" s="4"/>
      <c r="AL27" s="4"/>
      <c r="AU27" s="4"/>
      <c r="AV27" s="4"/>
    </row>
    <row r="28" spans="1:55" x14ac:dyDescent="0.35">
      <c r="A28" t="s">
        <v>222</v>
      </c>
      <c r="B28">
        <v>-36.229999999999997</v>
      </c>
      <c r="C28">
        <v>-67.89</v>
      </c>
      <c r="D28">
        <v>-86.01</v>
      </c>
      <c r="E28">
        <v>-152.52000000000001</v>
      </c>
      <c r="G28" s="10" t="s">
        <v>222</v>
      </c>
      <c r="H28" s="8">
        <v>5038.5219528847665</v>
      </c>
      <c r="I28" s="8">
        <v>646.58519505316701</v>
      </c>
      <c r="J28" s="8">
        <f t="shared" si="0"/>
        <v>3257.8336996856606</v>
      </c>
      <c r="L28" s="8">
        <f t="shared" si="1"/>
        <v>646.58519505316701</v>
      </c>
      <c r="M28">
        <f t="shared" si="2"/>
        <v>-152.52000000000001</v>
      </c>
      <c r="N28" s="11">
        <f t="shared" si="5"/>
        <v>-0.23588538860290281</v>
      </c>
      <c r="P28" t="str">
        <f>regions!A69</f>
        <v>Georgia</v>
      </c>
      <c r="Q28">
        <f>regions!B69</f>
        <v>4452800</v>
      </c>
      <c r="R28">
        <f>regions!C69</f>
        <v>8241335082.6298161</v>
      </c>
      <c r="S28">
        <f>regions!D69</f>
        <v>1850.8208503929698</v>
      </c>
      <c r="T28">
        <f>regions!Z69</f>
        <v>5.8</v>
      </c>
      <c r="U28" s="11">
        <f t="shared" si="3"/>
        <v>-4.6471272452835291E-2</v>
      </c>
      <c r="V28" s="11">
        <f t="shared" si="4"/>
        <v>-8.240667915947493E-2</v>
      </c>
      <c r="X28" s="11"/>
      <c r="AA28" s="11"/>
    </row>
    <row r="29" spans="1:55" x14ac:dyDescent="0.35">
      <c r="A29" t="s">
        <v>223</v>
      </c>
      <c r="B29">
        <v>68.400000000000006</v>
      </c>
      <c r="C29">
        <v>116.16</v>
      </c>
      <c r="D29">
        <v>12.7</v>
      </c>
      <c r="E29">
        <v>21.61</v>
      </c>
      <c r="G29" s="10" t="s">
        <v>144</v>
      </c>
      <c r="H29" s="8">
        <v>82609.307998180884</v>
      </c>
      <c r="I29" s="8">
        <v>32935.182999523611</v>
      </c>
      <c r="J29" s="8">
        <f t="shared" si="0"/>
        <v>2720752.676384097</v>
      </c>
      <c r="L29" s="8">
        <f t="shared" si="1"/>
        <v>32935.182999523611</v>
      </c>
      <c r="M29">
        <f t="shared" si="2"/>
        <v>21.61</v>
      </c>
      <c r="N29" s="11">
        <f t="shared" si="5"/>
        <v>6.561372378077443E-4</v>
      </c>
      <c r="P29" t="str">
        <f>regions!A70</f>
        <v>Germany</v>
      </c>
      <c r="Q29">
        <f>regions!B70</f>
        <v>81776930</v>
      </c>
      <c r="R29">
        <f>regions!C70</f>
        <v>2954359050887.9268</v>
      </c>
      <c r="S29">
        <f>regions!D70</f>
        <v>36127.047700224583</v>
      </c>
      <c r="T29">
        <f>regions!Z70</f>
        <v>8.4</v>
      </c>
      <c r="U29" s="11">
        <f t="shared" si="3"/>
        <v>3.5153716698309257E-4</v>
      </c>
      <c r="V29" s="11">
        <f t="shared" si="4"/>
        <v>5.9816678570902607E-4</v>
      </c>
      <c r="X29" s="11"/>
      <c r="AA29" s="11"/>
    </row>
    <row r="30" spans="1:55" x14ac:dyDescent="0.35">
      <c r="A30" t="s">
        <v>224</v>
      </c>
      <c r="B30">
        <v>104.32</v>
      </c>
      <c r="C30">
        <v>168.62</v>
      </c>
      <c r="D30">
        <v>71.36</v>
      </c>
      <c r="E30">
        <v>119.54</v>
      </c>
      <c r="G30" s="10" t="s">
        <v>224</v>
      </c>
      <c r="H30" s="8">
        <v>21859.664138598495</v>
      </c>
      <c r="I30" s="8">
        <v>452.65477884807916</v>
      </c>
      <c r="J30" s="8">
        <f t="shared" si="0"/>
        <v>9894.881436350588</v>
      </c>
      <c r="L30" s="8">
        <f t="shared" si="1"/>
        <v>452.65477884807916</v>
      </c>
      <c r="M30">
        <f t="shared" si="2"/>
        <v>119.54</v>
      </c>
      <c r="N30" s="11">
        <f t="shared" si="5"/>
        <v>0.26408646409125891</v>
      </c>
      <c r="P30" t="str">
        <f>regions!A71</f>
        <v>Ghana</v>
      </c>
      <c r="Q30">
        <f>regions!B71</f>
        <v>24262901</v>
      </c>
      <c r="R30">
        <f>regions!C71</f>
        <v>14804825656.667994</v>
      </c>
      <c r="S30">
        <f>regions!D71</f>
        <v>610.18365679635724</v>
      </c>
      <c r="T30">
        <f>regions!Z71</f>
        <v>27.2</v>
      </c>
      <c r="U30" s="11">
        <f t="shared" si="3"/>
        <v>0.11694839611840947</v>
      </c>
      <c r="V30" s="11">
        <f t="shared" si="4"/>
        <v>0.19590822970844546</v>
      </c>
      <c r="X30" s="11"/>
      <c r="AA30" s="11"/>
    </row>
    <row r="31" spans="1:55" x14ac:dyDescent="0.35">
      <c r="A31" t="s">
        <v>225</v>
      </c>
      <c r="B31">
        <v>56.15</v>
      </c>
      <c r="C31">
        <v>87.41</v>
      </c>
      <c r="D31">
        <v>-26.87</v>
      </c>
      <c r="E31">
        <v>-53.56</v>
      </c>
      <c r="G31" s="10"/>
      <c r="H31" s="8">
        <f>61.4/63.2*H84</f>
        <v>57934.17490031066</v>
      </c>
      <c r="I31" s="8">
        <v>23753.710002652209</v>
      </c>
      <c r="J31" s="8">
        <f t="shared" si="0"/>
        <v>1376151.5898249119</v>
      </c>
      <c r="L31" s="8">
        <f t="shared" si="1"/>
        <v>23753.710002652209</v>
      </c>
      <c r="M31">
        <f t="shared" si="2"/>
        <v>-53.56</v>
      </c>
      <c r="N31" s="11">
        <f t="shared" si="5"/>
        <v>-2.2548056701045768E-3</v>
      </c>
      <c r="P31" t="str">
        <f>regions!A192</f>
        <v>United Kingdom</v>
      </c>
      <c r="Q31">
        <f>regions!B192</f>
        <v>62271177</v>
      </c>
      <c r="R31">
        <f>regions!C192</f>
        <v>2360033739558.0132</v>
      </c>
      <c r="S31">
        <f>regions!D192</f>
        <v>37899.295520911917</v>
      </c>
      <c r="T31">
        <f>regions!Z192</f>
        <v>8.4</v>
      </c>
      <c r="U31" s="11">
        <f t="shared" si="3"/>
        <v>-7.0898415473643261E-4</v>
      </c>
      <c r="V31" s="11">
        <f t="shared" si="4"/>
        <v>-1.4132188808218581E-3</v>
      </c>
      <c r="X31" s="11"/>
      <c r="AA31" s="11"/>
    </row>
    <row r="32" spans="1:55" ht="15" thickBot="1" x14ac:dyDescent="0.4">
      <c r="A32" t="s">
        <v>150</v>
      </c>
      <c r="B32">
        <v>195.3</v>
      </c>
      <c r="C32">
        <v>336.09</v>
      </c>
      <c r="D32">
        <v>158.88999999999999</v>
      </c>
      <c r="E32">
        <v>273.70999999999998</v>
      </c>
      <c r="G32" s="10" t="s">
        <v>150</v>
      </c>
      <c r="H32" s="8">
        <v>9789.2152361813314</v>
      </c>
      <c r="I32" s="8">
        <v>6564.7883670885658</v>
      </c>
      <c r="J32" s="8">
        <f t="shared" si="0"/>
        <v>64264.126305409351</v>
      </c>
      <c r="L32" s="8">
        <f t="shared" si="1"/>
        <v>6564.7883670885658</v>
      </c>
      <c r="M32">
        <f t="shared" si="2"/>
        <v>273.70999999999998</v>
      </c>
      <c r="N32" s="11">
        <f t="shared" si="5"/>
        <v>4.1693651751547371E-2</v>
      </c>
      <c r="P32" t="str">
        <f>regions!A82</f>
        <v>Hungary</v>
      </c>
      <c r="Q32">
        <f>regions!B82</f>
        <v>10000023</v>
      </c>
      <c r="R32">
        <f>regions!C82</f>
        <v>109264940823.83978</v>
      </c>
      <c r="S32">
        <f>regions!D82</f>
        <v>10926.468951505391</v>
      </c>
      <c r="T32">
        <f>regions!Z82</f>
        <v>9.8000000000000007</v>
      </c>
      <c r="U32" s="11">
        <f t="shared" si="3"/>
        <v>1.4541751841806953E-2</v>
      </c>
      <c r="V32" s="11">
        <f t="shared" si="4"/>
        <v>2.5050178718742405E-2</v>
      </c>
      <c r="X32" s="11"/>
      <c r="AA32" s="11"/>
      <c r="AK32" s="2"/>
      <c r="AL32" s="2"/>
      <c r="AU32" s="2"/>
      <c r="AV32" s="2"/>
    </row>
    <row r="33" spans="1:55" x14ac:dyDescent="0.35">
      <c r="A33" t="s">
        <v>151</v>
      </c>
      <c r="B33">
        <v>-87.27</v>
      </c>
      <c r="C33">
        <v>-152.52000000000001</v>
      </c>
      <c r="D33">
        <v>-188.69</v>
      </c>
      <c r="E33">
        <v>-323.89999999999998</v>
      </c>
      <c r="G33" s="10" t="s">
        <v>151</v>
      </c>
      <c r="H33" s="8">
        <v>293.08460518486129</v>
      </c>
      <c r="I33" s="8">
        <v>30847.065455033273</v>
      </c>
      <c r="J33" s="8">
        <f t="shared" si="0"/>
        <v>9040.7999999999993</v>
      </c>
      <c r="L33" s="8">
        <f t="shared" si="1"/>
        <v>30847.065455033273</v>
      </c>
      <c r="M33">
        <f t="shared" si="2"/>
        <v>-323.89999999999998</v>
      </c>
      <c r="N33" s="11">
        <f t="shared" si="5"/>
        <v>-1.0500188436795036E-2</v>
      </c>
      <c r="P33" t="str">
        <f>regions!A83</f>
        <v>Iceland</v>
      </c>
      <c r="Q33">
        <f>regions!B83</f>
        <v>318041</v>
      </c>
      <c r="R33">
        <f>regions!C83</f>
        <v>16388138908.052595</v>
      </c>
      <c r="S33">
        <f>regions!D83</f>
        <v>51528.384416011126</v>
      </c>
      <c r="T33">
        <f>regions!Z83</f>
        <v>1.7</v>
      </c>
      <c r="U33" s="11">
        <f t="shared" si="3"/>
        <v>-3.6618652445344164E-3</v>
      </c>
      <c r="V33" s="11">
        <f t="shared" si="4"/>
        <v>-6.2858559155477105E-3</v>
      </c>
      <c r="X33" s="11"/>
      <c r="AA33" s="11"/>
    </row>
    <row r="34" spans="1:55" ht="15" thickBot="1" x14ac:dyDescent="0.4">
      <c r="A34" t="s">
        <v>152</v>
      </c>
      <c r="B34">
        <v>43.48</v>
      </c>
      <c r="C34">
        <v>78.540000000000006</v>
      </c>
      <c r="D34">
        <v>-28.52</v>
      </c>
      <c r="E34">
        <v>-43.86</v>
      </c>
      <c r="G34" s="10" t="s">
        <v>152</v>
      </c>
      <c r="H34" s="8">
        <v>1099541.9642679892</v>
      </c>
      <c r="I34" s="8">
        <v>535.90480305606241</v>
      </c>
      <c r="J34" s="8">
        <f t="shared" si="0"/>
        <v>589249.81981291273</v>
      </c>
      <c r="L34" s="8">
        <f t="shared" si="1"/>
        <v>535.90480305606241</v>
      </c>
      <c r="M34">
        <f t="shared" si="2"/>
        <v>-43.86</v>
      </c>
      <c r="N34" s="11">
        <f t="shared" si="5"/>
        <v>-8.1842894017525147E-2</v>
      </c>
      <c r="P34" t="str">
        <f>regions!A84</f>
        <v>India</v>
      </c>
      <c r="Q34">
        <f>regions!B84</f>
        <v>1205624648</v>
      </c>
      <c r="R34">
        <f>regions!C84</f>
        <v>1243675499465.8105</v>
      </c>
      <c r="S34">
        <f>regions!D84</f>
        <v>1031.5611094455749</v>
      </c>
      <c r="T34">
        <f>regions!Z84</f>
        <v>23.7</v>
      </c>
      <c r="U34" s="11">
        <f t="shared" si="3"/>
        <v>-2.7647416850881887E-2</v>
      </c>
      <c r="V34" s="11">
        <f t="shared" si="4"/>
        <v>-4.251808215566899E-2</v>
      </c>
      <c r="X34" s="11"/>
      <c r="AA34" s="11"/>
    </row>
    <row r="35" spans="1:55" x14ac:dyDescent="0.35">
      <c r="A35" t="s">
        <v>155</v>
      </c>
      <c r="B35">
        <v>74.31</v>
      </c>
      <c r="C35">
        <v>121.66</v>
      </c>
      <c r="D35">
        <v>-28.35</v>
      </c>
      <c r="E35">
        <v>-53.14</v>
      </c>
      <c r="G35" s="10" t="s">
        <v>155</v>
      </c>
      <c r="H35" s="8">
        <v>4052.3110053210526</v>
      </c>
      <c r="I35" s="8">
        <v>32086.297825579641</v>
      </c>
      <c r="J35" s="8">
        <f t="shared" si="0"/>
        <v>130023.65779860533</v>
      </c>
      <c r="L35" s="8">
        <f t="shared" si="1"/>
        <v>32086.297825579641</v>
      </c>
      <c r="M35">
        <f t="shared" si="2"/>
        <v>-53.14</v>
      </c>
      <c r="N35" s="11">
        <f t="shared" si="5"/>
        <v>-1.6561586596517861E-3</v>
      </c>
      <c r="P35" t="str">
        <f>regions!A88</f>
        <v>Ireland</v>
      </c>
      <c r="Q35">
        <f>regions!B88</f>
        <v>4474356</v>
      </c>
      <c r="R35">
        <f>regions!C88</f>
        <v>203306959563.6236</v>
      </c>
      <c r="S35">
        <f>regions!D88</f>
        <v>45438.261855700264</v>
      </c>
      <c r="T35">
        <f>regions!Z88</f>
        <v>9.3000000000000007</v>
      </c>
      <c r="U35" s="11">
        <f t="shared" si="3"/>
        <v>-6.2392351384460963E-4</v>
      </c>
      <c r="V35" s="11">
        <f t="shared" si="4"/>
        <v>-1.1694989603422419E-3</v>
      </c>
      <c r="X35" s="11"/>
      <c r="AA35" s="11"/>
      <c r="AK35" s="3"/>
      <c r="AL35" s="3"/>
      <c r="AM35" s="3"/>
      <c r="AN35" s="3"/>
      <c r="AO35" s="3"/>
      <c r="AP35" s="3"/>
      <c r="AU35" s="3"/>
      <c r="AV35" s="3"/>
      <c r="AW35" s="3"/>
      <c r="AX35" s="3"/>
      <c r="AY35" s="3"/>
      <c r="AZ35" s="3"/>
    </row>
    <row r="36" spans="1:55" x14ac:dyDescent="0.35">
      <c r="A36" t="s">
        <v>156</v>
      </c>
      <c r="B36">
        <v>254.62</v>
      </c>
      <c r="C36">
        <v>427.9</v>
      </c>
      <c r="D36">
        <v>241.48</v>
      </c>
      <c r="E36">
        <v>401.53</v>
      </c>
      <c r="G36" s="10" t="s">
        <v>156</v>
      </c>
      <c r="H36" s="8">
        <v>6710.6554715151096</v>
      </c>
      <c r="I36" s="8">
        <v>20504.055171514665</v>
      </c>
      <c r="J36" s="8">
        <f t="shared" si="0"/>
        <v>137595.65002497257</v>
      </c>
      <c r="L36" s="8">
        <f t="shared" si="1"/>
        <v>20504.055171514665</v>
      </c>
      <c r="M36">
        <f t="shared" si="2"/>
        <v>401.53</v>
      </c>
      <c r="N36" s="11">
        <f t="shared" si="5"/>
        <v>1.9582955500325957E-2</v>
      </c>
      <c r="P36" t="str">
        <f>regions!A90</f>
        <v>Israel</v>
      </c>
      <c r="Q36">
        <f>regions!B90</f>
        <v>7623600</v>
      </c>
      <c r="R36">
        <f>regions!C90</f>
        <v>169010664818.13025</v>
      </c>
      <c r="S36">
        <f>regions!D90</f>
        <v>22169.403538765182</v>
      </c>
      <c r="T36">
        <f>regions!Z90</f>
        <v>19.2</v>
      </c>
      <c r="U36" s="11">
        <f t="shared" si="3"/>
        <v>1.0892489713480592E-2</v>
      </c>
      <c r="V36" s="11">
        <f t="shared" si="4"/>
        <v>1.8111899099941452E-2</v>
      </c>
      <c r="X36" s="11"/>
      <c r="AA36" s="11"/>
    </row>
    <row r="37" spans="1:55" x14ac:dyDescent="0.35">
      <c r="A37" t="s">
        <v>157</v>
      </c>
      <c r="B37">
        <v>187.25</v>
      </c>
      <c r="C37">
        <v>309.77</v>
      </c>
      <c r="D37">
        <v>203.77</v>
      </c>
      <c r="E37">
        <v>337.37</v>
      </c>
      <c r="G37" s="10" t="s">
        <v>157</v>
      </c>
      <c r="H37" s="8">
        <v>57365.15858339853</v>
      </c>
      <c r="I37" s="8">
        <v>21678.346910582142</v>
      </c>
      <c r="J37" s="8">
        <f t="shared" si="0"/>
        <v>1243581.8083514723</v>
      </c>
      <c r="L37" s="8">
        <f t="shared" ref="L37:L69" si="6">I37</f>
        <v>21678.346910582142</v>
      </c>
      <c r="M37">
        <f t="shared" ref="M37:M69" si="7">E37</f>
        <v>337.37</v>
      </c>
      <c r="N37" s="11">
        <f t="shared" si="5"/>
        <v>1.5562533499051769E-2</v>
      </c>
      <c r="P37" t="str">
        <f>regions!A91</f>
        <v>Italy</v>
      </c>
      <c r="Q37">
        <f>regions!B91</f>
        <v>60483385</v>
      </c>
      <c r="R37">
        <f>regions!C91</f>
        <v>1763885790470.2776</v>
      </c>
      <c r="S37">
        <f>regions!D91</f>
        <v>29163.146051932734</v>
      </c>
      <c r="T37">
        <f>regions!Z91</f>
        <v>13.4</v>
      </c>
      <c r="U37" s="11">
        <f t="shared" ref="U37:U69" si="8">D37/S37</f>
        <v>6.9872434077288288E-3</v>
      </c>
      <c r="V37" s="11">
        <f t="shared" ref="V37:V69" si="9">E37/S37</f>
        <v>1.1568367809125362E-2</v>
      </c>
      <c r="X37" s="11"/>
      <c r="AA37" s="11"/>
    </row>
    <row r="38" spans="1:55" ht="15" thickBot="1" x14ac:dyDescent="0.4">
      <c r="A38" t="s">
        <v>64</v>
      </c>
      <c r="B38">
        <v>25.24</v>
      </c>
      <c r="C38">
        <v>40.229999999999997</v>
      </c>
      <c r="D38">
        <v>-81.790000000000006</v>
      </c>
      <c r="E38">
        <v>-142</v>
      </c>
      <c r="G38" s="10" t="s">
        <v>64</v>
      </c>
      <c r="H38" s="8">
        <v>128101.02224293424</v>
      </c>
      <c r="I38" s="8">
        <v>42866.15769262486</v>
      </c>
      <c r="J38" s="8">
        <f t="shared" si="0"/>
        <v>5491198.6200520638</v>
      </c>
      <c r="L38" s="8">
        <f t="shared" si="6"/>
        <v>42866.15769262486</v>
      </c>
      <c r="M38">
        <f t="shared" si="7"/>
        <v>-142</v>
      </c>
      <c r="N38" s="11">
        <f t="shared" si="5"/>
        <v>-3.3126365329550207E-3</v>
      </c>
      <c r="P38" t="str">
        <f>regions!A93</f>
        <v>Japan</v>
      </c>
      <c r="Q38">
        <f>regions!B93</f>
        <v>127450459</v>
      </c>
      <c r="R38">
        <f>regions!C93</f>
        <v>4648468621132.7568</v>
      </c>
      <c r="S38">
        <f>regions!D93</f>
        <v>36472.749157637452</v>
      </c>
      <c r="T38">
        <f>regions!Z93</f>
        <v>11.1</v>
      </c>
      <c r="U38" s="11">
        <f t="shared" si="8"/>
        <v>-2.2424961619015508E-3</v>
      </c>
      <c r="V38" s="11">
        <f t="shared" si="9"/>
        <v>-3.8933177037537617E-3</v>
      </c>
      <c r="X38" s="11"/>
      <c r="AA38" s="11"/>
      <c r="AK38" s="2"/>
      <c r="AL38" s="2"/>
      <c r="AM38" s="2"/>
      <c r="AN38" s="2"/>
      <c r="AO38" s="2"/>
      <c r="AP38" s="2"/>
      <c r="AU38" s="2"/>
      <c r="AV38" s="2"/>
      <c r="AW38" s="2"/>
      <c r="AX38" s="2"/>
      <c r="AY38" s="2"/>
      <c r="AZ38" s="2"/>
    </row>
    <row r="39" spans="1:55" ht="15" thickBot="1" x14ac:dyDescent="0.4">
      <c r="A39" t="s">
        <v>226</v>
      </c>
      <c r="B39">
        <v>-36.229999999999997</v>
      </c>
      <c r="C39">
        <v>-67.89</v>
      </c>
      <c r="D39">
        <v>-88.11</v>
      </c>
      <c r="E39">
        <v>-155.47</v>
      </c>
      <c r="G39" s="10" t="s">
        <v>226</v>
      </c>
      <c r="H39" s="8">
        <v>2264.2275311936382</v>
      </c>
      <c r="I39" s="8">
        <v>3814.5824821141455</v>
      </c>
      <c r="J39" s="8">
        <f t="shared" si="0"/>
        <v>8637.0826760118125</v>
      </c>
      <c r="L39" s="8">
        <f t="shared" si="6"/>
        <v>3814.5824821141455</v>
      </c>
      <c r="M39">
        <f t="shared" si="7"/>
        <v>-155.47</v>
      </c>
      <c r="N39" s="11">
        <f t="shared" si="5"/>
        <v>-4.0756754042931137E-2</v>
      </c>
      <c r="P39" t="str">
        <f>regions!A102</f>
        <v>Latvia</v>
      </c>
      <c r="Q39">
        <f>regions!B102</f>
        <v>2239008</v>
      </c>
      <c r="R39">
        <f>regions!C102</f>
        <v>15502642580.339478</v>
      </c>
      <c r="S39">
        <f>regions!D102</f>
        <v>6923.8888741529627</v>
      </c>
      <c r="T39">
        <f>regions!Z102</f>
        <v>5.6</v>
      </c>
      <c r="U39" s="11">
        <f t="shared" si="8"/>
        <v>-1.2725507529289887E-2</v>
      </c>
      <c r="V39" s="11">
        <f t="shared" si="9"/>
        <v>-2.2454144314818961E-2</v>
      </c>
      <c r="X39" s="11"/>
      <c r="AA39" s="11"/>
    </row>
    <row r="40" spans="1:55" x14ac:dyDescent="0.35">
      <c r="A40" t="s">
        <v>227</v>
      </c>
      <c r="B40">
        <v>-36.229999999999997</v>
      </c>
      <c r="C40">
        <v>-67.89</v>
      </c>
      <c r="D40">
        <v>-76.73</v>
      </c>
      <c r="E40">
        <v>-136.53</v>
      </c>
      <c r="G40" s="10" t="s">
        <v>227</v>
      </c>
      <c r="H40" s="8">
        <v>3408.6194419861936</v>
      </c>
      <c r="I40" s="8">
        <v>3295.3774023161427</v>
      </c>
      <c r="J40" s="8">
        <f t="shared" si="0"/>
        <v>11232.687482216763</v>
      </c>
      <c r="L40" s="8">
        <f t="shared" si="6"/>
        <v>3295.3774023161427</v>
      </c>
      <c r="M40">
        <f t="shared" si="7"/>
        <v>-136.53</v>
      </c>
      <c r="N40" s="11">
        <f t="shared" si="5"/>
        <v>-4.1430762954203802E-2</v>
      </c>
      <c r="P40" t="str">
        <f>regions!A108</f>
        <v>Lithuania</v>
      </c>
      <c r="Q40">
        <f>regions!B108</f>
        <v>3286820</v>
      </c>
      <c r="R40">
        <f>regions!C108</f>
        <v>27346902406.20084</v>
      </c>
      <c r="S40">
        <f>regions!D108</f>
        <v>8320.1703793334709</v>
      </c>
      <c r="T40">
        <f>regions!Z108</f>
        <v>6.2</v>
      </c>
      <c r="U40" s="11">
        <f t="shared" si="8"/>
        <v>-9.2221669150658481E-3</v>
      </c>
      <c r="V40" s="11">
        <f t="shared" si="9"/>
        <v>-1.640951973040454E-2</v>
      </c>
      <c r="X40" s="11"/>
      <c r="AA40" s="11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35">
      <c r="A41" t="s">
        <v>228</v>
      </c>
      <c r="B41">
        <v>241.06</v>
      </c>
      <c r="C41">
        <v>417.26</v>
      </c>
      <c r="D41">
        <v>253.78</v>
      </c>
      <c r="E41">
        <v>440.66</v>
      </c>
      <c r="G41" s="10" t="s">
        <v>258</v>
      </c>
      <c r="H41" s="8">
        <v>2079.3580441040012</v>
      </c>
      <c r="I41" s="8">
        <v>2388.7196853606374</v>
      </c>
      <c r="J41" s="8">
        <f t="shared" si="0"/>
        <v>4967.0034928642208</v>
      </c>
      <c r="L41" s="8">
        <f t="shared" si="6"/>
        <v>2388.7196853606374</v>
      </c>
      <c r="M41">
        <f t="shared" si="7"/>
        <v>440.66</v>
      </c>
      <c r="N41" s="11">
        <f t="shared" si="5"/>
        <v>0.18447539185974904</v>
      </c>
      <c r="P41" t="str">
        <f>regions!A111</f>
        <v>Macedonia [FYROM]</v>
      </c>
      <c r="Q41">
        <f>regions!B111</f>
        <v>2102216</v>
      </c>
      <c r="R41">
        <f>regions!C111</f>
        <v>7140636379.2323322</v>
      </c>
      <c r="S41">
        <f>regions!D111</f>
        <v>3396.7186907683758</v>
      </c>
      <c r="T41">
        <f>regions!Z111</f>
        <v>9.8000000000000007</v>
      </c>
      <c r="U41" s="11">
        <f t="shared" si="8"/>
        <v>7.4713281582524022E-2</v>
      </c>
      <c r="V41" s="11">
        <f t="shared" si="9"/>
        <v>0.12973108464873134</v>
      </c>
      <c r="X41" s="11"/>
      <c r="AA41" s="11"/>
    </row>
    <row r="42" spans="1:55" ht="15" thickBot="1" x14ac:dyDescent="0.4">
      <c r="A42" t="s">
        <v>167</v>
      </c>
      <c r="B42">
        <v>142.38999999999999</v>
      </c>
      <c r="C42">
        <v>243.6</v>
      </c>
      <c r="D42">
        <v>166.08</v>
      </c>
      <c r="E42">
        <v>283.89</v>
      </c>
      <c r="G42" s="10" t="s">
        <v>167</v>
      </c>
      <c r="H42" s="8">
        <v>106629.37178983702</v>
      </c>
      <c r="I42" s="8">
        <v>3593.1832519659124</v>
      </c>
      <c r="J42" s="8">
        <f t="shared" si="0"/>
        <v>383138.87288288889</v>
      </c>
      <c r="L42" s="8">
        <f t="shared" si="6"/>
        <v>3593.1832519659124</v>
      </c>
      <c r="M42">
        <f t="shared" si="7"/>
        <v>283.89</v>
      </c>
      <c r="N42" s="11">
        <f t="shared" si="5"/>
        <v>7.9007938113002538E-2</v>
      </c>
      <c r="P42" t="str">
        <f>regions!A121</f>
        <v>Mexico</v>
      </c>
      <c r="Q42">
        <f>regions!B121</f>
        <v>117886404</v>
      </c>
      <c r="R42">
        <f>regions!C121</f>
        <v>953067840505.29358</v>
      </c>
      <c r="S42">
        <f>regions!D121</f>
        <v>8084.6290001796442</v>
      </c>
      <c r="T42">
        <f>regions!Z121</f>
        <v>21</v>
      </c>
      <c r="U42" s="11">
        <f t="shared" si="8"/>
        <v>2.0542686621279671E-2</v>
      </c>
      <c r="V42" s="11">
        <f t="shared" si="9"/>
        <v>3.5114783868708366E-2</v>
      </c>
      <c r="X42" s="11"/>
      <c r="AA42" s="11"/>
      <c r="AK42" s="2"/>
      <c r="AL42" s="2"/>
      <c r="AM42" s="2"/>
      <c r="AN42" s="2"/>
      <c r="AO42" s="2"/>
      <c r="AP42" s="2"/>
      <c r="AQ42" s="2"/>
      <c r="AR42" s="2"/>
      <c r="AS42" s="2"/>
    </row>
    <row r="43" spans="1:55" ht="15" thickBot="1" x14ac:dyDescent="0.4">
      <c r="A43" t="s">
        <v>229</v>
      </c>
      <c r="B43">
        <v>111.93</v>
      </c>
      <c r="C43">
        <v>182.17</v>
      </c>
      <c r="D43">
        <v>65.02</v>
      </c>
      <c r="E43">
        <v>102.63</v>
      </c>
      <c r="G43" s="10" t="s">
        <v>259</v>
      </c>
      <c r="H43" s="8">
        <v>4252.0504672621355</v>
      </c>
      <c r="I43" s="8">
        <v>898.96145763820402</v>
      </c>
      <c r="J43" s="8">
        <f t="shared" si="0"/>
        <v>3822.429486001176</v>
      </c>
      <c r="L43" s="8">
        <f t="shared" si="6"/>
        <v>898.96145763820402</v>
      </c>
      <c r="M43">
        <f t="shared" si="7"/>
        <v>102.63</v>
      </c>
      <c r="N43" s="11">
        <f t="shared" si="5"/>
        <v>0.11416507251560551</v>
      </c>
      <c r="P43" t="str">
        <f>regions!A123</f>
        <v>Moldova</v>
      </c>
      <c r="Q43">
        <f>regions!B123</f>
        <v>3562062</v>
      </c>
      <c r="R43">
        <f>regions!C123</f>
        <v>3501430331.6016059</v>
      </c>
      <c r="S43">
        <f>regions!D123</f>
        <v>982.97849155955339</v>
      </c>
      <c r="T43">
        <f>regions!Z123</f>
        <v>9.4</v>
      </c>
      <c r="U43" s="11">
        <f t="shared" si="8"/>
        <v>6.6145903047015744E-2</v>
      </c>
      <c r="V43" s="11">
        <f t="shared" si="9"/>
        <v>0.1044071674825473</v>
      </c>
      <c r="X43" s="11"/>
      <c r="AA43" s="11"/>
      <c r="AU43" s="2"/>
      <c r="AV43" s="2"/>
      <c r="AW43" s="2"/>
      <c r="AX43" s="2"/>
      <c r="AY43" s="2"/>
      <c r="AZ43" s="2"/>
      <c r="BA43" s="2"/>
      <c r="BB43" s="2"/>
      <c r="BC43" s="2"/>
    </row>
    <row r="44" spans="1:55" x14ac:dyDescent="0.35">
      <c r="A44" t="s">
        <v>230</v>
      </c>
      <c r="B44">
        <v>241.06</v>
      </c>
      <c r="C44">
        <v>417.26</v>
      </c>
      <c r="D44">
        <v>272.43</v>
      </c>
      <c r="E44">
        <v>470.46</v>
      </c>
      <c r="G44" s="10"/>
      <c r="H44" s="8">
        <f>6/78*H83</f>
        <v>808.08129715696998</v>
      </c>
      <c r="I44" s="8">
        <f>I57</f>
        <v>1598.3755633697153</v>
      </c>
      <c r="J44" s="8">
        <f t="shared" si="0"/>
        <v>1291.6173985918022</v>
      </c>
      <c r="L44" s="8">
        <f t="shared" si="6"/>
        <v>1598.3755633697153</v>
      </c>
      <c r="M44">
        <f t="shared" si="7"/>
        <v>470.46</v>
      </c>
      <c r="N44" s="11">
        <f t="shared" si="5"/>
        <v>0.29433633169927242</v>
      </c>
      <c r="P44" t="str">
        <f>regions!A126</f>
        <v>Montenegro</v>
      </c>
      <c r="Q44">
        <f>regions!B126</f>
        <v>620078</v>
      </c>
      <c r="R44">
        <f>regions!C126</f>
        <v>2803866144.4280138</v>
      </c>
      <c r="S44">
        <f>regions!D126</f>
        <v>4521.7958779831151</v>
      </c>
      <c r="T44">
        <f>regions!Z126</f>
        <v>9.9</v>
      </c>
      <c r="U44" s="11">
        <f t="shared" si="8"/>
        <v>6.0248186196656374E-2</v>
      </c>
      <c r="V44" s="11">
        <f t="shared" si="9"/>
        <v>0.10404273273163366</v>
      </c>
      <c r="X44" s="11"/>
      <c r="AA44" s="11"/>
    </row>
    <row r="45" spans="1:55" x14ac:dyDescent="0.35">
      <c r="A45" t="s">
        <v>170</v>
      </c>
      <c r="B45">
        <v>49.81</v>
      </c>
      <c r="C45">
        <v>80.23</v>
      </c>
      <c r="D45">
        <v>-4.7300000000000004</v>
      </c>
      <c r="E45">
        <v>-12.02</v>
      </c>
      <c r="G45" s="10" t="s">
        <v>170</v>
      </c>
      <c r="H45" s="8">
        <v>16324.722056597135</v>
      </c>
      <c r="I45" s="8">
        <v>30907.510400477298</v>
      </c>
      <c r="J45" s="8">
        <f t="shared" si="0"/>
        <v>504556.51674917707</v>
      </c>
      <c r="L45" s="8">
        <f t="shared" si="6"/>
        <v>30907.510400477298</v>
      </c>
      <c r="M45">
        <f t="shared" si="7"/>
        <v>-12.02</v>
      </c>
      <c r="N45" s="11">
        <f t="shared" si="5"/>
        <v>-3.8890223910801876E-4</v>
      </c>
      <c r="P45" t="str">
        <f>regions!A131</f>
        <v>Netherlands</v>
      </c>
      <c r="Q45">
        <f>regions!B131</f>
        <v>16615394</v>
      </c>
      <c r="R45">
        <f>regions!C131</f>
        <v>683063473113.4657</v>
      </c>
      <c r="S45">
        <f>regions!D131</f>
        <v>41110.27840287541</v>
      </c>
      <c r="T45">
        <f>regions!Z131</f>
        <v>9.1999999999999993</v>
      </c>
      <c r="U45" s="11">
        <f t="shared" si="8"/>
        <v>-1.1505638452862353E-4</v>
      </c>
      <c r="V45" s="11">
        <f t="shared" si="9"/>
        <v>-2.9238430064144921E-4</v>
      </c>
      <c r="X45" s="11"/>
      <c r="AA45" s="11"/>
    </row>
    <row r="46" spans="1:55" ht="15" thickBot="1" x14ac:dyDescent="0.4">
      <c r="A46" t="s">
        <v>171</v>
      </c>
      <c r="B46">
        <v>95.87</v>
      </c>
      <c r="C46">
        <v>156.35</v>
      </c>
      <c r="D46">
        <v>38.54</v>
      </c>
      <c r="E46">
        <v>59.1</v>
      </c>
      <c r="G46" s="10" t="s">
        <v>171</v>
      </c>
      <c r="H46" s="8">
        <v>3940.5196065799641</v>
      </c>
      <c r="I46" s="8">
        <v>20892.739617468287</v>
      </c>
      <c r="J46" s="8">
        <f t="shared" si="0"/>
        <v>82328.250097803771</v>
      </c>
      <c r="L46" s="8">
        <f t="shared" si="6"/>
        <v>20892.739617468287</v>
      </c>
      <c r="M46">
        <f t="shared" si="7"/>
        <v>59.1</v>
      </c>
      <c r="N46" s="11">
        <f t="shared" si="5"/>
        <v>2.8287338607612218E-3</v>
      </c>
      <c r="P46" t="str">
        <f>regions!A132</f>
        <v>New Zealand</v>
      </c>
      <c r="Q46">
        <f>regions!B132</f>
        <v>4367800</v>
      </c>
      <c r="R46">
        <f>regions!C132</f>
        <v>120042479359.5708</v>
      </c>
      <c r="S46">
        <f>regions!D132</f>
        <v>27483.511003152802</v>
      </c>
      <c r="T46">
        <f>regions!Z132</f>
        <v>10.5</v>
      </c>
      <c r="U46" s="11">
        <f t="shared" si="8"/>
        <v>1.4022953615925868E-3</v>
      </c>
      <c r="V46" s="11">
        <f t="shared" si="9"/>
        <v>2.1503802768583782E-3</v>
      </c>
      <c r="X46" s="11"/>
      <c r="AA46" s="11"/>
    </row>
    <row r="47" spans="1:55" x14ac:dyDescent="0.35">
      <c r="A47" t="s">
        <v>172</v>
      </c>
      <c r="B47">
        <v>154.22999999999999</v>
      </c>
      <c r="C47">
        <v>259.70999999999998</v>
      </c>
      <c r="D47">
        <v>180.48</v>
      </c>
      <c r="E47">
        <v>304.25</v>
      </c>
      <c r="G47" s="10" t="s">
        <v>172</v>
      </c>
      <c r="H47" s="8">
        <v>130669.13693358886</v>
      </c>
      <c r="I47" s="8">
        <v>245.43422046692868</v>
      </c>
      <c r="J47" s="8">
        <f t="shared" si="0"/>
        <v>32070.67776238174</v>
      </c>
      <c r="L47" s="8">
        <f t="shared" si="6"/>
        <v>245.43422046692868</v>
      </c>
      <c r="M47">
        <f t="shared" si="7"/>
        <v>304.25</v>
      </c>
      <c r="N47" s="11">
        <f t="shared" si="5"/>
        <v>1.2396396860273873</v>
      </c>
      <c r="P47" t="str">
        <f>regions!A135</f>
        <v>Nigeria</v>
      </c>
      <c r="Q47">
        <f>regions!B135</f>
        <v>159707780</v>
      </c>
      <c r="R47">
        <f>regions!C135</f>
        <v>159017874554.81158</v>
      </c>
      <c r="S47">
        <f>regions!D135</f>
        <v>995.6802013953959</v>
      </c>
      <c r="T47">
        <f>regions!Z135</f>
        <v>26.8</v>
      </c>
      <c r="U47" s="11">
        <f t="shared" si="8"/>
        <v>0.18126301973973805</v>
      </c>
      <c r="V47" s="11">
        <f t="shared" si="9"/>
        <v>0.3055700008633383</v>
      </c>
      <c r="X47" s="11"/>
      <c r="AA47" s="11"/>
      <c r="AK47" s="4"/>
      <c r="AL47" s="4"/>
      <c r="AU47" s="4"/>
      <c r="AV47" s="4"/>
    </row>
    <row r="48" spans="1:55" x14ac:dyDescent="0.35">
      <c r="A48" t="s">
        <v>231</v>
      </c>
      <c r="B48">
        <v>82.34</v>
      </c>
      <c r="C48">
        <v>144.93</v>
      </c>
      <c r="D48">
        <v>17.68</v>
      </c>
      <c r="E48">
        <v>34.86</v>
      </c>
      <c r="H48" s="8">
        <f>1.8/63.2*H84</f>
        <v>1698.3960068494982</v>
      </c>
      <c r="I48" s="8">
        <f>I31</f>
        <v>23753.710002652209</v>
      </c>
      <c r="J48" s="8">
        <f t="shared" si="0"/>
        <v>40343.206216365492</v>
      </c>
      <c r="L48" s="8">
        <f t="shared" si="6"/>
        <v>23753.710002652209</v>
      </c>
      <c r="M48">
        <f t="shared" si="7"/>
        <v>34.86</v>
      </c>
      <c r="N48" s="11">
        <f t="shared" si="5"/>
        <v>1.4675602251651521E-3</v>
      </c>
      <c r="P48" t="str">
        <f>regions!A192</f>
        <v>United Kingdom</v>
      </c>
      <c r="Q48">
        <f>regions!B192</f>
        <v>62271177</v>
      </c>
      <c r="R48">
        <f>regions!C192</f>
        <v>2360033739558.0132</v>
      </c>
      <c r="S48">
        <f>regions!D192</f>
        <v>37899.295520911917</v>
      </c>
      <c r="T48">
        <f>regions!Z192</f>
        <v>8.4</v>
      </c>
      <c r="U48" s="11">
        <f t="shared" si="8"/>
        <v>4.664994363877978E-4</v>
      </c>
      <c r="V48" s="11">
        <f t="shared" si="9"/>
        <v>9.1980601541168734E-4</v>
      </c>
      <c r="X48" s="11"/>
      <c r="AA48" s="11"/>
    </row>
    <row r="49" spans="1:55" x14ac:dyDescent="0.35">
      <c r="A49" t="s">
        <v>173</v>
      </c>
      <c r="B49">
        <v>-168.09</v>
      </c>
      <c r="C49">
        <v>-286.98</v>
      </c>
      <c r="D49">
        <v>-271.45</v>
      </c>
      <c r="E49">
        <v>-463.11</v>
      </c>
      <c r="G49" s="10" t="s">
        <v>173</v>
      </c>
      <c r="H49" s="8">
        <v>4574.5356316260786</v>
      </c>
      <c r="I49" s="8">
        <v>40897.195755465604</v>
      </c>
      <c r="J49" s="8">
        <f t="shared" si="0"/>
        <v>187085.67921696423</v>
      </c>
      <c r="L49" s="8">
        <f t="shared" si="6"/>
        <v>40897.195755465604</v>
      </c>
      <c r="M49">
        <f t="shared" si="7"/>
        <v>-463.11</v>
      </c>
      <c r="N49" s="11">
        <f t="shared" si="5"/>
        <v>-1.1323759280930865E-2</v>
      </c>
      <c r="P49" t="str">
        <f>regions!A136</f>
        <v>Norway</v>
      </c>
      <c r="Q49">
        <f>regions!B136</f>
        <v>4889252</v>
      </c>
      <c r="R49">
        <f>regions!C136</f>
        <v>315796662786.18549</v>
      </c>
      <c r="S49">
        <f>regions!D136</f>
        <v>64589.974659965468</v>
      </c>
      <c r="T49">
        <f>regions!Z136</f>
        <v>1.5</v>
      </c>
      <c r="U49" s="11">
        <f t="shared" si="8"/>
        <v>-4.2026645997161492E-3</v>
      </c>
      <c r="V49" s="11">
        <f t="shared" si="9"/>
        <v>-7.1699981682613592E-3</v>
      </c>
      <c r="X49" s="11"/>
      <c r="AA49" s="11"/>
    </row>
    <row r="50" spans="1:55" x14ac:dyDescent="0.35">
      <c r="A50" t="s">
        <v>177</v>
      </c>
      <c r="B50">
        <v>17.809999999999999</v>
      </c>
      <c r="C50">
        <v>24.77</v>
      </c>
      <c r="D50">
        <v>-60.3</v>
      </c>
      <c r="E50">
        <v>-66.2</v>
      </c>
      <c r="G50" s="10" t="s">
        <v>177</v>
      </c>
      <c r="H50" s="8">
        <v>28019.715969678615</v>
      </c>
      <c r="I50" s="8">
        <v>2675.0342610148427</v>
      </c>
      <c r="J50" s="8">
        <f t="shared" si="0"/>
        <v>74953.700202795007</v>
      </c>
      <c r="L50" s="8">
        <f t="shared" si="6"/>
        <v>2675.0342610148427</v>
      </c>
      <c r="M50">
        <f t="shared" si="7"/>
        <v>-66.2</v>
      </c>
      <c r="N50" s="11">
        <f t="shared" si="5"/>
        <v>-2.4747346590949956E-2</v>
      </c>
      <c r="P50" t="str">
        <f>regions!A144</f>
        <v>Peru</v>
      </c>
      <c r="Q50">
        <f>regions!B144</f>
        <v>29262830</v>
      </c>
      <c r="R50">
        <f>regions!C144</f>
        <v>103487662932.25778</v>
      </c>
      <c r="S50">
        <f>regions!D144</f>
        <v>3536.4885396339923</v>
      </c>
      <c r="T50">
        <f>regions!Z144</f>
        <v>19.600000000000001</v>
      </c>
      <c r="U50" s="11">
        <f t="shared" si="8"/>
        <v>-1.7050811652351835E-2</v>
      </c>
      <c r="V50" s="11">
        <f t="shared" si="9"/>
        <v>-1.8719133190475811E-2</v>
      </c>
      <c r="X50" s="11"/>
      <c r="AA50" s="11"/>
    </row>
    <row r="51" spans="1:55" x14ac:dyDescent="0.35">
      <c r="A51" t="s">
        <v>178</v>
      </c>
      <c r="B51">
        <v>46.86</v>
      </c>
      <c r="C51">
        <v>72.62</v>
      </c>
      <c r="D51">
        <v>12.53</v>
      </c>
      <c r="E51">
        <v>14.47</v>
      </c>
      <c r="G51" s="10" t="s">
        <v>178</v>
      </c>
      <c r="H51" s="8">
        <v>83027.778710140483</v>
      </c>
      <c r="I51" s="8">
        <v>1315.8639008391624</v>
      </c>
      <c r="J51" s="8">
        <f t="shared" si="0"/>
        <v>109253.25677153621</v>
      </c>
      <c r="L51" s="8">
        <f t="shared" si="6"/>
        <v>1315.8639008391624</v>
      </c>
      <c r="M51">
        <f t="shared" si="7"/>
        <v>14.47</v>
      </c>
      <c r="N51" s="11">
        <f t="shared" si="5"/>
        <v>1.099657798254978E-2</v>
      </c>
      <c r="P51" t="str">
        <f>regions!A145</f>
        <v>Philippines</v>
      </c>
      <c r="Q51">
        <f>regions!B145</f>
        <v>93444322</v>
      </c>
      <c r="R51">
        <f>regions!C145</f>
        <v>131131009140.35426</v>
      </c>
      <c r="S51">
        <f>regions!D145</f>
        <v>1403.3063361554944</v>
      </c>
      <c r="T51">
        <f>regions!Z145</f>
        <v>25.8</v>
      </c>
      <c r="U51" s="11">
        <f t="shared" si="8"/>
        <v>8.9289128661153589E-3</v>
      </c>
      <c r="V51" s="11">
        <f t="shared" si="9"/>
        <v>1.0311362264380628E-2</v>
      </c>
      <c r="X51" s="11"/>
      <c r="AA51" s="11"/>
    </row>
    <row r="52" spans="1:55" ht="15" thickBot="1" x14ac:dyDescent="0.4">
      <c r="A52" t="s">
        <v>179</v>
      </c>
      <c r="B52">
        <v>87.84</v>
      </c>
      <c r="C52">
        <v>141.54</v>
      </c>
      <c r="D52">
        <v>26.08</v>
      </c>
      <c r="E52">
        <v>36.51</v>
      </c>
      <c r="G52" s="10" t="s">
        <v>179</v>
      </c>
      <c r="H52" s="8">
        <v>38535.130487605777</v>
      </c>
      <c r="I52" s="8">
        <v>3908.1028275933168</v>
      </c>
      <c r="J52" s="8">
        <f t="shared" si="0"/>
        <v>150599.25242028959</v>
      </c>
      <c r="L52" s="8">
        <f t="shared" si="6"/>
        <v>3908.1028275933168</v>
      </c>
      <c r="M52">
        <f t="shared" si="7"/>
        <v>36.51</v>
      </c>
      <c r="N52" s="11">
        <f t="shared" si="5"/>
        <v>9.3421288053680881E-3</v>
      </c>
      <c r="P52" t="str">
        <f>regions!A146</f>
        <v>Poland</v>
      </c>
      <c r="Q52">
        <f>regions!B146</f>
        <v>38183683</v>
      </c>
      <c r="R52">
        <f>regions!C146</f>
        <v>383205737633.98334</v>
      </c>
      <c r="S52">
        <f>regions!D146</f>
        <v>10035.850591834826</v>
      </c>
      <c r="T52">
        <f>regions!Z146</f>
        <v>7.8</v>
      </c>
      <c r="U52" s="11">
        <f t="shared" si="8"/>
        <v>2.5986835656181153E-3</v>
      </c>
      <c r="V52" s="11">
        <f t="shared" si="9"/>
        <v>3.6379577063158511E-3</v>
      </c>
      <c r="X52" s="11"/>
      <c r="AA52" s="11"/>
      <c r="AK52" s="2"/>
      <c r="AL52" s="2"/>
      <c r="AU52" s="2"/>
      <c r="AV52" s="2"/>
    </row>
    <row r="53" spans="1:55" x14ac:dyDescent="0.35">
      <c r="A53" t="s">
        <v>180</v>
      </c>
      <c r="B53">
        <v>199.96</v>
      </c>
      <c r="C53">
        <v>350.11</v>
      </c>
      <c r="D53">
        <v>218.17</v>
      </c>
      <c r="E53">
        <v>368.38</v>
      </c>
      <c r="G53" s="10" t="s">
        <v>180</v>
      </c>
      <c r="H53" s="8">
        <v>10097.153257616075</v>
      </c>
      <c r="I53" s="8">
        <v>13223.454597560642</v>
      </c>
      <c r="J53" s="8">
        <f t="shared" si="0"/>
        <v>133519.24766669769</v>
      </c>
      <c r="L53" s="8">
        <f t="shared" si="6"/>
        <v>13223.454597560642</v>
      </c>
      <c r="M53">
        <f t="shared" si="7"/>
        <v>368.38</v>
      </c>
      <c r="N53" s="11">
        <f t="shared" si="5"/>
        <v>2.7858075760925274E-2</v>
      </c>
      <c r="P53" t="str">
        <f>regions!A147</f>
        <v>Portugal</v>
      </c>
      <c r="Q53">
        <f>regions!B147</f>
        <v>10637346</v>
      </c>
      <c r="R53">
        <f>regions!C147</f>
        <v>197164604092.98117</v>
      </c>
      <c r="S53">
        <f>regions!D147</f>
        <v>18535.131234142536</v>
      </c>
      <c r="T53">
        <f>regions!Z147</f>
        <v>15.1</v>
      </c>
      <c r="U53" s="11">
        <f t="shared" si="8"/>
        <v>1.1770620733352086E-2</v>
      </c>
      <c r="V53" s="11">
        <f t="shared" si="9"/>
        <v>1.9874690680442966E-2</v>
      </c>
      <c r="X53" s="11"/>
      <c r="AA53" s="11"/>
    </row>
    <row r="54" spans="1:55" ht="15" thickBot="1" x14ac:dyDescent="0.4">
      <c r="A54" t="s">
        <v>232</v>
      </c>
      <c r="B54">
        <v>63.33</v>
      </c>
      <c r="C54">
        <v>103.9</v>
      </c>
      <c r="D54">
        <v>37.86</v>
      </c>
      <c r="E54">
        <v>60.37</v>
      </c>
      <c r="G54" s="10" t="s">
        <v>232</v>
      </c>
      <c r="H54" s="8">
        <v>3922.6919398397258</v>
      </c>
      <c r="I54" s="8">
        <v>14676.593202656628</v>
      </c>
      <c r="J54" s="8">
        <f t="shared" si="0"/>
        <v>57571.753860367666</v>
      </c>
      <c r="L54" s="8">
        <f t="shared" si="6"/>
        <v>14676.593202656628</v>
      </c>
      <c r="M54">
        <f t="shared" si="7"/>
        <v>60.37</v>
      </c>
      <c r="N54" s="11">
        <f t="shared" si="5"/>
        <v>4.113352408587052E-3</v>
      </c>
      <c r="P54" t="str">
        <f>regions!A148</f>
        <v>Puerto Rico</v>
      </c>
      <c r="Q54">
        <f>regions!B148</f>
        <v>3721208</v>
      </c>
      <c r="R54">
        <f>regions!C148</f>
        <v>77337254437.921829</v>
      </c>
      <c r="S54">
        <f>regions!D148</f>
        <v>20782.83569150712</v>
      </c>
      <c r="T54">
        <f>regions!Z148</f>
        <v>25.2</v>
      </c>
      <c r="U54" s="11">
        <f t="shared" si="8"/>
        <v>1.8216955838933685E-3</v>
      </c>
      <c r="V54" s="11">
        <f t="shared" si="9"/>
        <v>2.9048009086012319E-3</v>
      </c>
      <c r="X54" s="11"/>
      <c r="AA54" s="11"/>
    </row>
    <row r="55" spans="1:55" ht="14.25" customHeight="1" x14ac:dyDescent="0.35">
      <c r="A55" t="s">
        <v>181</v>
      </c>
      <c r="B55">
        <v>247.84</v>
      </c>
      <c r="C55">
        <v>414.29</v>
      </c>
      <c r="D55">
        <v>233.85</v>
      </c>
      <c r="E55">
        <v>389.63</v>
      </c>
      <c r="G55" s="10" t="s">
        <v>181</v>
      </c>
      <c r="H55" s="8">
        <v>22237.66754591951</v>
      </c>
      <c r="I55" s="8">
        <v>1837.338589350624</v>
      </c>
      <c r="J55" s="8">
        <f t="shared" si="0"/>
        <v>40858.124719267907</v>
      </c>
      <c r="L55" s="8">
        <f t="shared" si="6"/>
        <v>1837.338589350624</v>
      </c>
      <c r="M55">
        <f t="shared" si="7"/>
        <v>389.63</v>
      </c>
      <c r="N55" s="11">
        <f t="shared" si="5"/>
        <v>0.21206216549215792</v>
      </c>
      <c r="P55" t="str">
        <f>regions!A150</f>
        <v>Romania</v>
      </c>
      <c r="Q55">
        <f>regions!B150</f>
        <v>21438001</v>
      </c>
      <c r="R55">
        <f>regions!C150</f>
        <v>114088972368.88327</v>
      </c>
      <c r="S55">
        <f>regions!D150</f>
        <v>5321.8101990424975</v>
      </c>
      <c r="T55">
        <f>regions!Z150</f>
        <v>8.8000000000000007</v>
      </c>
      <c r="U55" s="11">
        <f t="shared" si="8"/>
        <v>4.3941815144417286E-2</v>
      </c>
      <c r="V55" s="11">
        <f t="shared" si="9"/>
        <v>7.3213809855545472E-2</v>
      </c>
      <c r="X55" s="11"/>
      <c r="AA55" s="11"/>
      <c r="AK55" s="3"/>
      <c r="AL55" s="3"/>
      <c r="AM55" s="3"/>
      <c r="AN55" s="3"/>
      <c r="AO55" s="3"/>
      <c r="AP55" s="3"/>
      <c r="AU55" s="3"/>
      <c r="AV55" s="3"/>
      <c r="AW55" s="3"/>
      <c r="AX55" s="3"/>
      <c r="AY55" s="3"/>
      <c r="AZ55" s="3"/>
    </row>
    <row r="56" spans="1:55" x14ac:dyDescent="0.35">
      <c r="A56" t="s">
        <v>233</v>
      </c>
      <c r="B56">
        <v>-36.229999999999997</v>
      </c>
      <c r="C56">
        <v>-67.88</v>
      </c>
      <c r="D56">
        <v>-75.89</v>
      </c>
      <c r="E56">
        <v>-127.69</v>
      </c>
      <c r="G56" s="10" t="s">
        <v>260</v>
      </c>
      <c r="H56" s="8">
        <v>141723.07933834477</v>
      </c>
      <c r="I56" s="8">
        <v>3153.1465487611031</v>
      </c>
      <c r="J56" s="8">
        <f t="shared" si="0"/>
        <v>446873.63849549781</v>
      </c>
      <c r="L56" s="8">
        <f t="shared" si="6"/>
        <v>3153.1465487611031</v>
      </c>
      <c r="M56">
        <f t="shared" si="7"/>
        <v>-127.69</v>
      </c>
      <c r="N56" s="11">
        <f t="shared" si="5"/>
        <v>-4.0496056249009559E-2</v>
      </c>
      <c r="P56" t="str">
        <f>regions!A151</f>
        <v>Russia</v>
      </c>
      <c r="Q56">
        <f>regions!B151</f>
        <v>142389000</v>
      </c>
      <c r="R56">
        <f>regions!C151</f>
        <v>909241662711.50525</v>
      </c>
      <c r="S56">
        <f>regions!D151</f>
        <v>6385.6173068952321</v>
      </c>
      <c r="T56">
        <f>regions!Z151</f>
        <v>-5.0999999999999996</v>
      </c>
      <c r="U56" s="11">
        <f t="shared" si="8"/>
        <v>-1.1884520533050653E-2</v>
      </c>
      <c r="V56" s="11">
        <f t="shared" si="9"/>
        <v>-1.9996500551656842E-2</v>
      </c>
      <c r="X56" s="11"/>
      <c r="AA56" s="11"/>
    </row>
    <row r="57" spans="1:55" x14ac:dyDescent="0.35">
      <c r="A57" t="s">
        <v>234</v>
      </c>
      <c r="B57">
        <v>241.06</v>
      </c>
      <c r="C57">
        <v>417.26</v>
      </c>
      <c r="D57">
        <v>219.44</v>
      </c>
      <c r="E57">
        <v>395.15</v>
      </c>
      <c r="G57" s="10"/>
      <c r="H57" s="8">
        <f>72/78*H83</f>
        <v>9696.9755658836402</v>
      </c>
      <c r="I57" s="8">
        <v>1598.3755633697153</v>
      </c>
      <c r="J57" s="8">
        <f t="shared" si="0"/>
        <v>15499.408783101628</v>
      </c>
      <c r="L57" s="8">
        <f t="shared" si="6"/>
        <v>1598.3755633697153</v>
      </c>
      <c r="M57">
        <f t="shared" si="7"/>
        <v>395.15</v>
      </c>
      <c r="N57" s="11">
        <f t="shared" si="5"/>
        <v>0.24721974550645645</v>
      </c>
      <c r="P57" t="str">
        <f>regions!A161</f>
        <v>Serbia</v>
      </c>
      <c r="Q57">
        <f>regions!B161</f>
        <v>7291436</v>
      </c>
      <c r="R57">
        <f>regions!C161</f>
        <v>27876766882.558659</v>
      </c>
      <c r="S57">
        <f>regions!D161</f>
        <v>3823.2204030260514</v>
      </c>
      <c r="T57">
        <f>regions!Z161</f>
        <v>9.9</v>
      </c>
      <c r="U57" s="11">
        <f t="shared" si="8"/>
        <v>5.7396638662608836E-2</v>
      </c>
      <c r="V57" s="11">
        <f t="shared" si="9"/>
        <v>0.1033552760095237</v>
      </c>
      <c r="X57" s="11"/>
      <c r="AA57" s="11"/>
    </row>
    <row r="58" spans="1:55" ht="15" thickBot="1" x14ac:dyDescent="0.4">
      <c r="A58" t="s">
        <v>235</v>
      </c>
      <c r="B58">
        <v>121.66</v>
      </c>
      <c r="C58">
        <v>206.31</v>
      </c>
      <c r="D58">
        <v>136.46</v>
      </c>
      <c r="E58">
        <v>230.89</v>
      </c>
      <c r="G58" s="10" t="s">
        <v>235</v>
      </c>
      <c r="H58" s="8">
        <v>5410.0178063531584</v>
      </c>
      <c r="I58" s="8">
        <v>5227.4386821681028</v>
      </c>
      <c r="J58" s="8">
        <f t="shared" si="0"/>
        <v>28280.536352148727</v>
      </c>
      <c r="L58" s="8">
        <f t="shared" si="6"/>
        <v>5227.4386821681028</v>
      </c>
      <c r="M58">
        <f t="shared" si="7"/>
        <v>230.89</v>
      </c>
      <c r="N58" s="11">
        <f t="shared" si="5"/>
        <v>4.4168858601367156E-2</v>
      </c>
      <c r="P58" t="str">
        <f>regions!A165</f>
        <v>Slovakia</v>
      </c>
      <c r="Q58">
        <f>regions!B165</f>
        <v>5430099</v>
      </c>
      <c r="R58">
        <f>regions!C165</f>
        <v>76899962691.20755</v>
      </c>
      <c r="S58">
        <f>regions!D165</f>
        <v>14161.797545718329</v>
      </c>
      <c r="T58">
        <f>regions!Z165</f>
        <v>6.8</v>
      </c>
      <c r="U58" s="11">
        <f t="shared" si="8"/>
        <v>9.6357824322419617E-3</v>
      </c>
      <c r="V58" s="11">
        <f t="shared" si="9"/>
        <v>1.6303721279351799E-2</v>
      </c>
      <c r="X58" s="11"/>
      <c r="AA58" s="11"/>
      <c r="AK58" s="2"/>
      <c r="AL58" s="2"/>
      <c r="AM58" s="2"/>
      <c r="AN58" s="2"/>
      <c r="AO58" s="2"/>
      <c r="AP58" s="2"/>
      <c r="AU58" s="2"/>
      <c r="AV58" s="2"/>
      <c r="AW58" s="2"/>
      <c r="AX58" s="2"/>
      <c r="AY58" s="2"/>
      <c r="AZ58" s="2"/>
    </row>
    <row r="59" spans="1:55" ht="15" thickBot="1" x14ac:dyDescent="0.4">
      <c r="A59" t="s">
        <v>236</v>
      </c>
      <c r="B59">
        <v>241.06</v>
      </c>
      <c r="C59">
        <v>417.26</v>
      </c>
      <c r="D59">
        <v>189.37</v>
      </c>
      <c r="E59">
        <v>328.87</v>
      </c>
      <c r="G59" s="10" t="s">
        <v>236</v>
      </c>
      <c r="H59" s="8">
        <v>1980.0120643397734</v>
      </c>
      <c r="I59" s="8">
        <v>13510.586163877184</v>
      </c>
      <c r="J59" s="8">
        <f t="shared" si="0"/>
        <v>26751.123600778843</v>
      </c>
      <c r="L59" s="8">
        <f t="shared" si="6"/>
        <v>13510.586163877184</v>
      </c>
      <c r="M59">
        <f t="shared" si="7"/>
        <v>328.87</v>
      </c>
      <c r="N59" s="11">
        <f t="shared" si="5"/>
        <v>2.4341652983146583E-2</v>
      </c>
      <c r="P59" t="str">
        <f>regions!A166</f>
        <v>Slovenia</v>
      </c>
      <c r="Q59">
        <f>regions!B166</f>
        <v>2048583</v>
      </c>
      <c r="R59">
        <f>regions!C166</f>
        <v>39034227961.239731</v>
      </c>
      <c r="S59">
        <f>regions!D166</f>
        <v>19054.257484924816</v>
      </c>
      <c r="T59">
        <f>regions!Z166</f>
        <v>8.9</v>
      </c>
      <c r="U59" s="11">
        <f t="shared" si="8"/>
        <v>9.9384612677678019E-3</v>
      </c>
      <c r="V59" s="11">
        <f t="shared" si="9"/>
        <v>1.7259659698636513E-2</v>
      </c>
      <c r="X59" s="11"/>
      <c r="AA59" s="11"/>
    </row>
    <row r="60" spans="1:55" x14ac:dyDescent="0.35">
      <c r="A60" t="s">
        <v>237</v>
      </c>
      <c r="B60">
        <v>138.58000000000001</v>
      </c>
      <c r="C60">
        <v>238.51</v>
      </c>
      <c r="D60">
        <v>158.04</v>
      </c>
      <c r="E60">
        <v>272.01</v>
      </c>
      <c r="G60" s="10" t="s">
        <v>237</v>
      </c>
      <c r="H60" s="8">
        <v>45803.974765098515</v>
      </c>
      <c r="I60" s="8">
        <v>4345.5884887777938</v>
      </c>
      <c r="J60" s="8">
        <f t="shared" si="0"/>
        <v>199045.22547948066</v>
      </c>
      <c r="L60" s="8">
        <f t="shared" si="6"/>
        <v>4345.5884887777938</v>
      </c>
      <c r="M60">
        <f t="shared" si="7"/>
        <v>272.01</v>
      </c>
      <c r="N60" s="11">
        <f t="shared" si="5"/>
        <v>6.2594514115280026E-2</v>
      </c>
      <c r="P60" t="str">
        <f>regions!A168</f>
        <v>South Africa</v>
      </c>
      <c r="Q60">
        <f>regions!B168</f>
        <v>49991300</v>
      </c>
      <c r="R60">
        <f>regions!C168</f>
        <v>289811738503.83063</v>
      </c>
      <c r="S60">
        <f>regions!D168</f>
        <v>5797.2434904439497</v>
      </c>
      <c r="T60">
        <f>regions!Z168</f>
        <v>17.8</v>
      </c>
      <c r="U60" s="11">
        <f t="shared" si="8"/>
        <v>2.7261232042523263E-2</v>
      </c>
      <c r="V60" s="11">
        <f t="shared" si="9"/>
        <v>4.6920575347296586E-2</v>
      </c>
      <c r="X60" s="11"/>
      <c r="AA60" s="11"/>
      <c r="AK60" s="3"/>
      <c r="AL60" s="3"/>
      <c r="AM60" s="3"/>
      <c r="AN60" s="3"/>
      <c r="AO60" s="3"/>
      <c r="AP60" s="3"/>
      <c r="AQ60" s="3"/>
      <c r="AR60" s="3"/>
      <c r="AS60" s="3"/>
      <c r="AU60" s="3"/>
      <c r="AV60" s="3"/>
      <c r="AW60" s="3"/>
      <c r="AX60" s="3"/>
      <c r="AY60" s="3"/>
      <c r="AZ60" s="3"/>
      <c r="BA60" s="3"/>
      <c r="BB60" s="3"/>
      <c r="BC60" s="3"/>
    </row>
    <row r="61" spans="1:55" x14ac:dyDescent="0.35">
      <c r="A61" t="s">
        <v>186</v>
      </c>
      <c r="B61">
        <v>-17.72</v>
      </c>
      <c r="C61">
        <v>-27.97</v>
      </c>
      <c r="D61">
        <v>-95.27</v>
      </c>
      <c r="E61">
        <v>-160.09</v>
      </c>
      <c r="G61" s="10" t="s">
        <v>257</v>
      </c>
      <c r="H61" s="8">
        <v>48304.599762043654</v>
      </c>
      <c r="I61" s="8">
        <v>16938.268508572059</v>
      </c>
      <c r="J61" s="8">
        <f t="shared" si="0"/>
        <v>818196.28096860135</v>
      </c>
      <c r="L61" s="8">
        <f t="shared" si="6"/>
        <v>16938.268508572059</v>
      </c>
      <c r="M61">
        <f t="shared" si="7"/>
        <v>-160.09</v>
      </c>
      <c r="N61" s="11">
        <f t="shared" si="5"/>
        <v>-9.4513792787605314E-3</v>
      </c>
      <c r="P61" t="str">
        <f>regions!A169</f>
        <v>South Korea</v>
      </c>
      <c r="Q61">
        <f>regions!B169</f>
        <v>49410000</v>
      </c>
      <c r="R61">
        <f>regions!C169</f>
        <v>1098690046553.521</v>
      </c>
      <c r="S61">
        <f>regions!D169</f>
        <v>22236.187948867053</v>
      </c>
      <c r="T61">
        <f>regions!Z169</f>
        <v>11.5</v>
      </c>
      <c r="U61" s="11">
        <f t="shared" si="8"/>
        <v>-4.2844573997610083E-3</v>
      </c>
      <c r="V61" s="11">
        <f t="shared" si="9"/>
        <v>-7.1995254028313195E-3</v>
      </c>
      <c r="X61" s="11"/>
      <c r="AA61" s="11"/>
    </row>
    <row r="62" spans="1:55" ht="15" thickBot="1" x14ac:dyDescent="0.4">
      <c r="A62" t="s">
        <v>187</v>
      </c>
      <c r="B62">
        <v>232.16</v>
      </c>
      <c r="C62">
        <v>393.88</v>
      </c>
      <c r="D62">
        <v>268.19</v>
      </c>
      <c r="E62">
        <v>453.43</v>
      </c>
      <c r="G62" s="10" t="s">
        <v>187</v>
      </c>
      <c r="H62" s="8">
        <v>41284.529734896321</v>
      </c>
      <c r="I62" s="8">
        <v>18820.255154630006</v>
      </c>
      <c r="J62" s="8">
        <f t="shared" si="0"/>
        <v>776985.38354965823</v>
      </c>
      <c r="L62" s="8">
        <f t="shared" si="6"/>
        <v>18820.255154630006</v>
      </c>
      <c r="M62">
        <f t="shared" si="7"/>
        <v>453.43</v>
      </c>
      <c r="N62" s="11">
        <f t="shared" si="5"/>
        <v>2.4092659545503072E-2</v>
      </c>
      <c r="P62" t="str">
        <f>regions!A170</f>
        <v>Spain</v>
      </c>
      <c r="Q62">
        <f>regions!B170</f>
        <v>46070971</v>
      </c>
      <c r="R62">
        <f>regions!C170</f>
        <v>1179232117935.5505</v>
      </c>
      <c r="S62">
        <f>regions!D170</f>
        <v>25595.990106992766</v>
      </c>
      <c r="T62">
        <f>regions!Z170</f>
        <v>13.3</v>
      </c>
      <c r="U62" s="11">
        <f t="shared" si="8"/>
        <v>1.0477813082398837E-2</v>
      </c>
      <c r="V62" s="11">
        <f t="shared" si="9"/>
        <v>1.7714884171490752E-2</v>
      </c>
      <c r="X62" s="11"/>
      <c r="AA62" s="11"/>
      <c r="AK62" s="2"/>
      <c r="AL62" s="2"/>
      <c r="AM62" s="2"/>
      <c r="AN62" s="2"/>
      <c r="AO62" s="2"/>
      <c r="AP62" s="2"/>
      <c r="AQ62" s="2"/>
      <c r="AR62" s="2"/>
      <c r="AS62" s="2"/>
    </row>
    <row r="63" spans="1:55" ht="15" thickBot="1" x14ac:dyDescent="0.4">
      <c r="A63" t="s">
        <v>191</v>
      </c>
      <c r="B63">
        <v>-169.77</v>
      </c>
      <c r="C63">
        <v>-282.79000000000002</v>
      </c>
      <c r="D63">
        <v>-272.29000000000002</v>
      </c>
      <c r="E63">
        <v>-457.92</v>
      </c>
      <c r="G63" s="10" t="s">
        <v>191</v>
      </c>
      <c r="H63" s="8">
        <v>8888.033200325488</v>
      </c>
      <c r="I63" s="8">
        <v>34112.011971110354</v>
      </c>
      <c r="J63" s="8">
        <f t="shared" si="0"/>
        <v>303188.69492912933</v>
      </c>
      <c r="L63" s="8">
        <f t="shared" si="6"/>
        <v>34112.011971110354</v>
      </c>
      <c r="M63">
        <f t="shared" si="7"/>
        <v>-457.92</v>
      </c>
      <c r="N63" s="11">
        <f t="shared" si="5"/>
        <v>-1.3424010298419657E-2</v>
      </c>
      <c r="P63" t="str">
        <f>regions!A175</f>
        <v>Sweden</v>
      </c>
      <c r="Q63">
        <f>regions!B175</f>
        <v>9378126</v>
      </c>
      <c r="R63">
        <f>regions!C175</f>
        <v>401624584927.2937</v>
      </c>
      <c r="S63">
        <f>regions!D175</f>
        <v>42825.675932195161</v>
      </c>
      <c r="T63">
        <f>regions!Z175</f>
        <v>2.1</v>
      </c>
      <c r="U63" s="11">
        <f t="shared" si="8"/>
        <v>-6.3581016311595427E-3</v>
      </c>
      <c r="V63" s="11">
        <f t="shared" si="9"/>
        <v>-1.0692650846305695E-2</v>
      </c>
      <c r="X63" s="11"/>
      <c r="AA63" s="11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35">
      <c r="A64" t="s">
        <v>192</v>
      </c>
      <c r="B64">
        <v>163.12</v>
      </c>
      <c r="C64">
        <v>286.43</v>
      </c>
      <c r="D64">
        <v>146.19</v>
      </c>
      <c r="E64">
        <v>258.02</v>
      </c>
      <c r="G64" s="10" t="s">
        <v>192</v>
      </c>
      <c r="H64" s="8">
        <v>7165.0033452584903</v>
      </c>
      <c r="I64" s="8">
        <v>47119.092553661976</v>
      </c>
      <c r="J64" s="8">
        <f t="shared" si="0"/>
        <v>337608.45577253244</v>
      </c>
      <c r="L64" s="8">
        <f t="shared" si="6"/>
        <v>47119.092553661976</v>
      </c>
      <c r="M64">
        <f t="shared" si="7"/>
        <v>258.02</v>
      </c>
      <c r="N64" s="11">
        <f t="shared" si="5"/>
        <v>5.475911907814263E-3</v>
      </c>
      <c r="P64" t="str">
        <f>regions!A176</f>
        <v>Switzerland</v>
      </c>
      <c r="Q64">
        <f>regions!B176</f>
        <v>7824909</v>
      </c>
      <c r="R64">
        <f>regions!C176</f>
        <v>427575024211.02106</v>
      </c>
      <c r="S64">
        <f>regions!D176</f>
        <v>54642.81108074497</v>
      </c>
      <c r="T64">
        <f>regions!Z176</f>
        <v>5.5</v>
      </c>
      <c r="U64" s="11">
        <f t="shared" si="8"/>
        <v>2.6753748042716349E-3</v>
      </c>
      <c r="V64" s="11">
        <f t="shared" si="9"/>
        <v>4.7219386209601697E-3</v>
      </c>
      <c r="X64" s="11"/>
      <c r="AA64" s="11"/>
    </row>
    <row r="65" spans="1:55" x14ac:dyDescent="0.35">
      <c r="A65" t="s">
        <v>198</v>
      </c>
      <c r="B65">
        <v>277.10000000000002</v>
      </c>
      <c r="C65">
        <v>466.2</v>
      </c>
      <c r="D65">
        <v>298.31</v>
      </c>
      <c r="E65">
        <v>500.27</v>
      </c>
      <c r="G65" s="10" t="s">
        <v>198</v>
      </c>
      <c r="H65" s="8">
        <v>73453.067168622743</v>
      </c>
      <c r="I65" s="8">
        <v>3492.4385271527062</v>
      </c>
      <c r="J65" s="8">
        <f t="shared" si="0"/>
        <v>256530.32171723363</v>
      </c>
      <c r="L65" s="8">
        <f t="shared" si="6"/>
        <v>3492.4385271527062</v>
      </c>
      <c r="M65">
        <f t="shared" si="7"/>
        <v>500.27</v>
      </c>
      <c r="N65" s="11">
        <f t="shared" si="5"/>
        <v>0.14324375249858928</v>
      </c>
      <c r="P65" t="str">
        <f>regions!A186</f>
        <v>Turkey</v>
      </c>
      <c r="Q65">
        <f>regions!B186</f>
        <v>72137546</v>
      </c>
      <c r="R65">
        <f>regions!C186</f>
        <v>565091528615.37659</v>
      </c>
      <c r="S65">
        <f>regions!D186</f>
        <v>7833.5285846205052</v>
      </c>
      <c r="T65">
        <f>regions!Z186</f>
        <v>11.1</v>
      </c>
      <c r="U65" s="11">
        <f t="shared" si="8"/>
        <v>3.808117845968792E-2</v>
      </c>
      <c r="V65" s="11">
        <f t="shared" si="9"/>
        <v>6.3862663497797845E-2</v>
      </c>
      <c r="X65" s="11"/>
      <c r="AA65" s="11"/>
    </row>
    <row r="66" spans="1:55" ht="15" thickBot="1" x14ac:dyDescent="0.4">
      <c r="A66" t="s">
        <v>63</v>
      </c>
      <c r="B66">
        <v>69.239999999999995</v>
      </c>
      <c r="C66">
        <v>132.66</v>
      </c>
      <c r="D66">
        <v>24.6</v>
      </c>
      <c r="E66">
        <v>57.42</v>
      </c>
      <c r="G66" s="10" t="s">
        <v>200</v>
      </c>
      <c r="H66" s="8">
        <v>300267.43440884893</v>
      </c>
      <c r="I66" s="8">
        <v>32877.970921224914</v>
      </c>
      <c r="J66" s="8">
        <f t="shared" si="0"/>
        <v>9872183.977084944</v>
      </c>
      <c r="L66" s="8">
        <f t="shared" si="6"/>
        <v>32877.970921224914</v>
      </c>
      <c r="M66">
        <f t="shared" si="7"/>
        <v>57.42</v>
      </c>
      <c r="N66" s="11">
        <f t="shared" si="5"/>
        <v>1.7464581417623792E-3</v>
      </c>
      <c r="P66" t="str">
        <f>regions!A193</f>
        <v>United States</v>
      </c>
      <c r="Q66">
        <f>regions!B193</f>
        <v>309326225</v>
      </c>
      <c r="R66">
        <f>regions!C193</f>
        <v>13595644353592.4</v>
      </c>
      <c r="S66">
        <f>regions!D193</f>
        <v>43952.446494287382</v>
      </c>
      <c r="T66">
        <f>regions!Z193</f>
        <v>8.5</v>
      </c>
      <c r="U66" s="11">
        <f t="shared" si="8"/>
        <v>5.596958067669186E-4</v>
      </c>
      <c r="V66" s="11">
        <f t="shared" si="9"/>
        <v>1.3064119196974173E-3</v>
      </c>
      <c r="X66" s="11"/>
      <c r="AA66" s="11"/>
    </row>
    <row r="67" spans="1:55" x14ac:dyDescent="0.35">
      <c r="A67" t="s">
        <v>238</v>
      </c>
      <c r="B67">
        <v>-36.229999999999997</v>
      </c>
      <c r="C67">
        <v>-67.89</v>
      </c>
      <c r="D67">
        <v>-74.63</v>
      </c>
      <c r="E67">
        <v>-133.16</v>
      </c>
      <c r="G67" s="10" t="s">
        <v>238</v>
      </c>
      <c r="H67" s="8">
        <v>47756.22952184813</v>
      </c>
      <c r="I67" s="8">
        <v>1208.3086702147152</v>
      </c>
      <c r="J67" s="8">
        <f t="shared" si="0"/>
        <v>57704.26618801304</v>
      </c>
      <c r="L67" s="8">
        <f t="shared" si="6"/>
        <v>1208.3086702147152</v>
      </c>
      <c r="M67">
        <f t="shared" si="7"/>
        <v>-133.16</v>
      </c>
      <c r="N67" s="11">
        <f t="shared" si="5"/>
        <v>-0.11020362866082688</v>
      </c>
      <c r="P67" t="str">
        <f>regions!A190</f>
        <v>Ukraine</v>
      </c>
      <c r="Q67">
        <f>regions!B190</f>
        <v>45870700</v>
      </c>
      <c r="R67">
        <f>regions!C190</f>
        <v>90577255847.674149</v>
      </c>
      <c r="S67">
        <f>regions!D190</f>
        <v>1974.6211818802449</v>
      </c>
      <c r="T67">
        <f>regions!Z190</f>
        <v>8.3000000000000007</v>
      </c>
      <c r="U67" s="11">
        <f t="shared" si="8"/>
        <v>-3.7794591025776855E-2</v>
      </c>
      <c r="V67" s="11">
        <f t="shared" si="9"/>
        <v>-6.7435719429082761E-2</v>
      </c>
      <c r="X67" s="11"/>
      <c r="AA67" s="11"/>
      <c r="AK67" s="4"/>
      <c r="AL67" s="4"/>
      <c r="AU67" s="4"/>
      <c r="AV67" s="4"/>
    </row>
    <row r="68" spans="1:55" x14ac:dyDescent="0.35">
      <c r="A68" t="s">
        <v>201</v>
      </c>
      <c r="B68">
        <v>163.97</v>
      </c>
      <c r="C68">
        <v>289.39999999999998</v>
      </c>
      <c r="D68">
        <v>147.04</v>
      </c>
      <c r="E68">
        <v>260.14</v>
      </c>
      <c r="G68" s="10" t="s">
        <v>201</v>
      </c>
      <c r="H68" s="8">
        <v>3467.119608588966</v>
      </c>
      <c r="I68" s="8">
        <v>3784.6504604277588</v>
      </c>
      <c r="J68" s="8">
        <f t="shared" si="0"/>
        <v>13121.835823004341</v>
      </c>
      <c r="L68" s="8">
        <f t="shared" si="6"/>
        <v>3784.6504604277588</v>
      </c>
      <c r="M68">
        <f t="shared" si="7"/>
        <v>260.14</v>
      </c>
      <c r="N68" s="11">
        <f t="shared" si="5"/>
        <v>6.8735541820841697E-2</v>
      </c>
      <c r="P68" t="str">
        <f>regions!A194</f>
        <v>Uruguay</v>
      </c>
      <c r="Q68">
        <f>regions!B194</f>
        <v>3371982</v>
      </c>
      <c r="R68">
        <f>regions!C194</f>
        <v>22899299769.575714</v>
      </c>
      <c r="S68">
        <f>regions!D194</f>
        <v>6791.0504176996537</v>
      </c>
      <c r="T68">
        <f>regions!Z194</f>
        <v>17.5</v>
      </c>
      <c r="U68" s="11">
        <f t="shared" si="8"/>
        <v>2.1652025968879076E-2</v>
      </c>
      <c r="V68" s="11">
        <f t="shared" si="9"/>
        <v>3.8306297847825098E-2</v>
      </c>
      <c r="X68" s="11"/>
      <c r="AA68" s="11"/>
    </row>
    <row r="69" spans="1:55" x14ac:dyDescent="0.35">
      <c r="A69" t="s">
        <v>202</v>
      </c>
      <c r="B69">
        <v>59.1</v>
      </c>
      <c r="C69">
        <v>101.36</v>
      </c>
      <c r="D69">
        <v>-33.07</v>
      </c>
      <c r="E69">
        <v>-55.25</v>
      </c>
      <c r="G69" s="10" t="s">
        <v>202</v>
      </c>
      <c r="H69" s="8">
        <v>26703.161140353091</v>
      </c>
      <c r="I69" s="8">
        <v>2117.4383076870249</v>
      </c>
      <c r="J69" s="8">
        <f>H69*I69/1000</f>
        <v>56542.29633492318</v>
      </c>
      <c r="L69" s="8">
        <f t="shared" si="6"/>
        <v>2117.4383076870249</v>
      </c>
      <c r="M69">
        <f t="shared" si="7"/>
        <v>-55.25</v>
      </c>
      <c r="N69" s="11">
        <f t="shared" si="5"/>
        <v>-2.6092849930703346E-2</v>
      </c>
      <c r="P69" t="str">
        <f>regions!A197</f>
        <v>Venezuela</v>
      </c>
      <c r="Q69">
        <f>regions!B197</f>
        <v>29043283</v>
      </c>
      <c r="R69">
        <f>regions!C197</f>
        <v>174552448164.40952</v>
      </c>
      <c r="S69">
        <f>regions!D197</f>
        <v>6010.0797889966334</v>
      </c>
      <c r="T69">
        <f>regions!Z197</f>
        <v>25.3</v>
      </c>
      <c r="U69" s="11">
        <f t="shared" si="8"/>
        <v>-5.5024227898846159E-3</v>
      </c>
      <c r="V69" s="11">
        <f t="shared" si="9"/>
        <v>-9.192889602090264E-3</v>
      </c>
      <c r="X69" s="11"/>
      <c r="AA69" s="11"/>
    </row>
    <row r="70" spans="1:55" x14ac:dyDescent="0.35">
      <c r="G70" s="10"/>
      <c r="J70" s="8"/>
    </row>
    <row r="71" spans="1:55" x14ac:dyDescent="0.35">
      <c r="D71" s="8"/>
      <c r="E71" s="8"/>
      <c r="H71" s="8">
        <f>SUM(H5:H69)</f>
        <v>4659597.0732299509</v>
      </c>
      <c r="I71" s="8">
        <f>J71/H71*1000</f>
        <v>7302.0048878982843</v>
      </c>
      <c r="J71" s="8">
        <f>SUM(J5:J69)</f>
        <v>34024400.604361638</v>
      </c>
      <c r="Q71" s="8">
        <f>SUM(Q5:Q69)</f>
        <v>4957120233</v>
      </c>
      <c r="R71" s="8">
        <f>SUM(R5:R69)</f>
        <v>49719009088017.078</v>
      </c>
      <c r="S71">
        <f>R71/Q71</f>
        <v>10029.817061331923</v>
      </c>
      <c r="U71" s="11">
        <f>SUMPRODUCT(D5:D69,Q5:Q69)/Q71/S71*172.2/152.4</f>
        <v>1.7962065483383895E-3</v>
      </c>
      <c r="V71" s="11">
        <f>SUMPRODUCT(E5:E69,Q5:Q69)/Q71/S71*172.2/152.4</f>
        <v>3.0947656699459297E-3</v>
      </c>
    </row>
    <row r="72" spans="1:55" ht="15" thickBot="1" x14ac:dyDescent="0.4">
      <c r="D72" s="11"/>
      <c r="E72" s="11"/>
      <c r="G72" s="10"/>
      <c r="AK72" s="2"/>
      <c r="AL72" s="2"/>
      <c r="AU72" s="2"/>
      <c r="AV72" s="2"/>
    </row>
    <row r="73" spans="1:55" x14ac:dyDescent="0.35">
      <c r="I73" s="5">
        <f>SUMPRODUCT($B$5:$B$69,H$5:H$69)/SUM(H$5:H$69)</f>
        <v>60.76747857362173</v>
      </c>
    </row>
    <row r="74" spans="1:55" ht="15" thickBot="1" x14ac:dyDescent="0.4">
      <c r="I74" s="5">
        <f>SUMPRODUCT($C$5:$C$69,H$5:H$69)/SUM(H$5:H$69)</f>
        <v>104.46744578853394</v>
      </c>
    </row>
    <row r="75" spans="1:55" x14ac:dyDescent="0.35">
      <c r="I75" s="5">
        <f>SUMPRODUCT($D$5:$D$69,H$5:H$69)/SUM(H$5:H$69)</f>
        <v>14.942389096612201</v>
      </c>
      <c r="AK75" s="3"/>
      <c r="AL75" s="3"/>
      <c r="AM75" s="3"/>
      <c r="AN75" s="3"/>
      <c r="AO75" s="3"/>
      <c r="AP75" s="3"/>
      <c r="AU75" s="3"/>
      <c r="AV75" s="3"/>
      <c r="AW75" s="3"/>
      <c r="AX75" s="3"/>
      <c r="AY75" s="3"/>
      <c r="AZ75" s="3"/>
    </row>
    <row r="76" spans="1:55" x14ac:dyDescent="0.35">
      <c r="G76" s="10"/>
      <c r="I76" s="5">
        <f>SUMPRODUCT($E$5:$E$69,H$5:H$69)/SUM(H$5:H$69)</f>
        <v>25.576500664761905</v>
      </c>
    </row>
    <row r="77" spans="1:55" x14ac:dyDescent="0.35">
      <c r="G77" s="10"/>
    </row>
    <row r="78" spans="1:55" ht="15" thickBot="1" x14ac:dyDescent="0.4">
      <c r="I78" s="11">
        <f>I73/I$71</f>
        <v>8.3220265538759813E-3</v>
      </c>
      <c r="AK78" s="2"/>
      <c r="AL78" s="2"/>
      <c r="AM78" s="2"/>
      <c r="AN78" s="2"/>
      <c r="AO78" s="2"/>
      <c r="AP78" s="2"/>
      <c r="AU78" s="2"/>
      <c r="AV78" s="2"/>
      <c r="AW78" s="2"/>
      <c r="AX78" s="2"/>
      <c r="AY78" s="2"/>
      <c r="AZ78" s="2"/>
    </row>
    <row r="79" spans="1:55" ht="15" thickBot="1" x14ac:dyDescent="0.4">
      <c r="I79" s="11">
        <f>I74/I$71</f>
        <v>1.4306679794431431E-2</v>
      </c>
    </row>
    <row r="80" spans="1:55" x14ac:dyDescent="0.35">
      <c r="I80" s="11">
        <f>I75/I$71</f>
        <v>2.0463406045340277E-3</v>
      </c>
      <c r="AK80" s="3"/>
      <c r="AL80" s="3"/>
      <c r="AM80" s="3"/>
      <c r="AN80" s="3"/>
      <c r="AO80" s="3"/>
      <c r="AP80" s="3"/>
      <c r="AQ80" s="3"/>
      <c r="AR80" s="3"/>
      <c r="AS80" s="3"/>
      <c r="AU80" s="3"/>
      <c r="AV80" s="3"/>
      <c r="AW80" s="3"/>
      <c r="AX80" s="3"/>
      <c r="AY80" s="3"/>
      <c r="AZ80" s="3"/>
      <c r="BA80" s="3"/>
      <c r="BB80" s="3"/>
      <c r="BC80" s="3"/>
    </row>
    <row r="81" spans="7:55" x14ac:dyDescent="0.35">
      <c r="I81" s="11">
        <f>I76/I$71</f>
        <v>3.5026682476137754E-3</v>
      </c>
    </row>
    <row r="82" spans="7:55" ht="15" thickBot="1" x14ac:dyDescent="0.4">
      <c r="AK82" s="2"/>
      <c r="AL82" s="2"/>
      <c r="AM82" s="2"/>
      <c r="AN82" s="2"/>
      <c r="AO82" s="2"/>
      <c r="AP82" s="2"/>
      <c r="AQ82" s="2"/>
      <c r="AR82" s="2"/>
      <c r="AS82" s="2"/>
    </row>
    <row r="83" spans="7:55" ht="15" thickBot="1" x14ac:dyDescent="0.4">
      <c r="G83" s="10" t="s">
        <v>203</v>
      </c>
      <c r="H83" s="8">
        <v>10505.056863040609</v>
      </c>
      <c r="I83" s="11"/>
      <c r="AU83" s="2"/>
      <c r="AV83" s="2"/>
      <c r="AW83" s="2"/>
      <c r="AX83" s="2"/>
      <c r="AY83" s="2"/>
      <c r="AZ83" s="2"/>
      <c r="BA83" s="2"/>
      <c r="BB83" s="2"/>
      <c r="BC83" s="2"/>
    </row>
    <row r="84" spans="7:55" x14ac:dyDescent="0.35">
      <c r="G84" s="10" t="s">
        <v>199</v>
      </c>
      <c r="H84" s="8">
        <v>59632.57090716016</v>
      </c>
    </row>
    <row r="85" spans="7:55" x14ac:dyDescent="0.35">
      <c r="I85" s="11"/>
    </row>
  </sheetData>
  <sortState xmlns:xlrd2="http://schemas.microsoft.com/office/spreadsheetml/2017/richdata2" ref="AA5:AC69">
    <sortCondition ref="AA5:AA69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72F0F-D610-4134-83CD-3E541EE0723F}">
  <dimension ref="A1:AH201"/>
  <sheetViews>
    <sheetView workbookViewId="0">
      <selection activeCell="D10" sqref="D10"/>
    </sheetView>
  </sheetViews>
  <sheetFormatPr defaultRowHeight="14.5" x14ac:dyDescent="0.35"/>
  <cols>
    <col min="1" max="1" width="22.54296875" customWidth="1"/>
    <col min="2" max="2" width="13.453125" customWidth="1"/>
    <col min="10" max="10" width="37.1796875" customWidth="1"/>
  </cols>
  <sheetData>
    <row r="1" spans="1:34" x14ac:dyDescent="0.35">
      <c r="D1" t="s">
        <v>861</v>
      </c>
      <c r="E1" t="s">
        <v>862</v>
      </c>
      <c r="F1" t="s">
        <v>863</v>
      </c>
      <c r="G1" t="s">
        <v>864</v>
      </c>
      <c r="H1" t="s">
        <v>865</v>
      </c>
      <c r="K1" t="s">
        <v>655</v>
      </c>
    </row>
    <row r="2" spans="1:34" x14ac:dyDescent="0.35">
      <c r="A2" t="s">
        <v>349</v>
      </c>
      <c r="B2" t="str">
        <f>J$135</f>
        <v>Rest of South Asia</v>
      </c>
      <c r="C2">
        <f>K$135</f>
        <v>-4.8899999999999997</v>
      </c>
      <c r="D2">
        <f>100*M$135</f>
        <v>0</v>
      </c>
      <c r="E2">
        <f>100*N$135</f>
        <v>-1.9426999999999999</v>
      </c>
      <c r="F2">
        <f>100*O$135</f>
        <v>-2.8045</v>
      </c>
      <c r="G2">
        <f>100*P$135</f>
        <v>-0.1434</v>
      </c>
      <c r="H2">
        <f>100*Q$135</f>
        <v>0</v>
      </c>
      <c r="J2" t="s">
        <v>244</v>
      </c>
      <c r="K2">
        <v>-2.5299999999999998</v>
      </c>
      <c r="L2" s="44" t="s">
        <v>963</v>
      </c>
      <c r="M2" s="42">
        <v>-1.9999999999999999E-6</v>
      </c>
      <c r="N2" s="42">
        <v>-5.8799999999999998E-3</v>
      </c>
      <c r="O2" s="42">
        <v>-1.8E-5</v>
      </c>
      <c r="P2" s="42">
        <v>-8.3699999999999996E-4</v>
      </c>
      <c r="Q2" s="42">
        <v>-1.8544999999999999E-2</v>
      </c>
      <c r="R2" s="43">
        <v>-2.53E-2</v>
      </c>
      <c r="T2" t="str">
        <f>country!A6</f>
        <v>Albania</v>
      </c>
      <c r="U2" s="8">
        <f>country!D6</f>
        <v>3404.6550318859572</v>
      </c>
      <c r="V2" s="8">
        <f>country!G6</f>
        <v>11.4</v>
      </c>
    </row>
    <row r="3" spans="1:34" x14ac:dyDescent="0.35">
      <c r="A3" t="s">
        <v>244</v>
      </c>
      <c r="B3" t="str">
        <f>J2</f>
        <v>Albania</v>
      </c>
      <c r="C3">
        <f>K2</f>
        <v>-2.5299999999999998</v>
      </c>
      <c r="D3">
        <f>100*M2</f>
        <v>-1.9999999999999998E-4</v>
      </c>
      <c r="E3">
        <f>100*N2</f>
        <v>-0.58799999999999997</v>
      </c>
      <c r="F3">
        <f>100*O2</f>
        <v>-1.8E-3</v>
      </c>
      <c r="G3">
        <f>100*P2</f>
        <v>-8.3699999999999997E-2</v>
      </c>
      <c r="H3">
        <f>100*Q2</f>
        <v>-1.8544999999999998</v>
      </c>
      <c r="J3" t="s">
        <v>118</v>
      </c>
      <c r="K3">
        <v>-0.9</v>
      </c>
      <c r="L3" s="44" t="s">
        <v>885</v>
      </c>
      <c r="M3" s="42">
        <v>0</v>
      </c>
      <c r="N3" s="42">
        <v>-2.3839999999999998E-3</v>
      </c>
      <c r="O3" s="42">
        <v>-1.0369999999999999E-3</v>
      </c>
      <c r="P3" s="42">
        <v>-3.114E-3</v>
      </c>
      <c r="Q3" s="42">
        <v>-2.5089999999999999E-3</v>
      </c>
      <c r="R3" s="45">
        <v>-8.9999999999999993E-3</v>
      </c>
      <c r="T3" t="str">
        <f>country!A11</f>
        <v>Argentina</v>
      </c>
      <c r="U3" s="8">
        <f>country!D11</f>
        <v>7274.3904532313973</v>
      </c>
      <c r="V3" s="8">
        <f>country!G11</f>
        <v>14.8</v>
      </c>
    </row>
    <row r="4" spans="1:34" x14ac:dyDescent="0.35">
      <c r="A4" t="s">
        <v>245</v>
      </c>
      <c r="B4" t="str">
        <f>J$130</f>
        <v>Rest of North Africa</v>
      </c>
      <c r="C4">
        <f>K$130</f>
        <v>-0.93</v>
      </c>
      <c r="D4">
        <f>100*M$130</f>
        <v>0</v>
      </c>
      <c r="E4">
        <f>100*N$130</f>
        <v>-0.3463</v>
      </c>
      <c r="F4">
        <f>100*O$130</f>
        <v>-0.1242</v>
      </c>
      <c r="G4">
        <f>100*P$130</f>
        <v>-0.45510000000000006</v>
      </c>
      <c r="H4">
        <f>100*Q$130</f>
        <v>0</v>
      </c>
      <c r="J4" t="s">
        <v>212</v>
      </c>
      <c r="K4">
        <v>0.17</v>
      </c>
      <c r="L4" s="44" t="s">
        <v>986</v>
      </c>
      <c r="M4" s="42">
        <v>0</v>
      </c>
      <c r="N4" s="42">
        <v>2.2160000000000001E-3</v>
      </c>
      <c r="O4" s="42">
        <v>0</v>
      </c>
      <c r="P4" s="42">
        <v>-7.1400000000000001E-4</v>
      </c>
      <c r="Q4" s="42">
        <v>1.75E-4</v>
      </c>
      <c r="R4" s="46">
        <v>1.6999999999999999E-3</v>
      </c>
      <c r="T4" t="str">
        <f>country!A12</f>
        <v>Armenia</v>
      </c>
      <c r="U4" s="8">
        <f>country!D12</f>
        <v>1997.0389119682286</v>
      </c>
      <c r="V4" s="8">
        <f>country!G12</f>
        <v>7.1</v>
      </c>
      <c r="AH4" s="40"/>
    </row>
    <row r="5" spans="1:34" x14ac:dyDescent="0.35">
      <c r="A5" t="s">
        <v>600</v>
      </c>
      <c r="B5" t="str">
        <f>J$128</f>
        <v>Rest of Europe</v>
      </c>
      <c r="C5">
        <f>K$128</f>
        <v>0.01</v>
      </c>
      <c r="D5">
        <f>100*M$128</f>
        <v>0</v>
      </c>
      <c r="E5">
        <f>100*N$128</f>
        <v>4.7899999999999998E-2</v>
      </c>
      <c r="F5">
        <f>100*O$128</f>
        <v>0</v>
      </c>
      <c r="G5">
        <f>100*P$128</f>
        <v>-3.9599999999999996E-2</v>
      </c>
      <c r="H5">
        <f>100*Q$128</f>
        <v>0</v>
      </c>
      <c r="J5" t="s">
        <v>119</v>
      </c>
      <c r="K5">
        <v>-0.92</v>
      </c>
      <c r="L5" s="44" t="s">
        <v>866</v>
      </c>
      <c r="M5" s="42">
        <v>0</v>
      </c>
      <c r="N5" s="42">
        <v>-1.686E-3</v>
      </c>
      <c r="O5" s="42">
        <v>-1.6200000000000001E-4</v>
      </c>
      <c r="P5" s="42">
        <v>-2.3700000000000001E-3</v>
      </c>
      <c r="Q5" s="42">
        <v>-5.0289999999999996E-3</v>
      </c>
      <c r="R5" s="45">
        <v>-9.1999999999999998E-3</v>
      </c>
      <c r="T5" t="str">
        <f>country!A14</f>
        <v>Australia</v>
      </c>
      <c r="U5" s="8">
        <f>country!D14</f>
        <v>36140.105242213795</v>
      </c>
      <c r="V5" s="8">
        <f>country!G14</f>
        <v>21.6</v>
      </c>
      <c r="AH5" s="40"/>
    </row>
    <row r="6" spans="1:34" x14ac:dyDescent="0.35">
      <c r="A6" t="s">
        <v>350</v>
      </c>
      <c r="B6" t="str">
        <f>J$136</f>
        <v>Rest of South Central Africa</v>
      </c>
      <c r="C6">
        <f>K$136</f>
        <v>-1.8</v>
      </c>
      <c r="D6">
        <f>100*M$136</f>
        <v>0</v>
      </c>
      <c r="E6">
        <f>100*N$136</f>
        <v>-0.98630000000000007</v>
      </c>
      <c r="F6">
        <f>100*O$136</f>
        <v>-4.6099999999999995E-2</v>
      </c>
      <c r="G6">
        <f>100*P$136</f>
        <v>-0.7702</v>
      </c>
      <c r="H6">
        <f>100*Q$136</f>
        <v>0</v>
      </c>
      <c r="J6" t="s">
        <v>120</v>
      </c>
      <c r="K6">
        <v>1.95</v>
      </c>
      <c r="L6" s="44" t="s">
        <v>916</v>
      </c>
      <c r="M6" s="42">
        <v>0</v>
      </c>
      <c r="N6" s="42">
        <v>1.9699999999999999E-4</v>
      </c>
      <c r="O6" s="42">
        <v>0</v>
      </c>
      <c r="P6" s="42">
        <v>-4.7199999999999998E-4</v>
      </c>
      <c r="Q6" s="42">
        <v>1.9809E-2</v>
      </c>
      <c r="R6" s="46">
        <v>1.95E-2</v>
      </c>
      <c r="T6" t="str">
        <f>country!A15</f>
        <v>Austria</v>
      </c>
      <c r="U6" s="8">
        <f>country!D15</f>
        <v>38803.235792365253</v>
      </c>
      <c r="V6" s="8">
        <f>country!G15</f>
        <v>6.3</v>
      </c>
      <c r="AH6" s="40"/>
    </row>
    <row r="7" spans="1:34" x14ac:dyDescent="0.35">
      <c r="A7" t="s">
        <v>351</v>
      </c>
      <c r="B7" t="str">
        <f>J$138</f>
        <v>Rest of the Caribbean</v>
      </c>
      <c r="C7">
        <f>K$138</f>
        <v>-7.84</v>
      </c>
      <c r="D7">
        <f>100*M$138</f>
        <v>-1.6999999999999999E-3</v>
      </c>
      <c r="E7">
        <f>100*N$138</f>
        <v>-0.59950000000000003</v>
      </c>
      <c r="F7">
        <f>100*O$138</f>
        <v>-3.3616999999999999</v>
      </c>
      <c r="G7">
        <f>100*P$138</f>
        <v>-0.2107</v>
      </c>
      <c r="H7">
        <f>100*Q$138</f>
        <v>-3.6623999999999999</v>
      </c>
      <c r="J7" t="s">
        <v>213</v>
      </c>
      <c r="K7">
        <v>-0.86</v>
      </c>
      <c r="L7" s="44" t="s">
        <v>987</v>
      </c>
      <c r="M7" s="42">
        <v>0</v>
      </c>
      <c r="N7" s="42">
        <v>-5.9080000000000001E-3</v>
      </c>
      <c r="O7" s="42">
        <v>-9.8799999999999995E-4</v>
      </c>
      <c r="P7" s="42">
        <v>-4.1399999999999998E-4</v>
      </c>
      <c r="Q7" s="42">
        <v>-1.307E-3</v>
      </c>
      <c r="R7" s="45">
        <v>-8.6E-3</v>
      </c>
      <c r="T7" t="str">
        <f>country!A16</f>
        <v>Azerbaijan</v>
      </c>
      <c r="U7" s="8">
        <f>country!D16</f>
        <v>3126.7240594662121</v>
      </c>
      <c r="V7" s="8">
        <f>country!G16</f>
        <v>11.9</v>
      </c>
      <c r="AH7" s="40"/>
    </row>
    <row r="8" spans="1:34" x14ac:dyDescent="0.35">
      <c r="A8" t="s">
        <v>118</v>
      </c>
      <c r="B8" t="str">
        <f>J3</f>
        <v>Argentina</v>
      </c>
      <c r="C8">
        <f>K3</f>
        <v>-0.9</v>
      </c>
      <c r="D8">
        <f t="shared" ref="D8:H9" si="0">100*M3</f>
        <v>0</v>
      </c>
      <c r="E8">
        <f t="shared" si="0"/>
        <v>-0.23839999999999997</v>
      </c>
      <c r="F8">
        <f t="shared" si="0"/>
        <v>-0.1037</v>
      </c>
      <c r="G8">
        <f t="shared" si="0"/>
        <v>-0.31140000000000001</v>
      </c>
      <c r="H8">
        <f t="shared" si="0"/>
        <v>-0.25090000000000001</v>
      </c>
      <c r="J8" t="s">
        <v>352</v>
      </c>
      <c r="K8">
        <v>-4.9000000000000004</v>
      </c>
      <c r="L8" s="44" t="s">
        <v>989</v>
      </c>
      <c r="M8" s="42">
        <v>-5.0000000000000004E-6</v>
      </c>
      <c r="N8" s="42">
        <v>-6.8300000000000001E-4</v>
      </c>
      <c r="O8" s="42">
        <v>-1.1748E-2</v>
      </c>
      <c r="P8" s="42">
        <v>-4.2040000000000003E-3</v>
      </c>
      <c r="Q8" s="42">
        <v>-3.2314000000000002E-2</v>
      </c>
      <c r="R8" s="43">
        <v>-4.9000000000000002E-2</v>
      </c>
      <c r="T8" t="str">
        <f>country!A18</f>
        <v>Bahrain</v>
      </c>
      <c r="U8" s="8">
        <f>country!D18</f>
        <v>16722.241255001882</v>
      </c>
      <c r="V8" s="8">
        <f>country!G18</f>
        <v>27.1</v>
      </c>
      <c r="AH8" s="40"/>
    </row>
    <row r="9" spans="1:34" x14ac:dyDescent="0.35">
      <c r="A9" t="s">
        <v>212</v>
      </c>
      <c r="B9" t="str">
        <f>J4</f>
        <v>Armenia</v>
      </c>
      <c r="C9">
        <f>K4</f>
        <v>0.17</v>
      </c>
      <c r="D9">
        <f t="shared" si="0"/>
        <v>0</v>
      </c>
      <c r="E9">
        <f t="shared" si="0"/>
        <v>0.22160000000000002</v>
      </c>
      <c r="F9">
        <f t="shared" si="0"/>
        <v>0</v>
      </c>
      <c r="G9">
        <f t="shared" si="0"/>
        <v>-7.1400000000000005E-2</v>
      </c>
      <c r="H9">
        <f t="shared" si="0"/>
        <v>1.7499999999999998E-2</v>
      </c>
      <c r="J9" t="s">
        <v>122</v>
      </c>
      <c r="K9">
        <v>-4.99</v>
      </c>
      <c r="L9" s="44" t="s">
        <v>875</v>
      </c>
      <c r="M9" s="42">
        <v>-9.9999999999999995E-7</v>
      </c>
      <c r="N9" s="42">
        <v>-1.2004000000000001E-2</v>
      </c>
      <c r="O9" s="42">
        <v>-3.2480000000000002E-2</v>
      </c>
      <c r="P9" s="42">
        <v>-2.0200000000000001E-3</v>
      </c>
      <c r="Q9" s="42">
        <v>-3.3830000000000002E-3</v>
      </c>
      <c r="R9" s="43">
        <v>-4.99E-2</v>
      </c>
      <c r="T9" t="str">
        <f>country!A19</f>
        <v>Bangladesh</v>
      </c>
      <c r="U9" s="8">
        <f>country!D19</f>
        <v>539.09993134762863</v>
      </c>
      <c r="V9" s="8">
        <f>country!G19</f>
        <v>25</v>
      </c>
      <c r="AH9" s="40"/>
    </row>
    <row r="10" spans="1:34" x14ac:dyDescent="0.35">
      <c r="A10" t="s">
        <v>601</v>
      </c>
      <c r="B10" t="str">
        <f>J$138</f>
        <v>Rest of the Caribbean</v>
      </c>
      <c r="C10">
        <f>K$138</f>
        <v>-7.84</v>
      </c>
      <c r="D10">
        <f>100*M$138</f>
        <v>-1.6999999999999999E-3</v>
      </c>
      <c r="E10">
        <f>100*N$138</f>
        <v>-0.59950000000000003</v>
      </c>
      <c r="F10">
        <f>100*O$138</f>
        <v>-3.3616999999999999</v>
      </c>
      <c r="G10">
        <f>100*P$138</f>
        <v>-0.2107</v>
      </c>
      <c r="H10">
        <f>100*Q$138</f>
        <v>-3.6623999999999999</v>
      </c>
      <c r="J10" t="s">
        <v>214</v>
      </c>
      <c r="K10">
        <v>0.18</v>
      </c>
      <c r="L10" s="44" t="s">
        <v>965</v>
      </c>
      <c r="M10" s="42">
        <v>0</v>
      </c>
      <c r="N10" s="42">
        <v>1.3649999999999999E-3</v>
      </c>
      <c r="O10" s="42">
        <v>0</v>
      </c>
      <c r="P10" s="42">
        <v>-1.016E-3</v>
      </c>
      <c r="Q10" s="42">
        <v>1.4809999999999999E-3</v>
      </c>
      <c r="R10" s="46">
        <v>1.8E-3</v>
      </c>
      <c r="T10" t="str">
        <f>country!A21</f>
        <v>Belarus</v>
      </c>
      <c r="U10" s="8">
        <f>country!D21</f>
        <v>4526.3801215876556</v>
      </c>
      <c r="V10" s="8">
        <f>country!G21</f>
        <v>6.2</v>
      </c>
      <c r="AH10" s="40"/>
    </row>
    <row r="11" spans="1:34" x14ac:dyDescent="0.35">
      <c r="A11" t="s">
        <v>119</v>
      </c>
      <c r="B11" t="str">
        <f t="shared" ref="B11:C13" si="1">J5</f>
        <v>Australia</v>
      </c>
      <c r="C11">
        <f t="shared" si="1"/>
        <v>-0.92</v>
      </c>
      <c r="D11">
        <f t="shared" ref="D11:H13" si="2">100*M5</f>
        <v>0</v>
      </c>
      <c r="E11">
        <f t="shared" si="2"/>
        <v>-0.1686</v>
      </c>
      <c r="F11">
        <f t="shared" si="2"/>
        <v>-1.6199999999999999E-2</v>
      </c>
      <c r="G11">
        <f t="shared" si="2"/>
        <v>-0.23700000000000002</v>
      </c>
      <c r="H11">
        <f t="shared" si="2"/>
        <v>-0.50290000000000001</v>
      </c>
      <c r="J11" t="s">
        <v>124</v>
      </c>
      <c r="K11">
        <v>1.21</v>
      </c>
      <c r="L11" s="44" t="s">
        <v>917</v>
      </c>
      <c r="M11" s="42">
        <v>0</v>
      </c>
      <c r="N11" s="42">
        <v>6.2000000000000003E-5</v>
      </c>
      <c r="O11" s="42">
        <v>0</v>
      </c>
      <c r="P11" s="42">
        <v>-4.8200000000000001E-4</v>
      </c>
      <c r="Q11" s="42">
        <v>1.2519000000000001E-2</v>
      </c>
      <c r="R11" s="46">
        <v>1.21E-2</v>
      </c>
      <c r="T11" t="str">
        <f>country!A22</f>
        <v>Belgium</v>
      </c>
      <c r="U11" s="8">
        <f>country!D22</f>
        <v>36747.279047091397</v>
      </c>
      <c r="V11" s="8">
        <f>country!G22</f>
        <v>9.6</v>
      </c>
      <c r="AH11" s="40"/>
    </row>
    <row r="12" spans="1:34" x14ac:dyDescent="0.35">
      <c r="A12" t="s">
        <v>120</v>
      </c>
      <c r="B12" t="str">
        <f t="shared" si="1"/>
        <v>Austria</v>
      </c>
      <c r="C12">
        <f t="shared" si="1"/>
        <v>1.95</v>
      </c>
      <c r="D12">
        <f t="shared" si="2"/>
        <v>0</v>
      </c>
      <c r="E12">
        <f t="shared" si="2"/>
        <v>1.9699999999999999E-2</v>
      </c>
      <c r="F12">
        <f t="shared" si="2"/>
        <v>0</v>
      </c>
      <c r="G12">
        <f t="shared" si="2"/>
        <v>-4.7199999999999999E-2</v>
      </c>
      <c r="H12">
        <f t="shared" si="2"/>
        <v>1.9809000000000001</v>
      </c>
      <c r="J12" t="s">
        <v>125</v>
      </c>
      <c r="K12">
        <v>-13.63</v>
      </c>
      <c r="L12" s="44" t="s">
        <v>877</v>
      </c>
      <c r="M12" s="42">
        <v>0</v>
      </c>
      <c r="N12" s="42">
        <v>-2.2061000000000001E-2</v>
      </c>
      <c r="O12" s="42">
        <v>-5.8666999999999997E-2</v>
      </c>
      <c r="P12" s="42">
        <v>-7.8949999999999992E-3</v>
      </c>
      <c r="Q12" s="42">
        <v>-4.7655000000000003E-2</v>
      </c>
      <c r="R12" s="47">
        <v>-0.1363</v>
      </c>
      <c r="T12" t="str">
        <f>country!A24</f>
        <v>Benin</v>
      </c>
      <c r="U12" s="8">
        <f>country!D24</f>
        <v>550.04454433952765</v>
      </c>
      <c r="V12" s="8">
        <f>country!G24</f>
        <v>27.5</v>
      </c>
      <c r="AH12" s="40"/>
    </row>
    <row r="13" spans="1:34" x14ac:dyDescent="0.35">
      <c r="A13" t="s">
        <v>213</v>
      </c>
      <c r="B13" t="str">
        <f t="shared" si="1"/>
        <v>Azerbaijan</v>
      </c>
      <c r="C13">
        <f t="shared" si="1"/>
        <v>-0.86</v>
      </c>
      <c r="D13">
        <f t="shared" si="2"/>
        <v>0</v>
      </c>
      <c r="E13">
        <f t="shared" si="2"/>
        <v>-0.59079999999999999</v>
      </c>
      <c r="F13">
        <f t="shared" si="2"/>
        <v>-9.8799999999999999E-2</v>
      </c>
      <c r="G13">
        <f t="shared" si="2"/>
        <v>-4.1399999999999999E-2</v>
      </c>
      <c r="H13">
        <f t="shared" si="2"/>
        <v>-0.13070000000000001</v>
      </c>
      <c r="J13" t="s">
        <v>126</v>
      </c>
      <c r="K13">
        <v>-2.84</v>
      </c>
      <c r="L13" s="44" t="s">
        <v>886</v>
      </c>
      <c r="M13" s="42">
        <v>0</v>
      </c>
      <c r="N13" s="42">
        <v>-1.3641E-2</v>
      </c>
      <c r="O13" s="42">
        <v>0</v>
      </c>
      <c r="P13" s="42">
        <v>-1.4760000000000001E-3</v>
      </c>
      <c r="Q13" s="42">
        <v>-1.3292999999999999E-2</v>
      </c>
      <c r="R13" s="43">
        <v>-2.8400000000000002E-2</v>
      </c>
      <c r="T13" t="str">
        <f>country!A27</f>
        <v>Bolivia</v>
      </c>
      <c r="U13" s="8">
        <f>country!D27</f>
        <v>1176.9744750324021</v>
      </c>
      <c r="V13" s="8">
        <f>country!G27</f>
        <v>21.5</v>
      </c>
      <c r="AH13" s="40"/>
    </row>
    <row r="14" spans="1:34" x14ac:dyDescent="0.35">
      <c r="A14" t="s">
        <v>121</v>
      </c>
      <c r="B14" t="str">
        <f>J$138</f>
        <v>Rest of the Caribbean</v>
      </c>
      <c r="C14">
        <f>K$138</f>
        <v>-7.84</v>
      </c>
      <c r="D14">
        <f>100*M$138</f>
        <v>-1.6999999999999999E-3</v>
      </c>
      <c r="E14">
        <f>100*N$138</f>
        <v>-0.59950000000000003</v>
      </c>
      <c r="F14">
        <f>100*O$138</f>
        <v>-3.3616999999999999</v>
      </c>
      <c r="G14">
        <f>100*P$138</f>
        <v>-0.2107</v>
      </c>
      <c r="H14">
        <f>100*Q$138</f>
        <v>-3.6623999999999999</v>
      </c>
      <c r="J14" t="s">
        <v>128</v>
      </c>
      <c r="K14">
        <v>-3.38</v>
      </c>
      <c r="L14" s="44" t="s">
        <v>935</v>
      </c>
      <c r="M14" s="42">
        <v>0</v>
      </c>
      <c r="N14" s="42">
        <v>-5.2570000000000004E-3</v>
      </c>
      <c r="O14" s="42">
        <v>-3.9160000000000002E-3</v>
      </c>
      <c r="P14" s="42">
        <v>-7.5310000000000004E-3</v>
      </c>
      <c r="Q14" s="42">
        <v>-1.7062000000000001E-2</v>
      </c>
      <c r="R14" s="43">
        <v>-3.3799999999999997E-2</v>
      </c>
      <c r="T14" t="str">
        <f>country!A29</f>
        <v>Botswana</v>
      </c>
      <c r="U14" s="8">
        <f>country!D29</f>
        <v>6152.7263733715708</v>
      </c>
      <c r="V14" s="8">
        <f>country!G29</f>
        <v>21.5</v>
      </c>
      <c r="AH14" s="40"/>
    </row>
    <row r="15" spans="1:34" x14ac:dyDescent="0.35">
      <c r="A15" t="s">
        <v>352</v>
      </c>
      <c r="B15" t="str">
        <f>J8</f>
        <v>Bahrain</v>
      </c>
      <c r="C15">
        <f>K8</f>
        <v>-4.9000000000000004</v>
      </c>
      <c r="D15">
        <f t="shared" ref="D15:H16" si="3">100*M8</f>
        <v>-5.0000000000000001E-4</v>
      </c>
      <c r="E15">
        <f t="shared" si="3"/>
        <v>-6.83E-2</v>
      </c>
      <c r="F15">
        <f t="shared" si="3"/>
        <v>-1.1748000000000001</v>
      </c>
      <c r="G15">
        <f t="shared" si="3"/>
        <v>-0.42040000000000005</v>
      </c>
      <c r="H15">
        <f t="shared" si="3"/>
        <v>-3.2314000000000003</v>
      </c>
      <c r="J15" t="s">
        <v>129</v>
      </c>
      <c r="K15">
        <v>-2.13</v>
      </c>
      <c r="L15" s="44" t="s">
        <v>341</v>
      </c>
      <c r="M15" s="42">
        <v>0</v>
      </c>
      <c r="N15" s="42">
        <v>-5.921E-3</v>
      </c>
      <c r="O15" s="42">
        <v>-8.6440000000000006E-3</v>
      </c>
      <c r="P15" s="42">
        <v>-3.4320000000000002E-3</v>
      </c>
      <c r="Q15" s="42">
        <v>-3.2929999999999999E-3</v>
      </c>
      <c r="R15" s="43">
        <v>-2.1299999999999999E-2</v>
      </c>
      <c r="T15" t="str">
        <f>country!A30</f>
        <v>Brazil</v>
      </c>
      <c r="U15" s="8">
        <f>country!D30</f>
        <v>5618.3246002281494</v>
      </c>
      <c r="V15" s="8">
        <f>country!G30</f>
        <v>24.9</v>
      </c>
      <c r="AH15" s="40"/>
    </row>
    <row r="16" spans="1:34" x14ac:dyDescent="0.35">
      <c r="A16" t="s">
        <v>122</v>
      </c>
      <c r="B16" t="str">
        <f>J9</f>
        <v>Bangladesh</v>
      </c>
      <c r="C16">
        <f>K9</f>
        <v>-4.99</v>
      </c>
      <c r="D16">
        <f t="shared" si="3"/>
        <v>-9.9999999999999991E-5</v>
      </c>
      <c r="E16">
        <f t="shared" si="3"/>
        <v>-1.2004000000000001</v>
      </c>
      <c r="F16">
        <f t="shared" si="3"/>
        <v>-3.2480000000000002</v>
      </c>
      <c r="G16">
        <f t="shared" si="3"/>
        <v>-0.20200000000000001</v>
      </c>
      <c r="H16">
        <f t="shared" si="3"/>
        <v>-0.33829999999999999</v>
      </c>
      <c r="J16" t="s">
        <v>356</v>
      </c>
      <c r="K16">
        <v>-4.8099999999999996</v>
      </c>
      <c r="L16" s="44" t="s">
        <v>867</v>
      </c>
      <c r="M16" s="42">
        <v>-9.9999999999999995E-7</v>
      </c>
      <c r="N16" s="42">
        <v>-5.8999999999999998E-5</v>
      </c>
      <c r="O16" s="42">
        <v>-2.0021000000000001E-2</v>
      </c>
      <c r="P16" s="42">
        <v>-1.206E-3</v>
      </c>
      <c r="Q16" s="42">
        <v>-2.6786000000000001E-2</v>
      </c>
      <c r="R16" s="43">
        <v>-4.8099999999999997E-2</v>
      </c>
      <c r="T16" t="str">
        <f>country!A31</f>
        <v>Brunei</v>
      </c>
      <c r="U16" s="8">
        <f>country!D31</f>
        <v>24589.277238754839</v>
      </c>
      <c r="V16" s="8">
        <f>country!G31</f>
        <v>26.9</v>
      </c>
      <c r="AH16" s="40"/>
    </row>
    <row r="17" spans="1:34" x14ac:dyDescent="0.35">
      <c r="A17" t="s">
        <v>123</v>
      </c>
      <c r="B17" t="str">
        <f>J$138</f>
        <v>Rest of the Caribbean</v>
      </c>
      <c r="C17">
        <f>K$138</f>
        <v>-7.84</v>
      </c>
      <c r="D17">
        <f>100*M$138</f>
        <v>-1.6999999999999999E-3</v>
      </c>
      <c r="E17">
        <f>100*N$138</f>
        <v>-0.59950000000000003</v>
      </c>
      <c r="F17">
        <f>100*O$138</f>
        <v>-3.3616999999999999</v>
      </c>
      <c r="G17">
        <f>100*P$138</f>
        <v>-0.2107</v>
      </c>
      <c r="H17">
        <f>100*Q$138</f>
        <v>-3.6623999999999999</v>
      </c>
      <c r="J17" t="s">
        <v>216</v>
      </c>
      <c r="K17">
        <v>0.76</v>
      </c>
      <c r="L17" s="44" t="s">
        <v>964</v>
      </c>
      <c r="M17" s="42">
        <v>0</v>
      </c>
      <c r="N17" s="42">
        <v>-2.3140000000000001E-3</v>
      </c>
      <c r="O17" s="42">
        <v>0</v>
      </c>
      <c r="P17" s="42">
        <v>-8.3600000000000005E-4</v>
      </c>
      <c r="Q17" s="42">
        <v>1.0793000000000001E-2</v>
      </c>
      <c r="R17" s="46">
        <v>7.6E-3</v>
      </c>
      <c r="T17" t="str">
        <f>country!A32</f>
        <v>Bulgaria</v>
      </c>
      <c r="U17" s="8">
        <f>country!D32</f>
        <v>4378.8790878779682</v>
      </c>
      <c r="V17" s="8">
        <f>country!G32</f>
        <v>10.5</v>
      </c>
      <c r="AH17" s="40"/>
    </row>
    <row r="18" spans="1:34" x14ac:dyDescent="0.35">
      <c r="A18" t="s">
        <v>214</v>
      </c>
      <c r="B18" t="str">
        <f>J10</f>
        <v>Belarus</v>
      </c>
      <c r="C18">
        <f>K10</f>
        <v>0.18</v>
      </c>
      <c r="D18">
        <f t="shared" ref="D18:H19" si="4">100*M10</f>
        <v>0</v>
      </c>
      <c r="E18">
        <f t="shared" si="4"/>
        <v>0.13649999999999998</v>
      </c>
      <c r="F18">
        <f t="shared" si="4"/>
        <v>0</v>
      </c>
      <c r="G18">
        <f t="shared" si="4"/>
        <v>-0.1016</v>
      </c>
      <c r="H18">
        <f t="shared" si="4"/>
        <v>0.14809999999999998</v>
      </c>
      <c r="J18" t="s">
        <v>247</v>
      </c>
      <c r="K18">
        <v>-11.87</v>
      </c>
      <c r="L18" s="44" t="s">
        <v>888</v>
      </c>
      <c r="M18" s="42">
        <v>0</v>
      </c>
      <c r="N18" s="42">
        <v>-2.3843E-2</v>
      </c>
      <c r="O18" s="42">
        <v>-5.8824000000000001E-2</v>
      </c>
      <c r="P18" s="42">
        <v>-6.7099999999999998E-3</v>
      </c>
      <c r="Q18" s="42">
        <v>-2.9329999999999998E-2</v>
      </c>
      <c r="R18" s="47">
        <v>-0.1187</v>
      </c>
      <c r="T18" t="str">
        <f>country!A33</f>
        <v>Burkina Faso</v>
      </c>
      <c r="U18" s="8">
        <f>country!D33</f>
        <v>457.22881322240346</v>
      </c>
      <c r="V18" s="8">
        <f>country!G33</f>
        <v>28.2</v>
      </c>
      <c r="AH18" s="40"/>
    </row>
    <row r="19" spans="1:34" x14ac:dyDescent="0.35">
      <c r="A19" t="s">
        <v>124</v>
      </c>
      <c r="B19" t="str">
        <f>J11</f>
        <v>Belgium</v>
      </c>
      <c r="C19">
        <f>K11</f>
        <v>1.21</v>
      </c>
      <c r="D19">
        <f t="shared" si="4"/>
        <v>0</v>
      </c>
      <c r="E19">
        <f t="shared" si="4"/>
        <v>6.2000000000000006E-3</v>
      </c>
      <c r="F19">
        <f t="shared" si="4"/>
        <v>0</v>
      </c>
      <c r="G19">
        <f t="shared" si="4"/>
        <v>-4.82E-2</v>
      </c>
      <c r="H19">
        <f t="shared" si="4"/>
        <v>1.2519</v>
      </c>
      <c r="J19" t="s">
        <v>359</v>
      </c>
      <c r="K19">
        <v>-18.25</v>
      </c>
      <c r="L19" s="44" t="s">
        <v>873</v>
      </c>
      <c r="M19" s="42">
        <v>-1.9999999999999999E-6</v>
      </c>
      <c r="N19" s="42">
        <v>-2.1774000000000002E-2</v>
      </c>
      <c r="O19" s="42">
        <v>-5.2923999999999999E-2</v>
      </c>
      <c r="P19" s="42">
        <v>-1.315E-3</v>
      </c>
      <c r="Q19" s="42">
        <v>-0.106492</v>
      </c>
      <c r="R19" s="47">
        <v>-0.1825</v>
      </c>
      <c r="T19" t="str">
        <f>country!A36</f>
        <v>Cambodia</v>
      </c>
      <c r="U19" s="8">
        <f>country!D36</f>
        <v>605.16804679176505</v>
      </c>
      <c r="V19" s="8">
        <f>country!G36</f>
        <v>26.8</v>
      </c>
      <c r="AH19" s="40"/>
    </row>
    <row r="20" spans="1:34" x14ac:dyDescent="0.35">
      <c r="A20" t="s">
        <v>353</v>
      </c>
      <c r="B20" t="str">
        <f>J123</f>
        <v>Rest of Central America</v>
      </c>
      <c r="C20">
        <f>K123</f>
        <v>-4.6100000000000003</v>
      </c>
      <c r="D20">
        <f>100*M123</f>
        <v>-4.4000000000000003E-3</v>
      </c>
      <c r="E20">
        <f>100*N123</f>
        <v>-1.1027</v>
      </c>
      <c r="F20">
        <f>100*O123</f>
        <v>-3.3145000000000002</v>
      </c>
      <c r="G20">
        <f>100*P123</f>
        <v>-0.18630000000000002</v>
      </c>
      <c r="H20">
        <f>100*Q123</f>
        <v>0</v>
      </c>
      <c r="J20" t="s">
        <v>130</v>
      </c>
      <c r="K20">
        <v>-8.1300000000000008</v>
      </c>
      <c r="L20" s="44" t="s">
        <v>903</v>
      </c>
      <c r="M20" s="42">
        <v>0</v>
      </c>
      <c r="N20" s="42">
        <v>-2.4157000000000001E-2</v>
      </c>
      <c r="O20" s="42">
        <v>-2.6121999999999999E-2</v>
      </c>
      <c r="P20" s="42">
        <v>-1.0351000000000001E-2</v>
      </c>
      <c r="Q20" s="42">
        <v>-2.0671999999999999E-2</v>
      </c>
      <c r="R20" s="47">
        <v>-8.1299999999999997E-2</v>
      </c>
      <c r="T20" t="str">
        <f>country!A37</f>
        <v>Cameroon</v>
      </c>
      <c r="U20" s="8">
        <f>country!D37</f>
        <v>931.41534703166633</v>
      </c>
      <c r="V20" s="8">
        <f>country!G37</f>
        <v>24.6</v>
      </c>
      <c r="AH20" s="40"/>
    </row>
    <row r="21" spans="1:34" x14ac:dyDescent="0.35">
      <c r="A21" t="s">
        <v>125</v>
      </c>
      <c r="B21" t="str">
        <f>J12</f>
        <v>Benin</v>
      </c>
      <c r="C21">
        <f>K12</f>
        <v>-13.63</v>
      </c>
      <c r="D21">
        <f>100*M12</f>
        <v>0</v>
      </c>
      <c r="E21">
        <f>100*N12</f>
        <v>-2.2061000000000002</v>
      </c>
      <c r="F21">
        <f>100*O12</f>
        <v>-5.8666999999999998</v>
      </c>
      <c r="G21">
        <f>100*P12</f>
        <v>-0.78949999999999987</v>
      </c>
      <c r="H21">
        <f>100*Q12</f>
        <v>-4.7655000000000003</v>
      </c>
      <c r="J21" t="s">
        <v>131</v>
      </c>
      <c r="K21">
        <v>1.27</v>
      </c>
      <c r="L21" s="44" t="s">
        <v>91</v>
      </c>
      <c r="M21" s="42">
        <v>-9.9999999999999995E-7</v>
      </c>
      <c r="N21" s="42">
        <v>1.7229999999999999E-3</v>
      </c>
      <c r="O21" s="42">
        <v>0</v>
      </c>
      <c r="P21" s="42">
        <v>0</v>
      </c>
      <c r="Q21" s="42">
        <v>1.1003000000000001E-2</v>
      </c>
      <c r="R21" s="46">
        <v>1.2699999999999999E-2</v>
      </c>
      <c r="T21" t="str">
        <f>country!A38</f>
        <v>Canada</v>
      </c>
      <c r="U21" s="8">
        <f>country!D38</f>
        <v>36337.22567382102</v>
      </c>
      <c r="V21" s="8">
        <f>country!G38</f>
        <v>-5.4</v>
      </c>
      <c r="AH21" s="40"/>
    </row>
    <row r="22" spans="1:34" x14ac:dyDescent="0.35">
      <c r="A22" t="s">
        <v>354</v>
      </c>
      <c r="B22" t="str">
        <f>J$131</f>
        <v>Rest of North America</v>
      </c>
      <c r="C22">
        <f>K$131</f>
        <v>-0.32</v>
      </c>
      <c r="D22">
        <f>100*M$131</f>
        <v>-3.3000000000000004E-3</v>
      </c>
      <c r="E22">
        <f>100*N$131</f>
        <v>1.18E-2</v>
      </c>
      <c r="F22">
        <f>100*O$131</f>
        <v>-3.6999999999999997E-3</v>
      </c>
      <c r="G22">
        <f>100*P$131</f>
        <v>-0.32769999999999999</v>
      </c>
      <c r="H22">
        <f>100*Q$131</f>
        <v>0</v>
      </c>
      <c r="J22" t="s">
        <v>132</v>
      </c>
      <c r="K22">
        <v>-0.26</v>
      </c>
      <c r="L22" s="44" t="s">
        <v>896</v>
      </c>
      <c r="M22" s="42">
        <v>-1.9999999999999999E-6</v>
      </c>
      <c r="N22" s="42">
        <v>1.03E-4</v>
      </c>
      <c r="O22" s="42">
        <v>0</v>
      </c>
      <c r="P22" s="42">
        <v>-2.7369999999999998E-3</v>
      </c>
      <c r="Q22" s="42">
        <v>6.9999999999999999E-6</v>
      </c>
      <c r="R22" s="45">
        <v>-2.5999999999999999E-3</v>
      </c>
      <c r="T22" t="str">
        <f>country!A42</f>
        <v>Chile</v>
      </c>
      <c r="U22" s="8">
        <f>country!D42</f>
        <v>8610.0220425441075</v>
      </c>
      <c r="V22" s="8">
        <f>country!G42</f>
        <v>8.5</v>
      </c>
      <c r="AH22" s="40"/>
    </row>
    <row r="23" spans="1:34" x14ac:dyDescent="0.35">
      <c r="A23" t="s">
        <v>355</v>
      </c>
      <c r="B23" t="str">
        <f>J$135</f>
        <v>Rest of South Asia</v>
      </c>
      <c r="C23">
        <f>K$135</f>
        <v>-4.8899999999999997</v>
      </c>
      <c r="D23">
        <f>100*M$135</f>
        <v>0</v>
      </c>
      <c r="E23">
        <f>100*N$135</f>
        <v>-1.9426999999999999</v>
      </c>
      <c r="F23">
        <f>100*O$135</f>
        <v>-2.8045</v>
      </c>
      <c r="G23">
        <f>100*P$135</f>
        <v>-0.1434</v>
      </c>
      <c r="H23">
        <f>100*Q$135</f>
        <v>0</v>
      </c>
      <c r="J23" t="s">
        <v>65</v>
      </c>
      <c r="K23">
        <v>-1.07</v>
      </c>
      <c r="L23" s="44" t="s">
        <v>336</v>
      </c>
      <c r="M23" s="42">
        <v>0</v>
      </c>
      <c r="N23" s="42">
        <v>1.9750000000000002E-3</v>
      </c>
      <c r="O23" s="42">
        <v>-5.4489999999999999E-3</v>
      </c>
      <c r="P23" s="42">
        <v>-8.1639999999999994E-3</v>
      </c>
      <c r="Q23" s="42">
        <v>8.8999999999999995E-4</v>
      </c>
      <c r="R23" s="43">
        <v>-1.0699999999999999E-2</v>
      </c>
      <c r="T23" t="str">
        <f>country!A43</f>
        <v>China</v>
      </c>
      <c r="U23" s="8">
        <f>country!D43</f>
        <v>2870.0529334764196</v>
      </c>
      <c r="V23" s="8">
        <f>country!G43</f>
        <v>6.9</v>
      </c>
      <c r="AH23" s="40"/>
    </row>
    <row r="24" spans="1:34" x14ac:dyDescent="0.35">
      <c r="A24" t="s">
        <v>126</v>
      </c>
      <c r="B24" t="str">
        <f>J13</f>
        <v>Bolivia</v>
      </c>
      <c r="C24">
        <f>K13</f>
        <v>-2.84</v>
      </c>
      <c r="D24">
        <f>100*M13</f>
        <v>0</v>
      </c>
      <c r="E24">
        <f>100*N13</f>
        <v>-1.3641000000000001</v>
      </c>
      <c r="F24">
        <f>100*O13</f>
        <v>0</v>
      </c>
      <c r="G24">
        <f>100*P13</f>
        <v>-0.14760000000000001</v>
      </c>
      <c r="H24">
        <f>100*Q13</f>
        <v>-1.3292999999999999</v>
      </c>
      <c r="J24" t="s">
        <v>133</v>
      </c>
      <c r="K24">
        <v>-2.52</v>
      </c>
      <c r="L24" s="44" t="s">
        <v>910</v>
      </c>
      <c r="M24" s="42">
        <v>-9.9999999999999995E-7</v>
      </c>
      <c r="N24" s="42">
        <v>-7.7809999999999997E-3</v>
      </c>
      <c r="O24" s="42">
        <v>-9.7169999999999999E-3</v>
      </c>
      <c r="P24" s="42">
        <v>-1.258E-3</v>
      </c>
      <c r="Q24" s="42">
        <v>-6.4609999999999997E-3</v>
      </c>
      <c r="R24" s="43">
        <v>-2.52E-2</v>
      </c>
      <c r="T24" t="str">
        <f>country!A44</f>
        <v>Colombia</v>
      </c>
      <c r="U24" s="8">
        <f>country!D44</f>
        <v>3937.8672013546661</v>
      </c>
      <c r="V24" s="8">
        <f>country!G44</f>
        <v>24.5</v>
      </c>
      <c r="AH24" s="40"/>
    </row>
    <row r="25" spans="1:34" x14ac:dyDescent="0.35">
      <c r="A25" t="s">
        <v>246</v>
      </c>
      <c r="B25" t="str">
        <f>J$128</f>
        <v>Rest of Europe</v>
      </c>
      <c r="C25">
        <f>K$128</f>
        <v>0.01</v>
      </c>
      <c r="D25">
        <f>100*M$128</f>
        <v>0</v>
      </c>
      <c r="E25">
        <f>100*N$128</f>
        <v>4.7899999999999998E-2</v>
      </c>
      <c r="F25">
        <f>100*O$128</f>
        <v>0</v>
      </c>
      <c r="G25">
        <f>100*P$128</f>
        <v>-3.9599999999999996E-2</v>
      </c>
      <c r="H25">
        <f>100*Q$128</f>
        <v>0</v>
      </c>
      <c r="J25" t="s">
        <v>135</v>
      </c>
      <c r="K25">
        <v>-6.19</v>
      </c>
      <c r="L25" s="44" t="s">
        <v>899</v>
      </c>
      <c r="M25" s="42">
        <v>-1.1E-5</v>
      </c>
      <c r="N25" s="42">
        <v>-8.3850000000000001E-3</v>
      </c>
      <c r="O25" s="42">
        <v>-1.9108E-2</v>
      </c>
      <c r="P25" s="42">
        <v>-2.9889999999999999E-3</v>
      </c>
      <c r="Q25" s="42">
        <v>-3.1428999999999999E-2</v>
      </c>
      <c r="R25" s="47">
        <v>-6.1899999999999997E-2</v>
      </c>
      <c r="T25" t="str">
        <f>country!A48</f>
        <v>Costa Rica</v>
      </c>
      <c r="U25" s="8">
        <f>country!D48</f>
        <v>5357.4903708933716</v>
      </c>
      <c r="V25" s="8">
        <f>country!G48</f>
        <v>24.8</v>
      </c>
      <c r="AH25" s="40"/>
    </row>
    <row r="26" spans="1:34" x14ac:dyDescent="0.35">
      <c r="A26" t="s">
        <v>128</v>
      </c>
      <c r="B26" t="str">
        <f t="shared" ref="B26:C30" si="5">J14</f>
        <v>Botswana</v>
      </c>
      <c r="C26">
        <f t="shared" si="5"/>
        <v>-3.38</v>
      </c>
      <c r="D26">
        <f t="shared" ref="D26:H30" si="6">100*M14</f>
        <v>0</v>
      </c>
      <c r="E26">
        <f t="shared" si="6"/>
        <v>-0.52570000000000006</v>
      </c>
      <c r="F26">
        <f t="shared" si="6"/>
        <v>-0.3916</v>
      </c>
      <c r="G26">
        <f t="shared" si="6"/>
        <v>-0.75309999999999999</v>
      </c>
      <c r="H26">
        <f t="shared" si="6"/>
        <v>-1.7062000000000002</v>
      </c>
      <c r="J26" t="s">
        <v>208</v>
      </c>
      <c r="K26">
        <v>-13.03</v>
      </c>
      <c r="L26" s="44" t="s">
        <v>919</v>
      </c>
      <c r="M26" s="42">
        <v>0</v>
      </c>
      <c r="N26" s="42">
        <v>-2.6714999999999999E-2</v>
      </c>
      <c r="O26" s="42">
        <v>-7.3539999999999994E-2</v>
      </c>
      <c r="P26" s="42">
        <v>-1.1743E-2</v>
      </c>
      <c r="Q26" s="42">
        <v>-1.8350999999999999E-2</v>
      </c>
      <c r="R26" s="47">
        <v>-0.1303</v>
      </c>
      <c r="T26" t="str">
        <f>country!A35</f>
        <v>CÃ´te d'Ivoire</v>
      </c>
      <c r="U26" s="8">
        <f>country!D35</f>
        <v>957.65895361709386</v>
      </c>
      <c r="V26" s="8">
        <f>country!G35</f>
        <v>26.3</v>
      </c>
      <c r="AH26" s="40"/>
    </row>
    <row r="27" spans="1:34" x14ac:dyDescent="0.35">
      <c r="A27" t="s">
        <v>129</v>
      </c>
      <c r="B27" t="str">
        <f t="shared" si="5"/>
        <v>Brazil</v>
      </c>
      <c r="C27">
        <f t="shared" si="5"/>
        <v>-2.13</v>
      </c>
      <c r="D27">
        <f t="shared" si="6"/>
        <v>0</v>
      </c>
      <c r="E27">
        <f t="shared" si="6"/>
        <v>-0.59209999999999996</v>
      </c>
      <c r="F27">
        <f t="shared" si="6"/>
        <v>-0.86440000000000006</v>
      </c>
      <c r="G27">
        <f t="shared" si="6"/>
        <v>-0.34320000000000001</v>
      </c>
      <c r="H27">
        <f t="shared" si="6"/>
        <v>-0.32929999999999998</v>
      </c>
      <c r="J27" t="s">
        <v>217</v>
      </c>
      <c r="K27">
        <v>-0.65</v>
      </c>
      <c r="L27" s="44" t="s">
        <v>966</v>
      </c>
      <c r="M27" s="42">
        <v>-5.8999999999999998E-5</v>
      </c>
      <c r="N27" s="42">
        <v>-1.818E-3</v>
      </c>
      <c r="O27" s="42">
        <v>0</v>
      </c>
      <c r="P27" s="42">
        <v>-4.75E-4</v>
      </c>
      <c r="Q27" s="42">
        <v>-4.1739999999999998E-3</v>
      </c>
      <c r="R27" s="45">
        <v>-6.4999999999999997E-3</v>
      </c>
      <c r="T27" t="str">
        <f>country!A49</f>
        <v>Croatia</v>
      </c>
      <c r="U27" s="8">
        <f>country!D49</f>
        <v>10383.506161918598</v>
      </c>
      <c r="V27" s="8">
        <f>country!G49</f>
        <v>10.9</v>
      </c>
      <c r="AH27" s="40"/>
    </row>
    <row r="28" spans="1:34" x14ac:dyDescent="0.35">
      <c r="A28" t="s">
        <v>356</v>
      </c>
      <c r="B28" t="str">
        <f t="shared" si="5"/>
        <v>Brunei</v>
      </c>
      <c r="C28">
        <f t="shared" si="5"/>
        <v>-4.8099999999999996</v>
      </c>
      <c r="D28">
        <f t="shared" si="6"/>
        <v>-9.9999999999999991E-5</v>
      </c>
      <c r="E28">
        <f t="shared" si="6"/>
        <v>-5.8999999999999999E-3</v>
      </c>
      <c r="F28">
        <f t="shared" si="6"/>
        <v>-2.0021</v>
      </c>
      <c r="G28">
        <f t="shared" si="6"/>
        <v>-0.1206</v>
      </c>
      <c r="H28">
        <f t="shared" si="6"/>
        <v>-2.6785999999999999</v>
      </c>
      <c r="J28" t="s">
        <v>248</v>
      </c>
      <c r="K28">
        <v>-4.6100000000000003</v>
      </c>
      <c r="L28" s="44" t="s">
        <v>924</v>
      </c>
      <c r="M28" s="42">
        <v>-3.9999999999999998E-6</v>
      </c>
      <c r="N28" s="42">
        <v>-4.3059999999999999E-3</v>
      </c>
      <c r="O28" s="42">
        <v>-1.4059999999999999E-3</v>
      </c>
      <c r="P28" s="42">
        <v>-4.26E-4</v>
      </c>
      <c r="Q28" s="42">
        <v>-3.9983999999999999E-2</v>
      </c>
      <c r="R28" s="43">
        <v>-4.6100000000000002E-2</v>
      </c>
      <c r="T28" t="str">
        <f>country!A51</f>
        <v>Cyprus</v>
      </c>
      <c r="U28" s="8">
        <f>country!D51</f>
        <v>17402.698674388368</v>
      </c>
      <c r="V28" s="8">
        <f>country!G51</f>
        <v>18.399999999999999</v>
      </c>
      <c r="AH28" s="40"/>
    </row>
    <row r="29" spans="1:34" x14ac:dyDescent="0.35">
      <c r="A29" t="s">
        <v>216</v>
      </c>
      <c r="B29" t="str">
        <f t="shared" si="5"/>
        <v>Bulgaria</v>
      </c>
      <c r="C29">
        <f t="shared" si="5"/>
        <v>0.76</v>
      </c>
      <c r="D29">
        <f t="shared" si="6"/>
        <v>0</v>
      </c>
      <c r="E29">
        <f t="shared" si="6"/>
        <v>-0.23139999999999999</v>
      </c>
      <c r="F29">
        <f t="shared" si="6"/>
        <v>0</v>
      </c>
      <c r="G29">
        <f t="shared" si="6"/>
        <v>-8.3600000000000008E-2</v>
      </c>
      <c r="H29">
        <f t="shared" si="6"/>
        <v>1.0793000000000001</v>
      </c>
      <c r="J29" t="s">
        <v>249</v>
      </c>
      <c r="K29">
        <v>1.44</v>
      </c>
      <c r="L29" s="44" t="s">
        <v>940</v>
      </c>
      <c r="M29" s="42">
        <v>0</v>
      </c>
      <c r="N29" s="42">
        <v>3.6900000000000002E-4</v>
      </c>
      <c r="O29" s="42">
        <v>0</v>
      </c>
      <c r="P29" s="42">
        <v>-3.8299999999999999E-4</v>
      </c>
      <c r="Q29" s="42">
        <v>1.4414E-2</v>
      </c>
      <c r="R29" s="46">
        <v>1.44E-2</v>
      </c>
      <c r="T29" t="str">
        <f>country!A52</f>
        <v>Czech Republic</v>
      </c>
      <c r="U29" s="8">
        <f>country!D52</f>
        <v>14114.421997373165</v>
      </c>
      <c r="V29" s="8">
        <f>country!G52</f>
        <v>7.5</v>
      </c>
      <c r="AH29" s="40"/>
    </row>
    <row r="30" spans="1:34" x14ac:dyDescent="0.35">
      <c r="A30" t="s">
        <v>247</v>
      </c>
      <c r="B30" t="str">
        <f t="shared" si="5"/>
        <v>Burkina Faso</v>
      </c>
      <c r="C30">
        <f t="shared" si="5"/>
        <v>-11.87</v>
      </c>
      <c r="D30">
        <f t="shared" si="6"/>
        <v>0</v>
      </c>
      <c r="E30">
        <f t="shared" si="6"/>
        <v>-2.3843000000000001</v>
      </c>
      <c r="F30">
        <f t="shared" si="6"/>
        <v>-5.8824000000000005</v>
      </c>
      <c r="G30">
        <f t="shared" si="6"/>
        <v>-0.67099999999999993</v>
      </c>
      <c r="H30">
        <f t="shared" si="6"/>
        <v>-2.9329999999999998</v>
      </c>
      <c r="J30" t="s">
        <v>136</v>
      </c>
      <c r="K30">
        <v>1.82</v>
      </c>
      <c r="L30" s="44" t="s">
        <v>958</v>
      </c>
      <c r="M30" s="42">
        <v>0</v>
      </c>
      <c r="N30" s="42">
        <v>2.7099999999999997E-4</v>
      </c>
      <c r="O30" s="42">
        <v>0</v>
      </c>
      <c r="P30" s="42">
        <v>-5.0600000000000005E-4</v>
      </c>
      <c r="Q30" s="42">
        <v>1.848E-2</v>
      </c>
      <c r="R30" s="46">
        <v>1.8200000000000001E-2</v>
      </c>
      <c r="T30" t="str">
        <f>country!A53</f>
        <v>Denmark</v>
      </c>
      <c r="U30" s="8">
        <f>country!D53</f>
        <v>46292.736560813282</v>
      </c>
      <c r="V30" s="8">
        <f>country!G53</f>
        <v>7.5</v>
      </c>
      <c r="AH30" s="40"/>
    </row>
    <row r="31" spans="1:34" x14ac:dyDescent="0.35">
      <c r="A31" t="s">
        <v>357</v>
      </c>
      <c r="B31" t="str">
        <f>J$124</f>
        <v>Rest of East Africa</v>
      </c>
      <c r="C31">
        <f>K$124</f>
        <v>-4.62</v>
      </c>
      <c r="D31">
        <f>100*M$124</f>
        <v>0</v>
      </c>
      <c r="E31">
        <f>100*N$124</f>
        <v>-1.2136</v>
      </c>
      <c r="F31">
        <f>100*O$124</f>
        <v>-2.407</v>
      </c>
      <c r="G31">
        <f>100*P$124</f>
        <v>-0.99550000000000005</v>
      </c>
      <c r="H31">
        <f>100*Q$124</f>
        <v>0</v>
      </c>
      <c r="J31" t="s">
        <v>220</v>
      </c>
      <c r="K31">
        <v>-6.86</v>
      </c>
      <c r="L31" s="44" t="s">
        <v>977</v>
      </c>
      <c r="M31" s="42">
        <v>-6.0000000000000002E-6</v>
      </c>
      <c r="N31" s="42">
        <v>-6.8599999999999998E-3</v>
      </c>
      <c r="O31" s="42">
        <v>-1.8276000000000001E-2</v>
      </c>
      <c r="P31" s="42">
        <v>-1.3010000000000001E-3</v>
      </c>
      <c r="Q31" s="42">
        <v>-4.2141999999999999E-2</v>
      </c>
      <c r="R31" s="47">
        <v>-6.8599999999999994E-2</v>
      </c>
      <c r="T31" t="str">
        <f>country!A56</f>
        <v>Dominican Republic</v>
      </c>
      <c r="U31" s="8">
        <f>country!D56</f>
        <v>4776.8421015330105</v>
      </c>
      <c r="V31" s="8">
        <f>country!G56</f>
        <v>24.5</v>
      </c>
      <c r="AH31" s="40"/>
    </row>
    <row r="32" spans="1:34" x14ac:dyDescent="0.35">
      <c r="A32" t="s">
        <v>358</v>
      </c>
      <c r="B32" t="str">
        <f>J26</f>
        <v>Cote d'Ivoire</v>
      </c>
      <c r="C32">
        <f>K26</f>
        <v>-13.03</v>
      </c>
      <c r="D32">
        <f>100*M26</f>
        <v>0</v>
      </c>
      <c r="E32">
        <f>100*N26</f>
        <v>-2.6715</v>
      </c>
      <c r="F32">
        <f>100*O26</f>
        <v>-7.3539999999999992</v>
      </c>
      <c r="G32">
        <f>100*P26</f>
        <v>-1.1742999999999999</v>
      </c>
      <c r="H32">
        <f>100*Q26</f>
        <v>-1.8351</v>
      </c>
      <c r="J32" t="s">
        <v>638</v>
      </c>
      <c r="K32">
        <v>-1.93</v>
      </c>
      <c r="L32" s="44" t="s">
        <v>922</v>
      </c>
      <c r="M32" s="42">
        <v>-3.9999999999999998E-6</v>
      </c>
      <c r="N32" s="42">
        <v>-1.0763E-2</v>
      </c>
      <c r="O32" s="42">
        <v>0</v>
      </c>
      <c r="P32" s="42">
        <v>-1.526E-3</v>
      </c>
      <c r="Q32" s="42">
        <v>-7.0020000000000004E-3</v>
      </c>
      <c r="R32" s="43">
        <v>-1.9300000000000001E-2</v>
      </c>
      <c r="T32" t="str">
        <f>country!A57</f>
        <v>Ecuador</v>
      </c>
      <c r="U32" s="8">
        <f>country!D57</f>
        <v>3250.7458870185928</v>
      </c>
      <c r="V32" s="8">
        <f>country!G57</f>
        <v>21.8</v>
      </c>
      <c r="AH32" s="40"/>
    </row>
    <row r="33" spans="1:34" x14ac:dyDescent="0.35">
      <c r="A33" t="s">
        <v>359</v>
      </c>
      <c r="B33" t="str">
        <f t="shared" ref="B33:C35" si="7">J19</f>
        <v>Cambodia</v>
      </c>
      <c r="C33">
        <f t="shared" si="7"/>
        <v>-18.25</v>
      </c>
      <c r="D33">
        <f t="shared" ref="D33:H35" si="8">100*M19</f>
        <v>-1.9999999999999998E-4</v>
      </c>
      <c r="E33">
        <f t="shared" si="8"/>
        <v>-2.1774</v>
      </c>
      <c r="F33">
        <f t="shared" si="8"/>
        <v>-5.2923999999999998</v>
      </c>
      <c r="G33">
        <f t="shared" si="8"/>
        <v>-0.13150000000000001</v>
      </c>
      <c r="H33">
        <f t="shared" si="8"/>
        <v>-10.6492</v>
      </c>
      <c r="J33" t="s">
        <v>139</v>
      </c>
      <c r="K33">
        <v>-3.84</v>
      </c>
      <c r="L33" s="44" t="s">
        <v>969</v>
      </c>
      <c r="M33" s="42">
        <v>-5.0000000000000004E-6</v>
      </c>
      <c r="N33" s="42">
        <v>-1.1341E-2</v>
      </c>
      <c r="O33" s="42">
        <v>-6.9049999999999997E-3</v>
      </c>
      <c r="P33" s="42">
        <v>-4.6560000000000004E-3</v>
      </c>
      <c r="Q33" s="42">
        <v>-1.5531E-2</v>
      </c>
      <c r="R33" s="43">
        <v>-3.8399999999999997E-2</v>
      </c>
      <c r="T33" t="str">
        <f>country!A58</f>
        <v>Egypt</v>
      </c>
      <c r="U33" s="8">
        <f>country!D58</f>
        <v>1550.2405578416574</v>
      </c>
      <c r="V33" s="8">
        <f>country!G58</f>
        <v>22.1</v>
      </c>
      <c r="AH33" s="40"/>
    </row>
    <row r="34" spans="1:34" x14ac:dyDescent="0.35">
      <c r="A34" t="s">
        <v>130</v>
      </c>
      <c r="B34" t="str">
        <f t="shared" si="7"/>
        <v>Cameroon</v>
      </c>
      <c r="C34">
        <f t="shared" si="7"/>
        <v>-8.1300000000000008</v>
      </c>
      <c r="D34">
        <f t="shared" si="8"/>
        <v>0</v>
      </c>
      <c r="E34">
        <f t="shared" si="8"/>
        <v>-2.4157000000000002</v>
      </c>
      <c r="F34">
        <f t="shared" si="8"/>
        <v>-2.6122000000000001</v>
      </c>
      <c r="G34">
        <f t="shared" si="8"/>
        <v>-1.0351000000000001</v>
      </c>
      <c r="H34">
        <f t="shared" si="8"/>
        <v>-2.0672000000000001</v>
      </c>
      <c r="J34" t="s">
        <v>140</v>
      </c>
      <c r="K34">
        <v>-4.55</v>
      </c>
      <c r="L34" s="44" t="s">
        <v>923</v>
      </c>
      <c r="M34" s="42">
        <v>-1.9999999999999999E-6</v>
      </c>
      <c r="N34" s="42">
        <v>-6.5040000000000002E-3</v>
      </c>
      <c r="O34" s="42">
        <v>-2.7781E-2</v>
      </c>
      <c r="P34" s="42">
        <v>-1.926E-3</v>
      </c>
      <c r="Q34" s="42">
        <v>-1.4962E-2</v>
      </c>
      <c r="R34" s="47">
        <v>-5.1200000000000002E-2</v>
      </c>
      <c r="T34" t="str">
        <f>country!A59</f>
        <v>El Salvador</v>
      </c>
      <c r="U34" s="8">
        <f>country!D59</f>
        <v>2949.613728722712</v>
      </c>
      <c r="V34" s="8">
        <f>country!G59</f>
        <v>24.4</v>
      </c>
      <c r="AH34" s="40"/>
    </row>
    <row r="35" spans="1:34" x14ac:dyDescent="0.35">
      <c r="A35" t="s">
        <v>131</v>
      </c>
      <c r="B35" t="str">
        <f t="shared" si="7"/>
        <v>Canada</v>
      </c>
      <c r="C35">
        <f t="shared" si="7"/>
        <v>1.27</v>
      </c>
      <c r="D35">
        <f t="shared" si="8"/>
        <v>-9.9999999999999991E-5</v>
      </c>
      <c r="E35">
        <f t="shared" si="8"/>
        <v>0.17229999999999998</v>
      </c>
      <c r="F35">
        <f t="shared" si="8"/>
        <v>0</v>
      </c>
      <c r="G35">
        <f t="shared" si="8"/>
        <v>0</v>
      </c>
      <c r="H35">
        <f t="shared" si="8"/>
        <v>1.1003000000000001</v>
      </c>
      <c r="J35" t="s">
        <v>221</v>
      </c>
      <c r="K35">
        <v>2.19</v>
      </c>
      <c r="L35" s="44" t="s">
        <v>978</v>
      </c>
      <c r="M35" s="42">
        <v>0</v>
      </c>
      <c r="N35" s="42">
        <v>1.165E-3</v>
      </c>
      <c r="O35" s="42">
        <v>0</v>
      </c>
      <c r="P35" s="42">
        <v>-3.79E-4</v>
      </c>
      <c r="Q35" s="42">
        <v>2.1073999999999999E-2</v>
      </c>
      <c r="R35" s="46">
        <v>2.1899999999999999E-2</v>
      </c>
      <c r="T35" t="str">
        <f>country!A62</f>
        <v>Estonia</v>
      </c>
      <c r="U35" s="8">
        <f>country!D62</f>
        <v>10369.839494653985</v>
      </c>
      <c r="V35" s="8">
        <f>country!G62</f>
        <v>5.0999999999999996</v>
      </c>
      <c r="AH35" s="40"/>
    </row>
    <row r="36" spans="1:34" x14ac:dyDescent="0.35">
      <c r="A36" t="s">
        <v>360</v>
      </c>
      <c r="B36" t="str">
        <f>J$140</f>
        <v>Rest of West Africa</v>
      </c>
      <c r="C36">
        <f>K$140</f>
        <v>-6.07</v>
      </c>
      <c r="D36">
        <f>100*M$140</f>
        <v>0</v>
      </c>
      <c r="E36">
        <f>100*N$140</f>
        <v>-1.5088000000000001</v>
      </c>
      <c r="F36">
        <f>100*O$140</f>
        <v>-3.9965999999999999</v>
      </c>
      <c r="G36">
        <f>100*P$140</f>
        <v>-0.56850000000000001</v>
      </c>
      <c r="H36">
        <f>100*Q$140</f>
        <v>0</v>
      </c>
      <c r="J36" t="s">
        <v>141</v>
      </c>
      <c r="K36">
        <v>-5.82</v>
      </c>
      <c r="L36" s="44" t="s">
        <v>904</v>
      </c>
      <c r="M36" s="42">
        <v>0</v>
      </c>
      <c r="N36" s="42">
        <v>-3.4512000000000001E-2</v>
      </c>
      <c r="O36" s="42">
        <v>0</v>
      </c>
      <c r="P36" s="42">
        <v>-8.9429999999999996E-3</v>
      </c>
      <c r="Q36" s="42">
        <v>-1.4763E-2</v>
      </c>
      <c r="R36" s="47">
        <v>-5.8200000000000002E-2</v>
      </c>
      <c r="T36" t="str">
        <f>country!A63</f>
        <v>Ethiopia</v>
      </c>
      <c r="U36" s="8">
        <f>country!D63</f>
        <v>234.25889686975188</v>
      </c>
      <c r="V36" s="8">
        <f>country!G63</f>
        <v>22.2</v>
      </c>
      <c r="AH36" s="40"/>
    </row>
    <row r="37" spans="1:34" x14ac:dyDescent="0.35">
      <c r="A37" t="s">
        <v>361</v>
      </c>
      <c r="B37" t="str">
        <f>J$122</f>
        <v>Rest of Central Africa</v>
      </c>
      <c r="C37">
        <f>K$122</f>
        <v>-2.38</v>
      </c>
      <c r="D37">
        <f t="shared" ref="D37:H38" si="9">100*M$122</f>
        <v>0</v>
      </c>
      <c r="E37">
        <f t="shared" si="9"/>
        <v>-0.47089999999999999</v>
      </c>
      <c r="F37">
        <f t="shared" si="9"/>
        <v>-0.80999999999999994</v>
      </c>
      <c r="G37">
        <f t="shared" si="9"/>
        <v>-0.62939999999999996</v>
      </c>
      <c r="H37">
        <f t="shared" si="9"/>
        <v>-0.46750000000000003</v>
      </c>
      <c r="J37" t="s">
        <v>142</v>
      </c>
      <c r="K37">
        <v>1.48</v>
      </c>
      <c r="L37" s="44" t="s">
        <v>925</v>
      </c>
      <c r="M37" s="42">
        <v>0</v>
      </c>
      <c r="N37" s="42">
        <v>1.317E-3</v>
      </c>
      <c r="O37" s="42">
        <v>0</v>
      </c>
      <c r="P37" s="42">
        <v>-4.7100000000000001E-4</v>
      </c>
      <c r="Q37" s="42">
        <v>1.3953999999999999E-2</v>
      </c>
      <c r="R37" s="46">
        <v>1.4800000000000001E-2</v>
      </c>
      <c r="T37" t="str">
        <f>country!A66</f>
        <v>Finland</v>
      </c>
      <c r="U37" s="8">
        <f>country!D66</f>
        <v>38064.653322818347</v>
      </c>
      <c r="V37" s="8">
        <f>country!G66</f>
        <v>1.7</v>
      </c>
      <c r="AH37" s="40"/>
    </row>
    <row r="38" spans="1:34" x14ac:dyDescent="0.35">
      <c r="A38" t="s">
        <v>362</v>
      </c>
      <c r="B38" t="str">
        <f>J$122</f>
        <v>Rest of Central Africa</v>
      </c>
      <c r="C38">
        <f>K$122</f>
        <v>-2.38</v>
      </c>
      <c r="D38">
        <f t="shared" si="9"/>
        <v>0</v>
      </c>
      <c r="E38">
        <f t="shared" si="9"/>
        <v>-0.47089999999999999</v>
      </c>
      <c r="F38">
        <f t="shared" si="9"/>
        <v>-0.80999999999999994</v>
      </c>
      <c r="G38">
        <f t="shared" si="9"/>
        <v>-0.62939999999999996</v>
      </c>
      <c r="H38">
        <f t="shared" si="9"/>
        <v>-0.46750000000000003</v>
      </c>
      <c r="J38" t="s">
        <v>143</v>
      </c>
      <c r="K38">
        <v>0.3</v>
      </c>
      <c r="L38" s="44" t="s">
        <v>926</v>
      </c>
      <c r="M38" s="42">
        <v>0</v>
      </c>
      <c r="N38" s="42">
        <v>1.9999999999999999E-6</v>
      </c>
      <c r="O38" s="42">
        <v>0</v>
      </c>
      <c r="P38" s="42">
        <v>-5.0100000000000003E-4</v>
      </c>
      <c r="Q38" s="42">
        <v>3.5149999999999999E-3</v>
      </c>
      <c r="R38" s="46">
        <v>3.0000000000000001E-3</v>
      </c>
      <c r="T38" t="str">
        <f>country!A67</f>
        <v>France</v>
      </c>
      <c r="U38" s="8">
        <f>country!D67</f>
        <v>33898.26965325878</v>
      </c>
      <c r="V38" s="8">
        <f>country!G67</f>
        <v>10.7</v>
      </c>
      <c r="AH38" s="40"/>
    </row>
    <row r="39" spans="1:34" x14ac:dyDescent="0.35">
      <c r="A39" t="s">
        <v>132</v>
      </c>
      <c r="B39" t="str">
        <f t="shared" ref="B39:C41" si="10">J22</f>
        <v>Chile</v>
      </c>
      <c r="C39">
        <f t="shared" si="10"/>
        <v>-0.26</v>
      </c>
      <c r="D39">
        <f t="shared" ref="D39:H41" si="11">100*M22</f>
        <v>-1.9999999999999998E-4</v>
      </c>
      <c r="E39">
        <f t="shared" si="11"/>
        <v>1.03E-2</v>
      </c>
      <c r="F39">
        <f t="shared" si="11"/>
        <v>0</v>
      </c>
      <c r="G39">
        <f t="shared" si="11"/>
        <v>-0.2737</v>
      </c>
      <c r="H39">
        <f t="shared" si="11"/>
        <v>6.9999999999999999E-4</v>
      </c>
      <c r="J39" t="s">
        <v>222</v>
      </c>
      <c r="K39">
        <v>-1.92</v>
      </c>
      <c r="L39" s="44" t="s">
        <v>988</v>
      </c>
      <c r="M39" s="42">
        <v>-3.0000000000000001E-6</v>
      </c>
      <c r="N39" s="42">
        <v>1.3849999999999999E-3</v>
      </c>
      <c r="O39" s="42">
        <v>-5.22E-4</v>
      </c>
      <c r="P39" s="42">
        <v>-8.43E-4</v>
      </c>
      <c r="Q39" s="42">
        <v>-1.9214999999999999E-2</v>
      </c>
      <c r="R39" s="43">
        <v>-1.9199999999999998E-2</v>
      </c>
      <c r="T39" t="str">
        <f>country!A70</f>
        <v>Georgia</v>
      </c>
      <c r="U39" s="8">
        <f>country!D70</f>
        <v>1850.8208503929698</v>
      </c>
      <c r="V39" s="8">
        <f>country!G70</f>
        <v>5.8</v>
      </c>
      <c r="AH39" s="40"/>
    </row>
    <row r="40" spans="1:34" x14ac:dyDescent="0.35">
      <c r="A40" t="s">
        <v>65</v>
      </c>
      <c r="B40" t="str">
        <f t="shared" si="10"/>
        <v>China</v>
      </c>
      <c r="C40">
        <f t="shared" si="10"/>
        <v>-1.07</v>
      </c>
      <c r="D40">
        <f t="shared" si="11"/>
        <v>0</v>
      </c>
      <c r="E40">
        <f t="shared" si="11"/>
        <v>0.19750000000000001</v>
      </c>
      <c r="F40">
        <f t="shared" si="11"/>
        <v>-0.54489999999999994</v>
      </c>
      <c r="G40">
        <f t="shared" si="11"/>
        <v>-0.8163999999999999</v>
      </c>
      <c r="H40">
        <f t="shared" si="11"/>
        <v>8.8999999999999996E-2</v>
      </c>
      <c r="J40" t="s">
        <v>144</v>
      </c>
      <c r="K40">
        <v>0.75</v>
      </c>
      <c r="L40" s="44" t="s">
        <v>927</v>
      </c>
      <c r="M40" s="42">
        <v>0</v>
      </c>
      <c r="N40" s="42">
        <v>1.15E-4</v>
      </c>
      <c r="O40" s="42">
        <v>0</v>
      </c>
      <c r="P40" s="42">
        <v>-5.2999999999999998E-4</v>
      </c>
      <c r="Q40" s="42">
        <v>7.9330000000000008E-3</v>
      </c>
      <c r="R40" s="46">
        <v>7.4999999999999997E-3</v>
      </c>
      <c r="T40" t="str">
        <f>country!A71</f>
        <v>Germany</v>
      </c>
      <c r="U40" s="8">
        <f>country!D71</f>
        <v>36127.047700224583</v>
      </c>
      <c r="V40" s="8">
        <f>country!G71</f>
        <v>8.4</v>
      </c>
      <c r="AH40" s="40"/>
    </row>
    <row r="41" spans="1:34" x14ac:dyDescent="0.35">
      <c r="A41" t="s">
        <v>133</v>
      </c>
      <c r="B41" t="str">
        <f t="shared" si="10"/>
        <v>Colombia</v>
      </c>
      <c r="C41">
        <f t="shared" si="10"/>
        <v>-2.52</v>
      </c>
      <c r="D41">
        <f t="shared" si="11"/>
        <v>-9.9999999999999991E-5</v>
      </c>
      <c r="E41">
        <f t="shared" si="11"/>
        <v>-0.77810000000000001</v>
      </c>
      <c r="F41">
        <f t="shared" si="11"/>
        <v>-0.97170000000000001</v>
      </c>
      <c r="G41">
        <f t="shared" si="11"/>
        <v>-0.1258</v>
      </c>
      <c r="H41">
        <f t="shared" si="11"/>
        <v>-0.64610000000000001</v>
      </c>
      <c r="J41" t="s">
        <v>224</v>
      </c>
      <c r="K41">
        <v>-13.19</v>
      </c>
      <c r="L41" s="44" t="s">
        <v>933</v>
      </c>
      <c r="M41" s="42">
        <v>0</v>
      </c>
      <c r="N41" s="42">
        <v>-2.5318E-2</v>
      </c>
      <c r="O41" s="42">
        <v>-7.6143000000000002E-2</v>
      </c>
      <c r="P41" s="42">
        <v>-1.2015E-2</v>
      </c>
      <c r="Q41" s="42">
        <v>-1.8443000000000001E-2</v>
      </c>
      <c r="R41" s="47">
        <v>-0.13189999999999999</v>
      </c>
      <c r="T41" t="str">
        <f>country!A72</f>
        <v>Ghana</v>
      </c>
      <c r="U41" s="8">
        <f>country!D72</f>
        <v>610.18365679635724</v>
      </c>
      <c r="V41" s="8">
        <f>country!G72</f>
        <v>27.2</v>
      </c>
      <c r="AH41" s="40"/>
    </row>
    <row r="42" spans="1:34" x14ac:dyDescent="0.35">
      <c r="A42" t="s">
        <v>363</v>
      </c>
      <c r="B42" t="str">
        <f>J$124</f>
        <v>Rest of East Africa</v>
      </c>
      <c r="C42">
        <f>K$124</f>
        <v>-4.62</v>
      </c>
      <c r="D42">
        <f>100*M$124</f>
        <v>0</v>
      </c>
      <c r="E42">
        <f>100*N$124</f>
        <v>-1.2136</v>
      </c>
      <c r="F42">
        <f>100*O$124</f>
        <v>-2.407</v>
      </c>
      <c r="G42">
        <f>100*P$124</f>
        <v>-0.99550000000000005</v>
      </c>
      <c r="H42">
        <f>100*Q$124</f>
        <v>0</v>
      </c>
      <c r="J42" t="s">
        <v>145</v>
      </c>
      <c r="K42">
        <v>-1.35</v>
      </c>
      <c r="L42" s="44" t="s">
        <v>928</v>
      </c>
      <c r="M42" s="42">
        <v>-9.9999999999999995E-7</v>
      </c>
      <c r="N42" s="42">
        <v>-2.039E-3</v>
      </c>
      <c r="O42" s="42">
        <v>-5.4500000000000002E-4</v>
      </c>
      <c r="P42" s="42">
        <v>-3.2899999999999997E-4</v>
      </c>
      <c r="Q42" s="42">
        <v>-1.0597000000000001E-2</v>
      </c>
      <c r="R42" s="43">
        <v>-1.35E-2</v>
      </c>
      <c r="T42" t="str">
        <f>country!A73</f>
        <v>Greece</v>
      </c>
      <c r="U42" s="8">
        <f>country!D73</f>
        <v>21308.962091753539</v>
      </c>
      <c r="V42" s="8">
        <f>country!G73</f>
        <v>15.4</v>
      </c>
      <c r="AH42" s="40"/>
    </row>
    <row r="43" spans="1:34" x14ac:dyDescent="0.35">
      <c r="A43" t="s">
        <v>364</v>
      </c>
      <c r="B43" t="str">
        <f>J$136</f>
        <v>Rest of South Central Africa</v>
      </c>
      <c r="C43">
        <f>K$136</f>
        <v>-1.8</v>
      </c>
      <c r="D43">
        <f>100*M$136</f>
        <v>0</v>
      </c>
      <c r="E43">
        <f>100*N$136</f>
        <v>-0.98630000000000007</v>
      </c>
      <c r="F43">
        <f>100*O$136</f>
        <v>-4.6099999999999995E-2</v>
      </c>
      <c r="G43">
        <f>100*P$136</f>
        <v>-0.7702</v>
      </c>
      <c r="H43">
        <f>100*Q$136</f>
        <v>0</v>
      </c>
      <c r="J43" t="s">
        <v>147</v>
      </c>
      <c r="K43">
        <v>-3.57</v>
      </c>
      <c r="L43" s="44" t="s">
        <v>900</v>
      </c>
      <c r="M43" s="42">
        <v>-1.9999999999999999E-6</v>
      </c>
      <c r="N43" s="42">
        <v>-1.4468E-2</v>
      </c>
      <c r="O43" s="42">
        <v>-3.1879999999999999E-3</v>
      </c>
      <c r="P43" s="42">
        <v>-1.8600000000000001E-3</v>
      </c>
      <c r="Q43" s="42">
        <v>-1.6208E-2</v>
      </c>
      <c r="R43" s="43">
        <v>-3.5700000000000003E-2</v>
      </c>
      <c r="T43" t="str">
        <f>country!A76</f>
        <v>Guatemala</v>
      </c>
      <c r="U43" s="8">
        <f>country!D76</f>
        <v>2270.0961392922113</v>
      </c>
      <c r="V43" s="8">
        <f>country!G76</f>
        <v>23.4</v>
      </c>
      <c r="AH43" s="40"/>
    </row>
    <row r="44" spans="1:34" x14ac:dyDescent="0.35">
      <c r="A44" t="s">
        <v>365</v>
      </c>
      <c r="B44" t="str">
        <f>J$122</f>
        <v>Rest of Central Africa</v>
      </c>
      <c r="C44">
        <f>K$122</f>
        <v>-2.38</v>
      </c>
      <c r="D44">
        <f>100*M$122</f>
        <v>0</v>
      </c>
      <c r="E44">
        <f>100*N$122</f>
        <v>-0.47089999999999999</v>
      </c>
      <c r="F44">
        <f>100*O$122</f>
        <v>-0.80999999999999994</v>
      </c>
      <c r="G44">
        <f>100*P$122</f>
        <v>-0.62939999999999996</v>
      </c>
      <c r="H44">
        <f>100*Q$122</f>
        <v>-0.46750000000000003</v>
      </c>
      <c r="J44" t="s">
        <v>373</v>
      </c>
      <c r="K44">
        <v>-10.16</v>
      </c>
      <c r="L44" s="44" t="s">
        <v>951</v>
      </c>
      <c r="M44" s="42">
        <v>0</v>
      </c>
      <c r="N44" s="42">
        <v>-2.2525E-2</v>
      </c>
      <c r="O44" s="42">
        <v>-2.4490999999999999E-2</v>
      </c>
      <c r="P44" s="42">
        <v>-5.1279999999999997E-3</v>
      </c>
      <c r="Q44" s="42">
        <v>-4.9416000000000002E-2</v>
      </c>
      <c r="R44" s="47">
        <v>-0.1016</v>
      </c>
      <c r="T44" t="str">
        <f>country!A77</f>
        <v>Guinea</v>
      </c>
      <c r="U44" s="8">
        <f>country!D77</f>
        <v>300.44127805988973</v>
      </c>
      <c r="V44" s="8">
        <f>country!G77</f>
        <v>25.7</v>
      </c>
      <c r="AH44" s="40"/>
    </row>
    <row r="45" spans="1:34" x14ac:dyDescent="0.35">
      <c r="A45" t="s">
        <v>135</v>
      </c>
      <c r="B45" t="str">
        <f>J25</f>
        <v>Costa Rica</v>
      </c>
      <c r="C45">
        <f>K25</f>
        <v>-6.19</v>
      </c>
      <c r="D45">
        <f>100*M25</f>
        <v>-1.1000000000000001E-3</v>
      </c>
      <c r="E45">
        <f>100*N25</f>
        <v>-0.83850000000000002</v>
      </c>
      <c r="F45">
        <f>100*O25</f>
        <v>-1.9108000000000001</v>
      </c>
      <c r="G45">
        <f>100*P25</f>
        <v>-0.2989</v>
      </c>
      <c r="H45">
        <f>100*Q25</f>
        <v>-3.1429</v>
      </c>
      <c r="J45" t="s">
        <v>148</v>
      </c>
      <c r="K45">
        <v>-9.16</v>
      </c>
      <c r="L45" s="44" t="s">
        <v>901</v>
      </c>
      <c r="M45" s="42">
        <v>-5.0000000000000004E-6</v>
      </c>
      <c r="N45" s="42">
        <v>-1.3207999999999999E-2</v>
      </c>
      <c r="O45" s="42">
        <v>-4.0728E-2</v>
      </c>
      <c r="P45" s="42">
        <v>-1.931E-3</v>
      </c>
      <c r="Q45" s="42">
        <v>-3.5740000000000001E-2</v>
      </c>
      <c r="R45" s="47">
        <v>-9.1600000000000001E-2</v>
      </c>
      <c r="T45" t="str">
        <f>country!A81</f>
        <v>Honduras</v>
      </c>
      <c r="U45" s="8">
        <f>country!D81</f>
        <v>1514.9920435883439</v>
      </c>
      <c r="V45" s="8">
        <f>country!G81</f>
        <v>23.5</v>
      </c>
      <c r="AH45" s="40"/>
    </row>
    <row r="46" spans="1:34" x14ac:dyDescent="0.35">
      <c r="A46" t="s">
        <v>217</v>
      </c>
      <c r="B46" t="str">
        <f>J27</f>
        <v>Croatia</v>
      </c>
      <c r="C46">
        <f>K27</f>
        <v>-0.65</v>
      </c>
      <c r="D46">
        <f>100*M27</f>
        <v>-5.8999999999999999E-3</v>
      </c>
      <c r="E46">
        <f>100*N27</f>
        <v>-0.18179999999999999</v>
      </c>
      <c r="F46">
        <f>100*O27</f>
        <v>0</v>
      </c>
      <c r="G46">
        <f>100*P27</f>
        <v>-4.7500000000000001E-2</v>
      </c>
      <c r="H46">
        <f>100*Q27</f>
        <v>-0.41739999999999999</v>
      </c>
      <c r="J46" t="s">
        <v>149</v>
      </c>
      <c r="K46">
        <v>-7.67</v>
      </c>
      <c r="L46" s="44" t="s">
        <v>907</v>
      </c>
      <c r="M46" s="42">
        <v>-1.18E-4</v>
      </c>
      <c r="N46" s="42">
        <v>-4.8000000000000001E-4</v>
      </c>
      <c r="O46" s="42">
        <v>-1.6329E-2</v>
      </c>
      <c r="P46" s="42">
        <v>-7.2370000000000004E-3</v>
      </c>
      <c r="Q46" s="42">
        <v>-5.2540999999999997E-2</v>
      </c>
      <c r="R46" s="47">
        <v>-7.6700000000000004E-2</v>
      </c>
      <c r="T46" t="str">
        <f>country!A82</f>
        <v>Hong Kong</v>
      </c>
      <c r="U46" s="8">
        <f>country!D82</f>
        <v>31328.585208738998</v>
      </c>
      <c r="V46" s="8">
        <f>country!G82</f>
        <v>22.7</v>
      </c>
      <c r="AH46" s="40"/>
    </row>
    <row r="47" spans="1:34" x14ac:dyDescent="0.35">
      <c r="A47" t="s">
        <v>366</v>
      </c>
      <c r="B47" t="str">
        <f>J$138</f>
        <v>Rest of the Caribbean</v>
      </c>
      <c r="C47">
        <f>K$138</f>
        <v>-7.84</v>
      </c>
      <c r="D47">
        <f>100*M$138</f>
        <v>-1.6999999999999999E-3</v>
      </c>
      <c r="E47">
        <f>100*N$138</f>
        <v>-0.59950000000000003</v>
      </c>
      <c r="F47">
        <f>100*O$138</f>
        <v>-3.3616999999999999</v>
      </c>
      <c r="G47">
        <f>100*P$138</f>
        <v>-0.2107</v>
      </c>
      <c r="H47">
        <f>100*Q$138</f>
        <v>-3.6623999999999999</v>
      </c>
      <c r="J47" t="s">
        <v>150</v>
      </c>
      <c r="K47">
        <v>0.93</v>
      </c>
      <c r="L47" s="44" t="s">
        <v>929</v>
      </c>
      <c r="M47" s="42">
        <v>0</v>
      </c>
      <c r="N47" s="42">
        <v>1.9100000000000001E-4</v>
      </c>
      <c r="O47" s="42">
        <v>0</v>
      </c>
      <c r="P47" s="42">
        <v>-3.7599999999999998E-4</v>
      </c>
      <c r="Q47" s="42">
        <v>9.476E-3</v>
      </c>
      <c r="R47" s="46">
        <v>9.2999999999999992E-3</v>
      </c>
      <c r="T47" t="str">
        <f>country!A83</f>
        <v>Hungary</v>
      </c>
      <c r="U47" s="8">
        <f>country!D83</f>
        <v>10926.468951505391</v>
      </c>
      <c r="V47" s="8">
        <f>country!G83</f>
        <v>9.8000000000000007</v>
      </c>
      <c r="AH47" s="40"/>
    </row>
    <row r="48" spans="1:34" x14ac:dyDescent="0.35">
      <c r="A48" t="s">
        <v>248</v>
      </c>
      <c r="B48" t="str">
        <f t="shared" ref="B48:C50" si="12">J28</f>
        <v>Cyprus</v>
      </c>
      <c r="C48">
        <f t="shared" si="12"/>
        <v>-4.6100000000000003</v>
      </c>
      <c r="D48">
        <f t="shared" ref="D48:H50" si="13">100*M28</f>
        <v>-3.9999999999999996E-4</v>
      </c>
      <c r="E48">
        <f t="shared" si="13"/>
        <v>-0.43059999999999998</v>
      </c>
      <c r="F48">
        <f t="shared" si="13"/>
        <v>-0.1406</v>
      </c>
      <c r="G48">
        <f t="shared" si="13"/>
        <v>-4.2599999999999999E-2</v>
      </c>
      <c r="H48">
        <f t="shared" si="13"/>
        <v>-3.9983999999999997</v>
      </c>
      <c r="J48" t="s">
        <v>152</v>
      </c>
      <c r="K48">
        <v>-6.24</v>
      </c>
      <c r="L48" s="44" t="s">
        <v>339</v>
      </c>
      <c r="M48" s="42">
        <v>-9.9999999999999995E-7</v>
      </c>
      <c r="N48" s="42">
        <v>-1.3077E-2</v>
      </c>
      <c r="O48" s="42">
        <v>-3.3045999999999999E-2</v>
      </c>
      <c r="P48" s="42">
        <v>-1.0484E-2</v>
      </c>
      <c r="Q48" s="42">
        <v>-5.829E-3</v>
      </c>
      <c r="R48" s="47">
        <v>-6.2399999999999997E-2</v>
      </c>
      <c r="T48" t="str">
        <f>country!A85</f>
        <v>India</v>
      </c>
      <c r="U48" s="8">
        <f>country!D85</f>
        <v>1031.5611094455749</v>
      </c>
      <c r="V48" s="8">
        <f>country!G85</f>
        <v>23.7</v>
      </c>
      <c r="AH48" s="40"/>
    </row>
    <row r="49" spans="1:34" x14ac:dyDescent="0.35">
      <c r="A49" t="s">
        <v>249</v>
      </c>
      <c r="B49" t="str">
        <f t="shared" si="12"/>
        <v>Czech Republic</v>
      </c>
      <c r="C49">
        <f t="shared" si="12"/>
        <v>1.44</v>
      </c>
      <c r="D49">
        <f t="shared" si="13"/>
        <v>0</v>
      </c>
      <c r="E49">
        <f t="shared" si="13"/>
        <v>3.6900000000000002E-2</v>
      </c>
      <c r="F49">
        <f t="shared" si="13"/>
        <v>0</v>
      </c>
      <c r="G49">
        <f t="shared" si="13"/>
        <v>-3.8300000000000001E-2</v>
      </c>
      <c r="H49">
        <f t="shared" si="13"/>
        <v>1.4414</v>
      </c>
      <c r="J49" t="s">
        <v>153</v>
      </c>
      <c r="K49">
        <v>-6.8</v>
      </c>
      <c r="L49" s="44" t="s">
        <v>882</v>
      </c>
      <c r="M49" s="42">
        <v>-1.0000000000000001E-5</v>
      </c>
      <c r="N49" s="42">
        <v>-1.1587E-2</v>
      </c>
      <c r="O49" s="42">
        <v>-4.7510999999999998E-2</v>
      </c>
      <c r="P49" s="42">
        <v>-1.7899999999999999E-3</v>
      </c>
      <c r="Q49" s="42">
        <v>-7.11E-3</v>
      </c>
      <c r="R49" s="47">
        <v>-6.8000000000000005E-2</v>
      </c>
      <c r="T49" t="str">
        <f>country!A86</f>
        <v>Indonesia</v>
      </c>
      <c r="U49" s="8">
        <f>country!D86</f>
        <v>1570.1529365014842</v>
      </c>
      <c r="V49" s="8">
        <f>country!G86</f>
        <v>25.8</v>
      </c>
      <c r="AH49" s="40"/>
    </row>
    <row r="50" spans="1:34" x14ac:dyDescent="0.35">
      <c r="A50" t="s">
        <v>136</v>
      </c>
      <c r="B50" t="str">
        <f t="shared" si="12"/>
        <v>Denmark</v>
      </c>
      <c r="C50">
        <f t="shared" si="12"/>
        <v>1.82</v>
      </c>
      <c r="D50">
        <f t="shared" si="13"/>
        <v>0</v>
      </c>
      <c r="E50">
        <f t="shared" si="13"/>
        <v>2.7099999999999999E-2</v>
      </c>
      <c r="F50">
        <f t="shared" si="13"/>
        <v>0</v>
      </c>
      <c r="G50">
        <f t="shared" si="13"/>
        <v>-5.0600000000000006E-2</v>
      </c>
      <c r="H50">
        <f t="shared" si="13"/>
        <v>1.8480000000000001</v>
      </c>
      <c r="J50" t="s">
        <v>154</v>
      </c>
      <c r="K50">
        <v>-0.82</v>
      </c>
      <c r="L50" s="44" t="s">
        <v>990</v>
      </c>
      <c r="M50" s="42">
        <v>0</v>
      </c>
      <c r="N50" s="42">
        <v>-4.2770000000000004E-3</v>
      </c>
      <c r="O50" s="42">
        <v>-1.8600000000000001E-3</v>
      </c>
      <c r="P50" s="42">
        <v>-1.181E-3</v>
      </c>
      <c r="Q50" s="42">
        <v>-8.43E-4</v>
      </c>
      <c r="R50" s="45">
        <v>-8.2000000000000007E-3</v>
      </c>
      <c r="T50" t="str">
        <f>country!A87</f>
        <v>Iran</v>
      </c>
      <c r="U50" s="8">
        <f>country!D87</f>
        <v>3259.3987232145187</v>
      </c>
      <c r="V50" s="8">
        <f>country!G87</f>
        <v>17.2</v>
      </c>
      <c r="AH50" s="40"/>
    </row>
    <row r="51" spans="1:34" x14ac:dyDescent="0.35">
      <c r="A51" t="s">
        <v>367</v>
      </c>
      <c r="B51" t="str">
        <f>J$124</f>
        <v>Rest of East Africa</v>
      </c>
      <c r="C51">
        <f>K$124</f>
        <v>-4.62</v>
      </c>
      <c r="D51">
        <f>100*M$124</f>
        <v>0</v>
      </c>
      <c r="E51">
        <f>100*N$124</f>
        <v>-1.2136</v>
      </c>
      <c r="F51">
        <f>100*O$124</f>
        <v>-2.407</v>
      </c>
      <c r="G51">
        <f>100*P$124</f>
        <v>-0.99550000000000005</v>
      </c>
      <c r="H51">
        <f>100*Q$124</f>
        <v>0</v>
      </c>
      <c r="J51" t="s">
        <v>155</v>
      </c>
      <c r="K51">
        <v>0.69</v>
      </c>
      <c r="L51" s="44" t="s">
        <v>930</v>
      </c>
      <c r="M51" s="42">
        <v>0</v>
      </c>
      <c r="N51" s="42">
        <v>1.16E-4</v>
      </c>
      <c r="O51" s="42">
        <v>0</v>
      </c>
      <c r="P51" s="42">
        <v>-4.0400000000000001E-4</v>
      </c>
      <c r="Q51" s="42">
        <v>7.1500000000000001E-3</v>
      </c>
      <c r="R51" s="46">
        <v>6.8999999999999999E-3</v>
      </c>
      <c r="T51" t="str">
        <f>country!A89</f>
        <v>Ireland</v>
      </c>
      <c r="U51" s="8">
        <f>country!D89</f>
        <v>45438.261855700264</v>
      </c>
      <c r="V51" s="8">
        <f>country!G89</f>
        <v>9.3000000000000007</v>
      </c>
      <c r="AH51" s="40"/>
    </row>
    <row r="52" spans="1:34" x14ac:dyDescent="0.35">
      <c r="A52" t="s">
        <v>137</v>
      </c>
      <c r="B52" t="str">
        <f>J$138</f>
        <v>Rest of the Caribbean</v>
      </c>
      <c r="C52">
        <f>K$138</f>
        <v>-7.84</v>
      </c>
      <c r="D52">
        <f>100*M$138</f>
        <v>-1.6999999999999999E-3</v>
      </c>
      <c r="E52">
        <f>100*N$138</f>
        <v>-0.59950000000000003</v>
      </c>
      <c r="F52">
        <f>100*O$138</f>
        <v>-3.3616999999999999</v>
      </c>
      <c r="G52">
        <f>100*P$138</f>
        <v>-0.2107</v>
      </c>
      <c r="H52">
        <f>100*Q$138</f>
        <v>-3.6623999999999999</v>
      </c>
      <c r="J52" t="s">
        <v>156</v>
      </c>
      <c r="K52">
        <v>-2.2200000000000002</v>
      </c>
      <c r="L52" s="44" t="s">
        <v>991</v>
      </c>
      <c r="M52" s="42">
        <v>0</v>
      </c>
      <c r="N52" s="42">
        <v>-1.655E-3</v>
      </c>
      <c r="O52" s="42">
        <v>-4.0000000000000002E-4</v>
      </c>
      <c r="P52" s="42">
        <v>-1.2584E-2</v>
      </c>
      <c r="Q52" s="42">
        <v>-7.5630000000000003E-3</v>
      </c>
      <c r="R52" s="43">
        <v>-2.2200000000000001E-2</v>
      </c>
      <c r="T52" t="str">
        <f>country!A91</f>
        <v>Israel</v>
      </c>
      <c r="U52" s="8">
        <f>country!D91</f>
        <v>22169.403538765182</v>
      </c>
      <c r="V52" s="8">
        <f>country!G91</f>
        <v>19.2</v>
      </c>
      <c r="AH52" s="40"/>
    </row>
    <row r="53" spans="1:34" x14ac:dyDescent="0.35">
      <c r="A53" t="s">
        <v>220</v>
      </c>
      <c r="B53" t="str">
        <f t="shared" ref="B53:C56" si="14">J31</f>
        <v>Dominican Republic</v>
      </c>
      <c r="C53">
        <f t="shared" si="14"/>
        <v>-6.86</v>
      </c>
      <c r="D53">
        <f t="shared" ref="D53:H56" si="15">100*M31</f>
        <v>-6.0000000000000006E-4</v>
      </c>
      <c r="E53">
        <f t="shared" si="15"/>
        <v>-0.68599999999999994</v>
      </c>
      <c r="F53">
        <f t="shared" si="15"/>
        <v>-1.8276000000000001</v>
      </c>
      <c r="G53">
        <f t="shared" si="15"/>
        <v>-0.13009999999999999</v>
      </c>
      <c r="H53">
        <f t="shared" si="15"/>
        <v>-4.2141999999999999</v>
      </c>
      <c r="J53" t="s">
        <v>157</v>
      </c>
      <c r="K53">
        <v>-0.18</v>
      </c>
      <c r="L53" s="44" t="s">
        <v>931</v>
      </c>
      <c r="M53" s="42">
        <v>0</v>
      </c>
      <c r="N53" s="42">
        <v>-1.3550000000000001E-3</v>
      </c>
      <c r="O53" s="42">
        <v>0</v>
      </c>
      <c r="P53" s="42">
        <v>-4.17E-4</v>
      </c>
      <c r="Q53" s="42">
        <v>-5.0000000000000004E-6</v>
      </c>
      <c r="R53" s="45">
        <v>-1.8E-3</v>
      </c>
      <c r="T53" t="str">
        <f>country!A92</f>
        <v>Italy</v>
      </c>
      <c r="U53" s="8">
        <f>country!D92</f>
        <v>29163.146051932734</v>
      </c>
      <c r="V53" s="8">
        <f>country!G92</f>
        <v>13.4</v>
      </c>
      <c r="AH53" s="40"/>
    </row>
    <row r="54" spans="1:34" x14ac:dyDescent="0.35">
      <c r="A54" t="s">
        <v>138</v>
      </c>
      <c r="B54" t="str">
        <f t="shared" si="14"/>
        <v>Ecaudor</v>
      </c>
      <c r="C54">
        <f t="shared" si="14"/>
        <v>-1.93</v>
      </c>
      <c r="D54">
        <f t="shared" si="15"/>
        <v>-3.9999999999999996E-4</v>
      </c>
      <c r="E54">
        <f t="shared" si="15"/>
        <v>-1.0763</v>
      </c>
      <c r="F54">
        <f t="shared" si="15"/>
        <v>0</v>
      </c>
      <c r="G54">
        <f t="shared" si="15"/>
        <v>-0.15260000000000001</v>
      </c>
      <c r="H54">
        <f t="shared" si="15"/>
        <v>-0.70020000000000004</v>
      </c>
      <c r="J54" t="s">
        <v>159</v>
      </c>
      <c r="K54">
        <v>-11.38</v>
      </c>
      <c r="L54" s="44" t="s">
        <v>912</v>
      </c>
      <c r="M54" s="42">
        <v>-6.0000000000000002E-6</v>
      </c>
      <c r="N54" s="42">
        <v>-3.2360000000000002E-3</v>
      </c>
      <c r="O54" s="42">
        <v>-2.3722E-2</v>
      </c>
      <c r="P54" s="42">
        <v>-1.9380000000000001E-3</v>
      </c>
      <c r="Q54" s="42">
        <v>-8.4870000000000001E-2</v>
      </c>
      <c r="R54" s="47">
        <v>-0.1138</v>
      </c>
      <c r="T54" t="str">
        <f>country!A93</f>
        <v>Jamaica</v>
      </c>
      <c r="U54" s="8">
        <f>country!D93</f>
        <v>4329.9743592711902</v>
      </c>
      <c r="V54" s="8">
        <f>country!G93</f>
        <v>27.2</v>
      </c>
      <c r="AH54" s="40"/>
    </row>
    <row r="55" spans="1:34" x14ac:dyDescent="0.35">
      <c r="A55" t="s">
        <v>139</v>
      </c>
      <c r="B55" t="str">
        <f t="shared" si="14"/>
        <v>Egypt</v>
      </c>
      <c r="C55">
        <f t="shared" si="14"/>
        <v>-3.84</v>
      </c>
      <c r="D55">
        <f t="shared" si="15"/>
        <v>-5.0000000000000001E-4</v>
      </c>
      <c r="E55">
        <f t="shared" si="15"/>
        <v>-1.1341000000000001</v>
      </c>
      <c r="F55">
        <f t="shared" si="15"/>
        <v>-0.6905</v>
      </c>
      <c r="G55">
        <f t="shared" si="15"/>
        <v>-0.46560000000000001</v>
      </c>
      <c r="H55">
        <f t="shared" si="15"/>
        <v>-1.5530999999999999</v>
      </c>
      <c r="J55" t="s">
        <v>64</v>
      </c>
      <c r="K55">
        <v>-0.39</v>
      </c>
      <c r="L55" s="44" t="s">
        <v>337</v>
      </c>
      <c r="M55" s="42">
        <v>-5.0000000000000004E-6</v>
      </c>
      <c r="N55" s="42">
        <v>-7.6499999999999995E-4</v>
      </c>
      <c r="O55" s="42">
        <v>-2.3340000000000001E-3</v>
      </c>
      <c r="P55" s="42">
        <v>-9.6699999999999998E-4</v>
      </c>
      <c r="Q55" s="42">
        <v>2.05E-4</v>
      </c>
      <c r="R55" s="45">
        <v>-3.8999999999999998E-3</v>
      </c>
      <c r="T55" t="str">
        <f>country!A94</f>
        <v>Japan</v>
      </c>
      <c r="U55" s="8">
        <f>country!D94</f>
        <v>36472.749157637452</v>
      </c>
      <c r="V55" s="8">
        <f>country!G94</f>
        <v>11.1</v>
      </c>
      <c r="AH55" s="40"/>
    </row>
    <row r="56" spans="1:34" x14ac:dyDescent="0.35">
      <c r="A56" t="s">
        <v>140</v>
      </c>
      <c r="B56" t="str">
        <f t="shared" si="14"/>
        <v>El Salvador</v>
      </c>
      <c r="C56">
        <f t="shared" si="14"/>
        <v>-4.55</v>
      </c>
      <c r="D56">
        <f t="shared" si="15"/>
        <v>-1.9999999999999998E-4</v>
      </c>
      <c r="E56">
        <f t="shared" si="15"/>
        <v>-0.65039999999999998</v>
      </c>
      <c r="F56">
        <f t="shared" si="15"/>
        <v>-2.7781000000000002</v>
      </c>
      <c r="G56">
        <f t="shared" si="15"/>
        <v>-0.19259999999999999</v>
      </c>
      <c r="H56">
        <f t="shared" si="15"/>
        <v>-1.4962</v>
      </c>
      <c r="J56" t="s">
        <v>251</v>
      </c>
      <c r="K56">
        <v>-5.09</v>
      </c>
      <c r="L56" s="44" t="s">
        <v>868</v>
      </c>
      <c r="M56" s="42">
        <v>0</v>
      </c>
      <c r="N56" s="42">
        <v>-3.5560000000000001E-3</v>
      </c>
      <c r="O56" s="42">
        <v>-1.4630000000000001E-3</v>
      </c>
      <c r="P56" s="42">
        <v>-5.3730000000000002E-3</v>
      </c>
      <c r="Q56" s="42">
        <v>-4.0530999999999998E-2</v>
      </c>
      <c r="R56" s="47">
        <v>-5.0900000000000001E-2</v>
      </c>
      <c r="T56" t="str">
        <f>country!A95</f>
        <v>Jordan</v>
      </c>
      <c r="U56" s="8">
        <f>country!D95</f>
        <v>2817.4886330764352</v>
      </c>
      <c r="V56" s="8">
        <f>country!G95</f>
        <v>18.3</v>
      </c>
      <c r="AH56" s="40"/>
    </row>
    <row r="57" spans="1:34" x14ac:dyDescent="0.35">
      <c r="A57" t="s">
        <v>368</v>
      </c>
      <c r="B57" t="str">
        <f>J$122</f>
        <v>Rest of Central Africa</v>
      </c>
      <c r="C57">
        <f>K$122</f>
        <v>-2.38</v>
      </c>
      <c r="D57">
        <f>100*M$122</f>
        <v>0</v>
      </c>
      <c r="E57">
        <f>100*N$122</f>
        <v>-0.47089999999999999</v>
      </c>
      <c r="F57">
        <f>100*O$122</f>
        <v>-0.80999999999999994</v>
      </c>
      <c r="G57">
        <f>100*P$122</f>
        <v>-0.62939999999999996</v>
      </c>
      <c r="H57">
        <f>100*Q$122</f>
        <v>-0.46750000000000003</v>
      </c>
      <c r="J57" t="s">
        <v>377</v>
      </c>
      <c r="K57">
        <v>0.31</v>
      </c>
      <c r="L57" s="44" t="s">
        <v>983</v>
      </c>
      <c r="M57" s="42">
        <v>0</v>
      </c>
      <c r="N57" s="42">
        <v>4.8899999999999996E-4</v>
      </c>
      <c r="O57" s="42">
        <v>0</v>
      </c>
      <c r="P57" s="42">
        <v>-8.43E-4</v>
      </c>
      <c r="Q57" s="42">
        <v>3.4039999999999999E-3</v>
      </c>
      <c r="R57" s="46">
        <v>3.0999999999999999E-3</v>
      </c>
      <c r="T57" t="str">
        <f>country!A96</f>
        <v>Kazakhstan</v>
      </c>
      <c r="U57" s="8">
        <f>country!D96</f>
        <v>4732.2159481266071</v>
      </c>
      <c r="V57" s="8">
        <f>country!G96</f>
        <v>6.4</v>
      </c>
      <c r="AH57" s="40"/>
    </row>
    <row r="58" spans="1:34" x14ac:dyDescent="0.35">
      <c r="A58" t="s">
        <v>369</v>
      </c>
      <c r="B58" t="str">
        <f>J$124</f>
        <v>Rest of East Africa</v>
      </c>
      <c r="C58">
        <f>K$124</f>
        <v>-4.62</v>
      </c>
      <c r="D58">
        <f>100*M$124</f>
        <v>0</v>
      </c>
      <c r="E58">
        <f>100*N$124</f>
        <v>-1.2136</v>
      </c>
      <c r="F58">
        <f>100*O$124</f>
        <v>-2.407</v>
      </c>
      <c r="G58">
        <f>100*P$124</f>
        <v>-0.99550000000000005</v>
      </c>
      <c r="H58">
        <f>100*Q$124</f>
        <v>0</v>
      </c>
      <c r="J58" t="s">
        <v>160</v>
      </c>
      <c r="K58">
        <v>-5.62</v>
      </c>
      <c r="L58" s="44" t="s">
        <v>920</v>
      </c>
      <c r="M58" s="42">
        <v>0</v>
      </c>
      <c r="N58" s="42">
        <v>-2.8648E-2</v>
      </c>
      <c r="O58" s="42">
        <v>-1.6980000000000001E-3</v>
      </c>
      <c r="P58" s="42">
        <v>-9.299E-3</v>
      </c>
      <c r="Q58" s="42">
        <v>-1.6563000000000001E-2</v>
      </c>
      <c r="R58" s="47">
        <v>-5.62E-2</v>
      </c>
      <c r="T58" t="str">
        <f>country!A97</f>
        <v>Kenya</v>
      </c>
      <c r="U58" s="8">
        <f>country!D97</f>
        <v>575.06029636736923</v>
      </c>
      <c r="V58" s="8">
        <f>country!G97</f>
        <v>24.7</v>
      </c>
      <c r="AH58" s="40"/>
    </row>
    <row r="59" spans="1:34" x14ac:dyDescent="0.35">
      <c r="A59" t="s">
        <v>221</v>
      </c>
      <c r="B59" t="str">
        <f>J35</f>
        <v>Estonia</v>
      </c>
      <c r="C59">
        <f>K35</f>
        <v>2.19</v>
      </c>
      <c r="D59">
        <f t="shared" ref="D59:H60" si="16">100*M35</f>
        <v>0</v>
      </c>
      <c r="E59">
        <f t="shared" si="16"/>
        <v>0.11650000000000001</v>
      </c>
      <c r="F59">
        <f t="shared" si="16"/>
        <v>0</v>
      </c>
      <c r="G59">
        <f t="shared" si="16"/>
        <v>-3.7900000000000003E-2</v>
      </c>
      <c r="H59">
        <f t="shared" si="16"/>
        <v>2.1073999999999997</v>
      </c>
      <c r="J59" t="s">
        <v>380</v>
      </c>
      <c r="K59">
        <v>-2.5</v>
      </c>
      <c r="L59" s="44" t="s">
        <v>869</v>
      </c>
      <c r="M59" s="42">
        <v>0</v>
      </c>
      <c r="N59" s="42">
        <v>-1.8200000000000001E-4</v>
      </c>
      <c r="O59" s="42">
        <v>-7.0049999999999999E-3</v>
      </c>
      <c r="P59" s="42">
        <v>-2.4069999999999999E-3</v>
      </c>
      <c r="Q59" s="42">
        <v>-1.5365E-2</v>
      </c>
      <c r="R59" s="43">
        <v>-2.5000000000000001E-2</v>
      </c>
      <c r="T59" t="str">
        <f>country!A100</f>
        <v>Kuwait</v>
      </c>
      <c r="U59" s="8">
        <f>country!D100</f>
        <v>28615.94754819524</v>
      </c>
      <c r="V59" s="8">
        <f>country!G100</f>
        <v>25.3</v>
      </c>
      <c r="AH59" s="40"/>
    </row>
    <row r="60" spans="1:34" x14ac:dyDescent="0.35">
      <c r="A60" t="s">
        <v>141</v>
      </c>
      <c r="B60" t="str">
        <f>J36</f>
        <v>Ethiopia</v>
      </c>
      <c r="C60">
        <f>K36</f>
        <v>-5.82</v>
      </c>
      <c r="D60">
        <f t="shared" si="16"/>
        <v>0</v>
      </c>
      <c r="E60">
        <f t="shared" si="16"/>
        <v>-3.4512</v>
      </c>
      <c r="F60">
        <f t="shared" si="16"/>
        <v>0</v>
      </c>
      <c r="G60">
        <f t="shared" si="16"/>
        <v>-0.89429999999999998</v>
      </c>
      <c r="H60">
        <f t="shared" si="16"/>
        <v>-1.4762999999999999</v>
      </c>
      <c r="J60" t="s">
        <v>252</v>
      </c>
      <c r="K60">
        <v>-1.05</v>
      </c>
      <c r="L60" s="44" t="s">
        <v>984</v>
      </c>
      <c r="M60" s="42">
        <v>0</v>
      </c>
      <c r="N60" s="42">
        <v>7.8220000000000008E-3</v>
      </c>
      <c r="O60" s="42">
        <v>0</v>
      </c>
      <c r="P60" s="42">
        <v>-6.38E-4</v>
      </c>
      <c r="Q60" s="42">
        <v>-1.7649000000000001E-2</v>
      </c>
      <c r="R60" s="43">
        <v>-1.0500000000000001E-2</v>
      </c>
      <c r="T60" t="str">
        <f>country!A101</f>
        <v>Kyrgyzstan</v>
      </c>
      <c r="U60" s="8">
        <f>country!D101</f>
        <v>560.91462241153135</v>
      </c>
      <c r="V60" s="8">
        <f>country!G101</f>
        <v>1.6</v>
      </c>
      <c r="AH60" s="40"/>
    </row>
    <row r="61" spans="1:34" x14ac:dyDescent="0.35">
      <c r="A61" t="s">
        <v>602</v>
      </c>
      <c r="B61" t="str">
        <f>J$128</f>
        <v>Rest of Europe</v>
      </c>
      <c r="C61">
        <f>K$128</f>
        <v>0.01</v>
      </c>
      <c r="D61">
        <f>100*M$128</f>
        <v>0</v>
      </c>
      <c r="E61">
        <f>100*N$128</f>
        <v>4.7899999999999998E-2</v>
      </c>
      <c r="F61">
        <f>100*O$128</f>
        <v>0</v>
      </c>
      <c r="G61">
        <f>100*P$128</f>
        <v>-3.9599999999999996E-2</v>
      </c>
      <c r="H61">
        <f>100*Q$128</f>
        <v>0</v>
      </c>
      <c r="J61" t="s">
        <v>381</v>
      </c>
      <c r="K61">
        <v>-13.57</v>
      </c>
      <c r="L61" s="44" t="s">
        <v>894</v>
      </c>
      <c r="M61" s="42">
        <v>0</v>
      </c>
      <c r="N61" s="42">
        <v>-3.5048999999999997E-2</v>
      </c>
      <c r="O61" s="42">
        <v>-4.1597000000000002E-2</v>
      </c>
      <c r="P61" s="42">
        <v>-1.4250000000000001E-3</v>
      </c>
      <c r="Q61" s="42">
        <v>-5.7644000000000001E-2</v>
      </c>
      <c r="R61" s="47">
        <v>-0.13569999999999999</v>
      </c>
      <c r="T61" t="str">
        <f>country!A102</f>
        <v>Laos</v>
      </c>
      <c r="U61" s="8">
        <f>country!D102</f>
        <v>628.83134867195929</v>
      </c>
      <c r="V61" s="8">
        <f>country!G102</f>
        <v>22.7</v>
      </c>
      <c r="AH61" s="40"/>
    </row>
    <row r="62" spans="1:34" x14ac:dyDescent="0.35">
      <c r="A62" t="s">
        <v>370</v>
      </c>
      <c r="B62" t="str">
        <f>J$132</f>
        <v>Rest of Oceania</v>
      </c>
      <c r="C62">
        <f>K$132</f>
        <v>-2.02</v>
      </c>
      <c r="D62">
        <f>100*M$132</f>
        <v>-9.4999999999999998E-3</v>
      </c>
      <c r="E62">
        <f>100*N$132</f>
        <v>-0.3135</v>
      </c>
      <c r="F62">
        <f>100*O$132</f>
        <v>-1.3971</v>
      </c>
      <c r="G62">
        <f>100*P$132</f>
        <v>-0.30299999999999999</v>
      </c>
      <c r="H62">
        <f>100*Q$132</f>
        <v>0</v>
      </c>
      <c r="J62" t="s">
        <v>226</v>
      </c>
      <c r="K62">
        <v>0.97</v>
      </c>
      <c r="L62" s="44" t="s">
        <v>941</v>
      </c>
      <c r="M62" s="42">
        <v>0</v>
      </c>
      <c r="N62" s="42">
        <v>1.817E-3</v>
      </c>
      <c r="O62" s="42">
        <v>0</v>
      </c>
      <c r="P62" s="42">
        <v>-3.9599999999999998E-4</v>
      </c>
      <c r="Q62" s="42">
        <v>8.2609999999999992E-3</v>
      </c>
      <c r="R62" s="46">
        <v>9.7000000000000003E-3</v>
      </c>
      <c r="T62" t="str">
        <f>country!A103</f>
        <v>Latvia</v>
      </c>
      <c r="U62" s="8">
        <f>country!D103</f>
        <v>6923.8888741529627</v>
      </c>
      <c r="V62" s="8">
        <f>country!G103</f>
        <v>5.6</v>
      </c>
      <c r="AH62" s="40"/>
    </row>
    <row r="63" spans="1:34" x14ac:dyDescent="0.35">
      <c r="A63" t="s">
        <v>142</v>
      </c>
      <c r="B63" t="str">
        <f>J37</f>
        <v>Finland</v>
      </c>
      <c r="C63">
        <f>K37</f>
        <v>1.48</v>
      </c>
      <c r="D63">
        <f t="shared" ref="D63:H64" si="17">100*M37</f>
        <v>0</v>
      </c>
      <c r="E63">
        <f t="shared" si="17"/>
        <v>0.13170000000000001</v>
      </c>
      <c r="F63">
        <f t="shared" si="17"/>
        <v>0</v>
      </c>
      <c r="G63">
        <f t="shared" si="17"/>
        <v>-4.7100000000000003E-2</v>
      </c>
      <c r="H63">
        <f t="shared" si="17"/>
        <v>1.3954</v>
      </c>
      <c r="J63" t="s">
        <v>227</v>
      </c>
      <c r="K63">
        <v>1.1000000000000001</v>
      </c>
      <c r="L63" s="44" t="s">
        <v>959</v>
      </c>
      <c r="M63" s="42">
        <v>0</v>
      </c>
      <c r="N63" s="42">
        <v>1.642E-3</v>
      </c>
      <c r="O63" s="42">
        <v>0</v>
      </c>
      <c r="P63" s="42">
        <v>-3.79E-4</v>
      </c>
      <c r="Q63" s="42">
        <v>9.75E-3</v>
      </c>
      <c r="R63" s="46">
        <v>1.0999999999999999E-2</v>
      </c>
      <c r="T63" t="str">
        <f>country!A109</f>
        <v>Lithuania</v>
      </c>
      <c r="U63" s="8">
        <f>country!D109</f>
        <v>8320.1703793334709</v>
      </c>
      <c r="V63" s="8">
        <f>country!G109</f>
        <v>6.2</v>
      </c>
      <c r="AH63" s="40"/>
    </row>
    <row r="64" spans="1:34" x14ac:dyDescent="0.35">
      <c r="A64" t="s">
        <v>143</v>
      </c>
      <c r="B64" t="str">
        <f>J38</f>
        <v>France</v>
      </c>
      <c r="C64">
        <f>K38</f>
        <v>0.3</v>
      </c>
      <c r="D64">
        <f t="shared" si="17"/>
        <v>0</v>
      </c>
      <c r="E64">
        <f t="shared" si="17"/>
        <v>1.9999999999999998E-4</v>
      </c>
      <c r="F64">
        <f t="shared" si="17"/>
        <v>0</v>
      </c>
      <c r="G64">
        <f t="shared" si="17"/>
        <v>-5.0100000000000006E-2</v>
      </c>
      <c r="H64">
        <f t="shared" si="17"/>
        <v>0.35149999999999998</v>
      </c>
      <c r="J64" t="s">
        <v>161</v>
      </c>
      <c r="K64">
        <v>2.84</v>
      </c>
      <c r="L64" t="s">
        <v>979</v>
      </c>
      <c r="M64" s="11">
        <v>0</v>
      </c>
      <c r="N64" s="11">
        <v>5.7000000000000003E-5</v>
      </c>
      <c r="O64" s="11">
        <v>0</v>
      </c>
      <c r="P64" s="11">
        <v>-4.9700000000000005E-4</v>
      </c>
      <c r="Q64" s="11">
        <v>2.8827999999999999E-2</v>
      </c>
      <c r="R64" s="11">
        <v>2.8400000000000002E-2</v>
      </c>
      <c r="T64" t="str">
        <f>country!A110</f>
        <v>Luxembourg</v>
      </c>
      <c r="U64" s="8">
        <f>country!D110</f>
        <v>80276.011290059658</v>
      </c>
      <c r="V64" s="8">
        <f>country!G110</f>
        <v>8.6999999999999993</v>
      </c>
      <c r="AH64" s="40"/>
    </row>
    <row r="65" spans="1:34" x14ac:dyDescent="0.35">
      <c r="A65" t="s">
        <v>371</v>
      </c>
      <c r="B65" t="str">
        <f>J$122</f>
        <v>Rest of Central Africa</v>
      </c>
      <c r="C65">
        <f>K$122</f>
        <v>-2.38</v>
      </c>
      <c r="D65">
        <f>100*M$122</f>
        <v>0</v>
      </c>
      <c r="E65">
        <f>100*N$122</f>
        <v>-0.47089999999999999</v>
      </c>
      <c r="F65">
        <f>100*O$122</f>
        <v>-0.80999999999999994</v>
      </c>
      <c r="G65">
        <f>100*P$122</f>
        <v>-0.62939999999999996</v>
      </c>
      <c r="H65">
        <f>100*Q$122</f>
        <v>-0.46750000000000003</v>
      </c>
      <c r="J65" t="s">
        <v>162</v>
      </c>
      <c r="K65">
        <v>-10</v>
      </c>
      <c r="L65" s="44" t="s">
        <v>934</v>
      </c>
      <c r="M65" s="42">
        <v>-1.9999999999999999E-6</v>
      </c>
      <c r="N65" s="42">
        <v>-2.9062000000000001E-2</v>
      </c>
      <c r="O65" s="42">
        <v>-2.5131000000000001E-2</v>
      </c>
      <c r="P65" s="42">
        <v>-9.861E-3</v>
      </c>
      <c r="Q65" s="42">
        <v>-3.5947E-2</v>
      </c>
      <c r="R65" s="47">
        <v>-0.1</v>
      </c>
      <c r="T65" t="str">
        <f>country!A113</f>
        <v>Madagascar</v>
      </c>
      <c r="U65" s="8">
        <f>country!D113</f>
        <v>273.22480306218836</v>
      </c>
      <c r="V65" s="8">
        <f>country!G113</f>
        <v>22.6</v>
      </c>
      <c r="AH65" s="40"/>
    </row>
    <row r="66" spans="1:34" x14ac:dyDescent="0.35">
      <c r="A66" t="s">
        <v>372</v>
      </c>
      <c r="B66" t="str">
        <f>J$140</f>
        <v>Rest of West Africa</v>
      </c>
      <c r="C66">
        <f>K$140</f>
        <v>-6.07</v>
      </c>
      <c r="D66">
        <f>100*M$140</f>
        <v>0</v>
      </c>
      <c r="E66">
        <f>100*N$140</f>
        <v>-1.5088000000000001</v>
      </c>
      <c r="F66">
        <f>100*O$140</f>
        <v>-3.9965999999999999</v>
      </c>
      <c r="G66">
        <f>100*P$140</f>
        <v>-0.56850000000000001</v>
      </c>
      <c r="H66">
        <f>100*Q$140</f>
        <v>0</v>
      </c>
      <c r="J66" t="s">
        <v>163</v>
      </c>
      <c r="K66">
        <v>-9.76</v>
      </c>
      <c r="L66" s="44" t="s">
        <v>952</v>
      </c>
      <c r="M66" s="42">
        <v>0</v>
      </c>
      <c r="N66" s="42">
        <v>-2.6408000000000001E-2</v>
      </c>
      <c r="O66" s="42">
        <v>-1.5485000000000001E-2</v>
      </c>
      <c r="P66" s="42">
        <v>-9.4219999999999998E-3</v>
      </c>
      <c r="Q66" s="42">
        <v>-4.6331999999999998E-2</v>
      </c>
      <c r="R66" s="47">
        <v>-9.7600000000000006E-2</v>
      </c>
      <c r="T66" t="str">
        <f>country!A114</f>
        <v>Malawi</v>
      </c>
      <c r="U66" s="8">
        <f>country!D114</f>
        <v>219.15076343135976</v>
      </c>
      <c r="V66" s="8">
        <f>country!G114</f>
        <v>21.9</v>
      </c>
      <c r="AH66" s="40"/>
    </row>
    <row r="67" spans="1:34" x14ac:dyDescent="0.35">
      <c r="A67" t="s">
        <v>222</v>
      </c>
      <c r="B67" t="str">
        <f t="shared" ref="B67:C70" si="18">J39</f>
        <v>Georgia</v>
      </c>
      <c r="C67">
        <f t="shared" si="18"/>
        <v>-1.92</v>
      </c>
      <c r="D67">
        <f t="shared" ref="D67:H70" si="19">100*M39</f>
        <v>-3.0000000000000003E-4</v>
      </c>
      <c r="E67">
        <f t="shared" si="19"/>
        <v>0.13849999999999998</v>
      </c>
      <c r="F67">
        <f t="shared" si="19"/>
        <v>-5.2200000000000003E-2</v>
      </c>
      <c r="G67">
        <f t="shared" si="19"/>
        <v>-8.43E-2</v>
      </c>
      <c r="H67">
        <f t="shared" si="19"/>
        <v>-1.9215</v>
      </c>
      <c r="J67" t="s">
        <v>164</v>
      </c>
      <c r="K67">
        <v>-10.210000000000001</v>
      </c>
      <c r="L67" s="44" t="s">
        <v>908</v>
      </c>
      <c r="M67" s="42">
        <v>-5.0000000000000004E-6</v>
      </c>
      <c r="N67" s="42">
        <v>-7.4939999999999998E-3</v>
      </c>
      <c r="O67" s="42">
        <v>-4.8377999999999997E-2</v>
      </c>
      <c r="P67" s="42">
        <v>-1.8159999999999999E-3</v>
      </c>
      <c r="Q67" s="42">
        <v>-4.4406000000000001E-2</v>
      </c>
      <c r="R67" s="47">
        <v>-0.1021</v>
      </c>
      <c r="T67" t="str">
        <f>country!A115</f>
        <v>Malaysia</v>
      </c>
      <c r="U67" s="8">
        <f>country!D115</f>
        <v>6318.9012128220729</v>
      </c>
      <c r="V67" s="8">
        <f>country!G115</f>
        <v>25.4</v>
      </c>
      <c r="AH67" s="40"/>
    </row>
    <row r="68" spans="1:34" x14ac:dyDescent="0.35">
      <c r="A68" t="s">
        <v>144</v>
      </c>
      <c r="B68" t="str">
        <f t="shared" si="18"/>
        <v>Germany</v>
      </c>
      <c r="C68">
        <f t="shared" si="18"/>
        <v>0.75</v>
      </c>
      <c r="D68">
        <f t="shared" si="19"/>
        <v>0</v>
      </c>
      <c r="E68">
        <f t="shared" si="19"/>
        <v>1.15E-2</v>
      </c>
      <c r="F68">
        <f t="shared" si="19"/>
        <v>0</v>
      </c>
      <c r="G68">
        <f t="shared" si="19"/>
        <v>-5.2999999999999999E-2</v>
      </c>
      <c r="H68">
        <f t="shared" si="19"/>
        <v>0.79330000000000012</v>
      </c>
      <c r="J68" t="s">
        <v>389</v>
      </c>
      <c r="K68">
        <v>-6.55</v>
      </c>
      <c r="L68" t="s">
        <v>942</v>
      </c>
      <c r="M68" s="11">
        <v>-9.9999999999999995E-7</v>
      </c>
      <c r="N68" s="11">
        <v>-1.48E-3</v>
      </c>
      <c r="O68" s="11">
        <v>-7.1100000000000004E-4</v>
      </c>
      <c r="P68" s="11">
        <v>-3.6099999999999999E-4</v>
      </c>
      <c r="Q68" s="11">
        <v>-6.2964999999999993E-2</v>
      </c>
      <c r="R68" s="11">
        <v>-6.5500000000000003E-2</v>
      </c>
      <c r="T68" t="str">
        <f>country!A118</f>
        <v>Malta</v>
      </c>
      <c r="U68" s="8">
        <f>country!D118</f>
        <v>15992.434998447094</v>
      </c>
      <c r="V68" s="8">
        <f>country!G118</f>
        <v>19.2</v>
      </c>
      <c r="AH68" s="40"/>
    </row>
    <row r="69" spans="1:34" x14ac:dyDescent="0.35">
      <c r="A69" t="s">
        <v>224</v>
      </c>
      <c r="B69" t="str">
        <f t="shared" si="18"/>
        <v>Ghana</v>
      </c>
      <c r="C69">
        <f t="shared" si="18"/>
        <v>-13.19</v>
      </c>
      <c r="D69">
        <f t="shared" si="19"/>
        <v>0</v>
      </c>
      <c r="E69">
        <f t="shared" si="19"/>
        <v>-2.5318000000000001</v>
      </c>
      <c r="F69">
        <f t="shared" si="19"/>
        <v>-7.6143000000000001</v>
      </c>
      <c r="G69">
        <f t="shared" si="19"/>
        <v>-1.2015</v>
      </c>
      <c r="H69">
        <f t="shared" si="19"/>
        <v>-1.8443000000000001</v>
      </c>
      <c r="J69" t="s">
        <v>166</v>
      </c>
      <c r="K69">
        <v>-12.14</v>
      </c>
      <c r="L69" s="44" t="s">
        <v>971</v>
      </c>
      <c r="M69" s="42">
        <v>-9.0000000000000002E-6</v>
      </c>
      <c r="N69" s="42">
        <v>-7.1580000000000003E-3</v>
      </c>
      <c r="O69" s="42">
        <v>-2.1495E-2</v>
      </c>
      <c r="P69" s="42">
        <v>-8.9960000000000005E-3</v>
      </c>
      <c r="Q69" s="42">
        <v>-8.3782999999999996E-2</v>
      </c>
      <c r="R69" s="47">
        <v>-0.12139999999999999</v>
      </c>
      <c r="T69" t="str">
        <f>country!A121</f>
        <v>Mauritius</v>
      </c>
      <c r="U69" s="8">
        <f>country!D121</f>
        <v>6109.775155938677</v>
      </c>
      <c r="V69" s="8">
        <f>country!G121</f>
        <v>22.4</v>
      </c>
      <c r="AH69" s="40"/>
    </row>
    <row r="70" spans="1:34" x14ac:dyDescent="0.35">
      <c r="A70" t="s">
        <v>145</v>
      </c>
      <c r="B70" t="str">
        <f t="shared" si="18"/>
        <v>Greece</v>
      </c>
      <c r="C70">
        <f t="shared" si="18"/>
        <v>-1.35</v>
      </c>
      <c r="D70">
        <f t="shared" si="19"/>
        <v>-9.9999999999999991E-5</v>
      </c>
      <c r="E70">
        <f t="shared" si="19"/>
        <v>-0.2039</v>
      </c>
      <c r="F70">
        <f t="shared" si="19"/>
        <v>-5.45E-2</v>
      </c>
      <c r="G70">
        <f t="shared" si="19"/>
        <v>-3.2899999999999999E-2</v>
      </c>
      <c r="H70">
        <f t="shared" si="19"/>
        <v>-1.0597000000000001</v>
      </c>
      <c r="J70" t="s">
        <v>167</v>
      </c>
      <c r="K70">
        <v>-1.1499999999999999</v>
      </c>
      <c r="L70" s="44" t="s">
        <v>975</v>
      </c>
      <c r="M70" s="42">
        <v>0</v>
      </c>
      <c r="N70" s="42">
        <v>-3.4199999999999999E-3</v>
      </c>
      <c r="O70" s="42">
        <v>-1.5299999999999999E-3</v>
      </c>
      <c r="P70" s="42">
        <v>-2.3259999999999999E-3</v>
      </c>
      <c r="Q70" s="42">
        <v>-4.1770000000000002E-3</v>
      </c>
      <c r="R70" s="43">
        <v>-1.15E-2</v>
      </c>
      <c r="T70" t="str">
        <f>country!A122</f>
        <v>Mexico</v>
      </c>
      <c r="U70" s="8">
        <f>country!D122</f>
        <v>8084.6290001796442</v>
      </c>
      <c r="V70" s="8">
        <f>country!G122</f>
        <v>21</v>
      </c>
      <c r="AH70" s="40"/>
    </row>
    <row r="71" spans="1:34" x14ac:dyDescent="0.35">
      <c r="A71" t="s">
        <v>603</v>
      </c>
      <c r="B71" t="str">
        <f>J$131</f>
        <v>Rest of North America</v>
      </c>
      <c r="C71">
        <f>K$131</f>
        <v>-0.32</v>
      </c>
      <c r="D71">
        <f>100*M$131</f>
        <v>-3.3000000000000004E-3</v>
      </c>
      <c r="E71">
        <f>100*N$131</f>
        <v>1.18E-2</v>
      </c>
      <c r="F71">
        <f>100*O$131</f>
        <v>-3.6999999999999997E-3</v>
      </c>
      <c r="G71">
        <f>100*P$131</f>
        <v>-0.32769999999999999</v>
      </c>
      <c r="H71">
        <f>100*Q$131</f>
        <v>0</v>
      </c>
      <c r="J71" t="s">
        <v>393</v>
      </c>
      <c r="K71">
        <v>1.06</v>
      </c>
      <c r="L71" s="44" t="s">
        <v>954</v>
      </c>
      <c r="M71" s="42">
        <v>0</v>
      </c>
      <c r="N71" s="42">
        <v>5.5199999999999997E-3</v>
      </c>
      <c r="O71" s="42">
        <v>0</v>
      </c>
      <c r="P71" s="42">
        <v>-4.4089999999999997E-3</v>
      </c>
      <c r="Q71" s="42">
        <v>9.4660000000000005E-3</v>
      </c>
      <c r="R71" s="46">
        <v>1.06E-2</v>
      </c>
      <c r="T71" t="str">
        <f>country!A126</f>
        <v>Mongolia</v>
      </c>
      <c r="U71" s="8">
        <f>country!D126</f>
        <v>1273.1540641800757</v>
      </c>
      <c r="V71" s="8">
        <f>country!G126</f>
        <v>-0.7</v>
      </c>
      <c r="AH71" s="40"/>
    </row>
    <row r="72" spans="1:34" x14ac:dyDescent="0.35">
      <c r="A72" t="s">
        <v>146</v>
      </c>
      <c r="B72" t="str">
        <f>J$138</f>
        <v>Rest of the Caribbean</v>
      </c>
      <c r="C72">
        <f>K$138</f>
        <v>-7.84</v>
      </c>
      <c r="D72">
        <f>100*M$138</f>
        <v>-1.6999999999999999E-3</v>
      </c>
      <c r="E72">
        <f>100*N$138</f>
        <v>-0.59950000000000003</v>
      </c>
      <c r="F72">
        <f>100*O$138</f>
        <v>-3.3616999999999999</v>
      </c>
      <c r="G72">
        <f>100*P$138</f>
        <v>-0.2107</v>
      </c>
      <c r="H72">
        <f>100*Q$138</f>
        <v>-3.6623999999999999</v>
      </c>
      <c r="J72" t="s">
        <v>168</v>
      </c>
      <c r="K72">
        <v>-3.72</v>
      </c>
      <c r="L72" s="41" t="s">
        <v>995</v>
      </c>
      <c r="M72" s="42">
        <v>-9.9999999999999995E-7</v>
      </c>
      <c r="N72" s="42">
        <v>-1.107E-2</v>
      </c>
      <c r="O72" s="42">
        <v>-5.5500000000000005E-4</v>
      </c>
      <c r="P72" s="42">
        <v>-7.3530000000000002E-3</v>
      </c>
      <c r="Q72" s="42">
        <v>-1.8221000000000001E-2</v>
      </c>
      <c r="R72" s="43">
        <v>-3.7199999999999997E-2</v>
      </c>
      <c r="T72" t="str">
        <f>country!A128</f>
        <v>Morocco</v>
      </c>
      <c r="U72" s="8">
        <f>country!D128</f>
        <v>2386.7846716762692</v>
      </c>
      <c r="V72" s="8">
        <f>country!G128</f>
        <v>17.100000000000001</v>
      </c>
    </row>
    <row r="73" spans="1:34" x14ac:dyDescent="0.35">
      <c r="A73" t="s">
        <v>147</v>
      </c>
      <c r="B73" t="str">
        <f>J43</f>
        <v>Guatemala</v>
      </c>
      <c r="C73">
        <f>K43</f>
        <v>-3.57</v>
      </c>
      <c r="D73">
        <f t="shared" ref="D73:H74" si="20">100*M43</f>
        <v>-1.9999999999999998E-4</v>
      </c>
      <c r="E73">
        <f t="shared" si="20"/>
        <v>-1.4468000000000001</v>
      </c>
      <c r="F73">
        <f t="shared" si="20"/>
        <v>-0.31879999999999997</v>
      </c>
      <c r="G73">
        <f t="shared" si="20"/>
        <v>-0.186</v>
      </c>
      <c r="H73">
        <f t="shared" si="20"/>
        <v>-1.6208</v>
      </c>
      <c r="J73" t="s">
        <v>394</v>
      </c>
      <c r="K73">
        <v>-7.88</v>
      </c>
      <c r="L73" s="44" t="s">
        <v>993</v>
      </c>
      <c r="M73" s="42">
        <v>-9.9999999999999995E-7</v>
      </c>
      <c r="N73" s="42">
        <v>-1.1773E-2</v>
      </c>
      <c r="O73" s="42">
        <v>-2.7127999999999999E-2</v>
      </c>
      <c r="P73" s="42">
        <v>-9.7280000000000005E-3</v>
      </c>
      <c r="Q73" s="42">
        <v>-3.0178E-2</v>
      </c>
      <c r="R73" s="47">
        <v>-7.8799999999999995E-2</v>
      </c>
      <c r="T73" t="str">
        <f>country!A129</f>
        <v>Mozambique</v>
      </c>
      <c r="U73" s="8">
        <f>country!D129</f>
        <v>380.84424396822391</v>
      </c>
      <c r="V73" s="8">
        <f>country!G129</f>
        <v>23.8</v>
      </c>
    </row>
    <row r="74" spans="1:34" x14ac:dyDescent="0.35">
      <c r="A74" t="s">
        <v>373</v>
      </c>
      <c r="B74" t="str">
        <f>J44</f>
        <v>Guinea</v>
      </c>
      <c r="C74">
        <f>K44</f>
        <v>-10.16</v>
      </c>
      <c r="D74">
        <f t="shared" si="20"/>
        <v>0</v>
      </c>
      <c r="E74">
        <f t="shared" si="20"/>
        <v>-2.2524999999999999</v>
      </c>
      <c r="F74">
        <f t="shared" si="20"/>
        <v>-2.4491000000000001</v>
      </c>
      <c r="G74">
        <f t="shared" si="20"/>
        <v>-0.51279999999999992</v>
      </c>
      <c r="H74">
        <f t="shared" si="20"/>
        <v>-4.9416000000000002</v>
      </c>
      <c r="J74" t="s">
        <v>395</v>
      </c>
      <c r="K74">
        <v>-5.08</v>
      </c>
      <c r="L74" s="44" t="s">
        <v>953</v>
      </c>
      <c r="M74" s="42">
        <v>0</v>
      </c>
      <c r="N74" s="42">
        <v>-9.3950000000000006E-3</v>
      </c>
      <c r="O74" s="42">
        <v>-7.4700000000000005E-4</v>
      </c>
      <c r="P74" s="42">
        <v>-7.11E-3</v>
      </c>
      <c r="Q74" s="42">
        <v>-3.3563999999999997E-2</v>
      </c>
      <c r="R74" s="47">
        <v>-5.0799999999999998E-2</v>
      </c>
      <c r="T74" t="str">
        <f>country!A130</f>
        <v>Namibia</v>
      </c>
      <c r="U74" s="8">
        <f>country!D130</f>
        <v>4101.3694407822486</v>
      </c>
      <c r="V74" s="8">
        <f>country!G130</f>
        <v>19.899999999999999</v>
      </c>
      <c r="AH74" s="40"/>
    </row>
    <row r="75" spans="1:34" x14ac:dyDescent="0.35">
      <c r="A75" t="s">
        <v>374</v>
      </c>
      <c r="B75" t="str">
        <f>J$140</f>
        <v>Rest of West Africa</v>
      </c>
      <c r="C75">
        <f>K$140</f>
        <v>-6.07</v>
      </c>
      <c r="D75">
        <f>100*M$140</f>
        <v>0</v>
      </c>
      <c r="E75">
        <f>100*N$140</f>
        <v>-1.5088000000000001</v>
      </c>
      <c r="F75">
        <f>100*O$140</f>
        <v>-3.9965999999999999</v>
      </c>
      <c r="G75">
        <f>100*P$140</f>
        <v>-0.56850000000000001</v>
      </c>
      <c r="H75">
        <f>100*Q$140</f>
        <v>0</v>
      </c>
      <c r="J75" t="s">
        <v>169</v>
      </c>
      <c r="K75">
        <v>-3.97</v>
      </c>
      <c r="L75" s="44" t="s">
        <v>883</v>
      </c>
      <c r="M75" s="42">
        <v>0</v>
      </c>
      <c r="N75" s="42">
        <v>-7.7300000000000003E-4</v>
      </c>
      <c r="O75" s="42">
        <v>-1.1110999999999999E-2</v>
      </c>
      <c r="P75" s="42">
        <v>-9.1079999999999998E-3</v>
      </c>
      <c r="Q75" s="42">
        <v>-1.8752999999999999E-2</v>
      </c>
      <c r="R75" s="43">
        <v>-3.9699999999999999E-2</v>
      </c>
      <c r="T75" t="str">
        <f>country!A131</f>
        <v>Nepal</v>
      </c>
      <c r="U75" s="8">
        <f>country!D131</f>
        <v>376.34220962776232</v>
      </c>
      <c r="V75" s="8">
        <f>country!G131</f>
        <v>8.1</v>
      </c>
      <c r="AH75" s="40"/>
    </row>
    <row r="76" spans="1:34" x14ac:dyDescent="0.35">
      <c r="A76" t="s">
        <v>375</v>
      </c>
      <c r="B76" t="str">
        <f>J$134</f>
        <v>Rest of South America</v>
      </c>
      <c r="C76">
        <f>K$134</f>
        <v>-0.6</v>
      </c>
      <c r="D76">
        <f>100*M$134</f>
        <v>-1.2999999999999999E-3</v>
      </c>
      <c r="E76">
        <f>100*N$134</f>
        <v>-0.40689999999999998</v>
      </c>
      <c r="F76">
        <f>100*O$134</f>
        <v>-4.6199999999999998E-2</v>
      </c>
      <c r="G76">
        <f>100*P$134</f>
        <v>-0.14699999999999999</v>
      </c>
      <c r="H76">
        <f>100*Q$134</f>
        <v>0</v>
      </c>
      <c r="J76" t="s">
        <v>170</v>
      </c>
      <c r="K76">
        <v>0.72</v>
      </c>
      <c r="L76" s="44" t="s">
        <v>943</v>
      </c>
      <c r="M76" s="42">
        <v>0</v>
      </c>
      <c r="N76" s="42">
        <v>1.03E-4</v>
      </c>
      <c r="O76" s="42">
        <v>0</v>
      </c>
      <c r="P76" s="42">
        <v>-5.0600000000000005E-4</v>
      </c>
      <c r="Q76" s="42">
        <v>7.5909999999999997E-3</v>
      </c>
      <c r="R76" s="46">
        <v>7.1999999999999998E-3</v>
      </c>
      <c r="T76" t="str">
        <f>country!A132</f>
        <v>Netherlands</v>
      </c>
      <c r="U76" s="8">
        <f>country!D132</f>
        <v>41110.27840287541</v>
      </c>
      <c r="V76" s="8">
        <f>country!G132</f>
        <v>9.1999999999999993</v>
      </c>
      <c r="AH76" s="40"/>
    </row>
    <row r="77" spans="1:34" x14ac:dyDescent="0.35">
      <c r="A77" t="s">
        <v>376</v>
      </c>
      <c r="B77" t="str">
        <f>J$138</f>
        <v>Rest of the Caribbean</v>
      </c>
      <c r="C77">
        <f>K$138</f>
        <v>-7.84</v>
      </c>
      <c r="D77">
        <f>100*M$138</f>
        <v>-1.6999999999999999E-3</v>
      </c>
      <c r="E77">
        <f>100*N$138</f>
        <v>-0.59950000000000003</v>
      </c>
      <c r="F77">
        <f>100*O$138</f>
        <v>-3.3616999999999999</v>
      </c>
      <c r="G77">
        <f>100*P$138</f>
        <v>-0.2107</v>
      </c>
      <c r="H77">
        <f>100*Q$138</f>
        <v>-3.6623999999999999</v>
      </c>
      <c r="J77" t="s">
        <v>171</v>
      </c>
      <c r="K77">
        <v>-0.12</v>
      </c>
      <c r="L77" s="44" t="s">
        <v>872</v>
      </c>
      <c r="M77" s="42">
        <v>-5.0000000000000004E-6</v>
      </c>
      <c r="N77" s="42">
        <v>-9.7499999999999996E-4</v>
      </c>
      <c r="O77" s="42">
        <v>0</v>
      </c>
      <c r="P77" s="42">
        <v>-2.0730000000000002E-3</v>
      </c>
      <c r="Q77" s="42">
        <v>1.8060000000000001E-3</v>
      </c>
      <c r="R77" s="45">
        <v>-1.1999999999999999E-3</v>
      </c>
      <c r="T77" t="str">
        <f>country!A133</f>
        <v>New Zealand</v>
      </c>
      <c r="U77" s="8">
        <f>country!D133</f>
        <v>27483.511003152802</v>
      </c>
      <c r="V77" s="8">
        <f>country!G133</f>
        <v>10.5</v>
      </c>
      <c r="AH77" s="40"/>
    </row>
    <row r="78" spans="1:34" x14ac:dyDescent="0.35">
      <c r="A78" t="s">
        <v>148</v>
      </c>
      <c r="B78" t="str">
        <f t="shared" ref="B78:C80" si="21">J45</f>
        <v>Honduras</v>
      </c>
      <c r="C78">
        <f t="shared" si="21"/>
        <v>-9.16</v>
      </c>
      <c r="D78">
        <f t="shared" ref="D78:H80" si="22">100*M45</f>
        <v>-5.0000000000000001E-4</v>
      </c>
      <c r="E78">
        <f t="shared" si="22"/>
        <v>-1.3208</v>
      </c>
      <c r="F78">
        <f t="shared" si="22"/>
        <v>-4.0728</v>
      </c>
      <c r="G78">
        <f t="shared" si="22"/>
        <v>-0.19309999999999999</v>
      </c>
      <c r="H78">
        <f t="shared" si="22"/>
        <v>-3.5740000000000003</v>
      </c>
      <c r="J78" t="s">
        <v>396</v>
      </c>
      <c r="K78">
        <v>-12.13</v>
      </c>
      <c r="L78" s="44" t="s">
        <v>911</v>
      </c>
      <c r="M78" s="42">
        <v>-6.0000000000000002E-6</v>
      </c>
      <c r="N78" s="42">
        <v>-1.8717000000000001E-2</v>
      </c>
      <c r="O78" s="42">
        <v>-5.0354000000000003E-2</v>
      </c>
      <c r="P78" s="42">
        <v>-1.9580000000000001E-3</v>
      </c>
      <c r="Q78" s="42">
        <v>-5.0277000000000002E-2</v>
      </c>
      <c r="R78" s="47">
        <v>-0.12130000000000001</v>
      </c>
      <c r="T78" t="str">
        <f>country!A134</f>
        <v>Nicaragua</v>
      </c>
      <c r="U78" s="8">
        <f>country!D134</f>
        <v>1230.3353843860234</v>
      </c>
      <c r="V78" s="8">
        <f>country!G134</f>
        <v>24.8</v>
      </c>
      <c r="AH78" s="40"/>
    </row>
    <row r="79" spans="1:34" x14ac:dyDescent="0.35">
      <c r="A79" t="s">
        <v>149</v>
      </c>
      <c r="B79" t="str">
        <f t="shared" si="21"/>
        <v>Hong Kong</v>
      </c>
      <c r="C79">
        <f t="shared" si="21"/>
        <v>-7.67</v>
      </c>
      <c r="D79">
        <f t="shared" si="22"/>
        <v>-1.18E-2</v>
      </c>
      <c r="E79">
        <f t="shared" si="22"/>
        <v>-4.8000000000000001E-2</v>
      </c>
      <c r="F79">
        <f t="shared" si="22"/>
        <v>-1.6329</v>
      </c>
      <c r="G79">
        <f t="shared" si="22"/>
        <v>-0.72370000000000001</v>
      </c>
      <c r="H79">
        <f t="shared" si="22"/>
        <v>-5.2540999999999993</v>
      </c>
      <c r="J79" t="s">
        <v>172</v>
      </c>
      <c r="K79">
        <v>-13.93</v>
      </c>
      <c r="L79" s="44" t="s">
        <v>970</v>
      </c>
      <c r="M79" s="42">
        <v>0</v>
      </c>
      <c r="N79" s="42">
        <v>-4.0967999999999997E-2</v>
      </c>
      <c r="O79" s="42">
        <v>-8.2096000000000002E-2</v>
      </c>
      <c r="P79" s="42">
        <v>-9.7909999999999994E-3</v>
      </c>
      <c r="Q79" s="42">
        <v>-6.4440000000000001E-3</v>
      </c>
      <c r="R79" s="47">
        <v>-0.13930000000000001</v>
      </c>
      <c r="T79" t="str">
        <f>country!A136</f>
        <v>Nigeria</v>
      </c>
      <c r="U79" s="8">
        <f>country!D136</f>
        <v>995.6802013953959</v>
      </c>
      <c r="V79" s="8">
        <f>country!G136</f>
        <v>26.8</v>
      </c>
      <c r="AH79" s="40"/>
    </row>
    <row r="80" spans="1:34" x14ac:dyDescent="0.35">
      <c r="A80" t="s">
        <v>150</v>
      </c>
      <c r="B80" t="str">
        <f t="shared" si="21"/>
        <v>Hungary</v>
      </c>
      <c r="C80">
        <f t="shared" si="21"/>
        <v>0.93</v>
      </c>
      <c r="D80">
        <f t="shared" si="22"/>
        <v>0</v>
      </c>
      <c r="E80">
        <f t="shared" si="22"/>
        <v>1.9100000000000002E-2</v>
      </c>
      <c r="F80">
        <f t="shared" si="22"/>
        <v>0</v>
      </c>
      <c r="G80">
        <f t="shared" si="22"/>
        <v>-3.7599999999999995E-2</v>
      </c>
      <c r="H80">
        <f t="shared" si="22"/>
        <v>0.9476</v>
      </c>
      <c r="J80" t="s">
        <v>173</v>
      </c>
      <c r="K80">
        <v>1.47</v>
      </c>
      <c r="L80" s="44" t="s">
        <v>961</v>
      </c>
      <c r="M80" s="42">
        <v>-9.9999999999999995E-7</v>
      </c>
      <c r="N80" s="42">
        <v>7.5600000000000005E-4</v>
      </c>
      <c r="O80" s="42">
        <v>0</v>
      </c>
      <c r="P80" s="42">
        <v>-4.8700000000000002E-4</v>
      </c>
      <c r="Q80" s="42">
        <v>1.4445E-2</v>
      </c>
      <c r="R80" s="46">
        <v>1.47E-2</v>
      </c>
      <c r="T80" t="str">
        <f>country!A137</f>
        <v>Norway</v>
      </c>
      <c r="U80" s="8">
        <f>country!D137</f>
        <v>64589.974659965468</v>
      </c>
      <c r="V80" s="8">
        <f>country!G137</f>
        <v>1.5</v>
      </c>
      <c r="AH80" s="40"/>
    </row>
    <row r="81" spans="1:34" x14ac:dyDescent="0.35">
      <c r="A81" t="s">
        <v>151</v>
      </c>
      <c r="B81" t="str">
        <f>J$127</f>
        <v>Rest of EFTA</v>
      </c>
      <c r="C81">
        <f>K$127</f>
        <v>-0.04</v>
      </c>
      <c r="D81">
        <f>100*M$127</f>
        <v>0</v>
      </c>
      <c r="E81">
        <f>100*N$127</f>
        <v>3.6400000000000002E-2</v>
      </c>
      <c r="F81">
        <f>100*O$127</f>
        <v>0</v>
      </c>
      <c r="G81">
        <f>100*P$127</f>
        <v>-7.4200000000000002E-2</v>
      </c>
      <c r="H81">
        <f>100*Q$127</f>
        <v>0</v>
      </c>
      <c r="J81" t="s">
        <v>398</v>
      </c>
      <c r="K81">
        <v>-2.63</v>
      </c>
      <c r="L81" s="44" t="s">
        <v>876</v>
      </c>
      <c r="M81" s="42">
        <v>0</v>
      </c>
      <c r="N81" s="42">
        <v>-5.5800000000000001E-4</v>
      </c>
      <c r="O81" s="42">
        <v>-7.1019999999999998E-3</v>
      </c>
      <c r="P81" s="42">
        <v>-3.094E-3</v>
      </c>
      <c r="Q81" s="42">
        <v>-1.5583E-2</v>
      </c>
      <c r="R81" s="43">
        <v>-2.63E-2</v>
      </c>
      <c r="T81" t="str">
        <f>country!A138</f>
        <v>Oman</v>
      </c>
      <c r="U81" s="8">
        <f>country!D138</f>
        <v>14962.028989271066</v>
      </c>
      <c r="V81" s="8">
        <f>country!G138</f>
        <v>25.6</v>
      </c>
      <c r="AH81" s="40"/>
    </row>
    <row r="82" spans="1:34" x14ac:dyDescent="0.35">
      <c r="A82" t="s">
        <v>152</v>
      </c>
      <c r="B82" t="str">
        <f t="shared" ref="B82:C84" si="23">J48</f>
        <v>India</v>
      </c>
      <c r="C82">
        <f t="shared" si="23"/>
        <v>-6.24</v>
      </c>
      <c r="D82">
        <f t="shared" ref="D82:H84" si="24">100*M48</f>
        <v>-9.9999999999999991E-5</v>
      </c>
      <c r="E82">
        <f t="shared" si="24"/>
        <v>-1.3077000000000001</v>
      </c>
      <c r="F82">
        <f t="shared" si="24"/>
        <v>-3.3045999999999998</v>
      </c>
      <c r="G82">
        <f t="shared" si="24"/>
        <v>-1.0484</v>
      </c>
      <c r="H82">
        <f t="shared" si="24"/>
        <v>-0.58289999999999997</v>
      </c>
      <c r="J82" t="s">
        <v>174</v>
      </c>
      <c r="K82">
        <v>-3.31</v>
      </c>
      <c r="L82" s="44" t="s">
        <v>895</v>
      </c>
      <c r="M82" s="42">
        <v>0</v>
      </c>
      <c r="N82" s="42">
        <v>-1.7496999999999999E-2</v>
      </c>
      <c r="O82" s="42">
        <v>-1.2167000000000001E-2</v>
      </c>
      <c r="P82" s="42">
        <v>-9.8499999999999998E-4</v>
      </c>
      <c r="Q82" s="42">
        <v>-2.4979999999999998E-3</v>
      </c>
      <c r="R82" s="43">
        <v>-3.3099999999999997E-2</v>
      </c>
      <c r="T82" t="str">
        <f>country!A139</f>
        <v>Pakistan</v>
      </c>
      <c r="U82" s="8">
        <f>country!D139</f>
        <v>748.01048783794772</v>
      </c>
      <c r="V82" s="8">
        <f>country!G139</f>
        <v>20.2</v>
      </c>
      <c r="AH82" s="40"/>
    </row>
    <row r="83" spans="1:34" x14ac:dyDescent="0.35">
      <c r="A83" t="s">
        <v>153</v>
      </c>
      <c r="B83" t="str">
        <f t="shared" si="23"/>
        <v>Indonesia</v>
      </c>
      <c r="C83">
        <f t="shared" si="23"/>
        <v>-6.8</v>
      </c>
      <c r="D83">
        <f t="shared" si="24"/>
        <v>-1E-3</v>
      </c>
      <c r="E83">
        <f t="shared" si="24"/>
        <v>-1.1587000000000001</v>
      </c>
      <c r="F83">
        <f t="shared" si="24"/>
        <v>-4.7511000000000001</v>
      </c>
      <c r="G83">
        <f t="shared" si="24"/>
        <v>-0.17899999999999999</v>
      </c>
      <c r="H83">
        <f t="shared" si="24"/>
        <v>-0.71099999999999997</v>
      </c>
      <c r="J83" t="s">
        <v>175</v>
      </c>
      <c r="K83">
        <v>-8.57</v>
      </c>
      <c r="L83" s="44" t="s">
        <v>939</v>
      </c>
      <c r="M83" s="42">
        <v>-1.9000000000000001E-5</v>
      </c>
      <c r="N83" s="42">
        <v>-1.2834999999999999E-2</v>
      </c>
      <c r="O83" s="42">
        <v>-9.6290000000000004E-3</v>
      </c>
      <c r="P83" s="42">
        <v>-1.4809999999999999E-3</v>
      </c>
      <c r="Q83" s="42">
        <v>-7.1070999999999995E-2</v>
      </c>
      <c r="R83" s="47">
        <v>-9.5000000000000001E-2</v>
      </c>
      <c r="T83" t="str">
        <f>country!A142</f>
        <v>Panama</v>
      </c>
      <c r="U83" s="8">
        <f>country!D142</f>
        <v>6145.3352543359524</v>
      </c>
      <c r="V83" s="8">
        <f>country!G142</f>
        <v>25.4</v>
      </c>
      <c r="AH83" s="40"/>
    </row>
    <row r="84" spans="1:34" x14ac:dyDescent="0.35">
      <c r="A84" t="s">
        <v>154</v>
      </c>
      <c r="B84" t="str">
        <f t="shared" si="23"/>
        <v>Iran</v>
      </c>
      <c r="C84">
        <f t="shared" si="23"/>
        <v>-0.82</v>
      </c>
      <c r="D84">
        <f t="shared" si="24"/>
        <v>0</v>
      </c>
      <c r="E84">
        <f t="shared" si="24"/>
        <v>-0.42770000000000002</v>
      </c>
      <c r="F84">
        <f t="shared" si="24"/>
        <v>-0.186</v>
      </c>
      <c r="G84">
        <f t="shared" si="24"/>
        <v>-0.1181</v>
      </c>
      <c r="H84">
        <f t="shared" si="24"/>
        <v>-8.43E-2</v>
      </c>
      <c r="J84" t="s">
        <v>176</v>
      </c>
      <c r="K84">
        <v>-5.76</v>
      </c>
      <c r="L84" s="44" t="s">
        <v>938</v>
      </c>
      <c r="M84" s="42">
        <v>0</v>
      </c>
      <c r="N84" s="42">
        <v>-1.9012000000000001E-2</v>
      </c>
      <c r="O84" s="42">
        <v>-2.2561999999999999E-2</v>
      </c>
      <c r="P84" s="42">
        <v>-1.768E-3</v>
      </c>
      <c r="Q84" s="42">
        <v>-1.4291E-2</v>
      </c>
      <c r="R84" s="47">
        <v>-5.7599999999999998E-2</v>
      </c>
      <c r="T84" t="str">
        <f>country!A144</f>
        <v>Paraguay</v>
      </c>
      <c r="U84" s="8">
        <f>country!D144</f>
        <v>1725.7948003065951</v>
      </c>
      <c r="V84" s="8">
        <f>country!G144</f>
        <v>23.5</v>
      </c>
      <c r="AH84" s="40"/>
    </row>
    <row r="85" spans="1:34" x14ac:dyDescent="0.35">
      <c r="A85" t="s">
        <v>250</v>
      </c>
      <c r="B85" t="str">
        <f>J$141</f>
        <v>Rest of Western Asia</v>
      </c>
      <c r="C85">
        <f>K$141</f>
        <v>-1.22</v>
      </c>
      <c r="D85">
        <f>100*M$141</f>
        <v>0</v>
      </c>
      <c r="E85">
        <f>100*N$141</f>
        <v>-0.76200000000000001</v>
      </c>
      <c r="F85">
        <f>100*O$141</f>
        <v>-0.2868</v>
      </c>
      <c r="G85">
        <f>100*P$141</f>
        <v>-0.1673</v>
      </c>
      <c r="H85">
        <f>100*Q$141</f>
        <v>0</v>
      </c>
      <c r="J85" t="s">
        <v>177</v>
      </c>
      <c r="K85">
        <v>-1.91</v>
      </c>
      <c r="L85" s="44" t="s">
        <v>956</v>
      </c>
      <c r="M85" s="42">
        <v>-1.9999999999999999E-6</v>
      </c>
      <c r="N85" s="42">
        <v>-1.4078E-2</v>
      </c>
      <c r="O85" s="42">
        <v>0</v>
      </c>
      <c r="P85" s="42">
        <v>-1.8680000000000001E-3</v>
      </c>
      <c r="Q85" s="42">
        <v>-3.127E-3</v>
      </c>
      <c r="R85" s="43">
        <v>-1.9099999999999999E-2</v>
      </c>
      <c r="T85" t="str">
        <f>country!A145</f>
        <v>Peru</v>
      </c>
      <c r="U85" s="8">
        <f>country!D145</f>
        <v>3536.4885396339923</v>
      </c>
      <c r="V85" s="8">
        <f>country!G145</f>
        <v>19.600000000000001</v>
      </c>
      <c r="AH85" s="40"/>
    </row>
    <row r="86" spans="1:34" x14ac:dyDescent="0.35">
      <c r="A86" t="s">
        <v>155</v>
      </c>
      <c r="B86" t="str">
        <f>J51</f>
        <v>Ireland</v>
      </c>
      <c r="C86">
        <f>K51</f>
        <v>0.69</v>
      </c>
      <c r="D86">
        <f>100*M51</f>
        <v>0</v>
      </c>
      <c r="E86">
        <f>100*N51</f>
        <v>1.1599999999999999E-2</v>
      </c>
      <c r="F86">
        <f>100*O51</f>
        <v>0</v>
      </c>
      <c r="G86">
        <f>100*P51</f>
        <v>-4.0399999999999998E-2</v>
      </c>
      <c r="H86">
        <f>100*Q51</f>
        <v>0.71499999999999997</v>
      </c>
      <c r="J86" t="s">
        <v>178</v>
      </c>
      <c r="K86">
        <v>-7.42</v>
      </c>
      <c r="L86" s="44" t="s">
        <v>921</v>
      </c>
      <c r="M86" s="42">
        <v>-2.8E-5</v>
      </c>
      <c r="N86" s="42">
        <v>-9.9649999999999999E-3</v>
      </c>
      <c r="O86" s="42">
        <v>-4.6829999999999997E-2</v>
      </c>
      <c r="P86" s="42">
        <v>-1.4450000000000001E-3</v>
      </c>
      <c r="Q86" s="42">
        <v>-1.5897999999999999E-2</v>
      </c>
      <c r="R86" s="47">
        <v>-7.4200000000000002E-2</v>
      </c>
      <c r="T86" t="str">
        <f>country!A146</f>
        <v>Philippines</v>
      </c>
      <c r="U86" s="8">
        <f>country!D146</f>
        <v>1403.3063361554944</v>
      </c>
      <c r="V86" s="8">
        <f>country!G146</f>
        <v>25.8</v>
      </c>
      <c r="AH86" s="40"/>
    </row>
    <row r="87" spans="1:34" x14ac:dyDescent="0.35">
      <c r="A87" t="s">
        <v>604</v>
      </c>
      <c r="B87" t="str">
        <f>J$128</f>
        <v>Rest of Europe</v>
      </c>
      <c r="C87">
        <f>K$128</f>
        <v>0.01</v>
      </c>
      <c r="D87">
        <f>100*M$128</f>
        <v>0</v>
      </c>
      <c r="E87">
        <f>100*N$128</f>
        <v>4.7899999999999998E-2</v>
      </c>
      <c r="F87">
        <f>100*O$128</f>
        <v>0</v>
      </c>
      <c r="G87">
        <f>100*P$128</f>
        <v>-3.9599999999999996E-2</v>
      </c>
      <c r="H87">
        <f>100*Q$128</f>
        <v>0</v>
      </c>
      <c r="J87" t="s">
        <v>179</v>
      </c>
      <c r="K87">
        <v>0.96</v>
      </c>
      <c r="L87" s="44" t="s">
        <v>944</v>
      </c>
      <c r="M87" s="42">
        <v>0</v>
      </c>
      <c r="N87" s="42">
        <v>5.1099999999999995E-4</v>
      </c>
      <c r="O87" s="42">
        <v>0</v>
      </c>
      <c r="P87" s="42">
        <v>-4.0499999999999998E-4</v>
      </c>
      <c r="Q87" s="42">
        <v>9.4940000000000007E-3</v>
      </c>
      <c r="R87" s="46">
        <v>9.5999999999999992E-3</v>
      </c>
      <c r="T87" t="str">
        <f>country!A147</f>
        <v>Poland</v>
      </c>
      <c r="U87" s="8">
        <f>country!D147</f>
        <v>10035.850591834826</v>
      </c>
      <c r="V87" s="8">
        <f>country!G147</f>
        <v>7.8</v>
      </c>
      <c r="AH87" s="40"/>
    </row>
    <row r="88" spans="1:34" x14ac:dyDescent="0.35">
      <c r="A88" t="s">
        <v>156</v>
      </c>
      <c r="B88" t="str">
        <f t="shared" ref="B88:C94" si="25">J52</f>
        <v>Israel</v>
      </c>
      <c r="C88">
        <f t="shared" si="25"/>
        <v>-2.2200000000000002</v>
      </c>
      <c r="D88">
        <f t="shared" ref="D88:H94" si="26">100*M52</f>
        <v>0</v>
      </c>
      <c r="E88">
        <f t="shared" si="26"/>
        <v>-0.16550000000000001</v>
      </c>
      <c r="F88">
        <f t="shared" si="26"/>
        <v>-0.04</v>
      </c>
      <c r="G88">
        <f t="shared" si="26"/>
        <v>-1.2584</v>
      </c>
      <c r="H88">
        <f t="shared" si="26"/>
        <v>-0.75629999999999997</v>
      </c>
      <c r="J88" t="s">
        <v>180</v>
      </c>
      <c r="K88">
        <v>-0.93</v>
      </c>
      <c r="L88" s="44" t="s">
        <v>945</v>
      </c>
      <c r="M88" s="42">
        <v>0</v>
      </c>
      <c r="N88" s="42">
        <v>-1.23E-3</v>
      </c>
      <c r="O88" s="42">
        <v>0</v>
      </c>
      <c r="P88" s="42">
        <v>-4.86E-4</v>
      </c>
      <c r="Q88" s="42">
        <v>-7.6119999999999998E-3</v>
      </c>
      <c r="R88" s="45">
        <v>-9.2999999999999992E-3</v>
      </c>
      <c r="T88" t="str">
        <f>country!A148</f>
        <v>Portugal</v>
      </c>
      <c r="U88" s="8">
        <f>country!D148</f>
        <v>18535.131234142536</v>
      </c>
      <c r="V88" s="8">
        <f>country!G148</f>
        <v>15.1</v>
      </c>
      <c r="AH88" s="40"/>
    </row>
    <row r="89" spans="1:34" x14ac:dyDescent="0.35">
      <c r="A89" t="s">
        <v>157</v>
      </c>
      <c r="B89" t="str">
        <f t="shared" si="25"/>
        <v>Italy</v>
      </c>
      <c r="C89">
        <f t="shared" si="25"/>
        <v>-0.18</v>
      </c>
      <c r="D89">
        <f t="shared" si="26"/>
        <v>0</v>
      </c>
      <c r="E89">
        <f t="shared" si="26"/>
        <v>-0.13550000000000001</v>
      </c>
      <c r="F89">
        <f t="shared" si="26"/>
        <v>0</v>
      </c>
      <c r="G89">
        <f t="shared" si="26"/>
        <v>-4.1700000000000001E-2</v>
      </c>
      <c r="H89">
        <f t="shared" si="26"/>
        <v>-5.0000000000000001E-4</v>
      </c>
      <c r="J89" t="s">
        <v>232</v>
      </c>
      <c r="K89">
        <v>-2.74</v>
      </c>
      <c r="L89" s="44" t="s">
        <v>913</v>
      </c>
      <c r="M89" s="42">
        <v>-6.0000000000000002E-6</v>
      </c>
      <c r="N89" s="42">
        <v>-1.0139999999999999E-3</v>
      </c>
      <c r="O89" s="42">
        <v>-1.6726000000000001E-2</v>
      </c>
      <c r="P89" s="42">
        <v>-1.7930000000000001E-3</v>
      </c>
      <c r="Q89" s="42">
        <v>-7.8139999999999998E-3</v>
      </c>
      <c r="R89" s="43">
        <v>-2.7400000000000001E-2</v>
      </c>
      <c r="T89" t="str">
        <f>country!A149</f>
        <v>Puerto Rico</v>
      </c>
      <c r="U89" s="8">
        <f>country!D149</f>
        <v>20782.83569150712</v>
      </c>
      <c r="V89" s="8">
        <f>country!G149</f>
        <v>25.2</v>
      </c>
      <c r="AH89" s="40"/>
    </row>
    <row r="90" spans="1:34" x14ac:dyDescent="0.35">
      <c r="A90" t="s">
        <v>159</v>
      </c>
      <c r="B90" t="str">
        <f t="shared" si="25"/>
        <v>Jamaica</v>
      </c>
      <c r="C90">
        <f t="shared" si="25"/>
        <v>-11.38</v>
      </c>
      <c r="D90">
        <f t="shared" si="26"/>
        <v>-6.0000000000000006E-4</v>
      </c>
      <c r="E90">
        <f t="shared" si="26"/>
        <v>-0.3236</v>
      </c>
      <c r="F90">
        <f t="shared" si="26"/>
        <v>-2.3721999999999999</v>
      </c>
      <c r="G90">
        <f t="shared" si="26"/>
        <v>-0.1938</v>
      </c>
      <c r="H90">
        <f t="shared" si="26"/>
        <v>-8.4870000000000001</v>
      </c>
      <c r="J90" t="s">
        <v>402</v>
      </c>
      <c r="K90">
        <v>-2.5299999999999998</v>
      </c>
      <c r="L90" s="44" t="s">
        <v>887</v>
      </c>
      <c r="M90" s="42">
        <v>-9.9999999999999995E-7</v>
      </c>
      <c r="N90" s="42">
        <v>-3.4600000000000001E-4</v>
      </c>
      <c r="O90" s="42">
        <v>-1.2702E-2</v>
      </c>
      <c r="P90" s="42">
        <v>-3.9519999999999998E-3</v>
      </c>
      <c r="Q90" s="42">
        <v>-8.2830000000000004E-3</v>
      </c>
      <c r="R90" s="43">
        <v>-2.53E-2</v>
      </c>
      <c r="T90" t="str">
        <f>country!A150</f>
        <v>Qatar</v>
      </c>
      <c r="U90" s="8">
        <f>country!D150</f>
        <v>58256.966788513462</v>
      </c>
      <c r="V90" s="8">
        <f>country!G150</f>
        <v>27.2</v>
      </c>
      <c r="AH90" s="40"/>
    </row>
    <row r="91" spans="1:34" x14ac:dyDescent="0.35">
      <c r="A91" t="s">
        <v>64</v>
      </c>
      <c r="B91" t="str">
        <f t="shared" si="25"/>
        <v>Japan</v>
      </c>
      <c r="C91">
        <f t="shared" si="25"/>
        <v>-0.39</v>
      </c>
      <c r="D91">
        <f t="shared" si="26"/>
        <v>-5.0000000000000001E-4</v>
      </c>
      <c r="E91">
        <f t="shared" si="26"/>
        <v>-7.6499999999999999E-2</v>
      </c>
      <c r="F91">
        <f t="shared" si="26"/>
        <v>-0.23340000000000002</v>
      </c>
      <c r="G91">
        <f t="shared" si="26"/>
        <v>-9.6699999999999994E-2</v>
      </c>
      <c r="H91">
        <f t="shared" si="26"/>
        <v>2.0500000000000001E-2</v>
      </c>
      <c r="J91" t="s">
        <v>181</v>
      </c>
      <c r="K91">
        <v>0.27</v>
      </c>
      <c r="L91" s="44" t="s">
        <v>967</v>
      </c>
      <c r="M91" s="42">
        <v>0</v>
      </c>
      <c r="N91" s="42">
        <v>5.0699999999999996E-4</v>
      </c>
      <c r="O91" s="42">
        <v>0</v>
      </c>
      <c r="P91" s="42">
        <v>-4.06E-4</v>
      </c>
      <c r="Q91" s="42">
        <v>2.6199999999999999E-3</v>
      </c>
      <c r="R91" s="46">
        <v>2.7000000000000001E-3</v>
      </c>
      <c r="T91" t="str">
        <f>country!A151</f>
        <v>Romania</v>
      </c>
      <c r="U91" s="8">
        <f>country!D151</f>
        <v>5321.8101990424975</v>
      </c>
      <c r="V91" s="8">
        <f>country!G151</f>
        <v>8.8000000000000007</v>
      </c>
      <c r="AH91" s="40"/>
    </row>
    <row r="92" spans="1:34" x14ac:dyDescent="0.35">
      <c r="A92" t="s">
        <v>251</v>
      </c>
      <c r="B92" t="str">
        <f t="shared" si="25"/>
        <v>Jordan</v>
      </c>
      <c r="C92">
        <f t="shared" si="25"/>
        <v>-5.09</v>
      </c>
      <c r="D92">
        <f t="shared" si="26"/>
        <v>0</v>
      </c>
      <c r="E92">
        <f t="shared" si="26"/>
        <v>-0.35560000000000003</v>
      </c>
      <c r="F92">
        <f t="shared" si="26"/>
        <v>-0.14630000000000001</v>
      </c>
      <c r="G92">
        <f t="shared" si="26"/>
        <v>-0.5373</v>
      </c>
      <c r="H92">
        <f t="shared" si="26"/>
        <v>-4.0530999999999997</v>
      </c>
      <c r="J92" t="s">
        <v>644</v>
      </c>
      <c r="K92">
        <v>1.39</v>
      </c>
      <c r="L92" s="44" t="s">
        <v>342</v>
      </c>
      <c r="M92" s="42">
        <v>-9.9999999999999995E-7</v>
      </c>
      <c r="N92" s="42">
        <v>2.4380000000000001E-3</v>
      </c>
      <c r="O92" s="42">
        <v>0</v>
      </c>
      <c r="P92" s="42">
        <v>-6.2E-4</v>
      </c>
      <c r="Q92" s="42">
        <v>1.2057999999999999E-2</v>
      </c>
      <c r="R92" s="46">
        <v>1.3899999999999999E-2</v>
      </c>
      <c r="T92" t="str">
        <f>country!A152</f>
        <v>Russia</v>
      </c>
      <c r="U92" s="8">
        <f>country!D152</f>
        <v>6385.6173068952321</v>
      </c>
      <c r="V92" s="8">
        <f>country!G152</f>
        <v>-5.0999999999999996</v>
      </c>
      <c r="AH92" s="40"/>
    </row>
    <row r="93" spans="1:34" x14ac:dyDescent="0.35">
      <c r="A93" t="s">
        <v>377</v>
      </c>
      <c r="B93" t="str">
        <f t="shared" si="25"/>
        <v>Kazakhstan</v>
      </c>
      <c r="C93">
        <f t="shared" si="25"/>
        <v>0.31</v>
      </c>
      <c r="D93">
        <f t="shared" si="26"/>
        <v>0</v>
      </c>
      <c r="E93">
        <f t="shared" si="26"/>
        <v>4.8899999999999999E-2</v>
      </c>
      <c r="F93">
        <f t="shared" si="26"/>
        <v>0</v>
      </c>
      <c r="G93">
        <f t="shared" si="26"/>
        <v>-8.43E-2</v>
      </c>
      <c r="H93">
        <f t="shared" si="26"/>
        <v>0.34039999999999998</v>
      </c>
      <c r="J93" t="s">
        <v>182</v>
      </c>
      <c r="K93">
        <v>-9.67</v>
      </c>
      <c r="L93" s="44" t="s">
        <v>890</v>
      </c>
      <c r="M93" s="42">
        <v>0</v>
      </c>
      <c r="N93" s="42">
        <v>-3.7427000000000002E-2</v>
      </c>
      <c r="O93" s="42">
        <v>0</v>
      </c>
      <c r="P93" s="42">
        <v>-1.0299000000000001E-2</v>
      </c>
      <c r="Q93" s="42">
        <v>-4.8945000000000002E-2</v>
      </c>
      <c r="R93" s="47">
        <v>-9.6699999999999994E-2</v>
      </c>
      <c r="T93" t="str">
        <f>country!A153</f>
        <v>Rwanda</v>
      </c>
      <c r="U93" s="8">
        <f>country!D153</f>
        <v>349.34486347036096</v>
      </c>
      <c r="V93" s="8">
        <f>country!G153</f>
        <v>17.899999999999999</v>
      </c>
      <c r="AH93" s="40"/>
    </row>
    <row r="94" spans="1:34" x14ac:dyDescent="0.35">
      <c r="A94" t="s">
        <v>160</v>
      </c>
      <c r="B94" t="str">
        <f t="shared" si="25"/>
        <v>Kenya</v>
      </c>
      <c r="C94">
        <f t="shared" si="25"/>
        <v>-5.62</v>
      </c>
      <c r="D94">
        <f t="shared" si="26"/>
        <v>0</v>
      </c>
      <c r="E94">
        <f t="shared" si="26"/>
        <v>-2.8647999999999998</v>
      </c>
      <c r="F94">
        <f t="shared" si="26"/>
        <v>-0.16980000000000001</v>
      </c>
      <c r="G94">
        <f t="shared" si="26"/>
        <v>-0.92989999999999995</v>
      </c>
      <c r="H94">
        <f t="shared" si="26"/>
        <v>-1.6563000000000001</v>
      </c>
      <c r="J94" t="s">
        <v>253</v>
      </c>
      <c r="K94">
        <v>-3.36</v>
      </c>
      <c r="L94" s="44" t="s">
        <v>902</v>
      </c>
      <c r="M94" s="42">
        <v>0</v>
      </c>
      <c r="N94" s="42">
        <v>-6.9999999999999999E-4</v>
      </c>
      <c r="O94" s="42">
        <v>-1.4904000000000001E-2</v>
      </c>
      <c r="P94" s="42">
        <v>-5.0159999999999996E-3</v>
      </c>
      <c r="Q94" s="42">
        <v>-1.2991000000000001E-2</v>
      </c>
      <c r="R94" s="43">
        <v>-3.3599999999999998E-2</v>
      </c>
      <c r="T94" t="str">
        <f>country!A160</f>
        <v>Saudi Arabia</v>
      </c>
      <c r="U94" s="8">
        <f>country!D160</f>
        <v>15994.78055746439</v>
      </c>
      <c r="V94" s="8">
        <f>country!G160</f>
        <v>24.6</v>
      </c>
      <c r="AH94" s="40"/>
    </row>
    <row r="95" spans="1:34" x14ac:dyDescent="0.35">
      <c r="A95" t="s">
        <v>378</v>
      </c>
      <c r="B95" t="str">
        <f>J$132</f>
        <v>Rest of Oceania</v>
      </c>
      <c r="C95">
        <f>K$132</f>
        <v>-2.02</v>
      </c>
      <c r="D95">
        <f>100*M$132</f>
        <v>-9.4999999999999998E-3</v>
      </c>
      <c r="E95">
        <f>100*N$132</f>
        <v>-0.3135</v>
      </c>
      <c r="F95">
        <f>100*O$132</f>
        <v>-1.3971</v>
      </c>
      <c r="G95">
        <f>100*P$132</f>
        <v>-0.30299999999999999</v>
      </c>
      <c r="H95">
        <f>100*Q$132</f>
        <v>0</v>
      </c>
      <c r="J95" t="s">
        <v>184</v>
      </c>
      <c r="K95">
        <v>-9.58</v>
      </c>
      <c r="L95" s="44" t="s">
        <v>992</v>
      </c>
      <c r="M95" s="42">
        <v>0</v>
      </c>
      <c r="N95" s="42">
        <v>-1.5615E-2</v>
      </c>
      <c r="O95" s="42">
        <v>-3.6766E-2</v>
      </c>
      <c r="P95" s="42">
        <v>-6.6340000000000001E-3</v>
      </c>
      <c r="Q95" s="42">
        <v>-3.6789000000000002E-2</v>
      </c>
      <c r="R95" s="47">
        <v>-9.5799999999999996E-2</v>
      </c>
      <c r="T95" t="str">
        <f>country!A161</f>
        <v>Senegal</v>
      </c>
      <c r="U95" s="8">
        <f>country!D161</f>
        <v>800.43110309607573</v>
      </c>
      <c r="V95" s="8">
        <f>country!G161</f>
        <v>27.8</v>
      </c>
      <c r="AH95" s="40"/>
    </row>
    <row r="96" spans="1:34" x14ac:dyDescent="0.35">
      <c r="A96" t="s">
        <v>379</v>
      </c>
      <c r="B96" t="str">
        <f>J$128</f>
        <v>Rest of Europe</v>
      </c>
      <c r="C96">
        <f>K$128</f>
        <v>0.01</v>
      </c>
      <c r="D96">
        <f>100*M$128</f>
        <v>0</v>
      </c>
      <c r="E96">
        <f>100*N$128</f>
        <v>4.7899999999999998E-2</v>
      </c>
      <c r="F96">
        <f>100*O$128</f>
        <v>0</v>
      </c>
      <c r="G96">
        <f>100*P$128</f>
        <v>-3.9599999999999996E-2</v>
      </c>
      <c r="H96">
        <f>100*Q$128</f>
        <v>0</v>
      </c>
      <c r="J96" t="s">
        <v>207</v>
      </c>
      <c r="K96">
        <v>-10.74</v>
      </c>
      <c r="L96" s="44" t="s">
        <v>937</v>
      </c>
      <c r="M96" s="42">
        <v>-2.0000000000000002E-5</v>
      </c>
      <c r="N96" s="42">
        <v>-2.0000000000000001E-4</v>
      </c>
      <c r="O96" s="42">
        <v>-4.4944999999999999E-2</v>
      </c>
      <c r="P96" s="42">
        <v>-2.9870000000000001E-3</v>
      </c>
      <c r="Q96" s="42">
        <v>-5.9201999999999998E-2</v>
      </c>
      <c r="R96" s="47">
        <v>-0.1074</v>
      </c>
      <c r="T96" t="str">
        <f>country!A165</f>
        <v>Singapore</v>
      </c>
      <c r="U96" s="8">
        <f>country!D165</f>
        <v>34758.404334915285</v>
      </c>
      <c r="V96" s="8">
        <f>country!G165</f>
        <v>26.4</v>
      </c>
      <c r="AH96" s="40"/>
    </row>
    <row r="97" spans="1:34" x14ac:dyDescent="0.35">
      <c r="A97" t="s">
        <v>380</v>
      </c>
      <c r="B97" t="str">
        <f t="shared" ref="B97:C100" si="27">J59</f>
        <v>Kuwait</v>
      </c>
      <c r="C97">
        <f t="shared" si="27"/>
        <v>-2.5</v>
      </c>
      <c r="D97">
        <f t="shared" ref="D97:H100" si="28">100*M59</f>
        <v>0</v>
      </c>
      <c r="E97">
        <f t="shared" si="28"/>
        <v>-1.8200000000000001E-2</v>
      </c>
      <c r="F97">
        <f t="shared" si="28"/>
        <v>-0.70050000000000001</v>
      </c>
      <c r="G97">
        <f t="shared" si="28"/>
        <v>-0.2407</v>
      </c>
      <c r="H97">
        <f t="shared" si="28"/>
        <v>-1.5365</v>
      </c>
      <c r="J97" t="s">
        <v>642</v>
      </c>
      <c r="K97">
        <v>1.23</v>
      </c>
      <c r="L97" s="44" t="s">
        <v>946</v>
      </c>
      <c r="M97" s="42">
        <v>0</v>
      </c>
      <c r="N97" s="42">
        <v>3.59E-4</v>
      </c>
      <c r="O97" s="42">
        <v>0</v>
      </c>
      <c r="P97" s="42">
        <v>-3.9199999999999999E-4</v>
      </c>
      <c r="Q97" s="42">
        <v>1.2305E-2</v>
      </c>
      <c r="R97" s="46">
        <v>1.23E-2</v>
      </c>
      <c r="T97" t="str">
        <f>country!A166</f>
        <v>Slovakia</v>
      </c>
      <c r="U97" s="8">
        <f>country!D166</f>
        <v>14161.797545718329</v>
      </c>
      <c r="V97" s="8">
        <f>country!G166</f>
        <v>6.8</v>
      </c>
      <c r="AH97" s="40"/>
    </row>
    <row r="98" spans="1:34" x14ac:dyDescent="0.35">
      <c r="A98" t="s">
        <v>252</v>
      </c>
      <c r="B98" t="str">
        <f t="shared" si="27"/>
        <v>Kyrgyzstan</v>
      </c>
      <c r="C98">
        <f t="shared" si="27"/>
        <v>-1.05</v>
      </c>
      <c r="D98">
        <f t="shared" si="28"/>
        <v>0</v>
      </c>
      <c r="E98">
        <f t="shared" si="28"/>
        <v>0.78220000000000012</v>
      </c>
      <c r="F98">
        <f t="shared" si="28"/>
        <v>0</v>
      </c>
      <c r="G98">
        <f t="shared" si="28"/>
        <v>-6.3799999999999996E-2</v>
      </c>
      <c r="H98">
        <f t="shared" si="28"/>
        <v>-1.7649000000000001</v>
      </c>
      <c r="J98" t="s">
        <v>236</v>
      </c>
      <c r="K98">
        <v>1.28</v>
      </c>
      <c r="L98" s="44" t="s">
        <v>947</v>
      </c>
      <c r="M98" s="42">
        <v>0</v>
      </c>
      <c r="N98" s="42">
        <v>2.7300000000000002E-4</v>
      </c>
      <c r="O98" s="42">
        <v>0</v>
      </c>
      <c r="P98" s="42">
        <v>-5.2300000000000003E-4</v>
      </c>
      <c r="Q98" s="42">
        <v>1.3030999999999999E-2</v>
      </c>
      <c r="R98" s="46">
        <v>1.2800000000000001E-2</v>
      </c>
      <c r="T98" t="str">
        <f>country!A167</f>
        <v>Slovenia</v>
      </c>
      <c r="U98" s="8">
        <f>country!D167</f>
        <v>19054.257484924816</v>
      </c>
      <c r="V98" s="8">
        <f>country!G167</f>
        <v>8.9</v>
      </c>
      <c r="AH98" s="40"/>
    </row>
    <row r="99" spans="1:34" x14ac:dyDescent="0.35">
      <c r="A99" t="s">
        <v>381</v>
      </c>
      <c r="B99" t="str">
        <f t="shared" si="27"/>
        <v>Laos</v>
      </c>
      <c r="C99">
        <f t="shared" si="27"/>
        <v>-13.57</v>
      </c>
      <c r="D99">
        <f t="shared" si="28"/>
        <v>0</v>
      </c>
      <c r="E99">
        <f t="shared" si="28"/>
        <v>-3.5048999999999997</v>
      </c>
      <c r="F99">
        <f t="shared" si="28"/>
        <v>-4.1597</v>
      </c>
      <c r="G99">
        <f t="shared" si="28"/>
        <v>-0.14250000000000002</v>
      </c>
      <c r="H99">
        <f t="shared" si="28"/>
        <v>-5.7644000000000002</v>
      </c>
      <c r="J99" t="s">
        <v>237</v>
      </c>
      <c r="K99">
        <v>-1.59</v>
      </c>
      <c r="L99" s="44" t="s">
        <v>972</v>
      </c>
      <c r="M99" s="42">
        <v>0</v>
      </c>
      <c r="N99" s="42">
        <v>-2.1589999999999999E-3</v>
      </c>
      <c r="O99" s="42">
        <v>-3.0000000000000001E-6</v>
      </c>
      <c r="P99" s="42">
        <v>-8.5769999999999996E-3</v>
      </c>
      <c r="Q99" s="42">
        <v>-5.1980000000000004E-3</v>
      </c>
      <c r="R99" s="43">
        <v>-1.5900000000000001E-2</v>
      </c>
      <c r="T99" t="str">
        <f>country!A169</f>
        <v>South Africa</v>
      </c>
      <c r="U99" s="8">
        <f>country!D169</f>
        <v>5797.2434904439497</v>
      </c>
      <c r="V99" s="8">
        <f>country!G169</f>
        <v>17.8</v>
      </c>
      <c r="AH99" s="40"/>
    </row>
    <row r="100" spans="1:34" x14ac:dyDescent="0.35">
      <c r="A100" t="s">
        <v>226</v>
      </c>
      <c r="B100" t="str">
        <f t="shared" si="27"/>
        <v>Latvia</v>
      </c>
      <c r="C100">
        <f t="shared" si="27"/>
        <v>0.97</v>
      </c>
      <c r="D100">
        <f t="shared" si="28"/>
        <v>0</v>
      </c>
      <c r="E100">
        <f t="shared" si="28"/>
        <v>0.1817</v>
      </c>
      <c r="F100">
        <f t="shared" si="28"/>
        <v>0</v>
      </c>
      <c r="G100">
        <f t="shared" si="28"/>
        <v>-3.9599999999999996E-2</v>
      </c>
      <c r="H100">
        <f t="shared" si="28"/>
        <v>0.82609999999999995</v>
      </c>
      <c r="J100" t="s">
        <v>186</v>
      </c>
      <c r="K100">
        <v>-0.24</v>
      </c>
      <c r="L100" s="44" t="s">
        <v>936</v>
      </c>
      <c r="M100" s="42">
        <v>-6.0000000000000002E-6</v>
      </c>
      <c r="N100" s="42">
        <v>-1.1130000000000001E-3</v>
      </c>
      <c r="O100" s="42">
        <v>-2.5999999999999999E-3</v>
      </c>
      <c r="P100" s="42">
        <v>-8.43E-4</v>
      </c>
      <c r="Q100" s="42">
        <v>2.1229999999999999E-3</v>
      </c>
      <c r="R100" s="45">
        <v>-2.3999999999999998E-3</v>
      </c>
      <c r="T100" t="str">
        <f>country!A170</f>
        <v>South Korea</v>
      </c>
      <c r="U100" s="8">
        <f>country!D170</f>
        <v>22236.187948867053</v>
      </c>
      <c r="V100" s="8">
        <f>country!G170</f>
        <v>11.5</v>
      </c>
      <c r="AH100" s="40"/>
    </row>
    <row r="101" spans="1:34" x14ac:dyDescent="0.35">
      <c r="A101" t="s">
        <v>382</v>
      </c>
      <c r="B101" t="str">
        <f>J$141</f>
        <v>Rest of Western Asia</v>
      </c>
      <c r="C101">
        <f>K$141</f>
        <v>-1.22</v>
      </c>
      <c r="D101">
        <f>100*M$141</f>
        <v>0</v>
      </c>
      <c r="E101">
        <f>100*N$141</f>
        <v>-0.76200000000000001</v>
      </c>
      <c r="F101">
        <f>100*O$141</f>
        <v>-0.2868</v>
      </c>
      <c r="G101">
        <f>100*P$141</f>
        <v>-0.1673</v>
      </c>
      <c r="H101">
        <f>100*Q$141</f>
        <v>0</v>
      </c>
      <c r="J101" t="s">
        <v>187</v>
      </c>
      <c r="K101">
        <v>-0.77</v>
      </c>
      <c r="L101" s="44" t="s">
        <v>948</v>
      </c>
      <c r="M101" s="42">
        <v>0</v>
      </c>
      <c r="N101" s="42">
        <v>-1.6230000000000001E-3</v>
      </c>
      <c r="O101" s="42">
        <v>0</v>
      </c>
      <c r="P101" s="42">
        <v>-5.2099999999999998E-4</v>
      </c>
      <c r="Q101" s="42">
        <v>-5.5230000000000001E-3</v>
      </c>
      <c r="R101" s="45">
        <v>-7.7000000000000002E-3</v>
      </c>
      <c r="T101" t="str">
        <f>country!A171</f>
        <v>Spain</v>
      </c>
      <c r="U101" s="8">
        <f>country!D171</f>
        <v>25595.990106992766</v>
      </c>
      <c r="V101" s="8">
        <f>country!G171</f>
        <v>13.3</v>
      </c>
      <c r="AH101" s="40"/>
    </row>
    <row r="102" spans="1:34" x14ac:dyDescent="0.35">
      <c r="A102" t="s">
        <v>383</v>
      </c>
      <c r="B102" t="str">
        <f>J$133</f>
        <v>Rest of South African Customs Union</v>
      </c>
      <c r="C102">
        <f>K$133</f>
        <v>-1.81</v>
      </c>
      <c r="D102">
        <f>100*M$133</f>
        <v>0</v>
      </c>
      <c r="E102">
        <f>100*N$133</f>
        <v>-1.0459000000000001</v>
      </c>
      <c r="F102">
        <f>100*O$133</f>
        <v>-1.5E-3</v>
      </c>
      <c r="G102">
        <f>100*P$133</f>
        <v>-0.76559999999999995</v>
      </c>
      <c r="H102">
        <f>100*Q$133</f>
        <v>0</v>
      </c>
      <c r="J102" t="s">
        <v>188</v>
      </c>
      <c r="K102">
        <v>-6.4</v>
      </c>
      <c r="L102" s="44" t="s">
        <v>909</v>
      </c>
      <c r="M102" s="42">
        <v>-7.9999999999999996E-6</v>
      </c>
      <c r="N102" s="42">
        <v>-1.3164E-2</v>
      </c>
      <c r="O102" s="42">
        <v>-2.9340000000000001E-2</v>
      </c>
      <c r="P102" s="42">
        <v>-8.5830000000000004E-3</v>
      </c>
      <c r="Q102" s="42">
        <v>-1.2886E-2</v>
      </c>
      <c r="R102" s="47">
        <v>-6.4000000000000001E-2</v>
      </c>
      <c r="T102" t="str">
        <f>country!A172</f>
        <v>Sri Lanka</v>
      </c>
      <c r="U102" s="8">
        <f>country!D172</f>
        <v>1610.0848370777339</v>
      </c>
      <c r="V102" s="8">
        <f>country!G172</f>
        <v>26.9</v>
      </c>
      <c r="AH102" s="40"/>
    </row>
    <row r="103" spans="1:34" x14ac:dyDescent="0.35">
      <c r="A103" t="s">
        <v>384</v>
      </c>
      <c r="B103" t="str">
        <f>J$140</f>
        <v>Rest of West Africa</v>
      </c>
      <c r="C103">
        <f>K$140</f>
        <v>-6.07</v>
      </c>
      <c r="D103">
        <f>100*M$140</f>
        <v>0</v>
      </c>
      <c r="E103">
        <f>100*N$140</f>
        <v>-1.5088000000000001</v>
      </c>
      <c r="F103">
        <f>100*O$140</f>
        <v>-3.9965999999999999</v>
      </c>
      <c r="G103">
        <f>100*P$140</f>
        <v>-0.56850000000000001</v>
      </c>
      <c r="H103">
        <f>100*Q$140</f>
        <v>0</v>
      </c>
      <c r="J103" t="s">
        <v>191</v>
      </c>
      <c r="K103">
        <v>1.72</v>
      </c>
      <c r="L103" s="44" t="s">
        <v>949</v>
      </c>
      <c r="M103" s="42">
        <v>0</v>
      </c>
      <c r="N103" s="42">
        <v>5.6599999999999999E-4</v>
      </c>
      <c r="O103" s="42">
        <v>0</v>
      </c>
      <c r="P103" s="42">
        <v>-5.1599999999999997E-4</v>
      </c>
      <c r="Q103" s="42">
        <v>1.7159000000000001E-2</v>
      </c>
      <c r="R103" s="46">
        <v>1.72E-2</v>
      </c>
      <c r="T103" t="str">
        <f>country!A176</f>
        <v>Sweden</v>
      </c>
      <c r="U103" s="8">
        <f>country!D176</f>
        <v>42825.675932195161</v>
      </c>
      <c r="V103" s="8">
        <f>country!G176</f>
        <v>2.1</v>
      </c>
      <c r="AH103" s="40"/>
    </row>
    <row r="104" spans="1:34" x14ac:dyDescent="0.35">
      <c r="A104" t="s">
        <v>385</v>
      </c>
      <c r="B104" t="str">
        <f>J$130</f>
        <v>Rest of North Africa</v>
      </c>
      <c r="C104">
        <f>K$130</f>
        <v>-0.93</v>
      </c>
      <c r="D104">
        <f>100*M$130</f>
        <v>0</v>
      </c>
      <c r="E104">
        <f>100*N$130</f>
        <v>-0.3463</v>
      </c>
      <c r="F104">
        <f>100*O$130</f>
        <v>-0.1242</v>
      </c>
      <c r="G104">
        <f>100*P$130</f>
        <v>-0.45510000000000006</v>
      </c>
      <c r="H104">
        <f>100*Q$130</f>
        <v>0</v>
      </c>
      <c r="J104" t="s">
        <v>192</v>
      </c>
      <c r="K104">
        <v>1.42</v>
      </c>
      <c r="L104" s="44" t="s">
        <v>980</v>
      </c>
      <c r="M104" s="42">
        <v>0</v>
      </c>
      <c r="N104" s="42">
        <v>1.5100000000000001E-4</v>
      </c>
      <c r="O104" s="42">
        <v>0</v>
      </c>
      <c r="P104" s="42">
        <v>-6.6500000000000001E-4</v>
      </c>
      <c r="Q104" s="42">
        <v>1.4678E-2</v>
      </c>
      <c r="R104" s="46">
        <v>1.4200000000000001E-2</v>
      </c>
      <c r="T104" t="str">
        <f>country!A177</f>
        <v>Switzerland</v>
      </c>
      <c r="U104" s="8">
        <f>country!D177</f>
        <v>54642.81108074497</v>
      </c>
      <c r="V104" s="8">
        <f>country!G177</f>
        <v>5.5</v>
      </c>
      <c r="AH104" s="40"/>
    </row>
    <row r="105" spans="1:34" x14ac:dyDescent="0.35">
      <c r="A105" t="s">
        <v>605</v>
      </c>
      <c r="B105" t="str">
        <f>J$127</f>
        <v>Rest of EFTA</v>
      </c>
      <c r="C105">
        <f>K$127</f>
        <v>-0.04</v>
      </c>
      <c r="D105">
        <f>100*M$127</f>
        <v>0</v>
      </c>
      <c r="E105">
        <f>100*N$127</f>
        <v>3.6400000000000002E-2</v>
      </c>
      <c r="F105">
        <f>100*O$127</f>
        <v>0</v>
      </c>
      <c r="G105">
        <f>100*P$127</f>
        <v>-7.4200000000000002E-2</v>
      </c>
      <c r="H105">
        <f>100*Q$127</f>
        <v>0</v>
      </c>
      <c r="J105" t="s">
        <v>635</v>
      </c>
      <c r="K105">
        <v>-5.53</v>
      </c>
      <c r="L105" s="44" t="s">
        <v>973</v>
      </c>
      <c r="M105" s="42">
        <v>-3.9999999999999998E-6</v>
      </c>
      <c r="N105" s="42">
        <v>-1.0189999999999999E-3</v>
      </c>
      <c r="O105" s="42">
        <v>-2.4257999999999998E-2</v>
      </c>
      <c r="P105" s="42">
        <v>-9.0989999999999994E-3</v>
      </c>
      <c r="Q105" s="42">
        <v>-2.0929E-2</v>
      </c>
      <c r="R105" s="47">
        <v>-5.5300000000000002E-2</v>
      </c>
      <c r="U105" s="8"/>
      <c r="V105" s="8"/>
      <c r="AH105" s="40"/>
    </row>
    <row r="106" spans="1:34" x14ac:dyDescent="0.35">
      <c r="A106" t="s">
        <v>227</v>
      </c>
      <c r="B106" t="str">
        <f>J63</f>
        <v>Lithuania</v>
      </c>
      <c r="C106">
        <f>K63</f>
        <v>1.1000000000000001</v>
      </c>
      <c r="D106">
        <f t="shared" ref="D106:H107" si="29">100*M63</f>
        <v>0</v>
      </c>
      <c r="E106">
        <f t="shared" si="29"/>
        <v>0.16420000000000001</v>
      </c>
      <c r="F106">
        <f t="shared" si="29"/>
        <v>0</v>
      </c>
      <c r="G106">
        <f t="shared" si="29"/>
        <v>-3.7900000000000003E-2</v>
      </c>
      <c r="H106">
        <f t="shared" si="29"/>
        <v>0.97499999999999998</v>
      </c>
      <c r="J106" t="s">
        <v>194</v>
      </c>
      <c r="K106">
        <v>-8.7899999999999991</v>
      </c>
      <c r="L106" s="44" t="s">
        <v>891</v>
      </c>
      <c r="M106" s="42">
        <v>-9.9999999999999995E-7</v>
      </c>
      <c r="N106" s="42">
        <v>-2.5944999999999999E-2</v>
      </c>
      <c r="O106" s="42">
        <v>-1.4315E-2</v>
      </c>
      <c r="P106" s="42">
        <v>-1.0207000000000001E-2</v>
      </c>
      <c r="Q106" s="42">
        <v>-3.7479999999999999E-2</v>
      </c>
      <c r="R106" s="47">
        <v>-8.7900000000000006E-2</v>
      </c>
      <c r="T106" t="str">
        <f>country!A180</f>
        <v>Tanzania</v>
      </c>
      <c r="U106" s="8">
        <f>country!D180</f>
        <v>438.4920862852793</v>
      </c>
      <c r="V106" s="8">
        <f>country!G180</f>
        <v>22.3</v>
      </c>
      <c r="AH106" s="40"/>
    </row>
    <row r="107" spans="1:34" x14ac:dyDescent="0.35">
      <c r="A107" t="s">
        <v>161</v>
      </c>
      <c r="B107" t="str">
        <f>J64</f>
        <v>Luxembourg</v>
      </c>
      <c r="C107">
        <f>K64</f>
        <v>2.84</v>
      </c>
      <c r="D107">
        <f t="shared" si="29"/>
        <v>0</v>
      </c>
      <c r="E107">
        <f t="shared" si="29"/>
        <v>5.7000000000000002E-3</v>
      </c>
      <c r="F107">
        <f t="shared" si="29"/>
        <v>0</v>
      </c>
      <c r="G107">
        <f t="shared" si="29"/>
        <v>-4.9700000000000008E-2</v>
      </c>
      <c r="H107">
        <f t="shared" si="29"/>
        <v>2.8828</v>
      </c>
      <c r="J107" t="s">
        <v>195</v>
      </c>
      <c r="K107">
        <v>-9.1300000000000008</v>
      </c>
      <c r="L107" s="44" t="s">
        <v>955</v>
      </c>
      <c r="M107" s="42">
        <v>-9.9999999999999995E-7</v>
      </c>
      <c r="N107" s="42">
        <v>-7.803E-3</v>
      </c>
      <c r="O107" s="42">
        <v>-3.7028999999999999E-2</v>
      </c>
      <c r="P107" s="42">
        <v>-1.4189999999999999E-3</v>
      </c>
      <c r="Q107" s="42">
        <v>-4.5046000000000003E-2</v>
      </c>
      <c r="R107" s="47">
        <v>-9.1300000000000006E-2</v>
      </c>
      <c r="T107" t="str">
        <f>country!A181</f>
        <v>Thailand</v>
      </c>
      <c r="U107" s="8">
        <f>country!D181</f>
        <v>3163.9038450709104</v>
      </c>
      <c r="V107" s="8">
        <f>country!G181</f>
        <v>26.3</v>
      </c>
      <c r="AH107" s="40"/>
    </row>
    <row r="108" spans="1:34" x14ac:dyDescent="0.35">
      <c r="A108" t="s">
        <v>386</v>
      </c>
      <c r="B108" t="str">
        <f>J$125</f>
        <v>Rest of East Asia</v>
      </c>
      <c r="C108">
        <f>K$125</f>
        <v>-4.84</v>
      </c>
      <c r="D108">
        <f>100*M$125</f>
        <v>-1E-3</v>
      </c>
      <c r="E108">
        <f>100*N$125</f>
        <v>-0.39610000000000001</v>
      </c>
      <c r="F108">
        <f>100*O$125</f>
        <v>-4.2472000000000003</v>
      </c>
      <c r="G108">
        <f>100*P$125</f>
        <v>-0.1915</v>
      </c>
      <c r="H108">
        <f>100*Q$125</f>
        <v>0</v>
      </c>
      <c r="J108" t="s">
        <v>412</v>
      </c>
      <c r="K108">
        <v>-18.29</v>
      </c>
      <c r="L108" s="44" t="s">
        <v>878</v>
      </c>
      <c r="M108" s="42">
        <v>0</v>
      </c>
      <c r="N108" s="42">
        <v>-2.9926000000000001E-2</v>
      </c>
      <c r="O108" s="42">
        <v>-6.7907999999999996E-2</v>
      </c>
      <c r="P108" s="42">
        <v>-8.7770000000000001E-3</v>
      </c>
      <c r="Q108" s="42">
        <v>-7.6317999999999997E-2</v>
      </c>
      <c r="R108" s="47">
        <v>-0.18290000000000001</v>
      </c>
      <c r="T108" t="str">
        <f>country!A183</f>
        <v>Togo</v>
      </c>
      <c r="U108" s="8">
        <f>country!D183</f>
        <v>392.85505650149429</v>
      </c>
      <c r="V108" s="8">
        <f>country!G183</f>
        <v>27.1</v>
      </c>
      <c r="AH108" s="40"/>
    </row>
    <row r="109" spans="1:34" x14ac:dyDescent="0.35">
      <c r="A109" t="s">
        <v>387</v>
      </c>
      <c r="B109" t="str">
        <f>J$128</f>
        <v>Rest of Europe</v>
      </c>
      <c r="C109">
        <f>K$128</f>
        <v>0.01</v>
      </c>
      <c r="D109">
        <f>100*M$128</f>
        <v>0</v>
      </c>
      <c r="E109">
        <f>100*N$128</f>
        <v>4.7899999999999998E-2</v>
      </c>
      <c r="F109">
        <f>100*O$128</f>
        <v>0</v>
      </c>
      <c r="G109">
        <f>100*P$128</f>
        <v>-3.9599999999999996E-2</v>
      </c>
      <c r="H109">
        <f>100*Q$128</f>
        <v>0</v>
      </c>
      <c r="J109" t="s">
        <v>196</v>
      </c>
      <c r="K109">
        <v>-4.88</v>
      </c>
      <c r="L109" s="44" t="s">
        <v>914</v>
      </c>
      <c r="M109" s="42">
        <v>-9.0000000000000002E-6</v>
      </c>
      <c r="N109" s="42">
        <v>-1.245E-3</v>
      </c>
      <c r="O109" s="42">
        <v>-2.4513E-2</v>
      </c>
      <c r="P109" s="42">
        <v>-1.207E-3</v>
      </c>
      <c r="Q109" s="42">
        <v>-2.1839000000000001E-2</v>
      </c>
      <c r="R109" s="43">
        <v>-4.8800000000000003E-2</v>
      </c>
      <c r="T109" t="str">
        <f>country!A185</f>
        <v>Trinidad and Tobago</v>
      </c>
      <c r="U109" s="8">
        <f>country!D185</f>
        <v>14297.889414135465</v>
      </c>
      <c r="V109" s="8">
        <f>country!G185</f>
        <v>25.7</v>
      </c>
      <c r="AH109" s="40"/>
    </row>
    <row r="110" spans="1:34" x14ac:dyDescent="0.35">
      <c r="A110" t="s">
        <v>162</v>
      </c>
      <c r="B110" t="str">
        <f t="shared" ref="B110:C112" si="30">J65</f>
        <v>Madagascar</v>
      </c>
      <c r="C110">
        <f t="shared" si="30"/>
        <v>-10</v>
      </c>
      <c r="D110">
        <f t="shared" ref="D110:H112" si="31">100*M65</f>
        <v>-1.9999999999999998E-4</v>
      </c>
      <c r="E110">
        <f t="shared" si="31"/>
        <v>-2.9062000000000001</v>
      </c>
      <c r="F110">
        <f t="shared" si="31"/>
        <v>-2.5131000000000001</v>
      </c>
      <c r="G110">
        <f t="shared" si="31"/>
        <v>-0.98609999999999998</v>
      </c>
      <c r="H110">
        <f t="shared" si="31"/>
        <v>-3.5947</v>
      </c>
      <c r="J110" t="s">
        <v>197</v>
      </c>
      <c r="K110">
        <v>-3.13</v>
      </c>
      <c r="L110" s="44" t="s">
        <v>870</v>
      </c>
      <c r="M110" s="42">
        <v>-9.9999999999999995E-7</v>
      </c>
      <c r="N110" s="42">
        <v>-7.5789999999999998E-3</v>
      </c>
      <c r="O110" s="42">
        <v>-2.464E-3</v>
      </c>
      <c r="P110" s="42">
        <v>-5.2859999999999999E-3</v>
      </c>
      <c r="Q110" s="42">
        <v>-1.5935000000000001E-2</v>
      </c>
      <c r="R110" s="43">
        <v>-3.1300000000000001E-2</v>
      </c>
      <c r="T110" t="str">
        <f>country!A186</f>
        <v>Tunisia</v>
      </c>
      <c r="U110" s="8">
        <f>country!D186</f>
        <v>3861.5088997834828</v>
      </c>
      <c r="V110" s="8">
        <f>country!G186</f>
        <v>19.2</v>
      </c>
      <c r="AH110" s="40"/>
    </row>
    <row r="111" spans="1:34" x14ac:dyDescent="0.35">
      <c r="A111" t="s">
        <v>163</v>
      </c>
      <c r="B111" t="str">
        <f t="shared" si="30"/>
        <v>Malawi</v>
      </c>
      <c r="C111">
        <f t="shared" si="30"/>
        <v>-9.76</v>
      </c>
      <c r="D111">
        <f t="shared" si="31"/>
        <v>0</v>
      </c>
      <c r="E111">
        <f t="shared" si="31"/>
        <v>-2.6408</v>
      </c>
      <c r="F111">
        <f t="shared" si="31"/>
        <v>-1.5485</v>
      </c>
      <c r="G111">
        <f t="shared" si="31"/>
        <v>-0.94219999999999993</v>
      </c>
      <c r="H111">
        <f t="shared" si="31"/>
        <v>-4.6331999999999995</v>
      </c>
      <c r="J111" t="s">
        <v>198</v>
      </c>
      <c r="K111">
        <v>-0.83</v>
      </c>
      <c r="L111" s="44" t="s">
        <v>918</v>
      </c>
      <c r="M111" s="42">
        <v>-9.9999999999999995E-7</v>
      </c>
      <c r="N111" s="42">
        <v>-4.6870000000000002E-3</v>
      </c>
      <c r="O111" s="42">
        <v>0</v>
      </c>
      <c r="P111" s="42">
        <v>-3.4989999999999999E-3</v>
      </c>
      <c r="Q111" s="42">
        <v>-7.4999999999999993E-5</v>
      </c>
      <c r="R111" s="45">
        <v>-8.3000000000000001E-3</v>
      </c>
      <c r="T111" t="str">
        <f>country!A187</f>
        <v>Turkey</v>
      </c>
      <c r="U111" s="8">
        <f>country!D187</f>
        <v>7833.5285846205052</v>
      </c>
      <c r="V111" s="8">
        <f>country!G187</f>
        <v>11.1</v>
      </c>
      <c r="AH111" s="40"/>
    </row>
    <row r="112" spans="1:34" x14ac:dyDescent="0.35">
      <c r="A112" t="s">
        <v>164</v>
      </c>
      <c r="B112" t="str">
        <f t="shared" si="30"/>
        <v>Malaysia</v>
      </c>
      <c r="C112">
        <f t="shared" si="30"/>
        <v>-10.210000000000001</v>
      </c>
      <c r="D112">
        <f t="shared" si="31"/>
        <v>-5.0000000000000001E-4</v>
      </c>
      <c r="E112">
        <f t="shared" si="31"/>
        <v>-0.74939999999999996</v>
      </c>
      <c r="F112">
        <f t="shared" si="31"/>
        <v>-4.8377999999999997</v>
      </c>
      <c r="G112">
        <f t="shared" si="31"/>
        <v>-0.18159999999999998</v>
      </c>
      <c r="H112">
        <f t="shared" si="31"/>
        <v>-4.4405999999999999</v>
      </c>
      <c r="J112" t="s">
        <v>254</v>
      </c>
      <c r="K112">
        <v>-7.58</v>
      </c>
      <c r="L112" s="44" t="s">
        <v>892</v>
      </c>
      <c r="M112" s="42">
        <v>0</v>
      </c>
      <c r="N112" s="42">
        <v>-2.3230000000000001E-2</v>
      </c>
      <c r="O112" s="42">
        <v>-3.32E-3</v>
      </c>
      <c r="P112" s="42">
        <v>-8.5640000000000004E-3</v>
      </c>
      <c r="Q112" s="42">
        <v>-4.0730000000000002E-2</v>
      </c>
      <c r="R112" s="47">
        <v>-7.5800000000000006E-2</v>
      </c>
      <c r="T112" t="str">
        <f>country!A190</f>
        <v>Uganda</v>
      </c>
      <c r="U112" s="8">
        <f>country!D190</f>
        <v>393.14887775627386</v>
      </c>
      <c r="V112" s="8">
        <f>country!G190</f>
        <v>22.8</v>
      </c>
      <c r="AH112" s="40"/>
    </row>
    <row r="113" spans="1:34" x14ac:dyDescent="0.35">
      <c r="A113" t="s">
        <v>388</v>
      </c>
      <c r="B113" t="str">
        <f>J$135</f>
        <v>Rest of South Asia</v>
      </c>
      <c r="C113">
        <f>K$135</f>
        <v>-4.8899999999999997</v>
      </c>
      <c r="D113">
        <f>100*M$135</f>
        <v>0</v>
      </c>
      <c r="E113">
        <f>100*N$135</f>
        <v>-1.9426999999999999</v>
      </c>
      <c r="F113">
        <f>100*O$135</f>
        <v>-2.8045</v>
      </c>
      <c r="G113">
        <f>100*P$135</f>
        <v>-0.1434</v>
      </c>
      <c r="H113">
        <f>100*Q$135</f>
        <v>0</v>
      </c>
      <c r="J113" t="s">
        <v>238</v>
      </c>
      <c r="K113">
        <v>0.92</v>
      </c>
      <c r="L113" s="44" t="s">
        <v>968</v>
      </c>
      <c r="M113" s="42">
        <v>0</v>
      </c>
      <c r="N113" s="42">
        <v>6.1399999999999996E-4</v>
      </c>
      <c r="O113" s="42">
        <v>0</v>
      </c>
      <c r="P113" s="42">
        <v>-8.2899999999999998E-4</v>
      </c>
      <c r="Q113" s="42">
        <v>9.4210000000000006E-3</v>
      </c>
      <c r="R113" s="46">
        <v>9.1999999999999998E-3</v>
      </c>
      <c r="T113" t="str">
        <f>country!A191</f>
        <v>Ukraine</v>
      </c>
      <c r="U113" s="8">
        <f>country!D191</f>
        <v>1974.6211818802449</v>
      </c>
      <c r="V113" s="8">
        <f>country!G191</f>
        <v>8.3000000000000007</v>
      </c>
      <c r="AH113" s="40"/>
    </row>
    <row r="114" spans="1:34" x14ac:dyDescent="0.35">
      <c r="A114" t="s">
        <v>165</v>
      </c>
      <c r="B114" t="str">
        <f>J$140</f>
        <v>Rest of West Africa</v>
      </c>
      <c r="C114">
        <f>K$140</f>
        <v>-6.07</v>
      </c>
      <c r="D114">
        <f>100*M$140</f>
        <v>0</v>
      </c>
      <c r="E114">
        <f>100*N$140</f>
        <v>-1.5088000000000001</v>
      </c>
      <c r="F114">
        <f>100*O$140</f>
        <v>-3.9965999999999999</v>
      </c>
      <c r="G114">
        <f>100*P$140</f>
        <v>-0.56850000000000001</v>
      </c>
      <c r="H114">
        <f>100*Q$140</f>
        <v>0</v>
      </c>
      <c r="J114" t="s">
        <v>416</v>
      </c>
      <c r="K114">
        <v>-4.8600000000000003</v>
      </c>
      <c r="L114" s="44" t="s">
        <v>932</v>
      </c>
      <c r="M114" s="42">
        <v>-1.9999999999999999E-6</v>
      </c>
      <c r="N114" s="42">
        <v>-1.686E-3</v>
      </c>
      <c r="O114" s="42">
        <v>-1.3851E-2</v>
      </c>
      <c r="P114" s="42">
        <v>-4.3439999999999998E-3</v>
      </c>
      <c r="Q114" s="42">
        <v>-2.8718E-2</v>
      </c>
      <c r="R114" s="43">
        <v>-4.8599999999999997E-2</v>
      </c>
      <c r="T114" t="str">
        <f>country!A192</f>
        <v>United Arab Emirates</v>
      </c>
      <c r="U114" s="8">
        <f>country!D192</f>
        <v>24219.297645532275</v>
      </c>
      <c r="V114" s="8">
        <f>country!G192</f>
        <v>27</v>
      </c>
      <c r="AH114" s="40"/>
    </row>
    <row r="115" spans="1:34" x14ac:dyDescent="0.35">
      <c r="A115" t="s">
        <v>389</v>
      </c>
      <c r="B115" t="str">
        <f>J68</f>
        <v>Malta</v>
      </c>
      <c r="C115">
        <f>K68</f>
        <v>-6.55</v>
      </c>
      <c r="D115">
        <f>100*M68</f>
        <v>-9.9999999999999991E-5</v>
      </c>
      <c r="E115">
        <f>100*N68</f>
        <v>-0.14799999999999999</v>
      </c>
      <c r="F115">
        <f>100*O68</f>
        <v>-7.110000000000001E-2</v>
      </c>
      <c r="G115">
        <f>100*P68</f>
        <v>-3.61E-2</v>
      </c>
      <c r="H115">
        <f>100*Q68</f>
        <v>-6.2964999999999991</v>
      </c>
      <c r="J115" t="s">
        <v>199</v>
      </c>
      <c r="K115">
        <v>0.59</v>
      </c>
      <c r="L115" s="44" t="s">
        <v>960</v>
      </c>
      <c r="M115" s="42">
        <v>0</v>
      </c>
      <c r="N115" s="42">
        <v>9.8999999999999994E-5</v>
      </c>
      <c r="O115" s="42">
        <v>0</v>
      </c>
      <c r="P115" s="42">
        <v>-5.5099999999999995E-4</v>
      </c>
      <c r="Q115" s="42">
        <v>6.3730000000000002E-3</v>
      </c>
      <c r="R115" s="46">
        <v>5.8999999999999999E-3</v>
      </c>
      <c r="T115" t="str">
        <f>country!A193</f>
        <v>United Kingdom</v>
      </c>
      <c r="U115" s="8">
        <f>country!D193</f>
        <v>37899.295520911917</v>
      </c>
      <c r="V115" s="8">
        <f>country!G193</f>
        <v>8.4</v>
      </c>
      <c r="AH115" s="40"/>
    </row>
    <row r="116" spans="1:34" x14ac:dyDescent="0.35">
      <c r="A116" t="s">
        <v>390</v>
      </c>
      <c r="B116" t="str">
        <f>J$132</f>
        <v>Rest of Oceania</v>
      </c>
      <c r="C116">
        <f>K$132</f>
        <v>-2.02</v>
      </c>
      <c r="D116">
        <f>100*M$132</f>
        <v>-9.4999999999999998E-3</v>
      </c>
      <c r="E116">
        <f>100*N$132</f>
        <v>-0.3135</v>
      </c>
      <c r="F116">
        <f>100*O$132</f>
        <v>-1.3971</v>
      </c>
      <c r="G116">
        <f>100*P$132</f>
        <v>-0.30299999999999999</v>
      </c>
      <c r="H116">
        <f>100*Q$132</f>
        <v>0</v>
      </c>
      <c r="J116" t="s">
        <v>201</v>
      </c>
      <c r="K116">
        <v>-2.17</v>
      </c>
      <c r="L116" s="44" t="s">
        <v>976</v>
      </c>
      <c r="M116" s="42">
        <v>-9.9999999999999995E-7</v>
      </c>
      <c r="N116" s="42">
        <v>-4.5240000000000002E-3</v>
      </c>
      <c r="O116" s="42">
        <v>-5.7200000000000003E-4</v>
      </c>
      <c r="P116" s="42">
        <v>-2.9719999999999998E-3</v>
      </c>
      <c r="Q116" s="42">
        <v>-1.3583E-2</v>
      </c>
      <c r="R116" s="43">
        <v>-2.1700000000000001E-2</v>
      </c>
      <c r="T116" t="str">
        <f>country!A195</f>
        <v>Uruguay</v>
      </c>
      <c r="U116" s="8">
        <f>country!D195</f>
        <v>6791.0504176996537</v>
      </c>
      <c r="V116" s="8">
        <f>country!G195</f>
        <v>17.5</v>
      </c>
      <c r="AH116" s="40"/>
    </row>
    <row r="117" spans="1:34" x14ac:dyDescent="0.35">
      <c r="A117" t="s">
        <v>391</v>
      </c>
      <c r="B117" t="str">
        <f>J$140</f>
        <v>Rest of West Africa</v>
      </c>
      <c r="C117">
        <f>K$140</f>
        <v>-6.07</v>
      </c>
      <c r="D117">
        <f>100*M$140</f>
        <v>0</v>
      </c>
      <c r="E117">
        <f>100*N$140</f>
        <v>-1.5088000000000001</v>
      </c>
      <c r="F117">
        <f>100*O$140</f>
        <v>-3.9965999999999999</v>
      </c>
      <c r="G117">
        <f>100*P$140</f>
        <v>-0.56850000000000001</v>
      </c>
      <c r="H117">
        <f>100*Q$140</f>
        <v>0</v>
      </c>
      <c r="J117" t="s">
        <v>63</v>
      </c>
      <c r="K117">
        <v>-0.16</v>
      </c>
      <c r="L117" s="44" t="s">
        <v>63</v>
      </c>
      <c r="M117" s="42">
        <v>0</v>
      </c>
      <c r="N117" s="42">
        <v>1.5899999999999999E-4</v>
      </c>
      <c r="O117" s="42">
        <v>-4.8000000000000001E-5</v>
      </c>
      <c r="P117" s="42">
        <v>-2.8960000000000001E-3</v>
      </c>
      <c r="Q117" s="42">
        <v>1.152E-3</v>
      </c>
      <c r="R117" s="45">
        <v>-1.6000000000000001E-3</v>
      </c>
      <c r="T117" t="str">
        <f>country!A194</f>
        <v>United States</v>
      </c>
      <c r="U117" s="8">
        <f>country!D194</f>
        <v>43952.446494287382</v>
      </c>
      <c r="V117" s="8">
        <f>country!G194</f>
        <v>8.5</v>
      </c>
      <c r="AH117" s="40"/>
    </row>
    <row r="118" spans="1:34" x14ac:dyDescent="0.35">
      <c r="A118" t="s">
        <v>166</v>
      </c>
      <c r="B118" t="str">
        <f>J69</f>
        <v>Mauritius</v>
      </c>
      <c r="C118">
        <f>K69</f>
        <v>-12.14</v>
      </c>
      <c r="D118">
        <f t="shared" ref="D118:H119" si="32">100*M69</f>
        <v>-8.9999999999999998E-4</v>
      </c>
      <c r="E118">
        <f t="shared" si="32"/>
        <v>-0.71579999999999999</v>
      </c>
      <c r="F118">
        <f t="shared" si="32"/>
        <v>-2.1495000000000002</v>
      </c>
      <c r="G118">
        <f t="shared" si="32"/>
        <v>-0.89960000000000007</v>
      </c>
      <c r="H118">
        <f t="shared" si="32"/>
        <v>-8.3782999999999994</v>
      </c>
      <c r="J118" t="s">
        <v>202</v>
      </c>
      <c r="K118">
        <v>-2.15</v>
      </c>
      <c r="L118" s="44" t="s">
        <v>897</v>
      </c>
      <c r="M118" s="42">
        <v>-9.9999999999999995E-7</v>
      </c>
      <c r="N118" s="42">
        <v>-6.5640000000000004E-3</v>
      </c>
      <c r="O118" s="42">
        <v>-9.783E-3</v>
      </c>
      <c r="P118" s="42">
        <v>-1.686E-3</v>
      </c>
      <c r="Q118" s="42">
        <v>-3.473E-3</v>
      </c>
      <c r="R118" s="43">
        <v>-2.1499999999999998E-2</v>
      </c>
      <c r="T118" t="str">
        <f>country!A198</f>
        <v>Venezuela</v>
      </c>
      <c r="U118" s="8">
        <f>country!D198</f>
        <v>6010.0797889966334</v>
      </c>
      <c r="V118" s="8">
        <f>country!G198</f>
        <v>25.3</v>
      </c>
      <c r="AH118" s="40"/>
    </row>
    <row r="119" spans="1:34" x14ac:dyDescent="0.35">
      <c r="A119" t="s">
        <v>167</v>
      </c>
      <c r="B119" t="str">
        <f>J70</f>
        <v>Mexico</v>
      </c>
      <c r="C119">
        <f>K70</f>
        <v>-1.1499999999999999</v>
      </c>
      <c r="D119">
        <f t="shared" si="32"/>
        <v>0</v>
      </c>
      <c r="E119">
        <f t="shared" si="32"/>
        <v>-0.34199999999999997</v>
      </c>
      <c r="F119">
        <f t="shared" si="32"/>
        <v>-0.153</v>
      </c>
      <c r="G119">
        <f t="shared" si="32"/>
        <v>-0.2326</v>
      </c>
      <c r="H119">
        <f t="shared" si="32"/>
        <v>-0.41770000000000002</v>
      </c>
      <c r="J119" t="s">
        <v>419</v>
      </c>
      <c r="K119">
        <v>-7.09</v>
      </c>
      <c r="L119" s="44" t="s">
        <v>974</v>
      </c>
      <c r="M119" s="42">
        <v>-6.0000000000000002E-6</v>
      </c>
      <c r="N119" s="42">
        <v>-1.358E-2</v>
      </c>
      <c r="O119" s="42">
        <v>-3.3931999999999997E-2</v>
      </c>
      <c r="P119" s="42">
        <v>-1.5009999999999999E-3</v>
      </c>
      <c r="Q119" s="42">
        <v>-2.1888999999999999E-2</v>
      </c>
      <c r="R119" s="47">
        <v>-7.0900000000000005E-2</v>
      </c>
      <c r="T119" t="str">
        <f>country!A199</f>
        <v>Vietnam</v>
      </c>
      <c r="U119" s="8">
        <f>country!D199</f>
        <v>900.49369266691042</v>
      </c>
      <c r="V119" s="8">
        <f>country!G199</f>
        <v>24.4</v>
      </c>
      <c r="AH119" s="40"/>
    </row>
    <row r="120" spans="1:34" x14ac:dyDescent="0.35">
      <c r="A120" t="s">
        <v>392</v>
      </c>
      <c r="B120" t="str">
        <f>J$132</f>
        <v>Rest of Oceania</v>
      </c>
      <c r="C120">
        <f>K$132</f>
        <v>-2.02</v>
      </c>
      <c r="D120">
        <f>100*M$132</f>
        <v>-9.4999999999999998E-3</v>
      </c>
      <c r="E120">
        <f>100*N$132</f>
        <v>-0.3135</v>
      </c>
      <c r="F120">
        <f>100*O$132</f>
        <v>-1.3971</v>
      </c>
      <c r="G120">
        <f>100*P$132</f>
        <v>-0.30299999999999999</v>
      </c>
      <c r="H120">
        <f>100*Q$132</f>
        <v>0</v>
      </c>
      <c r="J120" t="s">
        <v>204</v>
      </c>
      <c r="K120">
        <v>-4.3</v>
      </c>
      <c r="L120" s="44" t="s">
        <v>893</v>
      </c>
      <c r="M120" s="42">
        <v>0</v>
      </c>
      <c r="N120" s="42">
        <v>-1.1479E-2</v>
      </c>
      <c r="O120" s="42">
        <v>-4.7759999999999999E-3</v>
      </c>
      <c r="P120" s="42">
        <v>-1.1181999999999999E-2</v>
      </c>
      <c r="Q120" s="42">
        <v>-1.5571E-2</v>
      </c>
      <c r="R120" s="43">
        <v>-4.2999999999999997E-2</v>
      </c>
      <c r="T120" t="str">
        <f>country!A201</f>
        <v>Zambia</v>
      </c>
      <c r="U120" s="8">
        <f>country!D201</f>
        <v>741.44209139426641</v>
      </c>
      <c r="V120" s="8">
        <f>country!G201</f>
        <v>21.4</v>
      </c>
      <c r="AH120" s="40"/>
    </row>
    <row r="121" spans="1:34" x14ac:dyDescent="0.35">
      <c r="A121" t="s">
        <v>229</v>
      </c>
      <c r="B121" t="str">
        <f>J126</f>
        <v>Rest of Eastern Europe</v>
      </c>
      <c r="C121">
        <f>K126</f>
        <v>-0.02</v>
      </c>
      <c r="D121">
        <f>100*M126</f>
        <v>0</v>
      </c>
      <c r="E121">
        <f>100*N126</f>
        <v>6.8499999999999991E-2</v>
      </c>
      <c r="F121">
        <f>100*O126</f>
        <v>0</v>
      </c>
      <c r="G121">
        <f>100*P126</f>
        <v>-8.8700000000000001E-2</v>
      </c>
      <c r="H121">
        <f>100*Q126</f>
        <v>0</v>
      </c>
      <c r="J121" t="s">
        <v>205</v>
      </c>
      <c r="K121">
        <v>-4.79</v>
      </c>
      <c r="L121" s="44" t="s">
        <v>905</v>
      </c>
      <c r="M121" s="42">
        <v>0</v>
      </c>
      <c r="N121" s="42">
        <v>-9.0729999999999995E-3</v>
      </c>
      <c r="O121" s="42">
        <v>-1.2899999999999999E-3</v>
      </c>
      <c r="P121" s="42">
        <v>-7.9629999999999996E-3</v>
      </c>
      <c r="Q121" s="42">
        <v>-2.9613E-2</v>
      </c>
      <c r="R121" s="43">
        <v>-4.7899999999999998E-2</v>
      </c>
      <c r="T121" t="str">
        <f>country!A202</f>
        <v>Zimbabwe</v>
      </c>
      <c r="U121" s="8">
        <f>country!D202</f>
        <v>397.82159673579832</v>
      </c>
      <c r="V121" s="8">
        <f>country!G202</f>
        <v>21</v>
      </c>
      <c r="AH121" s="40"/>
    </row>
    <row r="122" spans="1:34" x14ac:dyDescent="0.35">
      <c r="A122" t="s">
        <v>606</v>
      </c>
      <c r="B122" t="str">
        <f>J$128</f>
        <v>Rest of Europe</v>
      </c>
      <c r="C122">
        <f>K$128</f>
        <v>0.01</v>
      </c>
      <c r="D122">
        <f>100*M$128</f>
        <v>0</v>
      </c>
      <c r="E122">
        <f>100*N$128</f>
        <v>4.7899999999999998E-2</v>
      </c>
      <c r="F122">
        <f>100*O$128</f>
        <v>0</v>
      </c>
      <c r="G122">
        <f>100*P$128</f>
        <v>-3.9599999999999996E-2</v>
      </c>
      <c r="H122">
        <f>100*Q$128</f>
        <v>0</v>
      </c>
      <c r="J122" t="s">
        <v>651</v>
      </c>
      <c r="K122">
        <v>-2.38</v>
      </c>
      <c r="L122" s="44" t="s">
        <v>880</v>
      </c>
      <c r="M122" s="42">
        <v>0</v>
      </c>
      <c r="N122" s="42">
        <v>-4.7089999999999996E-3</v>
      </c>
      <c r="O122" s="42">
        <v>-8.0999999999999996E-3</v>
      </c>
      <c r="P122" s="42">
        <v>-6.2940000000000001E-3</v>
      </c>
      <c r="Q122" s="42">
        <v>-4.6750000000000003E-3</v>
      </c>
      <c r="R122" s="43">
        <v>-2.3800000000000002E-2</v>
      </c>
      <c r="AH122" s="40"/>
    </row>
    <row r="123" spans="1:34" x14ac:dyDescent="0.35">
      <c r="A123" t="s">
        <v>393</v>
      </c>
      <c r="B123" t="str">
        <f>J71</f>
        <v>Mongolia</v>
      </c>
      <c r="C123">
        <f>K71</f>
        <v>1.06</v>
      </c>
      <c r="D123">
        <f>100*M71</f>
        <v>0</v>
      </c>
      <c r="E123">
        <f>100*N71</f>
        <v>0.55199999999999994</v>
      </c>
      <c r="F123">
        <f>100*O71</f>
        <v>0</v>
      </c>
      <c r="G123">
        <f>100*P71</f>
        <v>-0.44089999999999996</v>
      </c>
      <c r="H123">
        <f>100*Q71</f>
        <v>0.9466</v>
      </c>
      <c r="J123" t="s">
        <v>640</v>
      </c>
      <c r="K123">
        <v>-4.6100000000000003</v>
      </c>
      <c r="L123" s="44" t="s">
        <v>957</v>
      </c>
      <c r="M123" s="42">
        <v>-4.3999999999999999E-5</v>
      </c>
      <c r="N123" s="42">
        <v>-1.1027E-2</v>
      </c>
      <c r="O123" s="42">
        <v>-3.3145000000000001E-2</v>
      </c>
      <c r="P123" s="42">
        <v>-1.8630000000000001E-3</v>
      </c>
      <c r="Q123" s="42">
        <v>0</v>
      </c>
      <c r="R123" s="43">
        <v>-4.6100000000000002E-2</v>
      </c>
      <c r="AH123" s="40"/>
    </row>
    <row r="124" spans="1:34" x14ac:dyDescent="0.35">
      <c r="A124" t="s">
        <v>230</v>
      </c>
      <c r="B124" t="str">
        <f>J$128</f>
        <v>Rest of Europe</v>
      </c>
      <c r="C124">
        <f>K$128</f>
        <v>0.01</v>
      </c>
      <c r="D124">
        <f>100*M$128</f>
        <v>0</v>
      </c>
      <c r="E124">
        <f>100*N$128</f>
        <v>4.7899999999999998E-2</v>
      </c>
      <c r="F124">
        <f>100*O$128</f>
        <v>0</v>
      </c>
      <c r="G124">
        <f>100*P$128</f>
        <v>-3.9599999999999996E-2</v>
      </c>
      <c r="H124">
        <f>100*Q$128</f>
        <v>0</v>
      </c>
      <c r="J124" t="s">
        <v>653</v>
      </c>
      <c r="K124">
        <v>-4.62</v>
      </c>
      <c r="L124" s="44" t="s">
        <v>343</v>
      </c>
      <c r="M124" s="42">
        <v>0</v>
      </c>
      <c r="N124" s="42">
        <v>-1.2135999999999999E-2</v>
      </c>
      <c r="O124" s="42">
        <v>-2.4070000000000001E-2</v>
      </c>
      <c r="P124" s="42">
        <v>-9.9550000000000003E-3</v>
      </c>
      <c r="Q124" s="42">
        <v>0</v>
      </c>
      <c r="R124" s="43">
        <v>-4.6199999999999998E-2</v>
      </c>
      <c r="AH124" s="40"/>
    </row>
    <row r="125" spans="1:34" x14ac:dyDescent="0.35">
      <c r="A125" t="s">
        <v>168</v>
      </c>
      <c r="B125" t="str">
        <f t="shared" ref="B125:C131" si="33">J72</f>
        <v>Morocco</v>
      </c>
      <c r="C125">
        <f t="shared" si="33"/>
        <v>-3.72</v>
      </c>
      <c r="D125">
        <f t="shared" ref="D125:H131" si="34">100*M72</f>
        <v>-9.9999999999999991E-5</v>
      </c>
      <c r="E125">
        <f t="shared" si="34"/>
        <v>-1.107</v>
      </c>
      <c r="F125">
        <f t="shared" si="34"/>
        <v>-5.5500000000000008E-2</v>
      </c>
      <c r="G125">
        <f t="shared" si="34"/>
        <v>-0.73530000000000006</v>
      </c>
      <c r="H125">
        <f t="shared" si="34"/>
        <v>-1.8221000000000001</v>
      </c>
      <c r="J125" t="s">
        <v>494</v>
      </c>
      <c r="K125">
        <v>-4.84</v>
      </c>
      <c r="L125" s="44" t="s">
        <v>338</v>
      </c>
      <c r="M125" s="42">
        <v>-1.0000000000000001E-5</v>
      </c>
      <c r="N125" s="42">
        <v>-3.9610000000000001E-3</v>
      </c>
      <c r="O125" s="42">
        <v>-4.2472000000000003E-2</v>
      </c>
      <c r="P125" s="42">
        <v>-1.915E-3</v>
      </c>
      <c r="Q125" s="42">
        <v>0</v>
      </c>
      <c r="R125" s="43">
        <v>-4.8399999999999999E-2</v>
      </c>
      <c r="AH125" s="40"/>
    </row>
    <row r="126" spans="1:34" x14ac:dyDescent="0.35">
      <c r="A126" t="s">
        <v>394</v>
      </c>
      <c r="B126" t="str">
        <f t="shared" si="33"/>
        <v>Mozambique</v>
      </c>
      <c r="C126">
        <f t="shared" si="33"/>
        <v>-7.88</v>
      </c>
      <c r="D126">
        <f t="shared" si="34"/>
        <v>-9.9999999999999991E-5</v>
      </c>
      <c r="E126">
        <f t="shared" si="34"/>
        <v>-1.1773</v>
      </c>
      <c r="F126">
        <f t="shared" si="34"/>
        <v>-2.7128000000000001</v>
      </c>
      <c r="G126">
        <f t="shared" si="34"/>
        <v>-0.97280000000000011</v>
      </c>
      <c r="H126">
        <f t="shared" si="34"/>
        <v>-3.0177999999999998</v>
      </c>
      <c r="J126" t="s">
        <v>645</v>
      </c>
      <c r="K126">
        <v>-0.02</v>
      </c>
      <c r="L126" s="44" t="s">
        <v>981</v>
      </c>
      <c r="M126" s="42">
        <v>0</v>
      </c>
      <c r="N126" s="42">
        <v>6.8499999999999995E-4</v>
      </c>
      <c r="O126" s="42">
        <v>0</v>
      </c>
      <c r="P126" s="42">
        <v>-8.8699999999999998E-4</v>
      </c>
      <c r="Q126" s="42">
        <v>0</v>
      </c>
      <c r="R126" s="45">
        <v>-2.0000000000000001E-4</v>
      </c>
      <c r="AH126" s="40"/>
    </row>
    <row r="127" spans="1:34" x14ac:dyDescent="0.35">
      <c r="A127" t="s">
        <v>395</v>
      </c>
      <c r="B127" t="str">
        <f t="shared" si="33"/>
        <v>Namibia</v>
      </c>
      <c r="C127">
        <f t="shared" si="33"/>
        <v>-5.08</v>
      </c>
      <c r="D127">
        <f t="shared" si="34"/>
        <v>0</v>
      </c>
      <c r="E127">
        <f t="shared" si="34"/>
        <v>-0.9395</v>
      </c>
      <c r="F127">
        <f t="shared" si="34"/>
        <v>-7.4700000000000003E-2</v>
      </c>
      <c r="G127">
        <f t="shared" si="34"/>
        <v>-0.71099999999999997</v>
      </c>
      <c r="H127">
        <f t="shared" si="34"/>
        <v>-3.3563999999999998</v>
      </c>
      <c r="J127" t="s">
        <v>643</v>
      </c>
      <c r="K127">
        <v>-0.04</v>
      </c>
      <c r="L127" s="44" t="s">
        <v>962</v>
      </c>
      <c r="M127" s="42">
        <v>0</v>
      </c>
      <c r="N127" s="42">
        <v>3.6400000000000001E-4</v>
      </c>
      <c r="O127" s="42">
        <v>0</v>
      </c>
      <c r="P127" s="42">
        <v>-7.4200000000000004E-4</v>
      </c>
      <c r="Q127" s="42">
        <v>0</v>
      </c>
      <c r="R127" s="45">
        <v>-4.0000000000000002E-4</v>
      </c>
      <c r="U127" s="8"/>
      <c r="V127" s="8"/>
      <c r="AH127" s="40"/>
    </row>
    <row r="128" spans="1:34" x14ac:dyDescent="0.35">
      <c r="A128" t="s">
        <v>169</v>
      </c>
      <c r="B128" t="str">
        <f t="shared" si="33"/>
        <v>Nepal</v>
      </c>
      <c r="C128">
        <f t="shared" si="33"/>
        <v>-3.97</v>
      </c>
      <c r="D128">
        <f t="shared" si="34"/>
        <v>0</v>
      </c>
      <c r="E128">
        <f t="shared" si="34"/>
        <v>-7.7300000000000008E-2</v>
      </c>
      <c r="F128">
        <f t="shared" si="34"/>
        <v>-1.1111</v>
      </c>
      <c r="G128">
        <f t="shared" si="34"/>
        <v>-0.91079999999999994</v>
      </c>
      <c r="H128">
        <f t="shared" si="34"/>
        <v>-1.8753</v>
      </c>
      <c r="J128" t="s">
        <v>646</v>
      </c>
      <c r="K128">
        <v>0.01</v>
      </c>
      <c r="L128" s="44" t="s">
        <v>982</v>
      </c>
      <c r="M128" s="42">
        <v>0</v>
      </c>
      <c r="N128" s="42">
        <v>4.7899999999999999E-4</v>
      </c>
      <c r="O128" s="42">
        <v>0</v>
      </c>
      <c r="P128" s="42">
        <v>-3.9599999999999998E-4</v>
      </c>
      <c r="Q128" s="42">
        <v>0</v>
      </c>
      <c r="R128" s="46">
        <v>1E-4</v>
      </c>
      <c r="U128" s="8"/>
      <c r="V128" s="8"/>
      <c r="AH128" s="40"/>
    </row>
    <row r="129" spans="1:34" x14ac:dyDescent="0.35">
      <c r="A129" t="s">
        <v>170</v>
      </c>
      <c r="B129" t="str">
        <f t="shared" si="33"/>
        <v>Netherlands</v>
      </c>
      <c r="C129">
        <f t="shared" si="33"/>
        <v>0.72</v>
      </c>
      <c r="D129">
        <f t="shared" si="34"/>
        <v>0</v>
      </c>
      <c r="E129">
        <f t="shared" si="34"/>
        <v>1.03E-2</v>
      </c>
      <c r="F129">
        <f t="shared" si="34"/>
        <v>0</v>
      </c>
      <c r="G129">
        <f t="shared" si="34"/>
        <v>-5.0600000000000006E-2</v>
      </c>
      <c r="H129">
        <f t="shared" si="34"/>
        <v>0.7591</v>
      </c>
      <c r="J129" t="s">
        <v>647</v>
      </c>
      <c r="K129">
        <v>7.0000000000000007E-2</v>
      </c>
      <c r="L129" s="44" t="s">
        <v>985</v>
      </c>
      <c r="M129" s="42">
        <v>0</v>
      </c>
      <c r="N129" s="42">
        <v>1.312E-3</v>
      </c>
      <c r="O129" s="42">
        <v>0</v>
      </c>
      <c r="P129" s="42">
        <v>-5.6800000000000004E-4</v>
      </c>
      <c r="Q129" s="42">
        <v>0</v>
      </c>
      <c r="R129" s="46">
        <v>6.9999999999999999E-4</v>
      </c>
      <c r="U129" s="8"/>
      <c r="V129" s="8"/>
      <c r="AH129" s="40"/>
    </row>
    <row r="130" spans="1:34" x14ac:dyDescent="0.35">
      <c r="A130" t="s">
        <v>171</v>
      </c>
      <c r="B130" t="str">
        <f t="shared" si="33"/>
        <v>New Zealand</v>
      </c>
      <c r="C130">
        <f t="shared" si="33"/>
        <v>-0.12</v>
      </c>
      <c r="D130">
        <f t="shared" si="34"/>
        <v>-5.0000000000000001E-4</v>
      </c>
      <c r="E130">
        <f t="shared" si="34"/>
        <v>-9.7499999999999989E-2</v>
      </c>
      <c r="F130">
        <f t="shared" si="34"/>
        <v>0</v>
      </c>
      <c r="G130">
        <f t="shared" si="34"/>
        <v>-0.20730000000000001</v>
      </c>
      <c r="H130">
        <f t="shared" si="34"/>
        <v>0.18060000000000001</v>
      </c>
      <c r="J130" t="s">
        <v>649</v>
      </c>
      <c r="K130">
        <v>-0.93</v>
      </c>
      <c r="L130" s="44" t="s">
        <v>871</v>
      </c>
      <c r="M130" s="42">
        <v>0</v>
      </c>
      <c r="N130" s="42">
        <v>-3.4629999999999999E-3</v>
      </c>
      <c r="O130" s="42">
        <v>-1.242E-3</v>
      </c>
      <c r="P130" s="42">
        <v>-4.5510000000000004E-3</v>
      </c>
      <c r="Q130" s="42">
        <v>0</v>
      </c>
      <c r="R130" s="45">
        <v>-9.2999999999999992E-3</v>
      </c>
      <c r="U130" s="8"/>
      <c r="V130" s="8"/>
      <c r="AH130" s="40"/>
    </row>
    <row r="131" spans="1:34" x14ac:dyDescent="0.35">
      <c r="A131" t="s">
        <v>396</v>
      </c>
      <c r="B131" t="str">
        <f t="shared" si="33"/>
        <v>Nicaragua</v>
      </c>
      <c r="C131">
        <f t="shared" si="33"/>
        <v>-12.13</v>
      </c>
      <c r="D131">
        <f t="shared" si="34"/>
        <v>-6.0000000000000006E-4</v>
      </c>
      <c r="E131">
        <f t="shared" si="34"/>
        <v>-1.8717000000000001</v>
      </c>
      <c r="F131">
        <f t="shared" si="34"/>
        <v>-5.0354000000000001</v>
      </c>
      <c r="G131">
        <f t="shared" si="34"/>
        <v>-0.1958</v>
      </c>
      <c r="H131">
        <f t="shared" si="34"/>
        <v>-5.0277000000000003</v>
      </c>
      <c r="J131" t="s">
        <v>637</v>
      </c>
      <c r="K131">
        <v>-0.32</v>
      </c>
      <c r="L131" s="44" t="s">
        <v>884</v>
      </c>
      <c r="M131" s="42">
        <v>-3.3000000000000003E-5</v>
      </c>
      <c r="N131" s="42">
        <v>1.18E-4</v>
      </c>
      <c r="O131" s="42">
        <v>-3.6999999999999998E-5</v>
      </c>
      <c r="P131" s="42">
        <v>-3.277E-3</v>
      </c>
      <c r="Q131" s="42">
        <v>0</v>
      </c>
      <c r="R131" s="45">
        <v>-3.2000000000000002E-3</v>
      </c>
      <c r="U131" s="8"/>
      <c r="V131" s="8"/>
      <c r="AH131" s="40"/>
    </row>
    <row r="132" spans="1:34" x14ac:dyDescent="0.35">
      <c r="A132" t="s">
        <v>397</v>
      </c>
      <c r="B132" t="str">
        <f>J$140</f>
        <v>Rest of West Africa</v>
      </c>
      <c r="C132">
        <f>K$140</f>
        <v>-6.07</v>
      </c>
      <c r="D132">
        <f>100*M$140</f>
        <v>0</v>
      </c>
      <c r="E132">
        <f>100*N$140</f>
        <v>-1.5088000000000001</v>
      </c>
      <c r="F132">
        <f>100*O$140</f>
        <v>-3.9965999999999999</v>
      </c>
      <c r="G132">
        <f>100*P$140</f>
        <v>-0.56850000000000001</v>
      </c>
      <c r="H132">
        <f>100*Q$140</f>
        <v>0</v>
      </c>
      <c r="J132" t="s">
        <v>634</v>
      </c>
      <c r="K132">
        <v>-2.02</v>
      </c>
      <c r="L132" s="44" t="s">
        <v>881</v>
      </c>
      <c r="M132" s="42">
        <v>-9.5000000000000005E-5</v>
      </c>
      <c r="N132" s="42">
        <v>-3.1350000000000002E-3</v>
      </c>
      <c r="O132" s="42">
        <v>-1.3971000000000001E-2</v>
      </c>
      <c r="P132" s="42">
        <v>-3.0300000000000001E-3</v>
      </c>
      <c r="Q132" s="42">
        <v>0</v>
      </c>
      <c r="R132" s="43">
        <v>-2.0199999999999999E-2</v>
      </c>
      <c r="U132" s="8"/>
      <c r="V132" s="8"/>
      <c r="AH132" s="40"/>
    </row>
    <row r="133" spans="1:34" x14ac:dyDescent="0.35">
      <c r="A133" t="s">
        <v>172</v>
      </c>
      <c r="B133" t="str">
        <f t="shared" ref="B133:C136" si="35">J79</f>
        <v>Nigeria</v>
      </c>
      <c r="C133">
        <f t="shared" si="35"/>
        <v>-13.93</v>
      </c>
      <c r="D133">
        <f t="shared" ref="D133:H136" si="36">100*M79</f>
        <v>0</v>
      </c>
      <c r="E133">
        <f t="shared" si="36"/>
        <v>-4.0968</v>
      </c>
      <c r="F133">
        <f t="shared" si="36"/>
        <v>-8.2096</v>
      </c>
      <c r="G133">
        <f t="shared" si="36"/>
        <v>-0.97909999999999997</v>
      </c>
      <c r="H133">
        <f t="shared" si="36"/>
        <v>-0.64439999999999997</v>
      </c>
      <c r="J133" t="s">
        <v>654</v>
      </c>
      <c r="K133">
        <v>-1.81</v>
      </c>
      <c r="L133" s="44" t="s">
        <v>994</v>
      </c>
      <c r="M133" s="42">
        <v>0</v>
      </c>
      <c r="N133" s="42">
        <v>-1.0459E-2</v>
      </c>
      <c r="O133" s="42">
        <v>-1.5E-5</v>
      </c>
      <c r="P133" s="42">
        <v>-7.6559999999999996E-3</v>
      </c>
      <c r="Q133" s="42">
        <v>0</v>
      </c>
      <c r="R133" s="43">
        <v>-1.8100000000000002E-2</v>
      </c>
      <c r="U133" s="8"/>
      <c r="V133" s="8"/>
      <c r="AH133" s="40"/>
    </row>
    <row r="134" spans="1:34" x14ac:dyDescent="0.35">
      <c r="A134" t="s">
        <v>173</v>
      </c>
      <c r="B134" t="str">
        <f t="shared" si="35"/>
        <v>Norway</v>
      </c>
      <c r="C134">
        <f t="shared" si="35"/>
        <v>1.47</v>
      </c>
      <c r="D134">
        <f t="shared" si="36"/>
        <v>-9.9999999999999991E-5</v>
      </c>
      <c r="E134">
        <f t="shared" si="36"/>
        <v>7.5600000000000001E-2</v>
      </c>
      <c r="F134">
        <f t="shared" si="36"/>
        <v>0</v>
      </c>
      <c r="G134">
        <f t="shared" si="36"/>
        <v>-4.87E-2</v>
      </c>
      <c r="H134">
        <f t="shared" si="36"/>
        <v>1.4444999999999999</v>
      </c>
      <c r="J134" t="s">
        <v>639</v>
      </c>
      <c r="K134">
        <v>-0.6</v>
      </c>
      <c r="L134" s="44" t="s">
        <v>898</v>
      </c>
      <c r="M134" s="42">
        <v>-1.2999999999999999E-5</v>
      </c>
      <c r="N134" s="42">
        <v>-4.0689999999999997E-3</v>
      </c>
      <c r="O134" s="42">
        <v>-4.6200000000000001E-4</v>
      </c>
      <c r="P134" s="42">
        <v>-1.47E-3</v>
      </c>
      <c r="Q134" s="42">
        <v>0</v>
      </c>
      <c r="R134" s="45">
        <v>-6.0000000000000001E-3</v>
      </c>
      <c r="U134" s="8"/>
      <c r="V134" s="8"/>
      <c r="AH134" s="40"/>
    </row>
    <row r="135" spans="1:34" x14ac:dyDescent="0.35">
      <c r="A135" t="s">
        <v>398</v>
      </c>
      <c r="B135" t="str">
        <f t="shared" si="35"/>
        <v>Oman</v>
      </c>
      <c r="C135">
        <f t="shared" si="35"/>
        <v>-2.63</v>
      </c>
      <c r="D135">
        <f t="shared" si="36"/>
        <v>0</v>
      </c>
      <c r="E135">
        <f t="shared" si="36"/>
        <v>-5.5800000000000002E-2</v>
      </c>
      <c r="F135">
        <f t="shared" si="36"/>
        <v>-0.71019999999999994</v>
      </c>
      <c r="G135">
        <f t="shared" si="36"/>
        <v>-0.30940000000000001</v>
      </c>
      <c r="H135">
        <f t="shared" si="36"/>
        <v>-1.5583</v>
      </c>
      <c r="J135" t="s">
        <v>495</v>
      </c>
      <c r="K135">
        <v>-4.8899999999999997</v>
      </c>
      <c r="L135" s="44" t="s">
        <v>340</v>
      </c>
      <c r="M135" s="42">
        <v>0</v>
      </c>
      <c r="N135" s="42">
        <v>-1.9427E-2</v>
      </c>
      <c r="O135" s="42">
        <v>-2.8045E-2</v>
      </c>
      <c r="P135" s="42">
        <v>-1.4339999999999999E-3</v>
      </c>
      <c r="Q135" s="42">
        <v>0</v>
      </c>
      <c r="R135" s="43">
        <v>-4.8899999999999999E-2</v>
      </c>
      <c r="AH135" s="40"/>
    </row>
    <row r="136" spans="1:34" x14ac:dyDescent="0.35">
      <c r="A136" t="s">
        <v>174</v>
      </c>
      <c r="B136" t="str">
        <f t="shared" si="35"/>
        <v>Pakistan</v>
      </c>
      <c r="C136">
        <f t="shared" si="35"/>
        <v>-3.31</v>
      </c>
      <c r="D136">
        <f t="shared" si="36"/>
        <v>0</v>
      </c>
      <c r="E136">
        <f t="shared" si="36"/>
        <v>-1.7496999999999998</v>
      </c>
      <c r="F136">
        <f t="shared" si="36"/>
        <v>-1.2167000000000001</v>
      </c>
      <c r="G136">
        <f t="shared" si="36"/>
        <v>-9.8500000000000004E-2</v>
      </c>
      <c r="H136">
        <f t="shared" si="36"/>
        <v>-0.24979999999999997</v>
      </c>
      <c r="J136" t="s">
        <v>652</v>
      </c>
      <c r="K136">
        <v>-1.8</v>
      </c>
      <c r="L136" s="44" t="s">
        <v>889</v>
      </c>
      <c r="M136" s="42">
        <v>0</v>
      </c>
      <c r="N136" s="42">
        <v>-9.8630000000000002E-3</v>
      </c>
      <c r="O136" s="42">
        <v>-4.6099999999999998E-4</v>
      </c>
      <c r="P136" s="42">
        <v>-7.7019999999999996E-3</v>
      </c>
      <c r="Q136" s="42">
        <v>0</v>
      </c>
      <c r="R136" s="43">
        <v>-1.7999999999999999E-2</v>
      </c>
      <c r="AH136" s="40"/>
    </row>
    <row r="137" spans="1:34" x14ac:dyDescent="0.35">
      <c r="A137" t="s">
        <v>399</v>
      </c>
      <c r="B137" t="str">
        <f>J$132</f>
        <v>Rest of Oceania</v>
      </c>
      <c r="C137">
        <f>K$132</f>
        <v>-2.02</v>
      </c>
      <c r="D137">
        <f>100*M$132</f>
        <v>-9.4999999999999998E-3</v>
      </c>
      <c r="E137">
        <f>100*N$132</f>
        <v>-0.3135</v>
      </c>
      <c r="F137">
        <f>100*O$132</f>
        <v>-1.3971</v>
      </c>
      <c r="G137">
        <f>100*P$132</f>
        <v>-0.30299999999999999</v>
      </c>
      <c r="H137">
        <f>100*Q$132</f>
        <v>0</v>
      </c>
      <c r="J137" t="s">
        <v>636</v>
      </c>
      <c r="K137">
        <v>-9.83</v>
      </c>
      <c r="L137" s="44" t="s">
        <v>874</v>
      </c>
      <c r="M137" s="42">
        <v>-1.0000000000000001E-5</v>
      </c>
      <c r="N137" s="42">
        <v>-3.2015000000000002E-2</v>
      </c>
      <c r="O137" s="42">
        <v>-6.4740000000000006E-2</v>
      </c>
      <c r="P137" s="42">
        <v>-1.549E-3</v>
      </c>
      <c r="Q137" s="42">
        <v>0</v>
      </c>
      <c r="R137" s="47">
        <v>-9.8299999999999998E-2</v>
      </c>
      <c r="AH137" s="40"/>
    </row>
    <row r="138" spans="1:34" x14ac:dyDescent="0.35">
      <c r="A138" t="s">
        <v>400</v>
      </c>
      <c r="B138" t="str">
        <f>J$141</f>
        <v>Rest of Western Asia</v>
      </c>
      <c r="C138">
        <f>K$141</f>
        <v>-1.22</v>
      </c>
      <c r="D138">
        <f>100*M$141</f>
        <v>0</v>
      </c>
      <c r="E138">
        <f>100*N$141</f>
        <v>-0.76200000000000001</v>
      </c>
      <c r="F138">
        <f>100*O$141</f>
        <v>-0.2868</v>
      </c>
      <c r="G138">
        <f>100*P$141</f>
        <v>-0.1673</v>
      </c>
      <c r="H138">
        <f>100*Q$141</f>
        <v>0</v>
      </c>
      <c r="J138" t="s">
        <v>641</v>
      </c>
      <c r="K138">
        <v>-7.84</v>
      </c>
      <c r="L138" s="44" t="s">
        <v>915</v>
      </c>
      <c r="M138" s="42">
        <v>-1.7E-5</v>
      </c>
      <c r="N138" s="42">
        <v>-5.9950000000000003E-3</v>
      </c>
      <c r="O138" s="42">
        <v>-3.3617000000000001E-2</v>
      </c>
      <c r="P138" s="42">
        <v>-2.1069999999999999E-3</v>
      </c>
      <c r="Q138" s="42">
        <v>-3.6623999999999997E-2</v>
      </c>
      <c r="R138" s="47">
        <v>-7.8399999999999997E-2</v>
      </c>
      <c r="AH138" s="40"/>
    </row>
    <row r="139" spans="1:34" x14ac:dyDescent="0.35">
      <c r="A139" t="s">
        <v>175</v>
      </c>
      <c r="B139" t="str">
        <f>J83</f>
        <v>Panama</v>
      </c>
      <c r="C139">
        <f>K83</f>
        <v>-8.57</v>
      </c>
      <c r="D139">
        <f>100*M83</f>
        <v>-1.9000000000000002E-3</v>
      </c>
      <c r="E139">
        <f>100*N83</f>
        <v>-1.2834999999999999</v>
      </c>
      <c r="F139">
        <f>100*O83</f>
        <v>-0.96290000000000009</v>
      </c>
      <c r="G139">
        <f>100*P83</f>
        <v>-0.14809999999999998</v>
      </c>
      <c r="H139">
        <f>100*Q83</f>
        <v>-7.1070999999999991</v>
      </c>
      <c r="J139" t="s">
        <v>501</v>
      </c>
      <c r="K139">
        <v>-0.88</v>
      </c>
      <c r="L139" s="44" t="s">
        <v>906</v>
      </c>
      <c r="M139" s="42">
        <v>-1.2999999999999999E-5</v>
      </c>
      <c r="N139" s="42">
        <v>-1.2520000000000001E-3</v>
      </c>
      <c r="O139" s="42">
        <v>0</v>
      </c>
      <c r="P139" s="42">
        <v>-7.5430000000000002E-3</v>
      </c>
      <c r="Q139" s="42">
        <v>0</v>
      </c>
      <c r="R139" s="45">
        <v>-8.8000000000000005E-3</v>
      </c>
      <c r="AH139" s="40"/>
    </row>
    <row r="140" spans="1:34" x14ac:dyDescent="0.35">
      <c r="A140" t="s">
        <v>401</v>
      </c>
      <c r="B140" t="str">
        <f>J$132</f>
        <v>Rest of Oceania</v>
      </c>
      <c r="C140">
        <f>K$132</f>
        <v>-2.02</v>
      </c>
      <c r="D140">
        <f>100*M$132</f>
        <v>-9.4999999999999998E-3</v>
      </c>
      <c r="E140">
        <f>100*N$132</f>
        <v>-0.3135</v>
      </c>
      <c r="F140">
        <f>100*O$132</f>
        <v>-1.3971</v>
      </c>
      <c r="G140">
        <f>100*P$132</f>
        <v>-0.30299999999999999</v>
      </c>
      <c r="H140">
        <f>100*Q$132</f>
        <v>0</v>
      </c>
      <c r="J140" t="s">
        <v>650</v>
      </c>
      <c r="K140">
        <v>-6.07</v>
      </c>
      <c r="L140" s="44" t="s">
        <v>879</v>
      </c>
      <c r="M140" s="42">
        <v>0</v>
      </c>
      <c r="N140" s="42">
        <v>-1.5088000000000001E-2</v>
      </c>
      <c r="O140" s="42">
        <v>-3.9966000000000002E-2</v>
      </c>
      <c r="P140" s="42">
        <v>-5.6849999999999999E-3</v>
      </c>
      <c r="Q140" s="42">
        <v>0</v>
      </c>
      <c r="R140" s="47">
        <v>-6.0699999999999997E-2</v>
      </c>
      <c r="AH140" s="40"/>
    </row>
    <row r="141" spans="1:34" x14ac:dyDescent="0.35">
      <c r="A141" t="s">
        <v>176</v>
      </c>
      <c r="B141" t="str">
        <f t="shared" ref="B141:B150" si="37">J84</f>
        <v>Paraguay</v>
      </c>
      <c r="C141">
        <f t="shared" ref="C141:C150" si="38">K84</f>
        <v>-5.76</v>
      </c>
      <c r="D141">
        <f t="shared" ref="D141:D150" si="39">100*M84</f>
        <v>0</v>
      </c>
      <c r="E141">
        <f t="shared" ref="E141:E150" si="40">100*N84</f>
        <v>-1.9012000000000002</v>
      </c>
      <c r="F141">
        <f t="shared" ref="F141:F150" si="41">100*O84</f>
        <v>-2.2561999999999998</v>
      </c>
      <c r="G141">
        <f t="shared" ref="G141:G150" si="42">100*P84</f>
        <v>-0.17680000000000001</v>
      </c>
      <c r="H141">
        <f t="shared" ref="H141:H150" si="43">100*Q84</f>
        <v>-1.4291</v>
      </c>
      <c r="J141" t="s">
        <v>648</v>
      </c>
      <c r="K141">
        <v>-1.22</v>
      </c>
      <c r="L141" s="44" t="s">
        <v>950</v>
      </c>
      <c r="M141" s="42">
        <v>0</v>
      </c>
      <c r="N141" s="42">
        <v>-7.62E-3</v>
      </c>
      <c r="O141" s="42">
        <v>-2.8679999999999999E-3</v>
      </c>
      <c r="P141" s="42">
        <v>-1.673E-3</v>
      </c>
      <c r="Q141" s="42">
        <v>0</v>
      </c>
      <c r="R141" s="43">
        <v>-1.2200000000000001E-2</v>
      </c>
      <c r="AH141" s="40"/>
    </row>
    <row r="142" spans="1:34" x14ac:dyDescent="0.35">
      <c r="A142" t="s">
        <v>177</v>
      </c>
      <c r="B142" t="str">
        <f t="shared" si="37"/>
        <v>Peru</v>
      </c>
      <c r="C142">
        <f t="shared" si="38"/>
        <v>-1.91</v>
      </c>
      <c r="D142">
        <f t="shared" si="39"/>
        <v>-1.9999999999999998E-4</v>
      </c>
      <c r="E142">
        <f t="shared" si="40"/>
        <v>-1.4077999999999999</v>
      </c>
      <c r="F142">
        <f t="shared" si="41"/>
        <v>0</v>
      </c>
      <c r="G142">
        <f t="shared" si="42"/>
        <v>-0.18680000000000002</v>
      </c>
      <c r="H142">
        <f t="shared" si="43"/>
        <v>-0.31269999999999998</v>
      </c>
      <c r="AH142" s="40"/>
    </row>
    <row r="143" spans="1:34" x14ac:dyDescent="0.35">
      <c r="A143" t="s">
        <v>178</v>
      </c>
      <c r="B143" t="str">
        <f t="shared" si="37"/>
        <v>Philippines</v>
      </c>
      <c r="C143">
        <f t="shared" si="38"/>
        <v>-7.42</v>
      </c>
      <c r="D143">
        <f t="shared" si="39"/>
        <v>-2.8E-3</v>
      </c>
      <c r="E143">
        <f t="shared" si="40"/>
        <v>-0.99649999999999994</v>
      </c>
      <c r="F143">
        <f t="shared" si="41"/>
        <v>-4.6829999999999998</v>
      </c>
      <c r="G143">
        <f t="shared" si="42"/>
        <v>-0.14450000000000002</v>
      </c>
      <c r="H143">
        <f t="shared" si="43"/>
        <v>-1.5897999999999999</v>
      </c>
      <c r="AH143" s="40"/>
    </row>
    <row r="144" spans="1:34" x14ac:dyDescent="0.35">
      <c r="A144" t="s">
        <v>179</v>
      </c>
      <c r="B144" t="str">
        <f t="shared" si="37"/>
        <v>Poland</v>
      </c>
      <c r="C144">
        <f t="shared" si="38"/>
        <v>0.96</v>
      </c>
      <c r="D144">
        <f t="shared" si="39"/>
        <v>0</v>
      </c>
      <c r="E144">
        <f t="shared" si="40"/>
        <v>5.1099999999999993E-2</v>
      </c>
      <c r="F144">
        <f t="shared" si="41"/>
        <v>0</v>
      </c>
      <c r="G144">
        <f t="shared" si="42"/>
        <v>-4.0499999999999994E-2</v>
      </c>
      <c r="H144">
        <f t="shared" si="43"/>
        <v>0.94940000000000002</v>
      </c>
    </row>
    <row r="145" spans="1:8" x14ac:dyDescent="0.35">
      <c r="A145" t="s">
        <v>180</v>
      </c>
      <c r="B145" t="str">
        <f t="shared" si="37"/>
        <v>Portugal</v>
      </c>
      <c r="C145">
        <f t="shared" si="38"/>
        <v>-0.93</v>
      </c>
      <c r="D145">
        <f t="shared" si="39"/>
        <v>0</v>
      </c>
      <c r="E145">
        <f t="shared" si="40"/>
        <v>-0.123</v>
      </c>
      <c r="F145">
        <f t="shared" si="41"/>
        <v>0</v>
      </c>
      <c r="G145">
        <f t="shared" si="42"/>
        <v>-4.8599999999999997E-2</v>
      </c>
      <c r="H145">
        <f t="shared" si="43"/>
        <v>-0.76119999999999999</v>
      </c>
    </row>
    <row r="146" spans="1:8" x14ac:dyDescent="0.35">
      <c r="A146" t="s">
        <v>232</v>
      </c>
      <c r="B146" t="str">
        <f t="shared" si="37"/>
        <v>Puerto Rico</v>
      </c>
      <c r="C146">
        <f t="shared" si="38"/>
        <v>-2.74</v>
      </c>
      <c r="D146">
        <f t="shared" si="39"/>
        <v>-6.0000000000000006E-4</v>
      </c>
      <c r="E146">
        <f t="shared" si="40"/>
        <v>-0.10139999999999999</v>
      </c>
      <c r="F146">
        <f t="shared" si="41"/>
        <v>-1.6726000000000001</v>
      </c>
      <c r="G146">
        <f t="shared" si="42"/>
        <v>-0.17930000000000001</v>
      </c>
      <c r="H146">
        <f t="shared" si="43"/>
        <v>-0.78139999999999998</v>
      </c>
    </row>
    <row r="147" spans="1:8" x14ac:dyDescent="0.35">
      <c r="A147" t="s">
        <v>402</v>
      </c>
      <c r="B147" t="str">
        <f t="shared" si="37"/>
        <v>Qatar</v>
      </c>
      <c r="C147">
        <f t="shared" si="38"/>
        <v>-2.5299999999999998</v>
      </c>
      <c r="D147">
        <f t="shared" si="39"/>
        <v>-9.9999999999999991E-5</v>
      </c>
      <c r="E147">
        <f t="shared" si="40"/>
        <v>-3.4599999999999999E-2</v>
      </c>
      <c r="F147">
        <f t="shared" si="41"/>
        <v>-1.2702</v>
      </c>
      <c r="G147">
        <f t="shared" si="42"/>
        <v>-0.3952</v>
      </c>
      <c r="H147">
        <f t="shared" si="43"/>
        <v>-0.82830000000000004</v>
      </c>
    </row>
    <row r="148" spans="1:8" x14ac:dyDescent="0.35">
      <c r="A148" t="s">
        <v>181</v>
      </c>
      <c r="B148" t="str">
        <f t="shared" si="37"/>
        <v>Romania</v>
      </c>
      <c r="C148">
        <f t="shared" si="38"/>
        <v>0.27</v>
      </c>
      <c r="D148">
        <f t="shared" si="39"/>
        <v>0</v>
      </c>
      <c r="E148">
        <f t="shared" si="40"/>
        <v>5.0699999999999995E-2</v>
      </c>
      <c r="F148">
        <f t="shared" si="41"/>
        <v>0</v>
      </c>
      <c r="G148">
        <f t="shared" si="42"/>
        <v>-4.0599999999999997E-2</v>
      </c>
      <c r="H148">
        <f t="shared" si="43"/>
        <v>0.26200000000000001</v>
      </c>
    </row>
    <row r="149" spans="1:8" x14ac:dyDescent="0.35">
      <c r="A149" t="s">
        <v>233</v>
      </c>
      <c r="B149" t="str">
        <f t="shared" si="37"/>
        <v>Russa</v>
      </c>
      <c r="C149">
        <f t="shared" si="38"/>
        <v>1.39</v>
      </c>
      <c r="D149">
        <f t="shared" si="39"/>
        <v>-9.9999999999999991E-5</v>
      </c>
      <c r="E149">
        <f t="shared" si="40"/>
        <v>0.24380000000000002</v>
      </c>
      <c r="F149">
        <f t="shared" si="41"/>
        <v>0</v>
      </c>
      <c r="G149">
        <f t="shared" si="42"/>
        <v>-6.2E-2</v>
      </c>
      <c r="H149">
        <f t="shared" si="43"/>
        <v>1.2058</v>
      </c>
    </row>
    <row r="150" spans="1:8" x14ac:dyDescent="0.35">
      <c r="A150" t="s">
        <v>182</v>
      </c>
      <c r="B150" t="str">
        <f t="shared" si="37"/>
        <v>Rwanda</v>
      </c>
      <c r="C150">
        <f t="shared" si="38"/>
        <v>-9.67</v>
      </c>
      <c r="D150">
        <f t="shared" si="39"/>
        <v>0</v>
      </c>
      <c r="E150">
        <f t="shared" si="40"/>
        <v>-3.7427000000000001</v>
      </c>
      <c r="F150">
        <f t="shared" si="41"/>
        <v>0</v>
      </c>
      <c r="G150">
        <f t="shared" si="42"/>
        <v>-1.0299</v>
      </c>
      <c r="H150">
        <f t="shared" si="43"/>
        <v>-4.8944999999999999</v>
      </c>
    </row>
    <row r="151" spans="1:8" x14ac:dyDescent="0.35">
      <c r="A151" t="s">
        <v>403</v>
      </c>
      <c r="B151" t="str">
        <f>J$122</f>
        <v>Rest of Central Africa</v>
      </c>
      <c r="C151">
        <f>K$122</f>
        <v>-2.38</v>
      </c>
      <c r="D151">
        <f>100*M$122</f>
        <v>0</v>
      </c>
      <c r="E151">
        <f>100*N$122</f>
        <v>-0.47089999999999999</v>
      </c>
      <c r="F151">
        <f>100*O$122</f>
        <v>-0.80999999999999994</v>
      </c>
      <c r="G151">
        <f>100*P$122</f>
        <v>-0.62939999999999996</v>
      </c>
      <c r="H151">
        <f>100*Q$122</f>
        <v>-0.46750000000000003</v>
      </c>
    </row>
    <row r="152" spans="1:8" x14ac:dyDescent="0.35">
      <c r="A152" t="s">
        <v>404</v>
      </c>
      <c r="B152" t="str">
        <f>J$138</f>
        <v>Rest of the Caribbean</v>
      </c>
      <c r="C152">
        <f>K$138</f>
        <v>-7.84</v>
      </c>
      <c r="D152">
        <f t="shared" ref="D152:H154" si="44">100*M$138</f>
        <v>-1.6999999999999999E-3</v>
      </c>
      <c r="E152">
        <f t="shared" si="44"/>
        <v>-0.59950000000000003</v>
      </c>
      <c r="F152">
        <f t="shared" si="44"/>
        <v>-3.3616999999999999</v>
      </c>
      <c r="G152">
        <f t="shared" si="44"/>
        <v>-0.2107</v>
      </c>
      <c r="H152">
        <f t="shared" si="44"/>
        <v>-3.6623999999999999</v>
      </c>
    </row>
    <row r="153" spans="1:8" x14ac:dyDescent="0.35">
      <c r="A153" t="s">
        <v>183</v>
      </c>
      <c r="B153" t="str">
        <f t="shared" ref="B153:B154" si="45">J$138</f>
        <v>Rest of the Caribbean</v>
      </c>
      <c r="C153">
        <f>K$138</f>
        <v>-7.84</v>
      </c>
      <c r="D153">
        <f t="shared" si="44"/>
        <v>-1.6999999999999999E-3</v>
      </c>
      <c r="E153">
        <f t="shared" si="44"/>
        <v>-0.59950000000000003</v>
      </c>
      <c r="F153">
        <f t="shared" si="44"/>
        <v>-3.3616999999999999</v>
      </c>
      <c r="G153">
        <f t="shared" si="44"/>
        <v>-0.2107</v>
      </c>
      <c r="H153">
        <f t="shared" si="44"/>
        <v>-3.6623999999999999</v>
      </c>
    </row>
    <row r="154" spans="1:8" x14ac:dyDescent="0.35">
      <c r="A154" t="s">
        <v>405</v>
      </c>
      <c r="B154" t="str">
        <f t="shared" si="45"/>
        <v>Rest of the Caribbean</v>
      </c>
      <c r="C154">
        <f>K$138</f>
        <v>-7.84</v>
      </c>
      <c r="D154">
        <f t="shared" si="44"/>
        <v>-1.6999999999999999E-3</v>
      </c>
      <c r="E154">
        <f t="shared" si="44"/>
        <v>-0.59950000000000003</v>
      </c>
      <c r="F154">
        <f t="shared" si="44"/>
        <v>-3.3616999999999999</v>
      </c>
      <c r="G154">
        <f t="shared" si="44"/>
        <v>-0.2107</v>
      </c>
      <c r="H154">
        <f t="shared" si="44"/>
        <v>-3.6623999999999999</v>
      </c>
    </row>
    <row r="155" spans="1:8" x14ac:dyDescent="0.35">
      <c r="A155" t="s">
        <v>406</v>
      </c>
      <c r="B155" t="str">
        <f>J$132</f>
        <v>Rest of Oceania</v>
      </c>
      <c r="C155">
        <f>K$132</f>
        <v>-2.02</v>
      </c>
      <c r="D155">
        <f>100*M$132</f>
        <v>-9.4999999999999998E-3</v>
      </c>
      <c r="E155">
        <f>100*N$132</f>
        <v>-0.3135</v>
      </c>
      <c r="F155">
        <f>100*O$132</f>
        <v>-1.3971</v>
      </c>
      <c r="G155">
        <f>100*P$132</f>
        <v>-0.30299999999999999</v>
      </c>
      <c r="H155">
        <f>100*Q$132</f>
        <v>0</v>
      </c>
    </row>
    <row r="156" spans="1:8" x14ac:dyDescent="0.35">
      <c r="A156" t="s">
        <v>607</v>
      </c>
      <c r="B156" t="str">
        <f>J$128</f>
        <v>Rest of Europe</v>
      </c>
      <c r="C156">
        <f>K$128</f>
        <v>0.01</v>
      </c>
      <c r="D156">
        <f>100*M$128</f>
        <v>0</v>
      </c>
      <c r="E156">
        <f>100*N$128</f>
        <v>4.7899999999999998E-2</v>
      </c>
      <c r="F156">
        <f>100*O$128</f>
        <v>0</v>
      </c>
      <c r="G156">
        <f>100*P$128</f>
        <v>-3.9599999999999996E-2</v>
      </c>
      <c r="H156">
        <f>100*Q$128</f>
        <v>0</v>
      </c>
    </row>
    <row r="157" spans="1:8" x14ac:dyDescent="0.35">
      <c r="A157" t="s">
        <v>253</v>
      </c>
      <c r="B157" t="str">
        <f>J94</f>
        <v>Saudi Arabia</v>
      </c>
      <c r="C157">
        <f>K94</f>
        <v>-3.36</v>
      </c>
      <c r="D157">
        <f t="shared" ref="D157:H158" si="46">100*M94</f>
        <v>0</v>
      </c>
      <c r="E157">
        <f t="shared" si="46"/>
        <v>-6.9999999999999993E-2</v>
      </c>
      <c r="F157">
        <f t="shared" si="46"/>
        <v>-1.4904000000000002</v>
      </c>
      <c r="G157">
        <f t="shared" si="46"/>
        <v>-0.50159999999999993</v>
      </c>
      <c r="H157">
        <f t="shared" si="46"/>
        <v>-1.2991000000000001</v>
      </c>
    </row>
    <row r="158" spans="1:8" x14ac:dyDescent="0.35">
      <c r="A158" t="s">
        <v>184</v>
      </c>
      <c r="B158" t="str">
        <f>J95</f>
        <v>Senegal</v>
      </c>
      <c r="C158">
        <f>K95</f>
        <v>-9.58</v>
      </c>
      <c r="D158">
        <f t="shared" si="46"/>
        <v>0</v>
      </c>
      <c r="E158">
        <f t="shared" si="46"/>
        <v>-1.5615000000000001</v>
      </c>
      <c r="F158">
        <f t="shared" si="46"/>
        <v>-3.6766000000000001</v>
      </c>
      <c r="G158">
        <f t="shared" si="46"/>
        <v>-0.66339999999999999</v>
      </c>
      <c r="H158">
        <f t="shared" si="46"/>
        <v>-3.6789000000000001</v>
      </c>
    </row>
    <row r="159" spans="1:8" x14ac:dyDescent="0.35">
      <c r="A159" t="s">
        <v>234</v>
      </c>
      <c r="B159" t="str">
        <f>J$128</f>
        <v>Rest of Europe</v>
      </c>
      <c r="C159">
        <f>K$128</f>
        <v>0.01</v>
      </c>
      <c r="D159">
        <f>100*M$128</f>
        <v>0</v>
      </c>
      <c r="E159">
        <f>100*N$128</f>
        <v>4.7899999999999998E-2</v>
      </c>
      <c r="F159">
        <f>100*O$128</f>
        <v>0</v>
      </c>
      <c r="G159">
        <f>100*P$128</f>
        <v>-3.9599999999999996E-2</v>
      </c>
      <c r="H159">
        <f>100*Q$128</f>
        <v>0</v>
      </c>
    </row>
    <row r="160" spans="1:8" x14ac:dyDescent="0.35">
      <c r="A160" t="s">
        <v>407</v>
      </c>
      <c r="B160" t="str">
        <f>J$124</f>
        <v>Rest of East Africa</v>
      </c>
      <c r="C160">
        <f>K$124</f>
        <v>-4.62</v>
      </c>
      <c r="D160">
        <f>100*M$124</f>
        <v>0</v>
      </c>
      <c r="E160">
        <f>100*N$124</f>
        <v>-1.2136</v>
      </c>
      <c r="F160">
        <f>100*O$124</f>
        <v>-2.407</v>
      </c>
      <c r="G160">
        <f>100*P$124</f>
        <v>-0.99550000000000005</v>
      </c>
      <c r="H160">
        <f>100*Q$124</f>
        <v>0</v>
      </c>
    </row>
    <row r="161" spans="1:8" x14ac:dyDescent="0.35">
      <c r="A161" t="s">
        <v>185</v>
      </c>
      <c r="B161" t="str">
        <f>J$140</f>
        <v>Rest of West Africa</v>
      </c>
      <c r="C161">
        <f>K$140</f>
        <v>-6.07</v>
      </c>
      <c r="D161">
        <f>100*M$140</f>
        <v>0</v>
      </c>
      <c r="E161">
        <f>100*N$140</f>
        <v>-1.5088000000000001</v>
      </c>
      <c r="F161">
        <f>100*O$140</f>
        <v>-3.9965999999999999</v>
      </c>
      <c r="G161">
        <f>100*P$140</f>
        <v>-0.56850000000000001</v>
      </c>
      <c r="H161">
        <f>100*Q$140</f>
        <v>0</v>
      </c>
    </row>
    <row r="162" spans="1:8" x14ac:dyDescent="0.35">
      <c r="A162" t="s">
        <v>207</v>
      </c>
      <c r="B162" t="str">
        <f t="shared" ref="B162:C164" si="47">J96</f>
        <v>Singapore</v>
      </c>
      <c r="C162">
        <f t="shared" si="47"/>
        <v>-10.74</v>
      </c>
      <c r="D162">
        <f t="shared" ref="D162:H164" si="48">100*M96</f>
        <v>-2E-3</v>
      </c>
      <c r="E162">
        <f t="shared" si="48"/>
        <v>-0.02</v>
      </c>
      <c r="F162">
        <f t="shared" si="48"/>
        <v>-4.4944999999999995</v>
      </c>
      <c r="G162">
        <f t="shared" si="48"/>
        <v>-0.29870000000000002</v>
      </c>
      <c r="H162">
        <f t="shared" si="48"/>
        <v>-5.9201999999999995</v>
      </c>
    </row>
    <row r="163" spans="1:8" x14ac:dyDescent="0.35">
      <c r="A163" t="s">
        <v>235</v>
      </c>
      <c r="B163" t="str">
        <f t="shared" si="47"/>
        <v>Slovak Republic</v>
      </c>
      <c r="C163">
        <f t="shared" si="47"/>
        <v>1.23</v>
      </c>
      <c r="D163">
        <f t="shared" si="48"/>
        <v>0</v>
      </c>
      <c r="E163">
        <f t="shared" si="48"/>
        <v>3.5900000000000001E-2</v>
      </c>
      <c r="F163">
        <f t="shared" si="48"/>
        <v>0</v>
      </c>
      <c r="G163">
        <f t="shared" si="48"/>
        <v>-3.9199999999999999E-2</v>
      </c>
      <c r="H163">
        <f t="shared" si="48"/>
        <v>1.2304999999999999</v>
      </c>
    </row>
    <row r="164" spans="1:8" x14ac:dyDescent="0.35">
      <c r="A164" t="s">
        <v>236</v>
      </c>
      <c r="B164" t="str">
        <f t="shared" si="47"/>
        <v>Slovenia</v>
      </c>
      <c r="C164">
        <f t="shared" si="47"/>
        <v>1.28</v>
      </c>
      <c r="D164">
        <f t="shared" si="48"/>
        <v>0</v>
      </c>
      <c r="E164">
        <f t="shared" si="48"/>
        <v>2.7300000000000001E-2</v>
      </c>
      <c r="F164">
        <f t="shared" si="48"/>
        <v>0</v>
      </c>
      <c r="G164">
        <f t="shared" si="48"/>
        <v>-5.2299999999999999E-2</v>
      </c>
      <c r="H164">
        <f t="shared" si="48"/>
        <v>1.3030999999999999</v>
      </c>
    </row>
    <row r="165" spans="1:8" x14ac:dyDescent="0.35">
      <c r="A165" t="s">
        <v>408</v>
      </c>
      <c r="B165" t="str">
        <f>J$132</f>
        <v>Rest of Oceania</v>
      </c>
      <c r="C165">
        <f>K$132</f>
        <v>-2.02</v>
      </c>
      <c r="D165">
        <f>100*M$132</f>
        <v>-9.4999999999999998E-3</v>
      </c>
      <c r="E165">
        <f>100*N$132</f>
        <v>-0.3135</v>
      </c>
      <c r="F165">
        <f>100*O$132</f>
        <v>-1.3971</v>
      </c>
      <c r="G165">
        <f>100*P$132</f>
        <v>-0.30299999999999999</v>
      </c>
      <c r="H165">
        <f>100*Q$132</f>
        <v>0</v>
      </c>
    </row>
    <row r="166" spans="1:8" x14ac:dyDescent="0.35">
      <c r="A166" t="s">
        <v>237</v>
      </c>
      <c r="B166" t="str">
        <f t="shared" ref="B166:C169" si="49">J99</f>
        <v>South Africa</v>
      </c>
      <c r="C166">
        <f t="shared" si="49"/>
        <v>-1.59</v>
      </c>
      <c r="D166">
        <f t="shared" ref="D166:H169" si="50">100*M99</f>
        <v>0</v>
      </c>
      <c r="E166">
        <f t="shared" si="50"/>
        <v>-0.21589999999999998</v>
      </c>
      <c r="F166">
        <f t="shared" si="50"/>
        <v>-3.0000000000000003E-4</v>
      </c>
      <c r="G166">
        <f t="shared" si="50"/>
        <v>-0.85769999999999991</v>
      </c>
      <c r="H166">
        <f t="shared" si="50"/>
        <v>-0.51980000000000004</v>
      </c>
    </row>
    <row r="167" spans="1:8" x14ac:dyDescent="0.35">
      <c r="A167" t="s">
        <v>186</v>
      </c>
      <c r="B167" t="str">
        <f t="shared" si="49"/>
        <v>South Korea</v>
      </c>
      <c r="C167">
        <f t="shared" si="49"/>
        <v>-0.24</v>
      </c>
      <c r="D167">
        <f t="shared" si="50"/>
        <v>-6.0000000000000006E-4</v>
      </c>
      <c r="E167">
        <f t="shared" si="50"/>
        <v>-0.11130000000000001</v>
      </c>
      <c r="F167">
        <f t="shared" si="50"/>
        <v>-0.26</v>
      </c>
      <c r="G167">
        <f t="shared" si="50"/>
        <v>-8.43E-2</v>
      </c>
      <c r="H167">
        <f t="shared" si="50"/>
        <v>0.21229999999999999</v>
      </c>
    </row>
    <row r="168" spans="1:8" x14ac:dyDescent="0.35">
      <c r="A168" t="s">
        <v>187</v>
      </c>
      <c r="B168" t="str">
        <f t="shared" si="49"/>
        <v>Spain</v>
      </c>
      <c r="C168">
        <f t="shared" si="49"/>
        <v>-0.77</v>
      </c>
      <c r="D168">
        <f t="shared" si="50"/>
        <v>0</v>
      </c>
      <c r="E168">
        <f t="shared" si="50"/>
        <v>-0.1623</v>
      </c>
      <c r="F168">
        <f t="shared" si="50"/>
        <v>0</v>
      </c>
      <c r="G168">
        <f t="shared" si="50"/>
        <v>-5.21E-2</v>
      </c>
      <c r="H168">
        <f t="shared" si="50"/>
        <v>-0.55230000000000001</v>
      </c>
    </row>
    <row r="169" spans="1:8" x14ac:dyDescent="0.35">
      <c r="A169" t="s">
        <v>188</v>
      </c>
      <c r="B169" t="str">
        <f t="shared" si="49"/>
        <v>Sri Lanka</v>
      </c>
      <c r="C169">
        <f t="shared" si="49"/>
        <v>-6.4</v>
      </c>
      <c r="D169">
        <f t="shared" si="50"/>
        <v>-7.9999999999999993E-4</v>
      </c>
      <c r="E169">
        <f t="shared" si="50"/>
        <v>-1.3164</v>
      </c>
      <c r="F169">
        <f t="shared" si="50"/>
        <v>-2.9340000000000002</v>
      </c>
      <c r="G169">
        <f t="shared" si="50"/>
        <v>-0.85830000000000006</v>
      </c>
      <c r="H169">
        <f t="shared" si="50"/>
        <v>-1.2886</v>
      </c>
    </row>
    <row r="170" spans="1:8" x14ac:dyDescent="0.35">
      <c r="A170" t="s">
        <v>409</v>
      </c>
      <c r="B170" t="str">
        <f>J$124</f>
        <v>Rest of East Africa</v>
      </c>
      <c r="C170">
        <f>K$124</f>
        <v>-4.62</v>
      </c>
      <c r="D170">
        <f>100*M$124</f>
        <v>0</v>
      </c>
      <c r="E170">
        <f>100*N$124</f>
        <v>-1.2136</v>
      </c>
      <c r="F170">
        <f>100*O$124</f>
        <v>-2.407</v>
      </c>
      <c r="G170">
        <f>100*P$124</f>
        <v>-0.99550000000000005</v>
      </c>
      <c r="H170">
        <f>100*Q$124</f>
        <v>0</v>
      </c>
    </row>
    <row r="171" spans="1:8" x14ac:dyDescent="0.35">
      <c r="A171" t="s">
        <v>189</v>
      </c>
      <c r="B171" t="str">
        <f>J$134</f>
        <v>Rest of South America</v>
      </c>
      <c r="C171">
        <f>K$134</f>
        <v>-0.6</v>
      </c>
      <c r="D171">
        <f>100*M$134</f>
        <v>-1.2999999999999999E-3</v>
      </c>
      <c r="E171">
        <f>100*N$134</f>
        <v>-0.40689999999999998</v>
      </c>
      <c r="F171">
        <f>100*O$134</f>
        <v>-4.6199999999999998E-2</v>
      </c>
      <c r="G171">
        <f>100*P$134</f>
        <v>-0.14699999999999999</v>
      </c>
      <c r="H171">
        <f>100*Q$134</f>
        <v>0</v>
      </c>
    </row>
    <row r="172" spans="1:8" x14ac:dyDescent="0.35">
      <c r="A172" t="s">
        <v>190</v>
      </c>
      <c r="B172" t="str">
        <f>J$133</f>
        <v>Rest of South African Customs Union</v>
      </c>
      <c r="C172">
        <f>K$133</f>
        <v>-1.81</v>
      </c>
      <c r="D172">
        <f>100*M$133</f>
        <v>0</v>
      </c>
      <c r="E172">
        <f>100*N$133</f>
        <v>-1.0459000000000001</v>
      </c>
      <c r="F172">
        <f>100*O$133</f>
        <v>-1.5E-3</v>
      </c>
      <c r="G172">
        <f>100*P$133</f>
        <v>-0.76559999999999995</v>
      </c>
      <c r="H172">
        <f>100*Q$133</f>
        <v>0</v>
      </c>
    </row>
    <row r="173" spans="1:8" x14ac:dyDescent="0.35">
      <c r="A173" t="s">
        <v>191</v>
      </c>
      <c r="B173" t="str">
        <f>J103</f>
        <v>Sweden</v>
      </c>
      <c r="C173">
        <f>K103</f>
        <v>1.72</v>
      </c>
      <c r="D173">
        <f t="shared" ref="D173:H174" si="51">100*M103</f>
        <v>0</v>
      </c>
      <c r="E173">
        <f t="shared" si="51"/>
        <v>5.6599999999999998E-2</v>
      </c>
      <c r="F173">
        <f t="shared" si="51"/>
        <v>0</v>
      </c>
      <c r="G173">
        <f t="shared" si="51"/>
        <v>-5.1599999999999993E-2</v>
      </c>
      <c r="H173">
        <f t="shared" si="51"/>
        <v>1.7159</v>
      </c>
    </row>
    <row r="174" spans="1:8" x14ac:dyDescent="0.35">
      <c r="A174" t="s">
        <v>192</v>
      </c>
      <c r="B174" t="str">
        <f>J104</f>
        <v>Switzerland</v>
      </c>
      <c r="C174">
        <f>K104</f>
        <v>1.42</v>
      </c>
      <c r="D174">
        <f t="shared" si="51"/>
        <v>0</v>
      </c>
      <c r="E174">
        <f t="shared" si="51"/>
        <v>1.5100000000000001E-2</v>
      </c>
      <c r="F174">
        <f t="shared" si="51"/>
        <v>0</v>
      </c>
      <c r="G174">
        <f t="shared" si="51"/>
        <v>-6.6500000000000004E-2</v>
      </c>
      <c r="H174">
        <f t="shared" si="51"/>
        <v>1.4678</v>
      </c>
    </row>
    <row r="175" spans="1:8" x14ac:dyDescent="0.35">
      <c r="A175" t="s">
        <v>193</v>
      </c>
      <c r="B175" t="str">
        <f>J$141</f>
        <v>Rest of Western Asia</v>
      </c>
      <c r="C175">
        <f>K$141</f>
        <v>-1.22</v>
      </c>
      <c r="D175">
        <f>100*M$141</f>
        <v>0</v>
      </c>
      <c r="E175">
        <f>100*N$141</f>
        <v>-0.76200000000000001</v>
      </c>
      <c r="F175">
        <f>100*O$141</f>
        <v>-0.2868</v>
      </c>
      <c r="G175">
        <f>100*P$141</f>
        <v>-0.1673</v>
      </c>
      <c r="H175">
        <f>100*Q$141</f>
        <v>0</v>
      </c>
    </row>
    <row r="176" spans="1:8" x14ac:dyDescent="0.35">
      <c r="A176" t="s">
        <v>410</v>
      </c>
      <c r="B176" t="str">
        <f>J$129</f>
        <v>Rest of former Soviet Union</v>
      </c>
      <c r="C176">
        <f>K$129</f>
        <v>7.0000000000000007E-2</v>
      </c>
      <c r="D176">
        <f>100*M$129</f>
        <v>0</v>
      </c>
      <c r="E176">
        <f>100*N$129</f>
        <v>0.13120000000000001</v>
      </c>
      <c r="F176">
        <f>100*O$129</f>
        <v>0</v>
      </c>
      <c r="G176">
        <f>100*P$129</f>
        <v>-5.6800000000000003E-2</v>
      </c>
      <c r="H176">
        <f>100*Q$129</f>
        <v>0</v>
      </c>
    </row>
    <row r="177" spans="1:8" x14ac:dyDescent="0.35">
      <c r="A177" t="s">
        <v>194</v>
      </c>
      <c r="B177" t="str">
        <f>J106</f>
        <v>Tanzania</v>
      </c>
      <c r="C177">
        <f>K106</f>
        <v>-8.7899999999999991</v>
      </c>
      <c r="D177">
        <f t="shared" ref="D177:H178" si="52">100*M106</f>
        <v>-9.9999999999999991E-5</v>
      </c>
      <c r="E177">
        <f t="shared" si="52"/>
        <v>-2.5945</v>
      </c>
      <c r="F177">
        <f t="shared" si="52"/>
        <v>-1.4315</v>
      </c>
      <c r="G177">
        <f t="shared" si="52"/>
        <v>-1.0207000000000002</v>
      </c>
      <c r="H177">
        <f t="shared" si="52"/>
        <v>-3.7479999999999998</v>
      </c>
    </row>
    <row r="178" spans="1:8" x14ac:dyDescent="0.35">
      <c r="A178" t="s">
        <v>195</v>
      </c>
      <c r="B178" t="str">
        <f>J107</f>
        <v>Thailand</v>
      </c>
      <c r="C178">
        <f>K107</f>
        <v>-9.1300000000000008</v>
      </c>
      <c r="D178">
        <f t="shared" si="52"/>
        <v>-9.9999999999999991E-5</v>
      </c>
      <c r="E178">
        <f t="shared" si="52"/>
        <v>-0.78029999999999999</v>
      </c>
      <c r="F178">
        <f t="shared" si="52"/>
        <v>-3.7029000000000001</v>
      </c>
      <c r="G178">
        <f t="shared" si="52"/>
        <v>-0.1419</v>
      </c>
      <c r="H178">
        <f t="shared" si="52"/>
        <v>-4.5045999999999999</v>
      </c>
    </row>
    <row r="179" spans="1:8" x14ac:dyDescent="0.35">
      <c r="A179" t="s">
        <v>411</v>
      </c>
      <c r="B179" t="str">
        <f>J$137</f>
        <v>Rest of Southeast Asia</v>
      </c>
      <c r="C179">
        <f>K$137</f>
        <v>-9.83</v>
      </c>
      <c r="D179">
        <f>100*M$137</f>
        <v>-1E-3</v>
      </c>
      <c r="E179">
        <f>100*N$137</f>
        <v>-3.2015000000000002</v>
      </c>
      <c r="F179">
        <f>100*O$137</f>
        <v>-6.4740000000000002</v>
      </c>
      <c r="G179">
        <f>100*P$137</f>
        <v>-0.15490000000000001</v>
      </c>
      <c r="H179">
        <f>100*Q$137</f>
        <v>0</v>
      </c>
    </row>
    <row r="180" spans="1:8" x14ac:dyDescent="0.35">
      <c r="A180" t="s">
        <v>412</v>
      </c>
      <c r="B180" t="str">
        <f>J108</f>
        <v>Togo</v>
      </c>
      <c r="C180">
        <f>K108</f>
        <v>-18.29</v>
      </c>
      <c r="D180">
        <f>100*M108</f>
        <v>0</v>
      </c>
      <c r="E180">
        <f>100*N108</f>
        <v>-2.9925999999999999</v>
      </c>
      <c r="F180">
        <f>100*O108</f>
        <v>-6.7907999999999999</v>
      </c>
      <c r="G180">
        <f>100*P108</f>
        <v>-0.87770000000000004</v>
      </c>
      <c r="H180">
        <f>100*Q108</f>
        <v>-7.6318000000000001</v>
      </c>
    </row>
    <row r="181" spans="1:8" x14ac:dyDescent="0.35">
      <c r="A181" t="s">
        <v>413</v>
      </c>
      <c r="B181" t="str">
        <f>J$132</f>
        <v>Rest of Oceania</v>
      </c>
      <c r="C181">
        <f>K$132</f>
        <v>-2.02</v>
      </c>
      <c r="D181">
        <f>100*M$132</f>
        <v>-9.4999999999999998E-3</v>
      </c>
      <c r="E181">
        <f>100*N$132</f>
        <v>-0.3135</v>
      </c>
      <c r="F181">
        <f>100*O$132</f>
        <v>-1.3971</v>
      </c>
      <c r="G181">
        <f>100*P$132</f>
        <v>-0.30299999999999999</v>
      </c>
      <c r="H181">
        <f>100*Q$132</f>
        <v>0</v>
      </c>
    </row>
    <row r="182" spans="1:8" x14ac:dyDescent="0.35">
      <c r="A182" t="s">
        <v>196</v>
      </c>
      <c r="B182" t="str">
        <f t="shared" ref="B182:C184" si="53">J109</f>
        <v>Trinidad and Tobago</v>
      </c>
      <c r="C182">
        <f t="shared" si="53"/>
        <v>-4.88</v>
      </c>
      <c r="D182">
        <f t="shared" ref="D182:H184" si="54">100*M109</f>
        <v>-8.9999999999999998E-4</v>
      </c>
      <c r="E182">
        <f t="shared" si="54"/>
        <v>-0.1245</v>
      </c>
      <c r="F182">
        <f t="shared" si="54"/>
        <v>-2.4512999999999998</v>
      </c>
      <c r="G182">
        <f t="shared" si="54"/>
        <v>-0.1207</v>
      </c>
      <c r="H182">
        <f t="shared" si="54"/>
        <v>-2.1839</v>
      </c>
    </row>
    <row r="183" spans="1:8" x14ac:dyDescent="0.35">
      <c r="A183" t="s">
        <v>197</v>
      </c>
      <c r="B183" t="str">
        <f t="shared" si="53"/>
        <v>Tunisia</v>
      </c>
      <c r="C183">
        <f t="shared" si="53"/>
        <v>-3.13</v>
      </c>
      <c r="D183">
        <f t="shared" si="54"/>
        <v>-9.9999999999999991E-5</v>
      </c>
      <c r="E183">
        <f t="shared" si="54"/>
        <v>-0.75790000000000002</v>
      </c>
      <c r="F183">
        <f t="shared" si="54"/>
        <v>-0.24640000000000001</v>
      </c>
      <c r="G183">
        <f t="shared" si="54"/>
        <v>-0.52859999999999996</v>
      </c>
      <c r="H183">
        <f t="shared" si="54"/>
        <v>-1.5935000000000001</v>
      </c>
    </row>
    <row r="184" spans="1:8" x14ac:dyDescent="0.35">
      <c r="A184" t="s">
        <v>198</v>
      </c>
      <c r="B184" t="str">
        <f t="shared" si="53"/>
        <v>Turkey</v>
      </c>
      <c r="C184">
        <f t="shared" si="53"/>
        <v>-0.83</v>
      </c>
      <c r="D184">
        <f t="shared" si="54"/>
        <v>-9.9999999999999991E-5</v>
      </c>
      <c r="E184">
        <f t="shared" si="54"/>
        <v>-0.46870000000000001</v>
      </c>
      <c r="F184">
        <f t="shared" si="54"/>
        <v>0</v>
      </c>
      <c r="G184">
        <f t="shared" si="54"/>
        <v>-0.34989999999999999</v>
      </c>
      <c r="H184">
        <f t="shared" si="54"/>
        <v>-7.4999999999999997E-3</v>
      </c>
    </row>
    <row r="185" spans="1:8" x14ac:dyDescent="0.35">
      <c r="A185" t="s">
        <v>414</v>
      </c>
      <c r="B185" t="str">
        <f>J$129</f>
        <v>Rest of former Soviet Union</v>
      </c>
      <c r="C185">
        <f>K$129</f>
        <v>7.0000000000000007E-2</v>
      </c>
      <c r="D185">
        <f>100*M$129</f>
        <v>0</v>
      </c>
      <c r="E185">
        <f>100*N$129</f>
        <v>0.13120000000000001</v>
      </c>
      <c r="F185">
        <f>100*O$129</f>
        <v>0</v>
      </c>
      <c r="G185">
        <f>100*P$129</f>
        <v>-5.6800000000000003E-2</v>
      </c>
      <c r="H185">
        <f>100*Q$129</f>
        <v>0</v>
      </c>
    </row>
    <row r="186" spans="1:8" x14ac:dyDescent="0.35">
      <c r="A186" t="s">
        <v>415</v>
      </c>
      <c r="B186" t="str">
        <f>J$132</f>
        <v>Rest of Oceania</v>
      </c>
      <c r="C186">
        <f>K$132</f>
        <v>-2.02</v>
      </c>
      <c r="D186">
        <f>100*M$132</f>
        <v>-9.4999999999999998E-3</v>
      </c>
      <c r="E186">
        <f>100*N$132</f>
        <v>-0.3135</v>
      </c>
      <c r="F186">
        <f>100*O$132</f>
        <v>-1.3971</v>
      </c>
      <c r="G186">
        <f>100*P$132</f>
        <v>-0.30299999999999999</v>
      </c>
      <c r="H186">
        <f>100*Q$132</f>
        <v>0</v>
      </c>
    </row>
    <row r="187" spans="1:8" x14ac:dyDescent="0.35">
      <c r="A187" t="s">
        <v>254</v>
      </c>
      <c r="B187" t="str">
        <f t="shared" ref="B187:C190" si="55">J112</f>
        <v>Uganda</v>
      </c>
      <c r="C187">
        <f t="shared" si="55"/>
        <v>-7.58</v>
      </c>
      <c r="D187">
        <f t="shared" ref="D187:H190" si="56">100*M112</f>
        <v>0</v>
      </c>
      <c r="E187">
        <f t="shared" si="56"/>
        <v>-2.323</v>
      </c>
      <c r="F187">
        <f t="shared" si="56"/>
        <v>-0.33200000000000002</v>
      </c>
      <c r="G187">
        <f t="shared" si="56"/>
        <v>-0.85640000000000005</v>
      </c>
      <c r="H187">
        <f t="shared" si="56"/>
        <v>-4.0730000000000004</v>
      </c>
    </row>
    <row r="188" spans="1:8" x14ac:dyDescent="0.35">
      <c r="A188" t="s">
        <v>238</v>
      </c>
      <c r="B188" t="str">
        <f t="shared" si="55"/>
        <v>Ukraine</v>
      </c>
      <c r="C188">
        <f t="shared" si="55"/>
        <v>0.92</v>
      </c>
      <c r="D188">
        <f t="shared" si="56"/>
        <v>0</v>
      </c>
      <c r="E188">
        <f t="shared" si="56"/>
        <v>6.1399999999999996E-2</v>
      </c>
      <c r="F188">
        <f t="shared" si="56"/>
        <v>0</v>
      </c>
      <c r="G188">
        <f t="shared" si="56"/>
        <v>-8.2900000000000001E-2</v>
      </c>
      <c r="H188">
        <f t="shared" si="56"/>
        <v>0.94210000000000005</v>
      </c>
    </row>
    <row r="189" spans="1:8" x14ac:dyDescent="0.35">
      <c r="A189" t="s">
        <v>416</v>
      </c>
      <c r="B189" t="str">
        <f t="shared" si="55"/>
        <v>United Arab Emirates</v>
      </c>
      <c r="C189">
        <f t="shared" si="55"/>
        <v>-4.8600000000000003</v>
      </c>
      <c r="D189">
        <f t="shared" si="56"/>
        <v>-1.9999999999999998E-4</v>
      </c>
      <c r="E189">
        <f t="shared" si="56"/>
        <v>-0.1686</v>
      </c>
      <c r="F189">
        <f t="shared" si="56"/>
        <v>-1.3851</v>
      </c>
      <c r="G189">
        <f t="shared" si="56"/>
        <v>-0.43439999999999995</v>
      </c>
      <c r="H189">
        <f t="shared" si="56"/>
        <v>-2.8717999999999999</v>
      </c>
    </row>
    <row r="190" spans="1:8" x14ac:dyDescent="0.35">
      <c r="A190" t="s">
        <v>199</v>
      </c>
      <c r="B190" t="str">
        <f t="shared" si="55"/>
        <v>United Kingdom</v>
      </c>
      <c r="C190">
        <f t="shared" si="55"/>
        <v>0.59</v>
      </c>
      <c r="D190">
        <f t="shared" si="56"/>
        <v>0</v>
      </c>
      <c r="E190">
        <f t="shared" si="56"/>
        <v>9.8999999999999991E-3</v>
      </c>
      <c r="F190">
        <f t="shared" si="56"/>
        <v>0</v>
      </c>
      <c r="G190">
        <f t="shared" si="56"/>
        <v>-5.5099999999999996E-2</v>
      </c>
      <c r="H190">
        <f t="shared" si="56"/>
        <v>0.63729999999999998</v>
      </c>
    </row>
    <row r="191" spans="1:8" x14ac:dyDescent="0.35">
      <c r="A191" t="s">
        <v>200</v>
      </c>
      <c r="B191" t="str">
        <f>J117</f>
        <v>USA</v>
      </c>
      <c r="C191">
        <f>K117</f>
        <v>-0.16</v>
      </c>
      <c r="D191">
        <f>100*M117</f>
        <v>0</v>
      </c>
      <c r="E191">
        <f>100*N117</f>
        <v>1.5899999999999997E-2</v>
      </c>
      <c r="F191">
        <f>100*O117</f>
        <v>-4.8000000000000004E-3</v>
      </c>
      <c r="G191">
        <f>100*P117</f>
        <v>-0.28960000000000002</v>
      </c>
      <c r="H191">
        <f>100*Q117</f>
        <v>0.1152</v>
      </c>
    </row>
    <row r="192" spans="1:8" x14ac:dyDescent="0.35">
      <c r="A192" t="s">
        <v>201</v>
      </c>
      <c r="B192" t="str">
        <f>J116</f>
        <v>Uruguay</v>
      </c>
      <c r="C192">
        <f>K116</f>
        <v>-2.17</v>
      </c>
      <c r="D192">
        <f>100*M116</f>
        <v>-9.9999999999999991E-5</v>
      </c>
      <c r="E192">
        <f>100*N116</f>
        <v>-0.45240000000000002</v>
      </c>
      <c r="F192">
        <f>100*O116</f>
        <v>-5.7200000000000001E-2</v>
      </c>
      <c r="G192">
        <f>100*P116</f>
        <v>-0.29719999999999996</v>
      </c>
      <c r="H192">
        <f>100*Q116</f>
        <v>-1.3583000000000001</v>
      </c>
    </row>
    <row r="193" spans="1:8" x14ac:dyDescent="0.35">
      <c r="A193" t="s">
        <v>417</v>
      </c>
      <c r="B193" t="str">
        <f>J$129</f>
        <v>Rest of former Soviet Union</v>
      </c>
      <c r="C193">
        <f>K$129</f>
        <v>7.0000000000000007E-2</v>
      </c>
      <c r="D193">
        <f>100*M$129</f>
        <v>0</v>
      </c>
      <c r="E193">
        <f>100*N$129</f>
        <v>0.13120000000000001</v>
      </c>
      <c r="F193">
        <f>100*O$129</f>
        <v>0</v>
      </c>
      <c r="G193">
        <f>100*P$129</f>
        <v>-5.6800000000000003E-2</v>
      </c>
      <c r="H193">
        <f>100*Q$129</f>
        <v>0</v>
      </c>
    </row>
    <row r="194" spans="1:8" x14ac:dyDescent="0.35">
      <c r="A194" t="s">
        <v>418</v>
      </c>
      <c r="B194" t="str">
        <f>J$132</f>
        <v>Rest of Oceania</v>
      </c>
      <c r="C194">
        <f>K$132</f>
        <v>-2.02</v>
      </c>
      <c r="D194">
        <f>100*M$132</f>
        <v>-9.4999999999999998E-3</v>
      </c>
      <c r="E194">
        <f>100*N$132</f>
        <v>-0.3135</v>
      </c>
      <c r="F194">
        <f>100*O$132</f>
        <v>-1.3971</v>
      </c>
      <c r="G194">
        <f>100*P$132</f>
        <v>-0.30299999999999999</v>
      </c>
      <c r="H194">
        <f>100*Q$132</f>
        <v>0</v>
      </c>
    </row>
    <row r="195" spans="1:8" x14ac:dyDescent="0.35">
      <c r="A195" t="s">
        <v>202</v>
      </c>
      <c r="B195" t="str">
        <f>J118</f>
        <v>Venezuela</v>
      </c>
      <c r="C195">
        <f>K118</f>
        <v>-2.15</v>
      </c>
      <c r="D195">
        <f t="shared" ref="D195:H196" si="57">100*M118</f>
        <v>-9.9999999999999991E-5</v>
      </c>
      <c r="E195">
        <f t="shared" si="57"/>
        <v>-0.65640000000000009</v>
      </c>
      <c r="F195">
        <f t="shared" si="57"/>
        <v>-0.97829999999999995</v>
      </c>
      <c r="G195">
        <f t="shared" si="57"/>
        <v>-0.1686</v>
      </c>
      <c r="H195">
        <f t="shared" si="57"/>
        <v>-0.3473</v>
      </c>
    </row>
    <row r="196" spans="1:8" x14ac:dyDescent="0.35">
      <c r="A196" t="s">
        <v>419</v>
      </c>
      <c r="B196" t="str">
        <f>J119</f>
        <v>Vietnam</v>
      </c>
      <c r="C196">
        <f>K119</f>
        <v>-7.09</v>
      </c>
      <c r="D196">
        <f t="shared" si="57"/>
        <v>-6.0000000000000006E-4</v>
      </c>
      <c r="E196">
        <f t="shared" si="57"/>
        <v>-1.3580000000000001</v>
      </c>
      <c r="F196">
        <f t="shared" si="57"/>
        <v>-3.3931999999999998</v>
      </c>
      <c r="G196">
        <f t="shared" si="57"/>
        <v>-0.15009999999999998</v>
      </c>
      <c r="H196">
        <f t="shared" si="57"/>
        <v>-2.1888999999999998</v>
      </c>
    </row>
    <row r="197" spans="1:8" x14ac:dyDescent="0.35">
      <c r="A197" t="s">
        <v>420</v>
      </c>
      <c r="B197" t="str">
        <f>J$141</f>
        <v>Rest of Western Asia</v>
      </c>
      <c r="C197">
        <f>K$141</f>
        <v>-1.22</v>
      </c>
      <c r="D197">
        <f>100*M$141</f>
        <v>0</v>
      </c>
      <c r="E197">
        <f>100*N$141</f>
        <v>-0.76200000000000001</v>
      </c>
      <c r="F197">
        <f>100*O$141</f>
        <v>-0.2868</v>
      </c>
      <c r="G197">
        <f>100*P$141</f>
        <v>-0.1673</v>
      </c>
      <c r="H197">
        <f>100*Q$141</f>
        <v>0</v>
      </c>
    </row>
    <row r="198" spans="1:8" x14ac:dyDescent="0.35">
      <c r="A198" t="s">
        <v>204</v>
      </c>
      <c r="B198" t="str">
        <f>J$124</f>
        <v>Rest of East Africa</v>
      </c>
      <c r="C198">
        <f>K$124</f>
        <v>-4.62</v>
      </c>
      <c r="D198">
        <f>100*M$124</f>
        <v>0</v>
      </c>
      <c r="E198">
        <f>100*N$124</f>
        <v>-1.2136</v>
      </c>
      <c r="F198">
        <f>100*O$124</f>
        <v>-2.407</v>
      </c>
      <c r="G198">
        <f>100*P$124</f>
        <v>-0.99550000000000005</v>
      </c>
      <c r="H198">
        <f>100*Q$124</f>
        <v>0</v>
      </c>
    </row>
    <row r="199" spans="1:8" x14ac:dyDescent="0.35">
      <c r="A199" t="s">
        <v>205</v>
      </c>
      <c r="B199" t="str">
        <f>J120</f>
        <v>Zambia</v>
      </c>
      <c r="C199">
        <f>K120</f>
        <v>-4.3</v>
      </c>
      <c r="D199">
        <f>100*M120</f>
        <v>0</v>
      </c>
      <c r="E199">
        <f>100*N120</f>
        <v>-1.1478999999999999</v>
      </c>
      <c r="F199">
        <f>100*O120</f>
        <v>-0.47759999999999997</v>
      </c>
      <c r="G199">
        <f>100*P120</f>
        <v>-1.1181999999999999</v>
      </c>
      <c r="H199">
        <f>100*Q120</f>
        <v>-1.5570999999999999</v>
      </c>
    </row>
    <row r="201" spans="1:8" x14ac:dyDescent="0.35">
      <c r="C201">
        <f>SUMPRODUCT(C2:C199,country!$C5:$C202)/SUM(country!$C5:$C202)</f>
        <v>-0.71756668095998166</v>
      </c>
      <c r="D201">
        <f>SUMPRODUCT(D2:D199,country!$C5:$C202)/SUM(country!$C5:$C202)</f>
        <v>-1.6335718272853948E-4</v>
      </c>
      <c r="E201">
        <f>SUMPRODUCT(E2:E199,country!$C5:$C202)/SUM(country!$C5:$C202)</f>
        <v>-0.12918129932336528</v>
      </c>
      <c r="F201">
        <f>SUMPRODUCT(F2:F199,country!$C5:$C202)/SUM(country!$C5:$C202)</f>
        <v>-0.38152416844297005</v>
      </c>
      <c r="G201">
        <f>SUMPRODUCT(G2:G199,country!$C5:$C202)/SUM(country!$C5:$C202)</f>
        <v>-0.25516157121865485</v>
      </c>
      <c r="H201">
        <f>SUMPRODUCT(H2:H199,country!$C5:$C202)/SUM(country!$C5:$C202)</f>
        <v>4.7227546392837924E-2</v>
      </c>
    </row>
  </sheetData>
  <sortState xmlns:xlrd2="http://schemas.microsoft.com/office/spreadsheetml/2017/richdata2" ref="L2:R141">
    <sortCondition ref="L2:L141"/>
  </sortState>
  <pageMargins left="0.7" right="0.7" top="0.75" bottom="0.75" header="0.3" footer="0.3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72968-A702-4395-A015-82523A51AD79}">
  <dimension ref="A1:AI201"/>
  <sheetViews>
    <sheetView workbookViewId="0">
      <selection activeCell="E2" sqref="E2"/>
    </sheetView>
  </sheetViews>
  <sheetFormatPr defaultRowHeight="14.5" x14ac:dyDescent="0.35"/>
  <cols>
    <col min="1" max="1" width="18.453125" customWidth="1"/>
    <col min="8" max="8" width="23.54296875" customWidth="1"/>
  </cols>
  <sheetData>
    <row r="1" spans="1:35" x14ac:dyDescent="0.35">
      <c r="H1" t="s">
        <v>552</v>
      </c>
      <c r="I1">
        <v>1</v>
      </c>
      <c r="J1">
        <v>2</v>
      </c>
      <c r="K1">
        <v>3</v>
      </c>
      <c r="L1">
        <v>4</v>
      </c>
      <c r="S1" t="s">
        <v>858</v>
      </c>
      <c r="Y1">
        <v>2017</v>
      </c>
      <c r="Z1">
        <v>2027</v>
      </c>
      <c r="AA1">
        <v>2037</v>
      </c>
      <c r="AB1">
        <v>2067</v>
      </c>
      <c r="AC1" t="s">
        <v>857</v>
      </c>
      <c r="AF1">
        <f>E201</f>
        <v>-1.8369485050307706</v>
      </c>
      <c r="AH1">
        <f>SUM(AH2:AH8)</f>
        <v>-2.4010041923774952</v>
      </c>
    </row>
    <row r="2" spans="1:35" x14ac:dyDescent="0.35">
      <c r="A2" t="s">
        <v>349</v>
      </c>
      <c r="B2" t="str">
        <f>H$134</f>
        <v>Rest of South Asia</v>
      </c>
      <c r="C2">
        <f t="shared" ref="C2:F2" si="0">I$134</f>
        <v>-2.778</v>
      </c>
      <c r="D2">
        <f t="shared" si="0"/>
        <v>-6.0019999999999998</v>
      </c>
      <c r="E2">
        <f t="shared" si="0"/>
        <v>-9.6059999999999999</v>
      </c>
      <c r="F2">
        <f t="shared" si="0"/>
        <v>-13.88</v>
      </c>
      <c r="H2" t="s">
        <v>244</v>
      </c>
      <c r="I2">
        <v>-0.39500000000000002</v>
      </c>
      <c r="J2">
        <v>-0.85699999999999998</v>
      </c>
      <c r="K2">
        <v>-1.4610000000000001</v>
      </c>
      <c r="L2">
        <v>-2.36</v>
      </c>
      <c r="N2" t="str">
        <f>country!A6</f>
        <v>Albania</v>
      </c>
      <c r="O2">
        <f>country!D6</f>
        <v>3404.6550318859572</v>
      </c>
      <c r="P2">
        <f>country!G6</f>
        <v>11.4</v>
      </c>
      <c r="S2" t="s">
        <v>801</v>
      </c>
      <c r="T2" t="s">
        <v>521</v>
      </c>
      <c r="Y2">
        <v>-2.5999999999999999E-2</v>
      </c>
      <c r="Z2">
        <v>-0.53200000000000003</v>
      </c>
      <c r="AA2">
        <v>-1.056</v>
      </c>
      <c r="AB2">
        <v>-2.6869999999999998</v>
      </c>
      <c r="AC2">
        <v>-4.8570000000000002</v>
      </c>
      <c r="AE2" t="s">
        <v>568</v>
      </c>
      <c r="AF2">
        <f>AVERAGE(AC2:AC13,AC20:AC26)</f>
        <v>-3.6966315789473678</v>
      </c>
      <c r="AG2">
        <v>0.1</v>
      </c>
      <c r="AH2">
        <f t="shared" ref="AH2:AH8" si="1">AG2*AF2</f>
        <v>-0.3696631578947368</v>
      </c>
      <c r="AI2">
        <f>AH2*AF$1/AH$1</f>
        <v>-0.2828200747901598</v>
      </c>
    </row>
    <row r="3" spans="1:35" x14ac:dyDescent="0.35">
      <c r="A3" t="s">
        <v>244</v>
      </c>
      <c r="B3" t="str">
        <f>H2</f>
        <v>Albania</v>
      </c>
      <c r="C3">
        <f t="shared" ref="C3:F3" si="2">I2</f>
        <v>-0.39500000000000002</v>
      </c>
      <c r="D3">
        <f t="shared" si="2"/>
        <v>-0.85699999999999998</v>
      </c>
      <c r="E3">
        <f t="shared" si="2"/>
        <v>-1.4610000000000001</v>
      </c>
      <c r="F3">
        <f t="shared" si="2"/>
        <v>-2.36</v>
      </c>
      <c r="H3" t="s">
        <v>118</v>
      </c>
      <c r="I3">
        <v>-0.36</v>
      </c>
      <c r="J3">
        <v>-0.872</v>
      </c>
      <c r="K3">
        <v>-1.583</v>
      </c>
      <c r="L3">
        <v>-2.61</v>
      </c>
      <c r="N3" t="str">
        <f>country!A11</f>
        <v>Argentina</v>
      </c>
      <c r="O3">
        <f>country!D11</f>
        <v>7274.3904532313973</v>
      </c>
      <c r="P3">
        <f>country!G11</f>
        <v>14.8</v>
      </c>
      <c r="S3" t="s">
        <v>802</v>
      </c>
      <c r="Y3">
        <v>6.0000000000000001E-3</v>
      </c>
      <c r="Z3">
        <v>-0.33900000000000002</v>
      </c>
      <c r="AA3">
        <v>-0.69899999999999995</v>
      </c>
      <c r="AB3">
        <v>-1.843</v>
      </c>
      <c r="AC3">
        <v>-3.5819999999999999</v>
      </c>
      <c r="AE3" t="s">
        <v>577</v>
      </c>
      <c r="AF3">
        <f>AC14</f>
        <v>-3.6320000000000001</v>
      </c>
      <c r="AG3">
        <v>0.01</v>
      </c>
      <c r="AH3">
        <f t="shared" si="1"/>
        <v>-3.6320000000000005E-2</v>
      </c>
      <c r="AI3">
        <f t="shared" ref="AI3:AI8" si="3">AH3*AF$1/AH$1</f>
        <v>-2.7787527366477809E-2</v>
      </c>
    </row>
    <row r="4" spans="1:35" x14ac:dyDescent="0.35">
      <c r="A4" t="s">
        <v>245</v>
      </c>
      <c r="B4" t="str">
        <f>H$129</f>
        <v>Rest of North Africa</v>
      </c>
      <c r="C4">
        <f>I$129</f>
        <v>-0.65300000000000002</v>
      </c>
      <c r="D4">
        <f>J$129</f>
        <v>-1.415</v>
      </c>
      <c r="E4">
        <f>K$129</f>
        <v>-2.3940000000000001</v>
      </c>
      <c r="F4">
        <f>L$129</f>
        <v>-3.6389999999999998</v>
      </c>
      <c r="H4" t="s">
        <v>212</v>
      </c>
      <c r="I4">
        <v>-0.73899999999999999</v>
      </c>
      <c r="J4">
        <v>-1.05</v>
      </c>
      <c r="K4">
        <v>-1.35</v>
      </c>
      <c r="L4">
        <v>-1.7769999999999999</v>
      </c>
      <c r="N4" t="str">
        <f>country!A12</f>
        <v>Armenia</v>
      </c>
      <c r="O4">
        <f>country!D12</f>
        <v>1997.0389119682286</v>
      </c>
      <c r="P4">
        <f>country!G12</f>
        <v>7.1</v>
      </c>
      <c r="S4" t="s">
        <v>803</v>
      </c>
      <c r="T4" t="s">
        <v>804</v>
      </c>
      <c r="U4" t="s">
        <v>769</v>
      </c>
      <c r="Y4">
        <v>-1.2E-2</v>
      </c>
      <c r="Z4">
        <v>-0.35799999999999998</v>
      </c>
      <c r="AA4">
        <v>-0.71799999999999997</v>
      </c>
      <c r="AB4">
        <v>-1.859</v>
      </c>
      <c r="AC4">
        <v>-3.5539999999999998</v>
      </c>
      <c r="AE4" t="s">
        <v>578</v>
      </c>
      <c r="AF4">
        <f>AVERAGE(AC16:AC18,AC44:AC45)</f>
        <v>-2.0457999999999998</v>
      </c>
      <c r="AG4">
        <v>0.05</v>
      </c>
      <c r="AH4">
        <f t="shared" si="1"/>
        <v>-0.10228999999999999</v>
      </c>
      <c r="AI4">
        <f t="shared" si="3"/>
        <v>-7.8259531231195334E-2</v>
      </c>
    </row>
    <row r="5" spans="1:35" x14ac:dyDescent="0.35">
      <c r="A5" t="s">
        <v>600</v>
      </c>
      <c r="B5" t="str">
        <f>H$127</f>
        <v>Rest of Europe</v>
      </c>
      <c r="C5">
        <f t="shared" ref="C5" si="4">I$127</f>
        <v>-8.8999999999999996E-2</v>
      </c>
      <c r="D5">
        <f t="shared" ref="D5" si="5">J$127</f>
        <v>-0.15</v>
      </c>
      <c r="E5">
        <f t="shared" ref="E5" si="6">K$127</f>
        <v>-0.20499999999999999</v>
      </c>
      <c r="F5">
        <f t="shared" ref="F5" si="7">L$127</f>
        <v>-0.318</v>
      </c>
      <c r="H5" t="s">
        <v>119</v>
      </c>
      <c r="I5">
        <v>-0.28699999999999998</v>
      </c>
      <c r="J5">
        <v>-0.64200000000000002</v>
      </c>
      <c r="K5">
        <v>-1.083</v>
      </c>
      <c r="L5">
        <v>-1.585</v>
      </c>
      <c r="N5" t="str">
        <f>country!A14</f>
        <v>Australia</v>
      </c>
      <c r="O5">
        <f>country!D14</f>
        <v>36140.105242213795</v>
      </c>
      <c r="P5">
        <f>country!G14</f>
        <v>21.6</v>
      </c>
      <c r="S5" t="s">
        <v>805</v>
      </c>
      <c r="T5" t="s">
        <v>806</v>
      </c>
      <c r="U5" t="s">
        <v>807</v>
      </c>
      <c r="Y5">
        <v>-1.2E-2</v>
      </c>
      <c r="Z5">
        <v>-0.39800000000000002</v>
      </c>
      <c r="AA5">
        <v>-0.79700000000000004</v>
      </c>
      <c r="AB5">
        <v>-2.04</v>
      </c>
      <c r="AC5">
        <v>-3.7229999999999999</v>
      </c>
      <c r="AE5" t="s">
        <v>579</v>
      </c>
      <c r="AF5">
        <f>AC46</f>
        <v>-2.093</v>
      </c>
      <c r="AG5">
        <v>0.01</v>
      </c>
      <c r="AH5">
        <f t="shared" si="1"/>
        <v>-2.0930000000000001E-2</v>
      </c>
      <c r="AI5">
        <f t="shared" si="3"/>
        <v>-1.6013021689988447E-2</v>
      </c>
    </row>
    <row r="6" spans="1:35" x14ac:dyDescent="0.35">
      <c r="A6" t="s">
        <v>350</v>
      </c>
      <c r="B6" t="str">
        <f>H$135</f>
        <v>Rest of South Central Africa</v>
      </c>
      <c r="C6">
        <f t="shared" ref="C6" si="8">I$135</f>
        <v>-0.96099999999999997</v>
      </c>
      <c r="D6">
        <f t="shared" ref="D6" si="9">J$135</f>
        <v>-2.0659999999999998</v>
      </c>
      <c r="E6">
        <f t="shared" ref="E6" si="10">K$135</f>
        <v>-3.32</v>
      </c>
      <c r="F6">
        <f t="shared" ref="F6" si="11">L$135</f>
        <v>-4.8940000000000001</v>
      </c>
      <c r="H6" t="s">
        <v>120</v>
      </c>
      <c r="I6">
        <v>-0.122</v>
      </c>
      <c r="J6">
        <v>-0.28699999999999998</v>
      </c>
      <c r="K6">
        <v>-0.48599999999999999</v>
      </c>
      <c r="L6">
        <v>-0.72799999999999998</v>
      </c>
      <c r="N6" t="str">
        <f>country!A15</f>
        <v>Austria</v>
      </c>
      <c r="O6">
        <f>country!D15</f>
        <v>38803.235792365253</v>
      </c>
      <c r="P6">
        <f>country!G15</f>
        <v>6.3</v>
      </c>
      <c r="S6" t="s">
        <v>808</v>
      </c>
      <c r="T6" t="s">
        <v>809</v>
      </c>
      <c r="Y6">
        <v>-0.01</v>
      </c>
      <c r="Z6">
        <v>-0.501</v>
      </c>
      <c r="AA6">
        <v>-1.012</v>
      </c>
      <c r="AB6">
        <v>-2.6179999999999999</v>
      </c>
      <c r="AC6">
        <v>-4.875</v>
      </c>
      <c r="AE6" t="s">
        <v>689</v>
      </c>
      <c r="AF6">
        <f>AC56</f>
        <v>-1.675</v>
      </c>
      <c r="AG6">
        <v>0.1</v>
      </c>
      <c r="AH6">
        <f t="shared" si="1"/>
        <v>-0.16750000000000001</v>
      </c>
      <c r="AI6">
        <f t="shared" si="3"/>
        <v>-0.12815007802546896</v>
      </c>
    </row>
    <row r="7" spans="1:35" x14ac:dyDescent="0.35">
      <c r="A7" t="s">
        <v>351</v>
      </c>
      <c r="B7" t="str">
        <f>H$140</f>
        <v>Rest of the Caribbean</v>
      </c>
      <c r="C7">
        <f t="shared" ref="C7" si="12">I$140</f>
        <v>-1.8640000000000001</v>
      </c>
      <c r="D7">
        <f t="shared" ref="D7" si="13">J$140</f>
        <v>-4.5289999999999999</v>
      </c>
      <c r="E7">
        <f t="shared" ref="E7" si="14">K$140</f>
        <v>-8.2070000000000007</v>
      </c>
      <c r="F7">
        <f t="shared" ref="F7" si="15">L$140</f>
        <v>-12.605</v>
      </c>
      <c r="H7" t="s">
        <v>213</v>
      </c>
      <c r="I7">
        <v>-0.75600000000000001</v>
      </c>
      <c r="J7">
        <v>-1.5629999999999999</v>
      </c>
      <c r="K7">
        <v>-2.6379999999999999</v>
      </c>
      <c r="L7">
        <v>-4.0250000000000004</v>
      </c>
      <c r="N7" t="str">
        <f>country!A16</f>
        <v>Azerbaijan</v>
      </c>
      <c r="O7">
        <f>country!D16</f>
        <v>3126.7240594662121</v>
      </c>
      <c r="P7">
        <f>country!G16</f>
        <v>11.9</v>
      </c>
      <c r="S7" t="s">
        <v>810</v>
      </c>
      <c r="T7" t="s">
        <v>811</v>
      </c>
      <c r="U7" t="s">
        <v>812</v>
      </c>
      <c r="V7" t="s">
        <v>813</v>
      </c>
      <c r="Y7">
        <v>1.4999999999999999E-2</v>
      </c>
      <c r="Z7">
        <v>-0.45</v>
      </c>
      <c r="AA7">
        <v>-0.93899999999999995</v>
      </c>
      <c r="AB7">
        <v>-2.4929999999999999</v>
      </c>
      <c r="AC7">
        <v>-4.8120000000000003</v>
      </c>
      <c r="AE7" t="s">
        <v>580</v>
      </c>
      <c r="AF7">
        <f>AC47</f>
        <v>-2.8290000000000002</v>
      </c>
      <c r="AG7">
        <v>0.01</v>
      </c>
      <c r="AH7">
        <f t="shared" si="1"/>
        <v>-2.8290000000000003E-2</v>
      </c>
      <c r="AI7">
        <f t="shared" si="3"/>
        <v>-2.1643974372182191E-2</v>
      </c>
    </row>
    <row r="8" spans="1:35" x14ac:dyDescent="0.35">
      <c r="A8" t="s">
        <v>118</v>
      </c>
      <c r="B8" t="str">
        <f t="shared" ref="B8:F9" si="16">H3</f>
        <v>Argentina</v>
      </c>
      <c r="C8">
        <f t="shared" si="16"/>
        <v>-0.36</v>
      </c>
      <c r="D8">
        <f t="shared" si="16"/>
        <v>-0.872</v>
      </c>
      <c r="E8">
        <f t="shared" si="16"/>
        <v>-1.583</v>
      </c>
      <c r="F8">
        <f t="shared" si="16"/>
        <v>-2.61</v>
      </c>
      <c r="H8" t="s">
        <v>352</v>
      </c>
      <c r="I8">
        <v>-1.44</v>
      </c>
      <c r="J8">
        <v>-3.1920000000000002</v>
      </c>
      <c r="K8">
        <v>-5.1379999999999999</v>
      </c>
      <c r="L8">
        <v>-7.3029999999999999</v>
      </c>
      <c r="N8" t="str">
        <f>country!A18</f>
        <v>Bahrain</v>
      </c>
      <c r="O8">
        <f>country!D18</f>
        <v>16722.241255001882</v>
      </c>
      <c r="P8">
        <f>country!G18</f>
        <v>27.1</v>
      </c>
      <c r="S8" t="s">
        <v>814</v>
      </c>
      <c r="T8" t="s">
        <v>815</v>
      </c>
      <c r="Y8">
        <v>0.182</v>
      </c>
      <c r="Z8">
        <v>-0.432</v>
      </c>
      <c r="AA8">
        <v>-1.081</v>
      </c>
      <c r="AB8">
        <v>-3.1440000000000001</v>
      </c>
      <c r="AC8">
        <v>-6.24</v>
      </c>
      <c r="AF8">
        <f>AVERAGE(AC15,AC19,AC27:AC43,AC48:AC55,AC57:AC58)</f>
        <v>-2.3277931034482755</v>
      </c>
      <c r="AG8">
        <f>1-SUM(AG2:AG7)</f>
        <v>0.72</v>
      </c>
      <c r="AH8">
        <f t="shared" si="1"/>
        <v>-1.6760110344827583</v>
      </c>
      <c r="AI8">
        <f t="shared" si="3"/>
        <v>-1.2822742975552981</v>
      </c>
    </row>
    <row r="9" spans="1:35" x14ac:dyDescent="0.35">
      <c r="A9" t="s">
        <v>212</v>
      </c>
      <c r="B9" t="str">
        <f t="shared" si="16"/>
        <v>Armenia</v>
      </c>
      <c r="C9">
        <f t="shared" si="16"/>
        <v>-0.73899999999999999</v>
      </c>
      <c r="D9">
        <f t="shared" si="16"/>
        <v>-1.05</v>
      </c>
      <c r="E9">
        <f t="shared" si="16"/>
        <v>-1.35</v>
      </c>
      <c r="F9">
        <f t="shared" si="16"/>
        <v>-1.7769999999999999</v>
      </c>
      <c r="H9" t="s">
        <v>122</v>
      </c>
      <c r="I9">
        <v>-2.2850000000000001</v>
      </c>
      <c r="J9">
        <v>-4.7549999999999999</v>
      </c>
      <c r="K9">
        <v>-7.5910000000000002</v>
      </c>
      <c r="L9">
        <v>-11.237</v>
      </c>
      <c r="N9" t="str">
        <f>country!A19</f>
        <v>Bangladesh</v>
      </c>
      <c r="O9">
        <f>country!D19</f>
        <v>539.09993134762863</v>
      </c>
      <c r="P9">
        <f>country!G19</f>
        <v>25</v>
      </c>
      <c r="S9" t="s">
        <v>816</v>
      </c>
      <c r="T9" t="s">
        <v>769</v>
      </c>
      <c r="Y9">
        <v>1E-3</v>
      </c>
      <c r="Z9">
        <v>-0.34799999999999998</v>
      </c>
      <c r="AA9">
        <v>-0.72</v>
      </c>
      <c r="AB9">
        <v>-1.9139999999999999</v>
      </c>
      <c r="AC9">
        <v>-3.7629999999999999</v>
      </c>
      <c r="AE9" t="s">
        <v>581</v>
      </c>
    </row>
    <row r="10" spans="1:35" x14ac:dyDescent="0.35">
      <c r="A10" t="s">
        <v>601</v>
      </c>
      <c r="B10" t="str">
        <f>H$140</f>
        <v>Rest of the Caribbean</v>
      </c>
      <c r="C10">
        <f t="shared" ref="C10" si="17">I$140</f>
        <v>-1.8640000000000001</v>
      </c>
      <c r="D10">
        <f t="shared" ref="D10" si="18">J$140</f>
        <v>-4.5289999999999999</v>
      </c>
      <c r="E10">
        <f t="shared" ref="E10" si="19">K$140</f>
        <v>-8.2070000000000007</v>
      </c>
      <c r="F10">
        <f t="shared" ref="F10" si="20">L$140</f>
        <v>-12.605</v>
      </c>
      <c r="H10" t="s">
        <v>214</v>
      </c>
      <c r="I10">
        <v>-0.17599999999999999</v>
      </c>
      <c r="J10">
        <v>-0.214</v>
      </c>
      <c r="K10">
        <v>-0.249</v>
      </c>
      <c r="L10">
        <v>-0.61699999999999999</v>
      </c>
      <c r="N10" t="str">
        <f>country!A21</f>
        <v>Belarus</v>
      </c>
      <c r="O10">
        <f>country!D21</f>
        <v>4526.3801215876556</v>
      </c>
      <c r="P10">
        <f>country!G21</f>
        <v>6.2</v>
      </c>
      <c r="S10" t="s">
        <v>817</v>
      </c>
      <c r="T10" t="s">
        <v>818</v>
      </c>
      <c r="U10" t="s">
        <v>819</v>
      </c>
      <c r="V10" t="s">
        <v>774</v>
      </c>
      <c r="W10" t="s">
        <v>820</v>
      </c>
      <c r="X10" t="s">
        <v>821</v>
      </c>
      <c r="Y10">
        <v>-1.4999999999999999E-2</v>
      </c>
      <c r="Z10">
        <v>-0.29299999999999998</v>
      </c>
      <c r="AA10">
        <v>-0.58799999999999997</v>
      </c>
      <c r="AB10">
        <v>-1.5389999999999999</v>
      </c>
      <c r="AC10">
        <v>-3.1019999999999999</v>
      </c>
      <c r="AE10" t="s">
        <v>582</v>
      </c>
    </row>
    <row r="11" spans="1:35" x14ac:dyDescent="0.35">
      <c r="A11" t="s">
        <v>119</v>
      </c>
      <c r="B11" t="str">
        <f t="shared" ref="B11:F13" si="21">H5</f>
        <v>Australia</v>
      </c>
      <c r="C11">
        <f t="shared" si="21"/>
        <v>-0.28699999999999998</v>
      </c>
      <c r="D11">
        <f t="shared" si="21"/>
        <v>-0.64200000000000002</v>
      </c>
      <c r="E11">
        <f t="shared" si="21"/>
        <v>-1.083</v>
      </c>
      <c r="F11">
        <f t="shared" si="21"/>
        <v>-1.585</v>
      </c>
      <c r="H11" t="s">
        <v>124</v>
      </c>
      <c r="I11">
        <v>-0.151</v>
      </c>
      <c r="J11">
        <v>-0.33</v>
      </c>
      <c r="K11">
        <v>-0.54</v>
      </c>
      <c r="L11">
        <v>-0.78800000000000003</v>
      </c>
      <c r="N11" t="str">
        <f>country!A22</f>
        <v>Belgium</v>
      </c>
      <c r="O11">
        <f>country!D22</f>
        <v>36747.279047091397</v>
      </c>
      <c r="P11">
        <f>country!G22</f>
        <v>9.6</v>
      </c>
      <c r="S11" t="s">
        <v>822</v>
      </c>
      <c r="T11" t="s">
        <v>771</v>
      </c>
      <c r="U11" t="s">
        <v>769</v>
      </c>
      <c r="Y11">
        <v>-7.0000000000000001E-3</v>
      </c>
      <c r="Z11">
        <v>-0.308</v>
      </c>
      <c r="AA11">
        <v>-0.625</v>
      </c>
      <c r="AB11">
        <v>-1.6459999999999999</v>
      </c>
      <c r="AC11">
        <v>-3.2930000000000001</v>
      </c>
      <c r="AE11" t="s">
        <v>586</v>
      </c>
    </row>
    <row r="12" spans="1:35" x14ac:dyDescent="0.35">
      <c r="A12" t="s">
        <v>120</v>
      </c>
      <c r="B12" t="str">
        <f t="shared" si="21"/>
        <v>Austria</v>
      </c>
      <c r="C12">
        <f t="shared" si="21"/>
        <v>-0.122</v>
      </c>
      <c r="D12">
        <f t="shared" si="21"/>
        <v>-0.28699999999999998</v>
      </c>
      <c r="E12">
        <f t="shared" si="21"/>
        <v>-0.48599999999999999</v>
      </c>
      <c r="F12">
        <f t="shared" si="21"/>
        <v>-0.72799999999999998</v>
      </c>
      <c r="H12" t="s">
        <v>126</v>
      </c>
      <c r="I12">
        <v>-0.65</v>
      </c>
      <c r="J12">
        <v>-1.4419999999999999</v>
      </c>
      <c r="K12">
        <v>-2.3319999999999999</v>
      </c>
      <c r="L12">
        <v>-3.3559999999999999</v>
      </c>
      <c r="N12" t="str">
        <f>country!A27</f>
        <v>Bolivia</v>
      </c>
      <c r="O12">
        <f>country!D27</f>
        <v>1176.9744750324021</v>
      </c>
      <c r="P12">
        <f>country!G27</f>
        <v>21.5</v>
      </c>
      <c r="S12" t="s">
        <v>823</v>
      </c>
      <c r="T12" t="s">
        <v>824</v>
      </c>
      <c r="Y12">
        <v>-1.7000000000000001E-2</v>
      </c>
      <c r="Z12">
        <v>-0.33400000000000002</v>
      </c>
      <c r="AA12">
        <v>-0.66600000000000004</v>
      </c>
      <c r="AB12">
        <v>-1.72</v>
      </c>
      <c r="AC12">
        <v>-3.3620000000000001</v>
      </c>
      <c r="AE12" t="s">
        <v>571</v>
      </c>
    </row>
    <row r="13" spans="1:35" x14ac:dyDescent="0.35">
      <c r="A13" t="s">
        <v>213</v>
      </c>
      <c r="B13" t="str">
        <f t="shared" si="21"/>
        <v>Azerbaijan</v>
      </c>
      <c r="C13">
        <f t="shared" si="21"/>
        <v>-0.75600000000000001</v>
      </c>
      <c r="D13">
        <f t="shared" si="21"/>
        <v>-1.5629999999999999</v>
      </c>
      <c r="E13">
        <f t="shared" si="21"/>
        <v>-2.6379999999999999</v>
      </c>
      <c r="F13">
        <f t="shared" si="21"/>
        <v>-4.0250000000000004</v>
      </c>
      <c r="H13" t="s">
        <v>128</v>
      </c>
      <c r="I13">
        <v>-0.71</v>
      </c>
      <c r="J13">
        <v>-1.659</v>
      </c>
      <c r="K13">
        <v>-3.0470000000000002</v>
      </c>
      <c r="L13">
        <v>-4.8730000000000002</v>
      </c>
      <c r="N13" t="str">
        <f>country!A29</f>
        <v>Botswana</v>
      </c>
      <c r="O13">
        <f>country!D29</f>
        <v>6152.7263733715708</v>
      </c>
      <c r="P13">
        <f>country!G29</f>
        <v>21.5</v>
      </c>
      <c r="S13" t="s">
        <v>825</v>
      </c>
      <c r="T13" t="s">
        <v>826</v>
      </c>
      <c r="U13" t="s">
        <v>827</v>
      </c>
      <c r="Y13">
        <v>-0.09</v>
      </c>
      <c r="Z13">
        <v>-0.42299999999999999</v>
      </c>
      <c r="AA13">
        <v>-0.77200000000000002</v>
      </c>
      <c r="AB13">
        <v>-1.877</v>
      </c>
      <c r="AC13">
        <v>-3.5619999999999998</v>
      </c>
      <c r="AE13" t="s">
        <v>584</v>
      </c>
    </row>
    <row r="14" spans="1:35" x14ac:dyDescent="0.35">
      <c r="A14" t="s">
        <v>121</v>
      </c>
      <c r="B14" t="str">
        <f>H$140</f>
        <v>Rest of the Caribbean</v>
      </c>
      <c r="C14">
        <f t="shared" ref="C14" si="22">I$140</f>
        <v>-1.8640000000000001</v>
      </c>
      <c r="D14">
        <f t="shared" ref="D14" si="23">J$140</f>
        <v>-4.5289999999999999</v>
      </c>
      <c r="E14">
        <f t="shared" ref="E14" si="24">K$140</f>
        <v>-8.2070000000000007</v>
      </c>
      <c r="F14">
        <f t="shared" ref="F14" si="25">L$140</f>
        <v>-12.605</v>
      </c>
      <c r="H14" t="s">
        <v>129</v>
      </c>
      <c r="I14">
        <v>-0.61499999999999999</v>
      </c>
      <c r="J14">
        <v>-1.91</v>
      </c>
      <c r="K14">
        <v>-3.843</v>
      </c>
      <c r="L14">
        <v>-6.8289999999999997</v>
      </c>
      <c r="N14" t="str">
        <f>country!A30</f>
        <v>Brazil</v>
      </c>
      <c r="O14">
        <f>country!D30</f>
        <v>5618.3246002281494</v>
      </c>
      <c r="P14">
        <f>country!G30</f>
        <v>24.9</v>
      </c>
      <c r="S14" t="s">
        <v>577</v>
      </c>
      <c r="Y14">
        <v>-0.02</v>
      </c>
      <c r="Z14">
        <v>-0.3</v>
      </c>
      <c r="AA14">
        <v>-0.60799999999999998</v>
      </c>
      <c r="AB14">
        <v>-1.645</v>
      </c>
      <c r="AC14">
        <v>-3.6320000000000001</v>
      </c>
      <c r="AE14" t="s">
        <v>572</v>
      </c>
    </row>
    <row r="15" spans="1:35" x14ac:dyDescent="0.35">
      <c r="A15" t="s">
        <v>352</v>
      </c>
      <c r="B15" t="str">
        <f t="shared" ref="B15:F16" si="26">H8</f>
        <v>Bahrain</v>
      </c>
      <c r="C15">
        <f t="shared" si="26"/>
        <v>-1.44</v>
      </c>
      <c r="D15">
        <f t="shared" si="26"/>
        <v>-3.1920000000000002</v>
      </c>
      <c r="E15">
        <f t="shared" si="26"/>
        <v>-5.1379999999999999</v>
      </c>
      <c r="F15">
        <f t="shared" si="26"/>
        <v>-7.3029999999999999</v>
      </c>
      <c r="H15" t="s">
        <v>657</v>
      </c>
      <c r="I15">
        <v>-1.202</v>
      </c>
      <c r="J15">
        <v>-3.1339999999999999</v>
      </c>
      <c r="K15">
        <v>-5.5629999999999997</v>
      </c>
      <c r="L15">
        <v>-8.173</v>
      </c>
      <c r="N15" t="str">
        <f>country!A31</f>
        <v>Brunei</v>
      </c>
      <c r="O15">
        <f>country!D31</f>
        <v>24589.277238754839</v>
      </c>
      <c r="P15">
        <f>country!G31</f>
        <v>26.9</v>
      </c>
      <c r="S15" t="s">
        <v>828</v>
      </c>
      <c r="Y15">
        <v>-8.0000000000000002E-3</v>
      </c>
      <c r="Z15">
        <v>-0.30299999999999999</v>
      </c>
      <c r="AA15">
        <v>-0.61599999999999999</v>
      </c>
      <c r="AB15">
        <v>-1.619</v>
      </c>
      <c r="AC15">
        <v>-3.1619999999999999</v>
      </c>
      <c r="AE15" t="s">
        <v>573</v>
      </c>
    </row>
    <row r="16" spans="1:35" x14ac:dyDescent="0.35">
      <c r="A16" t="s">
        <v>122</v>
      </c>
      <c r="B16" t="str">
        <f t="shared" si="26"/>
        <v>Bangladesh</v>
      </c>
      <c r="C16">
        <f t="shared" si="26"/>
        <v>-2.2850000000000001</v>
      </c>
      <c r="D16">
        <f t="shared" si="26"/>
        <v>-4.7549999999999999</v>
      </c>
      <c r="E16">
        <f t="shared" si="26"/>
        <v>-7.5910000000000002</v>
      </c>
      <c r="F16">
        <f t="shared" si="26"/>
        <v>-11.237</v>
      </c>
      <c r="H16" t="s">
        <v>216</v>
      </c>
      <c r="I16">
        <v>-0.09</v>
      </c>
      <c r="J16">
        <v>-0.29399999999999998</v>
      </c>
      <c r="K16">
        <v>-0.59</v>
      </c>
      <c r="L16">
        <v>-0.999</v>
      </c>
      <c r="N16" t="str">
        <f>country!A32</f>
        <v>Bulgaria</v>
      </c>
      <c r="O16">
        <f>country!D32</f>
        <v>4378.8790878779682</v>
      </c>
      <c r="P16">
        <f>country!G32</f>
        <v>10.5</v>
      </c>
      <c r="S16" t="s">
        <v>829</v>
      </c>
      <c r="Y16">
        <v>-3.0000000000000001E-3</v>
      </c>
      <c r="Z16">
        <v>-0.16200000000000001</v>
      </c>
      <c r="AA16">
        <v>-0.34499999999999997</v>
      </c>
      <c r="AB16">
        <v>-0.98499999999999999</v>
      </c>
      <c r="AC16">
        <v>-2.3650000000000002</v>
      </c>
      <c r="AE16" t="s">
        <v>574</v>
      </c>
    </row>
    <row r="17" spans="1:31" x14ac:dyDescent="0.35">
      <c r="A17" t="s">
        <v>123</v>
      </c>
      <c r="B17" t="str">
        <f>H$140</f>
        <v>Rest of the Caribbean</v>
      </c>
      <c r="C17">
        <f t="shared" ref="C17" si="27">I$140</f>
        <v>-1.8640000000000001</v>
      </c>
      <c r="D17">
        <f t="shared" ref="D17" si="28">J$140</f>
        <v>-4.5289999999999999</v>
      </c>
      <c r="E17">
        <f t="shared" ref="E17" si="29">K$140</f>
        <v>-8.2070000000000007</v>
      </c>
      <c r="F17">
        <f t="shared" ref="F17" si="30">L$140</f>
        <v>-12.605</v>
      </c>
      <c r="H17" t="s">
        <v>247</v>
      </c>
      <c r="I17">
        <v>-5.2290000000000001</v>
      </c>
      <c r="J17">
        <v>-10.894</v>
      </c>
      <c r="K17">
        <v>-17.058</v>
      </c>
      <c r="L17">
        <v>-23.585999999999999</v>
      </c>
      <c r="N17" t="str">
        <f>country!A33</f>
        <v>Burkina Faso</v>
      </c>
      <c r="O17">
        <f>country!D33</f>
        <v>457.22881322240346</v>
      </c>
      <c r="P17">
        <f>country!G33</f>
        <v>28.2</v>
      </c>
      <c r="S17" t="s">
        <v>808</v>
      </c>
      <c r="Y17">
        <v>6.0000000000000001E-3</v>
      </c>
      <c r="Z17">
        <v>-0.112</v>
      </c>
      <c r="AA17">
        <v>-0.253</v>
      </c>
      <c r="AB17">
        <v>-0.76300000000000001</v>
      </c>
      <c r="AC17">
        <v>-1.9870000000000001</v>
      </c>
      <c r="AE17" t="s">
        <v>585</v>
      </c>
    </row>
    <row r="18" spans="1:31" x14ac:dyDescent="0.35">
      <c r="A18" t="s">
        <v>214</v>
      </c>
      <c r="B18" t="str">
        <f t="shared" ref="B18:F19" si="31">H10</f>
        <v>Belarus</v>
      </c>
      <c r="C18">
        <f t="shared" si="31"/>
        <v>-0.17599999999999999</v>
      </c>
      <c r="D18">
        <f t="shared" si="31"/>
        <v>-0.214</v>
      </c>
      <c r="E18">
        <f t="shared" si="31"/>
        <v>-0.249</v>
      </c>
      <c r="F18">
        <f t="shared" si="31"/>
        <v>-0.61699999999999999</v>
      </c>
      <c r="H18" t="s">
        <v>359</v>
      </c>
      <c r="I18">
        <v>-3.5089999999999999</v>
      </c>
      <c r="J18">
        <v>-7.5720000000000001</v>
      </c>
      <c r="K18">
        <v>-12.101000000000001</v>
      </c>
      <c r="L18">
        <v>-17.183</v>
      </c>
      <c r="N18" t="str">
        <f>country!A36</f>
        <v>Cambodia</v>
      </c>
      <c r="O18">
        <f>country!D36</f>
        <v>605.16804679176505</v>
      </c>
      <c r="P18">
        <f>country!G36</f>
        <v>26.8</v>
      </c>
      <c r="S18" t="s">
        <v>782</v>
      </c>
      <c r="Y18">
        <v>1.7999999999999999E-2</v>
      </c>
      <c r="Z18">
        <v>-2.1000000000000001E-2</v>
      </c>
      <c r="AA18">
        <v>-7.9000000000000001E-2</v>
      </c>
      <c r="AB18">
        <v>-0.34699999999999998</v>
      </c>
      <c r="AC18">
        <v>-1.431</v>
      </c>
    </row>
    <row r="19" spans="1:31" x14ac:dyDescent="0.35">
      <c r="A19" t="s">
        <v>124</v>
      </c>
      <c r="B19" t="str">
        <f t="shared" si="31"/>
        <v>Belgium</v>
      </c>
      <c r="C19">
        <f t="shared" si="31"/>
        <v>-0.151</v>
      </c>
      <c r="D19">
        <f t="shared" si="31"/>
        <v>-0.33</v>
      </c>
      <c r="E19">
        <f t="shared" si="31"/>
        <v>-0.54</v>
      </c>
      <c r="F19">
        <f t="shared" si="31"/>
        <v>-0.78800000000000003</v>
      </c>
      <c r="H19" t="s">
        <v>130</v>
      </c>
      <c r="I19">
        <v>-2.2759999999999998</v>
      </c>
      <c r="J19">
        <v>-5.5279999999999996</v>
      </c>
      <c r="K19">
        <v>-9.3960000000000008</v>
      </c>
      <c r="L19">
        <v>-14.48</v>
      </c>
      <c r="N19" t="str">
        <f>country!A37</f>
        <v>Cameroon</v>
      </c>
      <c r="O19">
        <f>country!D37</f>
        <v>931.41534703166633</v>
      </c>
      <c r="P19">
        <f>country!G37</f>
        <v>24.6</v>
      </c>
      <c r="S19" t="s">
        <v>830</v>
      </c>
      <c r="T19" t="s">
        <v>769</v>
      </c>
      <c r="Y19">
        <v>-1.7999999999999999E-2</v>
      </c>
      <c r="Z19">
        <v>-0.20200000000000001</v>
      </c>
      <c r="AA19">
        <v>-0.41799999999999998</v>
      </c>
      <c r="AB19">
        <v>-1.2</v>
      </c>
      <c r="AC19">
        <v>-3.0609999999999999</v>
      </c>
    </row>
    <row r="20" spans="1:31" x14ac:dyDescent="0.35">
      <c r="A20" t="s">
        <v>353</v>
      </c>
      <c r="B20" t="str">
        <f>H$122</f>
        <v>Rest of Central America</v>
      </c>
      <c r="C20">
        <f t="shared" ref="C20:F20" si="32">I$122</f>
        <v>-1.675</v>
      </c>
      <c r="D20">
        <f t="shared" si="32"/>
        <v>-5.6029999999999998</v>
      </c>
      <c r="E20">
        <f t="shared" si="32"/>
        <v>-11.646000000000001</v>
      </c>
      <c r="F20">
        <f t="shared" si="32"/>
        <v>-18.231000000000002</v>
      </c>
      <c r="H20" t="s">
        <v>131</v>
      </c>
      <c r="I20">
        <v>-9.6000000000000002E-2</v>
      </c>
      <c r="J20">
        <v>-0.158</v>
      </c>
      <c r="K20">
        <v>-0.218</v>
      </c>
      <c r="L20">
        <v>-0.32100000000000001</v>
      </c>
      <c r="N20" t="str">
        <f>country!A38</f>
        <v>Canada</v>
      </c>
      <c r="O20">
        <f>country!D38</f>
        <v>36337.22567382102</v>
      </c>
      <c r="P20">
        <f>country!G38</f>
        <v>-5.4</v>
      </c>
      <c r="S20" t="s">
        <v>817</v>
      </c>
      <c r="T20" t="s">
        <v>831</v>
      </c>
      <c r="U20" t="s">
        <v>771</v>
      </c>
      <c r="Y20">
        <v>-2E-3</v>
      </c>
      <c r="Z20">
        <v>-0.26500000000000001</v>
      </c>
      <c r="AA20">
        <v>-0.53900000000000003</v>
      </c>
      <c r="AB20">
        <v>-1.421</v>
      </c>
      <c r="AC20">
        <v>-2.8929999999999998</v>
      </c>
    </row>
    <row r="21" spans="1:31" x14ac:dyDescent="0.35">
      <c r="A21" t="s">
        <v>125</v>
      </c>
      <c r="B21" t="str">
        <f>H$138</f>
        <v>Rest of Western Africa</v>
      </c>
      <c r="C21">
        <f t="shared" ref="C21" si="33">I$138</f>
        <v>-4.4320000000000004</v>
      </c>
      <c r="D21">
        <f t="shared" ref="D21" si="34">J$138</f>
        <v>-9.7690000000000001</v>
      </c>
      <c r="E21">
        <f t="shared" ref="E21" si="35">K$138</f>
        <v>-15.566000000000001</v>
      </c>
      <c r="F21">
        <f t="shared" ref="F21" si="36">L$138</f>
        <v>-21.937999999999999</v>
      </c>
      <c r="H21" t="s">
        <v>132</v>
      </c>
      <c r="I21">
        <v>-0.32300000000000001</v>
      </c>
      <c r="J21">
        <v>-0.70899999999999996</v>
      </c>
      <c r="K21">
        <v>-1.1579999999999999</v>
      </c>
      <c r="L21">
        <v>-1.6739999999999999</v>
      </c>
      <c r="N21" t="str">
        <f>country!A42</f>
        <v>Chile</v>
      </c>
      <c r="O21">
        <f>country!D42</f>
        <v>8610.0220425441075</v>
      </c>
      <c r="P21">
        <f>country!G42</f>
        <v>8.5</v>
      </c>
      <c r="S21" t="s">
        <v>832</v>
      </c>
      <c r="T21" t="s">
        <v>771</v>
      </c>
      <c r="U21" t="s">
        <v>769</v>
      </c>
      <c r="Y21">
        <v>2E-3</v>
      </c>
      <c r="Z21">
        <v>-0.20399999999999999</v>
      </c>
      <c r="AA21">
        <v>-0.42199999999999999</v>
      </c>
      <c r="AB21">
        <v>-1.1299999999999999</v>
      </c>
      <c r="AC21">
        <v>-2.3839999999999999</v>
      </c>
    </row>
    <row r="22" spans="1:31" x14ac:dyDescent="0.35">
      <c r="A22" t="s">
        <v>354</v>
      </c>
      <c r="B22" t="str">
        <f>H$130</f>
        <v>Rest of North America</v>
      </c>
      <c r="C22">
        <f t="shared" ref="C22" si="37">I$130</f>
        <v>-0.23100000000000001</v>
      </c>
      <c r="D22">
        <f t="shared" ref="D22" si="38">J$130</f>
        <v>-0.53900000000000003</v>
      </c>
      <c r="E22">
        <f t="shared" ref="E22" si="39">K$130</f>
        <v>-0.90200000000000002</v>
      </c>
      <c r="F22">
        <f t="shared" ref="F22" si="40">L$130</f>
        <v>-1.292</v>
      </c>
      <c r="H22" t="s">
        <v>65</v>
      </c>
      <c r="I22">
        <v>-0.755</v>
      </c>
      <c r="J22">
        <v>-1.694</v>
      </c>
      <c r="K22">
        <v>-2.9180000000000001</v>
      </c>
      <c r="L22">
        <v>-4.5970000000000004</v>
      </c>
      <c r="N22" t="str">
        <f>country!A43</f>
        <v>China</v>
      </c>
      <c r="O22">
        <f>country!D43</f>
        <v>2870.0529334764196</v>
      </c>
      <c r="P22">
        <f>country!G43</f>
        <v>6.9</v>
      </c>
      <c r="S22" t="s">
        <v>833</v>
      </c>
      <c r="T22" t="s">
        <v>834</v>
      </c>
      <c r="U22" t="s">
        <v>774</v>
      </c>
      <c r="V22" t="s">
        <v>835</v>
      </c>
      <c r="Y22">
        <v>-6.0000000000000001E-3</v>
      </c>
      <c r="Z22">
        <v>-0.38400000000000001</v>
      </c>
      <c r="AA22">
        <v>-0.78300000000000003</v>
      </c>
      <c r="AB22">
        <v>-2.052</v>
      </c>
      <c r="AC22">
        <v>-3.98</v>
      </c>
    </row>
    <row r="23" spans="1:31" x14ac:dyDescent="0.35">
      <c r="A23" t="s">
        <v>355</v>
      </c>
      <c r="B23" t="str">
        <f>H$134</f>
        <v>Rest of South Asia</v>
      </c>
      <c r="C23">
        <f t="shared" ref="C23" si="41">I$134</f>
        <v>-2.778</v>
      </c>
      <c r="D23">
        <f t="shared" ref="D23" si="42">J$134</f>
        <v>-6.0019999999999998</v>
      </c>
      <c r="E23">
        <f t="shared" ref="E23" si="43">K$134</f>
        <v>-9.6059999999999999</v>
      </c>
      <c r="F23">
        <f t="shared" ref="F23" si="44">L$134</f>
        <v>-13.88</v>
      </c>
      <c r="H23" t="s">
        <v>133</v>
      </c>
      <c r="I23">
        <v>-1.1040000000000001</v>
      </c>
      <c r="J23">
        <v>-2.714</v>
      </c>
      <c r="K23">
        <v>-5.532</v>
      </c>
      <c r="L23">
        <v>-9.3249999999999993</v>
      </c>
      <c r="N23" t="str">
        <f>country!A44</f>
        <v>Colombia</v>
      </c>
      <c r="O23">
        <f>country!D44</f>
        <v>3937.8672013546661</v>
      </c>
      <c r="P23">
        <f>country!G44</f>
        <v>24.5</v>
      </c>
      <c r="S23" t="s">
        <v>836</v>
      </c>
      <c r="T23" t="s">
        <v>771</v>
      </c>
      <c r="Y23">
        <v>-2E-3</v>
      </c>
      <c r="Z23">
        <v>-0.17</v>
      </c>
      <c r="AA23">
        <v>-0.34799999999999998</v>
      </c>
      <c r="AB23">
        <v>-0.94499999999999995</v>
      </c>
      <c r="AC23">
        <v>-2.141</v>
      </c>
    </row>
    <row r="24" spans="1:31" x14ac:dyDescent="0.35">
      <c r="A24" t="s">
        <v>126</v>
      </c>
      <c r="B24" t="str">
        <f>H12</f>
        <v>Bolivia</v>
      </c>
      <c r="C24">
        <f>I12</f>
        <v>-0.65</v>
      </c>
      <c r="D24">
        <f>J12</f>
        <v>-1.4419999999999999</v>
      </c>
      <c r="E24">
        <f>K12</f>
        <v>-2.3319999999999999</v>
      </c>
      <c r="F24">
        <f>L12</f>
        <v>-3.3559999999999999</v>
      </c>
      <c r="H24" t="s">
        <v>135</v>
      </c>
      <c r="I24">
        <v>-1.407</v>
      </c>
      <c r="J24">
        <v>-4.0469999999999997</v>
      </c>
      <c r="K24">
        <v>-7.8710000000000004</v>
      </c>
      <c r="L24">
        <v>-12.928000000000001</v>
      </c>
      <c r="N24" t="str">
        <f>country!A48</f>
        <v>Costa Rica</v>
      </c>
      <c r="O24">
        <f>country!D48</f>
        <v>5357.4903708933716</v>
      </c>
      <c r="P24">
        <f>country!G48</f>
        <v>24.8</v>
      </c>
      <c r="S24" t="s">
        <v>837</v>
      </c>
      <c r="T24" t="s">
        <v>521</v>
      </c>
      <c r="Y24">
        <v>-2.9000000000000001E-2</v>
      </c>
      <c r="Z24">
        <v>-0.46800000000000003</v>
      </c>
      <c r="AA24">
        <v>-0.92600000000000005</v>
      </c>
      <c r="AB24">
        <v>-2.363</v>
      </c>
      <c r="AC24">
        <v>-4.3630000000000004</v>
      </c>
    </row>
    <row r="25" spans="1:31" x14ac:dyDescent="0.35">
      <c r="A25" t="s">
        <v>246</v>
      </c>
      <c r="B25" t="str">
        <f>H$127</f>
        <v>Rest of Europe</v>
      </c>
      <c r="C25">
        <f t="shared" ref="C25" si="45">I$127</f>
        <v>-8.8999999999999996E-2</v>
      </c>
      <c r="D25">
        <f t="shared" ref="D25" si="46">J$127</f>
        <v>-0.15</v>
      </c>
      <c r="E25">
        <f t="shared" ref="E25" si="47">K$127</f>
        <v>-0.20499999999999999</v>
      </c>
      <c r="F25">
        <f t="shared" ref="F25" si="48">L$127</f>
        <v>-0.318</v>
      </c>
      <c r="H25" t="s">
        <v>208</v>
      </c>
      <c r="I25">
        <v>-4.71</v>
      </c>
      <c r="J25">
        <v>-10.742000000000001</v>
      </c>
      <c r="K25">
        <v>-17.527999999999999</v>
      </c>
      <c r="L25">
        <v>-25.251999999999999</v>
      </c>
      <c r="N25" t="str">
        <f>country!A35</f>
        <v>CÃ´te d'Ivoire</v>
      </c>
      <c r="O25">
        <f>country!D35</f>
        <v>957.65895361709386</v>
      </c>
      <c r="P25">
        <f>country!G35</f>
        <v>26.3</v>
      </c>
      <c r="S25" t="s">
        <v>810</v>
      </c>
      <c r="Y25">
        <v>-1.6E-2</v>
      </c>
      <c r="Z25">
        <v>-0.32400000000000001</v>
      </c>
      <c r="AA25">
        <v>-0.64900000000000002</v>
      </c>
      <c r="AB25">
        <v>-1.6930000000000001</v>
      </c>
      <c r="AC25">
        <v>-3.3809999999999998</v>
      </c>
    </row>
    <row r="26" spans="1:31" x14ac:dyDescent="0.35">
      <c r="A26" t="s">
        <v>128</v>
      </c>
      <c r="B26" t="str">
        <f t="shared" ref="B26:F30" si="49">H13</f>
        <v>Botswana</v>
      </c>
      <c r="C26">
        <f t="shared" si="49"/>
        <v>-0.71</v>
      </c>
      <c r="D26">
        <f t="shared" si="49"/>
        <v>-1.659</v>
      </c>
      <c r="E26">
        <f t="shared" si="49"/>
        <v>-3.0470000000000002</v>
      </c>
      <c r="F26">
        <f t="shared" si="49"/>
        <v>-4.8730000000000002</v>
      </c>
      <c r="H26" t="s">
        <v>217</v>
      </c>
      <c r="I26">
        <v>-8.3000000000000004E-2</v>
      </c>
      <c r="J26">
        <v>-0.216</v>
      </c>
      <c r="K26">
        <v>-0.45400000000000001</v>
      </c>
      <c r="L26">
        <v>-0.94599999999999995</v>
      </c>
      <c r="N26" t="str">
        <f>country!A49</f>
        <v>Croatia</v>
      </c>
      <c r="O26">
        <f>country!D49</f>
        <v>10383.506161918598</v>
      </c>
      <c r="P26">
        <f>country!G49</f>
        <v>10.9</v>
      </c>
      <c r="S26" t="s">
        <v>838</v>
      </c>
      <c r="T26" t="s">
        <v>771</v>
      </c>
      <c r="U26" t="s">
        <v>769</v>
      </c>
      <c r="Y26">
        <v>-1E-3</v>
      </c>
      <c r="Z26">
        <v>-0.20100000000000001</v>
      </c>
      <c r="AA26">
        <v>-0.41399999999999998</v>
      </c>
      <c r="AB26">
        <v>-1.113</v>
      </c>
      <c r="AC26">
        <v>-2.3690000000000002</v>
      </c>
    </row>
    <row r="27" spans="1:31" x14ac:dyDescent="0.35">
      <c r="A27" t="s">
        <v>129</v>
      </c>
      <c r="B27" t="str">
        <f t="shared" si="49"/>
        <v>Brazil</v>
      </c>
      <c r="C27">
        <f t="shared" si="49"/>
        <v>-0.61499999999999999</v>
      </c>
      <c r="D27">
        <f t="shared" si="49"/>
        <v>-1.91</v>
      </c>
      <c r="E27">
        <f t="shared" si="49"/>
        <v>-3.843</v>
      </c>
      <c r="F27">
        <f t="shared" si="49"/>
        <v>-6.8289999999999997</v>
      </c>
      <c r="H27" t="s">
        <v>248</v>
      </c>
      <c r="I27">
        <v>-0.19400000000000001</v>
      </c>
      <c r="J27">
        <v>-0.46200000000000002</v>
      </c>
      <c r="K27">
        <v>-0.81599999999999995</v>
      </c>
      <c r="L27">
        <v>-1.4810000000000001</v>
      </c>
      <c r="N27" t="str">
        <f>country!A51</f>
        <v>Cyprus</v>
      </c>
      <c r="O27">
        <f>country!D51</f>
        <v>17402.698674388368</v>
      </c>
      <c r="P27">
        <f>country!G51</f>
        <v>18.399999999999999</v>
      </c>
      <c r="S27" t="s">
        <v>839</v>
      </c>
      <c r="T27" t="s">
        <v>774</v>
      </c>
      <c r="U27" t="s">
        <v>840</v>
      </c>
      <c r="V27" t="s">
        <v>771</v>
      </c>
      <c r="Y27">
        <v>-3.0000000000000001E-3</v>
      </c>
      <c r="Z27">
        <v>-0.158</v>
      </c>
      <c r="AA27">
        <v>-0.32700000000000001</v>
      </c>
      <c r="AB27">
        <v>-0.9</v>
      </c>
      <c r="AC27">
        <v>-2.073</v>
      </c>
    </row>
    <row r="28" spans="1:31" x14ac:dyDescent="0.35">
      <c r="A28" t="s">
        <v>356</v>
      </c>
      <c r="B28" t="str">
        <f t="shared" si="49"/>
        <v>Brunei Darussalam</v>
      </c>
      <c r="C28">
        <f t="shared" si="49"/>
        <v>-1.202</v>
      </c>
      <c r="D28">
        <f t="shared" si="49"/>
        <v>-3.1339999999999999</v>
      </c>
      <c r="E28">
        <f t="shared" si="49"/>
        <v>-5.5629999999999997</v>
      </c>
      <c r="F28">
        <f t="shared" si="49"/>
        <v>-8.173</v>
      </c>
      <c r="H28" t="s">
        <v>249</v>
      </c>
      <c r="I28">
        <v>-0.16900000000000001</v>
      </c>
      <c r="J28">
        <v>-0.35199999999999998</v>
      </c>
      <c r="K28">
        <v>-0.56699999999999995</v>
      </c>
      <c r="L28">
        <v>-0.84199999999999997</v>
      </c>
      <c r="N28" t="str">
        <f>country!A52</f>
        <v>Czech Republic</v>
      </c>
      <c r="O28">
        <f>country!D52</f>
        <v>14114.421997373165</v>
      </c>
      <c r="P28">
        <f>country!G52</f>
        <v>7.5</v>
      </c>
      <c r="S28" t="s">
        <v>841</v>
      </c>
      <c r="Y28">
        <v>3.0000000000000001E-3</v>
      </c>
      <c r="Z28">
        <v>-0.188</v>
      </c>
      <c r="AA28">
        <v>-0.39800000000000002</v>
      </c>
      <c r="AB28">
        <v>-1.107</v>
      </c>
      <c r="AC28">
        <v>-2.5009999999999999</v>
      </c>
    </row>
    <row r="29" spans="1:31" x14ac:dyDescent="0.35">
      <c r="A29" t="s">
        <v>216</v>
      </c>
      <c r="B29" t="str">
        <f t="shared" si="49"/>
        <v>Bulgaria</v>
      </c>
      <c r="C29">
        <f t="shared" si="49"/>
        <v>-0.09</v>
      </c>
      <c r="D29">
        <f t="shared" si="49"/>
        <v>-0.29399999999999998</v>
      </c>
      <c r="E29">
        <f t="shared" si="49"/>
        <v>-0.59</v>
      </c>
      <c r="F29">
        <f t="shared" si="49"/>
        <v>-0.999</v>
      </c>
      <c r="H29" t="s">
        <v>136</v>
      </c>
      <c r="I29">
        <v>-0.127</v>
      </c>
      <c r="J29">
        <v>-0.252</v>
      </c>
      <c r="K29">
        <v>-0.39300000000000002</v>
      </c>
      <c r="L29">
        <v>-0.57299999999999995</v>
      </c>
      <c r="N29" t="str">
        <f>country!A53</f>
        <v>Denmark</v>
      </c>
      <c r="O29">
        <f>country!D53</f>
        <v>46292.736560813282</v>
      </c>
      <c r="P29">
        <f>country!G53</f>
        <v>7.5</v>
      </c>
      <c r="S29" t="s">
        <v>842</v>
      </c>
      <c r="T29" t="s">
        <v>843</v>
      </c>
      <c r="Y29">
        <v>6.0000000000000001E-3</v>
      </c>
      <c r="Z29">
        <v>-0.13100000000000001</v>
      </c>
      <c r="AA29">
        <v>-0.28199999999999997</v>
      </c>
      <c r="AB29">
        <v>-0.80400000000000005</v>
      </c>
      <c r="AC29">
        <v>-1.9419999999999999</v>
      </c>
    </row>
    <row r="30" spans="1:31" x14ac:dyDescent="0.35">
      <c r="A30" t="s">
        <v>247</v>
      </c>
      <c r="B30" t="str">
        <f t="shared" si="49"/>
        <v>Burkina Faso</v>
      </c>
      <c r="C30">
        <f t="shared" si="49"/>
        <v>-5.2290000000000001</v>
      </c>
      <c r="D30">
        <f t="shared" si="49"/>
        <v>-10.894</v>
      </c>
      <c r="E30">
        <f t="shared" si="49"/>
        <v>-17.058</v>
      </c>
      <c r="F30">
        <f t="shared" si="49"/>
        <v>-23.585999999999999</v>
      </c>
      <c r="H30" t="s">
        <v>220</v>
      </c>
      <c r="I30">
        <v>-1.85</v>
      </c>
      <c r="J30">
        <v>-4.4059999999999997</v>
      </c>
      <c r="K30">
        <v>-7.9340000000000002</v>
      </c>
      <c r="L30">
        <v>-12.170999999999999</v>
      </c>
      <c r="N30" t="str">
        <f>country!A54</f>
        <v>Djibouti</v>
      </c>
      <c r="O30">
        <f>country!D54</f>
        <v>1085.8813944409201</v>
      </c>
      <c r="P30">
        <f>country!G54</f>
        <v>28</v>
      </c>
      <c r="S30" t="s">
        <v>844</v>
      </c>
      <c r="T30" t="s">
        <v>771</v>
      </c>
      <c r="Y30">
        <v>-2E-3</v>
      </c>
      <c r="Z30">
        <v>-0.16700000000000001</v>
      </c>
      <c r="AA30">
        <v>-0.34599999999999997</v>
      </c>
      <c r="AB30">
        <v>-0.95</v>
      </c>
      <c r="AC30">
        <v>-2.1760000000000002</v>
      </c>
    </row>
    <row r="31" spans="1:31" x14ac:dyDescent="0.35">
      <c r="A31" t="s">
        <v>357</v>
      </c>
      <c r="B31" t="str">
        <f>H$124</f>
        <v>Rest of Eastern Africa</v>
      </c>
      <c r="C31">
        <f>I$124</f>
        <v>-2.1120000000000001</v>
      </c>
      <c r="D31">
        <f>J$124</f>
        <v>-4.75</v>
      </c>
      <c r="E31">
        <f>K$124</f>
        <v>-8.0990000000000002</v>
      </c>
      <c r="F31">
        <f>L$124</f>
        <v>-11.862</v>
      </c>
      <c r="H31" t="s">
        <v>138</v>
      </c>
      <c r="I31">
        <v>-0.74099999999999999</v>
      </c>
      <c r="J31">
        <v>-1.627</v>
      </c>
      <c r="K31">
        <v>-2.5990000000000002</v>
      </c>
      <c r="L31">
        <v>-3.8010000000000002</v>
      </c>
      <c r="N31" t="str">
        <f>country!A56</f>
        <v>Dominican Republic</v>
      </c>
      <c r="O31">
        <f>country!D56</f>
        <v>4776.8421015330105</v>
      </c>
      <c r="P31">
        <f>country!G56</f>
        <v>24.5</v>
      </c>
      <c r="S31" t="s">
        <v>845</v>
      </c>
      <c r="T31" t="s">
        <v>771</v>
      </c>
      <c r="Y31">
        <v>1.2999999999999999E-2</v>
      </c>
      <c r="Z31">
        <v>-6.3E-2</v>
      </c>
      <c r="AA31">
        <v>-0.161</v>
      </c>
      <c r="AB31">
        <v>-0.56299999999999994</v>
      </c>
      <c r="AC31">
        <v>-1.907</v>
      </c>
    </row>
    <row r="32" spans="1:31" x14ac:dyDescent="0.35">
      <c r="A32" t="s">
        <v>358</v>
      </c>
      <c r="B32" t="str">
        <f>H25</f>
        <v>Cote d'Ivoire</v>
      </c>
      <c r="C32">
        <f>I25</f>
        <v>-4.71</v>
      </c>
      <c r="D32">
        <f>J25</f>
        <v>-10.742000000000001</v>
      </c>
      <c r="E32">
        <f>K25</f>
        <v>-17.527999999999999</v>
      </c>
      <c r="F32">
        <f>L25</f>
        <v>-25.251999999999999</v>
      </c>
      <c r="H32" t="s">
        <v>139</v>
      </c>
      <c r="I32">
        <v>-1.083</v>
      </c>
      <c r="J32">
        <v>-2.3769999999999998</v>
      </c>
      <c r="K32">
        <v>-4</v>
      </c>
      <c r="L32">
        <v>-6.1429999999999998</v>
      </c>
      <c r="N32" t="str">
        <f>country!A57</f>
        <v>Ecuador</v>
      </c>
      <c r="O32">
        <f>country!D57</f>
        <v>3250.7458870185928</v>
      </c>
      <c r="P32">
        <f>country!G57</f>
        <v>21.8</v>
      </c>
      <c r="S32" t="s">
        <v>846</v>
      </c>
      <c r="T32" t="s">
        <v>847</v>
      </c>
      <c r="U32" t="s">
        <v>848</v>
      </c>
      <c r="Y32">
        <v>-3.0000000000000001E-3</v>
      </c>
      <c r="Z32">
        <v>-0.104</v>
      </c>
      <c r="AA32">
        <v>-0.221</v>
      </c>
      <c r="AB32">
        <v>-0.65</v>
      </c>
      <c r="AC32">
        <v>-1.7669999999999999</v>
      </c>
    </row>
    <row r="33" spans="1:29" x14ac:dyDescent="0.35">
      <c r="A33" t="s">
        <v>359</v>
      </c>
      <c r="B33" t="str">
        <f t="shared" ref="B33:F35" si="50">H18</f>
        <v>Cambodia</v>
      </c>
      <c r="C33">
        <f t="shared" si="50"/>
        <v>-3.5089999999999999</v>
      </c>
      <c r="D33">
        <f t="shared" si="50"/>
        <v>-7.5720000000000001</v>
      </c>
      <c r="E33">
        <f t="shared" si="50"/>
        <v>-12.101000000000001</v>
      </c>
      <c r="F33">
        <f t="shared" si="50"/>
        <v>-17.183</v>
      </c>
      <c r="H33" t="s">
        <v>140</v>
      </c>
      <c r="I33">
        <v>-0.98599999999999999</v>
      </c>
      <c r="J33">
        <v>-2.4980000000000002</v>
      </c>
      <c r="K33">
        <v>-4.9569999999999999</v>
      </c>
      <c r="L33">
        <v>-8.4380000000000006</v>
      </c>
      <c r="N33" t="str">
        <f>country!A58</f>
        <v>Egypt</v>
      </c>
      <c r="O33">
        <f>country!D58</f>
        <v>1550.2405578416574</v>
      </c>
      <c r="P33">
        <f>country!G58</f>
        <v>22.1</v>
      </c>
      <c r="S33" t="s">
        <v>849</v>
      </c>
      <c r="T33" t="s">
        <v>850</v>
      </c>
      <c r="U33" t="s">
        <v>771</v>
      </c>
      <c r="Y33">
        <v>3.0000000000000001E-3</v>
      </c>
      <c r="Z33">
        <v>-0.105</v>
      </c>
      <c r="AA33">
        <v>-0.23300000000000001</v>
      </c>
      <c r="AB33">
        <v>-0.70299999999999996</v>
      </c>
      <c r="AC33">
        <v>-1.8759999999999999</v>
      </c>
    </row>
    <row r="34" spans="1:29" x14ac:dyDescent="0.35">
      <c r="A34" t="s">
        <v>130</v>
      </c>
      <c r="B34" t="str">
        <f t="shared" si="50"/>
        <v>Cameroon</v>
      </c>
      <c r="C34">
        <f t="shared" si="50"/>
        <v>-2.2759999999999998</v>
      </c>
      <c r="D34">
        <f t="shared" si="50"/>
        <v>-5.5279999999999996</v>
      </c>
      <c r="E34">
        <f t="shared" si="50"/>
        <v>-9.3960000000000008</v>
      </c>
      <c r="F34">
        <f t="shared" si="50"/>
        <v>-14.48</v>
      </c>
      <c r="H34" t="s">
        <v>221</v>
      </c>
      <c r="I34">
        <v>-0.23</v>
      </c>
      <c r="J34">
        <v>-0.47599999999999998</v>
      </c>
      <c r="K34">
        <v>-0.75</v>
      </c>
      <c r="L34">
        <v>-1.087</v>
      </c>
      <c r="N34" t="str">
        <f>country!A59</f>
        <v>El Salvador</v>
      </c>
      <c r="O34">
        <f>country!D59</f>
        <v>2949.613728722712</v>
      </c>
      <c r="P34">
        <f>country!G59</f>
        <v>24.4</v>
      </c>
      <c r="S34" t="s">
        <v>851</v>
      </c>
      <c r="T34" t="s">
        <v>852</v>
      </c>
      <c r="U34" t="s">
        <v>853</v>
      </c>
      <c r="V34" t="s">
        <v>771</v>
      </c>
      <c r="Y34">
        <v>-2E-3</v>
      </c>
      <c r="Z34">
        <v>-0.14699999999999999</v>
      </c>
      <c r="AA34">
        <v>-0.315</v>
      </c>
      <c r="AB34">
        <v>-0.91400000000000003</v>
      </c>
      <c r="AC34">
        <v>-2.3260000000000001</v>
      </c>
    </row>
    <row r="35" spans="1:29" x14ac:dyDescent="0.35">
      <c r="A35" t="s">
        <v>131</v>
      </c>
      <c r="B35" t="str">
        <f t="shared" si="50"/>
        <v>Canada</v>
      </c>
      <c r="C35">
        <f t="shared" si="50"/>
        <v>-9.6000000000000002E-2</v>
      </c>
      <c r="D35">
        <f t="shared" si="50"/>
        <v>-0.158</v>
      </c>
      <c r="E35">
        <f t="shared" si="50"/>
        <v>-0.218</v>
      </c>
      <c r="F35">
        <f t="shared" si="50"/>
        <v>-0.32100000000000001</v>
      </c>
      <c r="H35" t="s">
        <v>141</v>
      </c>
      <c r="I35">
        <v>-1.8620000000000001</v>
      </c>
      <c r="J35">
        <v>-4.2380000000000004</v>
      </c>
      <c r="K35">
        <v>-6.7039999999999997</v>
      </c>
      <c r="L35">
        <v>-9.4160000000000004</v>
      </c>
      <c r="N35" t="str">
        <f>country!A63</f>
        <v>Ethiopia</v>
      </c>
      <c r="O35">
        <f>country!D63</f>
        <v>234.25889686975188</v>
      </c>
      <c r="P35">
        <f>country!G63</f>
        <v>22.2</v>
      </c>
      <c r="S35" t="s">
        <v>854</v>
      </c>
      <c r="T35" t="s">
        <v>771</v>
      </c>
      <c r="U35" t="s">
        <v>769</v>
      </c>
      <c r="Y35">
        <v>-0.02</v>
      </c>
      <c r="Z35">
        <v>-0.17599999999999999</v>
      </c>
      <c r="AA35">
        <v>-0.36</v>
      </c>
      <c r="AB35">
        <v>-1.0529999999999999</v>
      </c>
      <c r="AC35">
        <v>-2.9209999999999998</v>
      </c>
    </row>
    <row r="36" spans="1:29" x14ac:dyDescent="0.35">
      <c r="A36" t="s">
        <v>360</v>
      </c>
      <c r="B36" t="str">
        <f>H$138</f>
        <v>Rest of Western Africa</v>
      </c>
      <c r="C36">
        <f t="shared" ref="C36" si="51">I$138</f>
        <v>-4.4320000000000004</v>
      </c>
      <c r="D36">
        <f t="shared" ref="D36" si="52">J$138</f>
        <v>-9.7690000000000001</v>
      </c>
      <c r="E36">
        <f t="shared" ref="E36" si="53">K$138</f>
        <v>-15.566000000000001</v>
      </c>
      <c r="F36">
        <f t="shared" ref="F36" si="54">L$138</f>
        <v>-21.937999999999999</v>
      </c>
      <c r="H36" t="s">
        <v>142</v>
      </c>
      <c r="I36">
        <v>-6.7000000000000004E-2</v>
      </c>
      <c r="J36">
        <v>-0.153</v>
      </c>
      <c r="K36">
        <v>-0.254</v>
      </c>
      <c r="L36">
        <v>-0.38300000000000001</v>
      </c>
      <c r="N36" t="str">
        <f>country!A66</f>
        <v>Finland</v>
      </c>
      <c r="O36">
        <f>country!D66</f>
        <v>38064.653322818347</v>
      </c>
      <c r="P36">
        <f>country!G66</f>
        <v>1.7</v>
      </c>
      <c r="S36" t="s">
        <v>855</v>
      </c>
      <c r="T36" t="s">
        <v>856</v>
      </c>
      <c r="Y36">
        <v>-2.4E-2</v>
      </c>
      <c r="Z36">
        <v>-0.20100000000000001</v>
      </c>
      <c r="AA36">
        <v>-0.40899999999999997</v>
      </c>
      <c r="AB36">
        <v>-1.1739999999999999</v>
      </c>
      <c r="AC36">
        <v>-3.1120000000000001</v>
      </c>
    </row>
    <row r="37" spans="1:29" x14ac:dyDescent="0.35">
      <c r="A37" t="s">
        <v>361</v>
      </c>
      <c r="B37" t="str">
        <f>H$121</f>
        <v>Rest of Central Africa</v>
      </c>
      <c r="C37">
        <f t="shared" ref="C37:C38" si="55">I$121</f>
        <v>-1.0129999999999999</v>
      </c>
      <c r="D37">
        <f t="shared" ref="D37:D38" si="56">J$121</f>
        <v>-2.4300000000000002</v>
      </c>
      <c r="E37">
        <f t="shared" ref="E37:E38" si="57">K$121</f>
        <v>-4.9770000000000003</v>
      </c>
      <c r="F37">
        <f t="shared" ref="F37:F38" si="58">L$121</f>
        <v>-8.3620000000000001</v>
      </c>
      <c r="H37" t="s">
        <v>143</v>
      </c>
      <c r="I37">
        <v>-0.13900000000000001</v>
      </c>
      <c r="J37">
        <v>-0.28499999999999998</v>
      </c>
      <c r="K37">
        <v>-0.45500000000000002</v>
      </c>
      <c r="L37">
        <v>-0.66200000000000003</v>
      </c>
      <c r="N37" t="str">
        <f>country!A67</f>
        <v>France</v>
      </c>
      <c r="O37">
        <f>country!D67</f>
        <v>33898.26965325878</v>
      </c>
      <c r="P37">
        <f>country!G67</f>
        <v>10.7</v>
      </c>
      <c r="S37" t="s">
        <v>768</v>
      </c>
      <c r="T37" t="s">
        <v>769</v>
      </c>
      <c r="Y37">
        <v>-2.8000000000000001E-2</v>
      </c>
      <c r="Z37">
        <v>-0.224</v>
      </c>
      <c r="AA37">
        <v>-0.44900000000000001</v>
      </c>
      <c r="AB37">
        <v>-1.252</v>
      </c>
      <c r="AC37">
        <v>-3.0840000000000001</v>
      </c>
    </row>
    <row r="38" spans="1:29" x14ac:dyDescent="0.35">
      <c r="A38" t="s">
        <v>362</v>
      </c>
      <c r="B38" t="str">
        <f>H$121</f>
        <v>Rest of Central Africa</v>
      </c>
      <c r="C38">
        <f t="shared" si="55"/>
        <v>-1.0129999999999999</v>
      </c>
      <c r="D38">
        <f t="shared" si="56"/>
        <v>-2.4300000000000002</v>
      </c>
      <c r="E38">
        <f t="shared" si="57"/>
        <v>-4.9770000000000003</v>
      </c>
      <c r="F38">
        <f t="shared" si="58"/>
        <v>-8.3620000000000001</v>
      </c>
      <c r="H38" t="s">
        <v>222</v>
      </c>
      <c r="I38">
        <v>-0.39300000000000002</v>
      </c>
      <c r="J38">
        <v>-0.68</v>
      </c>
      <c r="K38">
        <v>-1.0349999999999999</v>
      </c>
      <c r="L38">
        <v>-1.7689999999999999</v>
      </c>
      <c r="N38" t="str">
        <f>country!A70</f>
        <v>Georgia</v>
      </c>
      <c r="O38">
        <f>country!D70</f>
        <v>1850.8208503929698</v>
      </c>
      <c r="P38">
        <f>country!G70</f>
        <v>5.8</v>
      </c>
      <c r="S38" t="s">
        <v>770</v>
      </c>
      <c r="T38" t="s">
        <v>771</v>
      </c>
      <c r="Y38">
        <v>-2.8000000000000001E-2</v>
      </c>
      <c r="Z38">
        <v>-0.16200000000000001</v>
      </c>
      <c r="AA38">
        <v>-0.31900000000000001</v>
      </c>
      <c r="AB38">
        <v>-0.90900000000000003</v>
      </c>
      <c r="AC38">
        <v>-2.5150000000000001</v>
      </c>
    </row>
    <row r="39" spans="1:29" x14ac:dyDescent="0.35">
      <c r="A39" t="s">
        <v>132</v>
      </c>
      <c r="B39" t="str">
        <f t="shared" ref="B39:F41" si="59">H21</f>
        <v>Chile</v>
      </c>
      <c r="C39">
        <f t="shared" si="59"/>
        <v>-0.32300000000000001</v>
      </c>
      <c r="D39">
        <f t="shared" si="59"/>
        <v>-0.70899999999999996</v>
      </c>
      <c r="E39">
        <f t="shared" si="59"/>
        <v>-1.1579999999999999</v>
      </c>
      <c r="F39">
        <f t="shared" si="59"/>
        <v>-1.6739999999999999</v>
      </c>
      <c r="H39" t="s">
        <v>144</v>
      </c>
      <c r="I39">
        <v>-0.11799999999999999</v>
      </c>
      <c r="J39">
        <v>-0.254</v>
      </c>
      <c r="K39">
        <v>-0.41499999999999998</v>
      </c>
      <c r="L39">
        <v>-0.60799999999999998</v>
      </c>
      <c r="N39" t="str">
        <f>country!A71</f>
        <v>Germany</v>
      </c>
      <c r="O39">
        <f>country!D71</f>
        <v>36127.047700224583</v>
      </c>
      <c r="P39">
        <f>country!G71</f>
        <v>8.4</v>
      </c>
      <c r="S39" t="s">
        <v>772</v>
      </c>
      <c r="T39" t="s">
        <v>773</v>
      </c>
      <c r="U39" t="s">
        <v>774</v>
      </c>
      <c r="V39" t="s">
        <v>775</v>
      </c>
      <c r="Y39">
        <v>1.2999999999999999E-2</v>
      </c>
      <c r="Z39">
        <v>-9.6000000000000002E-2</v>
      </c>
      <c r="AA39">
        <v>-0.23</v>
      </c>
      <c r="AB39">
        <v>-0.745</v>
      </c>
      <c r="AC39">
        <v>-2.2360000000000002</v>
      </c>
    </row>
    <row r="40" spans="1:29" x14ac:dyDescent="0.35">
      <c r="A40" t="s">
        <v>65</v>
      </c>
      <c r="B40" t="str">
        <f t="shared" si="59"/>
        <v>China</v>
      </c>
      <c r="C40">
        <f t="shared" si="59"/>
        <v>-0.755</v>
      </c>
      <c r="D40">
        <f t="shared" si="59"/>
        <v>-1.694</v>
      </c>
      <c r="E40">
        <f t="shared" si="59"/>
        <v>-2.9180000000000001</v>
      </c>
      <c r="F40">
        <f t="shared" si="59"/>
        <v>-4.5970000000000004</v>
      </c>
      <c r="H40" t="s">
        <v>224</v>
      </c>
      <c r="I40">
        <v>-4.8570000000000002</v>
      </c>
      <c r="J40">
        <v>-10.815</v>
      </c>
      <c r="K40">
        <v>-17.571000000000002</v>
      </c>
      <c r="L40">
        <v>-24.983000000000001</v>
      </c>
      <c r="N40" t="str">
        <f>country!A72</f>
        <v>Ghana</v>
      </c>
      <c r="O40">
        <f>country!D72</f>
        <v>610.18365679635724</v>
      </c>
      <c r="P40">
        <f>country!G72</f>
        <v>27.2</v>
      </c>
      <c r="S40" t="s">
        <v>776</v>
      </c>
      <c r="T40" t="s">
        <v>777</v>
      </c>
      <c r="U40" t="s">
        <v>769</v>
      </c>
      <c r="Y40">
        <v>-2.5000000000000001E-2</v>
      </c>
      <c r="Z40">
        <v>-0.20300000000000001</v>
      </c>
      <c r="AA40">
        <v>-0.40899999999999997</v>
      </c>
      <c r="AB40">
        <v>-1.1479999999999999</v>
      </c>
      <c r="AC40">
        <v>-2.8940000000000001</v>
      </c>
    </row>
    <row r="41" spans="1:29" x14ac:dyDescent="0.35">
      <c r="A41" t="s">
        <v>133</v>
      </c>
      <c r="B41" t="str">
        <f t="shared" si="59"/>
        <v>Colombia</v>
      </c>
      <c r="C41">
        <f t="shared" si="59"/>
        <v>-1.1040000000000001</v>
      </c>
      <c r="D41">
        <f t="shared" si="59"/>
        <v>-2.714</v>
      </c>
      <c r="E41">
        <f t="shared" si="59"/>
        <v>-5.532</v>
      </c>
      <c r="F41">
        <f t="shared" si="59"/>
        <v>-9.3249999999999993</v>
      </c>
      <c r="H41" t="s">
        <v>145</v>
      </c>
      <c r="I41">
        <v>-4.8000000000000001E-2</v>
      </c>
      <c r="J41">
        <v>-0.14899999999999999</v>
      </c>
      <c r="K41">
        <v>-0.27500000000000002</v>
      </c>
      <c r="L41">
        <v>-0.70799999999999996</v>
      </c>
      <c r="N41" t="str">
        <f>country!A73</f>
        <v>Greece</v>
      </c>
      <c r="O41">
        <f>country!D73</f>
        <v>21308.962091753539</v>
      </c>
      <c r="P41">
        <f>country!G73</f>
        <v>15.4</v>
      </c>
      <c r="S41" t="s">
        <v>778</v>
      </c>
      <c r="T41" t="s">
        <v>777</v>
      </c>
      <c r="Y41">
        <v>1.0999999999999999E-2</v>
      </c>
      <c r="Z41">
        <v>-0.13900000000000001</v>
      </c>
      <c r="AA41">
        <v>-0.31900000000000001</v>
      </c>
      <c r="AB41">
        <v>-0.99399999999999999</v>
      </c>
      <c r="AC41">
        <v>-2.72</v>
      </c>
    </row>
    <row r="42" spans="1:29" x14ac:dyDescent="0.35">
      <c r="A42" t="s">
        <v>363</v>
      </c>
      <c r="B42" t="str">
        <f>H$124</f>
        <v>Rest of Eastern Africa</v>
      </c>
      <c r="C42">
        <f>I$124</f>
        <v>-2.1120000000000001</v>
      </c>
      <c r="D42">
        <f>J$124</f>
        <v>-4.75</v>
      </c>
      <c r="E42">
        <f>K$124</f>
        <v>-8.0990000000000002</v>
      </c>
      <c r="F42">
        <f>L$124</f>
        <v>-11.862</v>
      </c>
      <c r="H42" t="s">
        <v>147</v>
      </c>
      <c r="I42">
        <v>-0.69399999999999995</v>
      </c>
      <c r="J42">
        <v>-1.5529999999999999</v>
      </c>
      <c r="K42">
        <v>-2.798</v>
      </c>
      <c r="L42">
        <v>-4.5330000000000004</v>
      </c>
      <c r="N42" t="str">
        <f>country!A76</f>
        <v>Guatemala</v>
      </c>
      <c r="O42">
        <f>country!D76</f>
        <v>2270.0961392922113</v>
      </c>
      <c r="P42">
        <f>country!G76</f>
        <v>23.4</v>
      </c>
      <c r="S42" t="s">
        <v>779</v>
      </c>
      <c r="T42" t="s">
        <v>774</v>
      </c>
      <c r="U42" t="s">
        <v>777</v>
      </c>
      <c r="V42" t="s">
        <v>769</v>
      </c>
      <c r="Y42">
        <v>7.0000000000000001E-3</v>
      </c>
      <c r="Z42">
        <v>-0.11799999999999999</v>
      </c>
      <c r="AA42">
        <v>-0.27100000000000002</v>
      </c>
      <c r="AB42">
        <v>-0.86499999999999999</v>
      </c>
      <c r="AC42">
        <v>-2.5609999999999999</v>
      </c>
    </row>
    <row r="43" spans="1:29" x14ac:dyDescent="0.35">
      <c r="A43" t="s">
        <v>364</v>
      </c>
      <c r="B43" t="str">
        <f>H$135</f>
        <v>Rest of South Central Africa</v>
      </c>
      <c r="C43">
        <f t="shared" ref="C43:F43" si="60">I$135</f>
        <v>-0.96099999999999997</v>
      </c>
      <c r="D43">
        <f t="shared" si="60"/>
        <v>-2.0659999999999998</v>
      </c>
      <c r="E43">
        <f t="shared" si="60"/>
        <v>-3.32</v>
      </c>
      <c r="F43">
        <f t="shared" si="60"/>
        <v>-4.8940000000000001</v>
      </c>
      <c r="H43" t="s">
        <v>373</v>
      </c>
      <c r="I43">
        <v>-2.7120000000000002</v>
      </c>
      <c r="J43">
        <v>-6.093</v>
      </c>
      <c r="K43">
        <v>-9.8960000000000008</v>
      </c>
      <c r="L43">
        <v>-14.689</v>
      </c>
      <c r="N43" t="str">
        <f>country!A77</f>
        <v>Guinea</v>
      </c>
      <c r="O43">
        <f>country!D77</f>
        <v>300.44127805988973</v>
      </c>
      <c r="P43">
        <f>country!G77</f>
        <v>25.7</v>
      </c>
      <c r="S43" t="s">
        <v>780</v>
      </c>
      <c r="T43" t="s">
        <v>769</v>
      </c>
      <c r="Y43">
        <v>-1.4999999999999999E-2</v>
      </c>
      <c r="Z43">
        <v>-0.19</v>
      </c>
      <c r="AA43">
        <v>-0.38900000000000001</v>
      </c>
      <c r="AB43">
        <v>-1.0920000000000001</v>
      </c>
      <c r="AC43">
        <v>-2.7</v>
      </c>
    </row>
    <row r="44" spans="1:29" x14ac:dyDescent="0.35">
      <c r="A44" t="s">
        <v>365</v>
      </c>
      <c r="B44" t="str">
        <f>H$121</f>
        <v>Rest of Central Africa</v>
      </c>
      <c r="C44">
        <f t="shared" ref="C44" si="61">I$121</f>
        <v>-1.0129999999999999</v>
      </c>
      <c r="D44">
        <f t="shared" ref="D44" si="62">J$121</f>
        <v>-2.4300000000000002</v>
      </c>
      <c r="E44">
        <f t="shared" ref="E44" si="63">K$121</f>
        <v>-4.9770000000000003</v>
      </c>
      <c r="F44">
        <f t="shared" ref="F44" si="64">L$121</f>
        <v>-8.3620000000000001</v>
      </c>
      <c r="H44" t="s">
        <v>148</v>
      </c>
      <c r="I44">
        <v>-2.7509999999999999</v>
      </c>
      <c r="J44">
        <v>-6.492</v>
      </c>
      <c r="K44">
        <v>-11.125999999999999</v>
      </c>
      <c r="L44">
        <v>-16.521000000000001</v>
      </c>
      <c r="N44" t="str">
        <f>country!A81</f>
        <v>Honduras</v>
      </c>
      <c r="O44">
        <f>country!D81</f>
        <v>1514.9920435883439</v>
      </c>
      <c r="P44">
        <f>country!G81</f>
        <v>23.5</v>
      </c>
      <c r="S44" t="s">
        <v>781</v>
      </c>
      <c r="Y44">
        <v>0</v>
      </c>
      <c r="Z44">
        <v>-0.115</v>
      </c>
      <c r="AA44">
        <v>-0.249</v>
      </c>
      <c r="AB44">
        <v>-0.74</v>
      </c>
      <c r="AC44">
        <v>-2.0059999999999998</v>
      </c>
    </row>
    <row r="45" spans="1:29" x14ac:dyDescent="0.35">
      <c r="A45" t="s">
        <v>135</v>
      </c>
      <c r="B45" t="str">
        <f>H24</f>
        <v>Costa Rica</v>
      </c>
      <c r="C45">
        <f>I24</f>
        <v>-1.407</v>
      </c>
      <c r="D45">
        <f>J24</f>
        <v>-4.0469999999999997</v>
      </c>
      <c r="E45">
        <f>K24</f>
        <v>-7.8710000000000004</v>
      </c>
      <c r="F45">
        <f>L24</f>
        <v>-12.928000000000001</v>
      </c>
      <c r="H45" t="s">
        <v>149</v>
      </c>
      <c r="I45">
        <v>-1.3140000000000001</v>
      </c>
      <c r="J45">
        <v>-3.0819999999999999</v>
      </c>
      <c r="K45">
        <v>-5.2880000000000003</v>
      </c>
      <c r="L45">
        <v>-7.6550000000000002</v>
      </c>
      <c r="N45" t="str">
        <f>country!A82</f>
        <v>Hong Kong</v>
      </c>
      <c r="O45">
        <f>country!D82</f>
        <v>31328.585208738998</v>
      </c>
      <c r="P45">
        <f>country!G82</f>
        <v>22.7</v>
      </c>
      <c r="S45" t="s">
        <v>782</v>
      </c>
      <c r="T45" t="s">
        <v>783</v>
      </c>
      <c r="U45" t="s">
        <v>784</v>
      </c>
      <c r="Y45">
        <v>1.7999999999999999E-2</v>
      </c>
      <c r="Z45">
        <v>-0.13200000000000001</v>
      </c>
      <c r="AA45">
        <v>-0.30299999999999999</v>
      </c>
      <c r="AB45">
        <v>-0.92</v>
      </c>
      <c r="AC45">
        <v>-2.44</v>
      </c>
    </row>
    <row r="46" spans="1:29" x14ac:dyDescent="0.35">
      <c r="A46" t="s">
        <v>217</v>
      </c>
      <c r="B46" t="str">
        <f>H26</f>
        <v>Croatia</v>
      </c>
      <c r="C46">
        <f>I26</f>
        <v>-8.3000000000000004E-2</v>
      </c>
      <c r="D46">
        <f>J26</f>
        <v>-0.216</v>
      </c>
      <c r="E46">
        <f>K26</f>
        <v>-0.45400000000000001</v>
      </c>
      <c r="F46">
        <f>L26</f>
        <v>-0.94599999999999995</v>
      </c>
      <c r="H46" t="s">
        <v>150</v>
      </c>
      <c r="I46">
        <v>-0.19700000000000001</v>
      </c>
      <c r="J46">
        <v>-0.39</v>
      </c>
      <c r="K46">
        <v>-0.59</v>
      </c>
      <c r="L46">
        <v>-0.88400000000000001</v>
      </c>
      <c r="N46" t="str">
        <f>country!A83</f>
        <v>Hungary</v>
      </c>
      <c r="O46">
        <f>country!D83</f>
        <v>10926.468951505391</v>
      </c>
      <c r="P46">
        <f>country!G83</f>
        <v>9.8000000000000007</v>
      </c>
      <c r="S46" t="s">
        <v>579</v>
      </c>
      <c r="Y46">
        <v>-1.6E-2</v>
      </c>
      <c r="Z46">
        <v>-0.14299999999999999</v>
      </c>
      <c r="AA46">
        <v>-0.28799999999999998</v>
      </c>
      <c r="AB46">
        <v>-0.81100000000000005</v>
      </c>
      <c r="AC46">
        <v>-2.093</v>
      </c>
    </row>
    <row r="47" spans="1:29" x14ac:dyDescent="0.35">
      <c r="A47" t="s">
        <v>366</v>
      </c>
      <c r="B47" t="str">
        <f>H$140</f>
        <v>Rest of the Caribbean</v>
      </c>
      <c r="C47">
        <f t="shared" ref="C47" si="65">I$140</f>
        <v>-1.8640000000000001</v>
      </c>
      <c r="D47">
        <f t="shared" ref="D47" si="66">J$140</f>
        <v>-4.5289999999999999</v>
      </c>
      <c r="E47">
        <f t="shared" ref="E47" si="67">K$140</f>
        <v>-8.2070000000000007</v>
      </c>
      <c r="F47">
        <f t="shared" ref="F47" si="68">L$140</f>
        <v>-12.605</v>
      </c>
      <c r="H47" t="s">
        <v>152</v>
      </c>
      <c r="I47">
        <v>-2.9220000000000002</v>
      </c>
      <c r="J47">
        <v>-6.4340000000000002</v>
      </c>
      <c r="K47">
        <v>-10.351000000000001</v>
      </c>
      <c r="L47">
        <v>-14.622</v>
      </c>
      <c r="N47" t="str">
        <f>country!A85</f>
        <v>India</v>
      </c>
      <c r="O47">
        <f>country!D85</f>
        <v>1031.5611094455749</v>
      </c>
      <c r="P47">
        <f>country!G85</f>
        <v>23.7</v>
      </c>
      <c r="S47" t="s">
        <v>785</v>
      </c>
      <c r="Y47">
        <v>-7.0000000000000001E-3</v>
      </c>
      <c r="Z47">
        <v>-0.13200000000000001</v>
      </c>
      <c r="AA47">
        <v>-0.28999999999999998</v>
      </c>
      <c r="AB47">
        <v>-0.91700000000000004</v>
      </c>
      <c r="AC47">
        <v>-2.8290000000000002</v>
      </c>
    </row>
    <row r="48" spans="1:29" x14ac:dyDescent="0.35">
      <c r="A48" t="s">
        <v>248</v>
      </c>
      <c r="B48" t="str">
        <f t="shared" ref="B48:F50" si="69">H27</f>
        <v>Cyprus</v>
      </c>
      <c r="C48">
        <f t="shared" si="69"/>
        <v>-0.19400000000000001</v>
      </c>
      <c r="D48">
        <f t="shared" si="69"/>
        <v>-0.46200000000000002</v>
      </c>
      <c r="E48">
        <f t="shared" si="69"/>
        <v>-0.81599999999999995</v>
      </c>
      <c r="F48">
        <f t="shared" si="69"/>
        <v>-1.4810000000000001</v>
      </c>
      <c r="H48" t="s">
        <v>153</v>
      </c>
      <c r="I48">
        <v>-3.347</v>
      </c>
      <c r="J48">
        <v>-7.98</v>
      </c>
      <c r="K48">
        <v>-13.266999999999999</v>
      </c>
      <c r="L48">
        <v>-19.04</v>
      </c>
      <c r="N48" t="str">
        <f>country!A86</f>
        <v>Indonesia</v>
      </c>
      <c r="O48">
        <f>country!D86</f>
        <v>1570.1529365014842</v>
      </c>
      <c r="P48">
        <f>country!G86</f>
        <v>25.8</v>
      </c>
      <c r="S48" t="s">
        <v>786</v>
      </c>
      <c r="Y48">
        <v>-4.0000000000000001E-3</v>
      </c>
      <c r="Z48">
        <v>-0.156</v>
      </c>
      <c r="AA48">
        <v>-0.32700000000000001</v>
      </c>
      <c r="AB48">
        <v>-0.93400000000000005</v>
      </c>
      <c r="AC48">
        <v>-2.3410000000000002</v>
      </c>
    </row>
    <row r="49" spans="1:30" x14ac:dyDescent="0.35">
      <c r="A49" t="s">
        <v>249</v>
      </c>
      <c r="B49" t="str">
        <f t="shared" si="69"/>
        <v>Czech Republic</v>
      </c>
      <c r="C49">
        <f t="shared" si="69"/>
        <v>-0.16900000000000001</v>
      </c>
      <c r="D49">
        <f t="shared" si="69"/>
        <v>-0.35199999999999998</v>
      </c>
      <c r="E49">
        <f t="shared" si="69"/>
        <v>-0.56699999999999995</v>
      </c>
      <c r="F49">
        <f t="shared" si="69"/>
        <v>-0.84199999999999997</v>
      </c>
      <c r="H49" t="s">
        <v>154</v>
      </c>
      <c r="I49">
        <v>-0.89400000000000002</v>
      </c>
      <c r="J49">
        <v>-2.044</v>
      </c>
      <c r="K49">
        <v>-3.516</v>
      </c>
      <c r="L49">
        <v>-5.3650000000000002</v>
      </c>
      <c r="N49" t="str">
        <f>country!A87</f>
        <v>Iran</v>
      </c>
      <c r="O49">
        <f>country!D87</f>
        <v>3259.3987232145187</v>
      </c>
      <c r="P49">
        <f>country!G87</f>
        <v>17.2</v>
      </c>
      <c r="S49" t="s">
        <v>776</v>
      </c>
      <c r="T49" t="s">
        <v>769</v>
      </c>
      <c r="Y49">
        <v>-6.0000000000000001E-3</v>
      </c>
      <c r="Z49">
        <v>-0.14199999999999999</v>
      </c>
      <c r="AA49">
        <v>-0.29799999999999999</v>
      </c>
      <c r="AB49">
        <v>-0.86099999999999999</v>
      </c>
      <c r="AC49">
        <v>-2.2480000000000002</v>
      </c>
    </row>
    <row r="50" spans="1:30" x14ac:dyDescent="0.35">
      <c r="A50" t="s">
        <v>136</v>
      </c>
      <c r="B50" t="str">
        <f t="shared" si="69"/>
        <v>Denmark</v>
      </c>
      <c r="C50">
        <f t="shared" si="69"/>
        <v>-0.127</v>
      </c>
      <c r="D50">
        <f t="shared" si="69"/>
        <v>-0.252</v>
      </c>
      <c r="E50">
        <f t="shared" si="69"/>
        <v>-0.39300000000000002</v>
      </c>
      <c r="F50">
        <f t="shared" si="69"/>
        <v>-0.57299999999999995</v>
      </c>
      <c r="H50" t="s">
        <v>155</v>
      </c>
      <c r="I50">
        <v>-0.184</v>
      </c>
      <c r="J50">
        <v>-0.436</v>
      </c>
      <c r="K50">
        <v>-0.748</v>
      </c>
      <c r="L50">
        <v>-1.125</v>
      </c>
      <c r="N50" t="str">
        <f>country!A89</f>
        <v>Ireland</v>
      </c>
      <c r="O50">
        <f>country!D89</f>
        <v>45438.261855700264</v>
      </c>
      <c r="P50">
        <f>country!G89</f>
        <v>9.3000000000000007</v>
      </c>
      <c r="S50" t="s">
        <v>579</v>
      </c>
      <c r="T50" t="s">
        <v>787</v>
      </c>
      <c r="Y50">
        <v>-4.0000000000000001E-3</v>
      </c>
      <c r="Z50">
        <v>-0.20399999999999999</v>
      </c>
      <c r="AA50">
        <v>-0.433</v>
      </c>
      <c r="AB50">
        <v>-1.238</v>
      </c>
      <c r="AC50">
        <v>-2.972</v>
      </c>
    </row>
    <row r="51" spans="1:30" x14ac:dyDescent="0.35">
      <c r="A51" t="s">
        <v>367</v>
      </c>
      <c r="B51" t="str">
        <f>H$124</f>
        <v>Rest of Eastern Africa</v>
      </c>
      <c r="C51">
        <f>I$124</f>
        <v>-2.1120000000000001</v>
      </c>
      <c r="D51">
        <f>J$124</f>
        <v>-4.75</v>
      </c>
      <c r="E51">
        <f>K$124</f>
        <v>-8.0990000000000002</v>
      </c>
      <c r="F51">
        <f>L$124</f>
        <v>-11.862</v>
      </c>
      <c r="H51" t="s">
        <v>156</v>
      </c>
      <c r="I51">
        <v>-0.74299999999999999</v>
      </c>
      <c r="J51">
        <v>-1.514</v>
      </c>
      <c r="K51">
        <v>-2.3170000000000002</v>
      </c>
      <c r="L51">
        <v>-3.4159999999999999</v>
      </c>
      <c r="N51" t="str">
        <f>country!A91</f>
        <v>Israel</v>
      </c>
      <c r="O51">
        <f>country!D91</f>
        <v>22169.403538765182</v>
      </c>
      <c r="P51">
        <f>country!G91</f>
        <v>19.2</v>
      </c>
      <c r="S51" t="s">
        <v>788</v>
      </c>
      <c r="T51" t="s">
        <v>787</v>
      </c>
      <c r="Y51">
        <v>0</v>
      </c>
      <c r="Z51">
        <v>-0.11799999999999999</v>
      </c>
      <c r="AA51">
        <v>-0.255</v>
      </c>
      <c r="AB51">
        <v>-0.747</v>
      </c>
      <c r="AC51">
        <v>-1.94</v>
      </c>
    </row>
    <row r="52" spans="1:30" x14ac:dyDescent="0.35">
      <c r="A52" t="s">
        <v>137</v>
      </c>
      <c r="B52" t="str">
        <f>H$140</f>
        <v>Rest of the Caribbean</v>
      </c>
      <c r="C52">
        <f t="shared" ref="C52" si="70">I$140</f>
        <v>-1.8640000000000001</v>
      </c>
      <c r="D52">
        <f t="shared" ref="D52" si="71">J$140</f>
        <v>-4.5289999999999999</v>
      </c>
      <c r="E52">
        <f t="shared" ref="E52" si="72">K$140</f>
        <v>-8.2070000000000007</v>
      </c>
      <c r="F52">
        <f t="shared" ref="F52" si="73">L$140</f>
        <v>-12.605</v>
      </c>
      <c r="H52" t="s">
        <v>157</v>
      </c>
      <c r="I52">
        <v>-0.14399999999999999</v>
      </c>
      <c r="J52">
        <v>-0.34200000000000003</v>
      </c>
      <c r="K52">
        <v>-0.58799999999999997</v>
      </c>
      <c r="L52">
        <v>-0.90600000000000003</v>
      </c>
      <c r="N52" t="str">
        <f>country!A92</f>
        <v>Italy</v>
      </c>
      <c r="O52">
        <f>country!D92</f>
        <v>29163.146051932734</v>
      </c>
      <c r="P52">
        <f>country!G92</f>
        <v>13.4</v>
      </c>
      <c r="S52" t="s">
        <v>789</v>
      </c>
      <c r="Y52">
        <v>1E-3</v>
      </c>
      <c r="Z52">
        <v>-0.10100000000000001</v>
      </c>
      <c r="AA52">
        <v>-0.221</v>
      </c>
      <c r="AB52">
        <v>-0.66800000000000004</v>
      </c>
      <c r="AC52">
        <v>-1.88</v>
      </c>
    </row>
    <row r="53" spans="1:30" x14ac:dyDescent="0.35">
      <c r="A53" t="s">
        <v>220</v>
      </c>
      <c r="B53" t="str">
        <f t="shared" ref="B53:F56" si="74">H30</f>
        <v>Dominican Republic</v>
      </c>
      <c r="C53">
        <f t="shared" si="74"/>
        <v>-1.85</v>
      </c>
      <c r="D53">
        <f t="shared" si="74"/>
        <v>-4.4059999999999997</v>
      </c>
      <c r="E53">
        <f t="shared" si="74"/>
        <v>-7.9340000000000002</v>
      </c>
      <c r="F53">
        <f t="shared" si="74"/>
        <v>-12.170999999999999</v>
      </c>
      <c r="H53" t="s">
        <v>159</v>
      </c>
      <c r="I53">
        <v>-1.4850000000000001</v>
      </c>
      <c r="J53">
        <v>-3.6960000000000002</v>
      </c>
      <c r="K53">
        <v>-6.94</v>
      </c>
      <c r="L53">
        <v>-10.813000000000001</v>
      </c>
      <c r="N53" t="str">
        <f>country!A93</f>
        <v>Jamaica</v>
      </c>
      <c r="O53">
        <f>country!D93</f>
        <v>4329.9743592711902</v>
      </c>
      <c r="P53">
        <f>country!G93</f>
        <v>27.2</v>
      </c>
      <c r="S53" t="s">
        <v>790</v>
      </c>
      <c r="T53" t="s">
        <v>791</v>
      </c>
      <c r="U53" t="s">
        <v>769</v>
      </c>
      <c r="Y53">
        <v>1E-3</v>
      </c>
      <c r="Z53">
        <v>-0.108</v>
      </c>
      <c r="AA53">
        <v>-0.23699999999999999</v>
      </c>
      <c r="AB53">
        <v>-0.70799999999999996</v>
      </c>
      <c r="AC53">
        <v>-1.927</v>
      </c>
    </row>
    <row r="54" spans="1:30" x14ac:dyDescent="0.35">
      <c r="A54" t="s">
        <v>138</v>
      </c>
      <c r="B54" t="str">
        <f t="shared" si="74"/>
        <v>Ecuador</v>
      </c>
      <c r="C54">
        <f t="shared" si="74"/>
        <v>-0.74099999999999999</v>
      </c>
      <c r="D54">
        <f t="shared" si="74"/>
        <v>-1.627</v>
      </c>
      <c r="E54">
        <f t="shared" si="74"/>
        <v>-2.5990000000000002</v>
      </c>
      <c r="F54">
        <f t="shared" si="74"/>
        <v>-3.8010000000000002</v>
      </c>
      <c r="H54" t="s">
        <v>64</v>
      </c>
      <c r="I54">
        <v>-0.182</v>
      </c>
      <c r="J54">
        <v>-0.59499999999999997</v>
      </c>
      <c r="K54">
        <v>-1.335</v>
      </c>
      <c r="L54">
        <v>-2.4119999999999999</v>
      </c>
      <c r="N54" t="str">
        <f>country!A94</f>
        <v>Japan</v>
      </c>
      <c r="O54">
        <f>country!D94</f>
        <v>36472.749157637452</v>
      </c>
      <c r="P54">
        <f>country!G94</f>
        <v>11.1</v>
      </c>
      <c r="S54" t="s">
        <v>792</v>
      </c>
      <c r="Y54">
        <v>0</v>
      </c>
      <c r="Z54">
        <v>-9.7000000000000003E-2</v>
      </c>
      <c r="AA54">
        <v>-0.20799999999999999</v>
      </c>
      <c r="AB54">
        <v>-0.60599999999999998</v>
      </c>
      <c r="AC54">
        <v>-1.591</v>
      </c>
    </row>
    <row r="55" spans="1:30" x14ac:dyDescent="0.35">
      <c r="A55" t="s">
        <v>139</v>
      </c>
      <c r="B55" t="str">
        <f t="shared" si="74"/>
        <v>Egypt</v>
      </c>
      <c r="C55">
        <f t="shared" si="74"/>
        <v>-1.083</v>
      </c>
      <c r="D55">
        <f t="shared" si="74"/>
        <v>-2.3769999999999998</v>
      </c>
      <c r="E55">
        <f t="shared" si="74"/>
        <v>-4</v>
      </c>
      <c r="F55">
        <f t="shared" si="74"/>
        <v>-6.1429999999999998</v>
      </c>
      <c r="H55" t="s">
        <v>251</v>
      </c>
      <c r="I55">
        <v>-0.98199999999999998</v>
      </c>
      <c r="J55">
        <v>-1.998</v>
      </c>
      <c r="K55">
        <v>-3.254</v>
      </c>
      <c r="L55">
        <v>-4.835</v>
      </c>
      <c r="N55" t="str">
        <f>country!A95</f>
        <v>Jordan</v>
      </c>
      <c r="O55">
        <f>country!D95</f>
        <v>2817.4886330764352</v>
      </c>
      <c r="P55">
        <f>country!G95</f>
        <v>18.3</v>
      </c>
      <c r="S55" t="s">
        <v>793</v>
      </c>
      <c r="T55" t="s">
        <v>791</v>
      </c>
      <c r="U55" t="s">
        <v>769</v>
      </c>
      <c r="Y55">
        <v>1.2E-2</v>
      </c>
      <c r="Z55">
        <v>-4.2000000000000003E-2</v>
      </c>
      <c r="AA55">
        <v>-0.112</v>
      </c>
      <c r="AB55">
        <v>-0.40699999999999997</v>
      </c>
      <c r="AC55">
        <v>-1.4950000000000001</v>
      </c>
    </row>
    <row r="56" spans="1:30" x14ac:dyDescent="0.35">
      <c r="A56" t="s">
        <v>140</v>
      </c>
      <c r="B56" t="str">
        <f t="shared" si="74"/>
        <v>El Salvador</v>
      </c>
      <c r="C56">
        <f t="shared" si="74"/>
        <v>-0.98599999999999999</v>
      </c>
      <c r="D56">
        <f t="shared" si="74"/>
        <v>-2.4980000000000002</v>
      </c>
      <c r="E56">
        <f t="shared" si="74"/>
        <v>-4.9569999999999999</v>
      </c>
      <c r="F56">
        <f t="shared" si="74"/>
        <v>-8.4380000000000006</v>
      </c>
      <c r="H56" t="s">
        <v>377</v>
      </c>
      <c r="I56">
        <v>-0.371</v>
      </c>
      <c r="J56">
        <v>-0.59199999999999997</v>
      </c>
      <c r="K56">
        <v>-0.82</v>
      </c>
      <c r="L56">
        <v>-1.137</v>
      </c>
      <c r="N56" t="str">
        <f>country!A96</f>
        <v>Kazakhstan</v>
      </c>
      <c r="O56">
        <f>country!D96</f>
        <v>4732.2159481266071</v>
      </c>
      <c r="P56">
        <f>country!G96</f>
        <v>6.4</v>
      </c>
      <c r="S56" t="s">
        <v>794</v>
      </c>
      <c r="T56" t="s">
        <v>774</v>
      </c>
      <c r="U56" t="s">
        <v>795</v>
      </c>
      <c r="V56" t="s">
        <v>791</v>
      </c>
      <c r="Y56">
        <v>4.0000000000000001E-3</v>
      </c>
      <c r="Z56">
        <v>-9.6000000000000002E-2</v>
      </c>
      <c r="AA56">
        <v>-0.21</v>
      </c>
      <c r="AB56">
        <v>-0.623</v>
      </c>
      <c r="AC56">
        <v>-1.675</v>
      </c>
    </row>
    <row r="57" spans="1:30" x14ac:dyDescent="0.35">
      <c r="A57" t="s">
        <v>368</v>
      </c>
      <c r="B57" t="str">
        <f>H$121</f>
        <v>Rest of Central Africa</v>
      </c>
      <c r="C57">
        <f t="shared" ref="C57" si="75">I$121</f>
        <v>-1.0129999999999999</v>
      </c>
      <c r="D57">
        <f t="shared" ref="D57" si="76">J$121</f>
        <v>-2.4300000000000002</v>
      </c>
      <c r="E57">
        <f t="shared" ref="E57" si="77">K$121</f>
        <v>-4.9770000000000003</v>
      </c>
      <c r="F57">
        <f t="shared" ref="F57" si="78">L$121</f>
        <v>-8.3620000000000001</v>
      </c>
      <c r="H57" t="s">
        <v>160</v>
      </c>
      <c r="I57">
        <v>-2.331</v>
      </c>
      <c r="J57">
        <v>-4.7060000000000004</v>
      </c>
      <c r="K57">
        <v>-7.2380000000000004</v>
      </c>
      <c r="L57">
        <v>-10.506</v>
      </c>
      <c r="N57" t="str">
        <f>country!A97</f>
        <v>Kenya</v>
      </c>
      <c r="O57">
        <f>country!D97</f>
        <v>575.06029636736923</v>
      </c>
      <c r="P57">
        <f>country!G97</f>
        <v>24.7</v>
      </c>
      <c r="S57" t="s">
        <v>796</v>
      </c>
      <c r="T57" t="s">
        <v>797</v>
      </c>
      <c r="U57" t="s">
        <v>798</v>
      </c>
      <c r="V57" t="s">
        <v>799</v>
      </c>
      <c r="W57" t="s">
        <v>571</v>
      </c>
      <c r="Y57">
        <v>0</v>
      </c>
      <c r="Z57">
        <v>-0.104</v>
      </c>
      <c r="AA57">
        <v>-0.218</v>
      </c>
      <c r="AB57">
        <v>-0.60299999999999998</v>
      </c>
      <c r="AC57">
        <v>-1.42</v>
      </c>
    </row>
    <row r="58" spans="1:30" x14ac:dyDescent="0.35">
      <c r="A58" t="s">
        <v>369</v>
      </c>
      <c r="B58" t="str">
        <f>H$124</f>
        <v>Rest of Eastern Africa</v>
      </c>
      <c r="C58">
        <f>I$124</f>
        <v>-2.1120000000000001</v>
      </c>
      <c r="D58">
        <f>J$124</f>
        <v>-4.75</v>
      </c>
      <c r="E58">
        <f>K$124</f>
        <v>-8.0990000000000002</v>
      </c>
      <c r="F58">
        <f>L$124</f>
        <v>-11.862</v>
      </c>
      <c r="H58" t="s">
        <v>380</v>
      </c>
      <c r="I58">
        <v>-1.3149999999999999</v>
      </c>
      <c r="J58">
        <v>-2.7949999999999999</v>
      </c>
      <c r="K58">
        <v>-4.4880000000000004</v>
      </c>
      <c r="L58">
        <v>-6.3869999999999996</v>
      </c>
      <c r="N58" t="str">
        <f>country!A100</f>
        <v>Kuwait</v>
      </c>
      <c r="O58">
        <f>country!D100</f>
        <v>28615.94754819524</v>
      </c>
      <c r="P58">
        <f>country!G100</f>
        <v>25.3</v>
      </c>
      <c r="S58" t="s">
        <v>800</v>
      </c>
      <c r="Y58">
        <v>-3.0000000000000001E-3</v>
      </c>
      <c r="Z58">
        <v>-6.8000000000000005E-2</v>
      </c>
      <c r="AA58">
        <v>-0.16</v>
      </c>
      <c r="AB58">
        <v>-0.56899999999999995</v>
      </c>
      <c r="AC58">
        <v>-2.1579999999999999</v>
      </c>
    </row>
    <row r="59" spans="1:30" x14ac:dyDescent="0.35">
      <c r="A59" t="s">
        <v>221</v>
      </c>
      <c r="B59" t="str">
        <f t="shared" ref="B59:F60" si="79">H34</f>
        <v>Estonia</v>
      </c>
      <c r="C59">
        <f t="shared" si="79"/>
        <v>-0.23</v>
      </c>
      <c r="D59">
        <f t="shared" si="79"/>
        <v>-0.47599999999999998</v>
      </c>
      <c r="E59">
        <f t="shared" si="79"/>
        <v>-0.75</v>
      </c>
      <c r="F59">
        <f t="shared" si="79"/>
        <v>-1.087</v>
      </c>
      <c r="H59" t="s">
        <v>252</v>
      </c>
      <c r="I59">
        <v>-0.377</v>
      </c>
      <c r="J59">
        <v>-0.61399999999999999</v>
      </c>
      <c r="K59">
        <v>-0.93</v>
      </c>
      <c r="L59">
        <v>-1.5</v>
      </c>
      <c r="N59" t="str">
        <f>country!A101</f>
        <v>Kyrgyzstan</v>
      </c>
      <c r="O59">
        <f>country!D101</f>
        <v>560.91462241153135</v>
      </c>
      <c r="P59">
        <f>country!G101</f>
        <v>1.6</v>
      </c>
    </row>
    <row r="60" spans="1:30" x14ac:dyDescent="0.35">
      <c r="A60" t="s">
        <v>141</v>
      </c>
      <c r="B60" t="str">
        <f t="shared" si="79"/>
        <v>Ethiopia</v>
      </c>
      <c r="C60">
        <f t="shared" si="79"/>
        <v>-1.8620000000000001</v>
      </c>
      <c r="D60">
        <f t="shared" si="79"/>
        <v>-4.2380000000000004</v>
      </c>
      <c r="E60">
        <f t="shared" si="79"/>
        <v>-6.7039999999999997</v>
      </c>
      <c r="F60">
        <f t="shared" si="79"/>
        <v>-9.4160000000000004</v>
      </c>
      <c r="H60" t="s">
        <v>381</v>
      </c>
      <c r="I60">
        <v>-3.3690000000000002</v>
      </c>
      <c r="J60">
        <v>-6.7949999999999999</v>
      </c>
      <c r="K60">
        <v>-10.62</v>
      </c>
      <c r="L60">
        <v>-15.759</v>
      </c>
      <c r="N60" t="str">
        <f>country!A102</f>
        <v>Laos</v>
      </c>
      <c r="O60">
        <f>country!D102</f>
        <v>628.83134867195929</v>
      </c>
      <c r="P60">
        <f>country!G102</f>
        <v>22.7</v>
      </c>
      <c r="AD60">
        <f>SUM(AD2:AD58)</f>
        <v>0</v>
      </c>
    </row>
    <row r="61" spans="1:30" x14ac:dyDescent="0.35">
      <c r="A61" t="s">
        <v>602</v>
      </c>
      <c r="B61" t="str">
        <f>H$127</f>
        <v>Rest of Europe</v>
      </c>
      <c r="C61">
        <f t="shared" ref="C61" si="80">I$127</f>
        <v>-8.8999999999999996E-2</v>
      </c>
      <c r="D61">
        <f t="shared" ref="D61" si="81">J$127</f>
        <v>-0.15</v>
      </c>
      <c r="E61">
        <f t="shared" ref="E61" si="82">K$127</f>
        <v>-0.20499999999999999</v>
      </c>
      <c r="F61">
        <f t="shared" ref="F61" si="83">L$127</f>
        <v>-0.318</v>
      </c>
      <c r="H61" t="s">
        <v>226</v>
      </c>
      <c r="I61">
        <v>-0.14000000000000001</v>
      </c>
      <c r="J61">
        <v>-0.25900000000000001</v>
      </c>
      <c r="K61">
        <v>-0.39400000000000002</v>
      </c>
      <c r="L61">
        <v>-0.56399999999999995</v>
      </c>
      <c r="N61" t="str">
        <f>country!A103</f>
        <v>Latvia</v>
      </c>
      <c r="O61">
        <f>country!D103</f>
        <v>6923.8888741529627</v>
      </c>
      <c r="P61">
        <f>country!G103</f>
        <v>5.6</v>
      </c>
    </row>
    <row r="62" spans="1:30" x14ac:dyDescent="0.35">
      <c r="A62" t="s">
        <v>370</v>
      </c>
      <c r="B62" t="str">
        <f>H$131</f>
        <v>Rest of Oceania</v>
      </c>
      <c r="C62">
        <f>I$131</f>
        <v>-1.0149999999999999</v>
      </c>
      <c r="D62">
        <f>J$131</f>
        <v>-2.6269999999999998</v>
      </c>
      <c r="E62">
        <f>K$131</f>
        <v>-5.1710000000000003</v>
      </c>
      <c r="F62">
        <f>L$131</f>
        <v>-8.5530000000000008</v>
      </c>
      <c r="H62" t="s">
        <v>227</v>
      </c>
      <c r="I62">
        <v>-0.17899999999999999</v>
      </c>
      <c r="J62">
        <v>-0.28799999999999998</v>
      </c>
      <c r="K62">
        <v>-0.39400000000000002</v>
      </c>
      <c r="L62">
        <v>-0.58699999999999997</v>
      </c>
      <c r="N62" t="str">
        <f>country!A109</f>
        <v>Lithuania</v>
      </c>
      <c r="O62">
        <f>country!D109</f>
        <v>8320.1703793334709</v>
      </c>
      <c r="P62">
        <f>country!G109</f>
        <v>6.2</v>
      </c>
    </row>
    <row r="63" spans="1:30" x14ac:dyDescent="0.35">
      <c r="A63" t="s">
        <v>142</v>
      </c>
      <c r="B63" t="str">
        <f t="shared" ref="B63:F64" si="84">H36</f>
        <v>Finland</v>
      </c>
      <c r="C63">
        <f t="shared" si="84"/>
        <v>-6.7000000000000004E-2</v>
      </c>
      <c r="D63">
        <f t="shared" si="84"/>
        <v>-0.153</v>
      </c>
      <c r="E63">
        <f t="shared" si="84"/>
        <v>-0.254</v>
      </c>
      <c r="F63">
        <f t="shared" si="84"/>
        <v>-0.38300000000000001</v>
      </c>
      <c r="H63" t="s">
        <v>161</v>
      </c>
      <c r="I63">
        <v>-0.13700000000000001</v>
      </c>
      <c r="J63">
        <v>-0.34300000000000003</v>
      </c>
      <c r="K63">
        <v>-0.6</v>
      </c>
      <c r="L63">
        <v>-0.89600000000000002</v>
      </c>
      <c r="N63" t="str">
        <f>country!A110</f>
        <v>Luxembourg</v>
      </c>
      <c r="O63">
        <f>country!D110</f>
        <v>80276.011290059658</v>
      </c>
      <c r="P63">
        <f>country!G110</f>
        <v>8.6999999999999993</v>
      </c>
    </row>
    <row r="64" spans="1:30" x14ac:dyDescent="0.35">
      <c r="A64" t="s">
        <v>143</v>
      </c>
      <c r="B64" t="str">
        <f t="shared" si="84"/>
        <v>France</v>
      </c>
      <c r="C64">
        <f t="shared" si="84"/>
        <v>-0.13900000000000001</v>
      </c>
      <c r="D64">
        <f t="shared" si="84"/>
        <v>-0.28499999999999998</v>
      </c>
      <c r="E64">
        <f t="shared" si="84"/>
        <v>-0.45500000000000002</v>
      </c>
      <c r="F64">
        <f t="shared" si="84"/>
        <v>-0.66200000000000003</v>
      </c>
      <c r="H64" t="s">
        <v>162</v>
      </c>
      <c r="I64">
        <v>-1.976</v>
      </c>
      <c r="J64">
        <v>-4.2859999999999996</v>
      </c>
      <c r="K64">
        <v>-7.2119999999999997</v>
      </c>
      <c r="L64">
        <v>-10.993</v>
      </c>
      <c r="N64" t="str">
        <f>country!A113</f>
        <v>Madagascar</v>
      </c>
      <c r="O64">
        <f>country!D113</f>
        <v>273.22480306218836</v>
      </c>
      <c r="P64">
        <f>country!G113</f>
        <v>22.6</v>
      </c>
    </row>
    <row r="65" spans="1:16" x14ac:dyDescent="0.35">
      <c r="A65" t="s">
        <v>371</v>
      </c>
      <c r="B65" t="str">
        <f>H$121</f>
        <v>Rest of Central Africa</v>
      </c>
      <c r="C65">
        <f t="shared" ref="C65" si="85">I$121</f>
        <v>-1.0129999999999999</v>
      </c>
      <c r="D65">
        <f t="shared" ref="D65" si="86">J$121</f>
        <v>-2.4300000000000002</v>
      </c>
      <c r="E65">
        <f t="shared" ref="E65" si="87">K$121</f>
        <v>-4.9770000000000003</v>
      </c>
      <c r="F65">
        <f t="shared" ref="F65" si="88">L$121</f>
        <v>-8.3620000000000001</v>
      </c>
      <c r="H65" t="s">
        <v>163</v>
      </c>
      <c r="I65">
        <v>-2.2770000000000001</v>
      </c>
      <c r="J65">
        <v>-5.6829999999999998</v>
      </c>
      <c r="K65">
        <v>-9.266</v>
      </c>
      <c r="L65">
        <v>-13.609</v>
      </c>
      <c r="N65" t="str">
        <f>country!A114</f>
        <v>Malawi</v>
      </c>
      <c r="O65">
        <f>country!D114</f>
        <v>219.15076343135976</v>
      </c>
      <c r="P65">
        <f>country!G114</f>
        <v>21.9</v>
      </c>
    </row>
    <row r="66" spans="1:16" x14ac:dyDescent="0.35">
      <c r="A66" t="s">
        <v>372</v>
      </c>
      <c r="B66" t="str">
        <f>H$138</f>
        <v>Rest of Western Africa</v>
      </c>
      <c r="C66">
        <f t="shared" ref="C66" si="89">I$138</f>
        <v>-4.4320000000000004</v>
      </c>
      <c r="D66">
        <f t="shared" ref="D66" si="90">J$138</f>
        <v>-9.7690000000000001</v>
      </c>
      <c r="E66">
        <f t="shared" ref="E66" si="91">K$138</f>
        <v>-15.566000000000001</v>
      </c>
      <c r="F66">
        <f t="shared" ref="F66" si="92">L$138</f>
        <v>-21.937999999999999</v>
      </c>
      <c r="H66" t="s">
        <v>164</v>
      </c>
      <c r="I66">
        <v>-3.0840000000000001</v>
      </c>
      <c r="J66">
        <v>-7.1449999999999996</v>
      </c>
      <c r="K66">
        <v>-12.118</v>
      </c>
      <c r="L66">
        <v>-17.338999999999999</v>
      </c>
      <c r="N66" t="str">
        <f>country!A115</f>
        <v>Malaysia</v>
      </c>
      <c r="O66">
        <f>country!D115</f>
        <v>6318.9012128220729</v>
      </c>
      <c r="P66">
        <f>country!G115</f>
        <v>25.4</v>
      </c>
    </row>
    <row r="67" spans="1:16" x14ac:dyDescent="0.35">
      <c r="A67" t="s">
        <v>222</v>
      </c>
      <c r="B67" t="str">
        <f t="shared" ref="B67:F70" si="93">H38</f>
        <v>Georgia</v>
      </c>
      <c r="C67">
        <f t="shared" si="93"/>
        <v>-0.39300000000000002</v>
      </c>
      <c r="D67">
        <f t="shared" si="93"/>
        <v>-0.68</v>
      </c>
      <c r="E67">
        <f t="shared" si="93"/>
        <v>-1.0349999999999999</v>
      </c>
      <c r="F67">
        <f t="shared" si="93"/>
        <v>-1.7689999999999999</v>
      </c>
      <c r="H67" t="s">
        <v>389</v>
      </c>
      <c r="I67">
        <v>-0.27500000000000002</v>
      </c>
      <c r="J67">
        <v>-0.69099999999999995</v>
      </c>
      <c r="K67">
        <v>-1.2609999999999999</v>
      </c>
      <c r="L67">
        <v>-2.0830000000000002</v>
      </c>
      <c r="N67" t="str">
        <f>country!A118</f>
        <v>Malta</v>
      </c>
      <c r="O67">
        <f>country!D118</f>
        <v>15992.434998447094</v>
      </c>
      <c r="P67">
        <f>country!G118</f>
        <v>19.2</v>
      </c>
    </row>
    <row r="68" spans="1:16" x14ac:dyDescent="0.35">
      <c r="A68" t="s">
        <v>144</v>
      </c>
      <c r="B68" t="str">
        <f t="shared" si="93"/>
        <v>Germany</v>
      </c>
      <c r="C68">
        <f t="shared" si="93"/>
        <v>-0.11799999999999999</v>
      </c>
      <c r="D68">
        <f t="shared" si="93"/>
        <v>-0.254</v>
      </c>
      <c r="E68">
        <f t="shared" si="93"/>
        <v>-0.41499999999999998</v>
      </c>
      <c r="F68">
        <f t="shared" si="93"/>
        <v>-0.60799999999999998</v>
      </c>
      <c r="H68" t="s">
        <v>166</v>
      </c>
      <c r="I68">
        <v>-1.829</v>
      </c>
      <c r="J68">
        <v>-4.399</v>
      </c>
      <c r="K68">
        <v>-7.4580000000000002</v>
      </c>
      <c r="L68">
        <v>-11.244999999999999</v>
      </c>
      <c r="N68" t="str">
        <f>country!A121</f>
        <v>Mauritius</v>
      </c>
      <c r="O68">
        <f>country!D121</f>
        <v>6109.775155938677</v>
      </c>
      <c r="P68">
        <f>country!G121</f>
        <v>22.4</v>
      </c>
    </row>
    <row r="69" spans="1:16" x14ac:dyDescent="0.35">
      <c r="A69" t="s">
        <v>224</v>
      </c>
      <c r="B69" t="str">
        <f t="shared" si="93"/>
        <v>Ghana</v>
      </c>
      <c r="C69">
        <f t="shared" si="93"/>
        <v>-4.8570000000000002</v>
      </c>
      <c r="D69">
        <f t="shared" si="93"/>
        <v>-10.815</v>
      </c>
      <c r="E69">
        <f t="shared" si="93"/>
        <v>-17.571000000000002</v>
      </c>
      <c r="F69">
        <f t="shared" si="93"/>
        <v>-24.983000000000001</v>
      </c>
      <c r="H69" t="s">
        <v>167</v>
      </c>
      <c r="I69">
        <v>-0.50600000000000001</v>
      </c>
      <c r="J69">
        <v>-1.1779999999999999</v>
      </c>
      <c r="K69">
        <v>-2.2770000000000001</v>
      </c>
      <c r="L69">
        <v>-3.9849999999999999</v>
      </c>
      <c r="N69" t="str">
        <f>country!A122</f>
        <v>Mexico</v>
      </c>
      <c r="O69">
        <f>country!D122</f>
        <v>8084.6290001796442</v>
      </c>
      <c r="P69">
        <f>country!G122</f>
        <v>21</v>
      </c>
    </row>
    <row r="70" spans="1:16" x14ac:dyDescent="0.35">
      <c r="A70" t="s">
        <v>145</v>
      </c>
      <c r="B70" t="str">
        <f t="shared" si="93"/>
        <v>Greece</v>
      </c>
      <c r="C70">
        <f t="shared" si="93"/>
        <v>-4.8000000000000001E-2</v>
      </c>
      <c r="D70">
        <f t="shared" si="93"/>
        <v>-0.14899999999999999</v>
      </c>
      <c r="E70">
        <f t="shared" si="93"/>
        <v>-0.27500000000000002</v>
      </c>
      <c r="F70">
        <f t="shared" si="93"/>
        <v>-0.70799999999999996</v>
      </c>
      <c r="H70" t="s">
        <v>393</v>
      </c>
      <c r="I70">
        <v>-0.78900000000000003</v>
      </c>
      <c r="J70">
        <v>-1.6639999999999999</v>
      </c>
      <c r="K70">
        <v>-2.71</v>
      </c>
      <c r="L70">
        <v>-3.9809999999999999</v>
      </c>
      <c r="N70" t="str">
        <f>country!A126</f>
        <v>Mongolia</v>
      </c>
      <c r="O70">
        <f>country!D126</f>
        <v>1273.1540641800757</v>
      </c>
      <c r="P70">
        <f>country!G126</f>
        <v>-0.7</v>
      </c>
    </row>
    <row r="71" spans="1:16" x14ac:dyDescent="0.35">
      <c r="A71" t="s">
        <v>603</v>
      </c>
      <c r="B71" t="str">
        <f>H$130</f>
        <v>Rest of North America</v>
      </c>
      <c r="C71">
        <f t="shared" ref="C71:F71" si="94">I$130</f>
        <v>-0.23100000000000001</v>
      </c>
      <c r="D71">
        <f t="shared" si="94"/>
        <v>-0.53900000000000003</v>
      </c>
      <c r="E71">
        <f t="shared" si="94"/>
        <v>-0.90200000000000002</v>
      </c>
      <c r="F71">
        <f t="shared" si="94"/>
        <v>-1.292</v>
      </c>
      <c r="H71" t="s">
        <v>168</v>
      </c>
      <c r="I71">
        <v>-0.77</v>
      </c>
      <c r="J71">
        <v>-1.5249999999999999</v>
      </c>
      <c r="K71">
        <v>-2.4359999999999999</v>
      </c>
      <c r="L71">
        <v>-3.4870000000000001</v>
      </c>
      <c r="N71" t="str">
        <f>country!A128</f>
        <v>Morocco</v>
      </c>
      <c r="O71">
        <f>country!D128</f>
        <v>2386.7846716762692</v>
      </c>
      <c r="P71">
        <f>country!G128</f>
        <v>17.100000000000001</v>
      </c>
    </row>
    <row r="72" spans="1:16" x14ac:dyDescent="0.35">
      <c r="A72" t="s">
        <v>146</v>
      </c>
      <c r="B72" t="str">
        <f>H$140</f>
        <v>Rest of the Caribbean</v>
      </c>
      <c r="C72">
        <f t="shared" ref="C72" si="95">I$140</f>
        <v>-1.8640000000000001</v>
      </c>
      <c r="D72">
        <f t="shared" ref="D72" si="96">J$140</f>
        <v>-4.5289999999999999</v>
      </c>
      <c r="E72">
        <f t="shared" ref="E72" si="97">K$140</f>
        <v>-8.2070000000000007</v>
      </c>
      <c r="F72">
        <f t="shared" ref="F72" si="98">L$140</f>
        <v>-12.605</v>
      </c>
      <c r="H72" t="s">
        <v>394</v>
      </c>
      <c r="I72">
        <v>-2.411</v>
      </c>
      <c r="J72">
        <v>-5.3109999999999999</v>
      </c>
      <c r="K72">
        <v>-8.8780000000000001</v>
      </c>
      <c r="L72">
        <v>-12.989000000000001</v>
      </c>
      <c r="N72" t="str">
        <f>country!A129</f>
        <v>Mozambique</v>
      </c>
      <c r="O72">
        <f>country!D129</f>
        <v>380.84424396822391</v>
      </c>
      <c r="P72">
        <f>country!G129</f>
        <v>23.8</v>
      </c>
    </row>
    <row r="73" spans="1:16" x14ac:dyDescent="0.35">
      <c r="A73" t="s">
        <v>147</v>
      </c>
      <c r="B73" t="str">
        <f t="shared" ref="B73:F74" si="99">H42</f>
        <v>Guatemala</v>
      </c>
      <c r="C73">
        <f t="shared" si="99"/>
        <v>-0.69399999999999995</v>
      </c>
      <c r="D73">
        <f t="shared" si="99"/>
        <v>-1.5529999999999999</v>
      </c>
      <c r="E73">
        <f t="shared" si="99"/>
        <v>-2.798</v>
      </c>
      <c r="F73">
        <f t="shared" si="99"/>
        <v>-4.5330000000000004</v>
      </c>
      <c r="H73" t="s">
        <v>395</v>
      </c>
      <c r="I73">
        <v>-0.67300000000000004</v>
      </c>
      <c r="J73">
        <v>-1.464</v>
      </c>
      <c r="K73">
        <v>-2.4039999999999999</v>
      </c>
      <c r="L73">
        <v>-3.6160000000000001</v>
      </c>
      <c r="N73" t="str">
        <f>country!A130</f>
        <v>Namibia</v>
      </c>
      <c r="O73">
        <f>country!D130</f>
        <v>4101.3694407822486</v>
      </c>
      <c r="P73">
        <f>country!G130</f>
        <v>19.899999999999999</v>
      </c>
    </row>
    <row r="74" spans="1:16" x14ac:dyDescent="0.35">
      <c r="A74" t="s">
        <v>373</v>
      </c>
      <c r="B74" t="str">
        <f t="shared" si="99"/>
        <v>Guinea</v>
      </c>
      <c r="C74">
        <f t="shared" si="99"/>
        <v>-2.7120000000000002</v>
      </c>
      <c r="D74">
        <f t="shared" si="99"/>
        <v>-6.093</v>
      </c>
      <c r="E74">
        <f t="shared" si="99"/>
        <v>-9.8960000000000008</v>
      </c>
      <c r="F74">
        <f t="shared" si="99"/>
        <v>-14.689</v>
      </c>
      <c r="H74" t="s">
        <v>169</v>
      </c>
      <c r="I74">
        <v>-1.012</v>
      </c>
      <c r="J74">
        <v>-2.8809999999999998</v>
      </c>
      <c r="K74">
        <v>-5.7309999999999999</v>
      </c>
      <c r="L74">
        <v>-9.859</v>
      </c>
      <c r="N74" t="str">
        <f>country!A131</f>
        <v>Nepal</v>
      </c>
      <c r="O74">
        <f>country!D131</f>
        <v>376.34220962776232</v>
      </c>
      <c r="P74">
        <f>country!G131</f>
        <v>8.1</v>
      </c>
    </row>
    <row r="75" spans="1:16" x14ac:dyDescent="0.35">
      <c r="A75" t="s">
        <v>374</v>
      </c>
      <c r="B75" t="str">
        <f>H$138</f>
        <v>Rest of Western Africa</v>
      </c>
      <c r="C75">
        <f t="shared" ref="C75" si="100">I$138</f>
        <v>-4.4320000000000004</v>
      </c>
      <c r="D75">
        <f t="shared" ref="D75" si="101">J$138</f>
        <v>-9.7690000000000001</v>
      </c>
      <c r="E75">
        <f t="shared" ref="E75" si="102">K$138</f>
        <v>-15.566000000000001</v>
      </c>
      <c r="F75">
        <f t="shared" ref="F75" si="103">L$138</f>
        <v>-21.937999999999999</v>
      </c>
      <c r="H75" t="s">
        <v>170</v>
      </c>
      <c r="I75">
        <v>-0.11799999999999999</v>
      </c>
      <c r="J75">
        <v>-0.27500000000000002</v>
      </c>
      <c r="K75">
        <v>-0.46700000000000003</v>
      </c>
      <c r="L75">
        <v>-0.69399999999999995</v>
      </c>
      <c r="N75" t="str">
        <f>country!A132</f>
        <v>Netherlands</v>
      </c>
      <c r="O75">
        <f>country!D132</f>
        <v>41110.27840287541</v>
      </c>
      <c r="P75">
        <f>country!G132</f>
        <v>9.1999999999999993</v>
      </c>
    </row>
    <row r="76" spans="1:16" x14ac:dyDescent="0.35">
      <c r="A76" t="s">
        <v>375</v>
      </c>
      <c r="B76" t="str">
        <f>H$133</f>
        <v>Rest of South America</v>
      </c>
      <c r="C76">
        <f>I$133</f>
        <v>-0.45900000000000002</v>
      </c>
      <c r="D76">
        <f>J$133</f>
        <v>-0.93700000000000006</v>
      </c>
      <c r="E76">
        <f>K$133</f>
        <v>-1.5449999999999999</v>
      </c>
      <c r="F76">
        <f>L$133</f>
        <v>-2.4460000000000002</v>
      </c>
      <c r="H76" t="s">
        <v>656</v>
      </c>
      <c r="I76">
        <v>-0.14399999999999999</v>
      </c>
      <c r="J76">
        <v>-0.41299999999999998</v>
      </c>
      <c r="K76">
        <v>-0.79800000000000004</v>
      </c>
      <c r="L76">
        <v>-1.2689999999999999</v>
      </c>
      <c r="N76" t="str">
        <f>country!A133</f>
        <v>New Zealand</v>
      </c>
      <c r="O76">
        <f>country!D133</f>
        <v>27483.511003152802</v>
      </c>
      <c r="P76">
        <f>country!G133</f>
        <v>10.5</v>
      </c>
    </row>
    <row r="77" spans="1:16" x14ac:dyDescent="0.35">
      <c r="A77" t="s">
        <v>376</v>
      </c>
      <c r="B77" t="str">
        <f>H$140</f>
        <v>Rest of the Caribbean</v>
      </c>
      <c r="C77">
        <f t="shared" ref="C77" si="104">I$140</f>
        <v>-1.8640000000000001</v>
      </c>
      <c r="D77">
        <f t="shared" ref="D77" si="105">J$140</f>
        <v>-4.5289999999999999</v>
      </c>
      <c r="E77">
        <f t="shared" ref="E77" si="106">K$140</f>
        <v>-8.2070000000000007</v>
      </c>
      <c r="F77">
        <f t="shared" ref="F77" si="107">L$140</f>
        <v>-12.605</v>
      </c>
      <c r="H77" t="s">
        <v>396</v>
      </c>
      <c r="I77">
        <v>-3.02</v>
      </c>
      <c r="J77">
        <v>-6.8979999999999997</v>
      </c>
      <c r="K77">
        <v>-11.673</v>
      </c>
      <c r="L77">
        <v>-17.263999999999999</v>
      </c>
      <c r="N77" t="str">
        <f>country!A134</f>
        <v>Nicaragua</v>
      </c>
      <c r="O77">
        <f>country!D134</f>
        <v>1230.3353843860234</v>
      </c>
      <c r="P77">
        <f>country!G134</f>
        <v>24.8</v>
      </c>
    </row>
    <row r="78" spans="1:16" x14ac:dyDescent="0.35">
      <c r="A78" t="s">
        <v>148</v>
      </c>
      <c r="B78" t="str">
        <f t="shared" ref="B78:F80" si="108">H44</f>
        <v>Honduras</v>
      </c>
      <c r="C78">
        <f t="shared" si="108"/>
        <v>-2.7509999999999999</v>
      </c>
      <c r="D78">
        <f t="shared" si="108"/>
        <v>-6.492</v>
      </c>
      <c r="E78">
        <f t="shared" si="108"/>
        <v>-11.125999999999999</v>
      </c>
      <c r="F78">
        <f t="shared" si="108"/>
        <v>-16.521000000000001</v>
      </c>
      <c r="H78" t="s">
        <v>172</v>
      </c>
      <c r="I78">
        <v>-4.5279999999999996</v>
      </c>
      <c r="J78">
        <v>-9.6890000000000001</v>
      </c>
      <c r="K78">
        <v>-15.723000000000001</v>
      </c>
      <c r="L78">
        <v>-22.25</v>
      </c>
      <c r="N78" t="str">
        <f>country!A136</f>
        <v>Nigeria</v>
      </c>
      <c r="O78">
        <f>country!D136</f>
        <v>995.6802013953959</v>
      </c>
      <c r="P78">
        <f>country!G136</f>
        <v>26.8</v>
      </c>
    </row>
    <row r="79" spans="1:16" x14ac:dyDescent="0.35">
      <c r="A79" t="s">
        <v>149</v>
      </c>
      <c r="B79" t="str">
        <f t="shared" si="108"/>
        <v>Hong Kong</v>
      </c>
      <c r="C79">
        <f t="shared" si="108"/>
        <v>-1.3140000000000001</v>
      </c>
      <c r="D79">
        <f t="shared" si="108"/>
        <v>-3.0819999999999999</v>
      </c>
      <c r="E79">
        <f t="shared" si="108"/>
        <v>-5.2880000000000003</v>
      </c>
      <c r="F79">
        <f t="shared" si="108"/>
        <v>-7.6550000000000002</v>
      </c>
      <c r="H79" t="s">
        <v>173</v>
      </c>
      <c r="I79">
        <v>-0.16</v>
      </c>
      <c r="J79">
        <v>-0.377</v>
      </c>
      <c r="K79">
        <v>-0.64600000000000002</v>
      </c>
      <c r="L79">
        <v>-0.96699999999999997</v>
      </c>
      <c r="N79" t="str">
        <f>country!A137</f>
        <v>Norway</v>
      </c>
      <c r="O79">
        <f>country!D137</f>
        <v>64589.974659965468</v>
      </c>
      <c r="P79">
        <f>country!G137</f>
        <v>1.5</v>
      </c>
    </row>
    <row r="80" spans="1:16" x14ac:dyDescent="0.35">
      <c r="A80" t="s">
        <v>150</v>
      </c>
      <c r="B80" t="str">
        <f t="shared" si="108"/>
        <v>Hungary</v>
      </c>
      <c r="C80">
        <f t="shared" si="108"/>
        <v>-0.19700000000000001</v>
      </c>
      <c r="D80">
        <f t="shared" si="108"/>
        <v>-0.39</v>
      </c>
      <c r="E80">
        <f t="shared" si="108"/>
        <v>-0.59</v>
      </c>
      <c r="F80">
        <f t="shared" si="108"/>
        <v>-0.88400000000000001</v>
      </c>
      <c r="H80" t="s">
        <v>398</v>
      </c>
      <c r="I80">
        <v>-0.996</v>
      </c>
      <c r="J80">
        <v>-2.2480000000000002</v>
      </c>
      <c r="K80">
        <v>-3.78</v>
      </c>
      <c r="L80">
        <v>-5.4820000000000002</v>
      </c>
      <c r="N80" t="str">
        <f>country!A138</f>
        <v>Oman</v>
      </c>
      <c r="O80">
        <f>country!D138</f>
        <v>14962.028989271066</v>
      </c>
      <c r="P80">
        <f>country!G138</f>
        <v>25.6</v>
      </c>
    </row>
    <row r="81" spans="1:16" x14ac:dyDescent="0.35">
      <c r="A81" t="s">
        <v>151</v>
      </c>
      <c r="B81" t="str">
        <f>H$126</f>
        <v>Rest of EFTA</v>
      </c>
      <c r="C81">
        <f t="shared" ref="C81" si="109">I$126</f>
        <v>-9.7000000000000003E-2</v>
      </c>
      <c r="D81">
        <f t="shared" ref="D81" si="110">J$126</f>
        <v>-0.24199999999999999</v>
      </c>
      <c r="E81">
        <f t="shared" ref="E81" si="111">K$126</f>
        <v>-0.42099999999999999</v>
      </c>
      <c r="F81">
        <f t="shared" ref="F81" si="112">L$126</f>
        <v>-0.63400000000000001</v>
      </c>
      <c r="H81" t="s">
        <v>174</v>
      </c>
      <c r="I81">
        <v>-1.901</v>
      </c>
      <c r="J81">
        <v>-3.9940000000000002</v>
      </c>
      <c r="K81">
        <v>-6.4349999999999996</v>
      </c>
      <c r="L81">
        <v>-9.3379999999999992</v>
      </c>
      <c r="N81" t="str">
        <f>country!A139</f>
        <v>Pakistan</v>
      </c>
      <c r="O81">
        <f>country!D139</f>
        <v>748.01048783794772</v>
      </c>
      <c r="P81">
        <f>country!G139</f>
        <v>20.2</v>
      </c>
    </row>
    <row r="82" spans="1:16" x14ac:dyDescent="0.35">
      <c r="A82" t="s">
        <v>152</v>
      </c>
      <c r="B82" t="str">
        <f t="shared" ref="B82:F84" si="113">H47</f>
        <v>India</v>
      </c>
      <c r="C82">
        <f t="shared" si="113"/>
        <v>-2.9220000000000002</v>
      </c>
      <c r="D82">
        <f t="shared" si="113"/>
        <v>-6.4340000000000002</v>
      </c>
      <c r="E82">
        <f t="shared" si="113"/>
        <v>-10.351000000000001</v>
      </c>
      <c r="F82">
        <f t="shared" si="113"/>
        <v>-14.622</v>
      </c>
      <c r="H82" t="s">
        <v>175</v>
      </c>
      <c r="I82">
        <v>-2.1970000000000001</v>
      </c>
      <c r="J82">
        <v>-5.367</v>
      </c>
      <c r="K82">
        <v>-9.58</v>
      </c>
      <c r="L82">
        <v>-14.457000000000001</v>
      </c>
      <c r="N82" t="str">
        <f>country!A142</f>
        <v>Panama</v>
      </c>
      <c r="O82">
        <f>country!D142</f>
        <v>6145.3352543359524</v>
      </c>
      <c r="P82">
        <f>country!G142</f>
        <v>25.4</v>
      </c>
    </row>
    <row r="83" spans="1:16" x14ac:dyDescent="0.35">
      <c r="A83" t="s">
        <v>153</v>
      </c>
      <c r="B83" t="str">
        <f t="shared" si="113"/>
        <v>Indonesia</v>
      </c>
      <c r="C83">
        <f t="shared" si="113"/>
        <v>-3.347</v>
      </c>
      <c r="D83">
        <f t="shared" si="113"/>
        <v>-7.98</v>
      </c>
      <c r="E83">
        <f t="shared" si="113"/>
        <v>-13.266999999999999</v>
      </c>
      <c r="F83">
        <f t="shared" si="113"/>
        <v>-19.04</v>
      </c>
      <c r="H83" t="s">
        <v>176</v>
      </c>
      <c r="I83">
        <v>-1.6040000000000001</v>
      </c>
      <c r="J83">
        <v>-3.8730000000000002</v>
      </c>
      <c r="K83">
        <v>-6.7290000000000001</v>
      </c>
      <c r="L83">
        <v>-10.141999999999999</v>
      </c>
      <c r="N83" t="str">
        <f>country!A144</f>
        <v>Paraguay</v>
      </c>
      <c r="O83">
        <f>country!D144</f>
        <v>1725.7948003065951</v>
      </c>
      <c r="P83">
        <f>country!G144</f>
        <v>23.5</v>
      </c>
    </row>
    <row r="84" spans="1:16" x14ac:dyDescent="0.35">
      <c r="A84" t="s">
        <v>154</v>
      </c>
      <c r="B84" t="str">
        <f t="shared" si="113"/>
        <v>Iran</v>
      </c>
      <c r="C84">
        <f t="shared" si="113"/>
        <v>-0.89400000000000002</v>
      </c>
      <c r="D84">
        <f t="shared" si="113"/>
        <v>-2.044</v>
      </c>
      <c r="E84">
        <f t="shared" si="113"/>
        <v>-3.516</v>
      </c>
      <c r="F84">
        <f t="shared" si="113"/>
        <v>-5.3650000000000002</v>
      </c>
      <c r="H84" t="s">
        <v>177</v>
      </c>
      <c r="I84">
        <v>-0.50900000000000001</v>
      </c>
      <c r="J84">
        <v>-1.169</v>
      </c>
      <c r="K84">
        <v>-1.9339999999999999</v>
      </c>
      <c r="L84">
        <v>-2.7679999999999998</v>
      </c>
      <c r="N84" t="str">
        <f>country!A145</f>
        <v>Peru</v>
      </c>
      <c r="O84">
        <f>country!D145</f>
        <v>3536.4885396339923</v>
      </c>
      <c r="P84">
        <f>country!G145</f>
        <v>19.600000000000001</v>
      </c>
    </row>
    <row r="85" spans="1:16" x14ac:dyDescent="0.35">
      <c r="A85" t="s">
        <v>250</v>
      </c>
      <c r="B85" t="str">
        <f>H$139</f>
        <v>Rest of Western Asia</v>
      </c>
      <c r="C85">
        <f t="shared" ref="C85" si="114">I$139</f>
        <v>-0.82899999999999996</v>
      </c>
      <c r="D85">
        <f t="shared" ref="D85" si="115">J$139</f>
        <v>-1.879</v>
      </c>
      <c r="E85">
        <f t="shared" ref="E85" si="116">K$139</f>
        <v>-3.306</v>
      </c>
      <c r="F85">
        <f t="shared" ref="F85" si="117">L$139</f>
        <v>-4.9850000000000003</v>
      </c>
      <c r="H85" t="s">
        <v>178</v>
      </c>
      <c r="I85">
        <v>-4.1130000000000004</v>
      </c>
      <c r="J85">
        <v>-9.1850000000000005</v>
      </c>
      <c r="K85">
        <v>-14.798</v>
      </c>
      <c r="L85">
        <v>-20.986000000000001</v>
      </c>
      <c r="N85" t="str">
        <f>country!A146</f>
        <v>Philippines</v>
      </c>
      <c r="O85">
        <f>country!D146</f>
        <v>1403.3063361554944</v>
      </c>
      <c r="P85">
        <f>country!G146</f>
        <v>25.8</v>
      </c>
    </row>
    <row r="86" spans="1:16" x14ac:dyDescent="0.35">
      <c r="A86" t="s">
        <v>155</v>
      </c>
      <c r="B86" t="str">
        <f>H50</f>
        <v>Ireland</v>
      </c>
      <c r="C86">
        <f>I50</f>
        <v>-0.184</v>
      </c>
      <c r="D86">
        <f>J50</f>
        <v>-0.436</v>
      </c>
      <c r="E86">
        <f>K50</f>
        <v>-0.748</v>
      </c>
      <c r="F86">
        <f>L50</f>
        <v>-1.125</v>
      </c>
      <c r="H86" t="s">
        <v>179</v>
      </c>
      <c r="I86">
        <v>-0.16600000000000001</v>
      </c>
      <c r="J86">
        <v>-0.33200000000000002</v>
      </c>
      <c r="K86">
        <v>-0.51400000000000001</v>
      </c>
      <c r="L86">
        <v>-0.77400000000000002</v>
      </c>
      <c r="N86" t="str">
        <f>country!A147</f>
        <v>Poland</v>
      </c>
      <c r="O86">
        <f>country!D147</f>
        <v>10035.850591834826</v>
      </c>
      <c r="P86">
        <f>country!G147</f>
        <v>7.8</v>
      </c>
    </row>
    <row r="87" spans="1:16" x14ac:dyDescent="0.35">
      <c r="A87" t="s">
        <v>604</v>
      </c>
      <c r="B87" t="str">
        <f>H$127</f>
        <v>Rest of Europe</v>
      </c>
      <c r="C87">
        <f t="shared" ref="C87" si="118">I$127</f>
        <v>-8.8999999999999996E-2</v>
      </c>
      <c r="D87">
        <f t="shared" ref="D87" si="119">J$127</f>
        <v>-0.15</v>
      </c>
      <c r="E87">
        <f t="shared" ref="E87" si="120">K$127</f>
        <v>-0.20499999999999999</v>
      </c>
      <c r="F87">
        <f t="shared" ref="F87" si="121">L$127</f>
        <v>-0.318</v>
      </c>
      <c r="H87" t="s">
        <v>180</v>
      </c>
      <c r="I87">
        <v>-0.12</v>
      </c>
      <c r="J87">
        <v>-0.27500000000000002</v>
      </c>
      <c r="K87">
        <v>-0.46</v>
      </c>
      <c r="L87">
        <v>-0.68400000000000005</v>
      </c>
      <c r="N87" t="str">
        <f>country!A148</f>
        <v>Portugal</v>
      </c>
      <c r="O87">
        <f>country!D148</f>
        <v>18535.131234142536</v>
      </c>
      <c r="P87">
        <f>country!G148</f>
        <v>15.1</v>
      </c>
    </row>
    <row r="88" spans="1:16" x14ac:dyDescent="0.35">
      <c r="A88" t="s">
        <v>156</v>
      </c>
      <c r="B88" t="str">
        <f t="shared" ref="B88:F94" si="122">H51</f>
        <v>Israel</v>
      </c>
      <c r="C88">
        <f t="shared" si="122"/>
        <v>-0.74299999999999999</v>
      </c>
      <c r="D88">
        <f t="shared" si="122"/>
        <v>-1.514</v>
      </c>
      <c r="E88">
        <f t="shared" si="122"/>
        <v>-2.3170000000000002</v>
      </c>
      <c r="F88">
        <f t="shared" si="122"/>
        <v>-3.4159999999999999</v>
      </c>
      <c r="H88" t="s">
        <v>232</v>
      </c>
      <c r="I88">
        <v>-1.2689999999999999</v>
      </c>
      <c r="J88">
        <v>-3.2970000000000002</v>
      </c>
      <c r="K88">
        <v>-6.5270000000000001</v>
      </c>
      <c r="L88">
        <v>-10.536</v>
      </c>
      <c r="N88" t="str">
        <f>country!A149</f>
        <v>Puerto Rico</v>
      </c>
      <c r="O88">
        <f>country!D149</f>
        <v>20782.83569150712</v>
      </c>
      <c r="P88">
        <f>country!G149</f>
        <v>25.2</v>
      </c>
    </row>
    <row r="89" spans="1:16" x14ac:dyDescent="0.35">
      <c r="A89" t="s">
        <v>157</v>
      </c>
      <c r="B89" t="str">
        <f t="shared" si="122"/>
        <v>Italy</v>
      </c>
      <c r="C89">
        <f t="shared" si="122"/>
        <v>-0.14399999999999999</v>
      </c>
      <c r="D89">
        <f t="shared" si="122"/>
        <v>-0.34200000000000003</v>
      </c>
      <c r="E89">
        <f t="shared" si="122"/>
        <v>-0.58799999999999997</v>
      </c>
      <c r="F89">
        <f t="shared" si="122"/>
        <v>-0.90600000000000003</v>
      </c>
      <c r="H89" t="s">
        <v>402</v>
      </c>
      <c r="I89">
        <v>-2.0910000000000002</v>
      </c>
      <c r="J89">
        <v>-4.6180000000000003</v>
      </c>
      <c r="K89">
        <v>-7.3040000000000003</v>
      </c>
      <c r="L89">
        <v>-10.358000000000001</v>
      </c>
      <c r="N89" t="str">
        <f>country!A150</f>
        <v>Qatar</v>
      </c>
      <c r="O89">
        <f>country!D150</f>
        <v>58256.966788513462</v>
      </c>
      <c r="P89">
        <f>country!G150</f>
        <v>27.2</v>
      </c>
    </row>
    <row r="90" spans="1:16" x14ac:dyDescent="0.35">
      <c r="A90" t="s">
        <v>159</v>
      </c>
      <c r="B90" t="str">
        <f t="shared" si="122"/>
        <v>Jamaica</v>
      </c>
      <c r="C90">
        <f t="shared" si="122"/>
        <v>-1.4850000000000001</v>
      </c>
      <c r="D90">
        <f t="shared" si="122"/>
        <v>-3.6960000000000002</v>
      </c>
      <c r="E90">
        <f t="shared" si="122"/>
        <v>-6.94</v>
      </c>
      <c r="F90">
        <f t="shared" si="122"/>
        <v>-10.813000000000001</v>
      </c>
      <c r="H90" t="s">
        <v>181</v>
      </c>
      <c r="I90">
        <v>-0.17100000000000001</v>
      </c>
      <c r="J90">
        <v>-0.32900000000000001</v>
      </c>
      <c r="K90">
        <v>-0.48299999999999998</v>
      </c>
      <c r="L90">
        <v>-0.754</v>
      </c>
      <c r="N90" t="str">
        <f>country!A151</f>
        <v>Romania</v>
      </c>
      <c r="O90">
        <f>country!D151</f>
        <v>5321.8101990424975</v>
      </c>
      <c r="P90">
        <f>country!G151</f>
        <v>8.8000000000000007</v>
      </c>
    </row>
    <row r="91" spans="1:16" x14ac:dyDescent="0.35">
      <c r="A91" t="s">
        <v>64</v>
      </c>
      <c r="B91" t="str">
        <f t="shared" si="122"/>
        <v>Japan</v>
      </c>
      <c r="C91">
        <f t="shared" si="122"/>
        <v>-0.182</v>
      </c>
      <c r="D91">
        <f t="shared" si="122"/>
        <v>-0.59499999999999997</v>
      </c>
      <c r="E91">
        <f t="shared" si="122"/>
        <v>-1.335</v>
      </c>
      <c r="F91">
        <f t="shared" si="122"/>
        <v>-2.4119999999999999</v>
      </c>
      <c r="H91" t="s">
        <v>658</v>
      </c>
      <c r="I91">
        <v>-0.26600000000000001</v>
      </c>
      <c r="J91">
        <v>-0.56799999999999995</v>
      </c>
      <c r="K91">
        <v>-0.93600000000000005</v>
      </c>
      <c r="L91">
        <v>-1.405</v>
      </c>
      <c r="N91" t="str">
        <f>country!A152</f>
        <v>Russia</v>
      </c>
      <c r="O91">
        <f>country!D152</f>
        <v>6385.6173068952321</v>
      </c>
      <c r="P91">
        <f>country!G152</f>
        <v>-5.0999999999999996</v>
      </c>
    </row>
    <row r="92" spans="1:16" x14ac:dyDescent="0.35">
      <c r="A92" t="s">
        <v>251</v>
      </c>
      <c r="B92" t="str">
        <f t="shared" si="122"/>
        <v>Jordan</v>
      </c>
      <c r="C92">
        <f t="shared" si="122"/>
        <v>-0.98199999999999998</v>
      </c>
      <c r="D92">
        <f t="shared" si="122"/>
        <v>-1.998</v>
      </c>
      <c r="E92">
        <f t="shared" si="122"/>
        <v>-3.254</v>
      </c>
      <c r="F92">
        <f t="shared" si="122"/>
        <v>-4.835</v>
      </c>
      <c r="H92" t="s">
        <v>182</v>
      </c>
      <c r="I92">
        <v>-2.1070000000000002</v>
      </c>
      <c r="J92">
        <v>-4.49</v>
      </c>
      <c r="K92">
        <v>-7.0469999999999997</v>
      </c>
      <c r="L92">
        <v>-9.8190000000000008</v>
      </c>
      <c r="N92" t="str">
        <f>country!A153</f>
        <v>Rwanda</v>
      </c>
      <c r="O92">
        <f>country!D153</f>
        <v>349.34486347036096</v>
      </c>
      <c r="P92">
        <f>country!G153</f>
        <v>17.899999999999999</v>
      </c>
    </row>
    <row r="93" spans="1:16" x14ac:dyDescent="0.35">
      <c r="A93" t="s">
        <v>377</v>
      </c>
      <c r="B93" t="str">
        <f t="shared" si="122"/>
        <v>Kazakhstan</v>
      </c>
      <c r="C93">
        <f t="shared" si="122"/>
        <v>-0.371</v>
      </c>
      <c r="D93">
        <f t="shared" si="122"/>
        <v>-0.59199999999999997</v>
      </c>
      <c r="E93">
        <f t="shared" si="122"/>
        <v>-0.82</v>
      </c>
      <c r="F93">
        <f t="shared" si="122"/>
        <v>-1.137</v>
      </c>
      <c r="H93" t="s">
        <v>253</v>
      </c>
      <c r="I93">
        <v>-1.65</v>
      </c>
      <c r="J93">
        <v>-3.4569999999999999</v>
      </c>
      <c r="K93">
        <v>-5.4489999999999998</v>
      </c>
      <c r="L93">
        <v>-7.7729999999999997</v>
      </c>
      <c r="N93" t="str">
        <f>country!A160</f>
        <v>Saudi Arabia</v>
      </c>
      <c r="O93">
        <f>country!D160</f>
        <v>15994.78055746439</v>
      </c>
      <c r="P93">
        <f>country!G160</f>
        <v>24.6</v>
      </c>
    </row>
    <row r="94" spans="1:16" x14ac:dyDescent="0.35">
      <c r="A94" t="s">
        <v>160</v>
      </c>
      <c r="B94" t="str">
        <f t="shared" si="122"/>
        <v>Kenya</v>
      </c>
      <c r="C94">
        <f t="shared" si="122"/>
        <v>-2.331</v>
      </c>
      <c r="D94">
        <f t="shared" si="122"/>
        <v>-4.7060000000000004</v>
      </c>
      <c r="E94">
        <f t="shared" si="122"/>
        <v>-7.2380000000000004</v>
      </c>
      <c r="F94">
        <f t="shared" si="122"/>
        <v>-10.506</v>
      </c>
      <c r="H94" t="s">
        <v>184</v>
      </c>
      <c r="I94">
        <v>-3.859</v>
      </c>
      <c r="J94">
        <v>-8.1890000000000001</v>
      </c>
      <c r="K94">
        <v>-13.000999999999999</v>
      </c>
      <c r="L94">
        <v>-18.544</v>
      </c>
      <c r="N94" t="str">
        <f>country!A161</f>
        <v>Senegal</v>
      </c>
      <c r="O94">
        <f>country!D161</f>
        <v>800.43110309607573</v>
      </c>
      <c r="P94">
        <f>country!G161</f>
        <v>27.8</v>
      </c>
    </row>
    <row r="95" spans="1:16" x14ac:dyDescent="0.35">
      <c r="A95" t="s">
        <v>378</v>
      </c>
      <c r="B95" t="str">
        <f>H$131</f>
        <v>Rest of Oceania</v>
      </c>
      <c r="C95">
        <f>I$131</f>
        <v>-1.0149999999999999</v>
      </c>
      <c r="D95">
        <f>J$131</f>
        <v>-2.6269999999999998</v>
      </c>
      <c r="E95">
        <f>K$131</f>
        <v>-5.1710000000000003</v>
      </c>
      <c r="F95">
        <f>L$131</f>
        <v>-8.5530000000000008</v>
      </c>
      <c r="H95" t="s">
        <v>207</v>
      </c>
      <c r="I95">
        <v>-2.7290000000000001</v>
      </c>
      <c r="J95">
        <v>-6.923</v>
      </c>
      <c r="K95">
        <v>-11.651999999999999</v>
      </c>
      <c r="L95">
        <v>-16.565999999999999</v>
      </c>
      <c r="N95" t="str">
        <f>country!A165</f>
        <v>Singapore</v>
      </c>
      <c r="O95">
        <f>country!D165</f>
        <v>34758.404334915285</v>
      </c>
      <c r="P95">
        <f>country!G165</f>
        <v>26.4</v>
      </c>
    </row>
    <row r="96" spans="1:16" x14ac:dyDescent="0.35">
      <c r="A96" t="s">
        <v>379</v>
      </c>
      <c r="B96" t="str">
        <f>H$127</f>
        <v>Rest of Europe</v>
      </c>
      <c r="C96">
        <f t="shared" ref="C96" si="123">I$127</f>
        <v>-8.8999999999999996E-2</v>
      </c>
      <c r="D96">
        <f t="shared" ref="D96" si="124">J$127</f>
        <v>-0.15</v>
      </c>
      <c r="E96">
        <f t="shared" ref="E96" si="125">K$127</f>
        <v>-0.20499999999999999</v>
      </c>
      <c r="F96">
        <f t="shared" ref="F96" si="126">L$127</f>
        <v>-0.318</v>
      </c>
      <c r="H96" t="s">
        <v>235</v>
      </c>
      <c r="I96">
        <v>-0.129</v>
      </c>
      <c r="J96">
        <v>-0.28499999999999998</v>
      </c>
      <c r="K96">
        <v>-0.47</v>
      </c>
      <c r="L96">
        <v>-0.70599999999999996</v>
      </c>
      <c r="N96" t="str">
        <f>country!A166</f>
        <v>Slovakia</v>
      </c>
      <c r="O96">
        <f>country!D166</f>
        <v>14161.797545718329</v>
      </c>
      <c r="P96">
        <f>country!G166</f>
        <v>6.8</v>
      </c>
    </row>
    <row r="97" spans="1:16" x14ac:dyDescent="0.35">
      <c r="A97" t="s">
        <v>380</v>
      </c>
      <c r="B97" t="str">
        <f t="shared" ref="B97:F100" si="127">H58</f>
        <v>Kuwait</v>
      </c>
      <c r="C97">
        <f t="shared" si="127"/>
        <v>-1.3149999999999999</v>
      </c>
      <c r="D97">
        <f t="shared" si="127"/>
        <v>-2.7949999999999999</v>
      </c>
      <c r="E97">
        <f t="shared" si="127"/>
        <v>-4.4880000000000004</v>
      </c>
      <c r="F97">
        <f t="shared" si="127"/>
        <v>-6.3869999999999996</v>
      </c>
      <c r="H97" t="s">
        <v>236</v>
      </c>
      <c r="I97">
        <v>-0.13900000000000001</v>
      </c>
      <c r="J97">
        <v>-0.31</v>
      </c>
      <c r="K97">
        <v>-0.51200000000000001</v>
      </c>
      <c r="L97">
        <v>-0.76400000000000001</v>
      </c>
      <c r="N97" t="str">
        <f>country!A167</f>
        <v>Slovenia</v>
      </c>
      <c r="O97">
        <f>country!D167</f>
        <v>19054.257484924816</v>
      </c>
      <c r="P97">
        <f>country!G167</f>
        <v>8.9</v>
      </c>
    </row>
    <row r="98" spans="1:16" x14ac:dyDescent="0.35">
      <c r="A98" t="s">
        <v>252</v>
      </c>
      <c r="B98" t="str">
        <f t="shared" si="127"/>
        <v>Kyrgyzstan</v>
      </c>
      <c r="C98">
        <f t="shared" si="127"/>
        <v>-0.377</v>
      </c>
      <c r="D98">
        <f t="shared" si="127"/>
        <v>-0.61399999999999999</v>
      </c>
      <c r="E98">
        <f t="shared" si="127"/>
        <v>-0.93</v>
      </c>
      <c r="F98">
        <f t="shared" si="127"/>
        <v>-1.5</v>
      </c>
      <c r="H98" t="s">
        <v>237</v>
      </c>
      <c r="I98">
        <v>-0.74</v>
      </c>
      <c r="J98">
        <v>-1.57</v>
      </c>
      <c r="K98">
        <v>-2.464</v>
      </c>
      <c r="L98">
        <v>-3.4329999999999998</v>
      </c>
      <c r="N98" t="str">
        <f>country!A169</f>
        <v>South Africa</v>
      </c>
      <c r="O98">
        <f>country!D169</f>
        <v>5797.2434904439497</v>
      </c>
      <c r="P98">
        <f>country!G169</f>
        <v>17.8</v>
      </c>
    </row>
    <row r="99" spans="1:16" x14ac:dyDescent="0.35">
      <c r="A99" t="s">
        <v>381</v>
      </c>
      <c r="B99" t="str">
        <f t="shared" si="127"/>
        <v>Laos</v>
      </c>
      <c r="C99">
        <f t="shared" si="127"/>
        <v>-3.3690000000000002</v>
      </c>
      <c r="D99">
        <f t="shared" si="127"/>
        <v>-6.7949999999999999</v>
      </c>
      <c r="E99">
        <f t="shared" si="127"/>
        <v>-10.62</v>
      </c>
      <c r="F99">
        <f t="shared" si="127"/>
        <v>-15.759</v>
      </c>
      <c r="H99" t="s">
        <v>186</v>
      </c>
      <c r="I99">
        <v>-0.21099999999999999</v>
      </c>
      <c r="J99">
        <v>-0.73099999999999998</v>
      </c>
      <c r="K99">
        <v>-1.498</v>
      </c>
      <c r="L99">
        <v>-2.6659999999999999</v>
      </c>
      <c r="N99" t="str">
        <f>country!A170</f>
        <v>South Korea</v>
      </c>
      <c r="O99">
        <f>country!D170</f>
        <v>22236.187948867053</v>
      </c>
      <c r="P99">
        <f>country!G170</f>
        <v>11.5</v>
      </c>
    </row>
    <row r="100" spans="1:16" x14ac:dyDescent="0.35">
      <c r="A100" t="s">
        <v>226</v>
      </c>
      <c r="B100" t="str">
        <f t="shared" si="127"/>
        <v>Latvia</v>
      </c>
      <c r="C100">
        <f t="shared" si="127"/>
        <v>-0.14000000000000001</v>
      </c>
      <c r="D100">
        <f t="shared" si="127"/>
        <v>-0.25900000000000001</v>
      </c>
      <c r="E100">
        <f t="shared" si="127"/>
        <v>-0.39400000000000002</v>
      </c>
      <c r="F100">
        <f t="shared" si="127"/>
        <v>-0.56399999999999995</v>
      </c>
      <c r="H100" t="s">
        <v>187</v>
      </c>
      <c r="I100">
        <v>-0.14699999999999999</v>
      </c>
      <c r="J100">
        <v>-0.34100000000000003</v>
      </c>
      <c r="K100">
        <v>-0.57499999999999996</v>
      </c>
      <c r="L100">
        <v>-0.871</v>
      </c>
      <c r="N100" t="str">
        <f>country!A171</f>
        <v>Spain</v>
      </c>
      <c r="O100">
        <f>country!D171</f>
        <v>25595.990106992766</v>
      </c>
      <c r="P100">
        <f>country!G171</f>
        <v>13.3</v>
      </c>
    </row>
    <row r="101" spans="1:16" x14ac:dyDescent="0.35">
      <c r="A101" t="s">
        <v>382</v>
      </c>
      <c r="B101" t="str">
        <f>H$139</f>
        <v>Rest of Western Asia</v>
      </c>
      <c r="C101">
        <f t="shared" ref="C101" si="128">I$139</f>
        <v>-0.82899999999999996</v>
      </c>
      <c r="D101">
        <f t="shared" ref="D101" si="129">J$139</f>
        <v>-1.879</v>
      </c>
      <c r="E101">
        <f t="shared" ref="E101" si="130">K$139</f>
        <v>-3.306</v>
      </c>
      <c r="F101">
        <f t="shared" ref="F101" si="131">L$139</f>
        <v>-4.9850000000000003</v>
      </c>
      <c r="H101" t="s">
        <v>188</v>
      </c>
      <c r="I101">
        <v>-2.9889999999999999</v>
      </c>
      <c r="J101">
        <v>-6.9409999999999998</v>
      </c>
      <c r="K101">
        <v>-11.715999999999999</v>
      </c>
      <c r="L101">
        <v>-17.437000000000001</v>
      </c>
      <c r="N101" t="str">
        <f>country!A172</f>
        <v>Sri Lanka</v>
      </c>
      <c r="O101">
        <f>country!D172</f>
        <v>1610.0848370777339</v>
      </c>
      <c r="P101">
        <f>country!G172</f>
        <v>26.9</v>
      </c>
    </row>
    <row r="102" spans="1:16" x14ac:dyDescent="0.35">
      <c r="A102" t="s">
        <v>383</v>
      </c>
      <c r="B102" t="str">
        <f>H$132</f>
        <v>Rest of South African Customs Union</v>
      </c>
      <c r="C102">
        <f t="shared" ref="C102" si="132">I$132</f>
        <v>-0.89</v>
      </c>
      <c r="D102">
        <f t="shared" ref="D102" si="133">J$132</f>
        <v>-1.923</v>
      </c>
      <c r="E102">
        <f t="shared" ref="E102" si="134">K$132</f>
        <v>-3.0449999999999999</v>
      </c>
      <c r="F102">
        <f t="shared" ref="F102" si="135">L$132</f>
        <v>-4.3899999999999997</v>
      </c>
      <c r="H102" t="s">
        <v>191</v>
      </c>
      <c r="I102">
        <v>-9.5000000000000001E-2</v>
      </c>
      <c r="J102">
        <v>-0.21099999999999999</v>
      </c>
      <c r="K102">
        <v>-0.34899999999999998</v>
      </c>
      <c r="L102">
        <v>-0.51600000000000001</v>
      </c>
      <c r="N102" t="str">
        <f>country!A176</f>
        <v>Sweden</v>
      </c>
      <c r="O102">
        <f>country!D176</f>
        <v>42825.675932195161</v>
      </c>
      <c r="P102">
        <f>country!G176</f>
        <v>2.1</v>
      </c>
    </row>
    <row r="103" spans="1:16" x14ac:dyDescent="0.35">
      <c r="A103" t="s">
        <v>384</v>
      </c>
      <c r="B103" t="str">
        <f>H$138</f>
        <v>Rest of Western Africa</v>
      </c>
      <c r="C103">
        <f t="shared" ref="C103" si="136">I$138</f>
        <v>-4.4320000000000004</v>
      </c>
      <c r="D103">
        <f t="shared" ref="D103" si="137">J$138</f>
        <v>-9.7690000000000001</v>
      </c>
      <c r="E103">
        <f t="shared" ref="E103" si="138">K$138</f>
        <v>-15.566000000000001</v>
      </c>
      <c r="F103">
        <f t="shared" ref="F103" si="139">L$138</f>
        <v>-21.937999999999999</v>
      </c>
      <c r="H103" t="s">
        <v>192</v>
      </c>
      <c r="I103">
        <v>-9.4E-2</v>
      </c>
      <c r="J103">
        <v>-0.214</v>
      </c>
      <c r="K103">
        <v>-0.35499999999999998</v>
      </c>
      <c r="L103">
        <v>-0.52200000000000002</v>
      </c>
      <c r="N103" t="str">
        <f>country!A177</f>
        <v>Switzerland</v>
      </c>
      <c r="O103">
        <f>country!D177</f>
        <v>54642.81108074497</v>
      </c>
      <c r="P103">
        <f>country!G177</f>
        <v>5.5</v>
      </c>
    </row>
    <row r="104" spans="1:16" x14ac:dyDescent="0.35">
      <c r="A104" t="s">
        <v>385</v>
      </c>
      <c r="B104" t="str">
        <f>H$129</f>
        <v>Rest of North Africa</v>
      </c>
      <c r="C104">
        <f>I$129</f>
        <v>-0.65300000000000002</v>
      </c>
      <c r="D104">
        <f>J$129</f>
        <v>-1.415</v>
      </c>
      <c r="E104">
        <f>K$129</f>
        <v>-2.3940000000000001</v>
      </c>
      <c r="F104">
        <f>L$129</f>
        <v>-3.6389999999999998</v>
      </c>
      <c r="H104" t="s">
        <v>635</v>
      </c>
      <c r="I104">
        <v>-1.597</v>
      </c>
      <c r="J104">
        <v>-3.56</v>
      </c>
      <c r="K104">
        <v>-5.9779999999999998</v>
      </c>
      <c r="L104">
        <v>-8.5519999999999996</v>
      </c>
    </row>
    <row r="105" spans="1:16" x14ac:dyDescent="0.35">
      <c r="A105" t="s">
        <v>605</v>
      </c>
      <c r="B105" t="str">
        <f>H$126</f>
        <v>Rest of EFTA</v>
      </c>
      <c r="C105">
        <f t="shared" ref="C105:F105" si="140">I$126</f>
        <v>-9.7000000000000003E-2</v>
      </c>
      <c r="D105">
        <f t="shared" si="140"/>
        <v>-0.24199999999999999</v>
      </c>
      <c r="E105">
        <f t="shared" si="140"/>
        <v>-0.42099999999999999</v>
      </c>
      <c r="F105">
        <f t="shared" si="140"/>
        <v>-0.63400000000000001</v>
      </c>
      <c r="H105" t="s">
        <v>194</v>
      </c>
      <c r="I105">
        <v>-1.546</v>
      </c>
      <c r="J105">
        <v>-4.13</v>
      </c>
      <c r="K105">
        <v>-6.9880000000000004</v>
      </c>
      <c r="L105">
        <v>-10.824999999999999</v>
      </c>
      <c r="N105" t="str">
        <f>country!A180</f>
        <v>Tanzania</v>
      </c>
      <c r="O105">
        <f>country!D180</f>
        <v>438.4920862852793</v>
      </c>
      <c r="P105">
        <f>country!G180</f>
        <v>22.3</v>
      </c>
    </row>
    <row r="106" spans="1:16" x14ac:dyDescent="0.35">
      <c r="A106" t="s">
        <v>227</v>
      </c>
      <c r="B106" t="str">
        <f t="shared" ref="B106:F107" si="141">H62</f>
        <v>Lithuania</v>
      </c>
      <c r="C106">
        <f t="shared" si="141"/>
        <v>-0.17899999999999999</v>
      </c>
      <c r="D106">
        <f t="shared" si="141"/>
        <v>-0.28799999999999998</v>
      </c>
      <c r="E106">
        <f t="shared" si="141"/>
        <v>-0.39400000000000002</v>
      </c>
      <c r="F106">
        <f t="shared" si="141"/>
        <v>-0.58699999999999997</v>
      </c>
      <c r="H106" t="s">
        <v>195</v>
      </c>
      <c r="I106">
        <v>-2.5409999999999999</v>
      </c>
      <c r="J106">
        <v>-5.7489999999999997</v>
      </c>
      <c r="K106">
        <v>-9.2430000000000003</v>
      </c>
      <c r="L106">
        <v>-13.269</v>
      </c>
      <c r="N106" t="str">
        <f>country!A181</f>
        <v>Thailand</v>
      </c>
      <c r="O106">
        <f>country!D181</f>
        <v>3163.9038450709104</v>
      </c>
      <c r="P106">
        <f>country!G181</f>
        <v>26.3</v>
      </c>
    </row>
    <row r="107" spans="1:16" x14ac:dyDescent="0.35">
      <c r="A107" t="s">
        <v>161</v>
      </c>
      <c r="B107" t="str">
        <f t="shared" si="141"/>
        <v>Luxembourg</v>
      </c>
      <c r="C107">
        <f t="shared" si="141"/>
        <v>-0.13700000000000001</v>
      </c>
      <c r="D107">
        <f t="shared" si="141"/>
        <v>-0.34300000000000003</v>
      </c>
      <c r="E107">
        <f t="shared" si="141"/>
        <v>-0.6</v>
      </c>
      <c r="F107">
        <f t="shared" si="141"/>
        <v>-0.89600000000000002</v>
      </c>
      <c r="H107" t="s">
        <v>412</v>
      </c>
      <c r="I107">
        <v>-5.5970000000000004</v>
      </c>
      <c r="J107">
        <v>-12.221</v>
      </c>
      <c r="K107">
        <v>-19.032</v>
      </c>
      <c r="L107">
        <v>-26.556000000000001</v>
      </c>
      <c r="N107" t="str">
        <f>country!A183</f>
        <v>Togo</v>
      </c>
      <c r="O107">
        <f>country!D183</f>
        <v>392.85505650149429</v>
      </c>
      <c r="P107">
        <f>country!G183</f>
        <v>27.1</v>
      </c>
    </row>
    <row r="108" spans="1:16" x14ac:dyDescent="0.35">
      <c r="A108" t="s">
        <v>386</v>
      </c>
      <c r="B108" t="str">
        <f>H$123</f>
        <v>Rest of East Asia</v>
      </c>
      <c r="C108">
        <f t="shared" ref="C108:F108" si="142">I$123</f>
        <v>-2.3889999999999998</v>
      </c>
      <c r="D108">
        <f t="shared" si="142"/>
        <v>-5.7089999999999996</v>
      </c>
      <c r="E108">
        <f t="shared" si="142"/>
        <v>-9.49</v>
      </c>
      <c r="F108">
        <f t="shared" si="142"/>
        <v>-13.71</v>
      </c>
      <c r="H108" t="s">
        <v>196</v>
      </c>
      <c r="I108">
        <v>-1.69</v>
      </c>
      <c r="J108">
        <v>-4.1500000000000004</v>
      </c>
      <c r="K108">
        <v>-7.3570000000000002</v>
      </c>
      <c r="L108">
        <v>-10.904999999999999</v>
      </c>
      <c r="N108" t="str">
        <f>country!A185</f>
        <v>Trinidad and Tobago</v>
      </c>
      <c r="O108">
        <f>country!D185</f>
        <v>14297.889414135465</v>
      </c>
      <c r="P108">
        <f>country!G185</f>
        <v>25.7</v>
      </c>
    </row>
    <row r="109" spans="1:16" x14ac:dyDescent="0.35">
      <c r="A109" t="s">
        <v>387</v>
      </c>
      <c r="B109" t="str">
        <f>H$127</f>
        <v>Rest of Europe</v>
      </c>
      <c r="C109">
        <f t="shared" ref="C109" si="143">I$127</f>
        <v>-8.8999999999999996E-2</v>
      </c>
      <c r="D109">
        <f t="shared" ref="D109" si="144">J$127</f>
        <v>-0.15</v>
      </c>
      <c r="E109">
        <f t="shared" ref="E109" si="145">K$127</f>
        <v>-0.20499999999999999</v>
      </c>
      <c r="F109">
        <f t="shared" ref="F109" si="146">L$127</f>
        <v>-0.318</v>
      </c>
      <c r="H109" t="s">
        <v>197</v>
      </c>
      <c r="I109">
        <v>-0.871</v>
      </c>
      <c r="J109">
        <v>-1.8360000000000001</v>
      </c>
      <c r="K109">
        <v>-3.052</v>
      </c>
      <c r="L109">
        <v>-4.609</v>
      </c>
      <c r="N109" t="str">
        <f>country!A186</f>
        <v>Tunisia</v>
      </c>
      <c r="O109">
        <f>country!D186</f>
        <v>3861.5088997834828</v>
      </c>
      <c r="P109">
        <f>country!G186</f>
        <v>19.2</v>
      </c>
    </row>
    <row r="110" spans="1:16" x14ac:dyDescent="0.35">
      <c r="A110" t="s">
        <v>162</v>
      </c>
      <c r="B110" t="str">
        <f t="shared" ref="B110:F112" si="147">H64</f>
        <v>Madagascar</v>
      </c>
      <c r="C110">
        <f t="shared" si="147"/>
        <v>-1.976</v>
      </c>
      <c r="D110">
        <f t="shared" si="147"/>
        <v>-4.2859999999999996</v>
      </c>
      <c r="E110">
        <f t="shared" si="147"/>
        <v>-7.2119999999999997</v>
      </c>
      <c r="F110">
        <f t="shared" si="147"/>
        <v>-10.993</v>
      </c>
      <c r="H110" t="s">
        <v>198</v>
      </c>
      <c r="I110">
        <v>-0.34200000000000003</v>
      </c>
      <c r="J110">
        <v>-0.84199999999999997</v>
      </c>
      <c r="K110">
        <v>-1.54</v>
      </c>
      <c r="L110">
        <v>-2.4790000000000001</v>
      </c>
      <c r="N110" t="str">
        <f>country!A187</f>
        <v>Turkey</v>
      </c>
      <c r="O110">
        <f>country!D187</f>
        <v>7833.5285846205052</v>
      </c>
      <c r="P110">
        <f>country!G187</f>
        <v>11.1</v>
      </c>
    </row>
    <row r="111" spans="1:16" x14ac:dyDescent="0.35">
      <c r="A111" t="s">
        <v>163</v>
      </c>
      <c r="B111" t="str">
        <f t="shared" si="147"/>
        <v>Malawi</v>
      </c>
      <c r="C111">
        <f t="shared" si="147"/>
        <v>-2.2770000000000001</v>
      </c>
      <c r="D111">
        <f t="shared" si="147"/>
        <v>-5.6829999999999998</v>
      </c>
      <c r="E111">
        <f t="shared" si="147"/>
        <v>-9.266</v>
      </c>
      <c r="F111">
        <f t="shared" si="147"/>
        <v>-13.609</v>
      </c>
      <c r="H111" t="s">
        <v>254</v>
      </c>
      <c r="I111">
        <v>-1.7430000000000001</v>
      </c>
      <c r="J111">
        <v>-3.6520000000000001</v>
      </c>
      <c r="K111">
        <v>-6.3280000000000003</v>
      </c>
      <c r="L111">
        <v>-10.404</v>
      </c>
      <c r="N111" t="str">
        <f>country!A190</f>
        <v>Uganda</v>
      </c>
      <c r="O111">
        <f>country!D190</f>
        <v>393.14887775627386</v>
      </c>
      <c r="P111">
        <f>country!G190</f>
        <v>22.8</v>
      </c>
    </row>
    <row r="112" spans="1:16" x14ac:dyDescent="0.35">
      <c r="A112" t="s">
        <v>164</v>
      </c>
      <c r="B112" t="str">
        <f t="shared" si="147"/>
        <v>Malaysia</v>
      </c>
      <c r="C112">
        <f t="shared" si="147"/>
        <v>-3.0840000000000001</v>
      </c>
      <c r="D112">
        <f t="shared" si="147"/>
        <v>-7.1449999999999996</v>
      </c>
      <c r="E112">
        <f t="shared" si="147"/>
        <v>-12.118</v>
      </c>
      <c r="F112">
        <f t="shared" si="147"/>
        <v>-17.338999999999999</v>
      </c>
      <c r="H112" t="s">
        <v>238</v>
      </c>
      <c r="I112">
        <v>-0.153</v>
      </c>
      <c r="J112">
        <v>-0.219</v>
      </c>
      <c r="K112">
        <v>-0.25</v>
      </c>
      <c r="L112">
        <v>-0.38200000000000001</v>
      </c>
      <c r="N112" t="str">
        <f>country!A191</f>
        <v>Ukraine</v>
      </c>
      <c r="O112">
        <f>country!D191</f>
        <v>1974.6211818802449</v>
      </c>
      <c r="P112">
        <f>country!G191</f>
        <v>8.3000000000000007</v>
      </c>
    </row>
    <row r="113" spans="1:16" x14ac:dyDescent="0.35">
      <c r="A113" t="s">
        <v>388</v>
      </c>
      <c r="B113" t="str">
        <f>H$134</f>
        <v>Rest of South Asia</v>
      </c>
      <c r="C113">
        <f t="shared" ref="C113" si="148">I$134</f>
        <v>-2.778</v>
      </c>
      <c r="D113">
        <f t="shared" ref="D113" si="149">J$134</f>
        <v>-6.0019999999999998</v>
      </c>
      <c r="E113">
        <f t="shared" ref="E113" si="150">K$134</f>
        <v>-9.6059999999999999</v>
      </c>
      <c r="F113">
        <f t="shared" ref="F113" si="151">L$134</f>
        <v>-13.88</v>
      </c>
      <c r="H113" t="s">
        <v>416</v>
      </c>
      <c r="I113">
        <v>-2.2069999999999999</v>
      </c>
      <c r="J113">
        <v>-4.7990000000000004</v>
      </c>
      <c r="K113">
        <v>-7.6840000000000002</v>
      </c>
      <c r="L113">
        <v>-10.976000000000001</v>
      </c>
      <c r="N113" t="str">
        <f>country!A192</f>
        <v>United Arab Emirates</v>
      </c>
      <c r="O113">
        <f>country!D192</f>
        <v>24219.297645532275</v>
      </c>
      <c r="P113">
        <f>country!G192</f>
        <v>27</v>
      </c>
    </row>
    <row r="114" spans="1:16" x14ac:dyDescent="0.35">
      <c r="A114" t="s">
        <v>165</v>
      </c>
      <c r="B114" t="str">
        <f>H$138</f>
        <v>Rest of Western Africa</v>
      </c>
      <c r="C114">
        <f t="shared" ref="C114" si="152">I$138</f>
        <v>-4.4320000000000004</v>
      </c>
      <c r="D114">
        <f t="shared" ref="D114" si="153">J$138</f>
        <v>-9.7690000000000001</v>
      </c>
      <c r="E114">
        <f t="shared" ref="E114" si="154">K$138</f>
        <v>-15.566000000000001</v>
      </c>
      <c r="F114">
        <f t="shared" ref="F114" si="155">L$138</f>
        <v>-21.937999999999999</v>
      </c>
      <c r="H114" t="s">
        <v>199</v>
      </c>
      <c r="I114">
        <v>-0.122</v>
      </c>
      <c r="J114">
        <v>-0.26</v>
      </c>
      <c r="K114">
        <v>-0.42199999999999999</v>
      </c>
      <c r="L114">
        <v>-0.61299999999999999</v>
      </c>
      <c r="N114" t="str">
        <f>country!A193</f>
        <v>United Kingdom</v>
      </c>
      <c r="O114">
        <f>country!D193</f>
        <v>37899.295520911917</v>
      </c>
      <c r="P114">
        <f>country!G193</f>
        <v>8.4</v>
      </c>
    </row>
    <row r="115" spans="1:16" x14ac:dyDescent="0.35">
      <c r="A115" t="s">
        <v>389</v>
      </c>
      <c r="B115" t="str">
        <f>H67</f>
        <v>Malta</v>
      </c>
      <c r="C115">
        <f>I67</f>
        <v>-0.27500000000000002</v>
      </c>
      <c r="D115">
        <f>J67</f>
        <v>-0.69099999999999995</v>
      </c>
      <c r="E115">
        <f>K67</f>
        <v>-1.2609999999999999</v>
      </c>
      <c r="F115">
        <f>L67</f>
        <v>-2.0830000000000002</v>
      </c>
      <c r="H115" t="s">
        <v>201</v>
      </c>
      <c r="I115">
        <v>-0.47099999999999997</v>
      </c>
      <c r="J115">
        <v>-1.0229999999999999</v>
      </c>
      <c r="K115">
        <v>-1.776</v>
      </c>
      <c r="L115">
        <v>-2.7850000000000001</v>
      </c>
      <c r="N115" t="str">
        <f>country!A195</f>
        <v>Uruguay</v>
      </c>
      <c r="O115">
        <f>country!D195</f>
        <v>6791.0504176996537</v>
      </c>
      <c r="P115">
        <f>country!G195</f>
        <v>17.5</v>
      </c>
    </row>
    <row r="116" spans="1:16" x14ac:dyDescent="0.35">
      <c r="A116" t="s">
        <v>390</v>
      </c>
      <c r="B116" t="str">
        <f>H$131</f>
        <v>Rest of Oceania</v>
      </c>
      <c r="C116">
        <f>I$131</f>
        <v>-1.0149999999999999</v>
      </c>
      <c r="D116">
        <f>J$131</f>
        <v>-2.6269999999999998</v>
      </c>
      <c r="E116">
        <f>K$131</f>
        <v>-5.1710000000000003</v>
      </c>
      <c r="F116">
        <f>L$131</f>
        <v>-8.5530000000000008</v>
      </c>
      <c r="H116" t="s">
        <v>63</v>
      </c>
      <c r="I116">
        <v>-0.182</v>
      </c>
      <c r="J116">
        <v>-0.39200000000000002</v>
      </c>
      <c r="K116">
        <v>-0.622</v>
      </c>
      <c r="L116">
        <v>-0.88500000000000001</v>
      </c>
      <c r="N116" t="str">
        <f>country!A194</f>
        <v>United States</v>
      </c>
      <c r="O116">
        <f>country!D194</f>
        <v>43952.446494287382</v>
      </c>
      <c r="P116">
        <f>country!G194</f>
        <v>8.5</v>
      </c>
    </row>
    <row r="117" spans="1:16" x14ac:dyDescent="0.35">
      <c r="A117" t="s">
        <v>391</v>
      </c>
      <c r="B117" t="str">
        <f>H$138</f>
        <v>Rest of Western Africa</v>
      </c>
      <c r="C117">
        <f t="shared" ref="C117" si="156">I$138</f>
        <v>-4.4320000000000004</v>
      </c>
      <c r="D117">
        <f t="shared" ref="D117" si="157">J$138</f>
        <v>-9.7690000000000001</v>
      </c>
      <c r="E117">
        <f t="shared" ref="E117" si="158">K$138</f>
        <v>-15.566000000000001</v>
      </c>
      <c r="F117">
        <f t="shared" ref="F117" si="159">L$138</f>
        <v>-21.937999999999999</v>
      </c>
      <c r="H117" t="s">
        <v>202</v>
      </c>
      <c r="I117">
        <v>-0.64900000000000002</v>
      </c>
      <c r="J117">
        <v>-1.794</v>
      </c>
      <c r="K117">
        <v>-3.6139999999999999</v>
      </c>
      <c r="L117">
        <v>-6.3390000000000004</v>
      </c>
      <c r="N117" t="str">
        <f>country!A198</f>
        <v>Venezuela</v>
      </c>
      <c r="O117">
        <f>country!D198</f>
        <v>6010.0797889966334</v>
      </c>
      <c r="P117">
        <f>country!G198</f>
        <v>25.3</v>
      </c>
    </row>
    <row r="118" spans="1:16" x14ac:dyDescent="0.35">
      <c r="A118" t="s">
        <v>166</v>
      </c>
      <c r="B118" t="str">
        <f t="shared" ref="B118:F119" si="160">H68</f>
        <v>Mauritius</v>
      </c>
      <c r="C118">
        <f t="shared" si="160"/>
        <v>-1.829</v>
      </c>
      <c r="D118">
        <f t="shared" si="160"/>
        <v>-4.399</v>
      </c>
      <c r="E118">
        <f t="shared" si="160"/>
        <v>-7.4580000000000002</v>
      </c>
      <c r="F118">
        <f t="shared" si="160"/>
        <v>-11.244999999999999</v>
      </c>
      <c r="H118" t="s">
        <v>419</v>
      </c>
      <c r="I118">
        <v>-2.2229999999999999</v>
      </c>
      <c r="J118">
        <v>-4.8620000000000001</v>
      </c>
      <c r="K118">
        <v>-7.9589999999999996</v>
      </c>
      <c r="L118">
        <v>-11.641</v>
      </c>
      <c r="N118" t="str">
        <f>country!A199</f>
        <v>Vietnam</v>
      </c>
      <c r="O118">
        <f>country!D199</f>
        <v>900.49369266691042</v>
      </c>
      <c r="P118">
        <f>country!G199</f>
        <v>24.4</v>
      </c>
    </row>
    <row r="119" spans="1:16" x14ac:dyDescent="0.35">
      <c r="A119" t="s">
        <v>167</v>
      </c>
      <c r="B119" t="str">
        <f t="shared" si="160"/>
        <v>Mexico</v>
      </c>
      <c r="C119">
        <f t="shared" si="160"/>
        <v>-0.50600000000000001</v>
      </c>
      <c r="D119">
        <f t="shared" si="160"/>
        <v>-1.1779999999999999</v>
      </c>
      <c r="E119">
        <f t="shared" si="160"/>
        <v>-2.2770000000000001</v>
      </c>
      <c r="F119">
        <f t="shared" si="160"/>
        <v>-3.9849999999999999</v>
      </c>
      <c r="H119" t="s">
        <v>204</v>
      </c>
      <c r="I119">
        <v>-1.097</v>
      </c>
      <c r="J119">
        <v>-2.6160000000000001</v>
      </c>
      <c r="K119">
        <v>-4.4139999999999997</v>
      </c>
      <c r="L119">
        <v>-6.72</v>
      </c>
      <c r="N119" t="str">
        <f>country!A197</f>
        <v>Vanuatu</v>
      </c>
      <c r="O119">
        <f>country!D197</f>
        <v>2131.0935359039281</v>
      </c>
      <c r="P119">
        <f>country!G197</f>
        <v>24</v>
      </c>
    </row>
    <row r="120" spans="1:16" x14ac:dyDescent="0.35">
      <c r="A120" t="s">
        <v>392</v>
      </c>
      <c r="B120" t="str">
        <f>H$131</f>
        <v>Rest of Oceania</v>
      </c>
      <c r="C120">
        <f>I$131</f>
        <v>-1.0149999999999999</v>
      </c>
      <c r="D120">
        <f>J$131</f>
        <v>-2.6269999999999998</v>
      </c>
      <c r="E120">
        <f>K$131</f>
        <v>-5.1710000000000003</v>
      </c>
      <c r="F120">
        <f>L$131</f>
        <v>-8.5530000000000008</v>
      </c>
      <c r="H120" t="s">
        <v>205</v>
      </c>
      <c r="I120">
        <v>-1.2609999999999999</v>
      </c>
      <c r="J120">
        <v>-2.726</v>
      </c>
      <c r="K120">
        <v>-4.423</v>
      </c>
      <c r="L120">
        <v>-6.5019999999999998</v>
      </c>
      <c r="N120" t="str">
        <f>country!A201</f>
        <v>Zambia</v>
      </c>
      <c r="O120">
        <f>country!D201</f>
        <v>741.44209139426641</v>
      </c>
      <c r="P120">
        <f>country!G201</f>
        <v>21.4</v>
      </c>
    </row>
    <row r="121" spans="1:16" x14ac:dyDescent="0.35">
      <c r="A121" t="s">
        <v>229</v>
      </c>
      <c r="B121" t="str">
        <f>H$125</f>
        <v>Rest of Eastern Europe</v>
      </c>
      <c r="C121">
        <f t="shared" ref="C121:F121" si="161">I$125</f>
        <v>1.0999999999999999E-2</v>
      </c>
      <c r="D121">
        <f t="shared" si="161"/>
        <v>0.16</v>
      </c>
      <c r="E121">
        <f t="shared" si="161"/>
        <v>0.37</v>
      </c>
      <c r="F121">
        <f t="shared" si="161"/>
        <v>0.49199999999999999</v>
      </c>
      <c r="H121" t="s">
        <v>651</v>
      </c>
      <c r="I121">
        <v>-1.0129999999999999</v>
      </c>
      <c r="J121">
        <v>-2.4300000000000002</v>
      </c>
      <c r="K121">
        <v>-4.9770000000000003</v>
      </c>
      <c r="L121">
        <v>-8.3620000000000001</v>
      </c>
      <c r="N121" t="str">
        <f>country!A202</f>
        <v>Zimbabwe</v>
      </c>
      <c r="O121">
        <f>country!D202</f>
        <v>397.82159673579832</v>
      </c>
      <c r="P121">
        <f>country!G202</f>
        <v>21</v>
      </c>
    </row>
    <row r="122" spans="1:16" x14ac:dyDescent="0.35">
      <c r="A122" t="s">
        <v>606</v>
      </c>
      <c r="B122" t="str">
        <f>H$127</f>
        <v>Rest of Europe</v>
      </c>
      <c r="C122">
        <f t="shared" ref="C122" si="162">I$127</f>
        <v>-8.8999999999999996E-2</v>
      </c>
      <c r="D122">
        <f t="shared" ref="D122" si="163">J$127</f>
        <v>-0.15</v>
      </c>
      <c r="E122">
        <f t="shared" ref="E122" si="164">K$127</f>
        <v>-0.20499999999999999</v>
      </c>
      <c r="F122">
        <f t="shared" ref="F122" si="165">L$127</f>
        <v>-0.318</v>
      </c>
      <c r="H122" t="s">
        <v>640</v>
      </c>
      <c r="I122">
        <v>-1.675</v>
      </c>
      <c r="J122">
        <v>-5.6029999999999998</v>
      </c>
      <c r="K122">
        <v>-11.646000000000001</v>
      </c>
      <c r="L122">
        <v>-18.231000000000002</v>
      </c>
    </row>
    <row r="123" spans="1:16" x14ac:dyDescent="0.35">
      <c r="A123" t="s">
        <v>393</v>
      </c>
      <c r="B123" t="str">
        <f>H70</f>
        <v>Mongolia</v>
      </c>
      <c r="C123">
        <f>I70</f>
        <v>-0.78900000000000003</v>
      </c>
      <c r="D123">
        <f>J70</f>
        <v>-1.6639999999999999</v>
      </c>
      <c r="E123">
        <f>K70</f>
        <v>-2.71</v>
      </c>
      <c r="F123">
        <f>L70</f>
        <v>-3.9809999999999999</v>
      </c>
      <c r="H123" t="s">
        <v>494</v>
      </c>
      <c r="I123">
        <v>-2.3889999999999998</v>
      </c>
      <c r="J123">
        <v>-5.7089999999999996</v>
      </c>
      <c r="K123">
        <v>-9.49</v>
      </c>
      <c r="L123">
        <v>-13.71</v>
      </c>
    </row>
    <row r="124" spans="1:16" x14ac:dyDescent="0.35">
      <c r="A124" t="s">
        <v>230</v>
      </c>
      <c r="B124" t="str">
        <f>H$127</f>
        <v>Rest of Europe</v>
      </c>
      <c r="C124">
        <f t="shared" ref="C124" si="166">I$127</f>
        <v>-8.8999999999999996E-2</v>
      </c>
      <c r="D124">
        <f t="shared" ref="D124" si="167">J$127</f>
        <v>-0.15</v>
      </c>
      <c r="E124">
        <f t="shared" ref="E124" si="168">K$127</f>
        <v>-0.20499999999999999</v>
      </c>
      <c r="F124">
        <f t="shared" ref="F124" si="169">L$127</f>
        <v>-0.318</v>
      </c>
      <c r="H124" t="s">
        <v>660</v>
      </c>
      <c r="I124">
        <v>-2.1120000000000001</v>
      </c>
      <c r="J124">
        <v>-4.75</v>
      </c>
      <c r="K124">
        <v>-8.0990000000000002</v>
      </c>
      <c r="L124">
        <v>-11.862</v>
      </c>
    </row>
    <row r="125" spans="1:16" x14ac:dyDescent="0.35">
      <c r="A125" t="s">
        <v>168</v>
      </c>
      <c r="B125" t="str">
        <f t="shared" ref="B125:F131" si="170">H71</f>
        <v>Morocco</v>
      </c>
      <c r="C125">
        <f t="shared" si="170"/>
        <v>-0.77</v>
      </c>
      <c r="D125">
        <f t="shared" si="170"/>
        <v>-1.5249999999999999</v>
      </c>
      <c r="E125">
        <f t="shared" si="170"/>
        <v>-2.4359999999999999</v>
      </c>
      <c r="F125">
        <f t="shared" si="170"/>
        <v>-3.4870000000000001</v>
      </c>
      <c r="H125" t="s">
        <v>645</v>
      </c>
      <c r="I125">
        <v>1.0999999999999999E-2</v>
      </c>
      <c r="J125">
        <v>0.16</v>
      </c>
      <c r="K125">
        <v>0.37</v>
      </c>
      <c r="L125">
        <v>0.49199999999999999</v>
      </c>
    </row>
    <row r="126" spans="1:16" x14ac:dyDescent="0.35">
      <c r="A126" t="s">
        <v>394</v>
      </c>
      <c r="B126" t="str">
        <f t="shared" si="170"/>
        <v>Mozambique</v>
      </c>
      <c r="C126">
        <f t="shared" si="170"/>
        <v>-2.411</v>
      </c>
      <c r="D126">
        <f t="shared" si="170"/>
        <v>-5.3109999999999999</v>
      </c>
      <c r="E126">
        <f t="shared" si="170"/>
        <v>-8.8780000000000001</v>
      </c>
      <c r="F126">
        <f t="shared" si="170"/>
        <v>-12.989000000000001</v>
      </c>
      <c r="H126" t="s">
        <v>643</v>
      </c>
      <c r="I126">
        <v>-9.7000000000000003E-2</v>
      </c>
      <c r="J126">
        <v>-0.24199999999999999</v>
      </c>
      <c r="K126">
        <v>-0.42099999999999999</v>
      </c>
      <c r="L126">
        <v>-0.63400000000000001</v>
      </c>
    </row>
    <row r="127" spans="1:16" x14ac:dyDescent="0.35">
      <c r="A127" t="s">
        <v>395</v>
      </c>
      <c r="B127" t="str">
        <f t="shared" si="170"/>
        <v>Namibia</v>
      </c>
      <c r="C127">
        <f t="shared" si="170"/>
        <v>-0.67300000000000004</v>
      </c>
      <c r="D127">
        <f t="shared" si="170"/>
        <v>-1.464</v>
      </c>
      <c r="E127">
        <f t="shared" si="170"/>
        <v>-2.4039999999999999</v>
      </c>
      <c r="F127">
        <f t="shared" si="170"/>
        <v>-3.6160000000000001</v>
      </c>
      <c r="H127" t="s">
        <v>646</v>
      </c>
      <c r="I127">
        <v>-8.8999999999999996E-2</v>
      </c>
      <c r="J127">
        <v>-0.15</v>
      </c>
      <c r="K127">
        <v>-0.20499999999999999</v>
      </c>
      <c r="L127">
        <v>-0.318</v>
      </c>
    </row>
    <row r="128" spans="1:16" x14ac:dyDescent="0.35">
      <c r="A128" t="s">
        <v>169</v>
      </c>
      <c r="B128" t="str">
        <f t="shared" si="170"/>
        <v>Nepal</v>
      </c>
      <c r="C128">
        <f t="shared" si="170"/>
        <v>-1.012</v>
      </c>
      <c r="D128">
        <f t="shared" si="170"/>
        <v>-2.8809999999999998</v>
      </c>
      <c r="E128">
        <f t="shared" si="170"/>
        <v>-5.7309999999999999</v>
      </c>
      <c r="F128">
        <f t="shared" si="170"/>
        <v>-9.859</v>
      </c>
      <c r="H128" t="s">
        <v>647</v>
      </c>
      <c r="I128">
        <v>-0.23899999999999999</v>
      </c>
      <c r="J128">
        <v>-0.39200000000000002</v>
      </c>
      <c r="K128">
        <v>-0.56399999999999995</v>
      </c>
      <c r="L128">
        <v>-0.88800000000000001</v>
      </c>
    </row>
    <row r="129" spans="1:13" x14ac:dyDescent="0.35">
      <c r="A129" t="s">
        <v>170</v>
      </c>
      <c r="B129" t="str">
        <f t="shared" si="170"/>
        <v>Netherlands</v>
      </c>
      <c r="C129">
        <f t="shared" si="170"/>
        <v>-0.11799999999999999</v>
      </c>
      <c r="D129">
        <f t="shared" si="170"/>
        <v>-0.27500000000000002</v>
      </c>
      <c r="E129">
        <f t="shared" si="170"/>
        <v>-0.46700000000000003</v>
      </c>
      <c r="F129">
        <f t="shared" si="170"/>
        <v>-0.69399999999999995</v>
      </c>
      <c r="H129" t="s">
        <v>649</v>
      </c>
      <c r="I129">
        <v>-0.65300000000000002</v>
      </c>
      <c r="J129">
        <v>-1.415</v>
      </c>
      <c r="K129">
        <v>-2.3940000000000001</v>
      </c>
      <c r="L129">
        <v>-3.6389999999999998</v>
      </c>
    </row>
    <row r="130" spans="1:13" x14ac:dyDescent="0.35">
      <c r="A130" t="s">
        <v>171</v>
      </c>
      <c r="B130" t="str">
        <f t="shared" si="170"/>
        <v>New Zealnd</v>
      </c>
      <c r="C130">
        <f t="shared" si="170"/>
        <v>-0.14399999999999999</v>
      </c>
      <c r="D130">
        <f t="shared" si="170"/>
        <v>-0.41299999999999998</v>
      </c>
      <c r="E130">
        <f t="shared" si="170"/>
        <v>-0.79800000000000004</v>
      </c>
      <c r="F130">
        <f t="shared" si="170"/>
        <v>-1.2689999999999999</v>
      </c>
      <c r="H130" t="s">
        <v>637</v>
      </c>
      <c r="I130">
        <v>-0.23100000000000001</v>
      </c>
      <c r="J130">
        <v>-0.53900000000000003</v>
      </c>
      <c r="K130">
        <v>-0.90200000000000002</v>
      </c>
      <c r="L130">
        <v>-1.292</v>
      </c>
    </row>
    <row r="131" spans="1:13" x14ac:dyDescent="0.35">
      <c r="A131" t="s">
        <v>396</v>
      </c>
      <c r="B131" t="str">
        <f t="shared" si="170"/>
        <v>Nicaragua</v>
      </c>
      <c r="C131">
        <f t="shared" si="170"/>
        <v>-3.02</v>
      </c>
      <c r="D131">
        <f t="shared" si="170"/>
        <v>-6.8979999999999997</v>
      </c>
      <c r="E131">
        <f t="shared" si="170"/>
        <v>-11.673</v>
      </c>
      <c r="F131">
        <f t="shared" si="170"/>
        <v>-17.263999999999999</v>
      </c>
      <c r="H131" t="s">
        <v>634</v>
      </c>
      <c r="I131">
        <v>-1.0149999999999999</v>
      </c>
      <c r="J131">
        <v>-2.6269999999999998</v>
      </c>
      <c r="K131">
        <v>-5.1710000000000003</v>
      </c>
      <c r="L131">
        <v>-8.5530000000000008</v>
      </c>
      <c r="M131" s="34"/>
    </row>
    <row r="132" spans="1:13" x14ac:dyDescent="0.35">
      <c r="A132" t="s">
        <v>397</v>
      </c>
      <c r="B132" t="str">
        <f>H$138</f>
        <v>Rest of Western Africa</v>
      </c>
      <c r="C132">
        <f t="shared" ref="C132" si="171">I$138</f>
        <v>-4.4320000000000004</v>
      </c>
      <c r="D132">
        <f t="shared" ref="D132" si="172">J$138</f>
        <v>-9.7690000000000001</v>
      </c>
      <c r="E132">
        <f t="shared" ref="E132" si="173">K$138</f>
        <v>-15.566000000000001</v>
      </c>
      <c r="F132">
        <f t="shared" ref="F132" si="174">L$138</f>
        <v>-21.937999999999999</v>
      </c>
      <c r="H132" t="s">
        <v>654</v>
      </c>
      <c r="I132">
        <v>-0.89</v>
      </c>
      <c r="J132">
        <v>-1.923</v>
      </c>
      <c r="K132">
        <v>-3.0449999999999999</v>
      </c>
      <c r="L132">
        <v>-4.3899999999999997</v>
      </c>
      <c r="M132" s="34"/>
    </row>
    <row r="133" spans="1:13" x14ac:dyDescent="0.35">
      <c r="A133" t="s">
        <v>172</v>
      </c>
      <c r="B133" t="str">
        <f t="shared" ref="B133:F136" si="175">H78</f>
        <v>Nigeria</v>
      </c>
      <c r="C133">
        <f t="shared" si="175"/>
        <v>-4.5279999999999996</v>
      </c>
      <c r="D133">
        <f t="shared" si="175"/>
        <v>-9.6890000000000001</v>
      </c>
      <c r="E133">
        <f t="shared" si="175"/>
        <v>-15.723000000000001</v>
      </c>
      <c r="F133">
        <f t="shared" si="175"/>
        <v>-22.25</v>
      </c>
      <c r="H133" t="s">
        <v>639</v>
      </c>
      <c r="I133">
        <v>-0.45900000000000002</v>
      </c>
      <c r="J133">
        <v>-0.93700000000000006</v>
      </c>
      <c r="K133">
        <v>-1.5449999999999999</v>
      </c>
      <c r="L133">
        <v>-2.4460000000000002</v>
      </c>
      <c r="M133" s="34"/>
    </row>
    <row r="134" spans="1:13" x14ac:dyDescent="0.35">
      <c r="A134" t="s">
        <v>173</v>
      </c>
      <c r="B134" t="str">
        <f t="shared" si="175"/>
        <v>Norway</v>
      </c>
      <c r="C134">
        <f t="shared" si="175"/>
        <v>-0.16</v>
      </c>
      <c r="D134">
        <f t="shared" si="175"/>
        <v>-0.377</v>
      </c>
      <c r="E134">
        <f t="shared" si="175"/>
        <v>-0.64600000000000002</v>
      </c>
      <c r="F134">
        <f t="shared" si="175"/>
        <v>-0.96699999999999997</v>
      </c>
      <c r="H134" t="s">
        <v>495</v>
      </c>
      <c r="I134">
        <v>-2.778</v>
      </c>
      <c r="J134">
        <v>-6.0019999999999998</v>
      </c>
      <c r="K134">
        <v>-9.6059999999999999</v>
      </c>
      <c r="L134">
        <v>-13.88</v>
      </c>
      <c r="M134" s="34"/>
    </row>
    <row r="135" spans="1:13" x14ac:dyDescent="0.35">
      <c r="A135" t="s">
        <v>398</v>
      </c>
      <c r="B135" t="str">
        <f t="shared" si="175"/>
        <v>Oman</v>
      </c>
      <c r="C135">
        <f t="shared" si="175"/>
        <v>-0.996</v>
      </c>
      <c r="D135">
        <f t="shared" si="175"/>
        <v>-2.2480000000000002</v>
      </c>
      <c r="E135">
        <f t="shared" si="175"/>
        <v>-3.78</v>
      </c>
      <c r="F135">
        <f t="shared" si="175"/>
        <v>-5.4820000000000002</v>
      </c>
      <c r="H135" t="s">
        <v>652</v>
      </c>
      <c r="I135">
        <v>-0.96099999999999997</v>
      </c>
      <c r="J135">
        <v>-2.0659999999999998</v>
      </c>
      <c r="K135">
        <v>-3.32</v>
      </c>
      <c r="L135">
        <v>-4.8940000000000001</v>
      </c>
      <c r="M135" s="34"/>
    </row>
    <row r="136" spans="1:13" x14ac:dyDescent="0.35">
      <c r="A136" t="s">
        <v>174</v>
      </c>
      <c r="B136" t="str">
        <f t="shared" si="175"/>
        <v>Pakistan</v>
      </c>
      <c r="C136">
        <f t="shared" si="175"/>
        <v>-1.901</v>
      </c>
      <c r="D136">
        <f t="shared" si="175"/>
        <v>-3.9940000000000002</v>
      </c>
      <c r="E136">
        <f t="shared" si="175"/>
        <v>-6.4349999999999996</v>
      </c>
      <c r="F136">
        <f t="shared" si="175"/>
        <v>-9.3379999999999992</v>
      </c>
      <c r="H136" t="s">
        <v>636</v>
      </c>
      <c r="I136">
        <v>-3.8109999999999999</v>
      </c>
      <c r="J136">
        <v>-8.11</v>
      </c>
      <c r="K136">
        <v>-12.923999999999999</v>
      </c>
      <c r="L136">
        <v>-18.573</v>
      </c>
      <c r="M136" s="34"/>
    </row>
    <row r="137" spans="1:13" x14ac:dyDescent="0.35">
      <c r="A137" t="s">
        <v>399</v>
      </c>
      <c r="B137" t="str">
        <f>H$131</f>
        <v>Rest of Oceania</v>
      </c>
      <c r="C137">
        <f>I$131</f>
        <v>-1.0149999999999999</v>
      </c>
      <c r="D137">
        <f>J$131</f>
        <v>-2.6269999999999998</v>
      </c>
      <c r="E137">
        <f>K$131</f>
        <v>-5.1710000000000003</v>
      </c>
      <c r="F137">
        <f>L$131</f>
        <v>-8.5530000000000008</v>
      </c>
      <c r="H137" t="s">
        <v>501</v>
      </c>
      <c r="I137">
        <v>-0.58699999999999997</v>
      </c>
      <c r="J137">
        <v>-1.2270000000000001</v>
      </c>
      <c r="K137">
        <v>-1.9179999999999999</v>
      </c>
      <c r="L137">
        <v>-2.6709999999999998</v>
      </c>
      <c r="M137" s="34"/>
    </row>
    <row r="138" spans="1:13" x14ac:dyDescent="0.35">
      <c r="A138" t="s">
        <v>400</v>
      </c>
      <c r="B138" t="str">
        <f>H$139</f>
        <v>Rest of Western Asia</v>
      </c>
      <c r="C138">
        <f t="shared" ref="C138" si="176">I$139</f>
        <v>-0.82899999999999996</v>
      </c>
      <c r="D138">
        <f t="shared" ref="D138" si="177">J$139</f>
        <v>-1.879</v>
      </c>
      <c r="E138">
        <f t="shared" ref="E138" si="178">K$139</f>
        <v>-3.306</v>
      </c>
      <c r="F138">
        <f t="shared" ref="F138" si="179">L$139</f>
        <v>-4.9850000000000003</v>
      </c>
      <c r="H138" t="s">
        <v>659</v>
      </c>
      <c r="I138">
        <v>-4.4320000000000004</v>
      </c>
      <c r="J138">
        <v>-9.7690000000000001</v>
      </c>
      <c r="K138">
        <v>-15.566000000000001</v>
      </c>
      <c r="L138">
        <v>-21.937999999999999</v>
      </c>
      <c r="M138" s="34"/>
    </row>
    <row r="139" spans="1:13" x14ac:dyDescent="0.35">
      <c r="A139" t="s">
        <v>175</v>
      </c>
      <c r="B139" t="str">
        <f>H82</f>
        <v>Panama</v>
      </c>
      <c r="C139">
        <f>I82</f>
        <v>-2.1970000000000001</v>
      </c>
      <c r="D139">
        <f>J82</f>
        <v>-5.367</v>
      </c>
      <c r="E139">
        <f>K82</f>
        <v>-9.58</v>
      </c>
      <c r="F139">
        <f>L82</f>
        <v>-14.457000000000001</v>
      </c>
      <c r="H139" t="s">
        <v>648</v>
      </c>
      <c r="I139">
        <v>-0.82899999999999996</v>
      </c>
      <c r="J139">
        <v>-1.879</v>
      </c>
      <c r="K139">
        <v>-3.306</v>
      </c>
      <c r="L139">
        <v>-4.9850000000000003</v>
      </c>
      <c r="M139" s="34"/>
    </row>
    <row r="140" spans="1:13" x14ac:dyDescent="0.35">
      <c r="A140" t="s">
        <v>401</v>
      </c>
      <c r="B140" t="str">
        <f>H$131</f>
        <v>Rest of Oceania</v>
      </c>
      <c r="C140">
        <f>I$131</f>
        <v>-1.0149999999999999</v>
      </c>
      <c r="D140">
        <f>J$131</f>
        <v>-2.6269999999999998</v>
      </c>
      <c r="E140">
        <f>K$131</f>
        <v>-5.1710000000000003</v>
      </c>
      <c r="F140">
        <f>L$131</f>
        <v>-8.5530000000000008</v>
      </c>
      <c r="H140" t="s">
        <v>641</v>
      </c>
      <c r="I140">
        <v>-1.8640000000000001</v>
      </c>
      <c r="J140">
        <v>-4.5289999999999999</v>
      </c>
      <c r="K140">
        <v>-8.2070000000000007</v>
      </c>
      <c r="L140">
        <v>-12.605</v>
      </c>
      <c r="M140" s="34"/>
    </row>
    <row r="141" spans="1:13" x14ac:dyDescent="0.35">
      <c r="A141" t="s">
        <v>176</v>
      </c>
      <c r="B141" t="str">
        <f t="shared" ref="B141:B150" si="180">H83</f>
        <v>Paraguay</v>
      </c>
      <c r="C141">
        <f t="shared" ref="C141:C150" si="181">I83</f>
        <v>-1.6040000000000001</v>
      </c>
      <c r="D141">
        <f t="shared" ref="D141:D150" si="182">J83</f>
        <v>-3.8730000000000002</v>
      </c>
      <c r="E141">
        <f t="shared" ref="E141:E150" si="183">K83</f>
        <v>-6.7290000000000001</v>
      </c>
      <c r="F141">
        <f t="shared" ref="F141:F150" si="184">L83</f>
        <v>-10.141999999999999</v>
      </c>
      <c r="M141" s="34"/>
    </row>
    <row r="142" spans="1:13" x14ac:dyDescent="0.35">
      <c r="A142" t="s">
        <v>177</v>
      </c>
      <c r="B142" t="str">
        <f t="shared" si="180"/>
        <v>Peru</v>
      </c>
      <c r="C142">
        <f t="shared" si="181"/>
        <v>-0.50900000000000001</v>
      </c>
      <c r="D142">
        <f t="shared" si="182"/>
        <v>-1.169</v>
      </c>
      <c r="E142">
        <f t="shared" si="183"/>
        <v>-1.9339999999999999</v>
      </c>
      <c r="F142">
        <f t="shared" si="184"/>
        <v>-2.7679999999999998</v>
      </c>
      <c r="M142" s="34"/>
    </row>
    <row r="143" spans="1:13" x14ac:dyDescent="0.35">
      <c r="A143" t="s">
        <v>178</v>
      </c>
      <c r="B143" t="str">
        <f t="shared" si="180"/>
        <v>Philippines</v>
      </c>
      <c r="C143">
        <f t="shared" si="181"/>
        <v>-4.1130000000000004</v>
      </c>
      <c r="D143">
        <f t="shared" si="182"/>
        <v>-9.1850000000000005</v>
      </c>
      <c r="E143">
        <f t="shared" si="183"/>
        <v>-14.798</v>
      </c>
      <c r="F143">
        <f t="shared" si="184"/>
        <v>-20.986000000000001</v>
      </c>
      <c r="M143" s="34"/>
    </row>
    <row r="144" spans="1:13" x14ac:dyDescent="0.35">
      <c r="A144" t="s">
        <v>179</v>
      </c>
      <c r="B144" t="str">
        <f t="shared" si="180"/>
        <v>Poland</v>
      </c>
      <c r="C144">
        <f t="shared" si="181"/>
        <v>-0.16600000000000001</v>
      </c>
      <c r="D144">
        <f t="shared" si="182"/>
        <v>-0.33200000000000002</v>
      </c>
      <c r="E144">
        <f t="shared" si="183"/>
        <v>-0.51400000000000001</v>
      </c>
      <c r="F144">
        <f t="shared" si="184"/>
        <v>-0.77400000000000002</v>
      </c>
      <c r="M144" s="34"/>
    </row>
    <row r="145" spans="1:13" x14ac:dyDescent="0.35">
      <c r="A145" t="s">
        <v>180</v>
      </c>
      <c r="B145" t="str">
        <f t="shared" si="180"/>
        <v>Portugal</v>
      </c>
      <c r="C145">
        <f t="shared" si="181"/>
        <v>-0.12</v>
      </c>
      <c r="D145">
        <f t="shared" si="182"/>
        <v>-0.27500000000000002</v>
      </c>
      <c r="E145">
        <f t="shared" si="183"/>
        <v>-0.46</v>
      </c>
      <c r="F145">
        <f t="shared" si="184"/>
        <v>-0.68400000000000005</v>
      </c>
      <c r="M145" s="34"/>
    </row>
    <row r="146" spans="1:13" x14ac:dyDescent="0.35">
      <c r="A146" t="s">
        <v>232</v>
      </c>
      <c r="B146" t="str">
        <f t="shared" si="180"/>
        <v>Puerto Rico</v>
      </c>
      <c r="C146">
        <f t="shared" si="181"/>
        <v>-1.2689999999999999</v>
      </c>
      <c r="D146">
        <f t="shared" si="182"/>
        <v>-3.2970000000000002</v>
      </c>
      <c r="E146">
        <f t="shared" si="183"/>
        <v>-6.5270000000000001</v>
      </c>
      <c r="F146">
        <f t="shared" si="184"/>
        <v>-10.536</v>
      </c>
      <c r="M146" s="34"/>
    </row>
    <row r="147" spans="1:13" x14ac:dyDescent="0.35">
      <c r="A147" t="s">
        <v>402</v>
      </c>
      <c r="B147" t="str">
        <f t="shared" si="180"/>
        <v>Qatar</v>
      </c>
      <c r="C147">
        <f t="shared" si="181"/>
        <v>-2.0910000000000002</v>
      </c>
      <c r="D147">
        <f t="shared" si="182"/>
        <v>-4.6180000000000003</v>
      </c>
      <c r="E147">
        <f t="shared" si="183"/>
        <v>-7.3040000000000003</v>
      </c>
      <c r="F147">
        <f t="shared" si="184"/>
        <v>-10.358000000000001</v>
      </c>
      <c r="M147" s="34"/>
    </row>
    <row r="148" spans="1:13" x14ac:dyDescent="0.35">
      <c r="A148" t="s">
        <v>181</v>
      </c>
      <c r="B148" t="str">
        <f t="shared" si="180"/>
        <v>Romania</v>
      </c>
      <c r="C148">
        <f t="shared" si="181"/>
        <v>-0.17100000000000001</v>
      </c>
      <c r="D148">
        <f t="shared" si="182"/>
        <v>-0.32900000000000001</v>
      </c>
      <c r="E148">
        <f t="shared" si="183"/>
        <v>-0.48299999999999998</v>
      </c>
      <c r="F148">
        <f t="shared" si="184"/>
        <v>-0.754</v>
      </c>
      <c r="M148" s="34"/>
    </row>
    <row r="149" spans="1:13" x14ac:dyDescent="0.35">
      <c r="A149" t="s">
        <v>233</v>
      </c>
      <c r="B149" t="str">
        <f t="shared" si="180"/>
        <v>Russian Fed</v>
      </c>
      <c r="C149">
        <f t="shared" si="181"/>
        <v>-0.26600000000000001</v>
      </c>
      <c r="D149">
        <f t="shared" si="182"/>
        <v>-0.56799999999999995</v>
      </c>
      <c r="E149">
        <f t="shared" si="183"/>
        <v>-0.93600000000000005</v>
      </c>
      <c r="F149">
        <f t="shared" si="184"/>
        <v>-1.405</v>
      </c>
      <c r="M149" s="34"/>
    </row>
    <row r="150" spans="1:13" x14ac:dyDescent="0.35">
      <c r="A150" t="s">
        <v>182</v>
      </c>
      <c r="B150" t="str">
        <f t="shared" si="180"/>
        <v>Rwanda</v>
      </c>
      <c r="C150">
        <f t="shared" si="181"/>
        <v>-2.1070000000000002</v>
      </c>
      <c r="D150">
        <f t="shared" si="182"/>
        <v>-4.49</v>
      </c>
      <c r="E150">
        <f t="shared" si="183"/>
        <v>-7.0469999999999997</v>
      </c>
      <c r="F150">
        <f t="shared" si="184"/>
        <v>-9.8190000000000008</v>
      </c>
      <c r="M150" s="34"/>
    </row>
    <row r="151" spans="1:13" x14ac:dyDescent="0.35">
      <c r="A151" t="s">
        <v>403</v>
      </c>
      <c r="B151" t="str">
        <f>H$121</f>
        <v>Rest of Central Africa</v>
      </c>
      <c r="C151">
        <f t="shared" ref="C151:F151" si="185">I$121</f>
        <v>-1.0129999999999999</v>
      </c>
      <c r="D151">
        <f t="shared" si="185"/>
        <v>-2.4300000000000002</v>
      </c>
      <c r="E151">
        <f t="shared" si="185"/>
        <v>-4.9770000000000003</v>
      </c>
      <c r="F151">
        <f t="shared" si="185"/>
        <v>-8.3620000000000001</v>
      </c>
      <c r="M151" s="34"/>
    </row>
    <row r="152" spans="1:13" x14ac:dyDescent="0.35">
      <c r="A152" t="s">
        <v>404</v>
      </c>
      <c r="B152" t="str">
        <f>H$140</f>
        <v>Rest of the Caribbean</v>
      </c>
      <c r="C152">
        <f t="shared" ref="C152" si="186">I$140</f>
        <v>-1.8640000000000001</v>
      </c>
      <c r="D152">
        <f t="shared" ref="D152" si="187">J$140</f>
        <v>-4.5289999999999999</v>
      </c>
      <c r="E152">
        <f t="shared" ref="E152" si="188">K$140</f>
        <v>-8.2070000000000007</v>
      </c>
      <c r="F152">
        <f t="shared" ref="F152" si="189">L$140</f>
        <v>-12.605</v>
      </c>
      <c r="M152" s="34"/>
    </row>
    <row r="153" spans="1:13" x14ac:dyDescent="0.35">
      <c r="A153" t="s">
        <v>183</v>
      </c>
      <c r="B153" t="str">
        <f>H$140</f>
        <v>Rest of the Caribbean</v>
      </c>
      <c r="C153">
        <f t="shared" ref="C153" si="190">I$140</f>
        <v>-1.8640000000000001</v>
      </c>
      <c r="D153">
        <f t="shared" ref="D153" si="191">J$140</f>
        <v>-4.5289999999999999</v>
      </c>
      <c r="E153">
        <f t="shared" ref="E153" si="192">K$140</f>
        <v>-8.2070000000000007</v>
      </c>
      <c r="F153">
        <f t="shared" ref="F153" si="193">L$140</f>
        <v>-12.605</v>
      </c>
      <c r="M153" s="34"/>
    </row>
    <row r="154" spans="1:13" x14ac:dyDescent="0.35">
      <c r="A154" t="s">
        <v>405</v>
      </c>
      <c r="B154" t="str">
        <f>H$140</f>
        <v>Rest of the Caribbean</v>
      </c>
      <c r="C154">
        <f t="shared" ref="C154:F154" si="194">I$140</f>
        <v>-1.8640000000000001</v>
      </c>
      <c r="D154">
        <f t="shared" si="194"/>
        <v>-4.5289999999999999</v>
      </c>
      <c r="E154">
        <f t="shared" si="194"/>
        <v>-8.2070000000000007</v>
      </c>
      <c r="F154">
        <f t="shared" si="194"/>
        <v>-12.605</v>
      </c>
    </row>
    <row r="155" spans="1:13" x14ac:dyDescent="0.35">
      <c r="A155" t="s">
        <v>406</v>
      </c>
      <c r="B155" t="str">
        <f>H$131</f>
        <v>Rest of Oceania</v>
      </c>
      <c r="C155">
        <f>I$131</f>
        <v>-1.0149999999999999</v>
      </c>
      <c r="D155">
        <f>J$131</f>
        <v>-2.6269999999999998</v>
      </c>
      <c r="E155">
        <f>K$131</f>
        <v>-5.1710000000000003</v>
      </c>
      <c r="F155">
        <f>L$131</f>
        <v>-8.5530000000000008</v>
      </c>
    </row>
    <row r="156" spans="1:13" x14ac:dyDescent="0.35">
      <c r="A156" t="s">
        <v>607</v>
      </c>
      <c r="B156" t="str">
        <f>H$127</f>
        <v>Rest of Europe</v>
      </c>
      <c r="C156">
        <f t="shared" ref="C156" si="195">I$127</f>
        <v>-8.8999999999999996E-2</v>
      </c>
      <c r="D156">
        <f t="shared" ref="D156" si="196">J$127</f>
        <v>-0.15</v>
      </c>
      <c r="E156">
        <f t="shared" ref="E156" si="197">K$127</f>
        <v>-0.20499999999999999</v>
      </c>
      <c r="F156">
        <f t="shared" ref="F156" si="198">L$127</f>
        <v>-0.318</v>
      </c>
    </row>
    <row r="157" spans="1:13" x14ac:dyDescent="0.35">
      <c r="A157" t="s">
        <v>253</v>
      </c>
      <c r="B157" t="str">
        <f t="shared" ref="B157:F158" si="199">H93</f>
        <v>Saudi Arabia</v>
      </c>
      <c r="C157">
        <f t="shared" si="199"/>
        <v>-1.65</v>
      </c>
      <c r="D157">
        <f t="shared" si="199"/>
        <v>-3.4569999999999999</v>
      </c>
      <c r="E157">
        <f t="shared" si="199"/>
        <v>-5.4489999999999998</v>
      </c>
      <c r="F157">
        <f t="shared" si="199"/>
        <v>-7.7729999999999997</v>
      </c>
    </row>
    <row r="158" spans="1:13" x14ac:dyDescent="0.35">
      <c r="A158" t="s">
        <v>184</v>
      </c>
      <c r="B158" t="str">
        <f t="shared" si="199"/>
        <v>Senegal</v>
      </c>
      <c r="C158">
        <f t="shared" si="199"/>
        <v>-3.859</v>
      </c>
      <c r="D158">
        <f t="shared" si="199"/>
        <v>-8.1890000000000001</v>
      </c>
      <c r="E158">
        <f t="shared" si="199"/>
        <v>-13.000999999999999</v>
      </c>
      <c r="F158">
        <f t="shared" si="199"/>
        <v>-18.544</v>
      </c>
    </row>
    <row r="159" spans="1:13" x14ac:dyDescent="0.35">
      <c r="A159" t="s">
        <v>234</v>
      </c>
      <c r="B159" t="str">
        <f>H$127</f>
        <v>Rest of Europe</v>
      </c>
      <c r="C159">
        <f t="shared" ref="C159:F159" si="200">I$127</f>
        <v>-8.8999999999999996E-2</v>
      </c>
      <c r="D159">
        <f t="shared" si="200"/>
        <v>-0.15</v>
      </c>
      <c r="E159">
        <f t="shared" si="200"/>
        <v>-0.20499999999999999</v>
      </c>
      <c r="F159">
        <f t="shared" si="200"/>
        <v>-0.318</v>
      </c>
    </row>
    <row r="160" spans="1:13" x14ac:dyDescent="0.35">
      <c r="A160" t="s">
        <v>407</v>
      </c>
      <c r="B160" t="str">
        <f>H$124</f>
        <v>Rest of Eastern Africa</v>
      </c>
      <c r="C160">
        <f>I$124</f>
        <v>-2.1120000000000001</v>
      </c>
      <c r="D160">
        <f>J$124</f>
        <v>-4.75</v>
      </c>
      <c r="E160">
        <f>K$124</f>
        <v>-8.0990000000000002</v>
      </c>
      <c r="F160">
        <f>L$124</f>
        <v>-11.862</v>
      </c>
    </row>
    <row r="161" spans="1:6" x14ac:dyDescent="0.35">
      <c r="A161" t="s">
        <v>185</v>
      </c>
      <c r="B161" t="str">
        <f>H$138</f>
        <v>Rest of Western Africa</v>
      </c>
      <c r="C161">
        <f t="shared" ref="C161:F161" si="201">I$138</f>
        <v>-4.4320000000000004</v>
      </c>
      <c r="D161">
        <f t="shared" si="201"/>
        <v>-9.7690000000000001</v>
      </c>
      <c r="E161">
        <f t="shared" si="201"/>
        <v>-15.566000000000001</v>
      </c>
      <c r="F161">
        <f t="shared" si="201"/>
        <v>-21.937999999999999</v>
      </c>
    </row>
    <row r="162" spans="1:6" x14ac:dyDescent="0.35">
      <c r="A162" t="s">
        <v>207</v>
      </c>
      <c r="B162" t="str">
        <f t="shared" ref="B162:F164" si="202">H95</f>
        <v>Singapore</v>
      </c>
      <c r="C162">
        <f t="shared" si="202"/>
        <v>-2.7290000000000001</v>
      </c>
      <c r="D162">
        <f t="shared" si="202"/>
        <v>-6.923</v>
      </c>
      <c r="E162">
        <f t="shared" si="202"/>
        <v>-11.651999999999999</v>
      </c>
      <c r="F162">
        <f t="shared" si="202"/>
        <v>-16.565999999999999</v>
      </c>
    </row>
    <row r="163" spans="1:6" x14ac:dyDescent="0.35">
      <c r="A163" t="s">
        <v>235</v>
      </c>
      <c r="B163" t="str">
        <f t="shared" si="202"/>
        <v>Slovakia</v>
      </c>
      <c r="C163">
        <f t="shared" si="202"/>
        <v>-0.129</v>
      </c>
      <c r="D163">
        <f t="shared" si="202"/>
        <v>-0.28499999999999998</v>
      </c>
      <c r="E163">
        <f t="shared" si="202"/>
        <v>-0.47</v>
      </c>
      <c r="F163">
        <f t="shared" si="202"/>
        <v>-0.70599999999999996</v>
      </c>
    </row>
    <row r="164" spans="1:6" x14ac:dyDescent="0.35">
      <c r="A164" t="s">
        <v>236</v>
      </c>
      <c r="B164" t="str">
        <f t="shared" si="202"/>
        <v>Slovenia</v>
      </c>
      <c r="C164">
        <f t="shared" si="202"/>
        <v>-0.13900000000000001</v>
      </c>
      <c r="D164">
        <f t="shared" si="202"/>
        <v>-0.31</v>
      </c>
      <c r="E164">
        <f t="shared" si="202"/>
        <v>-0.51200000000000001</v>
      </c>
      <c r="F164">
        <f t="shared" si="202"/>
        <v>-0.76400000000000001</v>
      </c>
    </row>
    <row r="165" spans="1:6" x14ac:dyDescent="0.35">
      <c r="A165" t="s">
        <v>408</v>
      </c>
      <c r="B165" t="str">
        <f>H$131</f>
        <v>Rest of Oceania</v>
      </c>
      <c r="C165">
        <f>I$131</f>
        <v>-1.0149999999999999</v>
      </c>
      <c r="D165">
        <f>J$131</f>
        <v>-2.6269999999999998</v>
      </c>
      <c r="E165">
        <f>K$131</f>
        <v>-5.1710000000000003</v>
      </c>
      <c r="F165">
        <f>L$131</f>
        <v>-8.5530000000000008</v>
      </c>
    </row>
    <row r="166" spans="1:6" x14ac:dyDescent="0.35">
      <c r="A166" t="s">
        <v>237</v>
      </c>
      <c r="B166" t="str">
        <f t="shared" ref="B166:F169" si="203">H98</f>
        <v>South Africa</v>
      </c>
      <c r="C166">
        <f t="shared" si="203"/>
        <v>-0.74</v>
      </c>
      <c r="D166">
        <f t="shared" si="203"/>
        <v>-1.57</v>
      </c>
      <c r="E166">
        <f t="shared" si="203"/>
        <v>-2.464</v>
      </c>
      <c r="F166">
        <f t="shared" si="203"/>
        <v>-3.4329999999999998</v>
      </c>
    </row>
    <row r="167" spans="1:6" x14ac:dyDescent="0.35">
      <c r="A167" t="s">
        <v>186</v>
      </c>
      <c r="B167" t="str">
        <f t="shared" si="203"/>
        <v>South Korea</v>
      </c>
      <c r="C167">
        <f t="shared" si="203"/>
        <v>-0.21099999999999999</v>
      </c>
      <c r="D167">
        <f t="shared" si="203"/>
        <v>-0.73099999999999998</v>
      </c>
      <c r="E167">
        <f t="shared" si="203"/>
        <v>-1.498</v>
      </c>
      <c r="F167">
        <f t="shared" si="203"/>
        <v>-2.6659999999999999</v>
      </c>
    </row>
    <row r="168" spans="1:6" x14ac:dyDescent="0.35">
      <c r="A168" t="s">
        <v>187</v>
      </c>
      <c r="B168" t="str">
        <f t="shared" si="203"/>
        <v>Spain</v>
      </c>
      <c r="C168">
        <f t="shared" si="203"/>
        <v>-0.14699999999999999</v>
      </c>
      <c r="D168">
        <f t="shared" si="203"/>
        <v>-0.34100000000000003</v>
      </c>
      <c r="E168">
        <f t="shared" si="203"/>
        <v>-0.57499999999999996</v>
      </c>
      <c r="F168">
        <f t="shared" si="203"/>
        <v>-0.871</v>
      </c>
    </row>
    <row r="169" spans="1:6" x14ac:dyDescent="0.35">
      <c r="A169" t="s">
        <v>188</v>
      </c>
      <c r="B169" t="str">
        <f t="shared" si="203"/>
        <v>Sri Lanka</v>
      </c>
      <c r="C169">
        <f t="shared" si="203"/>
        <v>-2.9889999999999999</v>
      </c>
      <c r="D169">
        <f t="shared" si="203"/>
        <v>-6.9409999999999998</v>
      </c>
      <c r="E169">
        <f t="shared" si="203"/>
        <v>-11.715999999999999</v>
      </c>
      <c r="F169">
        <f t="shared" si="203"/>
        <v>-17.437000000000001</v>
      </c>
    </row>
    <row r="170" spans="1:6" x14ac:dyDescent="0.35">
      <c r="A170" t="s">
        <v>409</v>
      </c>
      <c r="B170" t="str">
        <f>H$124</f>
        <v>Rest of Eastern Africa</v>
      </c>
      <c r="C170">
        <f>I$124</f>
        <v>-2.1120000000000001</v>
      </c>
      <c r="D170">
        <f>J$124</f>
        <v>-4.75</v>
      </c>
      <c r="E170">
        <f>K$124</f>
        <v>-8.0990000000000002</v>
      </c>
      <c r="F170">
        <f>L$124</f>
        <v>-11.862</v>
      </c>
    </row>
    <row r="171" spans="1:6" x14ac:dyDescent="0.35">
      <c r="A171" t="s">
        <v>189</v>
      </c>
      <c r="B171" t="str">
        <f>H$133</f>
        <v>Rest of South America</v>
      </c>
      <c r="C171">
        <f>I$133</f>
        <v>-0.45900000000000002</v>
      </c>
      <c r="D171">
        <f>J$133</f>
        <v>-0.93700000000000006</v>
      </c>
      <c r="E171">
        <f>K$133</f>
        <v>-1.5449999999999999</v>
      </c>
      <c r="F171">
        <f>L$133</f>
        <v>-2.4460000000000002</v>
      </c>
    </row>
    <row r="172" spans="1:6" x14ac:dyDescent="0.35">
      <c r="A172" t="s">
        <v>190</v>
      </c>
      <c r="B172" t="str">
        <f>H$132</f>
        <v>Rest of South African Customs Union</v>
      </c>
      <c r="C172">
        <f t="shared" ref="C172:F172" si="204">I$132</f>
        <v>-0.89</v>
      </c>
      <c r="D172">
        <f t="shared" si="204"/>
        <v>-1.923</v>
      </c>
      <c r="E172">
        <f t="shared" si="204"/>
        <v>-3.0449999999999999</v>
      </c>
      <c r="F172">
        <f t="shared" si="204"/>
        <v>-4.3899999999999997</v>
      </c>
    </row>
    <row r="173" spans="1:6" x14ac:dyDescent="0.35">
      <c r="A173" t="s">
        <v>191</v>
      </c>
      <c r="B173" t="str">
        <f t="shared" ref="B173:F174" si="205">H102</f>
        <v>Sweden</v>
      </c>
      <c r="C173">
        <f t="shared" si="205"/>
        <v>-9.5000000000000001E-2</v>
      </c>
      <c r="D173">
        <f t="shared" si="205"/>
        <v>-0.21099999999999999</v>
      </c>
      <c r="E173">
        <f t="shared" si="205"/>
        <v>-0.34899999999999998</v>
      </c>
      <c r="F173">
        <f t="shared" si="205"/>
        <v>-0.51600000000000001</v>
      </c>
    </row>
    <row r="174" spans="1:6" x14ac:dyDescent="0.35">
      <c r="A174" t="s">
        <v>192</v>
      </c>
      <c r="B174" t="str">
        <f t="shared" si="205"/>
        <v>Switzerland</v>
      </c>
      <c r="C174">
        <f t="shared" si="205"/>
        <v>-9.4E-2</v>
      </c>
      <c r="D174">
        <f t="shared" si="205"/>
        <v>-0.214</v>
      </c>
      <c r="E174">
        <f t="shared" si="205"/>
        <v>-0.35499999999999998</v>
      </c>
      <c r="F174">
        <f t="shared" si="205"/>
        <v>-0.52200000000000002</v>
      </c>
    </row>
    <row r="175" spans="1:6" x14ac:dyDescent="0.35">
      <c r="A175" t="s">
        <v>193</v>
      </c>
      <c r="B175" t="str">
        <f>H$139</f>
        <v>Rest of Western Asia</v>
      </c>
      <c r="C175">
        <f t="shared" ref="C175" si="206">I$139</f>
        <v>-0.82899999999999996</v>
      </c>
      <c r="D175">
        <f t="shared" ref="D175" si="207">J$139</f>
        <v>-1.879</v>
      </c>
      <c r="E175">
        <f t="shared" ref="E175" si="208">K$139</f>
        <v>-3.306</v>
      </c>
      <c r="F175">
        <f t="shared" ref="F175" si="209">L$139</f>
        <v>-4.9850000000000003</v>
      </c>
    </row>
    <row r="176" spans="1:6" x14ac:dyDescent="0.35">
      <c r="A176" t="s">
        <v>410</v>
      </c>
      <c r="B176" t="str">
        <f>H$128</f>
        <v>Rest of former Soviet Union</v>
      </c>
      <c r="C176">
        <f t="shared" ref="C176" si="210">I$128</f>
        <v>-0.23899999999999999</v>
      </c>
      <c r="D176">
        <f t="shared" ref="D176" si="211">J$128</f>
        <v>-0.39200000000000002</v>
      </c>
      <c r="E176">
        <f t="shared" ref="E176" si="212">K$128</f>
        <v>-0.56399999999999995</v>
      </c>
      <c r="F176">
        <f t="shared" ref="F176" si="213">L$128</f>
        <v>-0.88800000000000001</v>
      </c>
    </row>
    <row r="177" spans="1:6" x14ac:dyDescent="0.35">
      <c r="A177" t="s">
        <v>194</v>
      </c>
      <c r="B177" t="str">
        <f t="shared" ref="B177:F178" si="214">H105</f>
        <v>Tanzania</v>
      </c>
      <c r="C177">
        <f t="shared" si="214"/>
        <v>-1.546</v>
      </c>
      <c r="D177">
        <f t="shared" si="214"/>
        <v>-4.13</v>
      </c>
      <c r="E177">
        <f t="shared" si="214"/>
        <v>-6.9880000000000004</v>
      </c>
      <c r="F177">
        <f t="shared" si="214"/>
        <v>-10.824999999999999</v>
      </c>
    </row>
    <row r="178" spans="1:6" x14ac:dyDescent="0.35">
      <c r="A178" t="s">
        <v>195</v>
      </c>
      <c r="B178" t="str">
        <f t="shared" si="214"/>
        <v>Thailand</v>
      </c>
      <c r="C178">
        <f t="shared" si="214"/>
        <v>-2.5409999999999999</v>
      </c>
      <c r="D178">
        <f t="shared" si="214"/>
        <v>-5.7489999999999997</v>
      </c>
      <c r="E178">
        <f t="shared" si="214"/>
        <v>-9.2430000000000003</v>
      </c>
      <c r="F178">
        <f t="shared" si="214"/>
        <v>-13.269</v>
      </c>
    </row>
    <row r="179" spans="1:6" x14ac:dyDescent="0.35">
      <c r="A179" t="s">
        <v>411</v>
      </c>
      <c r="B179" t="str">
        <f>H$136</f>
        <v>Rest of Southeast Asia</v>
      </c>
      <c r="C179">
        <f t="shared" ref="C179:F179" si="215">I$136</f>
        <v>-3.8109999999999999</v>
      </c>
      <c r="D179">
        <f t="shared" si="215"/>
        <v>-8.11</v>
      </c>
      <c r="E179">
        <f t="shared" si="215"/>
        <v>-12.923999999999999</v>
      </c>
      <c r="F179">
        <f t="shared" si="215"/>
        <v>-18.573</v>
      </c>
    </row>
    <row r="180" spans="1:6" x14ac:dyDescent="0.35">
      <c r="A180" t="s">
        <v>412</v>
      </c>
      <c r="B180" t="str">
        <f>H107</f>
        <v>Togo</v>
      </c>
      <c r="C180">
        <f>I107</f>
        <v>-5.5970000000000004</v>
      </c>
      <c r="D180">
        <f>J107</f>
        <v>-12.221</v>
      </c>
      <c r="E180">
        <f>K107</f>
        <v>-19.032</v>
      </c>
      <c r="F180">
        <f>L107</f>
        <v>-26.556000000000001</v>
      </c>
    </row>
    <row r="181" spans="1:6" x14ac:dyDescent="0.35">
      <c r="A181" t="s">
        <v>413</v>
      </c>
      <c r="B181" t="str">
        <f>H$131</f>
        <v>Rest of Oceania</v>
      </c>
      <c r="C181">
        <f>I$131</f>
        <v>-1.0149999999999999</v>
      </c>
      <c r="D181">
        <f>J$131</f>
        <v>-2.6269999999999998</v>
      </c>
      <c r="E181">
        <f>K$131</f>
        <v>-5.1710000000000003</v>
      </c>
      <c r="F181">
        <f>L$131</f>
        <v>-8.5530000000000008</v>
      </c>
    </row>
    <row r="182" spans="1:6" x14ac:dyDescent="0.35">
      <c r="A182" t="s">
        <v>196</v>
      </c>
      <c r="B182" t="str">
        <f t="shared" ref="B182:F184" si="216">H108</f>
        <v>Trinidad and Tobago</v>
      </c>
      <c r="C182">
        <f t="shared" si="216"/>
        <v>-1.69</v>
      </c>
      <c r="D182">
        <f t="shared" si="216"/>
        <v>-4.1500000000000004</v>
      </c>
      <c r="E182">
        <f t="shared" si="216"/>
        <v>-7.3570000000000002</v>
      </c>
      <c r="F182">
        <f t="shared" si="216"/>
        <v>-10.904999999999999</v>
      </c>
    </row>
    <row r="183" spans="1:6" x14ac:dyDescent="0.35">
      <c r="A183" t="s">
        <v>197</v>
      </c>
      <c r="B183" t="str">
        <f t="shared" si="216"/>
        <v>Tunisia</v>
      </c>
      <c r="C183">
        <f t="shared" si="216"/>
        <v>-0.871</v>
      </c>
      <c r="D183">
        <f t="shared" si="216"/>
        <v>-1.8360000000000001</v>
      </c>
      <c r="E183">
        <f t="shared" si="216"/>
        <v>-3.052</v>
      </c>
      <c r="F183">
        <f t="shared" si="216"/>
        <v>-4.609</v>
      </c>
    </row>
    <row r="184" spans="1:6" x14ac:dyDescent="0.35">
      <c r="A184" t="s">
        <v>198</v>
      </c>
      <c r="B184" t="str">
        <f t="shared" si="216"/>
        <v>Turkey</v>
      </c>
      <c r="C184">
        <f t="shared" si="216"/>
        <v>-0.34200000000000003</v>
      </c>
      <c r="D184">
        <f t="shared" si="216"/>
        <v>-0.84199999999999997</v>
      </c>
      <c r="E184">
        <f t="shared" si="216"/>
        <v>-1.54</v>
      </c>
      <c r="F184">
        <f t="shared" si="216"/>
        <v>-2.4790000000000001</v>
      </c>
    </row>
    <row r="185" spans="1:6" x14ac:dyDescent="0.35">
      <c r="A185" t="s">
        <v>414</v>
      </c>
      <c r="B185" t="str">
        <f>H$128</f>
        <v>Rest of former Soviet Union</v>
      </c>
      <c r="C185">
        <f t="shared" ref="C185" si="217">I$128</f>
        <v>-0.23899999999999999</v>
      </c>
      <c r="D185">
        <f t="shared" ref="D185" si="218">J$128</f>
        <v>-0.39200000000000002</v>
      </c>
      <c r="E185">
        <f t="shared" ref="E185" si="219">K$128</f>
        <v>-0.56399999999999995</v>
      </c>
      <c r="F185">
        <f t="shared" ref="F185" si="220">L$128</f>
        <v>-0.88800000000000001</v>
      </c>
    </row>
    <row r="186" spans="1:6" x14ac:dyDescent="0.35">
      <c r="A186" t="s">
        <v>415</v>
      </c>
      <c r="B186" t="str">
        <f>H$131</f>
        <v>Rest of Oceania</v>
      </c>
      <c r="C186">
        <f>I$131</f>
        <v>-1.0149999999999999</v>
      </c>
      <c r="D186">
        <f>J$131</f>
        <v>-2.6269999999999998</v>
      </c>
      <c r="E186">
        <f>K$131</f>
        <v>-5.1710000000000003</v>
      </c>
      <c r="F186">
        <f>L$131</f>
        <v>-8.5530000000000008</v>
      </c>
    </row>
    <row r="187" spans="1:6" x14ac:dyDescent="0.35">
      <c r="A187" t="s">
        <v>254</v>
      </c>
      <c r="B187" t="str">
        <f t="shared" ref="B187:F190" si="221">H111</f>
        <v>Uganda</v>
      </c>
      <c r="C187">
        <f t="shared" si="221"/>
        <v>-1.7430000000000001</v>
      </c>
      <c r="D187">
        <f t="shared" si="221"/>
        <v>-3.6520000000000001</v>
      </c>
      <c r="E187">
        <f t="shared" si="221"/>
        <v>-6.3280000000000003</v>
      </c>
      <c r="F187">
        <f t="shared" si="221"/>
        <v>-10.404</v>
      </c>
    </row>
    <row r="188" spans="1:6" x14ac:dyDescent="0.35">
      <c r="A188" t="s">
        <v>238</v>
      </c>
      <c r="B188" t="str">
        <f t="shared" si="221"/>
        <v>Ukraine</v>
      </c>
      <c r="C188">
        <f t="shared" si="221"/>
        <v>-0.153</v>
      </c>
      <c r="D188">
        <f t="shared" si="221"/>
        <v>-0.219</v>
      </c>
      <c r="E188">
        <f t="shared" si="221"/>
        <v>-0.25</v>
      </c>
      <c r="F188">
        <f t="shared" si="221"/>
        <v>-0.38200000000000001</v>
      </c>
    </row>
    <row r="189" spans="1:6" x14ac:dyDescent="0.35">
      <c r="A189" t="s">
        <v>416</v>
      </c>
      <c r="B189" t="str">
        <f t="shared" si="221"/>
        <v>United Arab Emirates</v>
      </c>
      <c r="C189">
        <f t="shared" si="221"/>
        <v>-2.2069999999999999</v>
      </c>
      <c r="D189">
        <f t="shared" si="221"/>
        <v>-4.7990000000000004</v>
      </c>
      <c r="E189">
        <f t="shared" si="221"/>
        <v>-7.6840000000000002</v>
      </c>
      <c r="F189">
        <f t="shared" si="221"/>
        <v>-10.976000000000001</v>
      </c>
    </row>
    <row r="190" spans="1:6" x14ac:dyDescent="0.35">
      <c r="A190" t="s">
        <v>199</v>
      </c>
      <c r="B190" t="str">
        <f t="shared" si="221"/>
        <v>United Kingdom</v>
      </c>
      <c r="C190">
        <f t="shared" si="221"/>
        <v>-0.122</v>
      </c>
      <c r="D190">
        <f t="shared" si="221"/>
        <v>-0.26</v>
      </c>
      <c r="E190">
        <f t="shared" si="221"/>
        <v>-0.42199999999999999</v>
      </c>
      <c r="F190">
        <f t="shared" si="221"/>
        <v>-0.61299999999999999</v>
      </c>
    </row>
    <row r="191" spans="1:6" x14ac:dyDescent="0.35">
      <c r="A191" t="s">
        <v>200</v>
      </c>
      <c r="B191" t="str">
        <f>H116</f>
        <v>USA</v>
      </c>
      <c r="C191">
        <f>I116</f>
        <v>-0.182</v>
      </c>
      <c r="D191">
        <f>J116</f>
        <v>-0.39200000000000002</v>
      </c>
      <c r="E191">
        <f>K116</f>
        <v>-0.622</v>
      </c>
      <c r="F191">
        <f>L116</f>
        <v>-0.88500000000000001</v>
      </c>
    </row>
    <row r="192" spans="1:6" x14ac:dyDescent="0.35">
      <c r="A192" t="s">
        <v>201</v>
      </c>
      <c r="B192" t="str">
        <f>H115</f>
        <v>Uruguay</v>
      </c>
      <c r="C192">
        <f>I115</f>
        <v>-0.47099999999999997</v>
      </c>
      <c r="D192">
        <f>J115</f>
        <v>-1.0229999999999999</v>
      </c>
      <c r="E192">
        <f>K115</f>
        <v>-1.776</v>
      </c>
      <c r="F192">
        <f>L115</f>
        <v>-2.7850000000000001</v>
      </c>
    </row>
    <row r="193" spans="1:6" x14ac:dyDescent="0.35">
      <c r="A193" t="s">
        <v>417</v>
      </c>
      <c r="B193" t="str">
        <f>H$128</f>
        <v>Rest of former Soviet Union</v>
      </c>
      <c r="C193">
        <f t="shared" ref="C193:F193" si="222">I$128</f>
        <v>-0.23899999999999999</v>
      </c>
      <c r="D193">
        <f t="shared" si="222"/>
        <v>-0.39200000000000002</v>
      </c>
      <c r="E193">
        <f t="shared" si="222"/>
        <v>-0.56399999999999995</v>
      </c>
      <c r="F193">
        <f t="shared" si="222"/>
        <v>-0.88800000000000001</v>
      </c>
    </row>
    <row r="194" spans="1:6" x14ac:dyDescent="0.35">
      <c r="A194" t="s">
        <v>418</v>
      </c>
      <c r="B194" t="str">
        <f>H$131</f>
        <v>Rest of Oceania</v>
      </c>
      <c r="C194">
        <f>I$131</f>
        <v>-1.0149999999999999</v>
      </c>
      <c r="D194">
        <f>J$131</f>
        <v>-2.6269999999999998</v>
      </c>
      <c r="E194">
        <f>K$131</f>
        <v>-5.1710000000000003</v>
      </c>
      <c r="F194">
        <f>L$131</f>
        <v>-8.5530000000000008</v>
      </c>
    </row>
    <row r="195" spans="1:6" x14ac:dyDescent="0.35">
      <c r="A195" t="s">
        <v>202</v>
      </c>
      <c r="B195" t="str">
        <f t="shared" ref="B195:F196" si="223">H117</f>
        <v>Venezuela</v>
      </c>
      <c r="C195">
        <f t="shared" si="223"/>
        <v>-0.64900000000000002</v>
      </c>
      <c r="D195">
        <f t="shared" si="223"/>
        <v>-1.794</v>
      </c>
      <c r="E195">
        <f t="shared" si="223"/>
        <v>-3.6139999999999999</v>
      </c>
      <c r="F195">
        <f t="shared" si="223"/>
        <v>-6.3390000000000004</v>
      </c>
    </row>
    <row r="196" spans="1:6" x14ac:dyDescent="0.35">
      <c r="A196" t="s">
        <v>419</v>
      </c>
      <c r="B196" t="str">
        <f t="shared" si="223"/>
        <v>Vietnam</v>
      </c>
      <c r="C196">
        <f t="shared" si="223"/>
        <v>-2.2229999999999999</v>
      </c>
      <c r="D196">
        <f t="shared" si="223"/>
        <v>-4.8620000000000001</v>
      </c>
      <c r="E196">
        <f t="shared" si="223"/>
        <v>-7.9589999999999996</v>
      </c>
      <c r="F196">
        <f t="shared" si="223"/>
        <v>-11.641</v>
      </c>
    </row>
    <row r="197" spans="1:6" x14ac:dyDescent="0.35">
      <c r="A197" t="s">
        <v>420</v>
      </c>
      <c r="B197" t="str">
        <f>H$139</f>
        <v>Rest of Western Asia</v>
      </c>
      <c r="C197">
        <f t="shared" ref="C197:F197" si="224">I$139</f>
        <v>-0.82899999999999996</v>
      </c>
      <c r="D197">
        <f t="shared" si="224"/>
        <v>-1.879</v>
      </c>
      <c r="E197">
        <f t="shared" si="224"/>
        <v>-3.306</v>
      </c>
      <c r="F197">
        <f t="shared" si="224"/>
        <v>-4.9850000000000003</v>
      </c>
    </row>
    <row r="198" spans="1:6" x14ac:dyDescent="0.35">
      <c r="A198" t="s">
        <v>204</v>
      </c>
      <c r="B198" t="str">
        <f t="shared" ref="B198:F199" si="225">H119</f>
        <v>Zambia</v>
      </c>
      <c r="C198">
        <f t="shared" si="225"/>
        <v>-1.097</v>
      </c>
      <c r="D198">
        <f t="shared" si="225"/>
        <v>-2.6160000000000001</v>
      </c>
      <c r="E198">
        <f t="shared" si="225"/>
        <v>-4.4139999999999997</v>
      </c>
      <c r="F198">
        <f t="shared" si="225"/>
        <v>-6.72</v>
      </c>
    </row>
    <row r="199" spans="1:6" x14ac:dyDescent="0.35">
      <c r="A199" t="s">
        <v>205</v>
      </c>
      <c r="B199" t="str">
        <f t="shared" si="225"/>
        <v>Zimbabwe</v>
      </c>
      <c r="C199">
        <f t="shared" si="225"/>
        <v>-1.2609999999999999</v>
      </c>
      <c r="D199">
        <f t="shared" si="225"/>
        <v>-2.726</v>
      </c>
      <c r="E199">
        <f t="shared" si="225"/>
        <v>-4.423</v>
      </c>
      <c r="F199">
        <f t="shared" si="225"/>
        <v>-6.5019999999999998</v>
      </c>
    </row>
    <row r="201" spans="1:6" x14ac:dyDescent="0.35">
      <c r="C201">
        <f>SUMPRODUCT(C2:C199,country!$C5:$C202)/SUM(country!$C5:$C202)</f>
        <v>-0.4658664448796927</v>
      </c>
      <c r="D201">
        <f>SUMPRODUCT(D2:D199,country!$C5:$C202)/SUM(country!$C5:$C202)</f>
        <v>-1.0740738140966928</v>
      </c>
      <c r="E201">
        <f>SUMPRODUCT(E2:E199,country!$C5:$C202)/SUM(country!$C5:$C202)</f>
        <v>-1.8369485050307706</v>
      </c>
      <c r="F201">
        <f>SUMPRODUCT(F2:F199,country!$C5:$C202)/SUM(country!$C5:$C202)</f>
        <v>-2.7931051587285425</v>
      </c>
    </row>
  </sheetData>
  <sortState xmlns:xlrd2="http://schemas.microsoft.com/office/spreadsheetml/2017/richdata2" ref="H2:L140">
    <sortCondition ref="H2:H140"/>
  </sortState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46505-6655-4F14-8E21-33734D36497F}">
  <dimension ref="A1:J32"/>
  <sheetViews>
    <sheetView workbookViewId="0">
      <selection activeCell="C2" sqref="C2:G2"/>
    </sheetView>
  </sheetViews>
  <sheetFormatPr defaultRowHeight="14.5" x14ac:dyDescent="0.35"/>
  <cols>
    <col min="1" max="1" width="11.54296875" customWidth="1"/>
    <col min="3" max="3" width="14.1796875" bestFit="1" customWidth="1"/>
    <col min="7" max="7" width="12.54296875" bestFit="1" customWidth="1"/>
  </cols>
  <sheetData>
    <row r="1" spans="1:7" x14ac:dyDescent="0.35">
      <c r="C1" t="s">
        <v>72</v>
      </c>
      <c r="D1" t="s">
        <v>295</v>
      </c>
      <c r="E1" t="s">
        <v>504</v>
      </c>
    </row>
    <row r="2" spans="1:7" x14ac:dyDescent="0.35">
      <c r="A2" t="s">
        <v>131</v>
      </c>
      <c r="B2">
        <v>0.90126677133885402</v>
      </c>
      <c r="C2" s="8">
        <f>SUMPRODUCT(regions!$C4:$C201,regions!EY4:EY201)</f>
        <v>1240064039807.2598</v>
      </c>
      <c r="D2" s="8">
        <f>SUMPRODUCT(regions!$B4:$B201,regions!EY4:EY201)</f>
        <v>34126547</v>
      </c>
      <c r="E2" s="8">
        <f>C2/D2</f>
        <v>36337.22567382102</v>
      </c>
      <c r="F2">
        <f>G2/D2</f>
        <v>-5.4</v>
      </c>
      <c r="G2">
        <f>SUMPRODUCT(regions!$Z4:$Z201,regions!EY4:EY201,regions!$B4:$B201)</f>
        <v>-184283353.80000001</v>
      </c>
    </row>
    <row r="3" spans="1:7" x14ac:dyDescent="0.35">
      <c r="A3" t="s">
        <v>132</v>
      </c>
      <c r="B3">
        <v>-0.583735369683128</v>
      </c>
      <c r="C3" s="8">
        <f>SUMPRODUCT(regions!$C4:$C201,regions!EZ4:EZ201)</f>
        <v>147668421646.38379</v>
      </c>
      <c r="D3" s="8">
        <f>SUMPRODUCT(regions!$B4:$B201,regions!EZ4:EZ201)</f>
        <v>17150760</v>
      </c>
      <c r="E3" s="8">
        <f t="shared" ref="E3:E26" si="0">C3/D3</f>
        <v>8610.0220425441075</v>
      </c>
      <c r="F3">
        <f t="shared" ref="F3:F26" si="1">G3/D3</f>
        <v>8.5</v>
      </c>
      <c r="G3">
        <f>SUMPRODUCT(regions!$Z4:$Z201,regions!EZ4:EZ201,regions!$B4:$B201)</f>
        <v>145781460</v>
      </c>
    </row>
    <row r="4" spans="1:7" x14ac:dyDescent="0.35">
      <c r="A4" t="s">
        <v>167</v>
      </c>
      <c r="B4">
        <v>-1.9756672851841299</v>
      </c>
      <c r="C4" s="8">
        <f>SUMPRODUCT(regions!$C4:$C201,regions!FA4:FA201)</f>
        <v>953067840505.29358</v>
      </c>
      <c r="D4" s="8">
        <f>SUMPRODUCT(regions!$B4:$B201,regions!FA4:FA201)</f>
        <v>117886404</v>
      </c>
      <c r="E4" s="8">
        <f t="shared" si="0"/>
        <v>8084.6290001796442</v>
      </c>
      <c r="F4">
        <f t="shared" si="1"/>
        <v>21</v>
      </c>
      <c r="G4">
        <f>SUMPRODUCT(regions!$Z4:$Z201,regions!FA4:FA201,regions!$B4:$B201)</f>
        <v>2475614484</v>
      </c>
    </row>
    <row r="5" spans="1:7" x14ac:dyDescent="0.35">
      <c r="A5" t="s">
        <v>63</v>
      </c>
      <c r="B5">
        <v>-0.456244647445047</v>
      </c>
      <c r="C5" s="8">
        <f>SUMPRODUCT(regions!$C4:$C201,regions!FB4:FB201)</f>
        <v>13595644353592.4</v>
      </c>
      <c r="D5" s="8">
        <f>SUMPRODUCT(regions!$B4:$B201,regions!FB4:FB201)</f>
        <v>309326225</v>
      </c>
      <c r="E5" s="8">
        <f t="shared" si="0"/>
        <v>43952.446494287382</v>
      </c>
      <c r="F5">
        <f t="shared" si="1"/>
        <v>8.5</v>
      </c>
      <c r="G5">
        <f>SUMPRODUCT(regions!$Z4:$Z201,regions!FB4:FB201,regions!$B4:$B201)</f>
        <v>2629272912.5</v>
      </c>
    </row>
    <row r="6" spans="1:7" x14ac:dyDescent="0.35">
      <c r="A6" t="s">
        <v>693</v>
      </c>
      <c r="B6">
        <v>-0.14448686839851499</v>
      </c>
      <c r="C6" s="8">
        <f>SUMPRODUCT(regions!$C4:$C201,regions!FC4:FC201)</f>
        <v>9282724920830.6582</v>
      </c>
      <c r="D6" s="8">
        <f>SUMPRODUCT(regions!$B4:$B201,regions!FC4:FC201)</f>
        <v>269562727</v>
      </c>
      <c r="E6" s="8">
        <f t="shared" si="0"/>
        <v>34436.233169694337</v>
      </c>
      <c r="F6">
        <f t="shared" si="1"/>
        <v>10.076748007895024</v>
      </c>
      <c r="G6">
        <f>SUMPRODUCT(regions!$Z4:$Z201,regions!FC4:FC201,regions!$B4:$B201)</f>
        <v>2716315672.3000002</v>
      </c>
    </row>
    <row r="7" spans="1:7" x14ac:dyDescent="0.35">
      <c r="A7" t="s">
        <v>694</v>
      </c>
      <c r="B7">
        <v>-0.40611261775620799</v>
      </c>
      <c r="C7" s="8">
        <f>SUMPRODUCT(regions!$C4:$C201,regions!FD4:FD201)</f>
        <v>4903726906695.4043</v>
      </c>
      <c r="D7" s="8">
        <f>SUMPRODUCT(regions!$B4:$B201,regions!FD4:FD201)</f>
        <v>196709381</v>
      </c>
      <c r="E7" s="8">
        <f t="shared" si="0"/>
        <v>24928.790288325927</v>
      </c>
      <c r="F7">
        <f t="shared" si="1"/>
        <v>9.7147519395630653</v>
      </c>
      <c r="G7">
        <f>SUMPRODUCT(regions!$Z4:$Z201,regions!FD4:FD201,regions!$B4:$B201)</f>
        <v>1910982840.5999999</v>
      </c>
    </row>
    <row r="8" spans="1:7" x14ac:dyDescent="0.35">
      <c r="A8" t="s">
        <v>697</v>
      </c>
      <c r="B8">
        <v>-0.23403511276049099</v>
      </c>
      <c r="C8" s="8">
        <f>SUMPRODUCT(regions!$C4:$C201,regions!FE4:FE201)</f>
        <v>1493862019338.7661</v>
      </c>
      <c r="D8" s="8">
        <f>SUMPRODUCT(regions!$B4:$B201,regions!FE4:FE201)</f>
        <v>92793348</v>
      </c>
      <c r="E8" s="8">
        <f t="shared" si="0"/>
        <v>16098.805049460723</v>
      </c>
      <c r="F8">
        <f t="shared" si="1"/>
        <v>10.755204433403998</v>
      </c>
      <c r="G8">
        <f>SUMPRODUCT(regions!$Z4:$Z201,regions!FE4:FE201,regions!$B4:$B201)</f>
        <v>998011427.79999995</v>
      </c>
    </row>
    <row r="9" spans="1:7" x14ac:dyDescent="0.35">
      <c r="A9" t="s">
        <v>695</v>
      </c>
      <c r="B9">
        <v>-0.898165857836139</v>
      </c>
      <c r="C9" s="8">
        <f>SUMPRODUCT(regions!$C4:$C201,regions!FF4:FF201)</f>
        <v>917484743560.59082</v>
      </c>
      <c r="D9" s="8">
        <f>SUMPRODUCT(regions!$B4:$B201,regions!FF4:FF201)</f>
        <v>26433100</v>
      </c>
      <c r="E9" s="8">
        <f t="shared" si="0"/>
        <v>34709.691393010689</v>
      </c>
      <c r="F9">
        <f t="shared" si="1"/>
        <v>19.765838286088279</v>
      </c>
      <c r="G9">
        <f>SUMPRODUCT(regions!$Z4:$Z201,regions!FF4:FF201,regions!$B4:$B201)</f>
        <v>522472380.00000006</v>
      </c>
    </row>
    <row r="10" spans="1:7" x14ac:dyDescent="0.35">
      <c r="A10" t="s">
        <v>64</v>
      </c>
      <c r="B10">
        <v>4.8397801884101803E-2</v>
      </c>
      <c r="C10" s="8">
        <f>SUMPRODUCT(regions!$C4:$C201,regions!FG4:FG201)</f>
        <v>4648468621132.7568</v>
      </c>
      <c r="D10" s="8">
        <f>SUMPRODUCT(regions!$B4:$B201,regions!FG4:FG201)</f>
        <v>127450459</v>
      </c>
      <c r="E10" s="8">
        <f t="shared" si="0"/>
        <v>36472.749157637452</v>
      </c>
      <c r="F10">
        <f t="shared" si="1"/>
        <v>11.1</v>
      </c>
      <c r="G10">
        <f>SUMPRODUCT(regions!$Z4:$Z201,regions!FG4:FG201,regions!$B4:$B201)</f>
        <v>1414700094.8999999</v>
      </c>
    </row>
    <row r="11" spans="1:7" x14ac:dyDescent="0.35">
      <c r="A11" t="s">
        <v>186</v>
      </c>
      <c r="B11">
        <v>-0.42989223522694697</v>
      </c>
      <c r="C11" s="8">
        <f>SUMPRODUCT(regions!$C4:$C201,regions!FH4:FH201)</f>
        <v>1098690046553.521</v>
      </c>
      <c r="D11" s="8">
        <f>SUMPRODUCT(regions!$B4:$B201,regions!FH4:FH201)</f>
        <v>49410000</v>
      </c>
      <c r="E11" s="8">
        <f t="shared" si="0"/>
        <v>22236.187948867053</v>
      </c>
      <c r="F11">
        <f t="shared" si="1"/>
        <v>11.5</v>
      </c>
      <c r="G11">
        <f>SUMPRODUCT(regions!$Z4:$Z201,regions!FH4:FH201,regions!$B4:$B201)</f>
        <v>568215000</v>
      </c>
    </row>
    <row r="12" spans="1:7" x14ac:dyDescent="0.35">
      <c r="A12" t="s">
        <v>65</v>
      </c>
      <c r="B12">
        <v>-2.50346488723951</v>
      </c>
      <c r="C12" s="8">
        <f>SUMPRODUCT(regions!$C4:$C201,regions!FI4:FI201)</f>
        <v>3839284159376.0742</v>
      </c>
      <c r="D12" s="8">
        <f>SUMPRODUCT(regions!$B4:$B201,regions!FI4:FI201)</f>
        <v>1337705000</v>
      </c>
      <c r="E12" s="8">
        <f t="shared" si="0"/>
        <v>2870.0529334764196</v>
      </c>
      <c r="F12">
        <f t="shared" si="1"/>
        <v>6.9</v>
      </c>
      <c r="G12">
        <f>SUMPRODUCT(regions!$Z4:$Z201,regions!FI4:FI201,regions!$B4:$B201)</f>
        <v>9230164500</v>
      </c>
    </row>
    <row r="13" spans="1:7" x14ac:dyDescent="0.35">
      <c r="A13" t="s">
        <v>696</v>
      </c>
      <c r="B13">
        <v>-0.79797673422780302</v>
      </c>
      <c r="C13" s="8">
        <f>SUMPRODUCT(regions!$C4:$C201,regions!FJ4:FJ201)</f>
        <v>261662381905.29788</v>
      </c>
      <c r="D13" s="8">
        <f>SUMPRODUCT(regions!$B4:$B201,regions!FJ4:FJ201)</f>
        <v>40435598</v>
      </c>
      <c r="E13" s="8">
        <f t="shared" si="0"/>
        <v>6471.089704307029</v>
      </c>
      <c r="F13">
        <f t="shared" si="1"/>
        <v>9.3266853652071635</v>
      </c>
      <c r="G13">
        <f>SUMPRODUCT(regions!$Z4:$Z201,regions!FJ4:FJ201,regions!$B4:$B201)</f>
        <v>377130100.10000002</v>
      </c>
    </row>
    <row r="14" spans="1:7" x14ac:dyDescent="0.35">
      <c r="A14" t="s">
        <v>233</v>
      </c>
      <c r="B14">
        <v>1.1549992863260099</v>
      </c>
      <c r="C14" s="8">
        <f>SUMPRODUCT(regions!$C4:$C201,regions!FK4:FK201)</f>
        <v>909241662711.50525</v>
      </c>
      <c r="D14" s="8">
        <f>SUMPRODUCT(regions!$B4:$B201,regions!FK4:FK201)</f>
        <v>142389000</v>
      </c>
      <c r="E14" s="8">
        <f t="shared" si="0"/>
        <v>6385.6173068952321</v>
      </c>
      <c r="F14">
        <f t="shared" si="1"/>
        <v>-5.0999999999999996</v>
      </c>
      <c r="G14">
        <f>SUMPRODUCT(regions!$Z4:$Z201,regions!FK4:FK201,regions!$B4:$B201)</f>
        <v>-726183900</v>
      </c>
    </row>
    <row r="15" spans="1:7" x14ac:dyDescent="0.35">
      <c r="A15" t="s">
        <v>698</v>
      </c>
      <c r="B15">
        <v>-2.3586140451041899</v>
      </c>
      <c r="C15" s="8">
        <f>SUMPRODUCT(regions!$C4:$C201,regions!FL4:FL201)</f>
        <v>361530773978.64948</v>
      </c>
      <c r="D15" s="8">
        <f>SUMPRODUCT(regions!$B4:$B201,regions!FL4:FL201)</f>
        <v>104881928</v>
      </c>
      <c r="E15" s="8">
        <f t="shared" si="0"/>
        <v>3447.0263931327568</v>
      </c>
      <c r="F15">
        <f t="shared" si="1"/>
        <v>14.960647108813635</v>
      </c>
      <c r="G15">
        <f>SUMPRODUCT(regions!$Z4:$Z201,regions!FL4:FL201,regions!$B4:$B201)</f>
        <v>1569101512.8999999</v>
      </c>
    </row>
    <row r="16" spans="1:7" x14ac:dyDescent="0.35">
      <c r="A16" t="s">
        <v>699</v>
      </c>
      <c r="B16">
        <v>-0.63778903796745501</v>
      </c>
      <c r="C16" s="8">
        <f>SUMPRODUCT(regions!$C4:$C201,regions!FM4:FM201)</f>
        <v>224775417888.487</v>
      </c>
      <c r="D16" s="8">
        <f>SUMPRODUCT(regions!$B4:$B201,regions!FM4:FM201)</f>
        <v>78080455</v>
      </c>
      <c r="E16" s="8">
        <f t="shared" si="0"/>
        <v>2878.7667526846121</v>
      </c>
      <c r="F16">
        <f t="shared" si="1"/>
        <v>8.532061376947663</v>
      </c>
      <c r="G16">
        <f>SUMPRODUCT(regions!$Z4:$Z201,regions!FM4:FM201,regions!$B4:$B201)</f>
        <v>666187234.4000001</v>
      </c>
    </row>
    <row r="17" spans="1:10" x14ac:dyDescent="0.35">
      <c r="A17" t="s">
        <v>129</v>
      </c>
      <c r="B17">
        <v>-1.1934377676277499</v>
      </c>
      <c r="C17" s="8">
        <f>SUMPRODUCT(regions!$C4:$C201,regions!FN4:FN201)</f>
        <v>1096754010432.5254</v>
      </c>
      <c r="D17" s="8">
        <f>SUMPRODUCT(regions!$B4:$B201,regions!FN4:FN201)</f>
        <v>195210154</v>
      </c>
      <c r="E17" s="8">
        <f t="shared" si="0"/>
        <v>5618.3246002281494</v>
      </c>
      <c r="F17">
        <f t="shared" si="1"/>
        <v>24.9</v>
      </c>
      <c r="G17">
        <f>SUMPRODUCT(regions!$Z4:$Z201,regions!FN4:FN201,regions!$B4:$B201)</f>
        <v>4860732834.5999994</v>
      </c>
    </row>
    <row r="18" spans="1:10" x14ac:dyDescent="0.35">
      <c r="A18" t="s">
        <v>700</v>
      </c>
      <c r="B18">
        <v>-1.6716528689694501</v>
      </c>
      <c r="C18" s="8">
        <f>SUMPRODUCT(regions!$C4:$C201,regions!FO4:FO201)</f>
        <v>1209610044628.8416</v>
      </c>
      <c r="D18" s="8">
        <f>SUMPRODUCT(regions!$B4:$B201,regions!FO4:FO201)</f>
        <v>264440414</v>
      </c>
      <c r="E18" s="8">
        <f t="shared" si="0"/>
        <v>4574.2253475251391</v>
      </c>
      <c r="F18">
        <f t="shared" si="1"/>
        <v>22.204395144382126</v>
      </c>
      <c r="G18">
        <f>SUMPRODUCT(regions!$Z4:$Z201,regions!FO4:FO201,regions!$B4:$B201)</f>
        <v>5871739444.5999994</v>
      </c>
    </row>
    <row r="19" spans="1:10" x14ac:dyDescent="0.35">
      <c r="A19" t="s">
        <v>701</v>
      </c>
      <c r="B19">
        <v>-3.17214173565515</v>
      </c>
      <c r="C19" s="8">
        <f>SUMPRODUCT(regions!$C4:$C201,regions!FP4:FP201)</f>
        <v>1066171902949.4664</v>
      </c>
      <c r="D19" s="8">
        <f>SUMPRODUCT(regions!$B4:$B201,regions!FP4:FP201)</f>
        <v>133951727</v>
      </c>
      <c r="E19" s="8">
        <f t="shared" si="0"/>
        <v>7959.3740732395818</v>
      </c>
      <c r="F19">
        <f t="shared" si="1"/>
        <v>21.995852613382134</v>
      </c>
      <c r="G19">
        <f>SUMPRODUCT(regions!$Z4:$Z201,regions!FP4:FP201,regions!$B4:$B201)</f>
        <v>2946382444.4000001</v>
      </c>
    </row>
    <row r="20" spans="1:10" x14ac:dyDescent="0.35">
      <c r="A20" t="s">
        <v>702</v>
      </c>
      <c r="B20">
        <v>-3.5112011133314298</v>
      </c>
      <c r="C20" s="8">
        <f>SUMPRODUCT(regions!$C4:$C201,regions!FQ4:FQ201)</f>
        <v>408770807928.54938</v>
      </c>
      <c r="D20" s="8">
        <f>SUMPRODUCT(regions!$B4:$B201,regions!FQ4:FQ201)</f>
        <v>163370597</v>
      </c>
      <c r="E20" s="8">
        <f t="shared" si="0"/>
        <v>2502.1075728121955</v>
      </c>
      <c r="F20">
        <f t="shared" si="1"/>
        <v>21.023972557926076</v>
      </c>
      <c r="G20">
        <f>SUMPRODUCT(regions!$Z4:$Z201,regions!FQ4:FQ201,regions!$B4:$B201)</f>
        <v>3434698948.0999999</v>
      </c>
    </row>
    <row r="21" spans="1:10" x14ac:dyDescent="0.35">
      <c r="A21" t="s">
        <v>703</v>
      </c>
      <c r="B21">
        <v>-2.7040929203539799</v>
      </c>
      <c r="C21" s="8">
        <f>SUMPRODUCT(regions!$C4:$C201,regions!FR4:FR201)</f>
        <v>797198643615.5835</v>
      </c>
      <c r="D21" s="8">
        <f>SUMPRODUCT(regions!$B4:$B201,regions!FR4:FR201)</f>
        <v>301292886</v>
      </c>
      <c r="E21" s="8">
        <f t="shared" si="0"/>
        <v>2645.9258769740204</v>
      </c>
      <c r="F21">
        <f t="shared" si="1"/>
        <v>25.462156611955319</v>
      </c>
      <c r="G21">
        <f>SUMPRODUCT(regions!$Z4:$Z201,regions!FR4:FR201,regions!$B4:$B201)</f>
        <v>7671566649.3999996</v>
      </c>
    </row>
    <row r="22" spans="1:10" x14ac:dyDescent="0.35">
      <c r="A22" t="s">
        <v>153</v>
      </c>
      <c r="B22">
        <v>-2.3151263202968901</v>
      </c>
      <c r="C22" s="8">
        <f>SUMPRODUCT(regions!$C4:$C201,regions!FS4:FS201)</f>
        <v>377898889669.60541</v>
      </c>
      <c r="D22" s="8">
        <f>SUMPRODUCT(regions!$B4:$B201,regions!FS4:FS201)</f>
        <v>240676485</v>
      </c>
      <c r="E22" s="8">
        <f t="shared" si="0"/>
        <v>1570.1529365014842</v>
      </c>
      <c r="F22">
        <f t="shared" si="1"/>
        <v>25.8</v>
      </c>
      <c r="G22">
        <f>SUMPRODUCT(regions!$Z4:$Z201,regions!FS4:FS201,regions!$B4:$B201)</f>
        <v>6209453313</v>
      </c>
    </row>
    <row r="23" spans="1:10" x14ac:dyDescent="0.35">
      <c r="A23" t="s">
        <v>152</v>
      </c>
      <c r="B23">
        <v>-4.3110405366828397</v>
      </c>
      <c r="C23" s="8">
        <f>SUMPRODUCT(regions!$C4:$C201,regions!FT4:FT201)</f>
        <v>1243675499465.8105</v>
      </c>
      <c r="D23" s="8">
        <f>SUMPRODUCT(regions!$B4:$B201,regions!FT4:FT201)</f>
        <v>1205624648</v>
      </c>
      <c r="E23" s="8">
        <f t="shared" si="0"/>
        <v>1031.5611094455749</v>
      </c>
      <c r="F23">
        <f t="shared" si="1"/>
        <v>23.7</v>
      </c>
      <c r="G23">
        <f>SUMPRODUCT(regions!$Z4:$Z201,regions!FT4:FT201,regions!$B4:$B201)</f>
        <v>28573304157.599998</v>
      </c>
    </row>
    <row r="24" spans="1:10" x14ac:dyDescent="0.35">
      <c r="A24" t="s">
        <v>704</v>
      </c>
      <c r="B24">
        <v>-3.1015022837567798</v>
      </c>
      <c r="C24" s="8">
        <f>SUMPRODUCT(regions!$C4:$C201,regions!FU4:FU201)</f>
        <v>567363012734.43872</v>
      </c>
      <c r="D24" s="8">
        <f>SUMPRODUCT(regions!$B4:$B201,regions!FU4:FU201)</f>
        <v>470828464</v>
      </c>
      <c r="E24" s="8">
        <f t="shared" si="0"/>
        <v>1205.031250477751</v>
      </c>
      <c r="F24">
        <f t="shared" si="1"/>
        <v>19.683273093913879</v>
      </c>
      <c r="G24">
        <f>SUMPRODUCT(regions!$Z4:$Z201,regions!FU4:FU201,regions!$B4:$B201)</f>
        <v>9267445237.2999992</v>
      </c>
    </row>
    <row r="25" spans="1:10" x14ac:dyDescent="0.35">
      <c r="A25" t="s">
        <v>237</v>
      </c>
      <c r="B25">
        <v>-2.1859120753639698</v>
      </c>
      <c r="C25" s="8">
        <f>SUMPRODUCT(regions!$C4:$C201,regions!FV4:FV201)</f>
        <v>289811738503.83063</v>
      </c>
      <c r="D25" s="8">
        <f>SUMPRODUCT(regions!$B4:$B201,regions!FV4:FV201)</f>
        <v>49991300</v>
      </c>
      <c r="E25" s="8">
        <f t="shared" si="0"/>
        <v>5797.2434904439497</v>
      </c>
      <c r="F25">
        <f t="shared" si="1"/>
        <v>17.8</v>
      </c>
      <c r="G25">
        <f>SUMPRODUCT(regions!$Z4:$Z201,regions!FV4:FV201,regions!$B4:$B201)</f>
        <v>889845140</v>
      </c>
    </row>
    <row r="26" spans="1:10" x14ac:dyDescent="0.35">
      <c r="A26" t="s">
        <v>705</v>
      </c>
      <c r="B26">
        <v>-4.04237082500714</v>
      </c>
      <c r="C26" s="8">
        <f>SUMPRODUCT(regions!$C4:$C201,regions!FW4:FW201)</f>
        <v>548887606163.07721</v>
      </c>
      <c r="D26" s="8">
        <f>SUMPRODUCT(regions!$B4:$B201,regions!FW4:FW201)</f>
        <v>794992118</v>
      </c>
      <c r="E26" s="8">
        <f t="shared" si="0"/>
        <v>690.431507099643</v>
      </c>
      <c r="F26">
        <f t="shared" si="1"/>
        <v>24.605186735952024</v>
      </c>
      <c r="G26">
        <f>SUMPRODUCT(regions!$Z4:$Z201,regions!FW4:FW201,regions!$B4:$B201)</f>
        <v>19560929517.000008</v>
      </c>
      <c r="H26" s="8"/>
      <c r="I26" s="8"/>
      <c r="J26" s="8"/>
    </row>
    <row r="27" spans="1:10" x14ac:dyDescent="0.35">
      <c r="C27" s="8"/>
    </row>
    <row r="28" spans="1:10" x14ac:dyDescent="0.35">
      <c r="A28" t="s">
        <v>689</v>
      </c>
      <c r="B28">
        <v>-1.9346024835855</v>
      </c>
      <c r="C28">
        <f>-B28*2/B$28</f>
        <v>-2</v>
      </c>
      <c r="D28" s="5">
        <f>C28-C29</f>
        <v>-0.14424710367738292</v>
      </c>
    </row>
    <row r="29" spans="1:10" x14ac:dyDescent="0.35">
      <c r="A29" t="s">
        <v>571</v>
      </c>
      <c r="B29">
        <v>-1.79507208107336</v>
      </c>
      <c r="C29">
        <f t="shared" ref="C29:C32" si="2">-B29*2/B$28</f>
        <v>-1.8557528963226171</v>
      </c>
      <c r="D29" s="5">
        <f>C29-C30</f>
        <v>-0.8965734764909481</v>
      </c>
    </row>
    <row r="30" spans="1:10" x14ac:dyDescent="0.35">
      <c r="A30" t="s">
        <v>578</v>
      </c>
      <c r="B30">
        <v>-0.92781544390522297</v>
      </c>
      <c r="C30">
        <f t="shared" si="2"/>
        <v>-0.95917941983166899</v>
      </c>
      <c r="D30" s="5">
        <f>C30-C31</f>
        <v>-6.4040962606498386E-2</v>
      </c>
    </row>
    <row r="31" spans="1:10" x14ac:dyDescent="0.35">
      <c r="A31" t="s">
        <v>706</v>
      </c>
      <c r="B31">
        <v>-0.86586854125035395</v>
      </c>
      <c r="C31">
        <f t="shared" si="2"/>
        <v>-0.8951384572251706</v>
      </c>
      <c r="D31" s="5">
        <f>C31-C32</f>
        <v>-0.14409216586461704</v>
      </c>
    </row>
    <row r="32" spans="1:10" x14ac:dyDescent="0.35">
      <c r="A32" t="s">
        <v>568</v>
      </c>
      <c r="B32">
        <v>-0.72648801027690302</v>
      </c>
      <c r="C32">
        <f t="shared" si="2"/>
        <v>-0.75104629136055356</v>
      </c>
      <c r="D32" s="5">
        <f>C32</f>
        <v>-0.75104629136055356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4C87B-8D5B-41A9-BADB-6361E09207C0}">
  <dimension ref="A1:M16"/>
  <sheetViews>
    <sheetView workbookViewId="0">
      <selection activeCell="F5" sqref="F5"/>
    </sheetView>
  </sheetViews>
  <sheetFormatPr defaultRowHeight="14.5" x14ac:dyDescent="0.35"/>
  <cols>
    <col min="7" max="7" width="13.90625" bestFit="1" customWidth="1"/>
    <col min="8" max="8" width="10.81640625" bestFit="1" customWidth="1"/>
    <col min="11" max="11" width="11.81640625" bestFit="1" customWidth="1"/>
  </cols>
  <sheetData>
    <row r="1" spans="1:13" x14ac:dyDescent="0.35">
      <c r="A1" t="s">
        <v>1099</v>
      </c>
      <c r="G1" t="s">
        <v>306</v>
      </c>
      <c r="H1" t="s">
        <v>616</v>
      </c>
      <c r="I1" t="s">
        <v>498</v>
      </c>
      <c r="J1" t="s">
        <v>1100</v>
      </c>
      <c r="K1" t="s">
        <v>617</v>
      </c>
      <c r="L1" t="s">
        <v>619</v>
      </c>
      <c r="M1" t="s">
        <v>1101</v>
      </c>
    </row>
    <row r="2" spans="1:13" x14ac:dyDescent="0.35">
      <c r="A2">
        <v>6.1775595435163302</v>
      </c>
      <c r="B2">
        <v>7.3779472594625499</v>
      </c>
      <c r="C2">
        <f>AVERAGE(B2:B6)</f>
        <v>9.0646169310607565</v>
      </c>
      <c r="D2">
        <f>STDEV(B2:B6)</f>
        <v>1.5646455353665223</v>
      </c>
      <c r="F2" t="s">
        <v>90</v>
      </c>
      <c r="G2">
        <v>1.6039518138982864</v>
      </c>
      <c r="H2">
        <v>2.3829564229979132</v>
      </c>
      <c r="I2">
        <v>1.1443155776584417</v>
      </c>
      <c r="J2">
        <v>1.3630204816814462</v>
      </c>
      <c r="K2">
        <v>0.93864792529988528</v>
      </c>
      <c r="L2">
        <v>0.74933792132820543</v>
      </c>
      <c r="M2">
        <v>1.5762756497433714</v>
      </c>
    </row>
    <row r="3" spans="1:13" x14ac:dyDescent="0.35">
      <c r="A3">
        <v>6.1916321963789196</v>
      </c>
      <c r="B3">
        <v>8.3247878930510293</v>
      </c>
      <c r="F3" t="s">
        <v>72</v>
      </c>
      <c r="G3" s="8">
        <f>SUMPRODUCT(regions!$C4:$C201,regions!FZ4:FZ201)</f>
        <v>1247470152595.4575</v>
      </c>
      <c r="H3" s="8">
        <f>SUMPRODUCT(regions!$C4:$C201,regions!GA4:GA201)</f>
        <v>14565964919999.424</v>
      </c>
      <c r="I3" s="8">
        <f>SUMPRODUCT(regions!$C4:$C201,regions!GB4:GB201)</f>
        <v>15295615419691.965</v>
      </c>
      <c r="J3" s="8">
        <f>SUMPRODUCT(regions!$C4:$C201,regions!GC4:GC201)</f>
        <v>1206992019932.3503</v>
      </c>
      <c r="K3" s="8">
        <f>SUMPRODUCT(regions!$C4:$C201,regions!GD4:GD201)</f>
        <v>15866113488342.875</v>
      </c>
      <c r="L3" s="8">
        <f>SUMPRODUCT(regions!$C4:$C201,regions!GE4:GE201)</f>
        <v>929475987170.22498</v>
      </c>
      <c r="M3" s="8">
        <f>SUMPRODUCT(regions!$C4:$C201,regions!GF4:GF201)</f>
        <v>2372406477882.481</v>
      </c>
    </row>
    <row r="4" spans="1:13" x14ac:dyDescent="0.35">
      <c r="A4">
        <v>6.1918954602930203</v>
      </c>
      <c r="B4">
        <v>8.5669906940195304</v>
      </c>
      <c r="F4" t="s">
        <v>295</v>
      </c>
      <c r="G4" s="8">
        <f>SUMPRODUCT(regions!$B4:$B201,regions!FZ4:FZ201)</f>
        <v>1008354015</v>
      </c>
      <c r="H4" s="8">
        <f>SUMPRODUCT(regions!$B4:$B201,regions!GA4:GA201)</f>
        <v>3972949143</v>
      </c>
      <c r="I4" s="8">
        <f>SUMPRODUCT(regions!$B4:$B201,regions!GB4:GB201)</f>
        <v>538897601</v>
      </c>
      <c r="J4" s="8">
        <f>SUMPRODUCT(regions!$B4:$B201,regions!GC4:GC201)</f>
        <v>280785298</v>
      </c>
      <c r="K4" s="8">
        <f>SUMPRODUCT(regions!$B4:$B201,regions!GD4:GD201)</f>
        <v>465060384</v>
      </c>
      <c r="L4" s="8">
        <f>SUMPRODUCT(regions!$B4:$B201,regions!GE4:GE201)</f>
        <v>35479737</v>
      </c>
      <c r="M4" s="8">
        <f>SUMPRODUCT(regions!$B4:$B201,regions!GF4:GF201)</f>
        <v>463193547</v>
      </c>
    </row>
    <row r="5" spans="1:13" x14ac:dyDescent="0.35">
      <c r="A5">
        <v>6.1929724490325002</v>
      </c>
      <c r="B5">
        <v>9.5578203343451698</v>
      </c>
      <c r="F5" t="s">
        <v>75</v>
      </c>
      <c r="G5" s="8">
        <f>G3/G4</f>
        <v>1237.1351073516155</v>
      </c>
      <c r="H5" s="8">
        <f t="shared" ref="H5:M5" si="0">H3/H4</f>
        <v>3666.285269637398</v>
      </c>
      <c r="I5" s="8">
        <f t="shared" si="0"/>
        <v>28383.157377781619</v>
      </c>
      <c r="J5" s="8">
        <f t="shared" si="0"/>
        <v>4298.6296951072927</v>
      </c>
      <c r="K5" s="8">
        <f t="shared" si="0"/>
        <v>34116.243899078007</v>
      </c>
      <c r="L5" s="8">
        <f t="shared" si="0"/>
        <v>26197.375340471801</v>
      </c>
      <c r="M5" s="8">
        <f t="shared" si="0"/>
        <v>5121.8469973254632</v>
      </c>
    </row>
    <row r="6" spans="1:13" x14ac:dyDescent="0.35">
      <c r="A6">
        <v>6.2211656209238999</v>
      </c>
      <c r="B6">
        <v>11.4955384744255</v>
      </c>
      <c r="F6" t="s">
        <v>503</v>
      </c>
      <c r="G6">
        <f>G7/G4</f>
        <v>23.687587146762144</v>
      </c>
      <c r="H6">
        <f t="shared" ref="H6:M6" si="1">H7/H4</f>
        <v>17.042653595201081</v>
      </c>
      <c r="I6">
        <f t="shared" si="1"/>
        <v>9.7392884883152426</v>
      </c>
      <c r="J6">
        <f t="shared" si="1"/>
        <v>1.6085507386501414</v>
      </c>
      <c r="K6">
        <f t="shared" si="1"/>
        <v>10.782209486800749</v>
      </c>
      <c r="L6">
        <f t="shared" si="1"/>
        <v>21.157756408960982</v>
      </c>
      <c r="M6">
        <f t="shared" si="1"/>
        <v>22.75360656870291</v>
      </c>
    </row>
    <row r="7" spans="1:13" x14ac:dyDescent="0.35">
      <c r="A7">
        <v>4.0209972915727601</v>
      </c>
      <c r="B7">
        <v>3.3406754713820201</v>
      </c>
      <c r="C7">
        <f>AVERAGE(B7:B11)</f>
        <v>3.8602914251752147</v>
      </c>
      <c r="D7">
        <f>STDEV(B7:B11)</f>
        <v>0.40794167622853444</v>
      </c>
      <c r="F7" t="s">
        <v>1102</v>
      </c>
      <c r="G7">
        <f>SUMPRODUCT(regions!$Z4:$Z201,regions!FZ4:FZ201,regions!$B4:$B201)</f>
        <v>23885473605.100002</v>
      </c>
      <c r="H7">
        <f>SUMPRODUCT(regions!$Z4:$Z201,regions!GA4:GA201,regions!$B4:$B201)</f>
        <v>67709595995.500008</v>
      </c>
      <c r="I7">
        <f>SUMPRODUCT(regions!$Z4:$Z201,regions!GB4:GB201,regions!$B4:$B201)</f>
        <v>5248479201.8000011</v>
      </c>
      <c r="J7">
        <f>SUMPRODUCT(regions!$Z4:$Z201,regions!GC4:GC201,regions!$B4:$B201)</f>
        <v>451657398.50000006</v>
      </c>
      <c r="K7">
        <f>SUMPRODUCT(regions!$Z4:$Z201,regions!GD4:GD201,regions!$B4:$B201)</f>
        <v>5014378484.2999992</v>
      </c>
      <c r="L7">
        <f>SUMPRODUCT(regions!$Z4:$Z201,regions!GE4:GE201,regions!$B4:$B201)</f>
        <v>750671632.9000001</v>
      </c>
      <c r="M7">
        <f>SUMPRODUCT(regions!$Z4:$Z201,regions!GF4:GF201,regions!$B4:$B201)</f>
        <v>10539323733.6</v>
      </c>
    </row>
    <row r="8" spans="1:13" x14ac:dyDescent="0.35">
      <c r="A8">
        <v>4.0213802209023601</v>
      </c>
      <c r="B8">
        <v>3.6929704546089202</v>
      </c>
    </row>
    <row r="9" spans="1:13" x14ac:dyDescent="0.35">
      <c r="A9">
        <v>4.0214280870685597</v>
      </c>
      <c r="B9">
        <v>3.7370073275122802</v>
      </c>
    </row>
    <row r="10" spans="1:13" x14ac:dyDescent="0.35">
      <c r="A10">
        <v>4.0088392853581398</v>
      </c>
      <c r="B10">
        <v>4.1553097539280204</v>
      </c>
    </row>
    <row r="11" spans="1:13" x14ac:dyDescent="0.35">
      <c r="A11">
        <v>4.0090786161891296</v>
      </c>
      <c r="B11">
        <v>4.3754941184448297</v>
      </c>
    </row>
    <row r="12" spans="1:13" x14ac:dyDescent="0.35">
      <c r="A12">
        <v>2.0230156482475001</v>
      </c>
      <c r="B12">
        <v>1.19756361214046</v>
      </c>
      <c r="C12">
        <f>AVERAGE(B12:B16)</f>
        <v>1.1062086406407718</v>
      </c>
      <c r="D12">
        <f>STDEV(B12:B16)</f>
        <v>6.6565015120503349E-2</v>
      </c>
    </row>
    <row r="13" spans="1:13" x14ac:dyDescent="0.35">
      <c r="A13">
        <v>2.0229438489981999</v>
      </c>
      <c r="B13">
        <v>1.13150830278542</v>
      </c>
    </row>
    <row r="14" spans="1:13" x14ac:dyDescent="0.35">
      <c r="A14">
        <v>2.0326008480289102</v>
      </c>
      <c r="B14">
        <v>1.0159474110387401</v>
      </c>
    </row>
    <row r="15" spans="1:13" x14ac:dyDescent="0.35">
      <c r="A15">
        <v>2.03267264727821</v>
      </c>
      <c r="B15">
        <v>1.0820027203937801</v>
      </c>
    </row>
    <row r="16" spans="1:13" x14ac:dyDescent="0.35">
      <c r="A16">
        <v>2.0326965803613102</v>
      </c>
      <c r="B16">
        <v>1.1040211568454601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5"/>
  <sheetViews>
    <sheetView workbookViewId="0"/>
  </sheetViews>
  <sheetFormatPr defaultRowHeight="14.5" x14ac:dyDescent="0.35"/>
  <cols>
    <col min="3" max="3" width="12" bestFit="1" customWidth="1"/>
  </cols>
  <sheetData>
    <row r="1" spans="1:19" x14ac:dyDescent="0.35">
      <c r="A1" t="s">
        <v>33</v>
      </c>
      <c r="D1">
        <v>-1</v>
      </c>
      <c r="E1">
        <v>-1</v>
      </c>
      <c r="F1">
        <v>-1</v>
      </c>
      <c r="G1">
        <v>0.5</v>
      </c>
      <c r="H1">
        <v>0.5</v>
      </c>
      <c r="I1">
        <v>0.5</v>
      </c>
      <c r="J1" t="s">
        <v>515</v>
      </c>
      <c r="K1">
        <f>D1</f>
        <v>-1</v>
      </c>
      <c r="L1">
        <f t="shared" ref="L1:P2" si="0">E1</f>
        <v>-1</v>
      </c>
      <c r="M1">
        <f t="shared" si="0"/>
        <v>-1</v>
      </c>
      <c r="N1">
        <f t="shared" si="0"/>
        <v>0.5</v>
      </c>
      <c r="O1">
        <f t="shared" si="0"/>
        <v>0.5</v>
      </c>
      <c r="P1">
        <f t="shared" si="0"/>
        <v>0.5</v>
      </c>
      <c r="S1">
        <f>SUM(S2:S35)</f>
        <v>16.141073578226969</v>
      </c>
    </row>
    <row r="2" spans="1:19" x14ac:dyDescent="0.35">
      <c r="A2" t="s">
        <v>516</v>
      </c>
      <c r="D2">
        <v>0</v>
      </c>
      <c r="E2">
        <v>12.5</v>
      </c>
      <c r="F2">
        <v>-12.5</v>
      </c>
      <c r="G2">
        <v>0</v>
      </c>
      <c r="H2">
        <v>6.25</v>
      </c>
      <c r="I2">
        <v>-6.25</v>
      </c>
      <c r="K2">
        <f>D2</f>
        <v>0</v>
      </c>
      <c r="L2">
        <f t="shared" si="0"/>
        <v>12.5</v>
      </c>
      <c r="M2">
        <f t="shared" si="0"/>
        <v>-12.5</v>
      </c>
      <c r="N2">
        <f t="shared" si="0"/>
        <v>0</v>
      </c>
      <c r="O2">
        <f t="shared" si="0"/>
        <v>6.25</v>
      </c>
      <c r="P2">
        <f t="shared" si="0"/>
        <v>-6.25</v>
      </c>
      <c r="S2">
        <v>1</v>
      </c>
    </row>
    <row r="3" spans="1:19" x14ac:dyDescent="0.35">
      <c r="A3" t="s">
        <v>517</v>
      </c>
      <c r="B3" t="s">
        <v>518</v>
      </c>
      <c r="C3">
        <v>0.6</v>
      </c>
      <c r="D3">
        <v>-420</v>
      </c>
      <c r="G3">
        <v>280</v>
      </c>
      <c r="K3" s="8">
        <f>D3/$C3</f>
        <v>-700</v>
      </c>
      <c r="N3" s="8">
        <f>G3/$C3</f>
        <v>466.66666666666669</v>
      </c>
      <c r="S3">
        <f>S2/1.05</f>
        <v>0.95238095238095233</v>
      </c>
    </row>
    <row r="4" spans="1:19" x14ac:dyDescent="0.35">
      <c r="A4" t="s">
        <v>519</v>
      </c>
      <c r="B4" t="s">
        <v>518</v>
      </c>
      <c r="C4">
        <v>0.65</v>
      </c>
      <c r="D4">
        <v>220</v>
      </c>
      <c r="G4">
        <v>-60</v>
      </c>
      <c r="K4" s="8">
        <f>D4/$C4</f>
        <v>338.46153846153845</v>
      </c>
      <c r="N4" s="8">
        <f>G4/$C4</f>
        <v>-92.307692307692307</v>
      </c>
      <c r="S4">
        <f t="shared" ref="S4:S35" si="1">S3/1.05</f>
        <v>0.90702947845804982</v>
      </c>
    </row>
    <row r="5" spans="1:19" x14ac:dyDescent="0.35">
      <c r="A5" t="s">
        <v>520</v>
      </c>
      <c r="B5" t="s">
        <v>518</v>
      </c>
      <c r="C5">
        <v>0.55000000000000004</v>
      </c>
      <c r="D5">
        <v>1840</v>
      </c>
      <c r="G5" s="22">
        <f>-D5/2</f>
        <v>-920</v>
      </c>
      <c r="K5" s="8">
        <f>D5/$C5</f>
        <v>3345.454545454545</v>
      </c>
      <c r="N5" s="8">
        <f>G5/$C5</f>
        <v>-1672.7272727272725</v>
      </c>
      <c r="S5">
        <f t="shared" si="1"/>
        <v>0.86383759853147601</v>
      </c>
    </row>
    <row r="6" spans="1:19" x14ac:dyDescent="0.35">
      <c r="A6" t="s">
        <v>521</v>
      </c>
      <c r="B6" t="s">
        <v>518</v>
      </c>
      <c r="C6">
        <v>0.85</v>
      </c>
      <c r="D6">
        <v>19120</v>
      </c>
      <c r="G6" s="22">
        <f>-D6/2</f>
        <v>-9560</v>
      </c>
      <c r="K6" s="8">
        <f>D6/$C6</f>
        <v>22494.117647058825</v>
      </c>
      <c r="N6" s="8">
        <f>G6/$C6</f>
        <v>-11247.058823529413</v>
      </c>
      <c r="S6">
        <f t="shared" si="1"/>
        <v>0.82270247479188185</v>
      </c>
    </row>
    <row r="7" spans="1:19" x14ac:dyDescent="0.35">
      <c r="A7" t="s">
        <v>522</v>
      </c>
      <c r="B7" t="s">
        <v>63</v>
      </c>
      <c r="C7">
        <f>[3]RealGDP!$R$236/[3]RealGDP!$R$255</f>
        <v>0.27299696716411598</v>
      </c>
      <c r="D7">
        <v>13220</v>
      </c>
      <c r="G7" s="22">
        <f>-D7/2</f>
        <v>-6610</v>
      </c>
      <c r="K7" s="8">
        <f>D7/$C7</f>
        <v>48425.4463971851</v>
      </c>
      <c r="N7" s="8">
        <f>G7/$C7</f>
        <v>-24212.72319859255</v>
      </c>
      <c r="S7">
        <f t="shared" si="1"/>
        <v>0.78352616646845885</v>
      </c>
    </row>
    <row r="8" spans="1:19" x14ac:dyDescent="0.35">
      <c r="B8" t="s">
        <v>131</v>
      </c>
      <c r="D8">
        <v>5360</v>
      </c>
      <c r="G8">
        <v>-3620</v>
      </c>
      <c r="S8">
        <f t="shared" si="1"/>
        <v>0.74621539663662739</v>
      </c>
    </row>
    <row r="9" spans="1:19" x14ac:dyDescent="0.35">
      <c r="B9" t="s">
        <v>523</v>
      </c>
      <c r="D9">
        <v>27660</v>
      </c>
      <c r="G9">
        <v>-12660</v>
      </c>
      <c r="S9">
        <f t="shared" si="1"/>
        <v>0.71068133013012125</v>
      </c>
    </row>
    <row r="10" spans="1:19" x14ac:dyDescent="0.35">
      <c r="A10" t="s">
        <v>524</v>
      </c>
      <c r="B10" t="s">
        <v>63</v>
      </c>
      <c r="C10">
        <f>C$7</f>
        <v>0.27299696716411598</v>
      </c>
      <c r="D10">
        <v>9500</v>
      </c>
      <c r="G10" s="22">
        <f>-D10/2</f>
        <v>-4750</v>
      </c>
      <c r="K10" s="8">
        <f t="shared" ref="K10:K18" si="2">D10/$C10</f>
        <v>34798.921389807751</v>
      </c>
      <c r="N10" s="8">
        <f t="shared" ref="N10:N18" si="3">G10/$C10</f>
        <v>-17399.460694903875</v>
      </c>
      <c r="S10">
        <f t="shared" si="1"/>
        <v>0.67683936202868689</v>
      </c>
    </row>
    <row r="11" spans="1:19" x14ac:dyDescent="0.35">
      <c r="A11" t="s">
        <v>525</v>
      </c>
      <c r="B11" t="s">
        <v>518</v>
      </c>
      <c r="C11">
        <v>1</v>
      </c>
      <c r="D11">
        <v>28620</v>
      </c>
      <c r="G11">
        <v>-12260</v>
      </c>
      <c r="K11" s="8">
        <f t="shared" si="2"/>
        <v>28620</v>
      </c>
      <c r="N11" s="8">
        <f t="shared" si="3"/>
        <v>-12260</v>
      </c>
      <c r="S11">
        <f t="shared" si="1"/>
        <v>0.64460891621779703</v>
      </c>
    </row>
    <row r="12" spans="1:19" x14ac:dyDescent="0.35">
      <c r="A12" t="s">
        <v>526</v>
      </c>
      <c r="B12" t="s">
        <v>63</v>
      </c>
      <c r="C12">
        <f t="shared" ref="C12:C18" si="4">C$7</f>
        <v>0.27299696716411598</v>
      </c>
      <c r="D12">
        <v>-40</v>
      </c>
      <c r="G12">
        <v>100</v>
      </c>
      <c r="K12" s="8">
        <f t="shared" si="2"/>
        <v>-146.52177427287475</v>
      </c>
      <c r="N12" s="8">
        <f t="shared" si="3"/>
        <v>366.30443568218686</v>
      </c>
      <c r="S12">
        <f t="shared" si="1"/>
        <v>0.6139132535407591</v>
      </c>
    </row>
    <row r="13" spans="1:19" x14ac:dyDescent="0.35">
      <c r="A13" t="s">
        <v>527</v>
      </c>
      <c r="B13" t="s">
        <v>63</v>
      </c>
      <c r="C13">
        <f t="shared" si="4"/>
        <v>0.27299696716411598</v>
      </c>
      <c r="D13">
        <v>47720</v>
      </c>
      <c r="G13" s="22">
        <f>-D13/2</f>
        <v>-23860</v>
      </c>
      <c r="K13" s="8">
        <f t="shared" si="2"/>
        <v>174800.47670753958</v>
      </c>
      <c r="N13" s="8">
        <f t="shared" si="3"/>
        <v>-87400.23835376979</v>
      </c>
      <c r="S13">
        <f t="shared" si="1"/>
        <v>0.58467928908643718</v>
      </c>
    </row>
    <row r="14" spans="1:19" x14ac:dyDescent="0.35">
      <c r="A14" t="s">
        <v>528</v>
      </c>
      <c r="B14" t="s">
        <v>63</v>
      </c>
      <c r="C14">
        <f t="shared" si="4"/>
        <v>0.27299696716411598</v>
      </c>
      <c r="D14">
        <v>73340</v>
      </c>
      <c r="G14">
        <v>-31020</v>
      </c>
      <c r="K14" s="8">
        <f t="shared" si="2"/>
        <v>268647.67312931584</v>
      </c>
      <c r="N14" s="8">
        <f t="shared" si="3"/>
        <v>-113627.63594861436</v>
      </c>
      <c r="S14">
        <f t="shared" si="1"/>
        <v>0.55683741817755916</v>
      </c>
    </row>
    <row r="15" spans="1:19" x14ac:dyDescent="0.35">
      <c r="A15" t="s">
        <v>529</v>
      </c>
      <c r="B15" t="s">
        <v>63</v>
      </c>
      <c r="C15">
        <f t="shared" si="4"/>
        <v>0.27299696716411598</v>
      </c>
      <c r="D15">
        <v>3520</v>
      </c>
      <c r="G15">
        <v>-1760</v>
      </c>
      <c r="K15" s="8">
        <f t="shared" si="2"/>
        <v>12893.916136012978</v>
      </c>
      <c r="N15" s="8">
        <f t="shared" si="3"/>
        <v>-6446.9580680064892</v>
      </c>
      <c r="S15">
        <f t="shared" si="1"/>
        <v>0.5303213506452944</v>
      </c>
    </row>
    <row r="16" spans="1:19" x14ac:dyDescent="0.35">
      <c r="A16" t="s">
        <v>530</v>
      </c>
      <c r="B16" t="s">
        <v>63</v>
      </c>
      <c r="C16">
        <f t="shared" si="4"/>
        <v>0.27299696716411598</v>
      </c>
      <c r="D16">
        <v>-14960</v>
      </c>
      <c r="G16">
        <v>7100</v>
      </c>
      <c r="K16" s="8">
        <f t="shared" si="2"/>
        <v>-54799.143578055155</v>
      </c>
      <c r="N16" s="8">
        <f t="shared" si="3"/>
        <v>26007.614933435267</v>
      </c>
      <c r="S16">
        <f t="shared" si="1"/>
        <v>0.50506795299551843</v>
      </c>
    </row>
    <row r="17" spans="1:19" x14ac:dyDescent="0.35">
      <c r="A17" t="s">
        <v>531</v>
      </c>
      <c r="B17" t="s">
        <v>63</v>
      </c>
      <c r="C17">
        <f t="shared" si="4"/>
        <v>0.27299696716411598</v>
      </c>
      <c r="D17">
        <v>10140</v>
      </c>
      <c r="G17">
        <v>-5060</v>
      </c>
      <c r="K17" s="8">
        <f t="shared" si="2"/>
        <v>37143.269778173744</v>
      </c>
      <c r="N17" s="8">
        <f t="shared" si="3"/>
        <v>-18535.004445518654</v>
      </c>
      <c r="S17">
        <f t="shared" si="1"/>
        <v>0.48101709809096993</v>
      </c>
    </row>
    <row r="18" spans="1:19" x14ac:dyDescent="0.35">
      <c r="A18" t="s">
        <v>532</v>
      </c>
      <c r="B18" t="s">
        <v>63</v>
      </c>
      <c r="C18">
        <f t="shared" si="4"/>
        <v>0.27299696716411598</v>
      </c>
      <c r="D18">
        <v>480</v>
      </c>
      <c r="G18">
        <v>-220</v>
      </c>
      <c r="K18" s="8">
        <f t="shared" si="2"/>
        <v>1758.2612912744969</v>
      </c>
      <c r="N18" s="8">
        <f t="shared" si="3"/>
        <v>-805.86975850081114</v>
      </c>
      <c r="S18">
        <f t="shared" si="1"/>
        <v>0.45811152199139993</v>
      </c>
    </row>
    <row r="19" spans="1:19" x14ac:dyDescent="0.35">
      <c r="S19">
        <f t="shared" si="1"/>
        <v>0.43629668761085705</v>
      </c>
    </row>
    <row r="20" spans="1:19" x14ac:dyDescent="0.35">
      <c r="A20" t="s">
        <v>533</v>
      </c>
      <c r="D20" s="8">
        <f>SUM(D3:D18)</f>
        <v>225320</v>
      </c>
      <c r="E20" s="8">
        <f t="shared" ref="E20:P20" si="5">SUM(E3:E18)</f>
        <v>0</v>
      </c>
      <c r="F20" s="8">
        <f t="shared" si="5"/>
        <v>0</v>
      </c>
      <c r="G20" s="8">
        <f t="shared" si="5"/>
        <v>-104880</v>
      </c>
      <c r="H20" s="8">
        <f t="shared" si="5"/>
        <v>0</v>
      </c>
      <c r="I20" s="8">
        <f t="shared" si="5"/>
        <v>0</v>
      </c>
      <c r="J20" s="8"/>
      <c r="K20" s="8">
        <f t="shared" si="5"/>
        <v>577620.33320795628</v>
      </c>
      <c r="L20" s="8">
        <f t="shared" si="5"/>
        <v>0</v>
      </c>
      <c r="M20" s="8">
        <f t="shared" si="5"/>
        <v>0</v>
      </c>
      <c r="N20" s="8">
        <f t="shared" si="5"/>
        <v>-266859.39822068677</v>
      </c>
      <c r="O20" s="8">
        <f t="shared" si="5"/>
        <v>0</v>
      </c>
      <c r="P20" s="8">
        <f t="shared" si="5"/>
        <v>0</v>
      </c>
      <c r="S20">
        <f t="shared" si="1"/>
        <v>0.41552065486748291</v>
      </c>
    </row>
    <row r="21" spans="1:19" x14ac:dyDescent="0.35">
      <c r="A21" t="s">
        <v>534</v>
      </c>
      <c r="D21" s="8">
        <f>D20/30</f>
        <v>7510.666666666667</v>
      </c>
      <c r="G21" s="8">
        <f>G20/30</f>
        <v>-3496</v>
      </c>
      <c r="K21" s="8">
        <f>K20/30</f>
        <v>19254.011106931877</v>
      </c>
      <c r="N21" s="8">
        <f>N20/30</f>
        <v>-8895.3132740228921</v>
      </c>
      <c r="S21">
        <f t="shared" si="1"/>
        <v>0.39573395701665037</v>
      </c>
    </row>
    <row r="22" spans="1:19" x14ac:dyDescent="0.35">
      <c r="A22" t="s">
        <v>535</v>
      </c>
      <c r="D22" s="8">
        <f>D20/$S$1</f>
        <v>13959.418430750409</v>
      </c>
      <c r="G22" s="8">
        <f>G20/$S$1</f>
        <v>-6497.7090583042027</v>
      </c>
      <c r="K22" s="8">
        <f>K20/$S$1</f>
        <v>35785.744387357256</v>
      </c>
      <c r="N22" s="8">
        <f>N20/$S$1</f>
        <v>-16532.939827537801</v>
      </c>
      <c r="S22">
        <f t="shared" si="1"/>
        <v>0.37688948287300034</v>
      </c>
    </row>
    <row r="23" spans="1:19" x14ac:dyDescent="0.35">
      <c r="S23">
        <f t="shared" si="1"/>
        <v>0.35894236464095269</v>
      </c>
    </row>
    <row r="24" spans="1:19" x14ac:dyDescent="0.35">
      <c r="A24" t="s">
        <v>537</v>
      </c>
      <c r="D24" s="8">
        <f>SUM(D3:D7,D10,D11)</f>
        <v>72100</v>
      </c>
      <c r="G24" s="8">
        <f>SUM(G3:G7,G10,G11)</f>
        <v>-33880</v>
      </c>
      <c r="K24" s="8">
        <f>SUM(K3:K7,K10,K11)</f>
        <v>137322.40151796775</v>
      </c>
      <c r="N24" s="8">
        <f>SUM(N3:N7,N10,N11)</f>
        <v>-66417.611015394141</v>
      </c>
      <c r="S24">
        <f t="shared" si="1"/>
        <v>0.34184987108662163</v>
      </c>
    </row>
    <row r="25" spans="1:19" x14ac:dyDescent="0.35">
      <c r="A25" t="s">
        <v>534</v>
      </c>
      <c r="D25" s="8">
        <f>D24/30</f>
        <v>2403.3333333333335</v>
      </c>
      <c r="G25" s="8">
        <f>G24/30</f>
        <v>-1129.3333333333333</v>
      </c>
      <c r="K25" s="8">
        <f>K24/30</f>
        <v>4577.4133839322585</v>
      </c>
      <c r="N25" s="8">
        <f>N24/30</f>
        <v>-2213.9203671798045</v>
      </c>
      <c r="S25">
        <f t="shared" si="1"/>
        <v>0.32557130579678251</v>
      </c>
    </row>
    <row r="26" spans="1:19" x14ac:dyDescent="0.35">
      <c r="A26" t="s">
        <v>535</v>
      </c>
      <c r="D26" s="8">
        <f>D24/$S$1</f>
        <v>4466.865208845662</v>
      </c>
      <c r="G26" s="8">
        <f>G24/$S$1</f>
        <v>-2098.9929719235924</v>
      </c>
      <c r="K26" s="8">
        <f>K24/$S$1</f>
        <v>8507.6374165845336</v>
      </c>
      <c r="N26" s="8">
        <f>N24/$S$1</f>
        <v>-4114.8199153856931</v>
      </c>
      <c r="S26">
        <f t="shared" si="1"/>
        <v>0.31006791028265002</v>
      </c>
    </row>
    <row r="27" spans="1:19" x14ac:dyDescent="0.35">
      <c r="D27" s="8"/>
      <c r="G27" s="8"/>
      <c r="K27" s="8"/>
      <c r="N27" s="8"/>
    </row>
    <row r="28" spans="1:19" x14ac:dyDescent="0.35">
      <c r="A28" t="s">
        <v>538</v>
      </c>
      <c r="D28" s="8">
        <f>SUM(D3:D6)</f>
        <v>20760</v>
      </c>
      <c r="G28" s="8">
        <f>SUM(G3:G6)</f>
        <v>-10260</v>
      </c>
      <c r="K28" s="8">
        <f>SUM(K3:K6)</f>
        <v>25478.033730974908</v>
      </c>
      <c r="N28" s="8">
        <f>SUM(N3:N6)</f>
        <v>-12545.42712189771</v>
      </c>
    </row>
    <row r="29" spans="1:19" x14ac:dyDescent="0.35">
      <c r="A29" t="s">
        <v>534</v>
      </c>
      <c r="D29" s="8">
        <f>D28/30</f>
        <v>692</v>
      </c>
      <c r="G29" s="8">
        <f>G28/30</f>
        <v>-342</v>
      </c>
      <c r="K29" s="8">
        <f>K28/30</f>
        <v>849.26779103249692</v>
      </c>
      <c r="N29" s="8">
        <f>N28/30</f>
        <v>-418.180904063257</v>
      </c>
    </row>
    <row r="30" spans="1:19" x14ac:dyDescent="0.35">
      <c r="A30" t="s">
        <v>535</v>
      </c>
      <c r="D30" s="8">
        <f>D28/$S$1</f>
        <v>1286.1598021586121</v>
      </c>
      <c r="G30" s="8">
        <f>G28/$S$1</f>
        <v>-635.64545135584592</v>
      </c>
      <c r="K30" s="8">
        <f>K28/$S$1</f>
        <v>1578.4596735462974</v>
      </c>
      <c r="N30" s="8">
        <f>N28/$S$1</f>
        <v>-777.2362266423529</v>
      </c>
      <c r="S30">
        <f>S26/1.05</f>
        <v>0.29530277169776192</v>
      </c>
    </row>
    <row r="32" spans="1:19" x14ac:dyDescent="0.35">
      <c r="A32" t="s">
        <v>536</v>
      </c>
      <c r="C32">
        <v>6000000</v>
      </c>
      <c r="D32" s="21">
        <f>D22/$C32</f>
        <v>2.3265697384584018E-3</v>
      </c>
      <c r="G32" s="21">
        <f>G22/$C32</f>
        <v>-1.082951509717367E-3</v>
      </c>
      <c r="K32" s="21">
        <f>K22/$C32</f>
        <v>5.9642907312262095E-3</v>
      </c>
      <c r="N32" s="21">
        <f>N22/$C32</f>
        <v>-2.7554899712563001E-3</v>
      </c>
      <c r="S32">
        <f>S30/1.05</f>
        <v>0.28124073495024943</v>
      </c>
    </row>
    <row r="33" spans="19:19" x14ac:dyDescent="0.35">
      <c r="S33">
        <f t="shared" si="1"/>
        <v>0.26784831900023753</v>
      </c>
    </row>
    <row r="34" spans="19:19" x14ac:dyDescent="0.35">
      <c r="S34">
        <f t="shared" si="1"/>
        <v>0.25509363714308336</v>
      </c>
    </row>
    <row r="35" spans="19:19" x14ac:dyDescent="0.35">
      <c r="S35">
        <f t="shared" si="1"/>
        <v>0.2429463210886508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Charts</vt:lpstr>
      </vt:variant>
      <vt:variant>
        <vt:i4>21</vt:i4>
      </vt:variant>
    </vt:vector>
  </HeadingPairs>
  <TitlesOfParts>
    <vt:vector size="68" baseType="lpstr">
      <vt:lpstr>readme</vt:lpstr>
      <vt:lpstr>Table1</vt:lpstr>
      <vt:lpstr>scc</vt:lpstr>
      <vt:lpstr>graph</vt:lpstr>
      <vt:lpstr>graphdep</vt:lpstr>
      <vt:lpstr>graphbase</vt:lpstr>
      <vt:lpstr>graphbasenl</vt:lpstr>
      <vt:lpstr>graphsens</vt:lpstr>
      <vt:lpstr>graphtime</vt:lpstr>
      <vt:lpstr>totalimpact</vt:lpstr>
      <vt:lpstr>regressions</vt:lpstr>
      <vt:lpstr>regressionssens</vt:lpstr>
      <vt:lpstr>regressionsbase</vt:lpstr>
      <vt:lpstr>regressionsbasenl</vt:lpstr>
      <vt:lpstr>regressionsdep</vt:lpstr>
      <vt:lpstr>regressionsenum</vt:lpstr>
      <vt:lpstr>regressionselic</vt:lpstr>
      <vt:lpstr>regressionsectric</vt:lpstr>
      <vt:lpstr>regressionscge</vt:lpstr>
      <vt:lpstr>sectors</vt:lpstr>
      <vt:lpstr>growth</vt:lpstr>
      <vt:lpstr>seasons</vt:lpstr>
      <vt:lpstr>country</vt:lpstr>
      <vt:lpstr>regions</vt:lpstr>
      <vt:lpstr>toStata</vt:lpstr>
      <vt:lpstr>NewellPrestSexton</vt:lpstr>
      <vt:lpstr>Mendelsohn</vt:lpstr>
      <vt:lpstr>Roson</vt:lpstr>
      <vt:lpstr>Bosello</vt:lpstr>
      <vt:lpstr>Eboli</vt:lpstr>
      <vt:lpstr>Rossi</vt:lpstr>
      <vt:lpstr>NordhausBoyer</vt:lpstr>
      <vt:lpstr>Tol1995</vt:lpstr>
      <vt:lpstr>Tol2002</vt:lpstr>
      <vt:lpstr>NordhausYang</vt:lpstr>
      <vt:lpstr>PlambeckHope</vt:lpstr>
      <vt:lpstr>Hope</vt:lpstr>
      <vt:lpstr>Fankhauser</vt:lpstr>
      <vt:lpstr>Berz</vt:lpstr>
      <vt:lpstr>Maddison</vt:lpstr>
      <vt:lpstr>MaddisonRehdanz</vt:lpstr>
      <vt:lpstr>RehdanzMaddison</vt:lpstr>
      <vt:lpstr>SartoriRoson</vt:lpstr>
      <vt:lpstr>Kompas</vt:lpstr>
      <vt:lpstr>Dellink</vt:lpstr>
      <vt:lpstr>Takakura</vt:lpstr>
      <vt:lpstr>dArge</vt:lpstr>
      <vt:lpstr>FigTotalTemp</vt:lpstr>
      <vt:lpstr>FigTotalTempData</vt:lpstr>
      <vt:lpstr>FigTotalTempAll</vt:lpstr>
      <vt:lpstr>FigTotalTempDep</vt:lpstr>
      <vt:lpstr>FigTotalTempBase</vt:lpstr>
      <vt:lpstr>FigTotalTempSens</vt:lpstr>
      <vt:lpstr>TotalTime</vt:lpstr>
      <vt:lpstr>TotalTime (2)</vt:lpstr>
      <vt:lpstr>Chart4</vt:lpstr>
      <vt:lpstr>histogram</vt:lpstr>
      <vt:lpstr>pubyear</vt:lpstr>
      <vt:lpstr>methods</vt:lpstr>
      <vt:lpstr>growthfig</vt:lpstr>
      <vt:lpstr>levelfig</vt:lpstr>
      <vt:lpstr>comparison</vt:lpstr>
      <vt:lpstr>comparison (2)</vt:lpstr>
      <vt:lpstr>Chart3</vt:lpstr>
      <vt:lpstr>Chart5</vt:lpstr>
      <vt:lpstr>Chart6</vt:lpstr>
      <vt:lpstr>CountryInc</vt:lpstr>
      <vt:lpstr>CountryTemp</vt:lpstr>
    </vt:vector>
  </TitlesOfParts>
  <Company>University of Sussex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Tol</dc:creator>
  <cp:lastModifiedBy>Richard Tol</cp:lastModifiedBy>
  <cp:lastPrinted>2023-04-17T08:41:44Z</cp:lastPrinted>
  <dcterms:created xsi:type="dcterms:W3CDTF">2014-02-07T12:09:11Z</dcterms:created>
  <dcterms:modified xsi:type="dcterms:W3CDTF">2023-07-29T15:01:26Z</dcterms:modified>
</cp:coreProperties>
</file>